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11/relationships/webextensiontaskpanes" Target="xl/webextensions/taskpanes.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mc:AlternateContent xmlns:mc="http://schemas.openxmlformats.org/markup-compatibility/2006">
    <mc:Choice Requires="x15">
      <x15ac:absPath xmlns:x15ac="http://schemas.microsoft.com/office/spreadsheetml/2010/11/ac" url="C:\Users\llabrandero\Downloads\"/>
    </mc:Choice>
  </mc:AlternateContent>
  <xr:revisionPtr revIDLastSave="110" documentId="13_ncr:1_{2913F1ED-0C8F-4A5A-9A02-0C3D46566749}" xr6:coauthVersionLast="47" xr6:coauthVersionMax="47" xr10:uidLastSave="{A8F10CB5-9B41-4413-8EB7-B0A1703A6115}"/>
  <bookViews>
    <workbookView xWindow="-108" yWindow="-108" windowWidth="23256" windowHeight="12456" tabRatio="911" firstSheet="1" activeTab="5" xr2:uid="{00000000-000D-0000-FFFF-FFFF00000000}"/>
  </bookViews>
  <sheets>
    <sheet name="LUNES" sheetId="1" r:id="rId1"/>
    <sheet name="MARTES" sheetId="2" r:id="rId2"/>
    <sheet name="MIERCOLES" sheetId="3" r:id="rId3"/>
    <sheet name="JUEVES" sheetId="4" r:id="rId4"/>
    <sheet name="SABADO" sheetId="5" r:id="rId5"/>
    <sheet name="MEDIDAS_Y_PESO" sheetId="6" r:id="rId6"/>
    <sheet name="CONFIG" sheetId="7" r:id="rId7"/>
    <sheet name="EJERCICIOS" sheetId="8" r:id="rId8"/>
    <sheet name="HISTORIAL" sheetId="9" r:id="rId9"/>
    <sheet name="SUGERENCIAS" sheetId="10" r:id="rId10"/>
    <sheet name="VOLUMEN" sheetId="11" r:id="rId11"/>
    <sheet name="DASHBOARD" sheetId="12" r:id="rId12"/>
  </sheets>
  <definedNames>
    <definedName name="Aperturas">EJERCICIOS!$C$3:$C$5</definedName>
    <definedName name="Aperturas_Bajo">EJERCICIOS!$C$6:$C$6</definedName>
    <definedName name="Aperturas_Inclinado">EJERCICIOS!$C$3:$C$3</definedName>
    <definedName name="Aperturas_Medio">EJERCICIOS!$C$4:$C$5</definedName>
    <definedName name="Band_Pull_Apart">EJERCICIOS!$C$7:$C$7</definedName>
    <definedName name="BASES_AGARRE">EJERCICIOS!$I$3:$I$3</definedName>
    <definedName name="BASES_ANTEBRAZO">EJERCICIOS!$I$4:$I$4</definedName>
    <definedName name="BASES_BICEPS">EJERCICIOS!$I$5:$I$6</definedName>
    <definedName name="BASES_CIERRE">EJERCICIOS!$I$7:$I$10</definedName>
    <definedName name="BASES_CORE">EJERCICIOS!$I$11:$I$14</definedName>
    <definedName name="BASES_CUADRICEPS">EJERCICIOS!$I$15:$I$17</definedName>
    <definedName name="BASES_ESPALDA">EJERCICIOS!$I$18:$I$23</definedName>
    <definedName name="BASES_ESPALDA_ANCHURA">EJERCICIOS!$I$56:$I$58</definedName>
    <definedName name="BASES_ESPALDA_DENSIDAD">EJERCICIOS!$I$59:$I$61</definedName>
    <definedName name="BASES_FEMORAL">EJERCICIOS!$I$24:$I$25</definedName>
    <definedName name="BASES_GEMELO">EJERCICIOS!$I$26:$I$27</definedName>
    <definedName name="BASES_HOMBRO">EJERCICIOS!$I$28:$I$33</definedName>
    <definedName name="BASES_LIST">EJERCICIOS!$F$2:$F$42</definedName>
    <definedName name="BASES_LUMBAR">EJERCICIOS!$I$34:$I$35</definedName>
    <definedName name="BASES_PECHO">EJERCICIOS!$I$36:$I$42</definedName>
    <definedName name="BASES_PECHO_ALTO">EJERCICIOS!$I$51:$I$52</definedName>
    <definedName name="BASES_PECHO_AMPLITUD">EJERCICIOS!$I$50:$I$52</definedName>
    <definedName name="BASES_PECHO_BAJO">EJERCICIOS!$I$53:$I$55</definedName>
    <definedName name="BASES_PECHO_MEDIO">EJERCICIOS!$I$49:$I$50</definedName>
    <definedName name="BASES_PECHO_PLANO">EJERCICIOS!$I$47:$I$48</definedName>
    <definedName name="BASES_TRAPECIOS">EJERCICIOS!$I$43:$I$45</definedName>
    <definedName name="BASES_TRICEPS">EJERCICIOS!$I$46:$I$48</definedName>
    <definedName name="Crunch">EJERCICIOS!$C$8:$C$9</definedName>
    <definedName name="Curl_Biceps">EJERCICIOS!$C$10:$C$15</definedName>
    <definedName name="Curl_Femoral">EJERCICIOS!$C$16:$C$17</definedName>
    <definedName name="Curl_Martillo">EJERCICIOS!$C$18:$C$18</definedName>
    <definedName name="Curl_Muneca">EJERCICIOS!$C$19:$C$21</definedName>
    <definedName name="Curl_Rumano">EJERCICIOS!$C$22:$C$22</definedName>
    <definedName name="Dominadas">EJERCICIOS!$C$23:$C$23</definedName>
    <definedName name="Elevacion_Gemelo">EJERCICIOS!$C$24:$C$25</definedName>
    <definedName name="Elevacion_Piernas">EJERCICIOS!$C$26:$C$26</definedName>
    <definedName name="Elevacion_Talones">EJERCICIOS!$C$27:$C$27</definedName>
    <definedName name="Elevaciones_Laterales">EJERCICIOS!$C$28:$C$30</definedName>
    <definedName name="Elevaciones_Posteriores">EJERCICIOS!$C$31:$C$31</definedName>
    <definedName name="Encogimientos">EJERCICIOS!$C$32:$C$32</definedName>
    <definedName name="Estiramiento">EJERCICIOS!$C$33:$C$33</definedName>
    <definedName name="Extension_Cuadriceps">EJERCICIOS!$C$34:$C$35</definedName>
    <definedName name="Extension_Triceps">EJERCICIOS!$C$36:$C$39</definedName>
    <definedName name="Face_Pull">EJERCICIOS!$C$40:$C$41</definedName>
    <definedName name="Farmer_Carry">EJERCICIOS!$C$42:$C$42</definedName>
    <definedName name="Fondos">EJERCICIOS!$C$43:$C$43</definedName>
    <definedName name="Hip_Circle">EJERCICIOS!$C$44:$C$44</definedName>
    <definedName name="Hiperextension">EJERCICIOS!$C$45:$C$45</definedName>
    <definedName name="Jalon">EJERCICIOS!$C$47:$C$49</definedName>
    <definedName name="JM_Press">EJERCICIOS!$C$46:$C$46</definedName>
    <definedName name="Lagartija">EJERCICIOS!$C$50:$C$50</definedName>
    <definedName name="Pajaro">EJERCICIOS!$C$51:$C$51</definedName>
    <definedName name="Peck_Deck_Invertida">EJERCICIOS!$C$52:$C$52</definedName>
    <definedName name="Perro">EJERCICIOS!$C$53:$C$53</definedName>
    <definedName name="Peso_Muerto_Parcial">EJERCICIOS!$C$54:$C$54</definedName>
    <definedName name="Plancha">EJERCICIOS!$C$77:$C$77</definedName>
    <definedName name="Prensa_Pierna">EJERCICIOS!$C$55:$C$56</definedName>
    <definedName name="Press_Inclinado">EJERCICIOS!$C$61:$C$64</definedName>
    <definedName name="Press_Militar">EJERCICIOS!$C$65:$C$65</definedName>
    <definedName name="Press_Plano">EJERCICIOS!$C$57:$C$60</definedName>
    <definedName name="Press_Polea">EJERCICIOS!$C$66:$C$66</definedName>
    <definedName name="Pulldown">EJERCICIOS!$C$67:$C$67</definedName>
    <definedName name="Remo">EJERCICIOS!$C$68:$C$74</definedName>
    <definedName name="Rotacion">EJERCICIOS!$C$75:$C$76</definedName>
    <definedName name="Rueda_Abdominal">EJERCICIOS!$C$78:$C$78</definedName>
    <definedName name="Sentadilla">EJERCICIOS!$C$79:$C$79</definedName>
    <definedName name="Skullcrusher">EJERCICIOS!$C$80:$C$80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8" i="11" l="1"/>
  <c r="C4" i="11"/>
  <c r="A779" i="12"/>
  <c r="A778" i="12"/>
  <c r="A777" i="12"/>
  <c r="A776" i="12"/>
  <c r="A775" i="12"/>
  <c r="A774" i="12"/>
  <c r="A773" i="12"/>
  <c r="A772" i="12"/>
  <c r="A771" i="12"/>
  <c r="A770" i="12"/>
  <c r="A769" i="12"/>
  <c r="A768" i="12"/>
  <c r="A767" i="12"/>
  <c r="A766" i="12"/>
  <c r="A765" i="12"/>
  <c r="A764" i="12"/>
  <c r="A763" i="12"/>
  <c r="A762" i="12"/>
  <c r="A761" i="12"/>
  <c r="A760" i="12"/>
  <c r="A759" i="12"/>
  <c r="A758" i="12"/>
  <c r="A757" i="12"/>
  <c r="A756" i="12"/>
  <c r="A755" i="12"/>
  <c r="A754" i="12"/>
  <c r="A753" i="12"/>
  <c r="A752" i="12"/>
  <c r="A751" i="12"/>
  <c r="A750" i="12"/>
  <c r="A749" i="12"/>
  <c r="A748" i="12"/>
  <c r="A747" i="12"/>
  <c r="A746" i="12"/>
  <c r="A745" i="12"/>
  <c r="A744" i="12"/>
  <c r="A743" i="12"/>
  <c r="A742" i="12"/>
  <c r="A741" i="12"/>
  <c r="A740" i="12"/>
  <c r="A739" i="12"/>
  <c r="A738" i="12"/>
  <c r="A737" i="12"/>
  <c r="A736" i="12"/>
  <c r="A735" i="12"/>
  <c r="A734" i="12"/>
  <c r="A733" i="12"/>
  <c r="A732" i="12"/>
  <c r="A731" i="12"/>
  <c r="A730" i="12"/>
  <c r="A729" i="12"/>
  <c r="A728" i="12"/>
  <c r="A727" i="12"/>
  <c r="A726" i="12"/>
  <c r="A725" i="12"/>
  <c r="A724" i="12"/>
  <c r="A723" i="12"/>
  <c r="A722" i="12"/>
  <c r="A721" i="12"/>
  <c r="A720" i="12"/>
  <c r="A719" i="12"/>
  <c r="A718" i="12"/>
  <c r="A717" i="12"/>
  <c r="A716" i="12"/>
  <c r="A715" i="12"/>
  <c r="A714" i="12"/>
  <c r="A713" i="12"/>
  <c r="A712" i="12"/>
  <c r="A711" i="12"/>
  <c r="A710" i="12"/>
  <c r="A709" i="12"/>
  <c r="A708" i="12"/>
  <c r="A707" i="12"/>
  <c r="A706" i="12"/>
  <c r="A705" i="12"/>
  <c r="A704" i="12"/>
  <c r="A703" i="12"/>
  <c r="A702" i="12"/>
  <c r="A701" i="12"/>
  <c r="A700" i="12"/>
  <c r="A699" i="12"/>
  <c r="A698" i="12"/>
  <c r="A697" i="12"/>
  <c r="A696" i="12"/>
  <c r="A695" i="12"/>
  <c r="A694" i="12"/>
  <c r="A693" i="12"/>
  <c r="A692" i="12"/>
  <c r="A691" i="12"/>
  <c r="A690" i="12"/>
  <c r="A689" i="12"/>
  <c r="A688" i="12"/>
  <c r="A687" i="12"/>
  <c r="A686" i="12"/>
  <c r="A685" i="12"/>
  <c r="A684" i="12"/>
  <c r="A683" i="12"/>
  <c r="A682" i="12"/>
  <c r="A681" i="12"/>
  <c r="A680" i="12"/>
  <c r="A679" i="12"/>
  <c r="A678" i="12"/>
  <c r="A677" i="12"/>
  <c r="A676" i="12"/>
  <c r="A675" i="12"/>
  <c r="A674" i="12"/>
  <c r="A673" i="12"/>
  <c r="A672" i="12"/>
  <c r="A671" i="12"/>
  <c r="A670" i="12"/>
  <c r="A669" i="12"/>
  <c r="A668" i="12"/>
  <c r="A667" i="12"/>
  <c r="A666" i="12"/>
  <c r="A665" i="12"/>
  <c r="A664" i="12"/>
  <c r="A663" i="12"/>
  <c r="A662" i="12"/>
  <c r="A661" i="12"/>
  <c r="A660" i="12"/>
  <c r="A659" i="12"/>
  <c r="A658" i="12"/>
  <c r="A657" i="12"/>
  <c r="A656" i="12"/>
  <c r="A655" i="12"/>
  <c r="A654" i="12"/>
  <c r="A653" i="12"/>
  <c r="A652" i="12"/>
  <c r="A651" i="12"/>
  <c r="A650" i="12"/>
  <c r="A649" i="12"/>
  <c r="A648" i="12"/>
  <c r="A647" i="12"/>
  <c r="A646" i="12"/>
  <c r="A645" i="12"/>
  <c r="A644" i="12"/>
  <c r="A643" i="12"/>
  <c r="A642" i="12"/>
  <c r="A641" i="12"/>
  <c r="A640" i="12"/>
  <c r="A639" i="12"/>
  <c r="A638" i="12"/>
  <c r="A637" i="12"/>
  <c r="A636" i="12"/>
  <c r="A635" i="12"/>
  <c r="A634" i="12"/>
  <c r="A633" i="12"/>
  <c r="A632" i="12"/>
  <c r="A631" i="12"/>
  <c r="A630" i="12"/>
  <c r="A629" i="12"/>
  <c r="A628" i="12"/>
  <c r="A627" i="12"/>
  <c r="A626" i="12"/>
  <c r="A625" i="12"/>
  <c r="A624" i="12"/>
  <c r="A623" i="12"/>
  <c r="A622" i="12"/>
  <c r="A621" i="12"/>
  <c r="A620" i="12"/>
  <c r="A619" i="12"/>
  <c r="A618" i="12"/>
  <c r="A617" i="12"/>
  <c r="A616" i="12"/>
  <c r="A615" i="12"/>
  <c r="A614" i="12"/>
  <c r="A613" i="12"/>
  <c r="A612" i="12"/>
  <c r="A611" i="12"/>
  <c r="A610" i="12"/>
  <c r="A609" i="12"/>
  <c r="A608" i="12"/>
  <c r="A607" i="12"/>
  <c r="A606" i="12"/>
  <c r="A605" i="12"/>
  <c r="A604" i="12"/>
  <c r="A603" i="12"/>
  <c r="A602" i="12"/>
  <c r="A601" i="12"/>
  <c r="A600" i="12"/>
  <c r="A599" i="12"/>
  <c r="A598" i="12"/>
  <c r="A597" i="12"/>
  <c r="A596" i="12"/>
  <c r="A595" i="12"/>
  <c r="A594" i="12"/>
  <c r="A593" i="12"/>
  <c r="A592" i="12"/>
  <c r="A591" i="12"/>
  <c r="A590" i="12"/>
  <c r="A589" i="12"/>
  <c r="A588" i="12"/>
  <c r="A587" i="12"/>
  <c r="A586" i="12"/>
  <c r="A585" i="12"/>
  <c r="A584" i="12"/>
  <c r="A583" i="12"/>
  <c r="A582" i="12"/>
  <c r="A581" i="12"/>
  <c r="A580" i="12"/>
  <c r="A579" i="12"/>
  <c r="A578" i="12"/>
  <c r="A577" i="12"/>
  <c r="A576" i="12"/>
  <c r="A575" i="12"/>
  <c r="A574" i="12"/>
  <c r="A573" i="12"/>
  <c r="A572" i="12"/>
  <c r="A571" i="12"/>
  <c r="A570" i="12"/>
  <c r="A569" i="12"/>
  <c r="A568" i="12"/>
  <c r="A567" i="12"/>
  <c r="A566" i="12"/>
  <c r="A565" i="12"/>
  <c r="A564" i="12"/>
  <c r="A563" i="12"/>
  <c r="A562" i="12"/>
  <c r="A561" i="12"/>
  <c r="A560" i="12"/>
  <c r="A559" i="12"/>
  <c r="A558" i="12"/>
  <c r="A557" i="12"/>
  <c r="A556" i="12"/>
  <c r="A555" i="12"/>
  <c r="A554" i="12"/>
  <c r="A553" i="12"/>
  <c r="A552" i="12"/>
  <c r="A551" i="12"/>
  <c r="A550" i="12"/>
  <c r="A549" i="12"/>
  <c r="A548" i="12"/>
  <c r="A547" i="12"/>
  <c r="A546" i="12"/>
  <c r="A545" i="12"/>
  <c r="A544" i="12"/>
  <c r="A543" i="12"/>
  <c r="A542" i="12"/>
  <c r="A541" i="12"/>
  <c r="A540" i="12"/>
  <c r="A539" i="12"/>
  <c r="A538" i="12"/>
  <c r="A537" i="12"/>
  <c r="A536" i="12"/>
  <c r="A535" i="12"/>
  <c r="A534" i="12"/>
  <c r="A533" i="12"/>
  <c r="A532" i="12"/>
  <c r="A531" i="12"/>
  <c r="A530" i="12"/>
  <c r="A529" i="12"/>
  <c r="A528" i="12"/>
  <c r="A527" i="12"/>
  <c r="A526" i="12"/>
  <c r="A525" i="12"/>
  <c r="A524" i="12"/>
  <c r="A523" i="12"/>
  <c r="A522" i="12"/>
  <c r="A521" i="12"/>
  <c r="A520" i="12"/>
  <c r="A519" i="12"/>
  <c r="A518" i="12"/>
  <c r="A517" i="12"/>
  <c r="A516" i="12"/>
  <c r="A515" i="12"/>
  <c r="A514" i="12"/>
  <c r="A513" i="12"/>
  <c r="A512" i="12"/>
  <c r="A511" i="12"/>
  <c r="A510" i="12"/>
  <c r="A509" i="12"/>
  <c r="A508" i="12"/>
  <c r="A507" i="12"/>
  <c r="A506" i="12"/>
  <c r="A505" i="12"/>
  <c r="A504" i="12"/>
  <c r="A503" i="12"/>
  <c r="A502" i="12"/>
  <c r="A501" i="12"/>
  <c r="A500" i="12"/>
  <c r="A499" i="12"/>
  <c r="A498" i="12"/>
  <c r="A497" i="12"/>
  <c r="A496" i="12"/>
  <c r="A495" i="12"/>
  <c r="A494" i="12"/>
  <c r="A493" i="12"/>
  <c r="A492" i="12"/>
  <c r="A491" i="12"/>
  <c r="A490" i="12"/>
  <c r="A489" i="12"/>
  <c r="A488" i="12"/>
  <c r="A487" i="12"/>
  <c r="A486" i="12"/>
  <c r="A485" i="12"/>
  <c r="A484" i="12"/>
  <c r="A483" i="12"/>
  <c r="A482" i="12"/>
  <c r="A481" i="12"/>
  <c r="A480" i="12"/>
  <c r="A479" i="12"/>
  <c r="A478" i="12"/>
  <c r="A477" i="12"/>
  <c r="A476" i="12"/>
  <c r="A475" i="12"/>
  <c r="A474" i="12"/>
  <c r="A473" i="12"/>
  <c r="A472" i="12"/>
  <c r="A471" i="12"/>
  <c r="A470" i="12"/>
  <c r="A469" i="12"/>
  <c r="A468" i="12"/>
  <c r="A467" i="12"/>
  <c r="A466" i="12"/>
  <c r="A465" i="12"/>
  <c r="A464" i="12"/>
  <c r="A463" i="12"/>
  <c r="A462" i="12"/>
  <c r="A461" i="12"/>
  <c r="A460" i="12"/>
  <c r="A459" i="12"/>
  <c r="A458" i="12"/>
  <c r="A457" i="12"/>
  <c r="A456" i="12"/>
  <c r="A455" i="12"/>
  <c r="A454" i="12"/>
  <c r="A453" i="12"/>
  <c r="A452" i="12"/>
  <c r="A451" i="12"/>
  <c r="A450" i="12"/>
  <c r="A449" i="12"/>
  <c r="A448" i="12"/>
  <c r="A447" i="12"/>
  <c r="A446" i="12"/>
  <c r="A445" i="12"/>
  <c r="A444" i="12"/>
  <c r="A443" i="12"/>
  <c r="A442" i="12"/>
  <c r="A441" i="12"/>
  <c r="A440" i="12"/>
  <c r="A439" i="12"/>
  <c r="A438" i="12"/>
  <c r="A437" i="12"/>
  <c r="A436" i="12"/>
  <c r="A435" i="12"/>
  <c r="A434" i="12"/>
  <c r="A433" i="12"/>
  <c r="A432" i="12"/>
  <c r="A431" i="12"/>
  <c r="A430" i="12"/>
  <c r="A429" i="12"/>
  <c r="A428" i="12"/>
  <c r="A427" i="12"/>
  <c r="A426" i="12"/>
  <c r="A425" i="12"/>
  <c r="A424" i="12"/>
  <c r="A423" i="12"/>
  <c r="A422" i="12"/>
  <c r="A421" i="12"/>
  <c r="A420" i="12"/>
  <c r="A419" i="12"/>
  <c r="A418" i="12"/>
  <c r="A417" i="12"/>
  <c r="A416" i="12"/>
  <c r="A415" i="12"/>
  <c r="A414" i="12"/>
  <c r="A413" i="12"/>
  <c r="A412" i="12"/>
  <c r="A411" i="12"/>
  <c r="A410" i="12"/>
  <c r="A409" i="12"/>
  <c r="A408" i="12"/>
  <c r="A407" i="12"/>
  <c r="A406" i="12"/>
  <c r="A405" i="12"/>
  <c r="A404" i="12"/>
  <c r="A403" i="12"/>
  <c r="A402" i="12"/>
  <c r="A401" i="12"/>
  <c r="A400" i="12"/>
  <c r="A399" i="12"/>
  <c r="A398" i="12"/>
  <c r="A397" i="12"/>
  <c r="A396" i="12"/>
  <c r="A395" i="12"/>
  <c r="A394" i="12"/>
  <c r="A393" i="12"/>
  <c r="A392" i="12"/>
  <c r="A391" i="12"/>
  <c r="A390" i="12"/>
  <c r="A389" i="12"/>
  <c r="A388" i="12"/>
  <c r="A387" i="12"/>
  <c r="A386" i="12"/>
  <c r="A385" i="12"/>
  <c r="A384" i="12"/>
  <c r="A383" i="12"/>
  <c r="A382" i="12"/>
  <c r="A381" i="12"/>
  <c r="A380" i="12"/>
  <c r="A379" i="12"/>
  <c r="A378" i="12"/>
  <c r="A377" i="12"/>
  <c r="A376" i="12"/>
  <c r="A375" i="12"/>
  <c r="A374" i="12"/>
  <c r="A373" i="12"/>
  <c r="A372" i="12"/>
  <c r="A371" i="12"/>
  <c r="A370" i="12"/>
  <c r="A369" i="12"/>
  <c r="A368" i="12"/>
  <c r="A367" i="12"/>
  <c r="A366" i="12"/>
  <c r="A365" i="12"/>
  <c r="A364" i="12"/>
  <c r="A363" i="12"/>
  <c r="A362" i="12"/>
  <c r="A361" i="12"/>
  <c r="A360" i="12"/>
  <c r="A359" i="12"/>
  <c r="A358" i="12"/>
  <c r="A357" i="12"/>
  <c r="A356" i="12"/>
  <c r="A355" i="12"/>
  <c r="A354" i="12"/>
  <c r="A353" i="12"/>
  <c r="A352" i="12"/>
  <c r="A351" i="12"/>
  <c r="A350" i="12"/>
  <c r="A349" i="12"/>
  <c r="A348" i="12"/>
  <c r="A347" i="12"/>
  <c r="A346" i="12"/>
  <c r="A345" i="12"/>
  <c r="A344" i="12"/>
  <c r="A343" i="12"/>
  <c r="A342" i="12"/>
  <c r="A341" i="12"/>
  <c r="A340" i="12"/>
  <c r="A339" i="12"/>
  <c r="A338" i="12"/>
  <c r="A337" i="12"/>
  <c r="A336" i="12"/>
  <c r="A335" i="12"/>
  <c r="A334" i="12"/>
  <c r="A333" i="12"/>
  <c r="A332" i="12"/>
  <c r="A331" i="12"/>
  <c r="A330" i="12"/>
  <c r="A329" i="12"/>
  <c r="A328" i="12"/>
  <c r="A327" i="12"/>
  <c r="A326" i="12"/>
  <c r="A325" i="12"/>
  <c r="A324" i="12"/>
  <c r="A323" i="12"/>
  <c r="A322" i="12"/>
  <c r="A321" i="12"/>
  <c r="A320" i="12"/>
  <c r="A319" i="12"/>
  <c r="A318" i="12"/>
  <c r="A317" i="12"/>
  <c r="A316" i="12"/>
  <c r="A315" i="12"/>
  <c r="A314" i="12"/>
  <c r="A313" i="12"/>
  <c r="A312" i="12"/>
  <c r="A311" i="12"/>
  <c r="A310" i="12"/>
  <c r="A309" i="12"/>
  <c r="A308" i="12"/>
  <c r="A307" i="12"/>
  <c r="A306" i="12"/>
  <c r="A305" i="12"/>
  <c r="A304" i="12"/>
  <c r="A303" i="12"/>
  <c r="A302" i="12"/>
  <c r="A301" i="12"/>
  <c r="A300" i="12"/>
  <c r="A299" i="12"/>
  <c r="A298" i="12"/>
  <c r="A297" i="12"/>
  <c r="A296" i="12"/>
  <c r="A295" i="12"/>
  <c r="A294" i="12"/>
  <c r="A293" i="12"/>
  <c r="A292" i="12"/>
  <c r="A291" i="12"/>
  <c r="A290" i="12"/>
  <c r="A289" i="12"/>
  <c r="A288" i="12"/>
  <c r="A287" i="12"/>
  <c r="A286" i="12"/>
  <c r="A285" i="12"/>
  <c r="A284" i="12"/>
  <c r="A283" i="12"/>
  <c r="A282" i="12"/>
  <c r="A281" i="12"/>
  <c r="A280" i="12"/>
  <c r="A279" i="12"/>
  <c r="A278" i="12"/>
  <c r="A277" i="12"/>
  <c r="A276" i="12"/>
  <c r="A275" i="12"/>
  <c r="A274" i="12"/>
  <c r="A273" i="12"/>
  <c r="A272" i="12"/>
  <c r="A271" i="12"/>
  <c r="A270" i="12"/>
  <c r="A269" i="12"/>
  <c r="A268" i="12"/>
  <c r="A267" i="12"/>
  <c r="A266" i="12"/>
  <c r="A265" i="12"/>
  <c r="A264" i="12"/>
  <c r="A263" i="12"/>
  <c r="A262" i="12"/>
  <c r="A261" i="12"/>
  <c r="A260" i="12"/>
  <c r="A259" i="12"/>
  <c r="A258" i="12"/>
  <c r="A257" i="12"/>
  <c r="A256" i="12"/>
  <c r="A255" i="12"/>
  <c r="A254" i="12"/>
  <c r="A253" i="12"/>
  <c r="A252" i="12"/>
  <c r="A251" i="12"/>
  <c r="A250" i="12"/>
  <c r="A249" i="12"/>
  <c r="A248" i="12"/>
  <c r="A247" i="12"/>
  <c r="A246" i="12"/>
  <c r="A245" i="12"/>
  <c r="A244" i="12"/>
  <c r="A243" i="12"/>
  <c r="A242" i="12"/>
  <c r="A241" i="12"/>
  <c r="A240" i="12"/>
  <c r="A239" i="12"/>
  <c r="A238" i="12"/>
  <c r="A237" i="12"/>
  <c r="A236" i="12"/>
  <c r="A235" i="12"/>
  <c r="A234" i="12"/>
  <c r="A233" i="12"/>
  <c r="A232" i="12"/>
  <c r="A231" i="12"/>
  <c r="A230" i="12"/>
  <c r="A229" i="12"/>
  <c r="A228" i="12"/>
  <c r="A227" i="12"/>
  <c r="A226" i="12"/>
  <c r="A225" i="12"/>
  <c r="A224" i="12"/>
  <c r="A223" i="12"/>
  <c r="A222" i="12"/>
  <c r="A221" i="12"/>
  <c r="A220" i="12"/>
  <c r="A219" i="12"/>
  <c r="A218" i="12"/>
  <c r="A217" i="12"/>
  <c r="A216" i="12"/>
  <c r="A215" i="12"/>
  <c r="A214" i="12"/>
  <c r="A213" i="12"/>
  <c r="A212" i="12"/>
  <c r="A211" i="12"/>
  <c r="A210" i="12"/>
  <c r="A209" i="12"/>
  <c r="A208" i="12"/>
  <c r="A207" i="12"/>
  <c r="A206" i="12"/>
  <c r="A205" i="12"/>
  <c r="A204" i="12"/>
  <c r="A203" i="12"/>
  <c r="A202" i="12"/>
  <c r="A201" i="12"/>
  <c r="A200" i="12"/>
  <c r="A199" i="12"/>
  <c r="A198" i="12"/>
  <c r="A197" i="12"/>
  <c r="A196" i="12"/>
  <c r="A195" i="12"/>
  <c r="A194" i="12"/>
  <c r="A193" i="12"/>
  <c r="A192" i="12"/>
  <c r="A191" i="12"/>
  <c r="A190" i="12"/>
  <c r="A189" i="12"/>
  <c r="A188" i="12"/>
  <c r="A187" i="12"/>
  <c r="A186" i="12"/>
  <c r="A185" i="12"/>
  <c r="A184" i="12"/>
  <c r="A183" i="12"/>
  <c r="A182" i="12"/>
  <c r="A181" i="12"/>
  <c r="A180" i="12"/>
  <c r="A179" i="12"/>
  <c r="A178" i="12"/>
  <c r="A177" i="12"/>
  <c r="A176" i="12"/>
  <c r="A175" i="12"/>
  <c r="A174" i="12"/>
  <c r="A173" i="12"/>
  <c r="A172" i="12"/>
  <c r="A171" i="12"/>
  <c r="A170" i="12"/>
  <c r="A169" i="12"/>
  <c r="A168" i="12"/>
  <c r="A167" i="12"/>
  <c r="A166" i="12"/>
  <c r="A165" i="12"/>
  <c r="A164" i="12"/>
  <c r="A163" i="12"/>
  <c r="A162"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100" i="12"/>
  <c r="A99" i="12"/>
  <c r="A98" i="12"/>
  <c r="A97" i="12"/>
  <c r="A96" i="12"/>
  <c r="A95" i="12"/>
  <c r="A94" i="12"/>
  <c r="A93" i="12"/>
  <c r="A92" i="12"/>
  <c r="A91" i="12"/>
  <c r="A90" i="12"/>
  <c r="A89" i="12"/>
  <c r="A88" i="12"/>
  <c r="A87" i="12"/>
  <c r="A86" i="12"/>
  <c r="A85" i="12"/>
  <c r="A84" i="12"/>
  <c r="A83" i="12"/>
  <c r="A82" i="12"/>
  <c r="A81" i="12"/>
  <c r="A80" i="12"/>
  <c r="A79" i="12"/>
  <c r="A78" i="12"/>
  <c r="A77" i="12"/>
  <c r="A76" i="12"/>
  <c r="A75" i="12"/>
  <c r="A74" i="12"/>
  <c r="A73" i="12"/>
  <c r="A72" i="12"/>
  <c r="A71" i="12"/>
  <c r="A70" i="12"/>
  <c r="A69" i="12"/>
  <c r="A68" i="12"/>
  <c r="A67" i="12"/>
  <c r="A66" i="12"/>
  <c r="A65" i="12"/>
  <c r="A64" i="12"/>
  <c r="A63" i="12"/>
  <c r="A62" i="12"/>
  <c r="A61" i="12"/>
  <c r="A60" i="12"/>
  <c r="A59" i="12"/>
  <c r="A58" i="12"/>
  <c r="A57" i="12"/>
  <c r="A56" i="12"/>
  <c r="A55" i="12"/>
  <c r="A54" i="12"/>
  <c r="A53" i="12"/>
  <c r="A52" i="12"/>
  <c r="A51" i="12"/>
  <c r="A50" i="12"/>
  <c r="A49" i="12"/>
  <c r="A48" i="12"/>
  <c r="A47" i="12"/>
  <c r="A46" i="12"/>
  <c r="A45" i="12"/>
  <c r="A44" i="12"/>
  <c r="A43" i="12"/>
  <c r="A42" i="12"/>
  <c r="A41" i="12"/>
  <c r="A40" i="12"/>
  <c r="A39" i="12"/>
  <c r="A38" i="12"/>
  <c r="A37" i="12"/>
  <c r="A36" i="12"/>
  <c r="A35" i="12"/>
  <c r="A34" i="12"/>
  <c r="A33" i="12"/>
  <c r="A32" i="12"/>
  <c r="A31" i="12"/>
  <c r="A30" i="12"/>
  <c r="A29" i="12"/>
  <c r="A28" i="12"/>
  <c r="A27" i="12"/>
  <c r="A26" i="12"/>
  <c r="C3" i="9"/>
  <c r="D3" i="9"/>
  <c r="O3" i="9"/>
  <c r="D5" i="10"/>
  <c r="E5" i="10"/>
  <c r="W13" i="1"/>
  <c r="X13" i="1"/>
  <c r="Y13" i="1"/>
  <c r="Z13" i="1"/>
  <c r="AA13" i="1"/>
  <c r="AB13" i="1"/>
  <c r="AC13" i="1"/>
  <c r="P3" i="9"/>
  <c r="F3" i="9"/>
  <c r="G5" i="10"/>
  <c r="N5" i="10"/>
  <c r="F25" i="12"/>
  <c r="L5" i="10"/>
  <c r="E25" i="12"/>
  <c r="D25" i="12"/>
  <c r="C25" i="12"/>
  <c r="B25" i="12"/>
  <c r="A25" i="12"/>
  <c r="G4" i="10"/>
  <c r="N4" i="10"/>
  <c r="F24" i="12"/>
  <c r="L4" i="10"/>
  <c r="E24" i="12"/>
  <c r="D24" i="12"/>
  <c r="C24" i="12"/>
  <c r="B24" i="12"/>
  <c r="A24" i="12"/>
  <c r="N34" i="11"/>
  <c r="M34" i="11"/>
  <c r="L34" i="11"/>
  <c r="K34" i="11"/>
  <c r="J34" i="11"/>
  <c r="I34" i="11"/>
  <c r="H34" i="11"/>
  <c r="G34" i="11"/>
  <c r="F34" i="11"/>
  <c r="E34" i="11"/>
  <c r="D34" i="11"/>
  <c r="C34" i="11"/>
  <c r="N32" i="11"/>
  <c r="M32" i="11"/>
  <c r="L32" i="11"/>
  <c r="K32" i="11"/>
  <c r="J32" i="11"/>
  <c r="I32" i="11"/>
  <c r="H32" i="11"/>
  <c r="G32" i="11"/>
  <c r="F32" i="11"/>
  <c r="E32" i="11"/>
  <c r="D32" i="11"/>
  <c r="C32" i="11"/>
  <c r="N30" i="11"/>
  <c r="M30" i="11"/>
  <c r="L30" i="11"/>
  <c r="K30" i="11"/>
  <c r="J30" i="11"/>
  <c r="I30" i="11"/>
  <c r="H30" i="11"/>
  <c r="G30" i="11"/>
  <c r="F30" i="11"/>
  <c r="E30" i="11"/>
  <c r="D30" i="11"/>
  <c r="C30" i="11"/>
  <c r="N28" i="11"/>
  <c r="M28" i="11"/>
  <c r="L28" i="11"/>
  <c r="K28" i="11"/>
  <c r="J28" i="11"/>
  <c r="I28" i="11"/>
  <c r="H28" i="11"/>
  <c r="G28" i="11"/>
  <c r="F28" i="11"/>
  <c r="E28" i="11"/>
  <c r="D28" i="11"/>
  <c r="C28" i="11"/>
  <c r="N26" i="11"/>
  <c r="M26" i="11"/>
  <c r="L26" i="11"/>
  <c r="K26" i="11"/>
  <c r="J26" i="11"/>
  <c r="I26" i="11"/>
  <c r="H26" i="11"/>
  <c r="G26" i="11"/>
  <c r="F26" i="11"/>
  <c r="E26" i="11"/>
  <c r="D26" i="11"/>
  <c r="C26" i="11"/>
  <c r="N24" i="11"/>
  <c r="M24" i="11"/>
  <c r="L24" i="11"/>
  <c r="K24" i="11"/>
  <c r="J24" i="11"/>
  <c r="I24" i="11"/>
  <c r="H24" i="11"/>
  <c r="G24" i="11"/>
  <c r="F24" i="11"/>
  <c r="E24" i="11"/>
  <c r="D24" i="11"/>
  <c r="C24" i="11"/>
  <c r="N22" i="11"/>
  <c r="M22" i="11"/>
  <c r="L22" i="11"/>
  <c r="K22" i="11"/>
  <c r="J22" i="11"/>
  <c r="I22" i="11"/>
  <c r="H22" i="11"/>
  <c r="G22" i="11"/>
  <c r="F22" i="11"/>
  <c r="E22" i="11"/>
  <c r="D22" i="11"/>
  <c r="C22" i="11"/>
  <c r="N20" i="11"/>
  <c r="M20" i="11"/>
  <c r="L20" i="11"/>
  <c r="K20" i="11"/>
  <c r="J20" i="11"/>
  <c r="I20" i="11"/>
  <c r="H20" i="11"/>
  <c r="G20" i="11"/>
  <c r="F20" i="11"/>
  <c r="E20" i="11"/>
  <c r="D20" i="11"/>
  <c r="C20" i="11"/>
  <c r="N18" i="11"/>
  <c r="M18" i="11"/>
  <c r="L18" i="11"/>
  <c r="K18" i="11"/>
  <c r="J18" i="11"/>
  <c r="I18" i="11"/>
  <c r="H18" i="11"/>
  <c r="G18" i="11"/>
  <c r="F18" i="11"/>
  <c r="E18" i="11"/>
  <c r="D18" i="11"/>
  <c r="N16" i="11"/>
  <c r="M16" i="11"/>
  <c r="L16" i="11"/>
  <c r="K16" i="11"/>
  <c r="J16" i="11"/>
  <c r="I16" i="11"/>
  <c r="H16" i="11"/>
  <c r="G16" i="11"/>
  <c r="F16" i="11"/>
  <c r="E16" i="11"/>
  <c r="D16" i="11"/>
  <c r="C16" i="11"/>
  <c r="N15" i="11"/>
  <c r="M15" i="11"/>
  <c r="L15" i="11"/>
  <c r="K15" i="11"/>
  <c r="J15" i="11"/>
  <c r="I15" i="11"/>
  <c r="H15" i="11"/>
  <c r="G15" i="11"/>
  <c r="F15" i="11"/>
  <c r="E15" i="11"/>
  <c r="D15" i="11"/>
  <c r="C15" i="11"/>
  <c r="N14" i="11"/>
  <c r="M14" i="11"/>
  <c r="L14" i="11"/>
  <c r="K14" i="11"/>
  <c r="J14" i="11"/>
  <c r="I14" i="11"/>
  <c r="H14" i="11"/>
  <c r="G14" i="11"/>
  <c r="F14" i="11"/>
  <c r="E14" i="11"/>
  <c r="D14" i="11"/>
  <c r="C14" i="11"/>
  <c r="N13" i="11"/>
  <c r="M13" i="11"/>
  <c r="L13" i="11"/>
  <c r="K13" i="11"/>
  <c r="J13" i="11"/>
  <c r="I13" i="11"/>
  <c r="H13" i="11"/>
  <c r="G13" i="11"/>
  <c r="F13" i="11"/>
  <c r="E13" i="11"/>
  <c r="D13" i="11"/>
  <c r="C13" i="11"/>
  <c r="N11" i="11"/>
  <c r="M11" i="11"/>
  <c r="L11" i="11"/>
  <c r="K11" i="11"/>
  <c r="J11" i="11"/>
  <c r="I11" i="11"/>
  <c r="H11" i="11"/>
  <c r="G11" i="11"/>
  <c r="F11" i="11"/>
  <c r="E11" i="11"/>
  <c r="D11" i="11"/>
  <c r="C11" i="11"/>
  <c r="N10" i="11"/>
  <c r="M10" i="11"/>
  <c r="L10" i="11"/>
  <c r="K10" i="11"/>
  <c r="J10" i="11"/>
  <c r="I10" i="11"/>
  <c r="H10" i="11"/>
  <c r="G10" i="11"/>
  <c r="F10" i="11"/>
  <c r="E10" i="11"/>
  <c r="D10" i="11"/>
  <c r="C10" i="11"/>
  <c r="N9" i="11"/>
  <c r="M9" i="11"/>
  <c r="L9" i="11"/>
  <c r="K9" i="11"/>
  <c r="J9" i="11"/>
  <c r="I9" i="11"/>
  <c r="H9" i="11"/>
  <c r="G9" i="11"/>
  <c r="F9" i="11"/>
  <c r="E9" i="11"/>
  <c r="D9" i="11"/>
  <c r="C9" i="11"/>
  <c r="N7" i="11"/>
  <c r="M7" i="11"/>
  <c r="L7" i="11"/>
  <c r="K7" i="11"/>
  <c r="J7" i="11"/>
  <c r="I7" i="11"/>
  <c r="H7" i="11"/>
  <c r="G7" i="11"/>
  <c r="F7" i="11"/>
  <c r="E7" i="11"/>
  <c r="D7" i="11"/>
  <c r="C7" i="11"/>
  <c r="N6" i="11"/>
  <c r="M6" i="11"/>
  <c r="L6" i="11"/>
  <c r="K6" i="11"/>
  <c r="J6" i="11"/>
  <c r="I6" i="11"/>
  <c r="H6" i="11"/>
  <c r="G6" i="11"/>
  <c r="F6" i="11"/>
  <c r="E6" i="11"/>
  <c r="D6" i="11"/>
  <c r="C6" i="11"/>
  <c r="N5" i="11"/>
  <c r="M5" i="11"/>
  <c r="L5" i="11"/>
  <c r="K5" i="11"/>
  <c r="J5" i="11"/>
  <c r="I5" i="11"/>
  <c r="H5" i="11"/>
  <c r="G5" i="11"/>
  <c r="F5" i="11"/>
  <c r="E5" i="11"/>
  <c r="D5" i="11"/>
  <c r="C5" i="11"/>
  <c r="N4" i="11"/>
  <c r="M4" i="11"/>
  <c r="L4" i="11"/>
  <c r="K4" i="11"/>
  <c r="J4" i="11"/>
  <c r="I4" i="11"/>
  <c r="H4" i="11"/>
  <c r="G4" i="11"/>
  <c r="F4" i="11"/>
  <c r="E4" i="11"/>
  <c r="D4" i="11"/>
  <c r="D759" i="10"/>
  <c r="E759" i="10"/>
  <c r="C4" i="9"/>
  <c r="D4" i="9"/>
  <c r="O4" i="9"/>
  <c r="C5" i="9"/>
  <c r="D5" i="9"/>
  <c r="O5" i="9"/>
  <c r="C6" i="9"/>
  <c r="D6" i="9"/>
  <c r="O6" i="9"/>
  <c r="C7" i="9"/>
  <c r="D7" i="9"/>
  <c r="O7" i="9"/>
  <c r="C8" i="9"/>
  <c r="D8" i="9"/>
  <c r="O8" i="9"/>
  <c r="C9" i="9"/>
  <c r="D9" i="9"/>
  <c r="O9" i="9"/>
  <c r="C10" i="9"/>
  <c r="D10" i="9"/>
  <c r="O10" i="9"/>
  <c r="C11" i="9"/>
  <c r="D11" i="9"/>
  <c r="O11" i="9"/>
  <c r="C12" i="9"/>
  <c r="D12" i="9"/>
  <c r="O12" i="9"/>
  <c r="C13" i="9"/>
  <c r="D13" i="9"/>
  <c r="O13" i="9"/>
  <c r="C14" i="9"/>
  <c r="D14" i="9"/>
  <c r="O14" i="9"/>
  <c r="C15" i="9"/>
  <c r="D15" i="9"/>
  <c r="O15" i="9"/>
  <c r="C16" i="9"/>
  <c r="D16" i="9"/>
  <c r="O16" i="9"/>
  <c r="C17" i="9"/>
  <c r="D17" i="9"/>
  <c r="O17" i="9"/>
  <c r="C18" i="9"/>
  <c r="D18" i="9"/>
  <c r="O18" i="9"/>
  <c r="C19" i="9"/>
  <c r="D19" i="9"/>
  <c r="O19" i="9"/>
  <c r="C20" i="9"/>
  <c r="D20" i="9"/>
  <c r="O20" i="9"/>
  <c r="C21" i="9"/>
  <c r="D21" i="9"/>
  <c r="O21" i="9"/>
  <c r="C22" i="9"/>
  <c r="D22" i="9"/>
  <c r="O22" i="9"/>
  <c r="C23" i="9"/>
  <c r="D23" i="9"/>
  <c r="O23" i="9"/>
  <c r="C24" i="9"/>
  <c r="D24" i="9"/>
  <c r="O24" i="9"/>
  <c r="C25" i="9"/>
  <c r="D25" i="9"/>
  <c r="O25" i="9"/>
  <c r="C26" i="9"/>
  <c r="D26" i="9"/>
  <c r="O26" i="9"/>
  <c r="C27" i="9"/>
  <c r="D27" i="9"/>
  <c r="O27" i="9"/>
  <c r="C28" i="9"/>
  <c r="D28" i="9"/>
  <c r="O28" i="9"/>
  <c r="C29" i="9"/>
  <c r="D29" i="9"/>
  <c r="O29" i="9"/>
  <c r="C30" i="9"/>
  <c r="D30" i="9"/>
  <c r="O30" i="9"/>
  <c r="C31" i="9"/>
  <c r="D31" i="9"/>
  <c r="O31" i="9"/>
  <c r="C32" i="9"/>
  <c r="D32" i="9"/>
  <c r="O32" i="9"/>
  <c r="C33" i="9"/>
  <c r="D33" i="9"/>
  <c r="O33" i="9"/>
  <c r="C34" i="9"/>
  <c r="D34" i="9"/>
  <c r="O34" i="9"/>
  <c r="C35" i="9"/>
  <c r="D35" i="9"/>
  <c r="O35" i="9"/>
  <c r="C36" i="9"/>
  <c r="D36" i="9"/>
  <c r="O36" i="9"/>
  <c r="C37" i="9"/>
  <c r="D37" i="9"/>
  <c r="O37" i="9"/>
  <c r="C38" i="9"/>
  <c r="D38" i="9"/>
  <c r="O38" i="9"/>
  <c r="O112" i="10"/>
  <c r="C39" i="9"/>
  <c r="D39" i="9"/>
  <c r="O39" i="9"/>
  <c r="C40" i="9"/>
  <c r="D40" i="9"/>
  <c r="O40" i="9"/>
  <c r="C41" i="9"/>
  <c r="D41" i="9"/>
  <c r="O41" i="9"/>
  <c r="C42" i="9"/>
  <c r="D42" i="9"/>
  <c r="O42" i="9"/>
  <c r="C43" i="9"/>
  <c r="D43" i="9"/>
  <c r="O43" i="9"/>
  <c r="C44" i="9"/>
  <c r="D44" i="9"/>
  <c r="O44" i="9"/>
  <c r="C45" i="9"/>
  <c r="D45" i="9"/>
  <c r="O45" i="9"/>
  <c r="C46" i="9"/>
  <c r="D46" i="9"/>
  <c r="O46" i="9"/>
  <c r="C47" i="9"/>
  <c r="D47" i="9"/>
  <c r="O47" i="9"/>
  <c r="C48" i="9"/>
  <c r="D48" i="9"/>
  <c r="O48" i="9"/>
  <c r="C49" i="9"/>
  <c r="D49" i="9"/>
  <c r="O49" i="9"/>
  <c r="C50" i="9"/>
  <c r="D50" i="9"/>
  <c r="O50" i="9"/>
  <c r="C51" i="9"/>
  <c r="D51" i="9"/>
  <c r="O51" i="9"/>
  <c r="C52" i="9"/>
  <c r="D52" i="9"/>
  <c r="O52" i="9"/>
  <c r="C53" i="9"/>
  <c r="D53" i="9"/>
  <c r="O53" i="9"/>
  <c r="C54" i="9"/>
  <c r="D54" i="9"/>
  <c r="O54" i="9"/>
  <c r="C55" i="9"/>
  <c r="D55" i="9"/>
  <c r="O55" i="9"/>
  <c r="C56" i="9"/>
  <c r="D56" i="9"/>
  <c r="O56" i="9"/>
  <c r="C57" i="9"/>
  <c r="D57" i="9"/>
  <c r="O57" i="9"/>
  <c r="C58" i="9"/>
  <c r="D58" i="9"/>
  <c r="O58" i="9"/>
  <c r="C59" i="9"/>
  <c r="D59" i="9"/>
  <c r="O59" i="9"/>
  <c r="C60" i="9"/>
  <c r="D60" i="9"/>
  <c r="O60" i="9"/>
  <c r="C61" i="9"/>
  <c r="D61" i="9"/>
  <c r="O61" i="9"/>
  <c r="C62" i="9"/>
  <c r="D62" i="9"/>
  <c r="O62" i="9"/>
  <c r="C63" i="9"/>
  <c r="D63" i="9"/>
  <c r="O63" i="9"/>
  <c r="C64" i="9"/>
  <c r="D64" i="9"/>
  <c r="O64" i="9"/>
  <c r="C65" i="9"/>
  <c r="D65" i="9"/>
  <c r="O65" i="9"/>
  <c r="C66" i="9"/>
  <c r="D66" i="9"/>
  <c r="O66" i="9"/>
  <c r="C67" i="9"/>
  <c r="D67" i="9"/>
  <c r="O67" i="9"/>
  <c r="C68" i="9"/>
  <c r="D68" i="9"/>
  <c r="O68" i="9"/>
  <c r="C69" i="9"/>
  <c r="D69" i="9"/>
  <c r="O69" i="9"/>
  <c r="C70" i="9"/>
  <c r="D70" i="9"/>
  <c r="O70" i="9"/>
  <c r="C71" i="9"/>
  <c r="D71" i="9"/>
  <c r="O71" i="9"/>
  <c r="C72" i="9"/>
  <c r="D72" i="9"/>
  <c r="O72" i="9"/>
  <c r="C73" i="9"/>
  <c r="D73" i="9"/>
  <c r="O73" i="9"/>
  <c r="C74" i="9"/>
  <c r="D74" i="9"/>
  <c r="O74" i="9"/>
  <c r="C75" i="9"/>
  <c r="D75" i="9"/>
  <c r="O75" i="9"/>
  <c r="C76" i="9"/>
  <c r="D76" i="9"/>
  <c r="O76" i="9"/>
  <c r="C77" i="9"/>
  <c r="D77" i="9"/>
  <c r="O77" i="9"/>
  <c r="C78" i="9"/>
  <c r="D78" i="9"/>
  <c r="O78" i="9"/>
  <c r="C79" i="9"/>
  <c r="D79" i="9"/>
  <c r="O79" i="9"/>
  <c r="C80" i="9"/>
  <c r="D80" i="9"/>
  <c r="O80" i="9"/>
  <c r="C81" i="9"/>
  <c r="D81" i="9"/>
  <c r="O81" i="9"/>
  <c r="C82" i="9"/>
  <c r="D82" i="9"/>
  <c r="O82" i="9"/>
  <c r="C83" i="9"/>
  <c r="D83" i="9"/>
  <c r="O83" i="9"/>
  <c r="C84" i="9"/>
  <c r="D84" i="9"/>
  <c r="O84" i="9"/>
  <c r="C85" i="9"/>
  <c r="D85" i="9"/>
  <c r="O85" i="9"/>
  <c r="C86" i="9"/>
  <c r="D86" i="9"/>
  <c r="O86" i="9"/>
  <c r="C87" i="9"/>
  <c r="D87" i="9"/>
  <c r="O87" i="9"/>
  <c r="C88" i="9"/>
  <c r="D88" i="9"/>
  <c r="O88" i="9"/>
  <c r="C89" i="9"/>
  <c r="D89" i="9"/>
  <c r="O89" i="9"/>
  <c r="C90" i="9"/>
  <c r="D90" i="9"/>
  <c r="O90" i="9"/>
  <c r="C91" i="9"/>
  <c r="D91" i="9"/>
  <c r="O91" i="9"/>
  <c r="C92" i="9"/>
  <c r="D92" i="9"/>
  <c r="O92" i="9"/>
  <c r="C93" i="9"/>
  <c r="D93" i="9"/>
  <c r="O93" i="9"/>
  <c r="C94" i="9"/>
  <c r="D94" i="9"/>
  <c r="O94" i="9"/>
  <c r="C95" i="9"/>
  <c r="D95" i="9"/>
  <c r="O95" i="9"/>
  <c r="C96" i="9"/>
  <c r="D96" i="9"/>
  <c r="O96" i="9"/>
  <c r="C97" i="9"/>
  <c r="D97" i="9"/>
  <c r="O97" i="9"/>
  <c r="C98" i="9"/>
  <c r="D98" i="9"/>
  <c r="O98" i="9"/>
  <c r="C99" i="9"/>
  <c r="D99" i="9"/>
  <c r="O99" i="9"/>
  <c r="C100" i="9"/>
  <c r="D100" i="9"/>
  <c r="O100" i="9"/>
  <c r="C101" i="9"/>
  <c r="D101" i="9"/>
  <c r="O101" i="9"/>
  <c r="C102" i="9"/>
  <c r="D102" i="9"/>
  <c r="O102" i="9"/>
  <c r="C103" i="9"/>
  <c r="D103" i="9"/>
  <c r="O103" i="9"/>
  <c r="C104" i="9"/>
  <c r="D104" i="9"/>
  <c r="O104" i="9"/>
  <c r="C105" i="9"/>
  <c r="D105" i="9"/>
  <c r="O105" i="9"/>
  <c r="C106" i="9"/>
  <c r="D106" i="9"/>
  <c r="O106" i="9"/>
  <c r="C107" i="9"/>
  <c r="D107" i="9"/>
  <c r="O107" i="9"/>
  <c r="C108" i="9"/>
  <c r="D108" i="9"/>
  <c r="O108" i="9"/>
  <c r="C109" i="9"/>
  <c r="D109" i="9"/>
  <c r="O109" i="9"/>
  <c r="C110" i="9"/>
  <c r="D110" i="9"/>
  <c r="O110" i="9"/>
  <c r="C111" i="9"/>
  <c r="D111" i="9"/>
  <c r="O111" i="9"/>
  <c r="C112" i="9"/>
  <c r="D112" i="9"/>
  <c r="O112" i="9"/>
  <c r="C113" i="9"/>
  <c r="D113" i="9"/>
  <c r="O113" i="9"/>
  <c r="C114" i="9"/>
  <c r="D114" i="9"/>
  <c r="O114" i="9"/>
  <c r="C115" i="9"/>
  <c r="D115" i="9"/>
  <c r="O115" i="9"/>
  <c r="C116" i="9"/>
  <c r="D116" i="9"/>
  <c r="O116" i="9"/>
  <c r="C117" i="9"/>
  <c r="D117" i="9"/>
  <c r="O117" i="9"/>
  <c r="C118" i="9"/>
  <c r="D118" i="9"/>
  <c r="O118" i="9"/>
  <c r="C119" i="9"/>
  <c r="D119" i="9"/>
  <c r="O119" i="9"/>
  <c r="C120" i="9"/>
  <c r="D120" i="9"/>
  <c r="O120" i="9"/>
  <c r="C121" i="9"/>
  <c r="D121" i="9"/>
  <c r="O121" i="9"/>
  <c r="C122" i="9"/>
  <c r="D122" i="9"/>
  <c r="O122" i="9"/>
  <c r="C123" i="9"/>
  <c r="D123" i="9"/>
  <c r="O123" i="9"/>
  <c r="C124" i="9"/>
  <c r="D124" i="9"/>
  <c r="O124" i="9"/>
  <c r="C125" i="9"/>
  <c r="D125" i="9"/>
  <c r="O125" i="9"/>
  <c r="C126" i="9"/>
  <c r="D126" i="9"/>
  <c r="O126" i="9"/>
  <c r="C127" i="9"/>
  <c r="D127" i="9"/>
  <c r="O127" i="9"/>
  <c r="C128" i="9"/>
  <c r="D128" i="9"/>
  <c r="O128" i="9"/>
  <c r="C129" i="9"/>
  <c r="D129" i="9"/>
  <c r="O129" i="9"/>
  <c r="C130" i="9"/>
  <c r="D130" i="9"/>
  <c r="O130" i="9"/>
  <c r="C131" i="9"/>
  <c r="D131" i="9"/>
  <c r="O131" i="9"/>
  <c r="C132" i="9"/>
  <c r="D132" i="9"/>
  <c r="O132" i="9"/>
  <c r="C133" i="9"/>
  <c r="D133" i="9"/>
  <c r="O133" i="9"/>
  <c r="C134" i="9"/>
  <c r="D134" i="9"/>
  <c r="O134" i="9"/>
  <c r="C135" i="9"/>
  <c r="D135" i="9"/>
  <c r="O135" i="9"/>
  <c r="C136" i="9"/>
  <c r="D136" i="9"/>
  <c r="O136" i="9"/>
  <c r="C137" i="9"/>
  <c r="D137" i="9"/>
  <c r="O137" i="9"/>
  <c r="C138" i="9"/>
  <c r="D138" i="9"/>
  <c r="O138" i="9"/>
  <c r="C139" i="9"/>
  <c r="D139" i="9"/>
  <c r="O139" i="9"/>
  <c r="C140" i="9"/>
  <c r="D140" i="9"/>
  <c r="O140" i="9"/>
  <c r="C141" i="9"/>
  <c r="D141" i="9"/>
  <c r="O141" i="9"/>
  <c r="C142" i="9"/>
  <c r="D142" i="9"/>
  <c r="O142" i="9"/>
  <c r="C143" i="9"/>
  <c r="D143" i="9"/>
  <c r="O143" i="9"/>
  <c r="C144" i="9"/>
  <c r="D144" i="9"/>
  <c r="O144" i="9"/>
  <c r="C145" i="9"/>
  <c r="D145" i="9"/>
  <c r="O145" i="9"/>
  <c r="C146" i="9"/>
  <c r="D146" i="9"/>
  <c r="O146" i="9"/>
  <c r="C147" i="9"/>
  <c r="D147" i="9"/>
  <c r="O147" i="9"/>
  <c r="C148" i="9"/>
  <c r="D148" i="9"/>
  <c r="O148" i="9"/>
  <c r="C149" i="9"/>
  <c r="D149" i="9"/>
  <c r="O149" i="9"/>
  <c r="C150" i="9"/>
  <c r="D150" i="9"/>
  <c r="O150" i="9"/>
  <c r="C151" i="9"/>
  <c r="D151" i="9"/>
  <c r="O151" i="9"/>
  <c r="C152" i="9"/>
  <c r="D152" i="9"/>
  <c r="O152" i="9"/>
  <c r="C153" i="9"/>
  <c r="D153" i="9"/>
  <c r="O153" i="9"/>
  <c r="C154" i="9"/>
  <c r="D154" i="9"/>
  <c r="O154" i="9"/>
  <c r="C155" i="9"/>
  <c r="D155" i="9"/>
  <c r="O155" i="9"/>
  <c r="C156" i="9"/>
  <c r="D156" i="9"/>
  <c r="O156" i="9"/>
  <c r="C157" i="9"/>
  <c r="D157" i="9"/>
  <c r="O157" i="9"/>
  <c r="C158" i="9"/>
  <c r="D158" i="9"/>
  <c r="O158" i="9"/>
  <c r="C159" i="9"/>
  <c r="D159" i="9"/>
  <c r="O159" i="9"/>
  <c r="C160" i="9"/>
  <c r="D160" i="9"/>
  <c r="O160" i="9"/>
  <c r="C161" i="9"/>
  <c r="D161" i="9"/>
  <c r="O161" i="9"/>
  <c r="C162" i="9"/>
  <c r="D162" i="9"/>
  <c r="O162" i="9"/>
  <c r="C163" i="9"/>
  <c r="D163" i="9"/>
  <c r="O163" i="9"/>
  <c r="C164" i="9"/>
  <c r="D164" i="9"/>
  <c r="O164" i="9"/>
  <c r="C165" i="9"/>
  <c r="D165" i="9"/>
  <c r="O165" i="9"/>
  <c r="C166" i="9"/>
  <c r="D166" i="9"/>
  <c r="O166" i="9"/>
  <c r="C167" i="9"/>
  <c r="D167" i="9"/>
  <c r="O167" i="9"/>
  <c r="C168" i="9"/>
  <c r="D168" i="9"/>
  <c r="O168" i="9"/>
  <c r="C169" i="9"/>
  <c r="D169" i="9"/>
  <c r="O169" i="9"/>
  <c r="C170" i="9"/>
  <c r="D170" i="9"/>
  <c r="O170" i="9"/>
  <c r="C171" i="9"/>
  <c r="D171" i="9"/>
  <c r="O171" i="9"/>
  <c r="C172" i="9"/>
  <c r="D172" i="9"/>
  <c r="O172" i="9"/>
  <c r="C173" i="9"/>
  <c r="D173" i="9"/>
  <c r="O173" i="9"/>
  <c r="C174" i="9"/>
  <c r="D174" i="9"/>
  <c r="O174" i="9"/>
  <c r="C175" i="9"/>
  <c r="D175" i="9"/>
  <c r="O175" i="9"/>
  <c r="C176" i="9"/>
  <c r="D176" i="9"/>
  <c r="O176" i="9"/>
  <c r="C177" i="9"/>
  <c r="D177" i="9"/>
  <c r="O177" i="9"/>
  <c r="C178" i="9"/>
  <c r="D178" i="9"/>
  <c r="O178" i="9"/>
  <c r="C179" i="9"/>
  <c r="D179" i="9"/>
  <c r="O179" i="9"/>
  <c r="C180" i="9"/>
  <c r="D180" i="9"/>
  <c r="O180" i="9"/>
  <c r="C181" i="9"/>
  <c r="D181" i="9"/>
  <c r="O181" i="9"/>
  <c r="C182" i="9"/>
  <c r="D182" i="9"/>
  <c r="O182" i="9"/>
  <c r="C183" i="9"/>
  <c r="D183" i="9"/>
  <c r="O183" i="9"/>
  <c r="C184" i="9"/>
  <c r="D184" i="9"/>
  <c r="O184" i="9"/>
  <c r="C185" i="9"/>
  <c r="D185" i="9"/>
  <c r="O185" i="9"/>
  <c r="C186" i="9"/>
  <c r="D186" i="9"/>
  <c r="O186" i="9"/>
  <c r="C187" i="9"/>
  <c r="D187" i="9"/>
  <c r="O187" i="9"/>
  <c r="C188" i="9"/>
  <c r="D188" i="9"/>
  <c r="O188" i="9"/>
  <c r="C189" i="9"/>
  <c r="D189" i="9"/>
  <c r="O189" i="9"/>
  <c r="C190" i="9"/>
  <c r="D190" i="9"/>
  <c r="O190" i="9"/>
  <c r="C191" i="9"/>
  <c r="D191" i="9"/>
  <c r="O191" i="9"/>
  <c r="C192" i="9"/>
  <c r="D192" i="9"/>
  <c r="O192" i="9"/>
  <c r="C193" i="9"/>
  <c r="D193" i="9"/>
  <c r="O193" i="9"/>
  <c r="C194" i="9"/>
  <c r="D194" i="9"/>
  <c r="O194" i="9"/>
  <c r="C195" i="9"/>
  <c r="D195" i="9"/>
  <c r="O195" i="9"/>
  <c r="C196" i="9"/>
  <c r="D196" i="9"/>
  <c r="O196" i="9"/>
  <c r="C197" i="9"/>
  <c r="D197" i="9"/>
  <c r="O197" i="9"/>
  <c r="C198" i="9"/>
  <c r="D198" i="9"/>
  <c r="O198" i="9"/>
  <c r="C199" i="9"/>
  <c r="D199" i="9"/>
  <c r="O199" i="9"/>
  <c r="C200" i="9"/>
  <c r="D200" i="9"/>
  <c r="O200" i="9"/>
  <c r="C201" i="9"/>
  <c r="D201" i="9"/>
  <c r="O201" i="9"/>
  <c r="C202" i="9"/>
  <c r="D202" i="9"/>
  <c r="O202" i="9"/>
  <c r="C203" i="9"/>
  <c r="D203" i="9"/>
  <c r="O203" i="9"/>
  <c r="C204" i="9"/>
  <c r="D204" i="9"/>
  <c r="O204" i="9"/>
  <c r="C205" i="9"/>
  <c r="D205" i="9"/>
  <c r="O205" i="9"/>
  <c r="C206" i="9"/>
  <c r="D206" i="9"/>
  <c r="O206" i="9"/>
  <c r="C207" i="9"/>
  <c r="D207" i="9"/>
  <c r="O207" i="9"/>
  <c r="C208" i="9"/>
  <c r="D208" i="9"/>
  <c r="O208" i="9"/>
  <c r="C209" i="9"/>
  <c r="D209" i="9"/>
  <c r="O209" i="9"/>
  <c r="C210" i="9"/>
  <c r="D210" i="9"/>
  <c r="O210" i="9"/>
  <c r="C211" i="9"/>
  <c r="D211" i="9"/>
  <c r="O211" i="9"/>
  <c r="C212" i="9"/>
  <c r="D212" i="9"/>
  <c r="O212" i="9"/>
  <c r="C213" i="9"/>
  <c r="D213" i="9"/>
  <c r="O213" i="9"/>
  <c r="C214" i="9"/>
  <c r="D214" i="9"/>
  <c r="O214" i="9"/>
  <c r="C215" i="9"/>
  <c r="D215" i="9"/>
  <c r="O215" i="9"/>
  <c r="C216" i="9"/>
  <c r="D216" i="9"/>
  <c r="O216" i="9"/>
  <c r="C217" i="9"/>
  <c r="D217" i="9"/>
  <c r="O217" i="9"/>
  <c r="C218" i="9"/>
  <c r="D218" i="9"/>
  <c r="O218" i="9"/>
  <c r="C219" i="9"/>
  <c r="D219" i="9"/>
  <c r="O219" i="9"/>
  <c r="C220" i="9"/>
  <c r="D220" i="9"/>
  <c r="O220" i="9"/>
  <c r="C221" i="9"/>
  <c r="D221" i="9"/>
  <c r="O221" i="9"/>
  <c r="C222" i="9"/>
  <c r="D222" i="9"/>
  <c r="O222" i="9"/>
  <c r="C223" i="9"/>
  <c r="D223" i="9"/>
  <c r="O223" i="9"/>
  <c r="C224" i="9"/>
  <c r="D224" i="9"/>
  <c r="O224" i="9"/>
  <c r="C225" i="9"/>
  <c r="D225" i="9"/>
  <c r="O225" i="9"/>
  <c r="C226" i="9"/>
  <c r="D226" i="9"/>
  <c r="O226" i="9"/>
  <c r="C227" i="9"/>
  <c r="D227" i="9"/>
  <c r="O227" i="9"/>
  <c r="C228" i="9"/>
  <c r="D228" i="9"/>
  <c r="O228" i="9"/>
  <c r="C229" i="9"/>
  <c r="D229" i="9"/>
  <c r="O229" i="9"/>
  <c r="C230" i="9"/>
  <c r="D230" i="9"/>
  <c r="O230" i="9"/>
  <c r="C231" i="9"/>
  <c r="D231" i="9"/>
  <c r="O231" i="9"/>
  <c r="C232" i="9"/>
  <c r="D232" i="9"/>
  <c r="O232" i="9"/>
  <c r="C233" i="9"/>
  <c r="D233" i="9"/>
  <c r="O233" i="9"/>
  <c r="C234" i="9"/>
  <c r="D234" i="9"/>
  <c r="O234" i="9"/>
  <c r="C235" i="9"/>
  <c r="D235" i="9"/>
  <c r="O235" i="9"/>
  <c r="C236" i="9"/>
  <c r="D236" i="9"/>
  <c r="O236" i="9"/>
  <c r="C237" i="9"/>
  <c r="D237" i="9"/>
  <c r="O237" i="9"/>
  <c r="C238" i="9"/>
  <c r="D238" i="9"/>
  <c r="O238" i="9"/>
  <c r="C239" i="9"/>
  <c r="D239" i="9"/>
  <c r="O239" i="9"/>
  <c r="C240" i="9"/>
  <c r="D240" i="9"/>
  <c r="O240" i="9"/>
  <c r="C241" i="9"/>
  <c r="D241" i="9"/>
  <c r="O241" i="9"/>
  <c r="C242" i="9"/>
  <c r="D242" i="9"/>
  <c r="O242" i="9"/>
  <c r="C243" i="9"/>
  <c r="D243" i="9"/>
  <c r="O243" i="9"/>
  <c r="C244" i="9"/>
  <c r="D244" i="9"/>
  <c r="O244" i="9"/>
  <c r="C245" i="9"/>
  <c r="D245" i="9"/>
  <c r="O245" i="9"/>
  <c r="C246" i="9"/>
  <c r="D246" i="9"/>
  <c r="O246" i="9"/>
  <c r="C247" i="9"/>
  <c r="D247" i="9"/>
  <c r="O247" i="9"/>
  <c r="C248" i="9"/>
  <c r="D248" i="9"/>
  <c r="O248" i="9"/>
  <c r="C249" i="9"/>
  <c r="D249" i="9"/>
  <c r="O249" i="9"/>
  <c r="C250" i="9"/>
  <c r="D250" i="9"/>
  <c r="O250" i="9"/>
  <c r="C251" i="9"/>
  <c r="D251" i="9"/>
  <c r="O251" i="9"/>
  <c r="C252" i="9"/>
  <c r="D252" i="9"/>
  <c r="O252" i="9"/>
  <c r="C253" i="9"/>
  <c r="D253" i="9"/>
  <c r="O253" i="9"/>
  <c r="C254" i="9"/>
  <c r="D254" i="9"/>
  <c r="O254" i="9"/>
  <c r="C255" i="9"/>
  <c r="D255" i="9"/>
  <c r="O255" i="9"/>
  <c r="C256" i="9"/>
  <c r="D256" i="9"/>
  <c r="O256" i="9"/>
  <c r="C257" i="9"/>
  <c r="D257" i="9"/>
  <c r="O257" i="9"/>
  <c r="C258" i="9"/>
  <c r="D258" i="9"/>
  <c r="O258" i="9"/>
  <c r="C259" i="9"/>
  <c r="D259" i="9"/>
  <c r="O259" i="9"/>
  <c r="C260" i="9"/>
  <c r="D260" i="9"/>
  <c r="O260" i="9"/>
  <c r="C261" i="9"/>
  <c r="D261" i="9"/>
  <c r="O261" i="9"/>
  <c r="C262" i="9"/>
  <c r="D262" i="9"/>
  <c r="O262" i="9"/>
  <c r="C263" i="9"/>
  <c r="D263" i="9"/>
  <c r="O263" i="9"/>
  <c r="C264" i="9"/>
  <c r="D264" i="9"/>
  <c r="O264" i="9"/>
  <c r="C265" i="9"/>
  <c r="D265" i="9"/>
  <c r="O265" i="9"/>
  <c r="C266" i="9"/>
  <c r="D266" i="9"/>
  <c r="O266" i="9"/>
  <c r="C267" i="9"/>
  <c r="D267" i="9"/>
  <c r="O267" i="9"/>
  <c r="C268" i="9"/>
  <c r="D268" i="9"/>
  <c r="O268" i="9"/>
  <c r="C269" i="9"/>
  <c r="D269" i="9"/>
  <c r="O269" i="9"/>
  <c r="C270" i="9"/>
  <c r="D270" i="9"/>
  <c r="O270" i="9"/>
  <c r="C271" i="9"/>
  <c r="D271" i="9"/>
  <c r="O271" i="9"/>
  <c r="C272" i="9"/>
  <c r="D272" i="9"/>
  <c r="O272" i="9"/>
  <c r="C273" i="9"/>
  <c r="D273" i="9"/>
  <c r="O273" i="9"/>
  <c r="C274" i="9"/>
  <c r="D274" i="9"/>
  <c r="O274" i="9"/>
  <c r="C275" i="9"/>
  <c r="D275" i="9"/>
  <c r="O275" i="9"/>
  <c r="C276" i="9"/>
  <c r="D276" i="9"/>
  <c r="O276" i="9"/>
  <c r="C277" i="9"/>
  <c r="D277" i="9"/>
  <c r="O277" i="9"/>
  <c r="C278" i="9"/>
  <c r="D278" i="9"/>
  <c r="O278" i="9"/>
  <c r="C279" i="9"/>
  <c r="D279" i="9"/>
  <c r="O279" i="9"/>
  <c r="C280" i="9"/>
  <c r="D280" i="9"/>
  <c r="O280" i="9"/>
  <c r="C281" i="9"/>
  <c r="D281" i="9"/>
  <c r="O281" i="9"/>
  <c r="C282" i="9"/>
  <c r="D282" i="9"/>
  <c r="O282" i="9"/>
  <c r="C283" i="9"/>
  <c r="D283" i="9"/>
  <c r="O283" i="9"/>
  <c r="C284" i="9"/>
  <c r="D284" i="9"/>
  <c r="O284" i="9"/>
  <c r="C285" i="9"/>
  <c r="D285" i="9"/>
  <c r="O285" i="9"/>
  <c r="C286" i="9"/>
  <c r="D286" i="9"/>
  <c r="O286" i="9"/>
  <c r="C287" i="9"/>
  <c r="D287" i="9"/>
  <c r="O287" i="9"/>
  <c r="C288" i="9"/>
  <c r="D288" i="9"/>
  <c r="O288" i="9"/>
  <c r="C289" i="9"/>
  <c r="D289" i="9"/>
  <c r="O289" i="9"/>
  <c r="C290" i="9"/>
  <c r="D290" i="9"/>
  <c r="O290" i="9"/>
  <c r="C291" i="9"/>
  <c r="D291" i="9"/>
  <c r="O291" i="9"/>
  <c r="C292" i="9"/>
  <c r="D292" i="9"/>
  <c r="O292" i="9"/>
  <c r="C293" i="9"/>
  <c r="D293" i="9"/>
  <c r="O293" i="9"/>
  <c r="C294" i="9"/>
  <c r="D294" i="9"/>
  <c r="O294" i="9"/>
  <c r="C295" i="9"/>
  <c r="D295" i="9"/>
  <c r="O295" i="9"/>
  <c r="C296" i="9"/>
  <c r="D296" i="9"/>
  <c r="O296" i="9"/>
  <c r="C297" i="9"/>
  <c r="D297" i="9"/>
  <c r="O297" i="9"/>
  <c r="C298" i="9"/>
  <c r="D298" i="9"/>
  <c r="O298" i="9"/>
  <c r="C299" i="9"/>
  <c r="D299" i="9"/>
  <c r="O299" i="9"/>
  <c r="C300" i="9"/>
  <c r="D300" i="9"/>
  <c r="O300" i="9"/>
  <c r="C301" i="9"/>
  <c r="D301" i="9"/>
  <c r="O301" i="9"/>
  <c r="C302" i="9"/>
  <c r="D302" i="9"/>
  <c r="O302" i="9"/>
  <c r="C303" i="9"/>
  <c r="D303" i="9"/>
  <c r="O303" i="9"/>
  <c r="C304" i="9"/>
  <c r="D304" i="9"/>
  <c r="O304" i="9"/>
  <c r="C305" i="9"/>
  <c r="D305" i="9"/>
  <c r="O305" i="9"/>
  <c r="C306" i="9"/>
  <c r="D306" i="9"/>
  <c r="O306" i="9"/>
  <c r="C307" i="9"/>
  <c r="D307" i="9"/>
  <c r="O307" i="9"/>
  <c r="C308" i="9"/>
  <c r="D308" i="9"/>
  <c r="O308" i="9"/>
  <c r="C309" i="9"/>
  <c r="D309" i="9"/>
  <c r="O309" i="9"/>
  <c r="C310" i="9"/>
  <c r="D310" i="9"/>
  <c r="O310" i="9"/>
  <c r="C311" i="9"/>
  <c r="D311" i="9"/>
  <c r="O311" i="9"/>
  <c r="C312" i="9"/>
  <c r="D312" i="9"/>
  <c r="O312" i="9"/>
  <c r="C313" i="9"/>
  <c r="D313" i="9"/>
  <c r="O313" i="9"/>
  <c r="C314" i="9"/>
  <c r="D314" i="9"/>
  <c r="O314" i="9"/>
  <c r="C315" i="9"/>
  <c r="D315" i="9"/>
  <c r="O315" i="9"/>
  <c r="C316" i="9"/>
  <c r="D316" i="9"/>
  <c r="O316" i="9"/>
  <c r="C317" i="9"/>
  <c r="D317" i="9"/>
  <c r="O317" i="9"/>
  <c r="C318" i="9"/>
  <c r="D318" i="9"/>
  <c r="O318" i="9"/>
  <c r="C319" i="9"/>
  <c r="D319" i="9"/>
  <c r="O319" i="9"/>
  <c r="C320" i="9"/>
  <c r="D320" i="9"/>
  <c r="O320" i="9"/>
  <c r="C321" i="9"/>
  <c r="D321" i="9"/>
  <c r="O321" i="9"/>
  <c r="C322" i="9"/>
  <c r="D322" i="9"/>
  <c r="O322" i="9"/>
  <c r="C323" i="9"/>
  <c r="D323" i="9"/>
  <c r="O323" i="9"/>
  <c r="C324" i="9"/>
  <c r="D324" i="9"/>
  <c r="O324" i="9"/>
  <c r="C325" i="9"/>
  <c r="D325" i="9"/>
  <c r="O325" i="9"/>
  <c r="C326" i="9"/>
  <c r="D326" i="9"/>
  <c r="O326" i="9"/>
  <c r="C327" i="9"/>
  <c r="D327" i="9"/>
  <c r="O327" i="9"/>
  <c r="C328" i="9"/>
  <c r="D328" i="9"/>
  <c r="O328" i="9"/>
  <c r="C329" i="9"/>
  <c r="D329" i="9"/>
  <c r="O329" i="9"/>
  <c r="C330" i="9"/>
  <c r="D330" i="9"/>
  <c r="O330" i="9"/>
  <c r="C331" i="9"/>
  <c r="D331" i="9"/>
  <c r="O331" i="9"/>
  <c r="C332" i="9"/>
  <c r="D332" i="9"/>
  <c r="O332" i="9"/>
  <c r="C333" i="9"/>
  <c r="D333" i="9"/>
  <c r="O333" i="9"/>
  <c r="C334" i="9"/>
  <c r="D334" i="9"/>
  <c r="O334" i="9"/>
  <c r="C335" i="9"/>
  <c r="D335" i="9"/>
  <c r="O335" i="9"/>
  <c r="C336" i="9"/>
  <c r="D336" i="9"/>
  <c r="O336" i="9"/>
  <c r="C337" i="9"/>
  <c r="D337" i="9"/>
  <c r="O337" i="9"/>
  <c r="C338" i="9"/>
  <c r="D338" i="9"/>
  <c r="O338" i="9"/>
  <c r="C339" i="9"/>
  <c r="D339" i="9"/>
  <c r="O339" i="9"/>
  <c r="C340" i="9"/>
  <c r="D340" i="9"/>
  <c r="O340" i="9"/>
  <c r="C341" i="9"/>
  <c r="D341" i="9"/>
  <c r="O341" i="9"/>
  <c r="C342" i="9"/>
  <c r="D342" i="9"/>
  <c r="O342" i="9"/>
  <c r="C343" i="9"/>
  <c r="D343" i="9"/>
  <c r="O343" i="9"/>
  <c r="C344" i="9"/>
  <c r="D344" i="9"/>
  <c r="O344" i="9"/>
  <c r="C345" i="9"/>
  <c r="D345" i="9"/>
  <c r="O345" i="9"/>
  <c r="C346" i="9"/>
  <c r="D346" i="9"/>
  <c r="O346" i="9"/>
  <c r="C347" i="9"/>
  <c r="D347" i="9"/>
  <c r="O347" i="9"/>
  <c r="C348" i="9"/>
  <c r="D348" i="9"/>
  <c r="O348" i="9"/>
  <c r="C349" i="9"/>
  <c r="D349" i="9"/>
  <c r="O349" i="9"/>
  <c r="C350" i="9"/>
  <c r="D350" i="9"/>
  <c r="O350" i="9"/>
  <c r="C351" i="9"/>
  <c r="D351" i="9"/>
  <c r="O351" i="9"/>
  <c r="C352" i="9"/>
  <c r="D352" i="9"/>
  <c r="O352" i="9"/>
  <c r="C353" i="9"/>
  <c r="D353" i="9"/>
  <c r="O353" i="9"/>
  <c r="C354" i="9"/>
  <c r="D354" i="9"/>
  <c r="O354" i="9"/>
  <c r="C355" i="9"/>
  <c r="D355" i="9"/>
  <c r="O355" i="9"/>
  <c r="C356" i="9"/>
  <c r="D356" i="9"/>
  <c r="O356" i="9"/>
  <c r="C357" i="9"/>
  <c r="D357" i="9"/>
  <c r="O357" i="9"/>
  <c r="C358" i="9"/>
  <c r="D358" i="9"/>
  <c r="O358" i="9"/>
  <c r="C359" i="9"/>
  <c r="D359" i="9"/>
  <c r="O359" i="9"/>
  <c r="C360" i="9"/>
  <c r="D360" i="9"/>
  <c r="O360" i="9"/>
  <c r="C361" i="9"/>
  <c r="D361" i="9"/>
  <c r="O361" i="9"/>
  <c r="C362" i="9"/>
  <c r="D362" i="9"/>
  <c r="O362" i="9"/>
  <c r="C363" i="9"/>
  <c r="D363" i="9"/>
  <c r="O363" i="9"/>
  <c r="C364" i="9"/>
  <c r="D364" i="9"/>
  <c r="O364" i="9"/>
  <c r="C365" i="9"/>
  <c r="D365" i="9"/>
  <c r="O365" i="9"/>
  <c r="C366" i="9"/>
  <c r="D366" i="9"/>
  <c r="O366" i="9"/>
  <c r="C367" i="9"/>
  <c r="D367" i="9"/>
  <c r="O367" i="9"/>
  <c r="C368" i="9"/>
  <c r="D368" i="9"/>
  <c r="O368" i="9"/>
  <c r="C369" i="9"/>
  <c r="D369" i="9"/>
  <c r="O369" i="9"/>
  <c r="C370" i="9"/>
  <c r="D370" i="9"/>
  <c r="O370" i="9"/>
  <c r="C371" i="9"/>
  <c r="D371" i="9"/>
  <c r="O371" i="9"/>
  <c r="C372" i="9"/>
  <c r="D372" i="9"/>
  <c r="O372" i="9"/>
  <c r="C373" i="9"/>
  <c r="D373" i="9"/>
  <c r="O373" i="9"/>
  <c r="C374" i="9"/>
  <c r="D374" i="9"/>
  <c r="O374" i="9"/>
  <c r="C375" i="9"/>
  <c r="D375" i="9"/>
  <c r="O375" i="9"/>
  <c r="C376" i="9"/>
  <c r="D376" i="9"/>
  <c r="O376" i="9"/>
  <c r="C377" i="9"/>
  <c r="D377" i="9"/>
  <c r="O377" i="9"/>
  <c r="C378" i="9"/>
  <c r="D378" i="9"/>
  <c r="O378" i="9"/>
  <c r="C379" i="9"/>
  <c r="D379" i="9"/>
  <c r="O379" i="9"/>
  <c r="C380" i="9"/>
  <c r="D380" i="9"/>
  <c r="O380" i="9"/>
  <c r="C381" i="9"/>
  <c r="D381" i="9"/>
  <c r="O381" i="9"/>
  <c r="C382" i="9"/>
  <c r="D382" i="9"/>
  <c r="O382" i="9"/>
  <c r="C383" i="9"/>
  <c r="D383" i="9"/>
  <c r="O383" i="9"/>
  <c r="C384" i="9"/>
  <c r="D384" i="9"/>
  <c r="O384" i="9"/>
  <c r="C385" i="9"/>
  <c r="D385" i="9"/>
  <c r="O385" i="9"/>
  <c r="C386" i="9"/>
  <c r="D386" i="9"/>
  <c r="O386" i="9"/>
  <c r="C387" i="9"/>
  <c r="D387" i="9"/>
  <c r="O387" i="9"/>
  <c r="C388" i="9"/>
  <c r="D388" i="9"/>
  <c r="O388" i="9"/>
  <c r="C389" i="9"/>
  <c r="D389" i="9"/>
  <c r="O389" i="9"/>
  <c r="C390" i="9"/>
  <c r="D390" i="9"/>
  <c r="O390" i="9"/>
  <c r="C391" i="9"/>
  <c r="D391" i="9"/>
  <c r="O391" i="9"/>
  <c r="C392" i="9"/>
  <c r="D392" i="9"/>
  <c r="O392" i="9"/>
  <c r="C393" i="9"/>
  <c r="D393" i="9"/>
  <c r="O393" i="9"/>
  <c r="C394" i="9"/>
  <c r="D394" i="9"/>
  <c r="O394" i="9"/>
  <c r="C395" i="9"/>
  <c r="D395" i="9"/>
  <c r="O395" i="9"/>
  <c r="C396" i="9"/>
  <c r="D396" i="9"/>
  <c r="O396" i="9"/>
  <c r="C397" i="9"/>
  <c r="D397" i="9"/>
  <c r="O397" i="9"/>
  <c r="C398" i="9"/>
  <c r="D398" i="9"/>
  <c r="O398" i="9"/>
  <c r="C399" i="9"/>
  <c r="D399" i="9"/>
  <c r="O399" i="9"/>
  <c r="C400" i="9"/>
  <c r="D400" i="9"/>
  <c r="O400" i="9"/>
  <c r="C401" i="9"/>
  <c r="D401" i="9"/>
  <c r="O401" i="9"/>
  <c r="C402" i="9"/>
  <c r="D402" i="9"/>
  <c r="O402" i="9"/>
  <c r="C403" i="9"/>
  <c r="D403" i="9"/>
  <c r="O403" i="9"/>
  <c r="C404" i="9"/>
  <c r="D404" i="9"/>
  <c r="O404" i="9"/>
  <c r="C405" i="9"/>
  <c r="D405" i="9"/>
  <c r="O405" i="9"/>
  <c r="C406" i="9"/>
  <c r="D406" i="9"/>
  <c r="O406" i="9"/>
  <c r="C407" i="9"/>
  <c r="D407" i="9"/>
  <c r="O407" i="9"/>
  <c r="C408" i="9"/>
  <c r="D408" i="9"/>
  <c r="O408" i="9"/>
  <c r="C409" i="9"/>
  <c r="D409" i="9"/>
  <c r="O409" i="9"/>
  <c r="C410" i="9"/>
  <c r="D410" i="9"/>
  <c r="O410" i="9"/>
  <c r="C411" i="9"/>
  <c r="D411" i="9"/>
  <c r="O411" i="9"/>
  <c r="C412" i="9"/>
  <c r="D412" i="9"/>
  <c r="O412" i="9"/>
  <c r="C413" i="9"/>
  <c r="D413" i="9"/>
  <c r="O413" i="9"/>
  <c r="C414" i="9"/>
  <c r="D414" i="9"/>
  <c r="O414" i="9"/>
  <c r="C415" i="9"/>
  <c r="D415" i="9"/>
  <c r="O415" i="9"/>
  <c r="C416" i="9"/>
  <c r="D416" i="9"/>
  <c r="O416" i="9"/>
  <c r="C417" i="9"/>
  <c r="D417" i="9"/>
  <c r="O417" i="9"/>
  <c r="C418" i="9"/>
  <c r="D418" i="9"/>
  <c r="O418" i="9"/>
  <c r="C419" i="9"/>
  <c r="D419" i="9"/>
  <c r="O419" i="9"/>
  <c r="C420" i="9"/>
  <c r="D420" i="9"/>
  <c r="O420" i="9"/>
  <c r="C421" i="9"/>
  <c r="D421" i="9"/>
  <c r="O421" i="9"/>
  <c r="C422" i="9"/>
  <c r="D422" i="9"/>
  <c r="O422" i="9"/>
  <c r="C423" i="9"/>
  <c r="D423" i="9"/>
  <c r="O423" i="9"/>
  <c r="C424" i="9"/>
  <c r="D424" i="9"/>
  <c r="O424" i="9"/>
  <c r="C425" i="9"/>
  <c r="D425" i="9"/>
  <c r="O425" i="9"/>
  <c r="C426" i="9"/>
  <c r="D426" i="9"/>
  <c r="O426" i="9"/>
  <c r="C427" i="9"/>
  <c r="D427" i="9"/>
  <c r="O427" i="9"/>
  <c r="C428" i="9"/>
  <c r="D428" i="9"/>
  <c r="O428" i="9"/>
  <c r="C429" i="9"/>
  <c r="D429" i="9"/>
  <c r="O429" i="9"/>
  <c r="C430" i="9"/>
  <c r="D430" i="9"/>
  <c r="O430" i="9"/>
  <c r="C431" i="9"/>
  <c r="D431" i="9"/>
  <c r="O431" i="9"/>
  <c r="C432" i="9"/>
  <c r="D432" i="9"/>
  <c r="O432" i="9"/>
  <c r="C433" i="9"/>
  <c r="D433" i="9"/>
  <c r="O433" i="9"/>
  <c r="C434" i="9"/>
  <c r="D434" i="9"/>
  <c r="O434" i="9"/>
  <c r="C435" i="9"/>
  <c r="D435" i="9"/>
  <c r="O435" i="9"/>
  <c r="C436" i="9"/>
  <c r="D436" i="9"/>
  <c r="O436" i="9"/>
  <c r="C437" i="9"/>
  <c r="D437" i="9"/>
  <c r="O437" i="9"/>
  <c r="C438" i="9"/>
  <c r="D438" i="9"/>
  <c r="O438" i="9"/>
  <c r="C439" i="9"/>
  <c r="D439" i="9"/>
  <c r="O439" i="9"/>
  <c r="C440" i="9"/>
  <c r="D440" i="9"/>
  <c r="O440" i="9"/>
  <c r="C441" i="9"/>
  <c r="D441" i="9"/>
  <c r="O441" i="9"/>
  <c r="C442" i="9"/>
  <c r="D442" i="9"/>
  <c r="O442" i="9"/>
  <c r="C443" i="9"/>
  <c r="D443" i="9"/>
  <c r="O443" i="9"/>
  <c r="C444" i="9"/>
  <c r="D444" i="9"/>
  <c r="O444" i="9"/>
  <c r="C445" i="9"/>
  <c r="D445" i="9"/>
  <c r="O445" i="9"/>
  <c r="C446" i="9"/>
  <c r="D446" i="9"/>
  <c r="O446" i="9"/>
  <c r="C447" i="9"/>
  <c r="D447" i="9"/>
  <c r="O447" i="9"/>
  <c r="C448" i="9"/>
  <c r="D448" i="9"/>
  <c r="O448" i="9"/>
  <c r="C449" i="9"/>
  <c r="D449" i="9"/>
  <c r="O449" i="9"/>
  <c r="C450" i="9"/>
  <c r="D450" i="9"/>
  <c r="O450" i="9"/>
  <c r="C451" i="9"/>
  <c r="D451" i="9"/>
  <c r="O451" i="9"/>
  <c r="C452" i="9"/>
  <c r="D452" i="9"/>
  <c r="O452" i="9"/>
  <c r="C453" i="9"/>
  <c r="D453" i="9"/>
  <c r="O453" i="9"/>
  <c r="C454" i="9"/>
  <c r="D454" i="9"/>
  <c r="O454" i="9"/>
  <c r="C455" i="9"/>
  <c r="D455" i="9"/>
  <c r="O455" i="9"/>
  <c r="C456" i="9"/>
  <c r="D456" i="9"/>
  <c r="O456" i="9"/>
  <c r="C457" i="9"/>
  <c r="D457" i="9"/>
  <c r="O457" i="9"/>
  <c r="C458" i="9"/>
  <c r="D458" i="9"/>
  <c r="O458" i="9"/>
  <c r="C459" i="9"/>
  <c r="D459" i="9"/>
  <c r="O459" i="9"/>
  <c r="C460" i="9"/>
  <c r="D460" i="9"/>
  <c r="O460" i="9"/>
  <c r="C461" i="9"/>
  <c r="D461" i="9"/>
  <c r="O461" i="9"/>
  <c r="C462" i="9"/>
  <c r="D462" i="9"/>
  <c r="O462" i="9"/>
  <c r="C463" i="9"/>
  <c r="D463" i="9"/>
  <c r="O463" i="9"/>
  <c r="C464" i="9"/>
  <c r="D464" i="9"/>
  <c r="O464" i="9"/>
  <c r="C465" i="9"/>
  <c r="D465" i="9"/>
  <c r="O465" i="9"/>
  <c r="C466" i="9"/>
  <c r="D466" i="9"/>
  <c r="O466" i="9"/>
  <c r="C467" i="9"/>
  <c r="D467" i="9"/>
  <c r="O467" i="9"/>
  <c r="C468" i="9"/>
  <c r="D468" i="9"/>
  <c r="O468" i="9"/>
  <c r="C469" i="9"/>
  <c r="D469" i="9"/>
  <c r="O469" i="9"/>
  <c r="C470" i="9"/>
  <c r="D470" i="9"/>
  <c r="O470" i="9"/>
  <c r="C471" i="9"/>
  <c r="D471" i="9"/>
  <c r="O471" i="9"/>
  <c r="C472" i="9"/>
  <c r="D472" i="9"/>
  <c r="O472" i="9"/>
  <c r="C473" i="9"/>
  <c r="D473" i="9"/>
  <c r="O473" i="9"/>
  <c r="C474" i="9"/>
  <c r="D474" i="9"/>
  <c r="O474" i="9"/>
  <c r="C475" i="9"/>
  <c r="D475" i="9"/>
  <c r="O475" i="9"/>
  <c r="C476" i="9"/>
  <c r="D476" i="9"/>
  <c r="O476" i="9"/>
  <c r="C477" i="9"/>
  <c r="D477" i="9"/>
  <c r="O477" i="9"/>
  <c r="C478" i="9"/>
  <c r="D478" i="9"/>
  <c r="O478" i="9"/>
  <c r="C479" i="9"/>
  <c r="D479" i="9"/>
  <c r="O479" i="9"/>
  <c r="C480" i="9"/>
  <c r="D480" i="9"/>
  <c r="O480" i="9"/>
  <c r="C481" i="9"/>
  <c r="D481" i="9"/>
  <c r="O481" i="9"/>
  <c r="C482" i="9"/>
  <c r="D482" i="9"/>
  <c r="O482" i="9"/>
  <c r="C483" i="9"/>
  <c r="D483" i="9"/>
  <c r="O483" i="9"/>
  <c r="C484" i="9"/>
  <c r="D484" i="9"/>
  <c r="O484" i="9"/>
  <c r="C485" i="9"/>
  <c r="D485" i="9"/>
  <c r="O485" i="9"/>
  <c r="C486" i="9"/>
  <c r="D486" i="9"/>
  <c r="O486" i="9"/>
  <c r="C487" i="9"/>
  <c r="D487" i="9"/>
  <c r="O487" i="9"/>
  <c r="C488" i="9"/>
  <c r="D488" i="9"/>
  <c r="O488" i="9"/>
  <c r="C489" i="9"/>
  <c r="D489" i="9"/>
  <c r="O489" i="9"/>
  <c r="C490" i="9"/>
  <c r="D490" i="9"/>
  <c r="O490" i="9"/>
  <c r="C491" i="9"/>
  <c r="D491" i="9"/>
  <c r="O491" i="9"/>
  <c r="C492" i="9"/>
  <c r="D492" i="9"/>
  <c r="O492" i="9"/>
  <c r="C493" i="9"/>
  <c r="D493" i="9"/>
  <c r="O493" i="9"/>
  <c r="C494" i="9"/>
  <c r="D494" i="9"/>
  <c r="O494" i="9"/>
  <c r="C495" i="9"/>
  <c r="D495" i="9"/>
  <c r="O495" i="9"/>
  <c r="C496" i="9"/>
  <c r="D496" i="9"/>
  <c r="O496" i="9"/>
  <c r="C497" i="9"/>
  <c r="D497" i="9"/>
  <c r="O497" i="9"/>
  <c r="C498" i="9"/>
  <c r="D498" i="9"/>
  <c r="O498" i="9"/>
  <c r="C499" i="9"/>
  <c r="D499" i="9"/>
  <c r="O499" i="9"/>
  <c r="C500" i="9"/>
  <c r="D500" i="9"/>
  <c r="O500" i="9"/>
  <c r="C501" i="9"/>
  <c r="D501" i="9"/>
  <c r="O501" i="9"/>
  <c r="C502" i="9"/>
  <c r="D502" i="9"/>
  <c r="O502" i="9"/>
  <c r="C503" i="9"/>
  <c r="D503" i="9"/>
  <c r="O503" i="9"/>
  <c r="C504" i="9"/>
  <c r="D504" i="9"/>
  <c r="O504" i="9"/>
  <c r="C505" i="9"/>
  <c r="D505" i="9"/>
  <c r="O505" i="9"/>
  <c r="C506" i="9"/>
  <c r="D506" i="9"/>
  <c r="O506" i="9"/>
  <c r="C507" i="9"/>
  <c r="D507" i="9"/>
  <c r="O507" i="9"/>
  <c r="C508" i="9"/>
  <c r="D508" i="9"/>
  <c r="O508" i="9"/>
  <c r="C509" i="9"/>
  <c r="D509" i="9"/>
  <c r="O509" i="9"/>
  <c r="C510" i="9"/>
  <c r="D510" i="9"/>
  <c r="O510" i="9"/>
  <c r="C511" i="9"/>
  <c r="D511" i="9"/>
  <c r="O511" i="9"/>
  <c r="C512" i="9"/>
  <c r="D512" i="9"/>
  <c r="O512" i="9"/>
  <c r="C513" i="9"/>
  <c r="D513" i="9"/>
  <c r="O513" i="9"/>
  <c r="C514" i="9"/>
  <c r="D514" i="9"/>
  <c r="O514" i="9"/>
  <c r="C515" i="9"/>
  <c r="D515" i="9"/>
  <c r="O515" i="9"/>
  <c r="C516" i="9"/>
  <c r="D516" i="9"/>
  <c r="O516" i="9"/>
  <c r="C517" i="9"/>
  <c r="D517" i="9"/>
  <c r="O517" i="9"/>
  <c r="C518" i="9"/>
  <c r="D518" i="9"/>
  <c r="O518" i="9"/>
  <c r="C519" i="9"/>
  <c r="D519" i="9"/>
  <c r="O519" i="9"/>
  <c r="C520" i="9"/>
  <c r="D520" i="9"/>
  <c r="O520" i="9"/>
  <c r="C521" i="9"/>
  <c r="D521" i="9"/>
  <c r="O521" i="9"/>
  <c r="C522" i="9"/>
  <c r="D522" i="9"/>
  <c r="O522" i="9"/>
  <c r="C523" i="9"/>
  <c r="D523" i="9"/>
  <c r="O523" i="9"/>
  <c r="C524" i="9"/>
  <c r="D524" i="9"/>
  <c r="O524" i="9"/>
  <c r="C525" i="9"/>
  <c r="D525" i="9"/>
  <c r="O525" i="9"/>
  <c r="C526" i="9"/>
  <c r="D526" i="9"/>
  <c r="O526" i="9"/>
  <c r="C527" i="9"/>
  <c r="D527" i="9"/>
  <c r="O527" i="9"/>
  <c r="C528" i="9"/>
  <c r="D528" i="9"/>
  <c r="O528" i="9"/>
  <c r="C529" i="9"/>
  <c r="D529" i="9"/>
  <c r="O529" i="9"/>
  <c r="C530" i="9"/>
  <c r="D530" i="9"/>
  <c r="O530" i="9"/>
  <c r="C531" i="9"/>
  <c r="D531" i="9"/>
  <c r="O531" i="9"/>
  <c r="C532" i="9"/>
  <c r="D532" i="9"/>
  <c r="O532" i="9"/>
  <c r="C533" i="9"/>
  <c r="D533" i="9"/>
  <c r="O533" i="9"/>
  <c r="C534" i="9"/>
  <c r="D534" i="9"/>
  <c r="O534" i="9"/>
  <c r="C535" i="9"/>
  <c r="D535" i="9"/>
  <c r="O535" i="9"/>
  <c r="C536" i="9"/>
  <c r="D536" i="9"/>
  <c r="O536" i="9"/>
  <c r="C537" i="9"/>
  <c r="D537" i="9"/>
  <c r="O537" i="9"/>
  <c r="C538" i="9"/>
  <c r="D538" i="9"/>
  <c r="O538" i="9"/>
  <c r="C539" i="9"/>
  <c r="D539" i="9"/>
  <c r="O539" i="9"/>
  <c r="C540" i="9"/>
  <c r="D540" i="9"/>
  <c r="O540" i="9"/>
  <c r="C541" i="9"/>
  <c r="D541" i="9"/>
  <c r="O541" i="9"/>
  <c r="C542" i="9"/>
  <c r="D542" i="9"/>
  <c r="O542" i="9"/>
  <c r="C543" i="9"/>
  <c r="D543" i="9"/>
  <c r="O543" i="9"/>
  <c r="C544" i="9"/>
  <c r="D544" i="9"/>
  <c r="O544" i="9"/>
  <c r="C545" i="9"/>
  <c r="D545" i="9"/>
  <c r="O545" i="9"/>
  <c r="C546" i="9"/>
  <c r="D546" i="9"/>
  <c r="O546" i="9"/>
  <c r="C547" i="9"/>
  <c r="D547" i="9"/>
  <c r="O547" i="9"/>
  <c r="C548" i="9"/>
  <c r="D548" i="9"/>
  <c r="O548" i="9"/>
  <c r="C549" i="9"/>
  <c r="D549" i="9"/>
  <c r="O549" i="9"/>
  <c r="C550" i="9"/>
  <c r="D550" i="9"/>
  <c r="O550" i="9"/>
  <c r="C551" i="9"/>
  <c r="D551" i="9"/>
  <c r="O551" i="9"/>
  <c r="C552" i="9"/>
  <c r="D552" i="9"/>
  <c r="O552" i="9"/>
  <c r="C553" i="9"/>
  <c r="D553" i="9"/>
  <c r="O553" i="9"/>
  <c r="C554" i="9"/>
  <c r="D554" i="9"/>
  <c r="O554" i="9"/>
  <c r="C555" i="9"/>
  <c r="D555" i="9"/>
  <c r="O555" i="9"/>
  <c r="C556" i="9"/>
  <c r="D556" i="9"/>
  <c r="O556" i="9"/>
  <c r="C557" i="9"/>
  <c r="D557" i="9"/>
  <c r="O557" i="9"/>
  <c r="C558" i="9"/>
  <c r="D558" i="9"/>
  <c r="O558" i="9"/>
  <c r="C559" i="9"/>
  <c r="D559" i="9"/>
  <c r="O559" i="9"/>
  <c r="C560" i="9"/>
  <c r="D560" i="9"/>
  <c r="O560" i="9"/>
  <c r="C561" i="9"/>
  <c r="D561" i="9"/>
  <c r="O561" i="9"/>
  <c r="C562" i="9"/>
  <c r="D562" i="9"/>
  <c r="O562" i="9"/>
  <c r="C563" i="9"/>
  <c r="D563" i="9"/>
  <c r="O563" i="9"/>
  <c r="C564" i="9"/>
  <c r="D564" i="9"/>
  <c r="O564" i="9"/>
  <c r="C565" i="9"/>
  <c r="D565" i="9"/>
  <c r="O565" i="9"/>
  <c r="C566" i="9"/>
  <c r="D566" i="9"/>
  <c r="O566" i="9"/>
  <c r="C567" i="9"/>
  <c r="D567" i="9"/>
  <c r="O567" i="9"/>
  <c r="C568" i="9"/>
  <c r="D568" i="9"/>
  <c r="O568" i="9"/>
  <c r="C569" i="9"/>
  <c r="D569" i="9"/>
  <c r="O569" i="9"/>
  <c r="C570" i="9"/>
  <c r="D570" i="9"/>
  <c r="O570" i="9"/>
  <c r="C571" i="9"/>
  <c r="D571" i="9"/>
  <c r="O571" i="9"/>
  <c r="C572" i="9"/>
  <c r="D572" i="9"/>
  <c r="O572" i="9"/>
  <c r="C573" i="9"/>
  <c r="D573" i="9"/>
  <c r="O573" i="9"/>
  <c r="C574" i="9"/>
  <c r="D574" i="9"/>
  <c r="O574" i="9"/>
  <c r="C575" i="9"/>
  <c r="D575" i="9"/>
  <c r="O575" i="9"/>
  <c r="C576" i="9"/>
  <c r="D576" i="9"/>
  <c r="O576" i="9"/>
  <c r="C577" i="9"/>
  <c r="D577" i="9"/>
  <c r="O577" i="9"/>
  <c r="C578" i="9"/>
  <c r="D578" i="9"/>
  <c r="O578" i="9"/>
  <c r="C579" i="9"/>
  <c r="D579" i="9"/>
  <c r="O579" i="9"/>
  <c r="C580" i="9"/>
  <c r="D580" i="9"/>
  <c r="O580" i="9"/>
  <c r="C581" i="9"/>
  <c r="D581" i="9"/>
  <c r="O581" i="9"/>
  <c r="C582" i="9"/>
  <c r="D582" i="9"/>
  <c r="O582" i="9"/>
  <c r="C583" i="9"/>
  <c r="D583" i="9"/>
  <c r="O583" i="9"/>
  <c r="C584" i="9"/>
  <c r="D584" i="9"/>
  <c r="O584" i="9"/>
  <c r="C585" i="9"/>
  <c r="D585" i="9"/>
  <c r="O585" i="9"/>
  <c r="C586" i="9"/>
  <c r="D586" i="9"/>
  <c r="O586" i="9"/>
  <c r="C587" i="9"/>
  <c r="D587" i="9"/>
  <c r="O587" i="9"/>
  <c r="C588" i="9"/>
  <c r="D588" i="9"/>
  <c r="O588" i="9"/>
  <c r="C589" i="9"/>
  <c r="D589" i="9"/>
  <c r="O589" i="9"/>
  <c r="C590" i="9"/>
  <c r="D590" i="9"/>
  <c r="O590" i="9"/>
  <c r="C591" i="9"/>
  <c r="D591" i="9"/>
  <c r="O591" i="9"/>
  <c r="C592" i="9"/>
  <c r="D592" i="9"/>
  <c r="O592" i="9"/>
  <c r="C593" i="9"/>
  <c r="D593" i="9"/>
  <c r="O593" i="9"/>
  <c r="C594" i="9"/>
  <c r="D594" i="9"/>
  <c r="O594" i="9"/>
  <c r="C595" i="9"/>
  <c r="D595" i="9"/>
  <c r="O595" i="9"/>
  <c r="C596" i="9"/>
  <c r="D596" i="9"/>
  <c r="O596" i="9"/>
  <c r="C597" i="9"/>
  <c r="D597" i="9"/>
  <c r="O597" i="9"/>
  <c r="C598" i="9"/>
  <c r="D598" i="9"/>
  <c r="O598" i="9"/>
  <c r="C599" i="9"/>
  <c r="D599" i="9"/>
  <c r="O599" i="9"/>
  <c r="C600" i="9"/>
  <c r="D600" i="9"/>
  <c r="O600" i="9"/>
  <c r="C601" i="9"/>
  <c r="D601" i="9"/>
  <c r="O601" i="9"/>
  <c r="C602" i="9"/>
  <c r="D602" i="9"/>
  <c r="O602" i="9"/>
  <c r="C603" i="9"/>
  <c r="D603" i="9"/>
  <c r="O603" i="9"/>
  <c r="C604" i="9"/>
  <c r="D604" i="9"/>
  <c r="O604" i="9"/>
  <c r="C605" i="9"/>
  <c r="D605" i="9"/>
  <c r="O605" i="9"/>
  <c r="C606" i="9"/>
  <c r="D606" i="9"/>
  <c r="O606" i="9"/>
  <c r="C607" i="9"/>
  <c r="D607" i="9"/>
  <c r="O607" i="9"/>
  <c r="C608" i="9"/>
  <c r="D608" i="9"/>
  <c r="O608" i="9"/>
  <c r="C609" i="9"/>
  <c r="D609" i="9"/>
  <c r="O609" i="9"/>
  <c r="C610" i="9"/>
  <c r="D610" i="9"/>
  <c r="O610" i="9"/>
  <c r="C611" i="9"/>
  <c r="D611" i="9"/>
  <c r="O611" i="9"/>
  <c r="C612" i="9"/>
  <c r="D612" i="9"/>
  <c r="O612" i="9"/>
  <c r="C613" i="9"/>
  <c r="D613" i="9"/>
  <c r="O613" i="9"/>
  <c r="C614" i="9"/>
  <c r="D614" i="9"/>
  <c r="O614" i="9"/>
  <c r="C615" i="9"/>
  <c r="D615" i="9"/>
  <c r="O615" i="9"/>
  <c r="C616" i="9"/>
  <c r="D616" i="9"/>
  <c r="O616" i="9"/>
  <c r="C617" i="9"/>
  <c r="D617" i="9"/>
  <c r="O617" i="9"/>
  <c r="C618" i="9"/>
  <c r="D618" i="9"/>
  <c r="O618" i="9"/>
  <c r="C619" i="9"/>
  <c r="D619" i="9"/>
  <c r="O619" i="9"/>
  <c r="C620" i="9"/>
  <c r="D620" i="9"/>
  <c r="O620" i="9"/>
  <c r="C621" i="9"/>
  <c r="D621" i="9"/>
  <c r="O621" i="9"/>
  <c r="C622" i="9"/>
  <c r="D622" i="9"/>
  <c r="O622" i="9"/>
  <c r="C623" i="9"/>
  <c r="D623" i="9"/>
  <c r="O623" i="9"/>
  <c r="C624" i="9"/>
  <c r="D624" i="9"/>
  <c r="O624" i="9"/>
  <c r="C625" i="9"/>
  <c r="D625" i="9"/>
  <c r="O625" i="9"/>
  <c r="C626" i="9"/>
  <c r="D626" i="9"/>
  <c r="O626" i="9"/>
  <c r="C627" i="9"/>
  <c r="D627" i="9"/>
  <c r="O627" i="9"/>
  <c r="C628" i="9"/>
  <c r="D628" i="9"/>
  <c r="O628" i="9"/>
  <c r="C629" i="9"/>
  <c r="D629" i="9"/>
  <c r="O629" i="9"/>
  <c r="C630" i="9"/>
  <c r="D630" i="9"/>
  <c r="O630" i="9"/>
  <c r="C631" i="9"/>
  <c r="D631" i="9"/>
  <c r="O631" i="9"/>
  <c r="C632" i="9"/>
  <c r="D632" i="9"/>
  <c r="O632" i="9"/>
  <c r="C633" i="9"/>
  <c r="D633" i="9"/>
  <c r="O633" i="9"/>
  <c r="C634" i="9"/>
  <c r="D634" i="9"/>
  <c r="O634" i="9"/>
  <c r="C635" i="9"/>
  <c r="D635" i="9"/>
  <c r="O635" i="9"/>
  <c r="C636" i="9"/>
  <c r="D636" i="9"/>
  <c r="O636" i="9"/>
  <c r="C637" i="9"/>
  <c r="D637" i="9"/>
  <c r="O637" i="9"/>
  <c r="C638" i="9"/>
  <c r="D638" i="9"/>
  <c r="O638" i="9"/>
  <c r="C639" i="9"/>
  <c r="D639" i="9"/>
  <c r="O639" i="9"/>
  <c r="C640" i="9"/>
  <c r="D640" i="9"/>
  <c r="O640" i="9"/>
  <c r="C641" i="9"/>
  <c r="D641" i="9"/>
  <c r="O641" i="9"/>
  <c r="C642" i="9"/>
  <c r="D642" i="9"/>
  <c r="O642" i="9"/>
  <c r="C643" i="9"/>
  <c r="D643" i="9"/>
  <c r="O643" i="9"/>
  <c r="C644" i="9"/>
  <c r="D644" i="9"/>
  <c r="O644" i="9"/>
  <c r="C645" i="9"/>
  <c r="D645" i="9"/>
  <c r="O645" i="9"/>
  <c r="C646" i="9"/>
  <c r="D646" i="9"/>
  <c r="O646" i="9"/>
  <c r="C647" i="9"/>
  <c r="D647" i="9"/>
  <c r="O647" i="9"/>
  <c r="C648" i="9"/>
  <c r="D648" i="9"/>
  <c r="O648" i="9"/>
  <c r="C649" i="9"/>
  <c r="D649" i="9"/>
  <c r="O649" i="9"/>
  <c r="C650" i="9"/>
  <c r="D650" i="9"/>
  <c r="O650" i="9"/>
  <c r="C651" i="9"/>
  <c r="D651" i="9"/>
  <c r="O651" i="9"/>
  <c r="C652" i="9"/>
  <c r="D652" i="9"/>
  <c r="O652" i="9"/>
  <c r="C653" i="9"/>
  <c r="D653" i="9"/>
  <c r="O653" i="9"/>
  <c r="C654" i="9"/>
  <c r="D654" i="9"/>
  <c r="O654" i="9"/>
  <c r="C655" i="9"/>
  <c r="D655" i="9"/>
  <c r="O655" i="9"/>
  <c r="C656" i="9"/>
  <c r="D656" i="9"/>
  <c r="O656" i="9"/>
  <c r="C657" i="9"/>
  <c r="D657" i="9"/>
  <c r="O657" i="9"/>
  <c r="C658" i="9"/>
  <c r="D658" i="9"/>
  <c r="O658" i="9"/>
  <c r="C659" i="9"/>
  <c r="D659" i="9"/>
  <c r="O659" i="9"/>
  <c r="C660" i="9"/>
  <c r="D660" i="9"/>
  <c r="O660" i="9"/>
  <c r="C661" i="9"/>
  <c r="D661" i="9"/>
  <c r="O661" i="9"/>
  <c r="C662" i="9"/>
  <c r="D662" i="9"/>
  <c r="O662" i="9"/>
  <c r="C663" i="9"/>
  <c r="D663" i="9"/>
  <c r="O663" i="9"/>
  <c r="C664" i="9"/>
  <c r="D664" i="9"/>
  <c r="O664" i="9"/>
  <c r="C665" i="9"/>
  <c r="D665" i="9"/>
  <c r="O665" i="9"/>
  <c r="C666" i="9"/>
  <c r="D666" i="9"/>
  <c r="O666" i="9"/>
  <c r="C667" i="9"/>
  <c r="D667" i="9"/>
  <c r="O667" i="9"/>
  <c r="C668" i="9"/>
  <c r="D668" i="9"/>
  <c r="O668" i="9"/>
  <c r="C669" i="9"/>
  <c r="D669" i="9"/>
  <c r="O669" i="9"/>
  <c r="C670" i="9"/>
  <c r="D670" i="9"/>
  <c r="O670" i="9"/>
  <c r="C671" i="9"/>
  <c r="D671" i="9"/>
  <c r="O671" i="9"/>
  <c r="C672" i="9"/>
  <c r="D672" i="9"/>
  <c r="O672" i="9"/>
  <c r="C673" i="9"/>
  <c r="D673" i="9"/>
  <c r="O673" i="9"/>
  <c r="C674" i="9"/>
  <c r="D674" i="9"/>
  <c r="O674" i="9"/>
  <c r="C675" i="9"/>
  <c r="D675" i="9"/>
  <c r="O675" i="9"/>
  <c r="C676" i="9"/>
  <c r="D676" i="9"/>
  <c r="O676" i="9"/>
  <c r="C677" i="9"/>
  <c r="D677" i="9"/>
  <c r="O677" i="9"/>
  <c r="C678" i="9"/>
  <c r="D678" i="9"/>
  <c r="O678" i="9"/>
  <c r="C679" i="9"/>
  <c r="D679" i="9"/>
  <c r="O679" i="9"/>
  <c r="C680" i="9"/>
  <c r="D680" i="9"/>
  <c r="O680" i="9"/>
  <c r="C681" i="9"/>
  <c r="D681" i="9"/>
  <c r="O681" i="9"/>
  <c r="C682" i="9"/>
  <c r="D682" i="9"/>
  <c r="O682" i="9"/>
  <c r="C683" i="9"/>
  <c r="D683" i="9"/>
  <c r="O683" i="9"/>
  <c r="C684" i="9"/>
  <c r="D684" i="9"/>
  <c r="O684" i="9"/>
  <c r="C685" i="9"/>
  <c r="D685" i="9"/>
  <c r="O685" i="9"/>
  <c r="C686" i="9"/>
  <c r="D686" i="9"/>
  <c r="O686" i="9"/>
  <c r="C687" i="9"/>
  <c r="D687" i="9"/>
  <c r="O687" i="9"/>
  <c r="C688" i="9"/>
  <c r="D688" i="9"/>
  <c r="O688" i="9"/>
  <c r="C689" i="9"/>
  <c r="D689" i="9"/>
  <c r="O689" i="9"/>
  <c r="C690" i="9"/>
  <c r="D690" i="9"/>
  <c r="O690" i="9"/>
  <c r="C691" i="9"/>
  <c r="D691" i="9"/>
  <c r="O691" i="9"/>
  <c r="C692" i="9"/>
  <c r="D692" i="9"/>
  <c r="O692" i="9"/>
  <c r="C693" i="9"/>
  <c r="D693" i="9"/>
  <c r="O693" i="9"/>
  <c r="C694" i="9"/>
  <c r="D694" i="9"/>
  <c r="O694" i="9"/>
  <c r="C695" i="9"/>
  <c r="D695" i="9"/>
  <c r="O695" i="9"/>
  <c r="C696" i="9"/>
  <c r="D696" i="9"/>
  <c r="O696" i="9"/>
  <c r="C697" i="9"/>
  <c r="D697" i="9"/>
  <c r="O697" i="9"/>
  <c r="C698" i="9"/>
  <c r="D698" i="9"/>
  <c r="O698" i="9"/>
  <c r="C699" i="9"/>
  <c r="D699" i="9"/>
  <c r="O699" i="9"/>
  <c r="C700" i="9"/>
  <c r="D700" i="9"/>
  <c r="O700" i="9"/>
  <c r="C701" i="9"/>
  <c r="D701" i="9"/>
  <c r="O701" i="9"/>
  <c r="C702" i="9"/>
  <c r="D702" i="9"/>
  <c r="O702" i="9"/>
  <c r="C703" i="9"/>
  <c r="D703" i="9"/>
  <c r="O703" i="9"/>
  <c r="C704" i="9"/>
  <c r="D704" i="9"/>
  <c r="O704" i="9"/>
  <c r="C705" i="9"/>
  <c r="D705" i="9"/>
  <c r="O705" i="9"/>
  <c r="C706" i="9"/>
  <c r="D706" i="9"/>
  <c r="O706" i="9"/>
  <c r="C707" i="9"/>
  <c r="D707" i="9"/>
  <c r="O707" i="9"/>
  <c r="C708" i="9"/>
  <c r="D708" i="9"/>
  <c r="O708" i="9"/>
  <c r="C709" i="9"/>
  <c r="D709" i="9"/>
  <c r="O709" i="9"/>
  <c r="C710" i="9"/>
  <c r="D710" i="9"/>
  <c r="O710" i="9"/>
  <c r="C711" i="9"/>
  <c r="D711" i="9"/>
  <c r="O711" i="9"/>
  <c r="C712" i="9"/>
  <c r="D712" i="9"/>
  <c r="O712" i="9"/>
  <c r="C713" i="9"/>
  <c r="D713" i="9"/>
  <c r="O713" i="9"/>
  <c r="C714" i="9"/>
  <c r="D714" i="9"/>
  <c r="O714" i="9"/>
  <c r="C715" i="9"/>
  <c r="D715" i="9"/>
  <c r="O715" i="9"/>
  <c r="C716" i="9"/>
  <c r="D716" i="9"/>
  <c r="O716" i="9"/>
  <c r="C717" i="9"/>
  <c r="D717" i="9"/>
  <c r="O717" i="9"/>
  <c r="C718" i="9"/>
  <c r="D718" i="9"/>
  <c r="O718" i="9"/>
  <c r="C719" i="9"/>
  <c r="D719" i="9"/>
  <c r="O719" i="9"/>
  <c r="C720" i="9"/>
  <c r="D720" i="9"/>
  <c r="O720" i="9"/>
  <c r="C721" i="9"/>
  <c r="D721" i="9"/>
  <c r="O721" i="9"/>
  <c r="C722" i="9"/>
  <c r="D722" i="9"/>
  <c r="O722" i="9"/>
  <c r="C723" i="9"/>
  <c r="D723" i="9"/>
  <c r="O723" i="9"/>
  <c r="C724" i="9"/>
  <c r="D724" i="9"/>
  <c r="O724" i="9"/>
  <c r="C725" i="9"/>
  <c r="D725" i="9"/>
  <c r="O725" i="9"/>
  <c r="C726" i="9"/>
  <c r="D726" i="9"/>
  <c r="O726" i="9"/>
  <c r="C727" i="9"/>
  <c r="D727" i="9"/>
  <c r="O727" i="9"/>
  <c r="C728" i="9"/>
  <c r="D728" i="9"/>
  <c r="O728" i="9"/>
  <c r="C729" i="9"/>
  <c r="D729" i="9"/>
  <c r="O729" i="9"/>
  <c r="C730" i="9"/>
  <c r="D730" i="9"/>
  <c r="O730" i="9"/>
  <c r="C731" i="9"/>
  <c r="D731" i="9"/>
  <c r="O731" i="9"/>
  <c r="C732" i="9"/>
  <c r="D732" i="9"/>
  <c r="O732" i="9"/>
  <c r="C733" i="9"/>
  <c r="D733" i="9"/>
  <c r="O733" i="9"/>
  <c r="C734" i="9"/>
  <c r="D734" i="9"/>
  <c r="O734" i="9"/>
  <c r="C735" i="9"/>
  <c r="D735" i="9"/>
  <c r="O735" i="9"/>
  <c r="C736" i="9"/>
  <c r="D736" i="9"/>
  <c r="O736" i="9"/>
  <c r="C737" i="9"/>
  <c r="D737" i="9"/>
  <c r="O737" i="9"/>
  <c r="C738" i="9"/>
  <c r="D738" i="9"/>
  <c r="O738" i="9"/>
  <c r="C739" i="9"/>
  <c r="D739" i="9"/>
  <c r="O739" i="9"/>
  <c r="C740" i="9"/>
  <c r="D740" i="9"/>
  <c r="O740" i="9"/>
  <c r="C741" i="9"/>
  <c r="D741" i="9"/>
  <c r="O741" i="9"/>
  <c r="C742" i="9"/>
  <c r="D742" i="9"/>
  <c r="O742" i="9"/>
  <c r="C743" i="9"/>
  <c r="D743" i="9"/>
  <c r="O743" i="9"/>
  <c r="C744" i="9"/>
  <c r="D744" i="9"/>
  <c r="O744" i="9"/>
  <c r="C745" i="9"/>
  <c r="D745" i="9"/>
  <c r="O745" i="9"/>
  <c r="C746" i="9"/>
  <c r="D746" i="9"/>
  <c r="O746" i="9"/>
  <c r="C747" i="9"/>
  <c r="D747" i="9"/>
  <c r="O747" i="9"/>
  <c r="C748" i="9"/>
  <c r="D748" i="9"/>
  <c r="O748" i="9"/>
  <c r="C749" i="9"/>
  <c r="D749" i="9"/>
  <c r="O749" i="9"/>
  <c r="C750" i="9"/>
  <c r="D750" i="9"/>
  <c r="O750" i="9"/>
  <c r="C751" i="9"/>
  <c r="D751" i="9"/>
  <c r="O751" i="9"/>
  <c r="C752" i="9"/>
  <c r="D752" i="9"/>
  <c r="O752" i="9"/>
  <c r="C753" i="9"/>
  <c r="D753" i="9"/>
  <c r="O753" i="9"/>
  <c r="C754" i="9"/>
  <c r="D754" i="9"/>
  <c r="O754" i="9"/>
  <c r="C755" i="9"/>
  <c r="D755" i="9"/>
  <c r="O755" i="9"/>
  <c r="C756" i="9"/>
  <c r="D756" i="9"/>
  <c r="O756" i="9"/>
  <c r="C757" i="9"/>
  <c r="D757" i="9"/>
  <c r="O757" i="9"/>
  <c r="W15" i="1"/>
  <c r="X15" i="1"/>
  <c r="Y15" i="1"/>
  <c r="Z15" i="1"/>
  <c r="AA15" i="1"/>
  <c r="AB15" i="1"/>
  <c r="AC15" i="1"/>
  <c r="P4" i="9"/>
  <c r="F4" i="9"/>
  <c r="W17" i="1"/>
  <c r="X17" i="1"/>
  <c r="AA17" i="1"/>
  <c r="AB17" i="1"/>
  <c r="W18" i="1"/>
  <c r="X18" i="1"/>
  <c r="Y18" i="1"/>
  <c r="Z18" i="1"/>
  <c r="AA18" i="1"/>
  <c r="AB18" i="1"/>
  <c r="AC18" i="1"/>
  <c r="P6" i="9"/>
  <c r="F6" i="9"/>
  <c r="W19" i="1"/>
  <c r="X19" i="1"/>
  <c r="Y19" i="1"/>
  <c r="Z19" i="1"/>
  <c r="AA19" i="1"/>
  <c r="AB19" i="1"/>
  <c r="AC19" i="1"/>
  <c r="P7" i="9"/>
  <c r="F7" i="9"/>
  <c r="W21" i="1"/>
  <c r="X21" i="1"/>
  <c r="Y21" i="1"/>
  <c r="Z21" i="1"/>
  <c r="AA21" i="1"/>
  <c r="AB21" i="1"/>
  <c r="AC21" i="1"/>
  <c r="P8" i="9"/>
  <c r="F8" i="9"/>
  <c r="W22" i="1"/>
  <c r="X22" i="1"/>
  <c r="Y22" i="1"/>
  <c r="Z22" i="1"/>
  <c r="AA22" i="1"/>
  <c r="AB22" i="1"/>
  <c r="AC22" i="1"/>
  <c r="P9" i="9"/>
  <c r="F9" i="9"/>
  <c r="W24" i="1"/>
  <c r="X24" i="1"/>
  <c r="Y24" i="1"/>
  <c r="Z24" i="1"/>
  <c r="AA24" i="1"/>
  <c r="AB24" i="1"/>
  <c r="AC24" i="1"/>
  <c r="P10" i="9"/>
  <c r="F10" i="9"/>
  <c r="W26" i="1"/>
  <c r="X26" i="1"/>
  <c r="Y26" i="1"/>
  <c r="Z26" i="1"/>
  <c r="AA26" i="1"/>
  <c r="AB26" i="1"/>
  <c r="AC26" i="1"/>
  <c r="P11" i="9"/>
  <c r="F11" i="9"/>
  <c r="W28" i="1"/>
  <c r="X28" i="1"/>
  <c r="Y28" i="1"/>
  <c r="Z28" i="1"/>
  <c r="AA28" i="1"/>
  <c r="AB28" i="1"/>
  <c r="AC28" i="1"/>
  <c r="P12" i="9"/>
  <c r="F12" i="9"/>
  <c r="W30" i="1"/>
  <c r="X30" i="1"/>
  <c r="Y30" i="1"/>
  <c r="Z30" i="1"/>
  <c r="AA30" i="1"/>
  <c r="AB30" i="1"/>
  <c r="AC30" i="1"/>
  <c r="P13" i="9"/>
  <c r="F13" i="9"/>
  <c r="W13" i="2"/>
  <c r="X13" i="2"/>
  <c r="Y13" i="2"/>
  <c r="Z13" i="2"/>
  <c r="AA13" i="2"/>
  <c r="AB13" i="2"/>
  <c r="AC13" i="2"/>
  <c r="P14" i="9"/>
  <c r="F14" i="9"/>
  <c r="W14" i="2"/>
  <c r="X14" i="2"/>
  <c r="Y14" i="2"/>
  <c r="Z14" i="2"/>
  <c r="AA14" i="2"/>
  <c r="AB14" i="2"/>
  <c r="AC14" i="2"/>
  <c r="P15" i="9"/>
  <c r="F15" i="9"/>
  <c r="W16" i="2"/>
  <c r="X16" i="2"/>
  <c r="Y16" i="2"/>
  <c r="Z16" i="2"/>
  <c r="AA16" i="2"/>
  <c r="AB16" i="2"/>
  <c r="AC16" i="2"/>
  <c r="P16" i="9"/>
  <c r="F16" i="9"/>
  <c r="W17" i="2"/>
  <c r="X17" i="2"/>
  <c r="Y17" i="2"/>
  <c r="Z17" i="2"/>
  <c r="AA17" i="2"/>
  <c r="AB17" i="2"/>
  <c r="AC17" i="2"/>
  <c r="P17" i="9"/>
  <c r="F17" i="9"/>
  <c r="W19" i="2"/>
  <c r="X19" i="2"/>
  <c r="Y19" i="2"/>
  <c r="Z19" i="2"/>
  <c r="AA19" i="2"/>
  <c r="AB19" i="2"/>
  <c r="AC19" i="2"/>
  <c r="P18" i="9"/>
  <c r="F18" i="9"/>
  <c r="W20" i="2"/>
  <c r="X20" i="2"/>
  <c r="Y20" i="2"/>
  <c r="Z20" i="2"/>
  <c r="AA20" i="2"/>
  <c r="AB20" i="2"/>
  <c r="AC20" i="2"/>
  <c r="P19" i="9"/>
  <c r="F19" i="9"/>
  <c r="W22" i="2"/>
  <c r="X22" i="2"/>
  <c r="Y22" i="2"/>
  <c r="Z22" i="2"/>
  <c r="AA22" i="2"/>
  <c r="AB22" i="2"/>
  <c r="AC22" i="2"/>
  <c r="P20" i="9"/>
  <c r="F20" i="9"/>
  <c r="W23" i="2"/>
  <c r="X23" i="2"/>
  <c r="Y23" i="2"/>
  <c r="Z23" i="2"/>
  <c r="AA23" i="2"/>
  <c r="AB23" i="2"/>
  <c r="AC23" i="2"/>
  <c r="P21" i="9"/>
  <c r="F21" i="9"/>
  <c r="W25" i="2"/>
  <c r="X25" i="2"/>
  <c r="Y25" i="2"/>
  <c r="Z25" i="2"/>
  <c r="AA25" i="2"/>
  <c r="AB25" i="2"/>
  <c r="AC25" i="2"/>
  <c r="P22" i="9"/>
  <c r="F22" i="9"/>
  <c r="W27" i="2"/>
  <c r="X27" i="2"/>
  <c r="Y27" i="2"/>
  <c r="Z27" i="2"/>
  <c r="AA27" i="2"/>
  <c r="AB27" i="2"/>
  <c r="AC27" i="2"/>
  <c r="P23" i="9"/>
  <c r="F23" i="9"/>
  <c r="W29" i="2"/>
  <c r="X29" i="2"/>
  <c r="Y29" i="2"/>
  <c r="Z29" i="2"/>
  <c r="AA29" i="2"/>
  <c r="AB29" i="2"/>
  <c r="AC29" i="2"/>
  <c r="P24" i="9"/>
  <c r="F24" i="9"/>
  <c r="W12" i="3"/>
  <c r="X12" i="3"/>
  <c r="Y12" i="3"/>
  <c r="Z12" i="3"/>
  <c r="AA12" i="3"/>
  <c r="AB12" i="3"/>
  <c r="AC12" i="3"/>
  <c r="P25" i="9"/>
  <c r="F25" i="9"/>
  <c r="W13" i="3"/>
  <c r="X13" i="3"/>
  <c r="Y13" i="3"/>
  <c r="Z13" i="3"/>
  <c r="AA13" i="3"/>
  <c r="AB13" i="3"/>
  <c r="AC13" i="3"/>
  <c r="P26" i="9"/>
  <c r="F26" i="9"/>
  <c r="W14" i="3"/>
  <c r="X14" i="3"/>
  <c r="Y14" i="3"/>
  <c r="Z14" i="3"/>
  <c r="AA14" i="3"/>
  <c r="AB14" i="3"/>
  <c r="AC14" i="3"/>
  <c r="P27" i="9"/>
  <c r="F27" i="9"/>
  <c r="W16" i="3"/>
  <c r="X16" i="3"/>
  <c r="Y16" i="3"/>
  <c r="Z16" i="3"/>
  <c r="AA16" i="3"/>
  <c r="AB16" i="3"/>
  <c r="AC16" i="3"/>
  <c r="P28" i="9"/>
  <c r="F28" i="9"/>
  <c r="W17" i="3"/>
  <c r="X17" i="3"/>
  <c r="Y17" i="3"/>
  <c r="Z17" i="3"/>
  <c r="AA17" i="3"/>
  <c r="AB17" i="3"/>
  <c r="AC17" i="3"/>
  <c r="P29" i="9"/>
  <c r="F29" i="9"/>
  <c r="W18" i="3"/>
  <c r="X18" i="3"/>
  <c r="Y18" i="3"/>
  <c r="Z18" i="3"/>
  <c r="AA18" i="3"/>
  <c r="AB18" i="3"/>
  <c r="AC18" i="3"/>
  <c r="P30" i="9"/>
  <c r="F30" i="9"/>
  <c r="W19" i="3"/>
  <c r="X19" i="3"/>
  <c r="Y19" i="3"/>
  <c r="Z19" i="3"/>
  <c r="AA19" i="3"/>
  <c r="AB19" i="3"/>
  <c r="AC19" i="3"/>
  <c r="P31" i="9"/>
  <c r="F31" i="9"/>
  <c r="W21" i="3"/>
  <c r="X21" i="3"/>
  <c r="Y21" i="3"/>
  <c r="Z21" i="3"/>
  <c r="AA21" i="3"/>
  <c r="AB21" i="3"/>
  <c r="AC21" i="3"/>
  <c r="P32" i="9"/>
  <c r="F32" i="9"/>
  <c r="W22" i="3"/>
  <c r="X22" i="3"/>
  <c r="Y22" i="3"/>
  <c r="Z22" i="3"/>
  <c r="AA22" i="3"/>
  <c r="AB22" i="3"/>
  <c r="AC22" i="3"/>
  <c r="P33" i="9"/>
  <c r="F33" i="9"/>
  <c r="W24" i="3"/>
  <c r="X24" i="3"/>
  <c r="Y24" i="3"/>
  <c r="Z24" i="3"/>
  <c r="AA24" i="3"/>
  <c r="AB24" i="3"/>
  <c r="AC24" i="3"/>
  <c r="P34" i="9"/>
  <c r="F34" i="9"/>
  <c r="W25" i="3"/>
  <c r="X25" i="3"/>
  <c r="Y25" i="3"/>
  <c r="Z25" i="3"/>
  <c r="AA25" i="3"/>
  <c r="AB25" i="3"/>
  <c r="AC25" i="3"/>
  <c r="P35" i="9"/>
  <c r="F35" i="9"/>
  <c r="W27" i="3"/>
  <c r="X27" i="3"/>
  <c r="Y27" i="3"/>
  <c r="Z27" i="3"/>
  <c r="AA27" i="3"/>
  <c r="AB27" i="3"/>
  <c r="AC27" i="3"/>
  <c r="P36" i="9"/>
  <c r="F36" i="9"/>
  <c r="W28" i="3"/>
  <c r="X28" i="3"/>
  <c r="AC28" i="3"/>
  <c r="P37" i="9"/>
  <c r="Y28" i="3"/>
  <c r="Z28" i="3"/>
  <c r="AA28" i="3"/>
  <c r="AB28" i="3"/>
  <c r="W29" i="3"/>
  <c r="X29" i="3"/>
  <c r="Y29" i="3"/>
  <c r="Z29" i="3"/>
  <c r="U29" i="3"/>
  <c r="AA29" i="3"/>
  <c r="AB29" i="3"/>
  <c r="AC29" i="3"/>
  <c r="P38" i="9"/>
  <c r="W30" i="3"/>
  <c r="X30" i="3"/>
  <c r="Y30" i="3"/>
  <c r="Z30" i="3"/>
  <c r="AA30" i="3"/>
  <c r="AB30" i="3"/>
  <c r="AC30" i="3"/>
  <c r="P39" i="9"/>
  <c r="F39" i="9"/>
  <c r="W12" i="4"/>
  <c r="X12" i="4"/>
  <c r="Y12" i="4"/>
  <c r="Z12" i="4"/>
  <c r="AA12" i="4"/>
  <c r="AB12" i="4"/>
  <c r="AC12" i="4"/>
  <c r="P40" i="9"/>
  <c r="F40" i="9"/>
  <c r="W13" i="4"/>
  <c r="X13" i="4"/>
  <c r="Y13" i="4"/>
  <c r="Z13" i="4"/>
  <c r="AA13" i="4"/>
  <c r="AB13" i="4"/>
  <c r="AC13" i="4"/>
  <c r="P41" i="9"/>
  <c r="F41" i="9"/>
  <c r="W15" i="4"/>
  <c r="X15" i="4"/>
  <c r="Y15" i="4"/>
  <c r="Z15" i="4"/>
  <c r="AA15" i="4"/>
  <c r="AB15" i="4"/>
  <c r="AC15" i="4"/>
  <c r="P42" i="9"/>
  <c r="F42" i="9"/>
  <c r="W16" i="4"/>
  <c r="X16" i="4"/>
  <c r="Y16" i="4"/>
  <c r="Z16" i="4"/>
  <c r="AA16" i="4"/>
  <c r="AB16" i="4"/>
  <c r="AC16" i="4"/>
  <c r="P43" i="9"/>
  <c r="F43" i="9"/>
  <c r="W17" i="4"/>
  <c r="X17" i="4"/>
  <c r="Y17" i="4"/>
  <c r="Z17" i="4"/>
  <c r="AA17" i="4"/>
  <c r="AB17" i="4"/>
  <c r="AC17" i="4"/>
  <c r="P44" i="9"/>
  <c r="F44" i="9"/>
  <c r="W20" i="4"/>
  <c r="X20" i="4"/>
  <c r="G3" i="8"/>
  <c r="G4" i="8"/>
  <c r="G5" i="8"/>
  <c r="G6" i="8"/>
  <c r="G7" i="8"/>
  <c r="G8" i="8"/>
  <c r="G9" i="8"/>
  <c r="G10" i="8"/>
  <c r="G11" i="8"/>
  <c r="G12" i="8"/>
  <c r="G13" i="8"/>
  <c r="G14" i="8"/>
  <c r="G15" i="8"/>
  <c r="G16" i="8"/>
  <c r="G17" i="8"/>
  <c r="G18" i="8"/>
  <c r="G19" i="8"/>
  <c r="G20" i="8"/>
  <c r="G21" i="8"/>
  <c r="G22" i="8"/>
  <c r="G23" i="8"/>
  <c r="G24" i="8"/>
  <c r="G25" i="8"/>
  <c r="G26" i="8"/>
  <c r="G27" i="8"/>
  <c r="G28" i="8"/>
  <c r="G29" i="8"/>
  <c r="G30" i="8"/>
  <c r="G31" i="8"/>
  <c r="G32" i="8"/>
  <c r="G33" i="8"/>
  <c r="G34" i="8"/>
  <c r="G35" i="8"/>
  <c r="G36" i="8"/>
  <c r="G37" i="8"/>
  <c r="G38" i="8"/>
  <c r="G39" i="8"/>
  <c r="G40" i="8"/>
  <c r="G41" i="8"/>
  <c r="G42" i="8"/>
  <c r="G43" i="8"/>
  <c r="G44" i="8"/>
  <c r="G45" i="8"/>
  <c r="G46" i="8"/>
  <c r="G47" i="8"/>
  <c r="G48" i="8"/>
  <c r="G49" i="8"/>
  <c r="G50" i="8"/>
  <c r="G51" i="8"/>
  <c r="G52" i="8"/>
  <c r="G53" i="8"/>
  <c r="G54" i="8"/>
  <c r="G55" i="8"/>
  <c r="G56" i="8"/>
  <c r="G57" i="8"/>
  <c r="G58" i="8"/>
  <c r="G59" i="8"/>
  <c r="G60" i="8"/>
  <c r="G61" i="8"/>
  <c r="G62" i="8"/>
  <c r="G63" i="8"/>
  <c r="G64" i="8"/>
  <c r="G65" i="8"/>
  <c r="G66" i="8"/>
  <c r="G67" i="8"/>
  <c r="G68" i="8"/>
  <c r="G69" i="8"/>
  <c r="G70" i="8"/>
  <c r="G71" i="8"/>
  <c r="G72" i="8"/>
  <c r="G73" i="8"/>
  <c r="G74" i="8"/>
  <c r="G75" i="8"/>
  <c r="C20" i="4"/>
  <c r="Y20" i="4"/>
  <c r="Z20" i="4"/>
  <c r="W22" i="4"/>
  <c r="X22" i="4"/>
  <c r="Y22" i="4"/>
  <c r="Z22" i="4"/>
  <c r="AA22" i="4"/>
  <c r="AB22" i="4"/>
  <c r="AC22" i="4"/>
  <c r="P46" i="9"/>
  <c r="F46" i="9"/>
  <c r="C24" i="4"/>
  <c r="W24" i="4"/>
  <c r="X24" i="4"/>
  <c r="W26" i="4"/>
  <c r="X26" i="4"/>
  <c r="Y26" i="4"/>
  <c r="Z26" i="4"/>
  <c r="AA26" i="4"/>
  <c r="AB26" i="4"/>
  <c r="AC26" i="4"/>
  <c r="P48" i="9"/>
  <c r="F48" i="9"/>
  <c r="W27" i="4"/>
  <c r="X27" i="4"/>
  <c r="Y27" i="4"/>
  <c r="Z27" i="4"/>
  <c r="AA27" i="4"/>
  <c r="AB27" i="4"/>
  <c r="AC27" i="4"/>
  <c r="P49" i="9"/>
  <c r="F49" i="9"/>
  <c r="W29" i="4"/>
  <c r="X29" i="4"/>
  <c r="Y29" i="4"/>
  <c r="Z29" i="4"/>
  <c r="AA29" i="4"/>
  <c r="AB29" i="4"/>
  <c r="AC29" i="4"/>
  <c r="P50" i="9"/>
  <c r="F50" i="9"/>
  <c r="W31" i="4"/>
  <c r="X31" i="4"/>
  <c r="Y31" i="4"/>
  <c r="Z31" i="4"/>
  <c r="AA31" i="4"/>
  <c r="AB31" i="4"/>
  <c r="AC31" i="4"/>
  <c r="P51" i="9"/>
  <c r="F51" i="9"/>
  <c r="C33" i="4"/>
  <c r="W33" i="4"/>
  <c r="X33" i="4"/>
  <c r="W13" i="5"/>
  <c r="X13" i="5"/>
  <c r="Y13" i="5"/>
  <c r="Z13" i="5"/>
  <c r="AA13" i="5"/>
  <c r="AB13" i="5"/>
  <c r="AC13" i="5"/>
  <c r="P53" i="9"/>
  <c r="F53" i="9"/>
  <c r="W15" i="5"/>
  <c r="X15" i="5"/>
  <c r="Y15" i="5"/>
  <c r="Z15" i="5"/>
  <c r="AA15" i="5"/>
  <c r="AB15" i="5"/>
  <c r="AC15" i="5"/>
  <c r="P54" i="9"/>
  <c r="F54" i="9"/>
  <c r="W16" i="5"/>
  <c r="X16" i="5"/>
  <c r="Y16" i="5"/>
  <c r="Z16" i="5"/>
  <c r="AA16" i="5"/>
  <c r="AB16" i="5"/>
  <c r="AC16" i="5"/>
  <c r="P55" i="9"/>
  <c r="F55" i="9"/>
  <c r="W17" i="5"/>
  <c r="X17" i="5"/>
  <c r="Y17" i="5"/>
  <c r="Z17" i="5"/>
  <c r="AA17" i="5"/>
  <c r="AB17" i="5"/>
  <c r="AC17" i="5"/>
  <c r="P56" i="9"/>
  <c r="F56" i="9"/>
  <c r="W19" i="5"/>
  <c r="X19" i="5"/>
  <c r="Y19" i="5"/>
  <c r="Z19" i="5"/>
  <c r="AA19" i="5"/>
  <c r="AB19" i="5"/>
  <c r="AC19" i="5"/>
  <c r="P57" i="9"/>
  <c r="F57" i="9"/>
  <c r="W20" i="5"/>
  <c r="X20" i="5"/>
  <c r="Y20" i="5"/>
  <c r="Z20" i="5"/>
  <c r="AA20" i="5"/>
  <c r="AB20" i="5"/>
  <c r="AC20" i="5"/>
  <c r="P58" i="9"/>
  <c r="F58" i="9"/>
  <c r="W22" i="5"/>
  <c r="X22" i="5"/>
  <c r="Y22" i="5"/>
  <c r="Z22" i="5"/>
  <c r="AA22" i="5"/>
  <c r="AB22" i="5"/>
  <c r="AC22" i="5"/>
  <c r="P59" i="9"/>
  <c r="F59" i="9"/>
  <c r="W23" i="5"/>
  <c r="X23" i="5"/>
  <c r="Y23" i="5"/>
  <c r="Z23" i="5"/>
  <c r="AA23" i="5"/>
  <c r="AB23" i="5"/>
  <c r="AC23" i="5"/>
  <c r="P60" i="9"/>
  <c r="F60" i="9"/>
  <c r="W25" i="5"/>
  <c r="X25" i="5"/>
  <c r="Y25" i="5"/>
  <c r="Z25" i="5"/>
  <c r="AA25" i="5"/>
  <c r="AB25" i="5"/>
  <c r="AC25" i="5"/>
  <c r="P61" i="9"/>
  <c r="F61" i="9"/>
  <c r="W27" i="5"/>
  <c r="X27" i="5"/>
  <c r="Y27" i="5"/>
  <c r="Z27" i="5"/>
  <c r="AA27" i="5"/>
  <c r="AB27" i="5"/>
  <c r="AC27" i="5"/>
  <c r="P62" i="9"/>
  <c r="F62" i="9"/>
  <c r="W28" i="5"/>
  <c r="X28" i="5"/>
  <c r="Y28" i="5"/>
  <c r="Z28" i="5"/>
  <c r="AA28" i="5"/>
  <c r="AB28" i="5"/>
  <c r="AC28" i="5"/>
  <c r="P63" i="9"/>
  <c r="F63" i="9"/>
  <c r="W30" i="5"/>
  <c r="X30" i="5"/>
  <c r="Y30" i="5"/>
  <c r="Z30" i="5"/>
  <c r="AA30" i="5"/>
  <c r="AB30" i="5"/>
  <c r="AC30" i="5"/>
  <c r="P64" i="9"/>
  <c r="F64" i="9"/>
  <c r="W32" i="5"/>
  <c r="X32" i="5"/>
  <c r="Y32" i="5"/>
  <c r="Z32" i="5"/>
  <c r="AA32" i="5"/>
  <c r="AB32" i="5"/>
  <c r="AC32" i="5"/>
  <c r="P65" i="9"/>
  <c r="F65" i="9"/>
  <c r="W35" i="1"/>
  <c r="X35" i="1"/>
  <c r="Y35" i="1"/>
  <c r="Z35" i="1"/>
  <c r="AA35" i="1"/>
  <c r="AB35" i="1"/>
  <c r="W37" i="1"/>
  <c r="X37" i="1"/>
  <c r="Y37" i="1"/>
  <c r="Z37" i="1"/>
  <c r="AA37" i="1"/>
  <c r="AB37" i="1"/>
  <c r="W39" i="1"/>
  <c r="X39" i="1"/>
  <c r="Y39" i="1"/>
  <c r="Z39" i="1"/>
  <c r="AA39" i="1"/>
  <c r="AB39" i="1"/>
  <c r="U39" i="1"/>
  <c r="W40" i="1"/>
  <c r="X40" i="1"/>
  <c r="Y40" i="1"/>
  <c r="Z40" i="1"/>
  <c r="AA40" i="1"/>
  <c r="AB40" i="1"/>
  <c r="W41" i="1"/>
  <c r="X41" i="1"/>
  <c r="Y41" i="1"/>
  <c r="Z41" i="1"/>
  <c r="AA41" i="1"/>
  <c r="AB41" i="1"/>
  <c r="W43" i="1"/>
  <c r="X43" i="1"/>
  <c r="Y43" i="1"/>
  <c r="Z43" i="1"/>
  <c r="AA43" i="1"/>
  <c r="AB43" i="1"/>
  <c r="W44" i="1"/>
  <c r="X44" i="1"/>
  <c r="Y44" i="1"/>
  <c r="Z44" i="1"/>
  <c r="AA44" i="1"/>
  <c r="AB44" i="1"/>
  <c r="W46" i="1"/>
  <c r="X46" i="1"/>
  <c r="Y46" i="1"/>
  <c r="Z46" i="1"/>
  <c r="AA46" i="1"/>
  <c r="AB46" i="1"/>
  <c r="W48" i="1"/>
  <c r="X48" i="1"/>
  <c r="Y48" i="1"/>
  <c r="Z48" i="1"/>
  <c r="AA48" i="1"/>
  <c r="AB48" i="1"/>
  <c r="W50" i="1"/>
  <c r="X50" i="1"/>
  <c r="Y50" i="1"/>
  <c r="Z50" i="1"/>
  <c r="AA50" i="1"/>
  <c r="AB50" i="1"/>
  <c r="W52" i="1"/>
  <c r="X52" i="1"/>
  <c r="Y52" i="1"/>
  <c r="Z52" i="1"/>
  <c r="AA52" i="1"/>
  <c r="AB52" i="1"/>
  <c r="W34" i="2"/>
  <c r="X34" i="2"/>
  <c r="Y34" i="2"/>
  <c r="Z34" i="2"/>
  <c r="AA34" i="2"/>
  <c r="AB34" i="2"/>
  <c r="W35" i="2"/>
  <c r="X35" i="2"/>
  <c r="Y35" i="2"/>
  <c r="Z35" i="2"/>
  <c r="AA35" i="2"/>
  <c r="AB35" i="2"/>
  <c r="W37" i="2"/>
  <c r="X37" i="2"/>
  <c r="Y37" i="2"/>
  <c r="Z37" i="2"/>
  <c r="AA37" i="2"/>
  <c r="AB37" i="2"/>
  <c r="W38" i="2"/>
  <c r="X38" i="2"/>
  <c r="Y38" i="2"/>
  <c r="Z38" i="2"/>
  <c r="AA38" i="2"/>
  <c r="AB38" i="2"/>
  <c r="W40" i="2"/>
  <c r="X40" i="2"/>
  <c r="Y40" i="2"/>
  <c r="Z40" i="2"/>
  <c r="AA40" i="2"/>
  <c r="AB40" i="2"/>
  <c r="W41" i="2"/>
  <c r="X41" i="2"/>
  <c r="Y41" i="2"/>
  <c r="Z41" i="2"/>
  <c r="AA41" i="2"/>
  <c r="AB41" i="2"/>
  <c r="W43" i="2"/>
  <c r="X43" i="2"/>
  <c r="Y43" i="2"/>
  <c r="Z43" i="2"/>
  <c r="AA43" i="2"/>
  <c r="AB43" i="2"/>
  <c r="W44" i="2"/>
  <c r="X44" i="2"/>
  <c r="Y44" i="2"/>
  <c r="Z44" i="2"/>
  <c r="AA44" i="2"/>
  <c r="AB44" i="2"/>
  <c r="W46" i="2"/>
  <c r="X46" i="2"/>
  <c r="Y46" i="2"/>
  <c r="Z46" i="2"/>
  <c r="AA46" i="2"/>
  <c r="AB46" i="2"/>
  <c r="W48" i="2"/>
  <c r="X48" i="2"/>
  <c r="Y48" i="2"/>
  <c r="Z48" i="2"/>
  <c r="AA48" i="2"/>
  <c r="AB48" i="2"/>
  <c r="W50" i="2"/>
  <c r="X50" i="2"/>
  <c r="Y50" i="2"/>
  <c r="Z50" i="2"/>
  <c r="AA50" i="2"/>
  <c r="AB50" i="2"/>
  <c r="W34" i="3"/>
  <c r="X34" i="3"/>
  <c r="Y34" i="3"/>
  <c r="Z34" i="3"/>
  <c r="AA34" i="3"/>
  <c r="AB34" i="3"/>
  <c r="W35" i="3"/>
  <c r="X35" i="3"/>
  <c r="Y35" i="3"/>
  <c r="Z35" i="3"/>
  <c r="AA35" i="3"/>
  <c r="AB35" i="3"/>
  <c r="W36" i="3"/>
  <c r="X36" i="3"/>
  <c r="Y36" i="3"/>
  <c r="Z36" i="3"/>
  <c r="AA36" i="3"/>
  <c r="AB36" i="3"/>
  <c r="W38" i="3"/>
  <c r="X38" i="3"/>
  <c r="Y38" i="3"/>
  <c r="Z38" i="3"/>
  <c r="AA38" i="3"/>
  <c r="AB38" i="3"/>
  <c r="W39" i="3"/>
  <c r="X39" i="3"/>
  <c r="Y39" i="3"/>
  <c r="Z39" i="3"/>
  <c r="AA39" i="3"/>
  <c r="AB39" i="3"/>
  <c r="W40" i="3"/>
  <c r="X40" i="3"/>
  <c r="Y40" i="3"/>
  <c r="Z40" i="3"/>
  <c r="AA40" i="3"/>
  <c r="AB40" i="3"/>
  <c r="W41" i="3"/>
  <c r="X41" i="3"/>
  <c r="Y41" i="3"/>
  <c r="Z41" i="3"/>
  <c r="AA41" i="3"/>
  <c r="AB41" i="3"/>
  <c r="W43" i="3"/>
  <c r="X43" i="3"/>
  <c r="Y43" i="3"/>
  <c r="Z43" i="3"/>
  <c r="AA43" i="3"/>
  <c r="AB43" i="3"/>
  <c r="W44" i="3"/>
  <c r="X44" i="3"/>
  <c r="Y44" i="3"/>
  <c r="Z44" i="3"/>
  <c r="AA44" i="3"/>
  <c r="AB44" i="3"/>
  <c r="W46" i="3"/>
  <c r="X46" i="3"/>
  <c r="Y46" i="3"/>
  <c r="Z46" i="3"/>
  <c r="AA46" i="3"/>
  <c r="AB46" i="3"/>
  <c r="W47" i="3"/>
  <c r="X47" i="3"/>
  <c r="Y47" i="3"/>
  <c r="Z47" i="3"/>
  <c r="AA47" i="3"/>
  <c r="AB47" i="3"/>
  <c r="W49" i="3"/>
  <c r="X49" i="3"/>
  <c r="Y49" i="3"/>
  <c r="Z49" i="3"/>
  <c r="AA49" i="3"/>
  <c r="AB49" i="3"/>
  <c r="W50" i="3"/>
  <c r="X50" i="3"/>
  <c r="Y50" i="3"/>
  <c r="Z50" i="3"/>
  <c r="AA50" i="3"/>
  <c r="AB50" i="3"/>
  <c r="W51" i="3"/>
  <c r="X51" i="3"/>
  <c r="Y51" i="3"/>
  <c r="Z51" i="3"/>
  <c r="AA51" i="3"/>
  <c r="AB51" i="3"/>
  <c r="W52" i="3"/>
  <c r="X52" i="3"/>
  <c r="Y52" i="3"/>
  <c r="Z52" i="3"/>
  <c r="AA52" i="3"/>
  <c r="AB52" i="3"/>
  <c r="W37" i="4"/>
  <c r="X37" i="4"/>
  <c r="Y37" i="4"/>
  <c r="Z37" i="4"/>
  <c r="AA37" i="4"/>
  <c r="AB37" i="4"/>
  <c r="W38" i="4"/>
  <c r="X38" i="4"/>
  <c r="Y38" i="4"/>
  <c r="Z38" i="4"/>
  <c r="AA38" i="4"/>
  <c r="AB38" i="4"/>
  <c r="W40" i="4"/>
  <c r="X40" i="4"/>
  <c r="Y40" i="4"/>
  <c r="Z40" i="4"/>
  <c r="AA40" i="4"/>
  <c r="AB40" i="4"/>
  <c r="W41" i="4"/>
  <c r="X41" i="4"/>
  <c r="Y41" i="4"/>
  <c r="Z41" i="4"/>
  <c r="AA41" i="4"/>
  <c r="AB41" i="4"/>
  <c r="W42" i="4"/>
  <c r="X42" i="4"/>
  <c r="Y42" i="4"/>
  <c r="Z42" i="4"/>
  <c r="AA42" i="4"/>
  <c r="AB42" i="4"/>
  <c r="W45" i="4"/>
  <c r="X45" i="4"/>
  <c r="Y45" i="4"/>
  <c r="Z45" i="4"/>
  <c r="AA45" i="4"/>
  <c r="AB45" i="4"/>
  <c r="W47" i="4"/>
  <c r="X47" i="4"/>
  <c r="Y47" i="4"/>
  <c r="Z47" i="4"/>
  <c r="AA47" i="4"/>
  <c r="AB47" i="4"/>
  <c r="W49" i="4"/>
  <c r="X49" i="4"/>
  <c r="Y49" i="4"/>
  <c r="Z49" i="4"/>
  <c r="AA49" i="4"/>
  <c r="AB49" i="4"/>
  <c r="W51" i="4"/>
  <c r="X51" i="4"/>
  <c r="Y51" i="4"/>
  <c r="Z51" i="4"/>
  <c r="AA51" i="4"/>
  <c r="AB51" i="4"/>
  <c r="W52" i="4"/>
  <c r="X52" i="4"/>
  <c r="Y52" i="4"/>
  <c r="Z52" i="4"/>
  <c r="AA52" i="4"/>
  <c r="AB52" i="4"/>
  <c r="W54" i="4"/>
  <c r="X54" i="4"/>
  <c r="Y54" i="4"/>
  <c r="Z54" i="4"/>
  <c r="AA54" i="4"/>
  <c r="AB54" i="4"/>
  <c r="W56" i="4"/>
  <c r="X56" i="4"/>
  <c r="Y56" i="4"/>
  <c r="Z56" i="4"/>
  <c r="AA56" i="4"/>
  <c r="AB56" i="4"/>
  <c r="W58" i="4"/>
  <c r="X58" i="4"/>
  <c r="Y58" i="4"/>
  <c r="Z58" i="4"/>
  <c r="AA58" i="4"/>
  <c r="AB58" i="4"/>
  <c r="W37" i="5"/>
  <c r="X37" i="5"/>
  <c r="Y37" i="5"/>
  <c r="Z37" i="5"/>
  <c r="AA37" i="5"/>
  <c r="AB37" i="5"/>
  <c r="W39" i="5"/>
  <c r="X39" i="5"/>
  <c r="Y39" i="5"/>
  <c r="Z39" i="5"/>
  <c r="AA39" i="5"/>
  <c r="AB39" i="5"/>
  <c r="W40" i="5"/>
  <c r="X40" i="5"/>
  <c r="Y40" i="5"/>
  <c r="Z40" i="5"/>
  <c r="AA40" i="5"/>
  <c r="AB40" i="5"/>
  <c r="W41" i="5"/>
  <c r="X41" i="5"/>
  <c r="Y41" i="5"/>
  <c r="Z41" i="5"/>
  <c r="AA41" i="5"/>
  <c r="AB41" i="5"/>
  <c r="W43" i="5"/>
  <c r="X43" i="5"/>
  <c r="Y43" i="5"/>
  <c r="Z43" i="5"/>
  <c r="AA43" i="5"/>
  <c r="AB43" i="5"/>
  <c r="W44" i="5"/>
  <c r="X44" i="5"/>
  <c r="Y44" i="5"/>
  <c r="Z44" i="5"/>
  <c r="AA44" i="5"/>
  <c r="AB44" i="5"/>
  <c r="W46" i="5"/>
  <c r="X46" i="5"/>
  <c r="Y46" i="5"/>
  <c r="Z46" i="5"/>
  <c r="AA46" i="5"/>
  <c r="AB46" i="5"/>
  <c r="W47" i="5"/>
  <c r="X47" i="5"/>
  <c r="Y47" i="5"/>
  <c r="Z47" i="5"/>
  <c r="AA47" i="5"/>
  <c r="AB47" i="5"/>
  <c r="W49" i="5"/>
  <c r="X49" i="5"/>
  <c r="Y49" i="5"/>
  <c r="Z49" i="5"/>
  <c r="AA49" i="5"/>
  <c r="AB49" i="5"/>
  <c r="W51" i="5"/>
  <c r="X51" i="5"/>
  <c r="Y51" i="5"/>
  <c r="Z51" i="5"/>
  <c r="AA51" i="5"/>
  <c r="AB51" i="5"/>
  <c r="W52" i="5"/>
  <c r="X52" i="5"/>
  <c r="Y52" i="5"/>
  <c r="Z52" i="5"/>
  <c r="AA52" i="5"/>
  <c r="AB52" i="5"/>
  <c r="W54" i="5"/>
  <c r="X54" i="5"/>
  <c r="Y54" i="5"/>
  <c r="Z54" i="5"/>
  <c r="AA54" i="5"/>
  <c r="AB54" i="5"/>
  <c r="W56" i="5"/>
  <c r="X56" i="5"/>
  <c r="Y56" i="5"/>
  <c r="Z56" i="5"/>
  <c r="AA56" i="5"/>
  <c r="AB56" i="5"/>
  <c r="W57" i="1"/>
  <c r="X57" i="1"/>
  <c r="Y57" i="1"/>
  <c r="Z57" i="1"/>
  <c r="AA57" i="1"/>
  <c r="AB57" i="1"/>
  <c r="W59" i="1"/>
  <c r="X59" i="1"/>
  <c r="Y59" i="1"/>
  <c r="Z59" i="1"/>
  <c r="AA59" i="1"/>
  <c r="AB59" i="1"/>
  <c r="W61" i="1"/>
  <c r="X61" i="1"/>
  <c r="Y61" i="1"/>
  <c r="Z61" i="1"/>
  <c r="AA61" i="1"/>
  <c r="AB61" i="1"/>
  <c r="W62" i="1"/>
  <c r="X62" i="1"/>
  <c r="Y62" i="1"/>
  <c r="Z62" i="1"/>
  <c r="AA62" i="1"/>
  <c r="AB62" i="1"/>
  <c r="W63" i="1"/>
  <c r="X63" i="1"/>
  <c r="Y63" i="1"/>
  <c r="Z63" i="1"/>
  <c r="AA63" i="1"/>
  <c r="AB63" i="1"/>
  <c r="W65" i="1"/>
  <c r="X65" i="1"/>
  <c r="Y65" i="1"/>
  <c r="Z65" i="1"/>
  <c r="AA65" i="1"/>
  <c r="AB65" i="1"/>
  <c r="W66" i="1"/>
  <c r="X66" i="1"/>
  <c r="Y66" i="1"/>
  <c r="Z66" i="1"/>
  <c r="AA66" i="1"/>
  <c r="AB66" i="1"/>
  <c r="W68" i="1"/>
  <c r="X68" i="1"/>
  <c r="Y68" i="1"/>
  <c r="Z68" i="1"/>
  <c r="AA68" i="1"/>
  <c r="AB68" i="1"/>
  <c r="W70" i="1"/>
  <c r="X70" i="1"/>
  <c r="Y70" i="1"/>
  <c r="Z70" i="1"/>
  <c r="AA70" i="1"/>
  <c r="AB70" i="1"/>
  <c r="W72" i="1"/>
  <c r="X72" i="1"/>
  <c r="Y72" i="1"/>
  <c r="Z72" i="1"/>
  <c r="AA72" i="1"/>
  <c r="AB72" i="1"/>
  <c r="W74" i="1"/>
  <c r="X74" i="1"/>
  <c r="Y74" i="1"/>
  <c r="Z74" i="1"/>
  <c r="AA74" i="1"/>
  <c r="AB74" i="1"/>
  <c r="W55" i="2"/>
  <c r="X55" i="2"/>
  <c r="Y55" i="2"/>
  <c r="Z55" i="2"/>
  <c r="AA55" i="2"/>
  <c r="AB55" i="2"/>
  <c r="W56" i="2"/>
  <c r="X56" i="2"/>
  <c r="Y56" i="2"/>
  <c r="Z56" i="2"/>
  <c r="AA56" i="2"/>
  <c r="AB56" i="2"/>
  <c r="W58" i="2"/>
  <c r="X58" i="2"/>
  <c r="Y58" i="2"/>
  <c r="Z58" i="2"/>
  <c r="AA58" i="2"/>
  <c r="AB58" i="2"/>
  <c r="W59" i="2"/>
  <c r="X59" i="2"/>
  <c r="Y59" i="2"/>
  <c r="Z59" i="2"/>
  <c r="AA59" i="2"/>
  <c r="AB59" i="2"/>
  <c r="W61" i="2"/>
  <c r="X61" i="2"/>
  <c r="Y61" i="2"/>
  <c r="Z61" i="2"/>
  <c r="AA61" i="2"/>
  <c r="AB61" i="2"/>
  <c r="W62" i="2"/>
  <c r="X62" i="2"/>
  <c r="Y62" i="2"/>
  <c r="Z62" i="2"/>
  <c r="AA62" i="2"/>
  <c r="AB62" i="2"/>
  <c r="W64" i="2"/>
  <c r="X64" i="2"/>
  <c r="Y64" i="2"/>
  <c r="Z64" i="2"/>
  <c r="AA64" i="2"/>
  <c r="AB64" i="2"/>
  <c r="W65" i="2"/>
  <c r="X65" i="2"/>
  <c r="Y65" i="2"/>
  <c r="Z65" i="2"/>
  <c r="AA65" i="2"/>
  <c r="AB65" i="2"/>
  <c r="W67" i="2"/>
  <c r="X67" i="2"/>
  <c r="Y67" i="2"/>
  <c r="Z67" i="2"/>
  <c r="AA67" i="2"/>
  <c r="AB67" i="2"/>
  <c r="W69" i="2"/>
  <c r="X69" i="2"/>
  <c r="Y69" i="2"/>
  <c r="Z69" i="2"/>
  <c r="AA69" i="2"/>
  <c r="AB69" i="2"/>
  <c r="W71" i="2"/>
  <c r="X71" i="2"/>
  <c r="Y71" i="2"/>
  <c r="Z71" i="2"/>
  <c r="AA71" i="2"/>
  <c r="AB71" i="2"/>
  <c r="W56" i="3"/>
  <c r="X56" i="3"/>
  <c r="Y56" i="3"/>
  <c r="Z56" i="3"/>
  <c r="AA56" i="3"/>
  <c r="AB56" i="3"/>
  <c r="W57" i="3"/>
  <c r="X57" i="3"/>
  <c r="Y57" i="3"/>
  <c r="Z57" i="3"/>
  <c r="AA57" i="3"/>
  <c r="AB57" i="3"/>
  <c r="W58" i="3"/>
  <c r="X58" i="3"/>
  <c r="Y58" i="3"/>
  <c r="Z58" i="3"/>
  <c r="AA58" i="3"/>
  <c r="AB58" i="3"/>
  <c r="W60" i="3"/>
  <c r="X60" i="3"/>
  <c r="Y60" i="3"/>
  <c r="Z60" i="3"/>
  <c r="AA60" i="3"/>
  <c r="AB60" i="3"/>
  <c r="W61" i="3"/>
  <c r="X61" i="3"/>
  <c r="Y61" i="3"/>
  <c r="Z61" i="3"/>
  <c r="AA61" i="3"/>
  <c r="AB61" i="3"/>
  <c r="W62" i="3"/>
  <c r="X62" i="3"/>
  <c r="Y62" i="3"/>
  <c r="Z62" i="3"/>
  <c r="AA62" i="3"/>
  <c r="AB62" i="3"/>
  <c r="W63" i="3"/>
  <c r="X63" i="3"/>
  <c r="Y63" i="3"/>
  <c r="Z63" i="3"/>
  <c r="AA63" i="3"/>
  <c r="AB63" i="3"/>
  <c r="W65" i="3"/>
  <c r="X65" i="3"/>
  <c r="Y65" i="3"/>
  <c r="Z65" i="3"/>
  <c r="AA65" i="3"/>
  <c r="AB65" i="3"/>
  <c r="W66" i="3"/>
  <c r="X66" i="3"/>
  <c r="Y66" i="3"/>
  <c r="Z66" i="3"/>
  <c r="AA66" i="3"/>
  <c r="AB66" i="3"/>
  <c r="W68" i="3"/>
  <c r="X68" i="3"/>
  <c r="Y68" i="3"/>
  <c r="Z68" i="3"/>
  <c r="AA68" i="3"/>
  <c r="AB68" i="3"/>
  <c r="W69" i="3"/>
  <c r="X69" i="3"/>
  <c r="Y69" i="3"/>
  <c r="Z69" i="3"/>
  <c r="AA69" i="3"/>
  <c r="AB69" i="3"/>
  <c r="W71" i="3"/>
  <c r="X71" i="3"/>
  <c r="Y71" i="3"/>
  <c r="Z71" i="3"/>
  <c r="AA71" i="3"/>
  <c r="AB71" i="3"/>
  <c r="W72" i="3"/>
  <c r="X72" i="3"/>
  <c r="Y72" i="3"/>
  <c r="Z72" i="3"/>
  <c r="AA72" i="3"/>
  <c r="AB72" i="3"/>
  <c r="W73" i="3"/>
  <c r="X73" i="3"/>
  <c r="Y73" i="3"/>
  <c r="Z73" i="3"/>
  <c r="AA73" i="3"/>
  <c r="AB73" i="3"/>
  <c r="W74" i="3"/>
  <c r="X74" i="3"/>
  <c r="Y74" i="3"/>
  <c r="Z74" i="3"/>
  <c r="AA74" i="3"/>
  <c r="AB74" i="3"/>
  <c r="W62" i="4"/>
  <c r="X62" i="4"/>
  <c r="Y62" i="4"/>
  <c r="Z62" i="4"/>
  <c r="AA62" i="4"/>
  <c r="AB62" i="4"/>
  <c r="W63" i="4"/>
  <c r="X63" i="4"/>
  <c r="Y63" i="4"/>
  <c r="Z63" i="4"/>
  <c r="AA63" i="4"/>
  <c r="AB63" i="4"/>
  <c r="W65" i="4"/>
  <c r="X65" i="4"/>
  <c r="Y65" i="4"/>
  <c r="Z65" i="4"/>
  <c r="AA65" i="4"/>
  <c r="AB65" i="4"/>
  <c r="W66" i="4"/>
  <c r="X66" i="4"/>
  <c r="Y66" i="4"/>
  <c r="Z66" i="4"/>
  <c r="AA66" i="4"/>
  <c r="AB66" i="4"/>
  <c r="W67" i="4"/>
  <c r="X67" i="4"/>
  <c r="Y67" i="4"/>
  <c r="Z67" i="4"/>
  <c r="AA67" i="4"/>
  <c r="AB67" i="4"/>
  <c r="W70" i="4"/>
  <c r="X70" i="4"/>
  <c r="Y70" i="4"/>
  <c r="Z70" i="4"/>
  <c r="AA70" i="4"/>
  <c r="AB70" i="4"/>
  <c r="W72" i="4"/>
  <c r="X72" i="4"/>
  <c r="Y72" i="4"/>
  <c r="Z72" i="4"/>
  <c r="AA72" i="4"/>
  <c r="AB72" i="4"/>
  <c r="W74" i="4"/>
  <c r="X74" i="4"/>
  <c r="Y74" i="4"/>
  <c r="Z74" i="4"/>
  <c r="AA74" i="4"/>
  <c r="AB74" i="4"/>
  <c r="W76" i="4"/>
  <c r="X76" i="4"/>
  <c r="Y76" i="4"/>
  <c r="Z76" i="4"/>
  <c r="AA76" i="4"/>
  <c r="AB76" i="4"/>
  <c r="W77" i="4"/>
  <c r="X77" i="4"/>
  <c r="Y77" i="4"/>
  <c r="Z77" i="4"/>
  <c r="AA77" i="4"/>
  <c r="AB77" i="4"/>
  <c r="W79" i="4"/>
  <c r="X79" i="4"/>
  <c r="Y79" i="4"/>
  <c r="Z79" i="4"/>
  <c r="AA79" i="4"/>
  <c r="AB79" i="4"/>
  <c r="W81" i="4"/>
  <c r="X81" i="4"/>
  <c r="Y81" i="4"/>
  <c r="Z81" i="4"/>
  <c r="AA81" i="4"/>
  <c r="AB81" i="4"/>
  <c r="W83" i="4"/>
  <c r="X83" i="4"/>
  <c r="Y83" i="4"/>
  <c r="Z83" i="4"/>
  <c r="AA83" i="4"/>
  <c r="AB83" i="4"/>
  <c r="W61" i="5"/>
  <c r="X61" i="5"/>
  <c r="Y61" i="5"/>
  <c r="Z61" i="5"/>
  <c r="AA61" i="5"/>
  <c r="AB61" i="5"/>
  <c r="W63" i="5"/>
  <c r="X63" i="5"/>
  <c r="Y63" i="5"/>
  <c r="Z63" i="5"/>
  <c r="AA63" i="5"/>
  <c r="AB63" i="5"/>
  <c r="W64" i="5"/>
  <c r="X64" i="5"/>
  <c r="Y64" i="5"/>
  <c r="Z64" i="5"/>
  <c r="AA64" i="5"/>
  <c r="AB64" i="5"/>
  <c r="W65" i="5"/>
  <c r="X65" i="5"/>
  <c r="Y65" i="5"/>
  <c r="Z65" i="5"/>
  <c r="AA65" i="5"/>
  <c r="AB65" i="5"/>
  <c r="W67" i="5"/>
  <c r="X67" i="5"/>
  <c r="Y67" i="5"/>
  <c r="Z67" i="5"/>
  <c r="AA67" i="5"/>
  <c r="AB67" i="5"/>
  <c r="W68" i="5"/>
  <c r="X68" i="5"/>
  <c r="Y68" i="5"/>
  <c r="Z68" i="5"/>
  <c r="AA68" i="5"/>
  <c r="AB68" i="5"/>
  <c r="W70" i="5"/>
  <c r="X70" i="5"/>
  <c r="Y70" i="5"/>
  <c r="Z70" i="5"/>
  <c r="AA70" i="5"/>
  <c r="AB70" i="5"/>
  <c r="W71" i="5"/>
  <c r="X71" i="5"/>
  <c r="Y71" i="5"/>
  <c r="Z71" i="5"/>
  <c r="AA71" i="5"/>
  <c r="AB71" i="5"/>
  <c r="W73" i="5"/>
  <c r="X73" i="5"/>
  <c r="Y73" i="5"/>
  <c r="Z73" i="5"/>
  <c r="AA73" i="5"/>
  <c r="AB73" i="5"/>
  <c r="W75" i="5"/>
  <c r="X75" i="5"/>
  <c r="Y75" i="5"/>
  <c r="Z75" i="5"/>
  <c r="AA75" i="5"/>
  <c r="AB75" i="5"/>
  <c r="W76" i="5"/>
  <c r="X76" i="5"/>
  <c r="Y76" i="5"/>
  <c r="Z76" i="5"/>
  <c r="AA76" i="5"/>
  <c r="AB76" i="5"/>
  <c r="W78" i="5"/>
  <c r="X78" i="5"/>
  <c r="Y78" i="5"/>
  <c r="Z78" i="5"/>
  <c r="AA78" i="5"/>
  <c r="AB78" i="5"/>
  <c r="W80" i="5"/>
  <c r="X80" i="5"/>
  <c r="Y80" i="5"/>
  <c r="Z80" i="5"/>
  <c r="AA80" i="5"/>
  <c r="AB80" i="5"/>
  <c r="W79" i="1"/>
  <c r="X79" i="1"/>
  <c r="Y79" i="1"/>
  <c r="Z79" i="1"/>
  <c r="AA79" i="1"/>
  <c r="AB79" i="1"/>
  <c r="W81" i="1"/>
  <c r="X81" i="1"/>
  <c r="Y81" i="1"/>
  <c r="Z81" i="1"/>
  <c r="AA81" i="1"/>
  <c r="AB81" i="1"/>
  <c r="W83" i="1"/>
  <c r="X83" i="1"/>
  <c r="Y83" i="1"/>
  <c r="Z83" i="1"/>
  <c r="AA83" i="1"/>
  <c r="AB83" i="1"/>
  <c r="W84" i="1"/>
  <c r="X84" i="1"/>
  <c r="Y84" i="1"/>
  <c r="Z84" i="1"/>
  <c r="AA84" i="1"/>
  <c r="AB84" i="1"/>
  <c r="W85" i="1"/>
  <c r="X85" i="1"/>
  <c r="Y85" i="1"/>
  <c r="Z85" i="1"/>
  <c r="AA85" i="1"/>
  <c r="AB85" i="1"/>
  <c r="W87" i="1"/>
  <c r="X87" i="1"/>
  <c r="Y87" i="1"/>
  <c r="Z87" i="1"/>
  <c r="AA87" i="1"/>
  <c r="AB87" i="1"/>
  <c r="W88" i="1"/>
  <c r="X88" i="1"/>
  <c r="Y88" i="1"/>
  <c r="Z88" i="1"/>
  <c r="AA88" i="1"/>
  <c r="AB88" i="1"/>
  <c r="W90" i="1"/>
  <c r="X90" i="1"/>
  <c r="Y90" i="1"/>
  <c r="Z90" i="1"/>
  <c r="AA90" i="1"/>
  <c r="AB90" i="1"/>
  <c r="W92" i="1"/>
  <c r="X92" i="1"/>
  <c r="Y92" i="1"/>
  <c r="Z92" i="1"/>
  <c r="AA92" i="1"/>
  <c r="AB92" i="1"/>
  <c r="W94" i="1"/>
  <c r="X94" i="1"/>
  <c r="Y94" i="1"/>
  <c r="Z94" i="1"/>
  <c r="AA94" i="1"/>
  <c r="AB94" i="1"/>
  <c r="W96" i="1"/>
  <c r="X96" i="1"/>
  <c r="Y96" i="1"/>
  <c r="Z96" i="1"/>
  <c r="AA96" i="1"/>
  <c r="AB96" i="1"/>
  <c r="W76" i="2"/>
  <c r="X76" i="2"/>
  <c r="Y76" i="2"/>
  <c r="Z76" i="2"/>
  <c r="AA76" i="2"/>
  <c r="AB76" i="2"/>
  <c r="W77" i="2"/>
  <c r="X77" i="2"/>
  <c r="Y77" i="2"/>
  <c r="Z77" i="2"/>
  <c r="AA77" i="2"/>
  <c r="AB77" i="2"/>
  <c r="W79" i="2"/>
  <c r="X79" i="2"/>
  <c r="Y79" i="2"/>
  <c r="Z79" i="2"/>
  <c r="AA79" i="2"/>
  <c r="AB79" i="2"/>
  <c r="W80" i="2"/>
  <c r="X80" i="2"/>
  <c r="Y80" i="2"/>
  <c r="Z80" i="2"/>
  <c r="AA80" i="2"/>
  <c r="AB80" i="2"/>
  <c r="W82" i="2"/>
  <c r="X82" i="2"/>
  <c r="Y82" i="2"/>
  <c r="Z82" i="2"/>
  <c r="AA82" i="2"/>
  <c r="AB82" i="2"/>
  <c r="W83" i="2"/>
  <c r="X83" i="2"/>
  <c r="Y83" i="2"/>
  <c r="Z83" i="2"/>
  <c r="AA83" i="2"/>
  <c r="AB83" i="2"/>
  <c r="W85" i="2"/>
  <c r="X85" i="2"/>
  <c r="Y85" i="2"/>
  <c r="Z85" i="2"/>
  <c r="AA85" i="2"/>
  <c r="AB85" i="2"/>
  <c r="W86" i="2"/>
  <c r="X86" i="2"/>
  <c r="Y86" i="2"/>
  <c r="Z86" i="2"/>
  <c r="AA86" i="2"/>
  <c r="AB86" i="2"/>
  <c r="W88" i="2"/>
  <c r="X88" i="2"/>
  <c r="Y88" i="2"/>
  <c r="Z88" i="2"/>
  <c r="AA88" i="2"/>
  <c r="AB88" i="2"/>
  <c r="W90" i="2"/>
  <c r="X90" i="2"/>
  <c r="Y90" i="2"/>
  <c r="Z90" i="2"/>
  <c r="AA90" i="2"/>
  <c r="AB90" i="2"/>
  <c r="W92" i="2"/>
  <c r="X92" i="2"/>
  <c r="Y92" i="2"/>
  <c r="Z92" i="2"/>
  <c r="AA92" i="2"/>
  <c r="AB92" i="2"/>
  <c r="W78" i="3"/>
  <c r="X78" i="3"/>
  <c r="Y78" i="3"/>
  <c r="Z78" i="3"/>
  <c r="AA78" i="3"/>
  <c r="AB78" i="3"/>
  <c r="W79" i="3"/>
  <c r="X79" i="3"/>
  <c r="Y79" i="3"/>
  <c r="Z79" i="3"/>
  <c r="AA79" i="3"/>
  <c r="AB79" i="3"/>
  <c r="W80" i="3"/>
  <c r="X80" i="3"/>
  <c r="Y80" i="3"/>
  <c r="Z80" i="3"/>
  <c r="AA80" i="3"/>
  <c r="AB80" i="3"/>
  <c r="W82" i="3"/>
  <c r="X82" i="3"/>
  <c r="Y82" i="3"/>
  <c r="Z82" i="3"/>
  <c r="AA82" i="3"/>
  <c r="AB82" i="3"/>
  <c r="W83" i="3"/>
  <c r="X83" i="3"/>
  <c r="Y83" i="3"/>
  <c r="Z83" i="3"/>
  <c r="AA83" i="3"/>
  <c r="AB83" i="3"/>
  <c r="W84" i="3"/>
  <c r="X84" i="3"/>
  <c r="Y84" i="3"/>
  <c r="Z84" i="3"/>
  <c r="AA84" i="3"/>
  <c r="AB84" i="3"/>
  <c r="W85" i="3"/>
  <c r="X85" i="3"/>
  <c r="Y85" i="3"/>
  <c r="Z85" i="3"/>
  <c r="AA85" i="3"/>
  <c r="AB85" i="3"/>
  <c r="W87" i="3"/>
  <c r="X87" i="3"/>
  <c r="Y87" i="3"/>
  <c r="Z87" i="3"/>
  <c r="AA87" i="3"/>
  <c r="AB87" i="3"/>
  <c r="W88" i="3"/>
  <c r="X88" i="3"/>
  <c r="Y88" i="3"/>
  <c r="Z88" i="3"/>
  <c r="AA88" i="3"/>
  <c r="AB88" i="3"/>
  <c r="W90" i="3"/>
  <c r="X90" i="3"/>
  <c r="Y90" i="3"/>
  <c r="Z90" i="3"/>
  <c r="AA90" i="3"/>
  <c r="AB90" i="3"/>
  <c r="W91" i="3"/>
  <c r="X91" i="3"/>
  <c r="Y91" i="3"/>
  <c r="Z91" i="3"/>
  <c r="AA91" i="3"/>
  <c r="AB91" i="3"/>
  <c r="W93" i="3"/>
  <c r="X93" i="3"/>
  <c r="Y93" i="3"/>
  <c r="Z93" i="3"/>
  <c r="AA93" i="3"/>
  <c r="AB93" i="3"/>
  <c r="W94" i="3"/>
  <c r="X94" i="3"/>
  <c r="Y94" i="3"/>
  <c r="Z94" i="3"/>
  <c r="AA94" i="3"/>
  <c r="AB94" i="3"/>
  <c r="W95" i="3"/>
  <c r="X95" i="3"/>
  <c r="Y95" i="3"/>
  <c r="Z95" i="3"/>
  <c r="AA95" i="3"/>
  <c r="AB95" i="3"/>
  <c r="W96" i="3"/>
  <c r="X96" i="3"/>
  <c r="Y96" i="3"/>
  <c r="Z96" i="3"/>
  <c r="AA96" i="3"/>
  <c r="AB96" i="3"/>
  <c r="W87" i="4"/>
  <c r="X87" i="4"/>
  <c r="Y87" i="4"/>
  <c r="Z87" i="4"/>
  <c r="AA87" i="4"/>
  <c r="AB87" i="4"/>
  <c r="W88" i="4"/>
  <c r="X88" i="4"/>
  <c r="Y88" i="4"/>
  <c r="Z88" i="4"/>
  <c r="AA88" i="4"/>
  <c r="AB88" i="4"/>
  <c r="W90" i="4"/>
  <c r="X90" i="4"/>
  <c r="Y90" i="4"/>
  <c r="Z90" i="4"/>
  <c r="AA90" i="4"/>
  <c r="AB90" i="4"/>
  <c r="W91" i="4"/>
  <c r="X91" i="4"/>
  <c r="Y91" i="4"/>
  <c r="Z91" i="4"/>
  <c r="AA91" i="4"/>
  <c r="AB91" i="4"/>
  <c r="W92" i="4"/>
  <c r="X92" i="4"/>
  <c r="Y92" i="4"/>
  <c r="Z92" i="4"/>
  <c r="AA92" i="4"/>
  <c r="AB92" i="4"/>
  <c r="W95" i="4"/>
  <c r="X95" i="4"/>
  <c r="Y95" i="4"/>
  <c r="Z95" i="4"/>
  <c r="AA95" i="4"/>
  <c r="AB95" i="4"/>
  <c r="W97" i="4"/>
  <c r="X97" i="4"/>
  <c r="Y97" i="4"/>
  <c r="Z97" i="4"/>
  <c r="AA97" i="4"/>
  <c r="AB97" i="4"/>
  <c r="W99" i="4"/>
  <c r="X99" i="4"/>
  <c r="Y99" i="4"/>
  <c r="Z99" i="4"/>
  <c r="AA99" i="4"/>
  <c r="AB99" i="4"/>
  <c r="W101" i="4"/>
  <c r="X101" i="4"/>
  <c r="Y101" i="4"/>
  <c r="Z101" i="4"/>
  <c r="AA101" i="4"/>
  <c r="AB101" i="4"/>
  <c r="W102" i="4"/>
  <c r="X102" i="4"/>
  <c r="Y102" i="4"/>
  <c r="Z102" i="4"/>
  <c r="AA102" i="4"/>
  <c r="AB102" i="4"/>
  <c r="W104" i="4"/>
  <c r="X104" i="4"/>
  <c r="Y104" i="4"/>
  <c r="Z104" i="4"/>
  <c r="AA104" i="4"/>
  <c r="AB104" i="4"/>
  <c r="W106" i="4"/>
  <c r="X106" i="4"/>
  <c r="Y106" i="4"/>
  <c r="Z106" i="4"/>
  <c r="AA106" i="4"/>
  <c r="AB106" i="4"/>
  <c r="W108" i="4"/>
  <c r="X108" i="4"/>
  <c r="Y108" i="4"/>
  <c r="Z108" i="4"/>
  <c r="AA108" i="4"/>
  <c r="AB108" i="4"/>
  <c r="W85" i="5"/>
  <c r="X85" i="5"/>
  <c r="Y85" i="5"/>
  <c r="Z85" i="5"/>
  <c r="AA85" i="5"/>
  <c r="AB85" i="5"/>
  <c r="W87" i="5"/>
  <c r="X87" i="5"/>
  <c r="Y87" i="5"/>
  <c r="Z87" i="5"/>
  <c r="AA87" i="5"/>
  <c r="AB87" i="5"/>
  <c r="W88" i="5"/>
  <c r="X88" i="5"/>
  <c r="Y88" i="5"/>
  <c r="Z88" i="5"/>
  <c r="AA88" i="5"/>
  <c r="AB88" i="5"/>
  <c r="W89" i="5"/>
  <c r="X89" i="5"/>
  <c r="Y89" i="5"/>
  <c r="Z89" i="5"/>
  <c r="AA89" i="5"/>
  <c r="AB89" i="5"/>
  <c r="W91" i="5"/>
  <c r="X91" i="5"/>
  <c r="Y91" i="5"/>
  <c r="Z91" i="5"/>
  <c r="AA91" i="5"/>
  <c r="AB91" i="5"/>
  <c r="W92" i="5"/>
  <c r="X92" i="5"/>
  <c r="Y92" i="5"/>
  <c r="Z92" i="5"/>
  <c r="AA92" i="5"/>
  <c r="AB92" i="5"/>
  <c r="W94" i="5"/>
  <c r="X94" i="5"/>
  <c r="Y94" i="5"/>
  <c r="Z94" i="5"/>
  <c r="AA94" i="5"/>
  <c r="AB94" i="5"/>
  <c r="W95" i="5"/>
  <c r="X95" i="5"/>
  <c r="Y95" i="5"/>
  <c r="Z95" i="5"/>
  <c r="AA95" i="5"/>
  <c r="AB95" i="5"/>
  <c r="W97" i="5"/>
  <c r="X97" i="5"/>
  <c r="Y97" i="5"/>
  <c r="Z97" i="5"/>
  <c r="AA97" i="5"/>
  <c r="AB97" i="5"/>
  <c r="W99" i="5"/>
  <c r="X99" i="5"/>
  <c r="Y99" i="5"/>
  <c r="Z99" i="5"/>
  <c r="AA99" i="5"/>
  <c r="AB99" i="5"/>
  <c r="W100" i="5"/>
  <c r="X100" i="5"/>
  <c r="Y100" i="5"/>
  <c r="Z100" i="5"/>
  <c r="AA100" i="5"/>
  <c r="AB100" i="5"/>
  <c r="W102" i="5"/>
  <c r="X102" i="5"/>
  <c r="Y102" i="5"/>
  <c r="Z102" i="5"/>
  <c r="AA102" i="5"/>
  <c r="AB102" i="5"/>
  <c r="W104" i="5"/>
  <c r="X104" i="5"/>
  <c r="Y104" i="5"/>
  <c r="Z104" i="5"/>
  <c r="AA104" i="5"/>
  <c r="AB104" i="5"/>
  <c r="W101" i="1"/>
  <c r="X101" i="1"/>
  <c r="Y101" i="1"/>
  <c r="Z101" i="1"/>
  <c r="AA101" i="1"/>
  <c r="AB101" i="1"/>
  <c r="W103" i="1"/>
  <c r="X103" i="1"/>
  <c r="Y103" i="1"/>
  <c r="Z103" i="1"/>
  <c r="AA103" i="1"/>
  <c r="AB103" i="1"/>
  <c r="W105" i="1"/>
  <c r="X105" i="1"/>
  <c r="Y105" i="1"/>
  <c r="Z105" i="1"/>
  <c r="AA105" i="1"/>
  <c r="AB105" i="1"/>
  <c r="W106" i="1"/>
  <c r="X106" i="1"/>
  <c r="Y106" i="1"/>
  <c r="Z106" i="1"/>
  <c r="AA106" i="1"/>
  <c r="AB106" i="1"/>
  <c r="W107" i="1"/>
  <c r="X107" i="1"/>
  <c r="Y107" i="1"/>
  <c r="Z107" i="1"/>
  <c r="AA107" i="1"/>
  <c r="AB107" i="1"/>
  <c r="W109" i="1"/>
  <c r="X109" i="1"/>
  <c r="Y109" i="1"/>
  <c r="Z109" i="1"/>
  <c r="AA109" i="1"/>
  <c r="AB109" i="1"/>
  <c r="W110" i="1"/>
  <c r="X110" i="1"/>
  <c r="Y110" i="1"/>
  <c r="Z110" i="1"/>
  <c r="AA110" i="1"/>
  <c r="AB110" i="1"/>
  <c r="W112" i="1"/>
  <c r="X112" i="1"/>
  <c r="Y112" i="1"/>
  <c r="Z112" i="1"/>
  <c r="AA112" i="1"/>
  <c r="AB112" i="1"/>
  <c r="W114" i="1"/>
  <c r="X114" i="1"/>
  <c r="Y114" i="1"/>
  <c r="Z114" i="1"/>
  <c r="AA114" i="1"/>
  <c r="AB114" i="1"/>
  <c r="W116" i="1"/>
  <c r="X116" i="1"/>
  <c r="Y116" i="1"/>
  <c r="Z116" i="1"/>
  <c r="AA116" i="1"/>
  <c r="AB116" i="1"/>
  <c r="W118" i="1"/>
  <c r="X118" i="1"/>
  <c r="Y118" i="1"/>
  <c r="Z118" i="1"/>
  <c r="AA118" i="1"/>
  <c r="AB118" i="1"/>
  <c r="W97" i="2"/>
  <c r="X97" i="2"/>
  <c r="Y97" i="2"/>
  <c r="Z97" i="2"/>
  <c r="AA97" i="2"/>
  <c r="AB97" i="2"/>
  <c r="W98" i="2"/>
  <c r="X98" i="2"/>
  <c r="Y98" i="2"/>
  <c r="Z98" i="2"/>
  <c r="AA98" i="2"/>
  <c r="AB98" i="2"/>
  <c r="W100" i="2"/>
  <c r="X100" i="2"/>
  <c r="Y100" i="2"/>
  <c r="Z100" i="2"/>
  <c r="AA100" i="2"/>
  <c r="AB100" i="2"/>
  <c r="W101" i="2"/>
  <c r="X101" i="2"/>
  <c r="Y101" i="2"/>
  <c r="Z101" i="2"/>
  <c r="AA101" i="2"/>
  <c r="AB101" i="2"/>
  <c r="W103" i="2"/>
  <c r="X103" i="2"/>
  <c r="Y103" i="2"/>
  <c r="Z103" i="2"/>
  <c r="AA103" i="2"/>
  <c r="AB103" i="2"/>
  <c r="W104" i="2"/>
  <c r="X104" i="2"/>
  <c r="Y104" i="2"/>
  <c r="Z104" i="2"/>
  <c r="AA104" i="2"/>
  <c r="AB104" i="2"/>
  <c r="W106" i="2"/>
  <c r="X106" i="2"/>
  <c r="Y106" i="2"/>
  <c r="Z106" i="2"/>
  <c r="AA106" i="2"/>
  <c r="AB106" i="2"/>
  <c r="W107" i="2"/>
  <c r="X107" i="2"/>
  <c r="Y107" i="2"/>
  <c r="Z107" i="2"/>
  <c r="AA107" i="2"/>
  <c r="AB107" i="2"/>
  <c r="W109" i="2"/>
  <c r="X109" i="2"/>
  <c r="Y109" i="2"/>
  <c r="Z109" i="2"/>
  <c r="AA109" i="2"/>
  <c r="AB109" i="2"/>
  <c r="W111" i="2"/>
  <c r="X111" i="2"/>
  <c r="Y111" i="2"/>
  <c r="Z111" i="2"/>
  <c r="AA111" i="2"/>
  <c r="AB111" i="2"/>
  <c r="W113" i="2"/>
  <c r="X113" i="2"/>
  <c r="Y113" i="2"/>
  <c r="Z113" i="2"/>
  <c r="AA113" i="2"/>
  <c r="AB113" i="2"/>
  <c r="W100" i="3"/>
  <c r="X100" i="3"/>
  <c r="Y100" i="3"/>
  <c r="Z100" i="3"/>
  <c r="AA100" i="3"/>
  <c r="AB100" i="3"/>
  <c r="W101" i="3"/>
  <c r="X101" i="3"/>
  <c r="Y101" i="3"/>
  <c r="Z101" i="3"/>
  <c r="AA101" i="3"/>
  <c r="AB101" i="3"/>
  <c r="W102" i="3"/>
  <c r="X102" i="3"/>
  <c r="Y102" i="3"/>
  <c r="Z102" i="3"/>
  <c r="AA102" i="3"/>
  <c r="AB102" i="3"/>
  <c r="W104" i="3"/>
  <c r="X104" i="3"/>
  <c r="Y104" i="3"/>
  <c r="Z104" i="3"/>
  <c r="AA104" i="3"/>
  <c r="AB104" i="3"/>
  <c r="W105" i="3"/>
  <c r="X105" i="3"/>
  <c r="Y105" i="3"/>
  <c r="Z105" i="3"/>
  <c r="AA105" i="3"/>
  <c r="AB105" i="3"/>
  <c r="W106" i="3"/>
  <c r="X106" i="3"/>
  <c r="Y106" i="3"/>
  <c r="Z106" i="3"/>
  <c r="AA106" i="3"/>
  <c r="AB106" i="3"/>
  <c r="W107" i="3"/>
  <c r="X107" i="3"/>
  <c r="Y107" i="3"/>
  <c r="Z107" i="3"/>
  <c r="AA107" i="3"/>
  <c r="AB107" i="3"/>
  <c r="W109" i="3"/>
  <c r="X109" i="3"/>
  <c r="Y109" i="3"/>
  <c r="Z109" i="3"/>
  <c r="AA109" i="3"/>
  <c r="AB109" i="3"/>
  <c r="W110" i="3"/>
  <c r="X110" i="3"/>
  <c r="Y110" i="3"/>
  <c r="Z110" i="3"/>
  <c r="AA110" i="3"/>
  <c r="AB110" i="3"/>
  <c r="W112" i="3"/>
  <c r="X112" i="3"/>
  <c r="Y112" i="3"/>
  <c r="Z112" i="3"/>
  <c r="AA112" i="3"/>
  <c r="AB112" i="3"/>
  <c r="W113" i="3"/>
  <c r="X113" i="3"/>
  <c r="Y113" i="3"/>
  <c r="Z113" i="3"/>
  <c r="AA113" i="3"/>
  <c r="AB113" i="3"/>
  <c r="W115" i="3"/>
  <c r="X115" i="3"/>
  <c r="Y115" i="3"/>
  <c r="Z115" i="3"/>
  <c r="AA115" i="3"/>
  <c r="AB115" i="3"/>
  <c r="W116" i="3"/>
  <c r="X116" i="3"/>
  <c r="Y116" i="3"/>
  <c r="Z116" i="3"/>
  <c r="AA116" i="3"/>
  <c r="AB116" i="3"/>
  <c r="W117" i="3"/>
  <c r="X117" i="3"/>
  <c r="Y117" i="3"/>
  <c r="Z117" i="3"/>
  <c r="AA117" i="3"/>
  <c r="AB117" i="3"/>
  <c r="W118" i="3"/>
  <c r="X118" i="3"/>
  <c r="Y118" i="3"/>
  <c r="Z118" i="3"/>
  <c r="AA118" i="3"/>
  <c r="AB118" i="3"/>
  <c r="W112" i="4"/>
  <c r="X112" i="4"/>
  <c r="Y112" i="4"/>
  <c r="Z112" i="4"/>
  <c r="AA112" i="4"/>
  <c r="AB112" i="4"/>
  <c r="W113" i="4"/>
  <c r="X113" i="4"/>
  <c r="Y113" i="4"/>
  <c r="Z113" i="4"/>
  <c r="AA113" i="4"/>
  <c r="AB113" i="4"/>
  <c r="W115" i="4"/>
  <c r="X115" i="4"/>
  <c r="Y115" i="4"/>
  <c r="Z115" i="4"/>
  <c r="AA115" i="4"/>
  <c r="AB115" i="4"/>
  <c r="W116" i="4"/>
  <c r="X116" i="4"/>
  <c r="Y116" i="4"/>
  <c r="Z116" i="4"/>
  <c r="AA116" i="4"/>
  <c r="AB116" i="4"/>
  <c r="W117" i="4"/>
  <c r="X117" i="4"/>
  <c r="Y117" i="4"/>
  <c r="Z117" i="4"/>
  <c r="AA117" i="4"/>
  <c r="AB117" i="4"/>
  <c r="W120" i="4"/>
  <c r="X120" i="4"/>
  <c r="Y120" i="4"/>
  <c r="Z120" i="4"/>
  <c r="AA120" i="4"/>
  <c r="AB120" i="4"/>
  <c r="W122" i="4"/>
  <c r="X122" i="4"/>
  <c r="Y122" i="4"/>
  <c r="Z122" i="4"/>
  <c r="AA122" i="4"/>
  <c r="AB122" i="4"/>
  <c r="W124" i="4"/>
  <c r="X124" i="4"/>
  <c r="Y124" i="4"/>
  <c r="Z124" i="4"/>
  <c r="AA124" i="4"/>
  <c r="AB124" i="4"/>
  <c r="W126" i="4"/>
  <c r="X126" i="4"/>
  <c r="Y126" i="4"/>
  <c r="Z126" i="4"/>
  <c r="AA126" i="4"/>
  <c r="AB126" i="4"/>
  <c r="W127" i="4"/>
  <c r="X127" i="4"/>
  <c r="Y127" i="4"/>
  <c r="Z127" i="4"/>
  <c r="AA127" i="4"/>
  <c r="AB127" i="4"/>
  <c r="W129" i="4"/>
  <c r="X129" i="4"/>
  <c r="Y129" i="4"/>
  <c r="Z129" i="4"/>
  <c r="AA129" i="4"/>
  <c r="AB129" i="4"/>
  <c r="W131" i="4"/>
  <c r="X131" i="4"/>
  <c r="Y131" i="4"/>
  <c r="Z131" i="4"/>
  <c r="AA131" i="4"/>
  <c r="AB131" i="4"/>
  <c r="W133" i="4"/>
  <c r="X133" i="4"/>
  <c r="Y133" i="4"/>
  <c r="Z133" i="4"/>
  <c r="AA133" i="4"/>
  <c r="AB133" i="4"/>
  <c r="W109" i="5"/>
  <c r="X109" i="5"/>
  <c r="Y109" i="5"/>
  <c r="Z109" i="5"/>
  <c r="AA109" i="5"/>
  <c r="AB109" i="5"/>
  <c r="W111" i="5"/>
  <c r="X111" i="5"/>
  <c r="Y111" i="5"/>
  <c r="Z111" i="5"/>
  <c r="AA111" i="5"/>
  <c r="AB111" i="5"/>
  <c r="W112" i="5"/>
  <c r="X112" i="5"/>
  <c r="Y112" i="5"/>
  <c r="Z112" i="5"/>
  <c r="AA112" i="5"/>
  <c r="AB112" i="5"/>
  <c r="W113" i="5"/>
  <c r="X113" i="5"/>
  <c r="Y113" i="5"/>
  <c r="Z113" i="5"/>
  <c r="AA113" i="5"/>
  <c r="AB113" i="5"/>
  <c r="W115" i="5"/>
  <c r="X115" i="5"/>
  <c r="Y115" i="5"/>
  <c r="Z115" i="5"/>
  <c r="AA115" i="5"/>
  <c r="AB115" i="5"/>
  <c r="W116" i="5"/>
  <c r="X116" i="5"/>
  <c r="Y116" i="5"/>
  <c r="Z116" i="5"/>
  <c r="AA116" i="5"/>
  <c r="AB116" i="5"/>
  <c r="W118" i="5"/>
  <c r="X118" i="5"/>
  <c r="Y118" i="5"/>
  <c r="Z118" i="5"/>
  <c r="AA118" i="5"/>
  <c r="AB118" i="5"/>
  <c r="W119" i="5"/>
  <c r="X119" i="5"/>
  <c r="Y119" i="5"/>
  <c r="Z119" i="5"/>
  <c r="AA119" i="5"/>
  <c r="AB119" i="5"/>
  <c r="W121" i="5"/>
  <c r="X121" i="5"/>
  <c r="Y121" i="5"/>
  <c r="Z121" i="5"/>
  <c r="AA121" i="5"/>
  <c r="AB121" i="5"/>
  <c r="W123" i="5"/>
  <c r="X123" i="5"/>
  <c r="Y123" i="5"/>
  <c r="Z123" i="5"/>
  <c r="AA123" i="5"/>
  <c r="AB123" i="5"/>
  <c r="W124" i="5"/>
  <c r="X124" i="5"/>
  <c r="Y124" i="5"/>
  <c r="Z124" i="5"/>
  <c r="AA124" i="5"/>
  <c r="AB124" i="5"/>
  <c r="W126" i="5"/>
  <c r="X126" i="5"/>
  <c r="Y126" i="5"/>
  <c r="Z126" i="5"/>
  <c r="AA126" i="5"/>
  <c r="AB126" i="5"/>
  <c r="W128" i="5"/>
  <c r="X128" i="5"/>
  <c r="Y128" i="5"/>
  <c r="Z128" i="5"/>
  <c r="AA128" i="5"/>
  <c r="AB128" i="5"/>
  <c r="W123" i="1"/>
  <c r="X123" i="1"/>
  <c r="Y123" i="1"/>
  <c r="Z123" i="1"/>
  <c r="AA123" i="1"/>
  <c r="AB123" i="1"/>
  <c r="W125" i="1"/>
  <c r="X125" i="1"/>
  <c r="Y125" i="1"/>
  <c r="Z125" i="1"/>
  <c r="AA125" i="1"/>
  <c r="AB125" i="1"/>
  <c r="W127" i="1"/>
  <c r="X127" i="1"/>
  <c r="Y127" i="1"/>
  <c r="Z127" i="1"/>
  <c r="AA127" i="1"/>
  <c r="AB127" i="1"/>
  <c r="W128" i="1"/>
  <c r="X128" i="1"/>
  <c r="Y128" i="1"/>
  <c r="Z128" i="1"/>
  <c r="AA128" i="1"/>
  <c r="AB128" i="1"/>
  <c r="W129" i="1"/>
  <c r="X129" i="1"/>
  <c r="Y129" i="1"/>
  <c r="Z129" i="1"/>
  <c r="AA129" i="1"/>
  <c r="AB129" i="1"/>
  <c r="W131" i="1"/>
  <c r="X131" i="1"/>
  <c r="Y131" i="1"/>
  <c r="Z131" i="1"/>
  <c r="AA131" i="1"/>
  <c r="AB131" i="1"/>
  <c r="W132" i="1"/>
  <c r="X132" i="1"/>
  <c r="Y132" i="1"/>
  <c r="Z132" i="1"/>
  <c r="AA132" i="1"/>
  <c r="AB132" i="1"/>
  <c r="W134" i="1"/>
  <c r="X134" i="1"/>
  <c r="Y134" i="1"/>
  <c r="Z134" i="1"/>
  <c r="AA134" i="1"/>
  <c r="AB134" i="1"/>
  <c r="W136" i="1"/>
  <c r="X136" i="1"/>
  <c r="Y136" i="1"/>
  <c r="Z136" i="1"/>
  <c r="AA136" i="1"/>
  <c r="AB136" i="1"/>
  <c r="W138" i="1"/>
  <c r="X138" i="1"/>
  <c r="Y138" i="1"/>
  <c r="Z138" i="1"/>
  <c r="AA138" i="1"/>
  <c r="AB138" i="1"/>
  <c r="W140" i="1"/>
  <c r="X140" i="1"/>
  <c r="Y140" i="1"/>
  <c r="Z140" i="1"/>
  <c r="AA140" i="1"/>
  <c r="AB140" i="1"/>
  <c r="W118" i="2"/>
  <c r="X118" i="2"/>
  <c r="Y118" i="2"/>
  <c r="Z118" i="2"/>
  <c r="AA118" i="2"/>
  <c r="AB118" i="2"/>
  <c r="W119" i="2"/>
  <c r="X119" i="2"/>
  <c r="Y119" i="2"/>
  <c r="Z119" i="2"/>
  <c r="AA119" i="2"/>
  <c r="AB119" i="2"/>
  <c r="W121" i="2"/>
  <c r="X121" i="2"/>
  <c r="Y121" i="2"/>
  <c r="Z121" i="2"/>
  <c r="AA121" i="2"/>
  <c r="AB121" i="2"/>
  <c r="W122" i="2"/>
  <c r="X122" i="2"/>
  <c r="Y122" i="2"/>
  <c r="Z122" i="2"/>
  <c r="AA122" i="2"/>
  <c r="AB122" i="2"/>
  <c r="W124" i="2"/>
  <c r="X124" i="2"/>
  <c r="Y124" i="2"/>
  <c r="Z124" i="2"/>
  <c r="AA124" i="2"/>
  <c r="AB124" i="2"/>
  <c r="W125" i="2"/>
  <c r="X125" i="2"/>
  <c r="Y125" i="2"/>
  <c r="Z125" i="2"/>
  <c r="AA125" i="2"/>
  <c r="AB125" i="2"/>
  <c r="W127" i="2"/>
  <c r="X127" i="2"/>
  <c r="Y127" i="2"/>
  <c r="Z127" i="2"/>
  <c r="AA127" i="2"/>
  <c r="AB127" i="2"/>
  <c r="W128" i="2"/>
  <c r="X128" i="2"/>
  <c r="Y128" i="2"/>
  <c r="Z128" i="2"/>
  <c r="AA128" i="2"/>
  <c r="AB128" i="2"/>
  <c r="W130" i="2"/>
  <c r="X130" i="2"/>
  <c r="Y130" i="2"/>
  <c r="Z130" i="2"/>
  <c r="AA130" i="2"/>
  <c r="AB130" i="2"/>
  <c r="W132" i="2"/>
  <c r="X132" i="2"/>
  <c r="Y132" i="2"/>
  <c r="Z132" i="2"/>
  <c r="AA132" i="2"/>
  <c r="AB132" i="2"/>
  <c r="W134" i="2"/>
  <c r="X134" i="2"/>
  <c r="Y134" i="2"/>
  <c r="Z134" i="2"/>
  <c r="AA134" i="2"/>
  <c r="AB134" i="2"/>
  <c r="W122" i="3"/>
  <c r="X122" i="3"/>
  <c r="Y122" i="3"/>
  <c r="Z122" i="3"/>
  <c r="AA122" i="3"/>
  <c r="AB122" i="3"/>
  <c r="W123" i="3"/>
  <c r="X123" i="3"/>
  <c r="Y123" i="3"/>
  <c r="Z123" i="3"/>
  <c r="AA123" i="3"/>
  <c r="AB123" i="3"/>
  <c r="W124" i="3"/>
  <c r="X124" i="3"/>
  <c r="Y124" i="3"/>
  <c r="Z124" i="3"/>
  <c r="AA124" i="3"/>
  <c r="AB124" i="3"/>
  <c r="W126" i="3"/>
  <c r="X126" i="3"/>
  <c r="Y126" i="3"/>
  <c r="Z126" i="3"/>
  <c r="AA126" i="3"/>
  <c r="AB126" i="3"/>
  <c r="W127" i="3"/>
  <c r="X127" i="3"/>
  <c r="Y127" i="3"/>
  <c r="Z127" i="3"/>
  <c r="AA127" i="3"/>
  <c r="AB127" i="3"/>
  <c r="W128" i="3"/>
  <c r="X128" i="3"/>
  <c r="Y128" i="3"/>
  <c r="Z128" i="3"/>
  <c r="AA128" i="3"/>
  <c r="AB128" i="3"/>
  <c r="W129" i="3"/>
  <c r="X129" i="3"/>
  <c r="Y129" i="3"/>
  <c r="Z129" i="3"/>
  <c r="AA129" i="3"/>
  <c r="AB129" i="3"/>
  <c r="W131" i="3"/>
  <c r="X131" i="3"/>
  <c r="Y131" i="3"/>
  <c r="Z131" i="3"/>
  <c r="AA131" i="3"/>
  <c r="AB131" i="3"/>
  <c r="W132" i="3"/>
  <c r="X132" i="3"/>
  <c r="Y132" i="3"/>
  <c r="Z132" i="3"/>
  <c r="AA132" i="3"/>
  <c r="AB132" i="3"/>
  <c r="W134" i="3"/>
  <c r="X134" i="3"/>
  <c r="Y134" i="3"/>
  <c r="Z134" i="3"/>
  <c r="AA134" i="3"/>
  <c r="AB134" i="3"/>
  <c r="W135" i="3"/>
  <c r="X135" i="3"/>
  <c r="Y135" i="3"/>
  <c r="Z135" i="3"/>
  <c r="AA135" i="3"/>
  <c r="AB135" i="3"/>
  <c r="W137" i="3"/>
  <c r="X137" i="3"/>
  <c r="Y137" i="3"/>
  <c r="Z137" i="3"/>
  <c r="AA137" i="3"/>
  <c r="AB137" i="3"/>
  <c r="W138" i="3"/>
  <c r="X138" i="3"/>
  <c r="Y138" i="3"/>
  <c r="Z138" i="3"/>
  <c r="AA138" i="3"/>
  <c r="AB138" i="3"/>
  <c r="W139" i="3"/>
  <c r="X139" i="3"/>
  <c r="Y139" i="3"/>
  <c r="Z139" i="3"/>
  <c r="AA139" i="3"/>
  <c r="AB139" i="3"/>
  <c r="W140" i="3"/>
  <c r="X140" i="3"/>
  <c r="Y140" i="3"/>
  <c r="Z140" i="3"/>
  <c r="AA140" i="3"/>
  <c r="AB140" i="3"/>
  <c r="W137" i="4"/>
  <c r="X137" i="4"/>
  <c r="Y137" i="4"/>
  <c r="Z137" i="4"/>
  <c r="AA137" i="4"/>
  <c r="AB137" i="4"/>
  <c r="W138" i="4"/>
  <c r="X138" i="4"/>
  <c r="Y138" i="4"/>
  <c r="Z138" i="4"/>
  <c r="AA138" i="4"/>
  <c r="AB138" i="4"/>
  <c r="W140" i="4"/>
  <c r="X140" i="4"/>
  <c r="Y140" i="4"/>
  <c r="Z140" i="4"/>
  <c r="AA140" i="4"/>
  <c r="AB140" i="4"/>
  <c r="W141" i="4"/>
  <c r="X141" i="4"/>
  <c r="Y141" i="4"/>
  <c r="Z141" i="4"/>
  <c r="AA141" i="4"/>
  <c r="AB141" i="4"/>
  <c r="W142" i="4"/>
  <c r="X142" i="4"/>
  <c r="Y142" i="4"/>
  <c r="Z142" i="4"/>
  <c r="AA142" i="4"/>
  <c r="AB142" i="4"/>
  <c r="W145" i="4"/>
  <c r="X145" i="4"/>
  <c r="Y145" i="4"/>
  <c r="Z145" i="4"/>
  <c r="AA145" i="4"/>
  <c r="AB145" i="4"/>
  <c r="W147" i="4"/>
  <c r="X147" i="4"/>
  <c r="Y147" i="4"/>
  <c r="Z147" i="4"/>
  <c r="AA147" i="4"/>
  <c r="AB147" i="4"/>
  <c r="W149" i="4"/>
  <c r="X149" i="4"/>
  <c r="Y149" i="4"/>
  <c r="Z149" i="4"/>
  <c r="AA149" i="4"/>
  <c r="AB149" i="4"/>
  <c r="W151" i="4"/>
  <c r="X151" i="4"/>
  <c r="Y151" i="4"/>
  <c r="Z151" i="4"/>
  <c r="AA151" i="4"/>
  <c r="AB151" i="4"/>
  <c r="W152" i="4"/>
  <c r="X152" i="4"/>
  <c r="Y152" i="4"/>
  <c r="Z152" i="4"/>
  <c r="AA152" i="4"/>
  <c r="AB152" i="4"/>
  <c r="W154" i="4"/>
  <c r="X154" i="4"/>
  <c r="Y154" i="4"/>
  <c r="Z154" i="4"/>
  <c r="AA154" i="4"/>
  <c r="AB154" i="4"/>
  <c r="W156" i="4"/>
  <c r="X156" i="4"/>
  <c r="Y156" i="4"/>
  <c r="Z156" i="4"/>
  <c r="AA156" i="4"/>
  <c r="AB156" i="4"/>
  <c r="W158" i="4"/>
  <c r="X158" i="4"/>
  <c r="Y158" i="4"/>
  <c r="Z158" i="4"/>
  <c r="AA158" i="4"/>
  <c r="AB158" i="4"/>
  <c r="W133" i="5"/>
  <c r="X133" i="5"/>
  <c r="Y133" i="5"/>
  <c r="Z133" i="5"/>
  <c r="AA133" i="5"/>
  <c r="AB133" i="5"/>
  <c r="W135" i="5"/>
  <c r="X135" i="5"/>
  <c r="Y135" i="5"/>
  <c r="Z135" i="5"/>
  <c r="AA135" i="5"/>
  <c r="AB135" i="5"/>
  <c r="W136" i="5"/>
  <c r="X136" i="5"/>
  <c r="Y136" i="5"/>
  <c r="Z136" i="5"/>
  <c r="AA136" i="5"/>
  <c r="AB136" i="5"/>
  <c r="W137" i="5"/>
  <c r="X137" i="5"/>
  <c r="Y137" i="5"/>
  <c r="Z137" i="5"/>
  <c r="AA137" i="5"/>
  <c r="AB137" i="5"/>
  <c r="W139" i="5"/>
  <c r="X139" i="5"/>
  <c r="Y139" i="5"/>
  <c r="Z139" i="5"/>
  <c r="AA139" i="5"/>
  <c r="AB139" i="5"/>
  <c r="W140" i="5"/>
  <c r="X140" i="5"/>
  <c r="Y140" i="5"/>
  <c r="Z140" i="5"/>
  <c r="AA140" i="5"/>
  <c r="AB140" i="5"/>
  <c r="W142" i="5"/>
  <c r="X142" i="5"/>
  <c r="Y142" i="5"/>
  <c r="Z142" i="5"/>
  <c r="AA142" i="5"/>
  <c r="AB142" i="5"/>
  <c r="W143" i="5"/>
  <c r="X143" i="5"/>
  <c r="Y143" i="5"/>
  <c r="Z143" i="5"/>
  <c r="AA143" i="5"/>
  <c r="AB143" i="5"/>
  <c r="W145" i="5"/>
  <c r="X145" i="5"/>
  <c r="Y145" i="5"/>
  <c r="Z145" i="5"/>
  <c r="AA145" i="5"/>
  <c r="AB145" i="5"/>
  <c r="W147" i="5"/>
  <c r="X147" i="5"/>
  <c r="Y147" i="5"/>
  <c r="Z147" i="5"/>
  <c r="AA147" i="5"/>
  <c r="AB147" i="5"/>
  <c r="W148" i="5"/>
  <c r="X148" i="5"/>
  <c r="Y148" i="5"/>
  <c r="Z148" i="5"/>
  <c r="AA148" i="5"/>
  <c r="AB148" i="5"/>
  <c r="W150" i="5"/>
  <c r="X150" i="5"/>
  <c r="Y150" i="5"/>
  <c r="Z150" i="5"/>
  <c r="AA150" i="5"/>
  <c r="AB150" i="5"/>
  <c r="W152" i="5"/>
  <c r="X152" i="5"/>
  <c r="Y152" i="5"/>
  <c r="Z152" i="5"/>
  <c r="AA152" i="5"/>
  <c r="AB152" i="5"/>
  <c r="W145" i="1"/>
  <c r="X145" i="1"/>
  <c r="Y145" i="1"/>
  <c r="Z145" i="1"/>
  <c r="AA145" i="1"/>
  <c r="AB145" i="1"/>
  <c r="W147" i="1"/>
  <c r="X147" i="1"/>
  <c r="Y147" i="1"/>
  <c r="Z147" i="1"/>
  <c r="AA147" i="1"/>
  <c r="AB147" i="1"/>
  <c r="W149" i="1"/>
  <c r="X149" i="1"/>
  <c r="Y149" i="1"/>
  <c r="Z149" i="1"/>
  <c r="AA149" i="1"/>
  <c r="AB149" i="1"/>
  <c r="W150" i="1"/>
  <c r="X150" i="1"/>
  <c r="Y150" i="1"/>
  <c r="Z150" i="1"/>
  <c r="AA150" i="1"/>
  <c r="AB150" i="1"/>
  <c r="W151" i="1"/>
  <c r="X151" i="1"/>
  <c r="Y151" i="1"/>
  <c r="Z151" i="1"/>
  <c r="AA151" i="1"/>
  <c r="AB151" i="1"/>
  <c r="W153" i="1"/>
  <c r="X153" i="1"/>
  <c r="Y153" i="1"/>
  <c r="Z153" i="1"/>
  <c r="AA153" i="1"/>
  <c r="AB153" i="1"/>
  <c r="W154" i="1"/>
  <c r="X154" i="1"/>
  <c r="Y154" i="1"/>
  <c r="Z154" i="1"/>
  <c r="AA154" i="1"/>
  <c r="AB154" i="1"/>
  <c r="W156" i="1"/>
  <c r="X156" i="1"/>
  <c r="Y156" i="1"/>
  <c r="Z156" i="1"/>
  <c r="AA156" i="1"/>
  <c r="AB156" i="1"/>
  <c r="W158" i="1"/>
  <c r="X158" i="1"/>
  <c r="Y158" i="1"/>
  <c r="Z158" i="1"/>
  <c r="AA158" i="1"/>
  <c r="AB158" i="1"/>
  <c r="W160" i="1"/>
  <c r="X160" i="1"/>
  <c r="Y160" i="1"/>
  <c r="Z160" i="1"/>
  <c r="AA160" i="1"/>
  <c r="AB160" i="1"/>
  <c r="W162" i="1"/>
  <c r="X162" i="1"/>
  <c r="Y162" i="1"/>
  <c r="Z162" i="1"/>
  <c r="AA162" i="1"/>
  <c r="AB162" i="1"/>
  <c r="W139" i="2"/>
  <c r="X139" i="2"/>
  <c r="Y139" i="2"/>
  <c r="Z139" i="2"/>
  <c r="AA139" i="2"/>
  <c r="AB139" i="2"/>
  <c r="W140" i="2"/>
  <c r="X140" i="2"/>
  <c r="Y140" i="2"/>
  <c r="Z140" i="2"/>
  <c r="AA140" i="2"/>
  <c r="AB140" i="2"/>
  <c r="W142" i="2"/>
  <c r="X142" i="2"/>
  <c r="Y142" i="2"/>
  <c r="Z142" i="2"/>
  <c r="AA142" i="2"/>
  <c r="AB142" i="2"/>
  <c r="W143" i="2"/>
  <c r="X143" i="2"/>
  <c r="Y143" i="2"/>
  <c r="Z143" i="2"/>
  <c r="AA143" i="2"/>
  <c r="AB143" i="2"/>
  <c r="W145" i="2"/>
  <c r="X145" i="2"/>
  <c r="Y145" i="2"/>
  <c r="Z145" i="2"/>
  <c r="AA145" i="2"/>
  <c r="AB145" i="2"/>
  <c r="W146" i="2"/>
  <c r="X146" i="2"/>
  <c r="Y146" i="2"/>
  <c r="Z146" i="2"/>
  <c r="AA146" i="2"/>
  <c r="AB146" i="2"/>
  <c r="W148" i="2"/>
  <c r="X148" i="2"/>
  <c r="Y148" i="2"/>
  <c r="Z148" i="2"/>
  <c r="AA148" i="2"/>
  <c r="AB148" i="2"/>
  <c r="W149" i="2"/>
  <c r="X149" i="2"/>
  <c r="Y149" i="2"/>
  <c r="Z149" i="2"/>
  <c r="AA149" i="2"/>
  <c r="AB149" i="2"/>
  <c r="W151" i="2"/>
  <c r="X151" i="2"/>
  <c r="Y151" i="2"/>
  <c r="Z151" i="2"/>
  <c r="AA151" i="2"/>
  <c r="AB151" i="2"/>
  <c r="W153" i="2"/>
  <c r="X153" i="2"/>
  <c r="Y153" i="2"/>
  <c r="Z153" i="2"/>
  <c r="AA153" i="2"/>
  <c r="AB153" i="2"/>
  <c r="W155" i="2"/>
  <c r="X155" i="2"/>
  <c r="Y155" i="2"/>
  <c r="Z155" i="2"/>
  <c r="AA155" i="2"/>
  <c r="AB155" i="2"/>
  <c r="W144" i="3"/>
  <c r="X144" i="3"/>
  <c r="Y144" i="3"/>
  <c r="Z144" i="3"/>
  <c r="AA144" i="3"/>
  <c r="AB144" i="3"/>
  <c r="W145" i="3"/>
  <c r="X145" i="3"/>
  <c r="Y145" i="3"/>
  <c r="Z145" i="3"/>
  <c r="AA145" i="3"/>
  <c r="AB145" i="3"/>
  <c r="W146" i="3"/>
  <c r="X146" i="3"/>
  <c r="Y146" i="3"/>
  <c r="Z146" i="3"/>
  <c r="AA146" i="3"/>
  <c r="AB146" i="3"/>
  <c r="W148" i="3"/>
  <c r="X148" i="3"/>
  <c r="Y148" i="3"/>
  <c r="Z148" i="3"/>
  <c r="AA148" i="3"/>
  <c r="AB148" i="3"/>
  <c r="W149" i="3"/>
  <c r="X149" i="3"/>
  <c r="Y149" i="3"/>
  <c r="Z149" i="3"/>
  <c r="AA149" i="3"/>
  <c r="AB149" i="3"/>
  <c r="W150" i="3"/>
  <c r="X150" i="3"/>
  <c r="Y150" i="3"/>
  <c r="Z150" i="3"/>
  <c r="AA150" i="3"/>
  <c r="AB150" i="3"/>
  <c r="W151" i="3"/>
  <c r="X151" i="3"/>
  <c r="Y151" i="3"/>
  <c r="Z151" i="3"/>
  <c r="AA151" i="3"/>
  <c r="AB151" i="3"/>
  <c r="W153" i="3"/>
  <c r="X153" i="3"/>
  <c r="Y153" i="3"/>
  <c r="Z153" i="3"/>
  <c r="AA153" i="3"/>
  <c r="AB153" i="3"/>
  <c r="W154" i="3"/>
  <c r="X154" i="3"/>
  <c r="Y154" i="3"/>
  <c r="Z154" i="3"/>
  <c r="AA154" i="3"/>
  <c r="AB154" i="3"/>
  <c r="W156" i="3"/>
  <c r="X156" i="3"/>
  <c r="Y156" i="3"/>
  <c r="Z156" i="3"/>
  <c r="AA156" i="3"/>
  <c r="AB156" i="3"/>
  <c r="W157" i="3"/>
  <c r="X157" i="3"/>
  <c r="Y157" i="3"/>
  <c r="Z157" i="3"/>
  <c r="AA157" i="3"/>
  <c r="AB157" i="3"/>
  <c r="W159" i="3"/>
  <c r="X159" i="3"/>
  <c r="Y159" i="3"/>
  <c r="Z159" i="3"/>
  <c r="AA159" i="3"/>
  <c r="AB159" i="3"/>
  <c r="W160" i="3"/>
  <c r="X160" i="3"/>
  <c r="Y160" i="3"/>
  <c r="Z160" i="3"/>
  <c r="AA160" i="3"/>
  <c r="AB160" i="3"/>
  <c r="W161" i="3"/>
  <c r="X161" i="3"/>
  <c r="Y161" i="3"/>
  <c r="Z161" i="3"/>
  <c r="AA161" i="3"/>
  <c r="AB161" i="3"/>
  <c r="W162" i="3"/>
  <c r="X162" i="3"/>
  <c r="Y162" i="3"/>
  <c r="Z162" i="3"/>
  <c r="AA162" i="3"/>
  <c r="AB162" i="3"/>
  <c r="W162" i="4"/>
  <c r="X162" i="4"/>
  <c r="Y162" i="4"/>
  <c r="Z162" i="4"/>
  <c r="AA162" i="4"/>
  <c r="AB162" i="4"/>
  <c r="W163" i="4"/>
  <c r="X163" i="4"/>
  <c r="Y163" i="4"/>
  <c r="Z163" i="4"/>
  <c r="AA163" i="4"/>
  <c r="AB163" i="4"/>
  <c r="W165" i="4"/>
  <c r="X165" i="4"/>
  <c r="Y165" i="4"/>
  <c r="Z165" i="4"/>
  <c r="AA165" i="4"/>
  <c r="AB165" i="4"/>
  <c r="W166" i="4"/>
  <c r="X166" i="4"/>
  <c r="Y166" i="4"/>
  <c r="Z166" i="4"/>
  <c r="AA166" i="4"/>
  <c r="AB166" i="4"/>
  <c r="W167" i="4"/>
  <c r="X167" i="4"/>
  <c r="Y167" i="4"/>
  <c r="Z167" i="4"/>
  <c r="AA167" i="4"/>
  <c r="AB167" i="4"/>
  <c r="W170" i="4"/>
  <c r="X170" i="4"/>
  <c r="Y170" i="4"/>
  <c r="Z170" i="4"/>
  <c r="AA170" i="4"/>
  <c r="AB170" i="4"/>
  <c r="W172" i="4"/>
  <c r="X172" i="4"/>
  <c r="Y172" i="4"/>
  <c r="Z172" i="4"/>
  <c r="AA172" i="4"/>
  <c r="AB172" i="4"/>
  <c r="W174" i="4"/>
  <c r="X174" i="4"/>
  <c r="Y174" i="4"/>
  <c r="Z174" i="4"/>
  <c r="AA174" i="4"/>
  <c r="AB174" i="4"/>
  <c r="W176" i="4"/>
  <c r="X176" i="4"/>
  <c r="Y176" i="4"/>
  <c r="Z176" i="4"/>
  <c r="AA176" i="4"/>
  <c r="AB176" i="4"/>
  <c r="W177" i="4"/>
  <c r="X177" i="4"/>
  <c r="Y177" i="4"/>
  <c r="Z177" i="4"/>
  <c r="AA177" i="4"/>
  <c r="AB177" i="4"/>
  <c r="W179" i="4"/>
  <c r="X179" i="4"/>
  <c r="Y179" i="4"/>
  <c r="Z179" i="4"/>
  <c r="AA179" i="4"/>
  <c r="AB179" i="4"/>
  <c r="W181" i="4"/>
  <c r="X181" i="4"/>
  <c r="Y181" i="4"/>
  <c r="Z181" i="4"/>
  <c r="AA181" i="4"/>
  <c r="AB181" i="4"/>
  <c r="W183" i="4"/>
  <c r="X183" i="4"/>
  <c r="Y183" i="4"/>
  <c r="Z183" i="4"/>
  <c r="AA183" i="4"/>
  <c r="AB183" i="4"/>
  <c r="W157" i="5"/>
  <c r="X157" i="5"/>
  <c r="Y157" i="5"/>
  <c r="Z157" i="5"/>
  <c r="AA157" i="5"/>
  <c r="AB157" i="5"/>
  <c r="W159" i="5"/>
  <c r="X159" i="5"/>
  <c r="Y159" i="5"/>
  <c r="Z159" i="5"/>
  <c r="AA159" i="5"/>
  <c r="AB159" i="5"/>
  <c r="W160" i="5"/>
  <c r="X160" i="5"/>
  <c r="Y160" i="5"/>
  <c r="Z160" i="5"/>
  <c r="AA160" i="5"/>
  <c r="AB160" i="5"/>
  <c r="W161" i="5"/>
  <c r="X161" i="5"/>
  <c r="Y161" i="5"/>
  <c r="Z161" i="5"/>
  <c r="AA161" i="5"/>
  <c r="AB161" i="5"/>
  <c r="W163" i="5"/>
  <c r="X163" i="5"/>
  <c r="Y163" i="5"/>
  <c r="Z163" i="5"/>
  <c r="AA163" i="5"/>
  <c r="AB163" i="5"/>
  <c r="W164" i="5"/>
  <c r="X164" i="5"/>
  <c r="Y164" i="5"/>
  <c r="Z164" i="5"/>
  <c r="AA164" i="5"/>
  <c r="AB164" i="5"/>
  <c r="W166" i="5"/>
  <c r="X166" i="5"/>
  <c r="Y166" i="5"/>
  <c r="Z166" i="5"/>
  <c r="AA166" i="5"/>
  <c r="AB166" i="5"/>
  <c r="W167" i="5"/>
  <c r="X167" i="5"/>
  <c r="Y167" i="5"/>
  <c r="Z167" i="5"/>
  <c r="AA167" i="5"/>
  <c r="AB167" i="5"/>
  <c r="W169" i="5"/>
  <c r="X169" i="5"/>
  <c r="Y169" i="5"/>
  <c r="Z169" i="5"/>
  <c r="AA169" i="5"/>
  <c r="AB169" i="5"/>
  <c r="W171" i="5"/>
  <c r="X171" i="5"/>
  <c r="Y171" i="5"/>
  <c r="Z171" i="5"/>
  <c r="AA171" i="5"/>
  <c r="AB171" i="5"/>
  <c r="W172" i="5"/>
  <c r="X172" i="5"/>
  <c r="Y172" i="5"/>
  <c r="Z172" i="5"/>
  <c r="AA172" i="5"/>
  <c r="AB172" i="5"/>
  <c r="W174" i="5"/>
  <c r="X174" i="5"/>
  <c r="Y174" i="5"/>
  <c r="Z174" i="5"/>
  <c r="AA174" i="5"/>
  <c r="AB174" i="5"/>
  <c r="W176" i="5"/>
  <c r="X176" i="5"/>
  <c r="Y176" i="5"/>
  <c r="Z176" i="5"/>
  <c r="AA176" i="5"/>
  <c r="AB176" i="5"/>
  <c r="W167" i="1"/>
  <c r="X167" i="1"/>
  <c r="Y167" i="1"/>
  <c r="Z167" i="1"/>
  <c r="AA167" i="1"/>
  <c r="AB167" i="1"/>
  <c r="W169" i="1"/>
  <c r="X169" i="1"/>
  <c r="Y169" i="1"/>
  <c r="Z169" i="1"/>
  <c r="AA169" i="1"/>
  <c r="AB169" i="1"/>
  <c r="W171" i="1"/>
  <c r="X171" i="1"/>
  <c r="Y171" i="1"/>
  <c r="Z171" i="1"/>
  <c r="AA171" i="1"/>
  <c r="AB171" i="1"/>
  <c r="W172" i="1"/>
  <c r="X172" i="1"/>
  <c r="Y172" i="1"/>
  <c r="Z172" i="1"/>
  <c r="AA172" i="1"/>
  <c r="AB172" i="1"/>
  <c r="W173" i="1"/>
  <c r="X173" i="1"/>
  <c r="Y173" i="1"/>
  <c r="Z173" i="1"/>
  <c r="AA173" i="1"/>
  <c r="AB173" i="1"/>
  <c r="W175" i="1"/>
  <c r="X175" i="1"/>
  <c r="Y175" i="1"/>
  <c r="Z175" i="1"/>
  <c r="AA175" i="1"/>
  <c r="AB175" i="1"/>
  <c r="W176" i="1"/>
  <c r="X176" i="1"/>
  <c r="Y176" i="1"/>
  <c r="Z176" i="1"/>
  <c r="AA176" i="1"/>
  <c r="AB176" i="1"/>
  <c r="W178" i="1"/>
  <c r="X178" i="1"/>
  <c r="Y178" i="1"/>
  <c r="Z178" i="1"/>
  <c r="AA178" i="1"/>
  <c r="AB178" i="1"/>
  <c r="W180" i="1"/>
  <c r="X180" i="1"/>
  <c r="Y180" i="1"/>
  <c r="Z180" i="1"/>
  <c r="AA180" i="1"/>
  <c r="AB180" i="1"/>
  <c r="W182" i="1"/>
  <c r="X182" i="1"/>
  <c r="Y182" i="1"/>
  <c r="Z182" i="1"/>
  <c r="AA182" i="1"/>
  <c r="AB182" i="1"/>
  <c r="W184" i="1"/>
  <c r="X184" i="1"/>
  <c r="Y184" i="1"/>
  <c r="Z184" i="1"/>
  <c r="AA184" i="1"/>
  <c r="AB184" i="1"/>
  <c r="W160" i="2"/>
  <c r="X160" i="2"/>
  <c r="Y160" i="2"/>
  <c r="Z160" i="2"/>
  <c r="AA160" i="2"/>
  <c r="AB160" i="2"/>
  <c r="W161" i="2"/>
  <c r="X161" i="2"/>
  <c r="Y161" i="2"/>
  <c r="Z161" i="2"/>
  <c r="AA161" i="2"/>
  <c r="AB161" i="2"/>
  <c r="W163" i="2"/>
  <c r="X163" i="2"/>
  <c r="Y163" i="2"/>
  <c r="Z163" i="2"/>
  <c r="AA163" i="2"/>
  <c r="AB163" i="2"/>
  <c r="W164" i="2"/>
  <c r="X164" i="2"/>
  <c r="Y164" i="2"/>
  <c r="Z164" i="2"/>
  <c r="AA164" i="2"/>
  <c r="AB164" i="2"/>
  <c r="W166" i="2"/>
  <c r="X166" i="2"/>
  <c r="Y166" i="2"/>
  <c r="Z166" i="2"/>
  <c r="AA166" i="2"/>
  <c r="AB166" i="2"/>
  <c r="W167" i="2"/>
  <c r="X167" i="2"/>
  <c r="Y167" i="2"/>
  <c r="Z167" i="2"/>
  <c r="AA167" i="2"/>
  <c r="AB167" i="2"/>
  <c r="W169" i="2"/>
  <c r="X169" i="2"/>
  <c r="Y169" i="2"/>
  <c r="Z169" i="2"/>
  <c r="AA169" i="2"/>
  <c r="AB169" i="2"/>
  <c r="W170" i="2"/>
  <c r="X170" i="2"/>
  <c r="Y170" i="2"/>
  <c r="Z170" i="2"/>
  <c r="AA170" i="2"/>
  <c r="AB170" i="2"/>
  <c r="W172" i="2"/>
  <c r="X172" i="2"/>
  <c r="Y172" i="2"/>
  <c r="Z172" i="2"/>
  <c r="AA172" i="2"/>
  <c r="AB172" i="2"/>
  <c r="W174" i="2"/>
  <c r="X174" i="2"/>
  <c r="Y174" i="2"/>
  <c r="Z174" i="2"/>
  <c r="AA174" i="2"/>
  <c r="AB174" i="2"/>
  <c r="W176" i="2"/>
  <c r="X176" i="2"/>
  <c r="Y176" i="2"/>
  <c r="Z176" i="2"/>
  <c r="AA176" i="2"/>
  <c r="AB176" i="2"/>
  <c r="W166" i="3"/>
  <c r="X166" i="3"/>
  <c r="Y166" i="3"/>
  <c r="Z166" i="3"/>
  <c r="AA166" i="3"/>
  <c r="AB166" i="3"/>
  <c r="W167" i="3"/>
  <c r="X167" i="3"/>
  <c r="Y167" i="3"/>
  <c r="Z167" i="3"/>
  <c r="AA167" i="3"/>
  <c r="AB167" i="3"/>
  <c r="W168" i="3"/>
  <c r="X168" i="3"/>
  <c r="Y168" i="3"/>
  <c r="Z168" i="3"/>
  <c r="AA168" i="3"/>
  <c r="AB168" i="3"/>
  <c r="W170" i="3"/>
  <c r="X170" i="3"/>
  <c r="Y170" i="3"/>
  <c r="Z170" i="3"/>
  <c r="AA170" i="3"/>
  <c r="AB170" i="3"/>
  <c r="W171" i="3"/>
  <c r="X171" i="3"/>
  <c r="Y171" i="3"/>
  <c r="Z171" i="3"/>
  <c r="AA171" i="3"/>
  <c r="AB171" i="3"/>
  <c r="W172" i="3"/>
  <c r="X172" i="3"/>
  <c r="Y172" i="3"/>
  <c r="Z172" i="3"/>
  <c r="AA172" i="3"/>
  <c r="AB172" i="3"/>
  <c r="W173" i="3"/>
  <c r="X173" i="3"/>
  <c r="Y173" i="3"/>
  <c r="Z173" i="3"/>
  <c r="AA173" i="3"/>
  <c r="AB173" i="3"/>
  <c r="W175" i="3"/>
  <c r="X175" i="3"/>
  <c r="Y175" i="3"/>
  <c r="Z175" i="3"/>
  <c r="AA175" i="3"/>
  <c r="AB175" i="3"/>
  <c r="W176" i="3"/>
  <c r="X176" i="3"/>
  <c r="Y176" i="3"/>
  <c r="Z176" i="3"/>
  <c r="AA176" i="3"/>
  <c r="AB176" i="3"/>
  <c r="W178" i="3"/>
  <c r="X178" i="3"/>
  <c r="Y178" i="3"/>
  <c r="Z178" i="3"/>
  <c r="AA178" i="3"/>
  <c r="AB178" i="3"/>
  <c r="W179" i="3"/>
  <c r="X179" i="3"/>
  <c r="Y179" i="3"/>
  <c r="Z179" i="3"/>
  <c r="AA179" i="3"/>
  <c r="AB179" i="3"/>
  <c r="W181" i="3"/>
  <c r="X181" i="3"/>
  <c r="Y181" i="3"/>
  <c r="Z181" i="3"/>
  <c r="AA181" i="3"/>
  <c r="AB181" i="3"/>
  <c r="W182" i="3"/>
  <c r="X182" i="3"/>
  <c r="Y182" i="3"/>
  <c r="Z182" i="3"/>
  <c r="AA182" i="3"/>
  <c r="AB182" i="3"/>
  <c r="W183" i="3"/>
  <c r="X183" i="3"/>
  <c r="Y183" i="3"/>
  <c r="Z183" i="3"/>
  <c r="AA183" i="3"/>
  <c r="AB183" i="3"/>
  <c r="W184" i="3"/>
  <c r="X184" i="3"/>
  <c r="Y184" i="3"/>
  <c r="Z184" i="3"/>
  <c r="AA184" i="3"/>
  <c r="AB184" i="3"/>
  <c r="W187" i="4"/>
  <c r="X187" i="4"/>
  <c r="Y187" i="4"/>
  <c r="Z187" i="4"/>
  <c r="AA187" i="4"/>
  <c r="AB187" i="4"/>
  <c r="W188" i="4"/>
  <c r="X188" i="4"/>
  <c r="Y188" i="4"/>
  <c r="Z188" i="4"/>
  <c r="AA188" i="4"/>
  <c r="AB188" i="4"/>
  <c r="W190" i="4"/>
  <c r="X190" i="4"/>
  <c r="Y190" i="4"/>
  <c r="Z190" i="4"/>
  <c r="AA190" i="4"/>
  <c r="AB190" i="4"/>
  <c r="W191" i="4"/>
  <c r="X191" i="4"/>
  <c r="Y191" i="4"/>
  <c r="Z191" i="4"/>
  <c r="AA191" i="4"/>
  <c r="AB191" i="4"/>
  <c r="W192" i="4"/>
  <c r="X192" i="4"/>
  <c r="Y192" i="4"/>
  <c r="Z192" i="4"/>
  <c r="AA192" i="4"/>
  <c r="AB192" i="4"/>
  <c r="W195" i="4"/>
  <c r="X195" i="4"/>
  <c r="Y195" i="4"/>
  <c r="Z195" i="4"/>
  <c r="AA195" i="4"/>
  <c r="AB195" i="4"/>
  <c r="W197" i="4"/>
  <c r="X197" i="4"/>
  <c r="Y197" i="4"/>
  <c r="Z197" i="4"/>
  <c r="AA197" i="4"/>
  <c r="AB197" i="4"/>
  <c r="W199" i="4"/>
  <c r="X199" i="4"/>
  <c r="Y199" i="4"/>
  <c r="Z199" i="4"/>
  <c r="AA199" i="4"/>
  <c r="AB199" i="4"/>
  <c r="W201" i="4"/>
  <c r="X201" i="4"/>
  <c r="Y201" i="4"/>
  <c r="Z201" i="4"/>
  <c r="AA201" i="4"/>
  <c r="AB201" i="4"/>
  <c r="W202" i="4"/>
  <c r="X202" i="4"/>
  <c r="Y202" i="4"/>
  <c r="Z202" i="4"/>
  <c r="AA202" i="4"/>
  <c r="AB202" i="4"/>
  <c r="W204" i="4"/>
  <c r="X204" i="4"/>
  <c r="Y204" i="4"/>
  <c r="Z204" i="4"/>
  <c r="AA204" i="4"/>
  <c r="AB204" i="4"/>
  <c r="W206" i="4"/>
  <c r="X206" i="4"/>
  <c r="Y206" i="4"/>
  <c r="Z206" i="4"/>
  <c r="AA206" i="4"/>
  <c r="AB206" i="4"/>
  <c r="W208" i="4"/>
  <c r="X208" i="4"/>
  <c r="Y208" i="4"/>
  <c r="Z208" i="4"/>
  <c r="AA208" i="4"/>
  <c r="AB208" i="4"/>
  <c r="W181" i="5"/>
  <c r="X181" i="5"/>
  <c r="Y181" i="5"/>
  <c r="Z181" i="5"/>
  <c r="AA181" i="5"/>
  <c r="AB181" i="5"/>
  <c r="W183" i="5"/>
  <c r="X183" i="5"/>
  <c r="Y183" i="5"/>
  <c r="Z183" i="5"/>
  <c r="AA183" i="5"/>
  <c r="AB183" i="5"/>
  <c r="W184" i="5"/>
  <c r="X184" i="5"/>
  <c r="Y184" i="5"/>
  <c r="Z184" i="5"/>
  <c r="AA184" i="5"/>
  <c r="AB184" i="5"/>
  <c r="W185" i="5"/>
  <c r="X185" i="5"/>
  <c r="Y185" i="5"/>
  <c r="Z185" i="5"/>
  <c r="AA185" i="5"/>
  <c r="AB185" i="5"/>
  <c r="W187" i="5"/>
  <c r="X187" i="5"/>
  <c r="Y187" i="5"/>
  <c r="Z187" i="5"/>
  <c r="AA187" i="5"/>
  <c r="AB187" i="5"/>
  <c r="W188" i="5"/>
  <c r="X188" i="5"/>
  <c r="Y188" i="5"/>
  <c r="Z188" i="5"/>
  <c r="AA188" i="5"/>
  <c r="AB188" i="5"/>
  <c r="W190" i="5"/>
  <c r="X190" i="5"/>
  <c r="Y190" i="5"/>
  <c r="Z190" i="5"/>
  <c r="AA190" i="5"/>
  <c r="AB190" i="5"/>
  <c r="W191" i="5"/>
  <c r="X191" i="5"/>
  <c r="Y191" i="5"/>
  <c r="Z191" i="5"/>
  <c r="AA191" i="5"/>
  <c r="AB191" i="5"/>
  <c r="W193" i="5"/>
  <c r="X193" i="5"/>
  <c r="Y193" i="5"/>
  <c r="Z193" i="5"/>
  <c r="AA193" i="5"/>
  <c r="AB193" i="5"/>
  <c r="W195" i="5"/>
  <c r="X195" i="5"/>
  <c r="Y195" i="5"/>
  <c r="Z195" i="5"/>
  <c r="AA195" i="5"/>
  <c r="AB195" i="5"/>
  <c r="W196" i="5"/>
  <c r="X196" i="5"/>
  <c r="Y196" i="5"/>
  <c r="Z196" i="5"/>
  <c r="AA196" i="5"/>
  <c r="AB196" i="5"/>
  <c r="W198" i="5"/>
  <c r="X198" i="5"/>
  <c r="Y198" i="5"/>
  <c r="Z198" i="5"/>
  <c r="AA198" i="5"/>
  <c r="AB198" i="5"/>
  <c r="W200" i="5"/>
  <c r="X200" i="5"/>
  <c r="Y200" i="5"/>
  <c r="Z200" i="5"/>
  <c r="AA200" i="5"/>
  <c r="AB200" i="5"/>
  <c r="W189" i="1"/>
  <c r="X189" i="1"/>
  <c r="Y189" i="1"/>
  <c r="Z189" i="1"/>
  <c r="AA189" i="1"/>
  <c r="AB189" i="1"/>
  <c r="W191" i="1"/>
  <c r="X191" i="1"/>
  <c r="Y191" i="1"/>
  <c r="Z191" i="1"/>
  <c r="AA191" i="1"/>
  <c r="AB191" i="1"/>
  <c r="W193" i="1"/>
  <c r="X193" i="1"/>
  <c r="Y193" i="1"/>
  <c r="Z193" i="1"/>
  <c r="AA193" i="1"/>
  <c r="AB193" i="1"/>
  <c r="W194" i="1"/>
  <c r="X194" i="1"/>
  <c r="Y194" i="1"/>
  <c r="Z194" i="1"/>
  <c r="AA194" i="1"/>
  <c r="AB194" i="1"/>
  <c r="W195" i="1"/>
  <c r="X195" i="1"/>
  <c r="Y195" i="1"/>
  <c r="Z195" i="1"/>
  <c r="AA195" i="1"/>
  <c r="AB195" i="1"/>
  <c r="W197" i="1"/>
  <c r="X197" i="1"/>
  <c r="Y197" i="1"/>
  <c r="Z197" i="1"/>
  <c r="AA197" i="1"/>
  <c r="AB197" i="1"/>
  <c r="W198" i="1"/>
  <c r="X198" i="1"/>
  <c r="Y198" i="1"/>
  <c r="Z198" i="1"/>
  <c r="AA198" i="1"/>
  <c r="AB198" i="1"/>
  <c r="W200" i="1"/>
  <c r="X200" i="1"/>
  <c r="Y200" i="1"/>
  <c r="Z200" i="1"/>
  <c r="AA200" i="1"/>
  <c r="AB200" i="1"/>
  <c r="W202" i="1"/>
  <c r="X202" i="1"/>
  <c r="Y202" i="1"/>
  <c r="Z202" i="1"/>
  <c r="AA202" i="1"/>
  <c r="AB202" i="1"/>
  <c r="W204" i="1"/>
  <c r="X204" i="1"/>
  <c r="Y204" i="1"/>
  <c r="Z204" i="1"/>
  <c r="AA204" i="1"/>
  <c r="AB204" i="1"/>
  <c r="W206" i="1"/>
  <c r="X206" i="1"/>
  <c r="Y206" i="1"/>
  <c r="Z206" i="1"/>
  <c r="AA206" i="1"/>
  <c r="AB206" i="1"/>
  <c r="W181" i="2"/>
  <c r="X181" i="2"/>
  <c r="Y181" i="2"/>
  <c r="Z181" i="2"/>
  <c r="AA181" i="2"/>
  <c r="AB181" i="2"/>
  <c r="W182" i="2"/>
  <c r="X182" i="2"/>
  <c r="Y182" i="2"/>
  <c r="Z182" i="2"/>
  <c r="AA182" i="2"/>
  <c r="AB182" i="2"/>
  <c r="W184" i="2"/>
  <c r="X184" i="2"/>
  <c r="Y184" i="2"/>
  <c r="Z184" i="2"/>
  <c r="AA184" i="2"/>
  <c r="AB184" i="2"/>
  <c r="W185" i="2"/>
  <c r="X185" i="2"/>
  <c r="Y185" i="2"/>
  <c r="Z185" i="2"/>
  <c r="AA185" i="2"/>
  <c r="AB185" i="2"/>
  <c r="W187" i="2"/>
  <c r="X187" i="2"/>
  <c r="Y187" i="2"/>
  <c r="Z187" i="2"/>
  <c r="AA187" i="2"/>
  <c r="AB187" i="2"/>
  <c r="W188" i="2"/>
  <c r="X188" i="2"/>
  <c r="Y188" i="2"/>
  <c r="Z188" i="2"/>
  <c r="AA188" i="2"/>
  <c r="AB188" i="2"/>
  <c r="W190" i="2"/>
  <c r="X190" i="2"/>
  <c r="Y190" i="2"/>
  <c r="Z190" i="2"/>
  <c r="AA190" i="2"/>
  <c r="AB190" i="2"/>
  <c r="W191" i="2"/>
  <c r="X191" i="2"/>
  <c r="Y191" i="2"/>
  <c r="Z191" i="2"/>
  <c r="AA191" i="2"/>
  <c r="AB191" i="2"/>
  <c r="W193" i="2"/>
  <c r="X193" i="2"/>
  <c r="Y193" i="2"/>
  <c r="Z193" i="2"/>
  <c r="AA193" i="2"/>
  <c r="AB193" i="2"/>
  <c r="W195" i="2"/>
  <c r="X195" i="2"/>
  <c r="Y195" i="2"/>
  <c r="Z195" i="2"/>
  <c r="AA195" i="2"/>
  <c r="AB195" i="2"/>
  <c r="W197" i="2"/>
  <c r="X197" i="2"/>
  <c r="Y197" i="2"/>
  <c r="Z197" i="2"/>
  <c r="AA197" i="2"/>
  <c r="AB197" i="2"/>
  <c r="W188" i="3"/>
  <c r="X188" i="3"/>
  <c r="Y188" i="3"/>
  <c r="Z188" i="3"/>
  <c r="AA188" i="3"/>
  <c r="AB188" i="3"/>
  <c r="W189" i="3"/>
  <c r="X189" i="3"/>
  <c r="Y189" i="3"/>
  <c r="Z189" i="3"/>
  <c r="AA189" i="3"/>
  <c r="AB189" i="3"/>
  <c r="W190" i="3"/>
  <c r="X190" i="3"/>
  <c r="Y190" i="3"/>
  <c r="Z190" i="3"/>
  <c r="AA190" i="3"/>
  <c r="AB190" i="3"/>
  <c r="W192" i="3"/>
  <c r="X192" i="3"/>
  <c r="Y192" i="3"/>
  <c r="Z192" i="3"/>
  <c r="AA192" i="3"/>
  <c r="AB192" i="3"/>
  <c r="W193" i="3"/>
  <c r="X193" i="3"/>
  <c r="Y193" i="3"/>
  <c r="Z193" i="3"/>
  <c r="AA193" i="3"/>
  <c r="AB193" i="3"/>
  <c r="W194" i="3"/>
  <c r="X194" i="3"/>
  <c r="Y194" i="3"/>
  <c r="Z194" i="3"/>
  <c r="AA194" i="3"/>
  <c r="AB194" i="3"/>
  <c r="W195" i="3"/>
  <c r="X195" i="3"/>
  <c r="Y195" i="3"/>
  <c r="Z195" i="3"/>
  <c r="AA195" i="3"/>
  <c r="AB195" i="3"/>
  <c r="W197" i="3"/>
  <c r="X197" i="3"/>
  <c r="Y197" i="3"/>
  <c r="Z197" i="3"/>
  <c r="AA197" i="3"/>
  <c r="AB197" i="3"/>
  <c r="W198" i="3"/>
  <c r="X198" i="3"/>
  <c r="Y198" i="3"/>
  <c r="Z198" i="3"/>
  <c r="AA198" i="3"/>
  <c r="AB198" i="3"/>
  <c r="W200" i="3"/>
  <c r="X200" i="3"/>
  <c r="Y200" i="3"/>
  <c r="Z200" i="3"/>
  <c r="AA200" i="3"/>
  <c r="AB200" i="3"/>
  <c r="W201" i="3"/>
  <c r="X201" i="3"/>
  <c r="Y201" i="3"/>
  <c r="Z201" i="3"/>
  <c r="AA201" i="3"/>
  <c r="AB201" i="3"/>
  <c r="W203" i="3"/>
  <c r="X203" i="3"/>
  <c r="Y203" i="3"/>
  <c r="Z203" i="3"/>
  <c r="AA203" i="3"/>
  <c r="AB203" i="3"/>
  <c r="W204" i="3"/>
  <c r="X204" i="3"/>
  <c r="Y204" i="3"/>
  <c r="Z204" i="3"/>
  <c r="AA204" i="3"/>
  <c r="AB204" i="3"/>
  <c r="W205" i="3"/>
  <c r="X205" i="3"/>
  <c r="Y205" i="3"/>
  <c r="Z205" i="3"/>
  <c r="AA205" i="3"/>
  <c r="AB205" i="3"/>
  <c r="W206" i="3"/>
  <c r="X206" i="3"/>
  <c r="Y206" i="3"/>
  <c r="Z206" i="3"/>
  <c r="AA206" i="3"/>
  <c r="AB206" i="3"/>
  <c r="W212" i="4"/>
  <c r="X212" i="4"/>
  <c r="Y212" i="4"/>
  <c r="Z212" i="4"/>
  <c r="AA212" i="4"/>
  <c r="AB212" i="4"/>
  <c r="W213" i="4"/>
  <c r="X213" i="4"/>
  <c r="Y213" i="4"/>
  <c r="Z213" i="4"/>
  <c r="AA213" i="4"/>
  <c r="AB213" i="4"/>
  <c r="W215" i="4"/>
  <c r="X215" i="4"/>
  <c r="Y215" i="4"/>
  <c r="Z215" i="4"/>
  <c r="AA215" i="4"/>
  <c r="AB215" i="4"/>
  <c r="W216" i="4"/>
  <c r="X216" i="4"/>
  <c r="Y216" i="4"/>
  <c r="Z216" i="4"/>
  <c r="AA216" i="4"/>
  <c r="AB216" i="4"/>
  <c r="W217" i="4"/>
  <c r="X217" i="4"/>
  <c r="Y217" i="4"/>
  <c r="Z217" i="4"/>
  <c r="AA217" i="4"/>
  <c r="AB217" i="4"/>
  <c r="W220" i="4"/>
  <c r="X220" i="4"/>
  <c r="Y220" i="4"/>
  <c r="Z220" i="4"/>
  <c r="AA220" i="4"/>
  <c r="AB220" i="4"/>
  <c r="W222" i="4"/>
  <c r="X222" i="4"/>
  <c r="Y222" i="4"/>
  <c r="Z222" i="4"/>
  <c r="AA222" i="4"/>
  <c r="AB222" i="4"/>
  <c r="W224" i="4"/>
  <c r="X224" i="4"/>
  <c r="Y224" i="4"/>
  <c r="Z224" i="4"/>
  <c r="AA224" i="4"/>
  <c r="AB224" i="4"/>
  <c r="W226" i="4"/>
  <c r="X226" i="4"/>
  <c r="Y226" i="4"/>
  <c r="Z226" i="4"/>
  <c r="AA226" i="4"/>
  <c r="AB226" i="4"/>
  <c r="W227" i="4"/>
  <c r="X227" i="4"/>
  <c r="Y227" i="4"/>
  <c r="Z227" i="4"/>
  <c r="AA227" i="4"/>
  <c r="AB227" i="4"/>
  <c r="W229" i="4"/>
  <c r="X229" i="4"/>
  <c r="Y229" i="4"/>
  <c r="Z229" i="4"/>
  <c r="AA229" i="4"/>
  <c r="AB229" i="4"/>
  <c r="W231" i="4"/>
  <c r="X231" i="4"/>
  <c r="Y231" i="4"/>
  <c r="Z231" i="4"/>
  <c r="AA231" i="4"/>
  <c r="AB231" i="4"/>
  <c r="W233" i="4"/>
  <c r="X233" i="4"/>
  <c r="Y233" i="4"/>
  <c r="Z233" i="4"/>
  <c r="AA233" i="4"/>
  <c r="AB233" i="4"/>
  <c r="W205" i="5"/>
  <c r="X205" i="5"/>
  <c r="Y205" i="5"/>
  <c r="Z205" i="5"/>
  <c r="AA205" i="5"/>
  <c r="AB205" i="5"/>
  <c r="W207" i="5"/>
  <c r="X207" i="5"/>
  <c r="Y207" i="5"/>
  <c r="Z207" i="5"/>
  <c r="AA207" i="5"/>
  <c r="AB207" i="5"/>
  <c r="W208" i="5"/>
  <c r="X208" i="5"/>
  <c r="Y208" i="5"/>
  <c r="Z208" i="5"/>
  <c r="AA208" i="5"/>
  <c r="AB208" i="5"/>
  <c r="W209" i="5"/>
  <c r="X209" i="5"/>
  <c r="Y209" i="5"/>
  <c r="Z209" i="5"/>
  <c r="AA209" i="5"/>
  <c r="AB209" i="5"/>
  <c r="W211" i="5"/>
  <c r="X211" i="5"/>
  <c r="Y211" i="5"/>
  <c r="Z211" i="5"/>
  <c r="AA211" i="5"/>
  <c r="AB211" i="5"/>
  <c r="W212" i="5"/>
  <c r="X212" i="5"/>
  <c r="Y212" i="5"/>
  <c r="Z212" i="5"/>
  <c r="AA212" i="5"/>
  <c r="AB212" i="5"/>
  <c r="W214" i="5"/>
  <c r="X214" i="5"/>
  <c r="Y214" i="5"/>
  <c r="Z214" i="5"/>
  <c r="AA214" i="5"/>
  <c r="AB214" i="5"/>
  <c r="W215" i="5"/>
  <c r="X215" i="5"/>
  <c r="Y215" i="5"/>
  <c r="Z215" i="5"/>
  <c r="AA215" i="5"/>
  <c r="AB215" i="5"/>
  <c r="W217" i="5"/>
  <c r="X217" i="5"/>
  <c r="Y217" i="5"/>
  <c r="Z217" i="5"/>
  <c r="AA217" i="5"/>
  <c r="AB217" i="5"/>
  <c r="W219" i="5"/>
  <c r="X219" i="5"/>
  <c r="Y219" i="5"/>
  <c r="Z219" i="5"/>
  <c r="AA219" i="5"/>
  <c r="AB219" i="5"/>
  <c r="W220" i="5"/>
  <c r="X220" i="5"/>
  <c r="Y220" i="5"/>
  <c r="Z220" i="5"/>
  <c r="AA220" i="5"/>
  <c r="AB220" i="5"/>
  <c r="W222" i="5"/>
  <c r="X222" i="5"/>
  <c r="Y222" i="5"/>
  <c r="Z222" i="5"/>
  <c r="AA222" i="5"/>
  <c r="AB222" i="5"/>
  <c r="W224" i="5"/>
  <c r="X224" i="5"/>
  <c r="Y224" i="5"/>
  <c r="Z224" i="5"/>
  <c r="AA224" i="5"/>
  <c r="AB224" i="5"/>
  <c r="W211" i="1"/>
  <c r="X211" i="1"/>
  <c r="Y211" i="1"/>
  <c r="Z211" i="1"/>
  <c r="AA211" i="1"/>
  <c r="AB211" i="1"/>
  <c r="W213" i="1"/>
  <c r="X213" i="1"/>
  <c r="Y213" i="1"/>
  <c r="Z213" i="1"/>
  <c r="AA213" i="1"/>
  <c r="AB213" i="1"/>
  <c r="W215" i="1"/>
  <c r="X215" i="1"/>
  <c r="Y215" i="1"/>
  <c r="Z215" i="1"/>
  <c r="AA215" i="1"/>
  <c r="AB215" i="1"/>
  <c r="W216" i="1"/>
  <c r="X216" i="1"/>
  <c r="Y216" i="1"/>
  <c r="Z216" i="1"/>
  <c r="AA216" i="1"/>
  <c r="AB216" i="1"/>
  <c r="W217" i="1"/>
  <c r="X217" i="1"/>
  <c r="Y217" i="1"/>
  <c r="Z217" i="1"/>
  <c r="AA217" i="1"/>
  <c r="AB217" i="1"/>
  <c r="W219" i="1"/>
  <c r="X219" i="1"/>
  <c r="Y219" i="1"/>
  <c r="Z219" i="1"/>
  <c r="AA219" i="1"/>
  <c r="AB219" i="1"/>
  <c r="W220" i="1"/>
  <c r="X220" i="1"/>
  <c r="Y220" i="1"/>
  <c r="Z220" i="1"/>
  <c r="AA220" i="1"/>
  <c r="AB220" i="1"/>
  <c r="W222" i="1"/>
  <c r="X222" i="1"/>
  <c r="Y222" i="1"/>
  <c r="Z222" i="1"/>
  <c r="AA222" i="1"/>
  <c r="AB222" i="1"/>
  <c r="W224" i="1"/>
  <c r="X224" i="1"/>
  <c r="Y224" i="1"/>
  <c r="Z224" i="1"/>
  <c r="AA224" i="1"/>
  <c r="AB224" i="1"/>
  <c r="W226" i="1"/>
  <c r="X226" i="1"/>
  <c r="Y226" i="1"/>
  <c r="Z226" i="1"/>
  <c r="AA226" i="1"/>
  <c r="AB226" i="1"/>
  <c r="W228" i="1"/>
  <c r="X228" i="1"/>
  <c r="Y228" i="1"/>
  <c r="Z228" i="1"/>
  <c r="AA228" i="1"/>
  <c r="AB228" i="1"/>
  <c r="W202" i="2"/>
  <c r="X202" i="2"/>
  <c r="Y202" i="2"/>
  <c r="Z202" i="2"/>
  <c r="AA202" i="2"/>
  <c r="AB202" i="2"/>
  <c r="W203" i="2"/>
  <c r="X203" i="2"/>
  <c r="Y203" i="2"/>
  <c r="Z203" i="2"/>
  <c r="AA203" i="2"/>
  <c r="AB203" i="2"/>
  <c r="W205" i="2"/>
  <c r="X205" i="2"/>
  <c r="Y205" i="2"/>
  <c r="Z205" i="2"/>
  <c r="AA205" i="2"/>
  <c r="AB205" i="2"/>
  <c r="W206" i="2"/>
  <c r="X206" i="2"/>
  <c r="Y206" i="2"/>
  <c r="Z206" i="2"/>
  <c r="AA206" i="2"/>
  <c r="AB206" i="2"/>
  <c r="W208" i="2"/>
  <c r="X208" i="2"/>
  <c r="Y208" i="2"/>
  <c r="Z208" i="2"/>
  <c r="AA208" i="2"/>
  <c r="AB208" i="2"/>
  <c r="W209" i="2"/>
  <c r="X209" i="2"/>
  <c r="Y209" i="2"/>
  <c r="Z209" i="2"/>
  <c r="AA209" i="2"/>
  <c r="AB209" i="2"/>
  <c r="W211" i="2"/>
  <c r="X211" i="2"/>
  <c r="Y211" i="2"/>
  <c r="Z211" i="2"/>
  <c r="AA211" i="2"/>
  <c r="AB211" i="2"/>
  <c r="W212" i="2"/>
  <c r="X212" i="2"/>
  <c r="Y212" i="2"/>
  <c r="Z212" i="2"/>
  <c r="AA212" i="2"/>
  <c r="AB212" i="2"/>
  <c r="W214" i="2"/>
  <c r="X214" i="2"/>
  <c r="Y214" i="2"/>
  <c r="Z214" i="2"/>
  <c r="AA214" i="2"/>
  <c r="AB214" i="2"/>
  <c r="W216" i="2"/>
  <c r="X216" i="2"/>
  <c r="Y216" i="2"/>
  <c r="Z216" i="2"/>
  <c r="AA216" i="2"/>
  <c r="AB216" i="2"/>
  <c r="W218" i="2"/>
  <c r="X218" i="2"/>
  <c r="Y218" i="2"/>
  <c r="Z218" i="2"/>
  <c r="AA218" i="2"/>
  <c r="AB218" i="2"/>
  <c r="W210" i="3"/>
  <c r="X210" i="3"/>
  <c r="Y210" i="3"/>
  <c r="Z210" i="3"/>
  <c r="AA210" i="3"/>
  <c r="AB210" i="3"/>
  <c r="W211" i="3"/>
  <c r="X211" i="3"/>
  <c r="Y211" i="3"/>
  <c r="Z211" i="3"/>
  <c r="AA211" i="3"/>
  <c r="AB211" i="3"/>
  <c r="W212" i="3"/>
  <c r="X212" i="3"/>
  <c r="Y212" i="3"/>
  <c r="Z212" i="3"/>
  <c r="AA212" i="3"/>
  <c r="AB212" i="3"/>
  <c r="W214" i="3"/>
  <c r="X214" i="3"/>
  <c r="Y214" i="3"/>
  <c r="Z214" i="3"/>
  <c r="AA214" i="3"/>
  <c r="AB214" i="3"/>
  <c r="W215" i="3"/>
  <c r="X215" i="3"/>
  <c r="Y215" i="3"/>
  <c r="Z215" i="3"/>
  <c r="AA215" i="3"/>
  <c r="AB215" i="3"/>
  <c r="W216" i="3"/>
  <c r="X216" i="3"/>
  <c r="Y216" i="3"/>
  <c r="Z216" i="3"/>
  <c r="AA216" i="3"/>
  <c r="AB216" i="3"/>
  <c r="W217" i="3"/>
  <c r="X217" i="3"/>
  <c r="Y217" i="3"/>
  <c r="Z217" i="3"/>
  <c r="AA217" i="3"/>
  <c r="AB217" i="3"/>
  <c r="W219" i="3"/>
  <c r="X219" i="3"/>
  <c r="Y219" i="3"/>
  <c r="Z219" i="3"/>
  <c r="AA219" i="3"/>
  <c r="AB219" i="3"/>
  <c r="W220" i="3"/>
  <c r="X220" i="3"/>
  <c r="Y220" i="3"/>
  <c r="Z220" i="3"/>
  <c r="AA220" i="3"/>
  <c r="AB220" i="3"/>
  <c r="W222" i="3"/>
  <c r="X222" i="3"/>
  <c r="Y222" i="3"/>
  <c r="Z222" i="3"/>
  <c r="AA222" i="3"/>
  <c r="AB222" i="3"/>
  <c r="W223" i="3"/>
  <c r="X223" i="3"/>
  <c r="Y223" i="3"/>
  <c r="Z223" i="3"/>
  <c r="AA223" i="3"/>
  <c r="AB223" i="3"/>
  <c r="W225" i="3"/>
  <c r="X225" i="3"/>
  <c r="Y225" i="3"/>
  <c r="Z225" i="3"/>
  <c r="AA225" i="3"/>
  <c r="AB225" i="3"/>
  <c r="W226" i="3"/>
  <c r="X226" i="3"/>
  <c r="Y226" i="3"/>
  <c r="Z226" i="3"/>
  <c r="AA226" i="3"/>
  <c r="AB226" i="3"/>
  <c r="W227" i="3"/>
  <c r="X227" i="3"/>
  <c r="Y227" i="3"/>
  <c r="Z227" i="3"/>
  <c r="AA227" i="3"/>
  <c r="AB227" i="3"/>
  <c r="W228" i="3"/>
  <c r="X228" i="3"/>
  <c r="Y228" i="3"/>
  <c r="Z228" i="3"/>
  <c r="AA228" i="3"/>
  <c r="AB228" i="3"/>
  <c r="W237" i="4"/>
  <c r="X237" i="4"/>
  <c r="Y237" i="4"/>
  <c r="Z237" i="4"/>
  <c r="AA237" i="4"/>
  <c r="AB237" i="4"/>
  <c r="W238" i="4"/>
  <c r="X238" i="4"/>
  <c r="Y238" i="4"/>
  <c r="Z238" i="4"/>
  <c r="AA238" i="4"/>
  <c r="AB238" i="4"/>
  <c r="W240" i="4"/>
  <c r="X240" i="4"/>
  <c r="Y240" i="4"/>
  <c r="Z240" i="4"/>
  <c r="AA240" i="4"/>
  <c r="AB240" i="4"/>
  <c r="W241" i="4"/>
  <c r="X241" i="4"/>
  <c r="Y241" i="4"/>
  <c r="Z241" i="4"/>
  <c r="AA241" i="4"/>
  <c r="AB241" i="4"/>
  <c r="W242" i="4"/>
  <c r="X242" i="4"/>
  <c r="Y242" i="4"/>
  <c r="Z242" i="4"/>
  <c r="AA242" i="4"/>
  <c r="AB242" i="4"/>
  <c r="W245" i="4"/>
  <c r="X245" i="4"/>
  <c r="Y245" i="4"/>
  <c r="Z245" i="4"/>
  <c r="AA245" i="4"/>
  <c r="AB245" i="4"/>
  <c r="W247" i="4"/>
  <c r="X247" i="4"/>
  <c r="Y247" i="4"/>
  <c r="Z247" i="4"/>
  <c r="AA247" i="4"/>
  <c r="AB247" i="4"/>
  <c r="W249" i="4"/>
  <c r="X249" i="4"/>
  <c r="Y249" i="4"/>
  <c r="Z249" i="4"/>
  <c r="AA249" i="4"/>
  <c r="AB249" i="4"/>
  <c r="W251" i="4"/>
  <c r="X251" i="4"/>
  <c r="Y251" i="4"/>
  <c r="Z251" i="4"/>
  <c r="AA251" i="4"/>
  <c r="AB251" i="4"/>
  <c r="W252" i="4"/>
  <c r="X252" i="4"/>
  <c r="Y252" i="4"/>
  <c r="Z252" i="4"/>
  <c r="AA252" i="4"/>
  <c r="AB252" i="4"/>
  <c r="W254" i="4"/>
  <c r="X254" i="4"/>
  <c r="Y254" i="4"/>
  <c r="Z254" i="4"/>
  <c r="AA254" i="4"/>
  <c r="AB254" i="4"/>
  <c r="W256" i="4"/>
  <c r="X256" i="4"/>
  <c r="Y256" i="4"/>
  <c r="Z256" i="4"/>
  <c r="AA256" i="4"/>
  <c r="AB256" i="4"/>
  <c r="W258" i="4"/>
  <c r="X258" i="4"/>
  <c r="Y258" i="4"/>
  <c r="Z258" i="4"/>
  <c r="AA258" i="4"/>
  <c r="AB258" i="4"/>
  <c r="W229" i="5"/>
  <c r="X229" i="5"/>
  <c r="Y229" i="5"/>
  <c r="Z229" i="5"/>
  <c r="AA229" i="5"/>
  <c r="AB229" i="5"/>
  <c r="W231" i="5"/>
  <c r="X231" i="5"/>
  <c r="Y231" i="5"/>
  <c r="Z231" i="5"/>
  <c r="AA231" i="5"/>
  <c r="AB231" i="5"/>
  <c r="W232" i="5"/>
  <c r="X232" i="5"/>
  <c r="Y232" i="5"/>
  <c r="Z232" i="5"/>
  <c r="AA232" i="5"/>
  <c r="AB232" i="5"/>
  <c r="W233" i="5"/>
  <c r="X233" i="5"/>
  <c r="Y233" i="5"/>
  <c r="Z233" i="5"/>
  <c r="AA233" i="5"/>
  <c r="AB233" i="5"/>
  <c r="W235" i="5"/>
  <c r="X235" i="5"/>
  <c r="Y235" i="5"/>
  <c r="Z235" i="5"/>
  <c r="AA235" i="5"/>
  <c r="AB235" i="5"/>
  <c r="W236" i="5"/>
  <c r="X236" i="5"/>
  <c r="Y236" i="5"/>
  <c r="Z236" i="5"/>
  <c r="AA236" i="5"/>
  <c r="AB236" i="5"/>
  <c r="W238" i="5"/>
  <c r="X238" i="5"/>
  <c r="Y238" i="5"/>
  <c r="Z238" i="5"/>
  <c r="AA238" i="5"/>
  <c r="AB238" i="5"/>
  <c r="W239" i="5"/>
  <c r="X239" i="5"/>
  <c r="Y239" i="5"/>
  <c r="Z239" i="5"/>
  <c r="AA239" i="5"/>
  <c r="AB239" i="5"/>
  <c r="W241" i="5"/>
  <c r="X241" i="5"/>
  <c r="Y241" i="5"/>
  <c r="Z241" i="5"/>
  <c r="AA241" i="5"/>
  <c r="AB241" i="5"/>
  <c r="W243" i="5"/>
  <c r="X243" i="5"/>
  <c r="Y243" i="5"/>
  <c r="Z243" i="5"/>
  <c r="AA243" i="5"/>
  <c r="AB243" i="5"/>
  <c r="W244" i="5"/>
  <c r="X244" i="5"/>
  <c r="Y244" i="5"/>
  <c r="Z244" i="5"/>
  <c r="AA244" i="5"/>
  <c r="AB244" i="5"/>
  <c r="W246" i="5"/>
  <c r="X246" i="5"/>
  <c r="Y246" i="5"/>
  <c r="Z246" i="5"/>
  <c r="AA246" i="5"/>
  <c r="AB246" i="5"/>
  <c r="W248" i="5"/>
  <c r="X248" i="5"/>
  <c r="Y248" i="5"/>
  <c r="Z248" i="5"/>
  <c r="AA248" i="5"/>
  <c r="AB248" i="5"/>
  <c r="W233" i="1"/>
  <c r="X233" i="1"/>
  <c r="Y233" i="1"/>
  <c r="Z233" i="1"/>
  <c r="AA233" i="1"/>
  <c r="AB233" i="1"/>
  <c r="W235" i="1"/>
  <c r="X235" i="1"/>
  <c r="Y235" i="1"/>
  <c r="Z235" i="1"/>
  <c r="AA235" i="1"/>
  <c r="AB235" i="1"/>
  <c r="W237" i="1"/>
  <c r="X237" i="1"/>
  <c r="Y237" i="1"/>
  <c r="Z237" i="1"/>
  <c r="AA237" i="1"/>
  <c r="AB237" i="1"/>
  <c r="W238" i="1"/>
  <c r="X238" i="1"/>
  <c r="Y238" i="1"/>
  <c r="Z238" i="1"/>
  <c r="AA238" i="1"/>
  <c r="AB238" i="1"/>
  <c r="W239" i="1"/>
  <c r="X239" i="1"/>
  <c r="Y239" i="1"/>
  <c r="Z239" i="1"/>
  <c r="AA239" i="1"/>
  <c r="AB239" i="1"/>
  <c r="W241" i="1"/>
  <c r="X241" i="1"/>
  <c r="Y241" i="1"/>
  <c r="Z241" i="1"/>
  <c r="AA241" i="1"/>
  <c r="AB241" i="1"/>
  <c r="W242" i="1"/>
  <c r="X242" i="1"/>
  <c r="Y242" i="1"/>
  <c r="Z242" i="1"/>
  <c r="AA242" i="1"/>
  <c r="AB242" i="1"/>
  <c r="W244" i="1"/>
  <c r="X244" i="1"/>
  <c r="Y244" i="1"/>
  <c r="Z244" i="1"/>
  <c r="AA244" i="1"/>
  <c r="AB244" i="1"/>
  <c r="W246" i="1"/>
  <c r="X246" i="1"/>
  <c r="Y246" i="1"/>
  <c r="Z246" i="1"/>
  <c r="AA246" i="1"/>
  <c r="AB246" i="1"/>
  <c r="W248" i="1"/>
  <c r="X248" i="1"/>
  <c r="Y248" i="1"/>
  <c r="Z248" i="1"/>
  <c r="AA248" i="1"/>
  <c r="AB248" i="1"/>
  <c r="W250" i="1"/>
  <c r="X250" i="1"/>
  <c r="Y250" i="1"/>
  <c r="Z250" i="1"/>
  <c r="AA250" i="1"/>
  <c r="AB250" i="1"/>
  <c r="W223" i="2"/>
  <c r="X223" i="2"/>
  <c r="Y223" i="2"/>
  <c r="Z223" i="2"/>
  <c r="AA223" i="2"/>
  <c r="AB223" i="2"/>
  <c r="W224" i="2"/>
  <c r="X224" i="2"/>
  <c r="Y224" i="2"/>
  <c r="Z224" i="2"/>
  <c r="AA224" i="2"/>
  <c r="AB224" i="2"/>
  <c r="W226" i="2"/>
  <c r="X226" i="2"/>
  <c r="Y226" i="2"/>
  <c r="Z226" i="2"/>
  <c r="AA226" i="2"/>
  <c r="AB226" i="2"/>
  <c r="W227" i="2"/>
  <c r="X227" i="2"/>
  <c r="Y227" i="2"/>
  <c r="Z227" i="2"/>
  <c r="AA227" i="2"/>
  <c r="AB227" i="2"/>
  <c r="W229" i="2"/>
  <c r="X229" i="2"/>
  <c r="Y229" i="2"/>
  <c r="Z229" i="2"/>
  <c r="AA229" i="2"/>
  <c r="AB229" i="2"/>
  <c r="W230" i="2"/>
  <c r="X230" i="2"/>
  <c r="Y230" i="2"/>
  <c r="Z230" i="2"/>
  <c r="AA230" i="2"/>
  <c r="AB230" i="2"/>
  <c r="W232" i="2"/>
  <c r="X232" i="2"/>
  <c r="Y232" i="2"/>
  <c r="Z232" i="2"/>
  <c r="AA232" i="2"/>
  <c r="AB232" i="2"/>
  <c r="W233" i="2"/>
  <c r="X233" i="2"/>
  <c r="Y233" i="2"/>
  <c r="Z233" i="2"/>
  <c r="AA233" i="2"/>
  <c r="AB233" i="2"/>
  <c r="W235" i="2"/>
  <c r="X235" i="2"/>
  <c r="Y235" i="2"/>
  <c r="Z235" i="2"/>
  <c r="AA235" i="2"/>
  <c r="AB235" i="2"/>
  <c r="W237" i="2"/>
  <c r="X237" i="2"/>
  <c r="Y237" i="2"/>
  <c r="Z237" i="2"/>
  <c r="AA237" i="2"/>
  <c r="AB237" i="2"/>
  <c r="W239" i="2"/>
  <c r="X239" i="2"/>
  <c r="Y239" i="2"/>
  <c r="Z239" i="2"/>
  <c r="AA239" i="2"/>
  <c r="AB239" i="2"/>
  <c r="W232" i="3"/>
  <c r="X232" i="3"/>
  <c r="Y232" i="3"/>
  <c r="Z232" i="3"/>
  <c r="AA232" i="3"/>
  <c r="AB232" i="3"/>
  <c r="W233" i="3"/>
  <c r="X233" i="3"/>
  <c r="Y233" i="3"/>
  <c r="Z233" i="3"/>
  <c r="AA233" i="3"/>
  <c r="AB233" i="3"/>
  <c r="W234" i="3"/>
  <c r="X234" i="3"/>
  <c r="Y234" i="3"/>
  <c r="Z234" i="3"/>
  <c r="AA234" i="3"/>
  <c r="AB234" i="3"/>
  <c r="W236" i="3"/>
  <c r="X236" i="3"/>
  <c r="Y236" i="3"/>
  <c r="Z236" i="3"/>
  <c r="AA236" i="3"/>
  <c r="AB236" i="3"/>
  <c r="W237" i="3"/>
  <c r="X237" i="3"/>
  <c r="Y237" i="3"/>
  <c r="Z237" i="3"/>
  <c r="AA237" i="3"/>
  <c r="AB237" i="3"/>
  <c r="W238" i="3"/>
  <c r="X238" i="3"/>
  <c r="Y238" i="3"/>
  <c r="Z238" i="3"/>
  <c r="AA238" i="3"/>
  <c r="AB238" i="3"/>
  <c r="W239" i="3"/>
  <c r="X239" i="3"/>
  <c r="Y239" i="3"/>
  <c r="Z239" i="3"/>
  <c r="AA239" i="3"/>
  <c r="AB239" i="3"/>
  <c r="W241" i="3"/>
  <c r="X241" i="3"/>
  <c r="Y241" i="3"/>
  <c r="Z241" i="3"/>
  <c r="AA241" i="3"/>
  <c r="AB241" i="3"/>
  <c r="W242" i="3"/>
  <c r="X242" i="3"/>
  <c r="Y242" i="3"/>
  <c r="Z242" i="3"/>
  <c r="AA242" i="3"/>
  <c r="AB242" i="3"/>
  <c r="W244" i="3"/>
  <c r="X244" i="3"/>
  <c r="Y244" i="3"/>
  <c r="Z244" i="3"/>
  <c r="AA244" i="3"/>
  <c r="AB244" i="3"/>
  <c r="W245" i="3"/>
  <c r="X245" i="3"/>
  <c r="Y245" i="3"/>
  <c r="Z245" i="3"/>
  <c r="AA245" i="3"/>
  <c r="AB245" i="3"/>
  <c r="W247" i="3"/>
  <c r="X247" i="3"/>
  <c r="Y247" i="3"/>
  <c r="Z247" i="3"/>
  <c r="AA247" i="3"/>
  <c r="AB247" i="3"/>
  <c r="W248" i="3"/>
  <c r="X248" i="3"/>
  <c r="Y248" i="3"/>
  <c r="Z248" i="3"/>
  <c r="AA248" i="3"/>
  <c r="AB248" i="3"/>
  <c r="W249" i="3"/>
  <c r="X249" i="3"/>
  <c r="Y249" i="3"/>
  <c r="Z249" i="3"/>
  <c r="AA249" i="3"/>
  <c r="AB249" i="3"/>
  <c r="W250" i="3"/>
  <c r="X250" i="3"/>
  <c r="Y250" i="3"/>
  <c r="Z250" i="3"/>
  <c r="AA250" i="3"/>
  <c r="AB250" i="3"/>
  <c r="W262" i="4"/>
  <c r="X262" i="4"/>
  <c r="Y262" i="4"/>
  <c r="Z262" i="4"/>
  <c r="AA262" i="4"/>
  <c r="AB262" i="4"/>
  <c r="W263" i="4"/>
  <c r="X263" i="4"/>
  <c r="Y263" i="4"/>
  <c r="Z263" i="4"/>
  <c r="AA263" i="4"/>
  <c r="AB263" i="4"/>
  <c r="W265" i="4"/>
  <c r="X265" i="4"/>
  <c r="Y265" i="4"/>
  <c r="Z265" i="4"/>
  <c r="AA265" i="4"/>
  <c r="AB265" i="4"/>
  <c r="W266" i="4"/>
  <c r="X266" i="4"/>
  <c r="Y266" i="4"/>
  <c r="Z266" i="4"/>
  <c r="AA266" i="4"/>
  <c r="AB266" i="4"/>
  <c r="W267" i="4"/>
  <c r="X267" i="4"/>
  <c r="Y267" i="4"/>
  <c r="Z267" i="4"/>
  <c r="AA267" i="4"/>
  <c r="AB267" i="4"/>
  <c r="W270" i="4"/>
  <c r="X270" i="4"/>
  <c r="Y270" i="4"/>
  <c r="Z270" i="4"/>
  <c r="AA270" i="4"/>
  <c r="AB270" i="4"/>
  <c r="W272" i="4"/>
  <c r="X272" i="4"/>
  <c r="Y272" i="4"/>
  <c r="Z272" i="4"/>
  <c r="AA272" i="4"/>
  <c r="AB272" i="4"/>
  <c r="W274" i="4"/>
  <c r="X274" i="4"/>
  <c r="Y274" i="4"/>
  <c r="Z274" i="4"/>
  <c r="AA274" i="4"/>
  <c r="AB274" i="4"/>
  <c r="W276" i="4"/>
  <c r="X276" i="4"/>
  <c r="Y276" i="4"/>
  <c r="Z276" i="4"/>
  <c r="AA276" i="4"/>
  <c r="AB276" i="4"/>
  <c r="W277" i="4"/>
  <c r="X277" i="4"/>
  <c r="Y277" i="4"/>
  <c r="Z277" i="4"/>
  <c r="AA277" i="4"/>
  <c r="AB277" i="4"/>
  <c r="W279" i="4"/>
  <c r="X279" i="4"/>
  <c r="Y279" i="4"/>
  <c r="Z279" i="4"/>
  <c r="AA279" i="4"/>
  <c r="AB279" i="4"/>
  <c r="W281" i="4"/>
  <c r="X281" i="4"/>
  <c r="Y281" i="4"/>
  <c r="Z281" i="4"/>
  <c r="AA281" i="4"/>
  <c r="AB281" i="4"/>
  <c r="W283" i="4"/>
  <c r="X283" i="4"/>
  <c r="Y283" i="4"/>
  <c r="Z283" i="4"/>
  <c r="AA283" i="4"/>
  <c r="AB283" i="4"/>
  <c r="W253" i="5"/>
  <c r="X253" i="5"/>
  <c r="Y253" i="5"/>
  <c r="Z253" i="5"/>
  <c r="AA253" i="5"/>
  <c r="AB253" i="5"/>
  <c r="W255" i="5"/>
  <c r="X255" i="5"/>
  <c r="Y255" i="5"/>
  <c r="Z255" i="5"/>
  <c r="AA255" i="5"/>
  <c r="AB255" i="5"/>
  <c r="W256" i="5"/>
  <c r="X256" i="5"/>
  <c r="Y256" i="5"/>
  <c r="Z256" i="5"/>
  <c r="AA256" i="5"/>
  <c r="AB256" i="5"/>
  <c r="W257" i="5"/>
  <c r="X257" i="5"/>
  <c r="Y257" i="5"/>
  <c r="Z257" i="5"/>
  <c r="AA257" i="5"/>
  <c r="AB257" i="5"/>
  <c r="W259" i="5"/>
  <c r="X259" i="5"/>
  <c r="Y259" i="5"/>
  <c r="Z259" i="5"/>
  <c r="AA259" i="5"/>
  <c r="AB259" i="5"/>
  <c r="W260" i="5"/>
  <c r="X260" i="5"/>
  <c r="Y260" i="5"/>
  <c r="Z260" i="5"/>
  <c r="AA260" i="5"/>
  <c r="AB260" i="5"/>
  <c r="W262" i="5"/>
  <c r="X262" i="5"/>
  <c r="Y262" i="5"/>
  <c r="Z262" i="5"/>
  <c r="AA262" i="5"/>
  <c r="AB262" i="5"/>
  <c r="W263" i="5"/>
  <c r="X263" i="5"/>
  <c r="Y263" i="5"/>
  <c r="Z263" i="5"/>
  <c r="AA263" i="5"/>
  <c r="AB263" i="5"/>
  <c r="W265" i="5"/>
  <c r="X265" i="5"/>
  <c r="Y265" i="5"/>
  <c r="Z265" i="5"/>
  <c r="AA265" i="5"/>
  <c r="AB265" i="5"/>
  <c r="W267" i="5"/>
  <c r="X267" i="5"/>
  <c r="Y267" i="5"/>
  <c r="Z267" i="5"/>
  <c r="AA267" i="5"/>
  <c r="AB267" i="5"/>
  <c r="W268" i="5"/>
  <c r="X268" i="5"/>
  <c r="Y268" i="5"/>
  <c r="Z268" i="5"/>
  <c r="AA268" i="5"/>
  <c r="AB268" i="5"/>
  <c r="W270" i="5"/>
  <c r="X270" i="5"/>
  <c r="Y270" i="5"/>
  <c r="Z270" i="5"/>
  <c r="AA270" i="5"/>
  <c r="AB270" i="5"/>
  <c r="W272" i="5"/>
  <c r="X272" i="5"/>
  <c r="Y272" i="5"/>
  <c r="Z272" i="5"/>
  <c r="AA272" i="5"/>
  <c r="AB272" i="5"/>
  <c r="W255" i="1"/>
  <c r="X255" i="1"/>
  <c r="Y255" i="1"/>
  <c r="Z255" i="1"/>
  <c r="AA255" i="1"/>
  <c r="AB255" i="1"/>
  <c r="W257" i="1"/>
  <c r="X257" i="1"/>
  <c r="Y257" i="1"/>
  <c r="Z257" i="1"/>
  <c r="AA257" i="1"/>
  <c r="AB257" i="1"/>
  <c r="W259" i="1"/>
  <c r="X259" i="1"/>
  <c r="Y259" i="1"/>
  <c r="Z259" i="1"/>
  <c r="AA259" i="1"/>
  <c r="AB259" i="1"/>
  <c r="W260" i="1"/>
  <c r="X260" i="1"/>
  <c r="Y260" i="1"/>
  <c r="Z260" i="1"/>
  <c r="AA260" i="1"/>
  <c r="AB260" i="1"/>
  <c r="W261" i="1"/>
  <c r="X261" i="1"/>
  <c r="Y261" i="1"/>
  <c r="Z261" i="1"/>
  <c r="AA261" i="1"/>
  <c r="AB261" i="1"/>
  <c r="W263" i="1"/>
  <c r="X263" i="1"/>
  <c r="Y263" i="1"/>
  <c r="Z263" i="1"/>
  <c r="AA263" i="1"/>
  <c r="AB263" i="1"/>
  <c r="W264" i="1"/>
  <c r="X264" i="1"/>
  <c r="Y264" i="1"/>
  <c r="Z264" i="1"/>
  <c r="AA264" i="1"/>
  <c r="AB264" i="1"/>
  <c r="W266" i="1"/>
  <c r="X266" i="1"/>
  <c r="Y266" i="1"/>
  <c r="Z266" i="1"/>
  <c r="AA266" i="1"/>
  <c r="AB266" i="1"/>
  <c r="W268" i="1"/>
  <c r="X268" i="1"/>
  <c r="Y268" i="1"/>
  <c r="Z268" i="1"/>
  <c r="AA268" i="1"/>
  <c r="AB268" i="1"/>
  <c r="W270" i="1"/>
  <c r="X270" i="1"/>
  <c r="Y270" i="1"/>
  <c r="Z270" i="1"/>
  <c r="AA270" i="1"/>
  <c r="AB270" i="1"/>
  <c r="W272" i="1"/>
  <c r="X272" i="1"/>
  <c r="Y272" i="1"/>
  <c r="Z272" i="1"/>
  <c r="AA272" i="1"/>
  <c r="AB272" i="1"/>
  <c r="W244" i="2"/>
  <c r="X244" i="2"/>
  <c r="Y244" i="2"/>
  <c r="Z244" i="2"/>
  <c r="AA244" i="2"/>
  <c r="AB244" i="2"/>
  <c r="W245" i="2"/>
  <c r="X245" i="2"/>
  <c r="Y245" i="2"/>
  <c r="Z245" i="2"/>
  <c r="AA245" i="2"/>
  <c r="AB245" i="2"/>
  <c r="W247" i="2"/>
  <c r="X247" i="2"/>
  <c r="Y247" i="2"/>
  <c r="Z247" i="2"/>
  <c r="AA247" i="2"/>
  <c r="AB247" i="2"/>
  <c r="W248" i="2"/>
  <c r="X248" i="2"/>
  <c r="Y248" i="2"/>
  <c r="Z248" i="2"/>
  <c r="AA248" i="2"/>
  <c r="AB248" i="2"/>
  <c r="W250" i="2"/>
  <c r="X250" i="2"/>
  <c r="Y250" i="2"/>
  <c r="Z250" i="2"/>
  <c r="AA250" i="2"/>
  <c r="AB250" i="2"/>
  <c r="W251" i="2"/>
  <c r="X251" i="2"/>
  <c r="Y251" i="2"/>
  <c r="Z251" i="2"/>
  <c r="AA251" i="2"/>
  <c r="AB251" i="2"/>
  <c r="W253" i="2"/>
  <c r="X253" i="2"/>
  <c r="Y253" i="2"/>
  <c r="Z253" i="2"/>
  <c r="AA253" i="2"/>
  <c r="AB253" i="2"/>
  <c r="W254" i="2"/>
  <c r="X254" i="2"/>
  <c r="Y254" i="2"/>
  <c r="Z254" i="2"/>
  <c r="AA254" i="2"/>
  <c r="AB254" i="2"/>
  <c r="W256" i="2"/>
  <c r="X256" i="2"/>
  <c r="Y256" i="2"/>
  <c r="Z256" i="2"/>
  <c r="AA256" i="2"/>
  <c r="AB256" i="2"/>
  <c r="W258" i="2"/>
  <c r="X258" i="2"/>
  <c r="Y258" i="2"/>
  <c r="Z258" i="2"/>
  <c r="AA258" i="2"/>
  <c r="AB258" i="2"/>
  <c r="W260" i="2"/>
  <c r="X260" i="2"/>
  <c r="Y260" i="2"/>
  <c r="Z260" i="2"/>
  <c r="AA260" i="2"/>
  <c r="AB260" i="2"/>
  <c r="W254" i="3"/>
  <c r="X254" i="3"/>
  <c r="Y254" i="3"/>
  <c r="Z254" i="3"/>
  <c r="AA254" i="3"/>
  <c r="AB254" i="3"/>
  <c r="W255" i="3"/>
  <c r="X255" i="3"/>
  <c r="Y255" i="3"/>
  <c r="Z255" i="3"/>
  <c r="AA255" i="3"/>
  <c r="AB255" i="3"/>
  <c r="W256" i="3"/>
  <c r="X256" i="3"/>
  <c r="Y256" i="3"/>
  <c r="Z256" i="3"/>
  <c r="AA256" i="3"/>
  <c r="AB256" i="3"/>
  <c r="W258" i="3"/>
  <c r="X258" i="3"/>
  <c r="Y258" i="3"/>
  <c r="Z258" i="3"/>
  <c r="AA258" i="3"/>
  <c r="AB258" i="3"/>
  <c r="W259" i="3"/>
  <c r="X259" i="3"/>
  <c r="Y259" i="3"/>
  <c r="Z259" i="3"/>
  <c r="AA259" i="3"/>
  <c r="AB259" i="3"/>
  <c r="W260" i="3"/>
  <c r="X260" i="3"/>
  <c r="Y260" i="3"/>
  <c r="Z260" i="3"/>
  <c r="AA260" i="3"/>
  <c r="AB260" i="3"/>
  <c r="W261" i="3"/>
  <c r="X261" i="3"/>
  <c r="Y261" i="3"/>
  <c r="Z261" i="3"/>
  <c r="AA261" i="3"/>
  <c r="AB261" i="3"/>
  <c r="W263" i="3"/>
  <c r="X263" i="3"/>
  <c r="Y263" i="3"/>
  <c r="Z263" i="3"/>
  <c r="AA263" i="3"/>
  <c r="AB263" i="3"/>
  <c r="W264" i="3"/>
  <c r="X264" i="3"/>
  <c r="Y264" i="3"/>
  <c r="Z264" i="3"/>
  <c r="AA264" i="3"/>
  <c r="AB264" i="3"/>
  <c r="W266" i="3"/>
  <c r="X266" i="3"/>
  <c r="Y266" i="3"/>
  <c r="Z266" i="3"/>
  <c r="AA266" i="3"/>
  <c r="AB266" i="3"/>
  <c r="W267" i="3"/>
  <c r="X267" i="3"/>
  <c r="Y267" i="3"/>
  <c r="Z267" i="3"/>
  <c r="AA267" i="3"/>
  <c r="AB267" i="3"/>
  <c r="W269" i="3"/>
  <c r="X269" i="3"/>
  <c r="Y269" i="3"/>
  <c r="Z269" i="3"/>
  <c r="AA269" i="3"/>
  <c r="AB269" i="3"/>
  <c r="W270" i="3"/>
  <c r="X270" i="3"/>
  <c r="Y270" i="3"/>
  <c r="Z270" i="3"/>
  <c r="AA270" i="3"/>
  <c r="AB270" i="3"/>
  <c r="W271" i="3"/>
  <c r="X271" i="3"/>
  <c r="Y271" i="3"/>
  <c r="Z271" i="3"/>
  <c r="AA271" i="3"/>
  <c r="AB271" i="3"/>
  <c r="W272" i="3"/>
  <c r="X272" i="3"/>
  <c r="Y272" i="3"/>
  <c r="Z272" i="3"/>
  <c r="AA272" i="3"/>
  <c r="AB272" i="3"/>
  <c r="W287" i="4"/>
  <c r="X287" i="4"/>
  <c r="Y287" i="4"/>
  <c r="Z287" i="4"/>
  <c r="AA287" i="4"/>
  <c r="AB287" i="4"/>
  <c r="W288" i="4"/>
  <c r="X288" i="4"/>
  <c r="Y288" i="4"/>
  <c r="Z288" i="4"/>
  <c r="AA288" i="4"/>
  <c r="AB288" i="4"/>
  <c r="W290" i="4"/>
  <c r="X290" i="4"/>
  <c r="Y290" i="4"/>
  <c r="Z290" i="4"/>
  <c r="AA290" i="4"/>
  <c r="AB290" i="4"/>
  <c r="W291" i="4"/>
  <c r="X291" i="4"/>
  <c r="Y291" i="4"/>
  <c r="Z291" i="4"/>
  <c r="AA291" i="4"/>
  <c r="AB291" i="4"/>
  <c r="W292" i="4"/>
  <c r="X292" i="4"/>
  <c r="Y292" i="4"/>
  <c r="Z292" i="4"/>
  <c r="AA292" i="4"/>
  <c r="AB292" i="4"/>
  <c r="W295" i="4"/>
  <c r="X295" i="4"/>
  <c r="Y295" i="4"/>
  <c r="Z295" i="4"/>
  <c r="AA295" i="4"/>
  <c r="AB295" i="4"/>
  <c r="W297" i="4"/>
  <c r="X297" i="4"/>
  <c r="Y297" i="4"/>
  <c r="Z297" i="4"/>
  <c r="AA297" i="4"/>
  <c r="AB297" i="4"/>
  <c r="W299" i="4"/>
  <c r="X299" i="4"/>
  <c r="Y299" i="4"/>
  <c r="Z299" i="4"/>
  <c r="AA299" i="4"/>
  <c r="AB299" i="4"/>
  <c r="W301" i="4"/>
  <c r="X301" i="4"/>
  <c r="Y301" i="4"/>
  <c r="Z301" i="4"/>
  <c r="AA301" i="4"/>
  <c r="AB301" i="4"/>
  <c r="W302" i="4"/>
  <c r="X302" i="4"/>
  <c r="Y302" i="4"/>
  <c r="Z302" i="4"/>
  <c r="AA302" i="4"/>
  <c r="AB302" i="4"/>
  <c r="W304" i="4"/>
  <c r="X304" i="4"/>
  <c r="Y304" i="4"/>
  <c r="Z304" i="4"/>
  <c r="AA304" i="4"/>
  <c r="AB304" i="4"/>
  <c r="W306" i="4"/>
  <c r="X306" i="4"/>
  <c r="Y306" i="4"/>
  <c r="Z306" i="4"/>
  <c r="AA306" i="4"/>
  <c r="AB306" i="4"/>
  <c r="W308" i="4"/>
  <c r="X308" i="4"/>
  <c r="Y308" i="4"/>
  <c r="Z308" i="4"/>
  <c r="AA308" i="4"/>
  <c r="AB308" i="4"/>
  <c r="W277" i="5"/>
  <c r="X277" i="5"/>
  <c r="Y277" i="5"/>
  <c r="Z277" i="5"/>
  <c r="AA277" i="5"/>
  <c r="AB277" i="5"/>
  <c r="W279" i="5"/>
  <c r="X279" i="5"/>
  <c r="Y279" i="5"/>
  <c r="Z279" i="5"/>
  <c r="AA279" i="5"/>
  <c r="AB279" i="5"/>
  <c r="W280" i="5"/>
  <c r="X280" i="5"/>
  <c r="Y280" i="5"/>
  <c r="Z280" i="5"/>
  <c r="AA280" i="5"/>
  <c r="AB280" i="5"/>
  <c r="W281" i="5"/>
  <c r="X281" i="5"/>
  <c r="Y281" i="5"/>
  <c r="Z281" i="5"/>
  <c r="AA281" i="5"/>
  <c r="AB281" i="5"/>
  <c r="W283" i="5"/>
  <c r="X283" i="5"/>
  <c r="Y283" i="5"/>
  <c r="Z283" i="5"/>
  <c r="AA283" i="5"/>
  <c r="AB283" i="5"/>
  <c r="W284" i="5"/>
  <c r="X284" i="5"/>
  <c r="Y284" i="5"/>
  <c r="Z284" i="5"/>
  <c r="AA284" i="5"/>
  <c r="AB284" i="5"/>
  <c r="W286" i="5"/>
  <c r="X286" i="5"/>
  <c r="Y286" i="5"/>
  <c r="Z286" i="5"/>
  <c r="AA286" i="5"/>
  <c r="AB286" i="5"/>
  <c r="W287" i="5"/>
  <c r="X287" i="5"/>
  <c r="Y287" i="5"/>
  <c r="Z287" i="5"/>
  <c r="AA287" i="5"/>
  <c r="AB287" i="5"/>
  <c r="W289" i="5"/>
  <c r="X289" i="5"/>
  <c r="Y289" i="5"/>
  <c r="Z289" i="5"/>
  <c r="AA289" i="5"/>
  <c r="AB289" i="5"/>
  <c r="W291" i="5"/>
  <c r="X291" i="5"/>
  <c r="Y291" i="5"/>
  <c r="Z291" i="5"/>
  <c r="AA291" i="5"/>
  <c r="AB291" i="5"/>
  <c r="W292" i="5"/>
  <c r="X292" i="5"/>
  <c r="Y292" i="5"/>
  <c r="Z292" i="5"/>
  <c r="AA292" i="5"/>
  <c r="AB292" i="5"/>
  <c r="W294" i="5"/>
  <c r="X294" i="5"/>
  <c r="Y294" i="5"/>
  <c r="Z294" i="5"/>
  <c r="AA294" i="5"/>
  <c r="AB294" i="5"/>
  <c r="C296" i="5"/>
  <c r="F759" i="10"/>
  <c r="D758" i="10"/>
  <c r="E758" i="10"/>
  <c r="C294" i="5"/>
  <c r="F758" i="10"/>
  <c r="D757" i="10"/>
  <c r="E757" i="10"/>
  <c r="C292" i="5"/>
  <c r="F757" i="10"/>
  <c r="D756" i="10"/>
  <c r="E756" i="10"/>
  <c r="C291" i="5"/>
  <c r="F756" i="10"/>
  <c r="D755" i="10"/>
  <c r="E755" i="10"/>
  <c r="C289" i="5"/>
  <c r="F755" i="10"/>
  <c r="D754" i="10"/>
  <c r="E754" i="10"/>
  <c r="C287" i="5"/>
  <c r="F754" i="10"/>
  <c r="D753" i="10"/>
  <c r="E753" i="10"/>
  <c r="C286" i="5"/>
  <c r="F753" i="10"/>
  <c r="D752" i="10"/>
  <c r="E752" i="10"/>
  <c r="C284" i="5"/>
  <c r="F752" i="10"/>
  <c r="D751" i="10"/>
  <c r="E751" i="10"/>
  <c r="C283" i="5"/>
  <c r="F751" i="10"/>
  <c r="D750" i="10"/>
  <c r="E750" i="10"/>
  <c r="C281" i="5"/>
  <c r="F750" i="10"/>
  <c r="D749" i="10"/>
  <c r="E749" i="10"/>
  <c r="C280" i="5"/>
  <c r="F749" i="10"/>
  <c r="D748" i="10"/>
  <c r="E748" i="10"/>
  <c r="C279" i="5"/>
  <c r="F748" i="10"/>
  <c r="D747" i="10"/>
  <c r="E747" i="10"/>
  <c r="C277" i="5"/>
  <c r="F747" i="10"/>
  <c r="D746" i="10"/>
  <c r="E746" i="10"/>
  <c r="C308" i="4"/>
  <c r="F746" i="10"/>
  <c r="D745" i="10"/>
  <c r="E745" i="10"/>
  <c r="C306" i="4"/>
  <c r="F745" i="10"/>
  <c r="D744" i="10"/>
  <c r="E744" i="10"/>
  <c r="C304" i="4"/>
  <c r="F744" i="10"/>
  <c r="D743" i="10"/>
  <c r="E743" i="10"/>
  <c r="C302" i="4"/>
  <c r="F743" i="10"/>
  <c r="D742" i="10"/>
  <c r="E742" i="10"/>
  <c r="C301" i="4"/>
  <c r="F742" i="10"/>
  <c r="D741" i="10"/>
  <c r="E741" i="10"/>
  <c r="C299" i="4"/>
  <c r="F741" i="10"/>
  <c r="D740" i="10"/>
  <c r="E740" i="10"/>
  <c r="C297" i="4"/>
  <c r="F740" i="10"/>
  <c r="D739" i="10"/>
  <c r="E739" i="10"/>
  <c r="C295" i="4"/>
  <c r="F739" i="10"/>
  <c r="D738" i="10"/>
  <c r="E738" i="10"/>
  <c r="C292" i="4"/>
  <c r="F738" i="10"/>
  <c r="D737" i="10"/>
  <c r="E737" i="10"/>
  <c r="C291" i="4"/>
  <c r="F737" i="10"/>
  <c r="D736" i="10"/>
  <c r="E736" i="10"/>
  <c r="C290" i="4"/>
  <c r="F736" i="10"/>
  <c r="D735" i="10"/>
  <c r="E735" i="10"/>
  <c r="C288" i="4"/>
  <c r="F735" i="10"/>
  <c r="D734" i="10"/>
  <c r="E734" i="10"/>
  <c r="C287" i="4"/>
  <c r="F734" i="10"/>
  <c r="D733" i="10"/>
  <c r="E733" i="10"/>
  <c r="C272" i="3"/>
  <c r="F733" i="10"/>
  <c r="D732" i="10"/>
  <c r="E732" i="10"/>
  <c r="C271" i="3"/>
  <c r="F732" i="10"/>
  <c r="D731" i="10"/>
  <c r="E731" i="10"/>
  <c r="C270" i="3"/>
  <c r="F731" i="10"/>
  <c r="D730" i="10"/>
  <c r="E730" i="10"/>
  <c r="C269" i="3"/>
  <c r="F730" i="10"/>
  <c r="D729" i="10"/>
  <c r="E729" i="10"/>
  <c r="C267" i="3"/>
  <c r="F729" i="10"/>
  <c r="D728" i="10"/>
  <c r="E728" i="10"/>
  <c r="C266" i="3"/>
  <c r="F728" i="10"/>
  <c r="D727" i="10"/>
  <c r="E727" i="10"/>
  <c r="C264" i="3"/>
  <c r="F727" i="10"/>
  <c r="D726" i="10"/>
  <c r="E726" i="10"/>
  <c r="C263" i="3"/>
  <c r="F726" i="10"/>
  <c r="D725" i="10"/>
  <c r="E725" i="10"/>
  <c r="C261" i="3"/>
  <c r="F725" i="10"/>
  <c r="D724" i="10"/>
  <c r="E724" i="10"/>
  <c r="C260" i="3"/>
  <c r="F724" i="10"/>
  <c r="D723" i="10"/>
  <c r="E723" i="10"/>
  <c r="C259" i="3"/>
  <c r="F723" i="10"/>
  <c r="D722" i="10"/>
  <c r="E722" i="10"/>
  <c r="C258" i="3"/>
  <c r="F722" i="10"/>
  <c r="D721" i="10"/>
  <c r="E721" i="10"/>
  <c r="C256" i="3"/>
  <c r="F721" i="10"/>
  <c r="D720" i="10"/>
  <c r="E720" i="10"/>
  <c r="C255" i="3"/>
  <c r="F720" i="10"/>
  <c r="D719" i="10"/>
  <c r="E719" i="10"/>
  <c r="C254" i="3"/>
  <c r="F719" i="10"/>
  <c r="D718" i="10"/>
  <c r="E718" i="10"/>
  <c r="C260" i="2"/>
  <c r="F718" i="10"/>
  <c r="D717" i="10"/>
  <c r="E717" i="10"/>
  <c r="C258" i="2"/>
  <c r="F717" i="10"/>
  <c r="D716" i="10"/>
  <c r="E716" i="10"/>
  <c r="C256" i="2"/>
  <c r="F716" i="10"/>
  <c r="D715" i="10"/>
  <c r="E715" i="10"/>
  <c r="C254" i="2"/>
  <c r="F715" i="10"/>
  <c r="D714" i="10"/>
  <c r="E714" i="10"/>
  <c r="C253" i="2"/>
  <c r="F714" i="10"/>
  <c r="D713" i="10"/>
  <c r="E713" i="10"/>
  <c r="C251" i="2"/>
  <c r="F713" i="10"/>
  <c r="D712" i="10"/>
  <c r="E712" i="10"/>
  <c r="C250" i="2"/>
  <c r="F712" i="10"/>
  <c r="D711" i="10"/>
  <c r="E711" i="10"/>
  <c r="C248" i="2"/>
  <c r="F711" i="10"/>
  <c r="D710" i="10"/>
  <c r="E710" i="10"/>
  <c r="C247" i="2"/>
  <c r="F710" i="10"/>
  <c r="D709" i="10"/>
  <c r="E709" i="10"/>
  <c r="C245" i="2"/>
  <c r="F709" i="10"/>
  <c r="D708" i="10"/>
  <c r="E708" i="10"/>
  <c r="C244" i="2"/>
  <c r="F708" i="10"/>
  <c r="D707" i="10"/>
  <c r="E707" i="10"/>
  <c r="C272" i="1"/>
  <c r="F707" i="10"/>
  <c r="D706" i="10"/>
  <c r="E706" i="10"/>
  <c r="C270" i="1"/>
  <c r="F706" i="10"/>
  <c r="D705" i="10"/>
  <c r="E705" i="10"/>
  <c r="C268" i="1"/>
  <c r="F705" i="10"/>
  <c r="D704" i="10"/>
  <c r="E704" i="10"/>
  <c r="C266" i="1"/>
  <c r="F704" i="10"/>
  <c r="D703" i="10"/>
  <c r="E703" i="10"/>
  <c r="C264" i="1"/>
  <c r="F703" i="10"/>
  <c r="D702" i="10"/>
  <c r="E702" i="10"/>
  <c r="C263" i="1"/>
  <c r="F702" i="10"/>
  <c r="D701" i="10"/>
  <c r="E701" i="10"/>
  <c r="C261" i="1"/>
  <c r="F701" i="10"/>
  <c r="D700" i="10"/>
  <c r="E700" i="10"/>
  <c r="C260" i="1"/>
  <c r="F700" i="10"/>
  <c r="D699" i="10"/>
  <c r="E699" i="10"/>
  <c r="C259" i="1"/>
  <c r="F699" i="10"/>
  <c r="D698" i="10"/>
  <c r="E698" i="10"/>
  <c r="C257" i="1"/>
  <c r="F698" i="10"/>
  <c r="D697" i="10"/>
  <c r="E697" i="10"/>
  <c r="C255" i="1"/>
  <c r="F697" i="10"/>
  <c r="D696" i="10"/>
  <c r="E696" i="10"/>
  <c r="C272" i="5"/>
  <c r="F696" i="10"/>
  <c r="D695" i="10"/>
  <c r="E695" i="10"/>
  <c r="C270" i="5"/>
  <c r="F695" i="10"/>
  <c r="D694" i="10"/>
  <c r="E694" i="10"/>
  <c r="C268" i="5"/>
  <c r="F694" i="10"/>
  <c r="D693" i="10"/>
  <c r="E693" i="10"/>
  <c r="C267" i="5"/>
  <c r="F693" i="10"/>
  <c r="D692" i="10"/>
  <c r="E692" i="10"/>
  <c r="C265" i="5"/>
  <c r="F692" i="10"/>
  <c r="D691" i="10"/>
  <c r="E691" i="10"/>
  <c r="C263" i="5"/>
  <c r="F691" i="10"/>
  <c r="D690" i="10"/>
  <c r="E690" i="10"/>
  <c r="C262" i="5"/>
  <c r="F690" i="10"/>
  <c r="D689" i="10"/>
  <c r="E689" i="10"/>
  <c r="C260" i="5"/>
  <c r="F689" i="10"/>
  <c r="D688" i="10"/>
  <c r="E688" i="10"/>
  <c r="C259" i="5"/>
  <c r="F688" i="10"/>
  <c r="D687" i="10"/>
  <c r="E687" i="10"/>
  <c r="C257" i="5"/>
  <c r="F687" i="10"/>
  <c r="D686" i="10"/>
  <c r="E686" i="10"/>
  <c r="C256" i="5"/>
  <c r="F686" i="10"/>
  <c r="D685" i="10"/>
  <c r="E685" i="10"/>
  <c r="C255" i="5"/>
  <c r="F685" i="10"/>
  <c r="D684" i="10"/>
  <c r="E684" i="10"/>
  <c r="C253" i="5"/>
  <c r="F684" i="10"/>
  <c r="D683" i="10"/>
  <c r="E683" i="10"/>
  <c r="C283" i="4"/>
  <c r="F683" i="10"/>
  <c r="D682" i="10"/>
  <c r="E682" i="10"/>
  <c r="C281" i="4"/>
  <c r="F682" i="10"/>
  <c r="D681" i="10"/>
  <c r="E681" i="10"/>
  <c r="C279" i="4"/>
  <c r="F681" i="10"/>
  <c r="D680" i="10"/>
  <c r="E680" i="10"/>
  <c r="C277" i="4"/>
  <c r="F680" i="10"/>
  <c r="D679" i="10"/>
  <c r="E679" i="10"/>
  <c r="C276" i="4"/>
  <c r="F679" i="10"/>
  <c r="D678" i="10"/>
  <c r="E678" i="10"/>
  <c r="C274" i="4"/>
  <c r="F678" i="10"/>
  <c r="D677" i="10"/>
  <c r="E677" i="10"/>
  <c r="C272" i="4"/>
  <c r="F677" i="10"/>
  <c r="D676" i="10"/>
  <c r="E676" i="10"/>
  <c r="C270" i="4"/>
  <c r="F676" i="10"/>
  <c r="D675" i="10"/>
  <c r="E675" i="10"/>
  <c r="C267" i="4"/>
  <c r="F675" i="10"/>
  <c r="D674" i="10"/>
  <c r="E674" i="10"/>
  <c r="C266" i="4"/>
  <c r="F674" i="10"/>
  <c r="D673" i="10"/>
  <c r="E673" i="10"/>
  <c r="C265" i="4"/>
  <c r="F673" i="10"/>
  <c r="D672" i="10"/>
  <c r="E672" i="10"/>
  <c r="C263" i="4"/>
  <c r="F672" i="10"/>
  <c r="D671" i="10"/>
  <c r="E671" i="10"/>
  <c r="C262" i="4"/>
  <c r="F671" i="10"/>
  <c r="D670" i="10"/>
  <c r="E670" i="10"/>
  <c r="C250" i="3"/>
  <c r="F670" i="10"/>
  <c r="D669" i="10"/>
  <c r="E669" i="10"/>
  <c r="C249" i="3"/>
  <c r="F669" i="10"/>
  <c r="D668" i="10"/>
  <c r="E668" i="10"/>
  <c r="C248" i="3"/>
  <c r="F668" i="10"/>
  <c r="D667" i="10"/>
  <c r="E667" i="10"/>
  <c r="C247" i="3"/>
  <c r="F667" i="10"/>
  <c r="D666" i="10"/>
  <c r="E666" i="10"/>
  <c r="C245" i="3"/>
  <c r="F666" i="10"/>
  <c r="D665" i="10"/>
  <c r="E665" i="10"/>
  <c r="C244" i="3"/>
  <c r="F665" i="10"/>
  <c r="D664" i="10"/>
  <c r="E664" i="10"/>
  <c r="C242" i="3"/>
  <c r="F664" i="10"/>
  <c r="D663" i="10"/>
  <c r="E663" i="10"/>
  <c r="C241" i="3"/>
  <c r="F663" i="10"/>
  <c r="D662" i="10"/>
  <c r="E662" i="10"/>
  <c r="C239" i="3"/>
  <c r="F662" i="10"/>
  <c r="D661" i="10"/>
  <c r="E661" i="10"/>
  <c r="C238" i="3"/>
  <c r="F661" i="10"/>
  <c r="D660" i="10"/>
  <c r="E660" i="10"/>
  <c r="C237" i="3"/>
  <c r="F660" i="10"/>
  <c r="D659" i="10"/>
  <c r="E659" i="10"/>
  <c r="C236" i="3"/>
  <c r="F659" i="10"/>
  <c r="D658" i="10"/>
  <c r="E658" i="10"/>
  <c r="C234" i="3"/>
  <c r="F658" i="10"/>
  <c r="D657" i="10"/>
  <c r="E657" i="10"/>
  <c r="C233" i="3"/>
  <c r="F657" i="10"/>
  <c r="D656" i="10"/>
  <c r="E656" i="10"/>
  <c r="C232" i="3"/>
  <c r="F656" i="10"/>
  <c r="D655" i="10"/>
  <c r="E655" i="10"/>
  <c r="C239" i="2"/>
  <c r="F655" i="10"/>
  <c r="D654" i="10"/>
  <c r="E654" i="10"/>
  <c r="C237" i="2"/>
  <c r="F654" i="10"/>
  <c r="D653" i="10"/>
  <c r="E653" i="10"/>
  <c r="C235" i="2"/>
  <c r="F653" i="10"/>
  <c r="D652" i="10"/>
  <c r="E652" i="10"/>
  <c r="C233" i="2"/>
  <c r="F652" i="10"/>
  <c r="D651" i="10"/>
  <c r="E651" i="10"/>
  <c r="C232" i="2"/>
  <c r="F651" i="10"/>
  <c r="D650" i="10"/>
  <c r="E650" i="10"/>
  <c r="C230" i="2"/>
  <c r="F650" i="10"/>
  <c r="D649" i="10"/>
  <c r="E649" i="10"/>
  <c r="C229" i="2"/>
  <c r="F649" i="10"/>
  <c r="D648" i="10"/>
  <c r="E648" i="10"/>
  <c r="C227" i="2"/>
  <c r="F648" i="10"/>
  <c r="D647" i="10"/>
  <c r="E647" i="10"/>
  <c r="C226" i="2"/>
  <c r="F647" i="10"/>
  <c r="D646" i="10"/>
  <c r="E646" i="10"/>
  <c r="C224" i="2"/>
  <c r="F646" i="10"/>
  <c r="D645" i="10"/>
  <c r="E645" i="10"/>
  <c r="C223" i="2"/>
  <c r="F645" i="10"/>
  <c r="D644" i="10"/>
  <c r="E644" i="10"/>
  <c r="C250" i="1"/>
  <c r="F644" i="10"/>
  <c r="D643" i="10"/>
  <c r="E643" i="10"/>
  <c r="C248" i="1"/>
  <c r="F643" i="10"/>
  <c r="D642" i="10"/>
  <c r="E642" i="10"/>
  <c r="C246" i="1"/>
  <c r="F642" i="10"/>
  <c r="D641" i="10"/>
  <c r="E641" i="10"/>
  <c r="C244" i="1"/>
  <c r="F641" i="10"/>
  <c r="D640" i="10"/>
  <c r="E640" i="10"/>
  <c r="C242" i="1"/>
  <c r="F640" i="10"/>
  <c r="D639" i="10"/>
  <c r="E639" i="10"/>
  <c r="C241" i="1"/>
  <c r="F639" i="10"/>
  <c r="D638" i="10"/>
  <c r="E638" i="10"/>
  <c r="C239" i="1"/>
  <c r="F638" i="10"/>
  <c r="D637" i="10"/>
  <c r="E637" i="10"/>
  <c r="C238" i="1"/>
  <c r="F637" i="10"/>
  <c r="D636" i="10"/>
  <c r="E636" i="10"/>
  <c r="C237" i="1"/>
  <c r="F636" i="10"/>
  <c r="D635" i="10"/>
  <c r="E635" i="10"/>
  <c r="C235" i="1"/>
  <c r="F635" i="10"/>
  <c r="D634" i="10"/>
  <c r="E634" i="10"/>
  <c r="C233" i="1"/>
  <c r="F634" i="10"/>
  <c r="D633" i="10"/>
  <c r="E633" i="10"/>
  <c r="C248" i="5"/>
  <c r="F633" i="10"/>
  <c r="D632" i="10"/>
  <c r="E632" i="10"/>
  <c r="C246" i="5"/>
  <c r="F632" i="10"/>
  <c r="D631" i="10"/>
  <c r="E631" i="10"/>
  <c r="C244" i="5"/>
  <c r="F631" i="10"/>
  <c r="D630" i="10"/>
  <c r="E630" i="10"/>
  <c r="C243" i="5"/>
  <c r="F630" i="10"/>
  <c r="D629" i="10"/>
  <c r="E629" i="10"/>
  <c r="C241" i="5"/>
  <c r="F629" i="10"/>
  <c r="D628" i="10"/>
  <c r="E628" i="10"/>
  <c r="C239" i="5"/>
  <c r="F628" i="10"/>
  <c r="D627" i="10"/>
  <c r="E627" i="10"/>
  <c r="C238" i="5"/>
  <c r="F627" i="10"/>
  <c r="D626" i="10"/>
  <c r="E626" i="10"/>
  <c r="C236" i="5"/>
  <c r="F626" i="10"/>
  <c r="D625" i="10"/>
  <c r="E625" i="10"/>
  <c r="C235" i="5"/>
  <c r="F625" i="10"/>
  <c r="D624" i="10"/>
  <c r="E624" i="10"/>
  <c r="C233" i="5"/>
  <c r="F624" i="10"/>
  <c r="D623" i="10"/>
  <c r="E623" i="10"/>
  <c r="C232" i="5"/>
  <c r="F623" i="10"/>
  <c r="D622" i="10"/>
  <c r="E622" i="10"/>
  <c r="C231" i="5"/>
  <c r="F622" i="10"/>
  <c r="D621" i="10"/>
  <c r="E621" i="10"/>
  <c r="C229" i="5"/>
  <c r="F621" i="10"/>
  <c r="D620" i="10"/>
  <c r="E620" i="10"/>
  <c r="C258" i="4"/>
  <c r="F620" i="10"/>
  <c r="D619" i="10"/>
  <c r="E619" i="10"/>
  <c r="C256" i="4"/>
  <c r="F619" i="10"/>
  <c r="D618" i="10"/>
  <c r="E618" i="10"/>
  <c r="C254" i="4"/>
  <c r="F618" i="10"/>
  <c r="D617" i="10"/>
  <c r="E617" i="10"/>
  <c r="C252" i="4"/>
  <c r="F617" i="10"/>
  <c r="D616" i="10"/>
  <c r="E616" i="10"/>
  <c r="C251" i="4"/>
  <c r="F616" i="10"/>
  <c r="D615" i="10"/>
  <c r="E615" i="10"/>
  <c r="C249" i="4"/>
  <c r="F615" i="10"/>
  <c r="D614" i="10"/>
  <c r="E614" i="10"/>
  <c r="C247" i="4"/>
  <c r="F614" i="10"/>
  <c r="D613" i="10"/>
  <c r="E613" i="10"/>
  <c r="C245" i="4"/>
  <c r="F613" i="10"/>
  <c r="D612" i="10"/>
  <c r="E612" i="10"/>
  <c r="C242" i="4"/>
  <c r="F612" i="10"/>
  <c r="D611" i="10"/>
  <c r="E611" i="10"/>
  <c r="C241" i="4"/>
  <c r="F611" i="10"/>
  <c r="D610" i="10"/>
  <c r="E610" i="10"/>
  <c r="C240" i="4"/>
  <c r="F610" i="10"/>
  <c r="D609" i="10"/>
  <c r="E609" i="10"/>
  <c r="C238" i="4"/>
  <c r="F609" i="10"/>
  <c r="D608" i="10"/>
  <c r="E608" i="10"/>
  <c r="C237" i="4"/>
  <c r="F608" i="10"/>
  <c r="D607" i="10"/>
  <c r="E607" i="10"/>
  <c r="C228" i="3"/>
  <c r="F607" i="10"/>
  <c r="D606" i="10"/>
  <c r="E606" i="10"/>
  <c r="C227" i="3"/>
  <c r="F606" i="10"/>
  <c r="D605" i="10"/>
  <c r="E605" i="10"/>
  <c r="C226" i="3"/>
  <c r="F605" i="10"/>
  <c r="D604" i="10"/>
  <c r="E604" i="10"/>
  <c r="C225" i="3"/>
  <c r="F604" i="10"/>
  <c r="D603" i="10"/>
  <c r="E603" i="10"/>
  <c r="C223" i="3"/>
  <c r="F603" i="10"/>
  <c r="D602" i="10"/>
  <c r="E602" i="10"/>
  <c r="C222" i="3"/>
  <c r="F602" i="10"/>
  <c r="D601" i="10"/>
  <c r="E601" i="10"/>
  <c r="C220" i="3"/>
  <c r="F601" i="10"/>
  <c r="D600" i="10"/>
  <c r="E600" i="10"/>
  <c r="C219" i="3"/>
  <c r="F600" i="10"/>
  <c r="D599" i="10"/>
  <c r="E599" i="10"/>
  <c r="C217" i="3"/>
  <c r="F599" i="10"/>
  <c r="D598" i="10"/>
  <c r="E598" i="10"/>
  <c r="C216" i="3"/>
  <c r="F598" i="10"/>
  <c r="D597" i="10"/>
  <c r="E597" i="10"/>
  <c r="C215" i="3"/>
  <c r="F597" i="10"/>
  <c r="D596" i="10"/>
  <c r="E596" i="10"/>
  <c r="C214" i="3"/>
  <c r="F596" i="10"/>
  <c r="D595" i="10"/>
  <c r="E595" i="10"/>
  <c r="C212" i="3"/>
  <c r="F595" i="10"/>
  <c r="D594" i="10"/>
  <c r="E594" i="10"/>
  <c r="C211" i="3"/>
  <c r="F594" i="10"/>
  <c r="D593" i="10"/>
  <c r="E593" i="10"/>
  <c r="C210" i="3"/>
  <c r="F593" i="10"/>
  <c r="D592" i="10"/>
  <c r="E592" i="10"/>
  <c r="C218" i="2"/>
  <c r="F592" i="10"/>
  <c r="D591" i="10"/>
  <c r="E591" i="10"/>
  <c r="C216" i="2"/>
  <c r="F591" i="10"/>
  <c r="D590" i="10"/>
  <c r="E590" i="10"/>
  <c r="C214" i="2"/>
  <c r="F590" i="10"/>
  <c r="D589" i="10"/>
  <c r="E589" i="10"/>
  <c r="C212" i="2"/>
  <c r="F589" i="10"/>
  <c r="D588" i="10"/>
  <c r="E588" i="10"/>
  <c r="C211" i="2"/>
  <c r="F588" i="10"/>
  <c r="D587" i="10"/>
  <c r="E587" i="10"/>
  <c r="C209" i="2"/>
  <c r="F587" i="10"/>
  <c r="D586" i="10"/>
  <c r="E586" i="10"/>
  <c r="C208" i="2"/>
  <c r="F586" i="10"/>
  <c r="D585" i="10"/>
  <c r="E585" i="10"/>
  <c r="C206" i="2"/>
  <c r="F585" i="10"/>
  <c r="D584" i="10"/>
  <c r="E584" i="10"/>
  <c r="C205" i="2"/>
  <c r="F584" i="10"/>
  <c r="D583" i="10"/>
  <c r="E583" i="10"/>
  <c r="C203" i="2"/>
  <c r="F583" i="10"/>
  <c r="D582" i="10"/>
  <c r="E582" i="10"/>
  <c r="C202" i="2"/>
  <c r="F582" i="10"/>
  <c r="D581" i="10"/>
  <c r="E581" i="10"/>
  <c r="C228" i="1"/>
  <c r="F581" i="10"/>
  <c r="D580" i="10"/>
  <c r="E580" i="10"/>
  <c r="C226" i="1"/>
  <c r="F580" i="10"/>
  <c r="D579" i="10"/>
  <c r="E579" i="10"/>
  <c r="C224" i="1"/>
  <c r="F579" i="10"/>
  <c r="D578" i="10"/>
  <c r="E578" i="10"/>
  <c r="C222" i="1"/>
  <c r="F578" i="10"/>
  <c r="D577" i="10"/>
  <c r="E577" i="10"/>
  <c r="C220" i="1"/>
  <c r="F577" i="10"/>
  <c r="D576" i="10"/>
  <c r="E576" i="10"/>
  <c r="C219" i="1"/>
  <c r="F576" i="10"/>
  <c r="D575" i="10"/>
  <c r="E575" i="10"/>
  <c r="C217" i="1"/>
  <c r="F575" i="10"/>
  <c r="D574" i="10"/>
  <c r="E574" i="10"/>
  <c r="C216" i="1"/>
  <c r="F574" i="10"/>
  <c r="D573" i="10"/>
  <c r="E573" i="10"/>
  <c r="C215" i="1"/>
  <c r="F573" i="10"/>
  <c r="D572" i="10"/>
  <c r="E572" i="10"/>
  <c r="C213" i="1"/>
  <c r="F572" i="10"/>
  <c r="D571" i="10"/>
  <c r="E571" i="10"/>
  <c r="C211" i="1"/>
  <c r="F571" i="10"/>
  <c r="D570" i="10"/>
  <c r="E570" i="10"/>
  <c r="C224" i="5"/>
  <c r="F570" i="10"/>
  <c r="D569" i="10"/>
  <c r="E569" i="10"/>
  <c r="C222" i="5"/>
  <c r="F569" i="10"/>
  <c r="D568" i="10"/>
  <c r="E568" i="10"/>
  <c r="C220" i="5"/>
  <c r="F568" i="10"/>
  <c r="D567" i="10"/>
  <c r="E567" i="10"/>
  <c r="C219" i="5"/>
  <c r="F567" i="10"/>
  <c r="D566" i="10"/>
  <c r="E566" i="10"/>
  <c r="C217" i="5"/>
  <c r="F566" i="10"/>
  <c r="D565" i="10"/>
  <c r="E565" i="10"/>
  <c r="C215" i="5"/>
  <c r="F565" i="10"/>
  <c r="D564" i="10"/>
  <c r="E564" i="10"/>
  <c r="C214" i="5"/>
  <c r="F564" i="10"/>
  <c r="D563" i="10"/>
  <c r="E563" i="10"/>
  <c r="C212" i="5"/>
  <c r="F563" i="10"/>
  <c r="D562" i="10"/>
  <c r="E562" i="10"/>
  <c r="C211" i="5"/>
  <c r="F562" i="10"/>
  <c r="D561" i="10"/>
  <c r="E561" i="10"/>
  <c r="C209" i="5"/>
  <c r="F561" i="10"/>
  <c r="D560" i="10"/>
  <c r="E560" i="10"/>
  <c r="C208" i="5"/>
  <c r="F560" i="10"/>
  <c r="D559" i="10"/>
  <c r="E559" i="10"/>
  <c r="C207" i="5"/>
  <c r="F559" i="10"/>
  <c r="D558" i="10"/>
  <c r="E558" i="10"/>
  <c r="C205" i="5"/>
  <c r="F558" i="10"/>
  <c r="D557" i="10"/>
  <c r="E557" i="10"/>
  <c r="C233" i="4"/>
  <c r="F557" i="10"/>
  <c r="D556" i="10"/>
  <c r="E556" i="10"/>
  <c r="C231" i="4"/>
  <c r="F556" i="10"/>
  <c r="D555" i="10"/>
  <c r="E555" i="10"/>
  <c r="C229" i="4"/>
  <c r="F555" i="10"/>
  <c r="D554" i="10"/>
  <c r="E554" i="10"/>
  <c r="C227" i="4"/>
  <c r="F554" i="10"/>
  <c r="D553" i="10"/>
  <c r="E553" i="10"/>
  <c r="C226" i="4"/>
  <c r="F553" i="10"/>
  <c r="D552" i="10"/>
  <c r="E552" i="10"/>
  <c r="C224" i="4"/>
  <c r="F552" i="10"/>
  <c r="D551" i="10"/>
  <c r="E551" i="10"/>
  <c r="C222" i="4"/>
  <c r="F551" i="10"/>
  <c r="D550" i="10"/>
  <c r="E550" i="10"/>
  <c r="C220" i="4"/>
  <c r="F550" i="10"/>
  <c r="D549" i="10"/>
  <c r="E549" i="10"/>
  <c r="C217" i="4"/>
  <c r="F549" i="10"/>
  <c r="D548" i="10"/>
  <c r="E548" i="10"/>
  <c r="C216" i="4"/>
  <c r="F548" i="10"/>
  <c r="D547" i="10"/>
  <c r="E547" i="10"/>
  <c r="C215" i="4"/>
  <c r="F547" i="10"/>
  <c r="D546" i="10"/>
  <c r="E546" i="10"/>
  <c r="C213" i="4"/>
  <c r="F546" i="10"/>
  <c r="D545" i="10"/>
  <c r="E545" i="10"/>
  <c r="C212" i="4"/>
  <c r="F545" i="10"/>
  <c r="D544" i="10"/>
  <c r="E544" i="10"/>
  <c r="C206" i="3"/>
  <c r="F544" i="10"/>
  <c r="D543" i="10"/>
  <c r="E543" i="10"/>
  <c r="C205" i="3"/>
  <c r="F543" i="10"/>
  <c r="D542" i="10"/>
  <c r="E542" i="10"/>
  <c r="C204" i="3"/>
  <c r="F542" i="10"/>
  <c r="D541" i="10"/>
  <c r="E541" i="10"/>
  <c r="C203" i="3"/>
  <c r="F541" i="10"/>
  <c r="D540" i="10"/>
  <c r="E540" i="10"/>
  <c r="C201" i="3"/>
  <c r="F540" i="10"/>
  <c r="D539" i="10"/>
  <c r="E539" i="10"/>
  <c r="C200" i="3"/>
  <c r="F539" i="10"/>
  <c r="D538" i="10"/>
  <c r="E538" i="10"/>
  <c r="C198" i="3"/>
  <c r="F538" i="10"/>
  <c r="D537" i="10"/>
  <c r="E537" i="10"/>
  <c r="C197" i="3"/>
  <c r="F537" i="10"/>
  <c r="D536" i="10"/>
  <c r="E536" i="10"/>
  <c r="C195" i="3"/>
  <c r="F536" i="10"/>
  <c r="D535" i="10"/>
  <c r="E535" i="10"/>
  <c r="C194" i="3"/>
  <c r="F535" i="10"/>
  <c r="D534" i="10"/>
  <c r="E534" i="10"/>
  <c r="C193" i="3"/>
  <c r="F534" i="10"/>
  <c r="D533" i="10"/>
  <c r="E533" i="10"/>
  <c r="C192" i="3"/>
  <c r="F533" i="10"/>
  <c r="D532" i="10"/>
  <c r="E532" i="10"/>
  <c r="C190" i="3"/>
  <c r="F532" i="10"/>
  <c r="D531" i="10"/>
  <c r="E531" i="10"/>
  <c r="C189" i="3"/>
  <c r="F531" i="10"/>
  <c r="D530" i="10"/>
  <c r="E530" i="10"/>
  <c r="C188" i="3"/>
  <c r="F530" i="10"/>
  <c r="D529" i="10"/>
  <c r="E529" i="10"/>
  <c r="C197" i="2"/>
  <c r="F529" i="10"/>
  <c r="D528" i="10"/>
  <c r="E528" i="10"/>
  <c r="C195" i="2"/>
  <c r="F528" i="10"/>
  <c r="D527" i="10"/>
  <c r="E527" i="10"/>
  <c r="C193" i="2"/>
  <c r="F527" i="10"/>
  <c r="D526" i="10"/>
  <c r="E526" i="10"/>
  <c r="C191" i="2"/>
  <c r="F526" i="10"/>
  <c r="D525" i="10"/>
  <c r="E525" i="10"/>
  <c r="C190" i="2"/>
  <c r="F525" i="10"/>
  <c r="D524" i="10"/>
  <c r="E524" i="10"/>
  <c r="C188" i="2"/>
  <c r="F524" i="10"/>
  <c r="D523" i="10"/>
  <c r="E523" i="10"/>
  <c r="C187" i="2"/>
  <c r="F523" i="10"/>
  <c r="D522" i="10"/>
  <c r="E522" i="10"/>
  <c r="C185" i="2"/>
  <c r="F522" i="10"/>
  <c r="D521" i="10"/>
  <c r="E521" i="10"/>
  <c r="C184" i="2"/>
  <c r="F521" i="10"/>
  <c r="D520" i="10"/>
  <c r="E520" i="10"/>
  <c r="C182" i="2"/>
  <c r="F520" i="10"/>
  <c r="D519" i="10"/>
  <c r="E519" i="10"/>
  <c r="C181" i="2"/>
  <c r="F519" i="10"/>
  <c r="D518" i="10"/>
  <c r="E518" i="10"/>
  <c r="C206" i="1"/>
  <c r="F518" i="10"/>
  <c r="D517" i="10"/>
  <c r="E517" i="10"/>
  <c r="C204" i="1"/>
  <c r="F517" i="10"/>
  <c r="D516" i="10"/>
  <c r="E516" i="10"/>
  <c r="C202" i="1"/>
  <c r="F516" i="10"/>
  <c r="D515" i="10"/>
  <c r="E515" i="10"/>
  <c r="C200" i="1"/>
  <c r="F515" i="10"/>
  <c r="D514" i="10"/>
  <c r="E514" i="10"/>
  <c r="C198" i="1"/>
  <c r="F514" i="10"/>
  <c r="D513" i="10"/>
  <c r="E513" i="10"/>
  <c r="C197" i="1"/>
  <c r="F513" i="10"/>
  <c r="D512" i="10"/>
  <c r="E512" i="10"/>
  <c r="C195" i="1"/>
  <c r="F512" i="10"/>
  <c r="D511" i="10"/>
  <c r="E511" i="10"/>
  <c r="C194" i="1"/>
  <c r="F511" i="10"/>
  <c r="D510" i="10"/>
  <c r="E510" i="10"/>
  <c r="C193" i="1"/>
  <c r="F510" i="10"/>
  <c r="D509" i="10"/>
  <c r="E509" i="10"/>
  <c r="C191" i="1"/>
  <c r="F509" i="10"/>
  <c r="D508" i="10"/>
  <c r="E508" i="10"/>
  <c r="C189" i="1"/>
  <c r="F508" i="10"/>
  <c r="D507" i="10"/>
  <c r="E507" i="10"/>
  <c r="C200" i="5"/>
  <c r="F507" i="10"/>
  <c r="D506" i="10"/>
  <c r="E506" i="10"/>
  <c r="C198" i="5"/>
  <c r="F506" i="10"/>
  <c r="D505" i="10"/>
  <c r="E505" i="10"/>
  <c r="C196" i="5"/>
  <c r="F505" i="10"/>
  <c r="D504" i="10"/>
  <c r="E504" i="10"/>
  <c r="C195" i="5"/>
  <c r="F504" i="10"/>
  <c r="D503" i="10"/>
  <c r="E503" i="10"/>
  <c r="C193" i="5"/>
  <c r="F503" i="10"/>
  <c r="D502" i="10"/>
  <c r="E502" i="10"/>
  <c r="C191" i="5"/>
  <c r="F502" i="10"/>
  <c r="D501" i="10"/>
  <c r="E501" i="10"/>
  <c r="C190" i="5"/>
  <c r="F501" i="10"/>
  <c r="D500" i="10"/>
  <c r="E500" i="10"/>
  <c r="C188" i="5"/>
  <c r="F500" i="10"/>
  <c r="D499" i="10"/>
  <c r="E499" i="10"/>
  <c r="C187" i="5"/>
  <c r="F499" i="10"/>
  <c r="D498" i="10"/>
  <c r="E498" i="10"/>
  <c r="C185" i="5"/>
  <c r="F498" i="10"/>
  <c r="D497" i="10"/>
  <c r="E497" i="10"/>
  <c r="C184" i="5"/>
  <c r="F497" i="10"/>
  <c r="D496" i="10"/>
  <c r="E496" i="10"/>
  <c r="C183" i="5"/>
  <c r="F496" i="10"/>
  <c r="D495" i="10"/>
  <c r="E495" i="10"/>
  <c r="C181" i="5"/>
  <c r="F495" i="10"/>
  <c r="D494" i="10"/>
  <c r="E494" i="10"/>
  <c r="C208" i="4"/>
  <c r="F494" i="10"/>
  <c r="D493" i="10"/>
  <c r="E493" i="10"/>
  <c r="C206" i="4"/>
  <c r="F493" i="10"/>
  <c r="D492" i="10"/>
  <c r="E492" i="10"/>
  <c r="C204" i="4"/>
  <c r="F492" i="10"/>
  <c r="D491" i="10"/>
  <c r="E491" i="10"/>
  <c r="C202" i="4"/>
  <c r="F491" i="10"/>
  <c r="D490" i="10"/>
  <c r="E490" i="10"/>
  <c r="C201" i="4"/>
  <c r="F490" i="10"/>
  <c r="D489" i="10"/>
  <c r="E489" i="10"/>
  <c r="C199" i="4"/>
  <c r="F489" i="10"/>
  <c r="D488" i="10"/>
  <c r="E488" i="10"/>
  <c r="C197" i="4"/>
  <c r="F488" i="10"/>
  <c r="D487" i="10"/>
  <c r="E487" i="10"/>
  <c r="C195" i="4"/>
  <c r="F487" i="10"/>
  <c r="D486" i="10"/>
  <c r="E486" i="10"/>
  <c r="C192" i="4"/>
  <c r="F486" i="10"/>
  <c r="D485" i="10"/>
  <c r="E485" i="10"/>
  <c r="C191" i="4"/>
  <c r="F485" i="10"/>
  <c r="D484" i="10"/>
  <c r="E484" i="10"/>
  <c r="C190" i="4"/>
  <c r="F484" i="10"/>
  <c r="D483" i="10"/>
  <c r="E483" i="10"/>
  <c r="C188" i="4"/>
  <c r="F483" i="10"/>
  <c r="D482" i="10"/>
  <c r="E482" i="10"/>
  <c r="C187" i="4"/>
  <c r="F482" i="10"/>
  <c r="D481" i="10"/>
  <c r="E481" i="10"/>
  <c r="C184" i="3"/>
  <c r="F481" i="10"/>
  <c r="D480" i="10"/>
  <c r="E480" i="10"/>
  <c r="C183" i="3"/>
  <c r="F480" i="10"/>
  <c r="D479" i="10"/>
  <c r="E479" i="10"/>
  <c r="C182" i="3"/>
  <c r="F479" i="10"/>
  <c r="D478" i="10"/>
  <c r="E478" i="10"/>
  <c r="C181" i="3"/>
  <c r="F478" i="10"/>
  <c r="D477" i="10"/>
  <c r="E477" i="10"/>
  <c r="C179" i="3"/>
  <c r="F477" i="10"/>
  <c r="D476" i="10"/>
  <c r="E476" i="10"/>
  <c r="C178" i="3"/>
  <c r="F476" i="10"/>
  <c r="D475" i="10"/>
  <c r="E475" i="10"/>
  <c r="C176" i="3"/>
  <c r="F475" i="10"/>
  <c r="D474" i="10"/>
  <c r="E474" i="10"/>
  <c r="C175" i="3"/>
  <c r="F474" i="10"/>
  <c r="D473" i="10"/>
  <c r="E473" i="10"/>
  <c r="C173" i="3"/>
  <c r="F473" i="10"/>
  <c r="D472" i="10"/>
  <c r="E472" i="10"/>
  <c r="C172" i="3"/>
  <c r="F472" i="10"/>
  <c r="D471" i="10"/>
  <c r="E471" i="10"/>
  <c r="C171" i="3"/>
  <c r="F471" i="10"/>
  <c r="D470" i="10"/>
  <c r="E470" i="10"/>
  <c r="C170" i="3"/>
  <c r="F470" i="10"/>
  <c r="D469" i="10"/>
  <c r="E469" i="10"/>
  <c r="C168" i="3"/>
  <c r="F469" i="10"/>
  <c r="D468" i="10"/>
  <c r="E468" i="10"/>
  <c r="C167" i="3"/>
  <c r="F468" i="10"/>
  <c r="D467" i="10"/>
  <c r="E467" i="10"/>
  <c r="C166" i="3"/>
  <c r="F467" i="10"/>
  <c r="D466" i="10"/>
  <c r="E466" i="10"/>
  <c r="C176" i="2"/>
  <c r="F466" i="10"/>
  <c r="D465" i="10"/>
  <c r="E465" i="10"/>
  <c r="C174" i="2"/>
  <c r="F465" i="10"/>
  <c r="D464" i="10"/>
  <c r="E464" i="10"/>
  <c r="C172" i="2"/>
  <c r="F464" i="10"/>
  <c r="D463" i="10"/>
  <c r="E463" i="10"/>
  <c r="C170" i="2"/>
  <c r="F463" i="10"/>
  <c r="D462" i="10"/>
  <c r="E462" i="10"/>
  <c r="C169" i="2"/>
  <c r="F462" i="10"/>
  <c r="D461" i="10"/>
  <c r="E461" i="10"/>
  <c r="C167" i="2"/>
  <c r="F461" i="10"/>
  <c r="D460" i="10"/>
  <c r="E460" i="10"/>
  <c r="C166" i="2"/>
  <c r="F460" i="10"/>
  <c r="D459" i="10"/>
  <c r="E459" i="10"/>
  <c r="C164" i="2"/>
  <c r="F459" i="10"/>
  <c r="D458" i="10"/>
  <c r="E458" i="10"/>
  <c r="C163" i="2"/>
  <c r="F458" i="10"/>
  <c r="D457" i="10"/>
  <c r="E457" i="10"/>
  <c r="C161" i="2"/>
  <c r="F457" i="10"/>
  <c r="D456" i="10"/>
  <c r="E456" i="10"/>
  <c r="C160" i="2"/>
  <c r="F456" i="10"/>
  <c r="D455" i="10"/>
  <c r="E455" i="10"/>
  <c r="C184" i="1"/>
  <c r="F455" i="10"/>
  <c r="D454" i="10"/>
  <c r="E454" i="10"/>
  <c r="C182" i="1"/>
  <c r="F454" i="10"/>
  <c r="D453" i="10"/>
  <c r="E453" i="10"/>
  <c r="C180" i="1"/>
  <c r="F453" i="10"/>
  <c r="D452" i="10"/>
  <c r="E452" i="10"/>
  <c r="C178" i="1"/>
  <c r="F452" i="10"/>
  <c r="D451" i="10"/>
  <c r="E451" i="10"/>
  <c r="C176" i="1"/>
  <c r="F451" i="10"/>
  <c r="D450" i="10"/>
  <c r="E450" i="10"/>
  <c r="C175" i="1"/>
  <c r="F450" i="10"/>
  <c r="D449" i="10"/>
  <c r="E449" i="10"/>
  <c r="C173" i="1"/>
  <c r="F449" i="10"/>
  <c r="D448" i="10"/>
  <c r="E448" i="10"/>
  <c r="C172" i="1"/>
  <c r="F448" i="10"/>
  <c r="D447" i="10"/>
  <c r="E447" i="10"/>
  <c r="C171" i="1"/>
  <c r="F447" i="10"/>
  <c r="D446" i="10"/>
  <c r="E446" i="10"/>
  <c r="C169" i="1"/>
  <c r="F446" i="10"/>
  <c r="D445" i="10"/>
  <c r="E445" i="10"/>
  <c r="C167" i="1"/>
  <c r="F445" i="10"/>
  <c r="D444" i="10"/>
  <c r="E444" i="10"/>
  <c r="C176" i="5"/>
  <c r="F444" i="10"/>
  <c r="D443" i="10"/>
  <c r="E443" i="10"/>
  <c r="C174" i="5"/>
  <c r="F443" i="10"/>
  <c r="D442" i="10"/>
  <c r="E442" i="10"/>
  <c r="C172" i="5"/>
  <c r="F442" i="10"/>
  <c r="D441" i="10"/>
  <c r="E441" i="10"/>
  <c r="C171" i="5"/>
  <c r="F441" i="10"/>
  <c r="D440" i="10"/>
  <c r="E440" i="10"/>
  <c r="C169" i="5"/>
  <c r="F440" i="10"/>
  <c r="D439" i="10"/>
  <c r="E439" i="10"/>
  <c r="C167" i="5"/>
  <c r="F439" i="10"/>
  <c r="D438" i="10"/>
  <c r="E438" i="10"/>
  <c r="C166" i="5"/>
  <c r="F438" i="10"/>
  <c r="D437" i="10"/>
  <c r="E437" i="10"/>
  <c r="C164" i="5"/>
  <c r="F437" i="10"/>
  <c r="D436" i="10"/>
  <c r="E436" i="10"/>
  <c r="C163" i="5"/>
  <c r="F436" i="10"/>
  <c r="D435" i="10"/>
  <c r="E435" i="10"/>
  <c r="C161" i="5"/>
  <c r="F435" i="10"/>
  <c r="D434" i="10"/>
  <c r="E434" i="10"/>
  <c r="C160" i="5"/>
  <c r="F434" i="10"/>
  <c r="D433" i="10"/>
  <c r="E433" i="10"/>
  <c r="C159" i="5"/>
  <c r="F433" i="10"/>
  <c r="D432" i="10"/>
  <c r="E432" i="10"/>
  <c r="C157" i="5"/>
  <c r="F432" i="10"/>
  <c r="D431" i="10"/>
  <c r="E431" i="10"/>
  <c r="C183" i="4"/>
  <c r="F431" i="10"/>
  <c r="D430" i="10"/>
  <c r="E430" i="10"/>
  <c r="C181" i="4"/>
  <c r="F430" i="10"/>
  <c r="D429" i="10"/>
  <c r="E429" i="10"/>
  <c r="C179" i="4"/>
  <c r="F429" i="10"/>
  <c r="D428" i="10"/>
  <c r="E428" i="10"/>
  <c r="C177" i="4"/>
  <c r="F428" i="10"/>
  <c r="D427" i="10"/>
  <c r="E427" i="10"/>
  <c r="C176" i="4"/>
  <c r="F427" i="10"/>
  <c r="D426" i="10"/>
  <c r="E426" i="10"/>
  <c r="C174" i="4"/>
  <c r="F426" i="10"/>
  <c r="D425" i="10"/>
  <c r="E425" i="10"/>
  <c r="C172" i="4"/>
  <c r="F425" i="10"/>
  <c r="D424" i="10"/>
  <c r="E424" i="10"/>
  <c r="C170" i="4"/>
  <c r="F424" i="10"/>
  <c r="D423" i="10"/>
  <c r="E423" i="10"/>
  <c r="C167" i="4"/>
  <c r="F423" i="10"/>
  <c r="D422" i="10"/>
  <c r="E422" i="10"/>
  <c r="C166" i="4"/>
  <c r="F422" i="10"/>
  <c r="D421" i="10"/>
  <c r="E421" i="10"/>
  <c r="C165" i="4"/>
  <c r="F421" i="10"/>
  <c r="D420" i="10"/>
  <c r="E420" i="10"/>
  <c r="C163" i="4"/>
  <c r="F420" i="10"/>
  <c r="D419" i="10"/>
  <c r="E419" i="10"/>
  <c r="C162" i="4"/>
  <c r="F419" i="10"/>
  <c r="D418" i="10"/>
  <c r="E418" i="10"/>
  <c r="C162" i="3"/>
  <c r="F418" i="10"/>
  <c r="D417" i="10"/>
  <c r="E417" i="10"/>
  <c r="C161" i="3"/>
  <c r="F417" i="10"/>
  <c r="D416" i="10"/>
  <c r="E416" i="10"/>
  <c r="C160" i="3"/>
  <c r="F416" i="10"/>
  <c r="D415" i="10"/>
  <c r="E415" i="10"/>
  <c r="C159" i="3"/>
  <c r="F415" i="10"/>
  <c r="D414" i="10"/>
  <c r="E414" i="10"/>
  <c r="C157" i="3"/>
  <c r="F414" i="10"/>
  <c r="D413" i="10"/>
  <c r="E413" i="10"/>
  <c r="C156" i="3"/>
  <c r="F413" i="10"/>
  <c r="D412" i="10"/>
  <c r="E412" i="10"/>
  <c r="C154" i="3"/>
  <c r="F412" i="10"/>
  <c r="D411" i="10"/>
  <c r="E411" i="10"/>
  <c r="C153" i="3"/>
  <c r="F411" i="10"/>
  <c r="D410" i="10"/>
  <c r="E410" i="10"/>
  <c r="C151" i="3"/>
  <c r="F410" i="10"/>
  <c r="D409" i="10"/>
  <c r="E409" i="10"/>
  <c r="C150" i="3"/>
  <c r="F409" i="10"/>
  <c r="D408" i="10"/>
  <c r="E408" i="10"/>
  <c r="C149" i="3"/>
  <c r="F408" i="10"/>
  <c r="D407" i="10"/>
  <c r="E407" i="10"/>
  <c r="C148" i="3"/>
  <c r="F407" i="10"/>
  <c r="D406" i="10"/>
  <c r="E406" i="10"/>
  <c r="C146" i="3"/>
  <c r="F406" i="10"/>
  <c r="D405" i="10"/>
  <c r="E405" i="10"/>
  <c r="C145" i="3"/>
  <c r="F405" i="10"/>
  <c r="D404" i="10"/>
  <c r="E404" i="10"/>
  <c r="C144" i="3"/>
  <c r="F404" i="10"/>
  <c r="D403" i="10"/>
  <c r="E403" i="10"/>
  <c r="C155" i="2"/>
  <c r="F403" i="10"/>
  <c r="D402" i="10"/>
  <c r="E402" i="10"/>
  <c r="C153" i="2"/>
  <c r="F402" i="10"/>
  <c r="D401" i="10"/>
  <c r="E401" i="10"/>
  <c r="C151" i="2"/>
  <c r="F401" i="10"/>
  <c r="D400" i="10"/>
  <c r="E400" i="10"/>
  <c r="C149" i="2"/>
  <c r="F400" i="10"/>
  <c r="D399" i="10"/>
  <c r="E399" i="10"/>
  <c r="C148" i="2"/>
  <c r="F399" i="10"/>
  <c r="D398" i="10"/>
  <c r="E398" i="10"/>
  <c r="C146" i="2"/>
  <c r="F398" i="10"/>
  <c r="D397" i="10"/>
  <c r="E397" i="10"/>
  <c r="C145" i="2"/>
  <c r="F397" i="10"/>
  <c r="D396" i="10"/>
  <c r="E396" i="10"/>
  <c r="C143" i="2"/>
  <c r="F396" i="10"/>
  <c r="D395" i="10"/>
  <c r="E395" i="10"/>
  <c r="C142" i="2"/>
  <c r="F395" i="10"/>
  <c r="D394" i="10"/>
  <c r="E394" i="10"/>
  <c r="C140" i="2"/>
  <c r="F394" i="10"/>
  <c r="D393" i="10"/>
  <c r="E393" i="10"/>
  <c r="C139" i="2"/>
  <c r="F393" i="10"/>
  <c r="D392" i="10"/>
  <c r="E392" i="10"/>
  <c r="C162" i="1"/>
  <c r="F392" i="10"/>
  <c r="D391" i="10"/>
  <c r="E391" i="10"/>
  <c r="C160" i="1"/>
  <c r="F391" i="10"/>
  <c r="D390" i="10"/>
  <c r="E390" i="10"/>
  <c r="C158" i="1"/>
  <c r="F390" i="10"/>
  <c r="D389" i="10"/>
  <c r="E389" i="10"/>
  <c r="C156" i="1"/>
  <c r="F389" i="10"/>
  <c r="D388" i="10"/>
  <c r="E388" i="10"/>
  <c r="C154" i="1"/>
  <c r="F388" i="10"/>
  <c r="D387" i="10"/>
  <c r="E387" i="10"/>
  <c r="C153" i="1"/>
  <c r="F387" i="10"/>
  <c r="D386" i="10"/>
  <c r="E386" i="10"/>
  <c r="C151" i="1"/>
  <c r="F386" i="10"/>
  <c r="D385" i="10"/>
  <c r="E385" i="10"/>
  <c r="C150" i="1"/>
  <c r="F385" i="10"/>
  <c r="D384" i="10"/>
  <c r="E384" i="10"/>
  <c r="C149" i="1"/>
  <c r="F384" i="10"/>
  <c r="D383" i="10"/>
  <c r="E383" i="10"/>
  <c r="C147" i="1"/>
  <c r="F383" i="10"/>
  <c r="D382" i="10"/>
  <c r="E382" i="10"/>
  <c r="C145" i="1"/>
  <c r="F382" i="10"/>
  <c r="D381" i="10"/>
  <c r="E381" i="10"/>
  <c r="C152" i="5"/>
  <c r="F381" i="10"/>
  <c r="D380" i="10"/>
  <c r="E380" i="10"/>
  <c r="C150" i="5"/>
  <c r="F380" i="10"/>
  <c r="D379" i="10"/>
  <c r="E379" i="10"/>
  <c r="C148" i="5"/>
  <c r="F379" i="10"/>
  <c r="D378" i="10"/>
  <c r="E378" i="10"/>
  <c r="C147" i="5"/>
  <c r="F378" i="10"/>
  <c r="D377" i="10"/>
  <c r="E377" i="10"/>
  <c r="C145" i="5"/>
  <c r="F377" i="10"/>
  <c r="D376" i="10"/>
  <c r="E376" i="10"/>
  <c r="C143" i="5"/>
  <c r="F376" i="10"/>
  <c r="D375" i="10"/>
  <c r="E375" i="10"/>
  <c r="C142" i="5"/>
  <c r="F375" i="10"/>
  <c r="D374" i="10"/>
  <c r="E374" i="10"/>
  <c r="C140" i="5"/>
  <c r="F374" i="10"/>
  <c r="D373" i="10"/>
  <c r="E373" i="10"/>
  <c r="C139" i="5"/>
  <c r="F373" i="10"/>
  <c r="D372" i="10"/>
  <c r="E372" i="10"/>
  <c r="C137" i="5"/>
  <c r="F372" i="10"/>
  <c r="D371" i="10"/>
  <c r="E371" i="10"/>
  <c r="C136" i="5"/>
  <c r="F371" i="10"/>
  <c r="D370" i="10"/>
  <c r="E370" i="10"/>
  <c r="C135" i="5"/>
  <c r="F370" i="10"/>
  <c r="D369" i="10"/>
  <c r="E369" i="10"/>
  <c r="C133" i="5"/>
  <c r="F369" i="10"/>
  <c r="D368" i="10"/>
  <c r="E368" i="10"/>
  <c r="C158" i="4"/>
  <c r="F368" i="10"/>
  <c r="D367" i="10"/>
  <c r="E367" i="10"/>
  <c r="C156" i="4"/>
  <c r="F367" i="10"/>
  <c r="D366" i="10"/>
  <c r="E366" i="10"/>
  <c r="C154" i="4"/>
  <c r="F366" i="10"/>
  <c r="D365" i="10"/>
  <c r="E365" i="10"/>
  <c r="C152" i="4"/>
  <c r="F365" i="10"/>
  <c r="D364" i="10"/>
  <c r="E364" i="10"/>
  <c r="C151" i="4"/>
  <c r="F364" i="10"/>
  <c r="D363" i="10"/>
  <c r="E363" i="10"/>
  <c r="C149" i="4"/>
  <c r="F363" i="10"/>
  <c r="D362" i="10"/>
  <c r="E362" i="10"/>
  <c r="C147" i="4"/>
  <c r="F362" i="10"/>
  <c r="D361" i="10"/>
  <c r="E361" i="10"/>
  <c r="C145" i="4"/>
  <c r="F361" i="10"/>
  <c r="D360" i="10"/>
  <c r="E360" i="10"/>
  <c r="C142" i="4"/>
  <c r="F360" i="10"/>
  <c r="D359" i="10"/>
  <c r="E359" i="10"/>
  <c r="C141" i="4"/>
  <c r="F359" i="10"/>
  <c r="D358" i="10"/>
  <c r="E358" i="10"/>
  <c r="C140" i="4"/>
  <c r="F358" i="10"/>
  <c r="D357" i="10"/>
  <c r="E357" i="10"/>
  <c r="C138" i="4"/>
  <c r="F357" i="10"/>
  <c r="D356" i="10"/>
  <c r="E356" i="10"/>
  <c r="C137" i="4"/>
  <c r="F356" i="10"/>
  <c r="D355" i="10"/>
  <c r="E355" i="10"/>
  <c r="C140" i="3"/>
  <c r="F355" i="10"/>
  <c r="D354" i="10"/>
  <c r="E354" i="10"/>
  <c r="C139" i="3"/>
  <c r="F354" i="10"/>
  <c r="D353" i="10"/>
  <c r="E353" i="10"/>
  <c r="C138" i="3"/>
  <c r="F353" i="10"/>
  <c r="D352" i="10"/>
  <c r="E352" i="10"/>
  <c r="C137" i="3"/>
  <c r="F352" i="10"/>
  <c r="D351" i="10"/>
  <c r="E351" i="10"/>
  <c r="C135" i="3"/>
  <c r="F351" i="10"/>
  <c r="D350" i="10"/>
  <c r="E350" i="10"/>
  <c r="C134" i="3"/>
  <c r="F350" i="10"/>
  <c r="D349" i="10"/>
  <c r="E349" i="10"/>
  <c r="C132" i="3"/>
  <c r="F349" i="10"/>
  <c r="D348" i="10"/>
  <c r="E348" i="10"/>
  <c r="C131" i="3"/>
  <c r="F348" i="10"/>
  <c r="D347" i="10"/>
  <c r="E347" i="10"/>
  <c r="C129" i="3"/>
  <c r="F347" i="10"/>
  <c r="D346" i="10"/>
  <c r="E346" i="10"/>
  <c r="C128" i="3"/>
  <c r="F346" i="10"/>
  <c r="D345" i="10"/>
  <c r="E345" i="10"/>
  <c r="C127" i="3"/>
  <c r="F345" i="10"/>
  <c r="D344" i="10"/>
  <c r="E344" i="10"/>
  <c r="C126" i="3"/>
  <c r="F344" i="10"/>
  <c r="D343" i="10"/>
  <c r="E343" i="10"/>
  <c r="C124" i="3"/>
  <c r="F343" i="10"/>
  <c r="D342" i="10"/>
  <c r="E342" i="10"/>
  <c r="C123" i="3"/>
  <c r="F342" i="10"/>
  <c r="D341" i="10"/>
  <c r="E341" i="10"/>
  <c r="C122" i="3"/>
  <c r="F341" i="10"/>
  <c r="D340" i="10"/>
  <c r="E340" i="10"/>
  <c r="C134" i="2"/>
  <c r="F340" i="10"/>
  <c r="D339" i="10"/>
  <c r="E339" i="10"/>
  <c r="C132" i="2"/>
  <c r="F339" i="10"/>
  <c r="D338" i="10"/>
  <c r="E338" i="10"/>
  <c r="C130" i="2"/>
  <c r="F338" i="10"/>
  <c r="D337" i="10"/>
  <c r="E337" i="10"/>
  <c r="C128" i="2"/>
  <c r="F337" i="10"/>
  <c r="D336" i="10"/>
  <c r="E336" i="10"/>
  <c r="C127" i="2"/>
  <c r="F336" i="10"/>
  <c r="D335" i="10"/>
  <c r="E335" i="10"/>
  <c r="C125" i="2"/>
  <c r="F335" i="10"/>
  <c r="D334" i="10"/>
  <c r="E334" i="10"/>
  <c r="C124" i="2"/>
  <c r="F334" i="10"/>
  <c r="D333" i="10"/>
  <c r="E333" i="10"/>
  <c r="C122" i="2"/>
  <c r="F333" i="10"/>
  <c r="D332" i="10"/>
  <c r="E332" i="10"/>
  <c r="C121" i="2"/>
  <c r="F332" i="10"/>
  <c r="D331" i="10"/>
  <c r="E331" i="10"/>
  <c r="C119" i="2"/>
  <c r="F331" i="10"/>
  <c r="D330" i="10"/>
  <c r="E330" i="10"/>
  <c r="C118" i="2"/>
  <c r="F330" i="10"/>
  <c r="D329" i="10"/>
  <c r="E329" i="10"/>
  <c r="C140" i="1"/>
  <c r="F329" i="10"/>
  <c r="D328" i="10"/>
  <c r="E328" i="10"/>
  <c r="C138" i="1"/>
  <c r="F328" i="10"/>
  <c r="D327" i="10"/>
  <c r="E327" i="10"/>
  <c r="C136" i="1"/>
  <c r="F327" i="10"/>
  <c r="D326" i="10"/>
  <c r="E326" i="10"/>
  <c r="C134" i="1"/>
  <c r="F326" i="10"/>
  <c r="D325" i="10"/>
  <c r="E325" i="10"/>
  <c r="C132" i="1"/>
  <c r="F325" i="10"/>
  <c r="D324" i="10"/>
  <c r="E324" i="10"/>
  <c r="C131" i="1"/>
  <c r="F324" i="10"/>
  <c r="D323" i="10"/>
  <c r="E323" i="10"/>
  <c r="C129" i="1"/>
  <c r="F323" i="10"/>
  <c r="D322" i="10"/>
  <c r="E322" i="10"/>
  <c r="C128" i="1"/>
  <c r="F322" i="10"/>
  <c r="D321" i="10"/>
  <c r="E321" i="10"/>
  <c r="C127" i="1"/>
  <c r="F321" i="10"/>
  <c r="D320" i="10"/>
  <c r="E320" i="10"/>
  <c r="C125" i="1"/>
  <c r="F320" i="10"/>
  <c r="D319" i="10"/>
  <c r="E319" i="10"/>
  <c r="C123" i="1"/>
  <c r="F319" i="10"/>
  <c r="D318" i="10"/>
  <c r="E318" i="10"/>
  <c r="C128" i="5"/>
  <c r="F318" i="10"/>
  <c r="D317" i="10"/>
  <c r="E317" i="10"/>
  <c r="C126" i="5"/>
  <c r="F317" i="10"/>
  <c r="D316" i="10"/>
  <c r="E316" i="10"/>
  <c r="C124" i="5"/>
  <c r="F316" i="10"/>
  <c r="D315" i="10"/>
  <c r="E315" i="10"/>
  <c r="C123" i="5"/>
  <c r="F315" i="10"/>
  <c r="D314" i="10"/>
  <c r="E314" i="10"/>
  <c r="C121" i="5"/>
  <c r="F314" i="10"/>
  <c r="D313" i="10"/>
  <c r="E313" i="10"/>
  <c r="C119" i="5"/>
  <c r="F313" i="10"/>
  <c r="D312" i="10"/>
  <c r="E312" i="10"/>
  <c r="C118" i="5"/>
  <c r="F312" i="10"/>
  <c r="D311" i="10"/>
  <c r="E311" i="10"/>
  <c r="C116" i="5"/>
  <c r="F311" i="10"/>
  <c r="D310" i="10"/>
  <c r="E310" i="10"/>
  <c r="C115" i="5"/>
  <c r="F310" i="10"/>
  <c r="D309" i="10"/>
  <c r="E309" i="10"/>
  <c r="C113" i="5"/>
  <c r="F309" i="10"/>
  <c r="D308" i="10"/>
  <c r="E308" i="10"/>
  <c r="C112" i="5"/>
  <c r="F308" i="10"/>
  <c r="D307" i="10"/>
  <c r="E307" i="10"/>
  <c r="C111" i="5"/>
  <c r="F307" i="10"/>
  <c r="D306" i="10"/>
  <c r="E306" i="10"/>
  <c r="C109" i="5"/>
  <c r="F306" i="10"/>
  <c r="D305" i="10"/>
  <c r="E305" i="10"/>
  <c r="C133" i="4"/>
  <c r="F305" i="10"/>
  <c r="D304" i="10"/>
  <c r="E304" i="10"/>
  <c r="C131" i="4"/>
  <c r="F304" i="10"/>
  <c r="D303" i="10"/>
  <c r="E303" i="10"/>
  <c r="C129" i="4"/>
  <c r="F303" i="10"/>
  <c r="D302" i="10"/>
  <c r="E302" i="10"/>
  <c r="C127" i="4"/>
  <c r="F302" i="10"/>
  <c r="D301" i="10"/>
  <c r="E301" i="10"/>
  <c r="C126" i="4"/>
  <c r="F301" i="10"/>
  <c r="D300" i="10"/>
  <c r="E300" i="10"/>
  <c r="C124" i="4"/>
  <c r="F300" i="10"/>
  <c r="D299" i="10"/>
  <c r="E299" i="10"/>
  <c r="C122" i="4"/>
  <c r="F299" i="10"/>
  <c r="D298" i="10"/>
  <c r="E298" i="10"/>
  <c r="C120" i="4"/>
  <c r="F298" i="10"/>
  <c r="D297" i="10"/>
  <c r="E297" i="10"/>
  <c r="C117" i="4"/>
  <c r="F297" i="10"/>
  <c r="D296" i="10"/>
  <c r="E296" i="10"/>
  <c r="C116" i="4"/>
  <c r="F296" i="10"/>
  <c r="D295" i="10"/>
  <c r="E295" i="10"/>
  <c r="C115" i="4"/>
  <c r="F295" i="10"/>
  <c r="D294" i="10"/>
  <c r="E294" i="10"/>
  <c r="C113" i="4"/>
  <c r="F294" i="10"/>
  <c r="D293" i="10"/>
  <c r="E293" i="10"/>
  <c r="C112" i="4"/>
  <c r="F293" i="10"/>
  <c r="D292" i="10"/>
  <c r="E292" i="10"/>
  <c r="C118" i="3"/>
  <c r="F292" i="10"/>
  <c r="D291" i="10"/>
  <c r="E291" i="10"/>
  <c r="C117" i="3"/>
  <c r="F291" i="10"/>
  <c r="D290" i="10"/>
  <c r="E290" i="10"/>
  <c r="C116" i="3"/>
  <c r="F290" i="10"/>
  <c r="D289" i="10"/>
  <c r="E289" i="10"/>
  <c r="C115" i="3"/>
  <c r="F289" i="10"/>
  <c r="D288" i="10"/>
  <c r="E288" i="10"/>
  <c r="C113" i="3"/>
  <c r="F288" i="10"/>
  <c r="D287" i="10"/>
  <c r="E287" i="10"/>
  <c r="C112" i="3"/>
  <c r="F287" i="10"/>
  <c r="D286" i="10"/>
  <c r="E286" i="10"/>
  <c r="C110" i="3"/>
  <c r="F286" i="10"/>
  <c r="D285" i="10"/>
  <c r="E285" i="10"/>
  <c r="C109" i="3"/>
  <c r="F285" i="10"/>
  <c r="D284" i="10"/>
  <c r="E284" i="10"/>
  <c r="C107" i="3"/>
  <c r="F284" i="10"/>
  <c r="D283" i="10"/>
  <c r="E283" i="10"/>
  <c r="C106" i="3"/>
  <c r="F283" i="10"/>
  <c r="D282" i="10"/>
  <c r="E282" i="10"/>
  <c r="C105" i="3"/>
  <c r="F282" i="10"/>
  <c r="D281" i="10"/>
  <c r="E281" i="10"/>
  <c r="C104" i="3"/>
  <c r="F281" i="10"/>
  <c r="D280" i="10"/>
  <c r="E280" i="10"/>
  <c r="C102" i="3"/>
  <c r="F280" i="10"/>
  <c r="D279" i="10"/>
  <c r="E279" i="10"/>
  <c r="C101" i="3"/>
  <c r="F279" i="10"/>
  <c r="D278" i="10"/>
  <c r="E278" i="10"/>
  <c r="C100" i="3"/>
  <c r="F278" i="10"/>
  <c r="D277" i="10"/>
  <c r="E277" i="10"/>
  <c r="C113" i="2"/>
  <c r="F277" i="10"/>
  <c r="D276" i="10"/>
  <c r="E276" i="10"/>
  <c r="C111" i="2"/>
  <c r="F276" i="10"/>
  <c r="D275" i="10"/>
  <c r="E275" i="10"/>
  <c r="C109" i="2"/>
  <c r="F275" i="10"/>
  <c r="D274" i="10"/>
  <c r="E274" i="10"/>
  <c r="C107" i="2"/>
  <c r="F274" i="10"/>
  <c r="D273" i="10"/>
  <c r="E273" i="10"/>
  <c r="C106" i="2"/>
  <c r="F273" i="10"/>
  <c r="D272" i="10"/>
  <c r="E272" i="10"/>
  <c r="C104" i="2"/>
  <c r="F272" i="10"/>
  <c r="D271" i="10"/>
  <c r="E271" i="10"/>
  <c r="C103" i="2"/>
  <c r="F271" i="10"/>
  <c r="D270" i="10"/>
  <c r="E270" i="10"/>
  <c r="C101" i="2"/>
  <c r="F270" i="10"/>
  <c r="D269" i="10"/>
  <c r="E269" i="10"/>
  <c r="C100" i="2"/>
  <c r="F269" i="10"/>
  <c r="D268" i="10"/>
  <c r="E268" i="10"/>
  <c r="C98" i="2"/>
  <c r="F268" i="10"/>
  <c r="D267" i="10"/>
  <c r="E267" i="10"/>
  <c r="C97" i="2"/>
  <c r="F267" i="10"/>
  <c r="D266" i="10"/>
  <c r="E266" i="10"/>
  <c r="C118" i="1"/>
  <c r="F266" i="10"/>
  <c r="D265" i="10"/>
  <c r="E265" i="10"/>
  <c r="C116" i="1"/>
  <c r="F265" i="10"/>
  <c r="D264" i="10"/>
  <c r="E264" i="10"/>
  <c r="C114" i="1"/>
  <c r="F264" i="10"/>
  <c r="D263" i="10"/>
  <c r="E263" i="10"/>
  <c r="C112" i="1"/>
  <c r="F263" i="10"/>
  <c r="D262" i="10"/>
  <c r="E262" i="10"/>
  <c r="C110" i="1"/>
  <c r="F262" i="10"/>
  <c r="D261" i="10"/>
  <c r="E261" i="10"/>
  <c r="C109" i="1"/>
  <c r="F261" i="10"/>
  <c r="D260" i="10"/>
  <c r="E260" i="10"/>
  <c r="C107" i="1"/>
  <c r="F260" i="10"/>
  <c r="D259" i="10"/>
  <c r="E259" i="10"/>
  <c r="C106" i="1"/>
  <c r="F259" i="10"/>
  <c r="D258" i="10"/>
  <c r="E258" i="10"/>
  <c r="C105" i="1"/>
  <c r="F258" i="10"/>
  <c r="D257" i="10"/>
  <c r="E257" i="10"/>
  <c r="C103" i="1"/>
  <c r="F257" i="10"/>
  <c r="D256" i="10"/>
  <c r="E256" i="10"/>
  <c r="C101" i="1"/>
  <c r="F256" i="10"/>
  <c r="D255" i="10"/>
  <c r="E255" i="10"/>
  <c r="C104" i="5"/>
  <c r="F255" i="10"/>
  <c r="D254" i="10"/>
  <c r="E254" i="10"/>
  <c r="C102" i="5"/>
  <c r="F254" i="10"/>
  <c r="D253" i="10"/>
  <c r="E253" i="10"/>
  <c r="C100" i="5"/>
  <c r="F253" i="10"/>
  <c r="D252" i="10"/>
  <c r="E252" i="10"/>
  <c r="C99" i="5"/>
  <c r="F252" i="10"/>
  <c r="D251" i="10"/>
  <c r="E251" i="10"/>
  <c r="C97" i="5"/>
  <c r="F251" i="10"/>
  <c r="D250" i="10"/>
  <c r="E250" i="10"/>
  <c r="C95" i="5"/>
  <c r="F250" i="10"/>
  <c r="D249" i="10"/>
  <c r="E249" i="10"/>
  <c r="C94" i="5"/>
  <c r="F249" i="10"/>
  <c r="D248" i="10"/>
  <c r="E248" i="10"/>
  <c r="C92" i="5"/>
  <c r="F248" i="10"/>
  <c r="D247" i="10"/>
  <c r="E247" i="10"/>
  <c r="C91" i="5"/>
  <c r="F247" i="10"/>
  <c r="D246" i="10"/>
  <c r="E246" i="10"/>
  <c r="C89" i="5"/>
  <c r="F246" i="10"/>
  <c r="D245" i="10"/>
  <c r="E245" i="10"/>
  <c r="C88" i="5"/>
  <c r="F245" i="10"/>
  <c r="D244" i="10"/>
  <c r="E244" i="10"/>
  <c r="C87" i="5"/>
  <c r="F244" i="10"/>
  <c r="D243" i="10"/>
  <c r="E243" i="10"/>
  <c r="C85" i="5"/>
  <c r="F243" i="10"/>
  <c r="D242" i="10"/>
  <c r="E242" i="10"/>
  <c r="C108" i="4"/>
  <c r="F242" i="10"/>
  <c r="D241" i="10"/>
  <c r="E241" i="10"/>
  <c r="C106" i="4"/>
  <c r="F241" i="10"/>
  <c r="D240" i="10"/>
  <c r="E240" i="10"/>
  <c r="C104" i="4"/>
  <c r="F240" i="10"/>
  <c r="D239" i="10"/>
  <c r="E239" i="10"/>
  <c r="C102" i="4"/>
  <c r="F239" i="10"/>
  <c r="D238" i="10"/>
  <c r="E238" i="10"/>
  <c r="C101" i="4"/>
  <c r="F238" i="10"/>
  <c r="D237" i="10"/>
  <c r="E237" i="10"/>
  <c r="C99" i="4"/>
  <c r="F237" i="10"/>
  <c r="D236" i="10"/>
  <c r="E236" i="10"/>
  <c r="C97" i="4"/>
  <c r="F236" i="10"/>
  <c r="D235" i="10"/>
  <c r="E235" i="10"/>
  <c r="C95" i="4"/>
  <c r="F235" i="10"/>
  <c r="D234" i="10"/>
  <c r="E234" i="10"/>
  <c r="C92" i="4"/>
  <c r="F234" i="10"/>
  <c r="D233" i="10"/>
  <c r="E233" i="10"/>
  <c r="C91" i="4"/>
  <c r="F233" i="10"/>
  <c r="D232" i="10"/>
  <c r="E232" i="10"/>
  <c r="C90" i="4"/>
  <c r="F232" i="10"/>
  <c r="D231" i="10"/>
  <c r="E231" i="10"/>
  <c r="C88" i="4"/>
  <c r="F231" i="10"/>
  <c r="D230" i="10"/>
  <c r="E230" i="10"/>
  <c r="C87" i="4"/>
  <c r="F230" i="10"/>
  <c r="D229" i="10"/>
  <c r="E229" i="10"/>
  <c r="C96" i="3"/>
  <c r="F229" i="10"/>
  <c r="D228" i="10"/>
  <c r="E228" i="10"/>
  <c r="C95" i="3"/>
  <c r="F228" i="10"/>
  <c r="D227" i="10"/>
  <c r="E227" i="10"/>
  <c r="C94" i="3"/>
  <c r="F227" i="10"/>
  <c r="D226" i="10"/>
  <c r="E226" i="10"/>
  <c r="C93" i="3"/>
  <c r="F226" i="10"/>
  <c r="D225" i="10"/>
  <c r="E225" i="10"/>
  <c r="C91" i="3"/>
  <c r="F225" i="10"/>
  <c r="D224" i="10"/>
  <c r="E224" i="10"/>
  <c r="C90" i="3"/>
  <c r="F224" i="10"/>
  <c r="D223" i="10"/>
  <c r="E223" i="10"/>
  <c r="C88" i="3"/>
  <c r="F223" i="10"/>
  <c r="D222" i="10"/>
  <c r="E222" i="10"/>
  <c r="C87" i="3"/>
  <c r="F222" i="10"/>
  <c r="D221" i="10"/>
  <c r="E221" i="10"/>
  <c r="C85" i="3"/>
  <c r="F221" i="10"/>
  <c r="D220" i="10"/>
  <c r="E220" i="10"/>
  <c r="C84" i="3"/>
  <c r="F220" i="10"/>
  <c r="D219" i="10"/>
  <c r="E219" i="10"/>
  <c r="C83" i="3"/>
  <c r="F219" i="10"/>
  <c r="D218" i="10"/>
  <c r="E218" i="10"/>
  <c r="C82" i="3"/>
  <c r="F218" i="10"/>
  <c r="D217" i="10"/>
  <c r="E217" i="10"/>
  <c r="C80" i="3"/>
  <c r="F217" i="10"/>
  <c r="D216" i="10"/>
  <c r="E216" i="10"/>
  <c r="C79" i="3"/>
  <c r="F216" i="10"/>
  <c r="D215" i="10"/>
  <c r="E215" i="10"/>
  <c r="C78" i="3"/>
  <c r="F215" i="10"/>
  <c r="D214" i="10"/>
  <c r="E214" i="10"/>
  <c r="C92" i="2"/>
  <c r="F214" i="10"/>
  <c r="D213" i="10"/>
  <c r="E213" i="10"/>
  <c r="C90" i="2"/>
  <c r="F213" i="10"/>
  <c r="D212" i="10"/>
  <c r="E212" i="10"/>
  <c r="C88" i="2"/>
  <c r="F212" i="10"/>
  <c r="D211" i="10"/>
  <c r="E211" i="10"/>
  <c r="C86" i="2"/>
  <c r="F211" i="10"/>
  <c r="D210" i="10"/>
  <c r="E210" i="10"/>
  <c r="C85" i="2"/>
  <c r="F210" i="10"/>
  <c r="D209" i="10"/>
  <c r="E209" i="10"/>
  <c r="C83" i="2"/>
  <c r="F209" i="10"/>
  <c r="D208" i="10"/>
  <c r="E208" i="10"/>
  <c r="C82" i="2"/>
  <c r="F208" i="10"/>
  <c r="D207" i="10"/>
  <c r="E207" i="10"/>
  <c r="C80" i="2"/>
  <c r="F207" i="10"/>
  <c r="D206" i="10"/>
  <c r="E206" i="10"/>
  <c r="C79" i="2"/>
  <c r="F206" i="10"/>
  <c r="D205" i="10"/>
  <c r="E205" i="10"/>
  <c r="C77" i="2"/>
  <c r="F205" i="10"/>
  <c r="D204" i="10"/>
  <c r="E204" i="10"/>
  <c r="C76" i="2"/>
  <c r="F204" i="10"/>
  <c r="D203" i="10"/>
  <c r="E203" i="10"/>
  <c r="C96" i="1"/>
  <c r="F203" i="10"/>
  <c r="D202" i="10"/>
  <c r="E202" i="10"/>
  <c r="C94" i="1"/>
  <c r="F202" i="10"/>
  <c r="D201" i="10"/>
  <c r="E201" i="10"/>
  <c r="C92" i="1"/>
  <c r="F201" i="10"/>
  <c r="D200" i="10"/>
  <c r="E200" i="10"/>
  <c r="C90" i="1"/>
  <c r="F200" i="10"/>
  <c r="D199" i="10"/>
  <c r="E199" i="10"/>
  <c r="C88" i="1"/>
  <c r="F199" i="10"/>
  <c r="D198" i="10"/>
  <c r="E198" i="10"/>
  <c r="C87" i="1"/>
  <c r="F198" i="10"/>
  <c r="D197" i="10"/>
  <c r="E197" i="10"/>
  <c r="C85" i="1"/>
  <c r="F197" i="10"/>
  <c r="D196" i="10"/>
  <c r="E196" i="10"/>
  <c r="C84" i="1"/>
  <c r="F196" i="10"/>
  <c r="D195" i="10"/>
  <c r="E195" i="10"/>
  <c r="C83" i="1"/>
  <c r="F195" i="10"/>
  <c r="D194" i="10"/>
  <c r="E194" i="10"/>
  <c r="C81" i="1"/>
  <c r="F194" i="10"/>
  <c r="D193" i="10"/>
  <c r="E193" i="10"/>
  <c r="C79" i="1"/>
  <c r="F193" i="10"/>
  <c r="D192" i="10"/>
  <c r="E192" i="10"/>
  <c r="C80" i="5"/>
  <c r="F192" i="10"/>
  <c r="D191" i="10"/>
  <c r="E191" i="10"/>
  <c r="C78" i="5"/>
  <c r="F191" i="10"/>
  <c r="D190" i="10"/>
  <c r="E190" i="10"/>
  <c r="C76" i="5"/>
  <c r="F190" i="10"/>
  <c r="D189" i="10"/>
  <c r="E189" i="10"/>
  <c r="C75" i="5"/>
  <c r="F189" i="10"/>
  <c r="D188" i="10"/>
  <c r="E188" i="10"/>
  <c r="C73" i="5"/>
  <c r="F188" i="10"/>
  <c r="D187" i="10"/>
  <c r="E187" i="10"/>
  <c r="C71" i="5"/>
  <c r="F187" i="10"/>
  <c r="D186" i="10"/>
  <c r="E186" i="10"/>
  <c r="C70" i="5"/>
  <c r="F186" i="10"/>
  <c r="D185" i="10"/>
  <c r="E185" i="10"/>
  <c r="C68" i="5"/>
  <c r="F185" i="10"/>
  <c r="D184" i="10"/>
  <c r="E184" i="10"/>
  <c r="C67" i="5"/>
  <c r="F184" i="10"/>
  <c r="D183" i="10"/>
  <c r="E183" i="10"/>
  <c r="C65" i="5"/>
  <c r="F183" i="10"/>
  <c r="D182" i="10"/>
  <c r="E182" i="10"/>
  <c r="C64" i="5"/>
  <c r="F182" i="10"/>
  <c r="D181" i="10"/>
  <c r="E181" i="10"/>
  <c r="C63" i="5"/>
  <c r="F181" i="10"/>
  <c r="D180" i="10"/>
  <c r="E180" i="10"/>
  <c r="C61" i="5"/>
  <c r="F180" i="10"/>
  <c r="D179" i="10"/>
  <c r="E179" i="10"/>
  <c r="C83" i="4"/>
  <c r="F179" i="10"/>
  <c r="D178" i="10"/>
  <c r="E178" i="10"/>
  <c r="C81" i="4"/>
  <c r="F178" i="10"/>
  <c r="D177" i="10"/>
  <c r="E177" i="10"/>
  <c r="C79" i="4"/>
  <c r="F177" i="10"/>
  <c r="D176" i="10"/>
  <c r="E176" i="10"/>
  <c r="C77" i="4"/>
  <c r="F176" i="10"/>
  <c r="D175" i="10"/>
  <c r="E175" i="10"/>
  <c r="C76" i="4"/>
  <c r="F175" i="10"/>
  <c r="D174" i="10"/>
  <c r="E174" i="10"/>
  <c r="C74" i="4"/>
  <c r="F174" i="10"/>
  <c r="D173" i="10"/>
  <c r="E173" i="10"/>
  <c r="C72" i="4"/>
  <c r="F173" i="10"/>
  <c r="D172" i="10"/>
  <c r="E172" i="10"/>
  <c r="O172" i="10"/>
  <c r="C70" i="4"/>
  <c r="F172" i="10"/>
  <c r="D171" i="10"/>
  <c r="E171" i="10"/>
  <c r="C67" i="4"/>
  <c r="F171" i="10"/>
  <c r="D170" i="10"/>
  <c r="E170" i="10"/>
  <c r="C66" i="4"/>
  <c r="F170" i="10"/>
  <c r="D169" i="10"/>
  <c r="E169" i="10"/>
  <c r="C65" i="4"/>
  <c r="F169" i="10"/>
  <c r="D168" i="10"/>
  <c r="E168" i="10"/>
  <c r="C63" i="4"/>
  <c r="F168" i="10"/>
  <c r="D167" i="10"/>
  <c r="E167" i="10"/>
  <c r="C62" i="4"/>
  <c r="F167" i="10"/>
  <c r="D166" i="10"/>
  <c r="E166" i="10"/>
  <c r="C74" i="3"/>
  <c r="F166" i="10"/>
  <c r="D165" i="10"/>
  <c r="E165" i="10"/>
  <c r="C73" i="3"/>
  <c r="F165" i="10"/>
  <c r="D164" i="10"/>
  <c r="E164" i="10"/>
  <c r="C72" i="3"/>
  <c r="F164" i="10"/>
  <c r="D163" i="10"/>
  <c r="E163" i="10"/>
  <c r="C71" i="3"/>
  <c r="F163" i="10"/>
  <c r="D162" i="10"/>
  <c r="E162" i="10"/>
  <c r="C69" i="3"/>
  <c r="F162" i="10"/>
  <c r="D161" i="10"/>
  <c r="E161" i="10"/>
  <c r="C68" i="3"/>
  <c r="F161" i="10"/>
  <c r="D160" i="10"/>
  <c r="E160" i="10"/>
  <c r="C66" i="3"/>
  <c r="F160" i="10"/>
  <c r="D159" i="10"/>
  <c r="E159" i="10"/>
  <c r="C65" i="3"/>
  <c r="F159" i="10"/>
  <c r="D158" i="10"/>
  <c r="E158" i="10"/>
  <c r="C63" i="3"/>
  <c r="F158" i="10"/>
  <c r="D157" i="10"/>
  <c r="E157" i="10"/>
  <c r="C62" i="3"/>
  <c r="F157" i="10"/>
  <c r="D156" i="10"/>
  <c r="E156" i="10"/>
  <c r="C61" i="3"/>
  <c r="F156" i="10"/>
  <c r="D155" i="10"/>
  <c r="E155" i="10"/>
  <c r="C60" i="3"/>
  <c r="F155" i="10"/>
  <c r="D154" i="10"/>
  <c r="E154" i="10"/>
  <c r="C58" i="3"/>
  <c r="F154" i="10"/>
  <c r="D153" i="10"/>
  <c r="E153" i="10"/>
  <c r="C57" i="3"/>
  <c r="F153" i="10"/>
  <c r="D152" i="10"/>
  <c r="E152" i="10"/>
  <c r="C56" i="3"/>
  <c r="F152" i="10"/>
  <c r="D151" i="10"/>
  <c r="E151" i="10"/>
  <c r="C71" i="2"/>
  <c r="F151" i="10"/>
  <c r="D150" i="10"/>
  <c r="E150" i="10"/>
  <c r="C69" i="2"/>
  <c r="F150" i="10"/>
  <c r="D149" i="10"/>
  <c r="E149" i="10"/>
  <c r="C67" i="2"/>
  <c r="F149" i="10"/>
  <c r="D148" i="10"/>
  <c r="E148" i="10"/>
  <c r="C65" i="2"/>
  <c r="F148" i="10"/>
  <c r="D147" i="10"/>
  <c r="E147" i="10"/>
  <c r="C64" i="2"/>
  <c r="F147" i="10"/>
  <c r="D146" i="10"/>
  <c r="E146" i="10"/>
  <c r="C62" i="2"/>
  <c r="F146" i="10"/>
  <c r="D145" i="10"/>
  <c r="E145" i="10"/>
  <c r="C61" i="2"/>
  <c r="F145" i="10"/>
  <c r="D144" i="10"/>
  <c r="E144" i="10"/>
  <c r="O144" i="10"/>
  <c r="C59" i="2"/>
  <c r="F144" i="10"/>
  <c r="D143" i="10"/>
  <c r="E143" i="10"/>
  <c r="C58" i="2"/>
  <c r="F143" i="10"/>
  <c r="D142" i="10"/>
  <c r="E142" i="10"/>
  <c r="C56" i="2"/>
  <c r="F142" i="10"/>
  <c r="D141" i="10"/>
  <c r="E141" i="10"/>
  <c r="C55" i="2"/>
  <c r="F141" i="10"/>
  <c r="D140" i="10"/>
  <c r="E140" i="10"/>
  <c r="C74" i="1"/>
  <c r="F140" i="10"/>
  <c r="D139" i="10"/>
  <c r="E139" i="10"/>
  <c r="C72" i="1"/>
  <c r="F139" i="10"/>
  <c r="D138" i="10"/>
  <c r="E138" i="10"/>
  <c r="C70" i="1"/>
  <c r="F138" i="10"/>
  <c r="D137" i="10"/>
  <c r="E137" i="10"/>
  <c r="C68" i="1"/>
  <c r="F137" i="10"/>
  <c r="D136" i="10"/>
  <c r="E136" i="10"/>
  <c r="C66" i="1"/>
  <c r="F136" i="10"/>
  <c r="D135" i="10"/>
  <c r="E135" i="10"/>
  <c r="C65" i="1"/>
  <c r="F135" i="10"/>
  <c r="D134" i="10"/>
  <c r="E134" i="10"/>
  <c r="C63" i="1"/>
  <c r="F134" i="10"/>
  <c r="D133" i="10"/>
  <c r="E133" i="10"/>
  <c r="C62" i="1"/>
  <c r="F133" i="10"/>
  <c r="D132" i="10"/>
  <c r="E132" i="10"/>
  <c r="C61" i="1"/>
  <c r="F132" i="10"/>
  <c r="D131" i="10"/>
  <c r="E131" i="10"/>
  <c r="C59" i="1"/>
  <c r="F131" i="10"/>
  <c r="D130" i="10"/>
  <c r="E130" i="10"/>
  <c r="C57" i="1"/>
  <c r="F130" i="10"/>
  <c r="D129" i="10"/>
  <c r="E129" i="10"/>
  <c r="C56" i="5"/>
  <c r="F129" i="10"/>
  <c r="D128" i="10"/>
  <c r="E128" i="10"/>
  <c r="C54" i="5"/>
  <c r="F128" i="10"/>
  <c r="D127" i="10"/>
  <c r="E127" i="10"/>
  <c r="C52" i="5"/>
  <c r="F127" i="10"/>
  <c r="D126" i="10"/>
  <c r="E126" i="10"/>
  <c r="C51" i="5"/>
  <c r="F126" i="10"/>
  <c r="D125" i="10"/>
  <c r="E125" i="10"/>
  <c r="C49" i="5"/>
  <c r="F125" i="10"/>
  <c r="D124" i="10"/>
  <c r="E124" i="10"/>
  <c r="C47" i="5"/>
  <c r="F124" i="10"/>
  <c r="D123" i="10"/>
  <c r="E123" i="10"/>
  <c r="C46" i="5"/>
  <c r="F123" i="10"/>
  <c r="D122" i="10"/>
  <c r="E122" i="10"/>
  <c r="C44" i="5"/>
  <c r="F122" i="10"/>
  <c r="D121" i="10"/>
  <c r="E121" i="10"/>
  <c r="C43" i="5"/>
  <c r="F121" i="10"/>
  <c r="D120" i="10"/>
  <c r="E120" i="10"/>
  <c r="C41" i="5"/>
  <c r="F120" i="10"/>
  <c r="D119" i="10"/>
  <c r="E119" i="10"/>
  <c r="O119" i="10"/>
  <c r="C40" i="5"/>
  <c r="F119" i="10"/>
  <c r="D118" i="10"/>
  <c r="E118" i="10"/>
  <c r="O118" i="10"/>
  <c r="C39" i="5"/>
  <c r="F118" i="10"/>
  <c r="D117" i="10"/>
  <c r="E117" i="10"/>
  <c r="C37" i="5"/>
  <c r="F117" i="10"/>
  <c r="D116" i="10"/>
  <c r="E116" i="10"/>
  <c r="C58" i="4"/>
  <c r="F116" i="10"/>
  <c r="D115" i="10"/>
  <c r="E115" i="10"/>
  <c r="C56" i="4"/>
  <c r="F115" i="10"/>
  <c r="D114" i="10"/>
  <c r="E114" i="10"/>
  <c r="C54" i="4"/>
  <c r="F114" i="10"/>
  <c r="D113" i="10"/>
  <c r="E113" i="10"/>
  <c r="O113" i="10"/>
  <c r="C52" i="4"/>
  <c r="F113" i="10"/>
  <c r="D112" i="10"/>
  <c r="E112" i="10"/>
  <c r="C51" i="4"/>
  <c r="F112" i="10"/>
  <c r="D111" i="10"/>
  <c r="E111" i="10"/>
  <c r="C49" i="4"/>
  <c r="F111" i="10"/>
  <c r="D110" i="10"/>
  <c r="E110" i="10"/>
  <c r="O110" i="10"/>
  <c r="C47" i="4"/>
  <c r="F110" i="10"/>
  <c r="D109" i="10"/>
  <c r="E109" i="10"/>
  <c r="C45" i="4"/>
  <c r="F109" i="10"/>
  <c r="D108" i="10"/>
  <c r="E108" i="10"/>
  <c r="O108" i="10"/>
  <c r="C42" i="4"/>
  <c r="F108" i="10"/>
  <c r="D107" i="10"/>
  <c r="E107" i="10"/>
  <c r="C41" i="4"/>
  <c r="F107" i="10"/>
  <c r="D106" i="10"/>
  <c r="E106" i="10"/>
  <c r="O106" i="10"/>
  <c r="C40" i="4"/>
  <c r="F106" i="10"/>
  <c r="D105" i="10"/>
  <c r="E105" i="10"/>
  <c r="O105" i="10"/>
  <c r="C38" i="4"/>
  <c r="F105" i="10"/>
  <c r="D104" i="10"/>
  <c r="E104" i="10"/>
  <c r="C37" i="4"/>
  <c r="F104" i="10"/>
  <c r="D103" i="10"/>
  <c r="E103" i="10"/>
  <c r="O103" i="10"/>
  <c r="C52" i="3"/>
  <c r="F103" i="10"/>
  <c r="D102" i="10"/>
  <c r="E102" i="10"/>
  <c r="C51" i="3"/>
  <c r="F102" i="10"/>
  <c r="D101" i="10"/>
  <c r="E101" i="10"/>
  <c r="O101" i="10"/>
  <c r="C50" i="3"/>
  <c r="F101" i="10"/>
  <c r="D100" i="10"/>
  <c r="E100" i="10"/>
  <c r="C49" i="3"/>
  <c r="F100" i="10"/>
  <c r="D99" i="10"/>
  <c r="E99" i="10"/>
  <c r="C47" i="3"/>
  <c r="F99" i="10"/>
  <c r="D98" i="10"/>
  <c r="E98" i="10"/>
  <c r="O98" i="10"/>
  <c r="C46" i="3"/>
  <c r="F98" i="10"/>
  <c r="D97" i="10"/>
  <c r="E97" i="10"/>
  <c r="C44" i="3"/>
  <c r="F97" i="10"/>
  <c r="D96" i="10"/>
  <c r="E96" i="10"/>
  <c r="O96" i="10"/>
  <c r="C43" i="3"/>
  <c r="F96" i="10"/>
  <c r="D95" i="10"/>
  <c r="E95" i="10"/>
  <c r="C41" i="3"/>
  <c r="F95" i="10"/>
  <c r="D94" i="10"/>
  <c r="E94" i="10"/>
  <c r="C40" i="3"/>
  <c r="F94" i="10"/>
  <c r="D93" i="10"/>
  <c r="E93" i="10"/>
  <c r="O93" i="10"/>
  <c r="C39" i="3"/>
  <c r="F93" i="10"/>
  <c r="D92" i="10"/>
  <c r="E92" i="10"/>
  <c r="C38" i="3"/>
  <c r="F92" i="10"/>
  <c r="D91" i="10"/>
  <c r="E91" i="10"/>
  <c r="O91" i="10"/>
  <c r="C36" i="3"/>
  <c r="F91" i="10"/>
  <c r="D90" i="10"/>
  <c r="E90" i="10"/>
  <c r="C35" i="3"/>
  <c r="F90" i="10"/>
  <c r="D89" i="10"/>
  <c r="E89" i="10"/>
  <c r="C34" i="3"/>
  <c r="F89" i="10"/>
  <c r="D88" i="10"/>
  <c r="E88" i="10"/>
  <c r="C50" i="2"/>
  <c r="F88" i="10"/>
  <c r="D87" i="10"/>
  <c r="E87" i="10"/>
  <c r="C48" i="2"/>
  <c r="F87" i="10"/>
  <c r="D86" i="10"/>
  <c r="E86" i="10"/>
  <c r="O86" i="10"/>
  <c r="C46" i="2"/>
  <c r="F86" i="10"/>
  <c r="D85" i="10"/>
  <c r="E85" i="10"/>
  <c r="C44" i="2"/>
  <c r="F85" i="10"/>
  <c r="D84" i="10"/>
  <c r="E84" i="10"/>
  <c r="C43" i="2"/>
  <c r="F84" i="10"/>
  <c r="D83" i="10"/>
  <c r="E83" i="10"/>
  <c r="O83" i="10"/>
  <c r="C41" i="2"/>
  <c r="F83" i="10"/>
  <c r="D82" i="10"/>
  <c r="E82" i="10"/>
  <c r="C40" i="2"/>
  <c r="F82" i="10"/>
  <c r="D81" i="10"/>
  <c r="E81" i="10"/>
  <c r="O81" i="10"/>
  <c r="C38" i="2"/>
  <c r="F81" i="10"/>
  <c r="D80" i="10"/>
  <c r="E80" i="10"/>
  <c r="C37" i="2"/>
  <c r="F80" i="10"/>
  <c r="D79" i="10"/>
  <c r="E79" i="10"/>
  <c r="C35" i="2"/>
  <c r="F79" i="10"/>
  <c r="D78" i="10"/>
  <c r="E78" i="10"/>
  <c r="O78" i="10"/>
  <c r="C34" i="2"/>
  <c r="F78" i="10"/>
  <c r="D77" i="10"/>
  <c r="E77" i="10"/>
  <c r="C52" i="1"/>
  <c r="F77" i="10"/>
  <c r="D76" i="10"/>
  <c r="E76" i="10"/>
  <c r="O76" i="10"/>
  <c r="C50" i="1"/>
  <c r="F76" i="10"/>
  <c r="D75" i="10"/>
  <c r="E75" i="10"/>
  <c r="C48" i="1"/>
  <c r="F75" i="10"/>
  <c r="D74" i="10"/>
  <c r="E74" i="10"/>
  <c r="C46" i="1"/>
  <c r="F74" i="10"/>
  <c r="D73" i="10"/>
  <c r="E73" i="10"/>
  <c r="O73" i="10"/>
  <c r="C44" i="1"/>
  <c r="F73" i="10"/>
  <c r="D72" i="10"/>
  <c r="E72" i="10"/>
  <c r="C43" i="1"/>
  <c r="F72" i="10"/>
  <c r="D71" i="10"/>
  <c r="E71" i="10"/>
  <c r="O71" i="10"/>
  <c r="C41" i="1"/>
  <c r="F71" i="10"/>
  <c r="D70" i="10"/>
  <c r="E70" i="10"/>
  <c r="C40" i="1"/>
  <c r="F70" i="10"/>
  <c r="D69" i="10"/>
  <c r="E69" i="10"/>
  <c r="C39" i="1"/>
  <c r="F69" i="10"/>
  <c r="D68" i="10"/>
  <c r="E68" i="10"/>
  <c r="O68" i="10"/>
  <c r="C37" i="1"/>
  <c r="F68" i="10"/>
  <c r="D67" i="10"/>
  <c r="E67" i="10"/>
  <c r="C35" i="1"/>
  <c r="F67" i="10"/>
  <c r="D66" i="10"/>
  <c r="E66" i="10"/>
  <c r="C32" i="5"/>
  <c r="F66" i="10"/>
  <c r="D65" i="10"/>
  <c r="E65" i="10"/>
  <c r="O65" i="10"/>
  <c r="C30" i="5"/>
  <c r="F65" i="10"/>
  <c r="D64" i="10"/>
  <c r="E64" i="10"/>
  <c r="C28" i="5"/>
  <c r="F64" i="10"/>
  <c r="D63" i="10"/>
  <c r="E63" i="10"/>
  <c r="O63" i="10"/>
  <c r="C27" i="5"/>
  <c r="F63" i="10"/>
  <c r="D62" i="10"/>
  <c r="E62" i="10"/>
  <c r="C25" i="5"/>
  <c r="F62" i="10"/>
  <c r="D61" i="10"/>
  <c r="E61" i="10"/>
  <c r="O61" i="10"/>
  <c r="C23" i="5"/>
  <c r="F61" i="10"/>
  <c r="D60" i="10"/>
  <c r="E60" i="10"/>
  <c r="O60" i="10"/>
  <c r="C22" i="5"/>
  <c r="F60" i="10"/>
  <c r="D59" i="10"/>
  <c r="E59" i="10"/>
  <c r="C20" i="5"/>
  <c r="F59" i="10"/>
  <c r="D58" i="10"/>
  <c r="E58" i="10"/>
  <c r="O58" i="10"/>
  <c r="C19" i="5"/>
  <c r="F58" i="10"/>
  <c r="D57" i="10"/>
  <c r="E57" i="10"/>
  <c r="C17" i="5"/>
  <c r="F57" i="10"/>
  <c r="D56" i="10"/>
  <c r="E56" i="10"/>
  <c r="O56" i="10"/>
  <c r="C16" i="5"/>
  <c r="F56" i="10"/>
  <c r="D55" i="10"/>
  <c r="E55" i="10"/>
  <c r="C15" i="5"/>
  <c r="F55" i="10"/>
  <c r="D54" i="10"/>
  <c r="E54" i="10"/>
  <c r="O54" i="10"/>
  <c r="C13" i="5"/>
  <c r="F54" i="10"/>
  <c r="D53" i="10"/>
  <c r="E53" i="10"/>
  <c r="O53" i="10"/>
  <c r="F53" i="10"/>
  <c r="D52" i="10"/>
  <c r="E52" i="10"/>
  <c r="C31" i="4"/>
  <c r="F52" i="10"/>
  <c r="D51" i="10"/>
  <c r="E51" i="10"/>
  <c r="O51" i="10"/>
  <c r="C29" i="4"/>
  <c r="F51" i="10"/>
  <c r="D50" i="10"/>
  <c r="E50" i="10"/>
  <c r="C27" i="4"/>
  <c r="F50" i="10"/>
  <c r="D49" i="10"/>
  <c r="E49" i="10"/>
  <c r="O49" i="10"/>
  <c r="C26" i="4"/>
  <c r="F49" i="10"/>
  <c r="D48" i="10"/>
  <c r="E48" i="10"/>
  <c r="O48" i="10"/>
  <c r="F48" i="10"/>
  <c r="D47" i="10"/>
  <c r="E47" i="10"/>
  <c r="C22" i="4"/>
  <c r="F47" i="10"/>
  <c r="D46" i="10"/>
  <c r="E46" i="10"/>
  <c r="O46" i="10"/>
  <c r="F46" i="10"/>
  <c r="D45" i="10"/>
  <c r="E45" i="10"/>
  <c r="O45" i="10"/>
  <c r="C17" i="4"/>
  <c r="F45" i="10"/>
  <c r="D44" i="10"/>
  <c r="E44" i="10"/>
  <c r="C16" i="4"/>
  <c r="F44" i="10"/>
  <c r="D43" i="10"/>
  <c r="E43" i="10"/>
  <c r="O43" i="10"/>
  <c r="C15" i="4"/>
  <c r="F43" i="10"/>
  <c r="D42" i="10"/>
  <c r="E42" i="10"/>
  <c r="C13" i="4"/>
  <c r="F42" i="10"/>
  <c r="D41" i="10"/>
  <c r="E41" i="10"/>
  <c r="O41" i="10"/>
  <c r="C12" i="4"/>
  <c r="F41" i="10"/>
  <c r="D40" i="10"/>
  <c r="E40" i="10"/>
  <c r="C30" i="3"/>
  <c r="F40" i="10"/>
  <c r="D39" i="10"/>
  <c r="E39" i="10"/>
  <c r="O39" i="10"/>
  <c r="C29" i="3"/>
  <c r="F39" i="10"/>
  <c r="D38" i="10"/>
  <c r="E38" i="10"/>
  <c r="O38" i="10"/>
  <c r="C28" i="3"/>
  <c r="F38" i="10"/>
  <c r="D37" i="10"/>
  <c r="E37" i="10"/>
  <c r="O37" i="10"/>
  <c r="C27" i="3"/>
  <c r="F37" i="10"/>
  <c r="D36" i="10"/>
  <c r="E36" i="10"/>
  <c r="O36" i="10"/>
  <c r="C25" i="3"/>
  <c r="F36" i="10"/>
  <c r="D35" i="10"/>
  <c r="E35" i="10"/>
  <c r="O35" i="10"/>
  <c r="C24" i="3"/>
  <c r="F35" i="10"/>
  <c r="D34" i="10"/>
  <c r="E34" i="10"/>
  <c r="O34" i="10"/>
  <c r="C22" i="3"/>
  <c r="F34" i="10"/>
  <c r="D33" i="10"/>
  <c r="E33" i="10"/>
  <c r="O33" i="10"/>
  <c r="C21" i="3"/>
  <c r="F33" i="10"/>
  <c r="D32" i="10"/>
  <c r="E32" i="10"/>
  <c r="O32" i="10"/>
  <c r="C19" i="3"/>
  <c r="F32" i="10"/>
  <c r="D31" i="10"/>
  <c r="E31" i="10"/>
  <c r="O31" i="10"/>
  <c r="C18" i="3"/>
  <c r="F31" i="10"/>
  <c r="D30" i="10"/>
  <c r="E30" i="10"/>
  <c r="O30" i="10"/>
  <c r="C17" i="3"/>
  <c r="F30" i="10"/>
  <c r="D29" i="10"/>
  <c r="E29" i="10"/>
  <c r="O29" i="10"/>
  <c r="C16" i="3"/>
  <c r="F29" i="10"/>
  <c r="D28" i="10"/>
  <c r="E28" i="10"/>
  <c r="O28" i="10"/>
  <c r="C14" i="3"/>
  <c r="F28" i="10"/>
  <c r="D27" i="10"/>
  <c r="E27" i="10"/>
  <c r="O27" i="10"/>
  <c r="C13" i="3"/>
  <c r="F27" i="10"/>
  <c r="D26" i="10"/>
  <c r="E26" i="10"/>
  <c r="O26" i="10"/>
  <c r="C12" i="3"/>
  <c r="F26" i="10"/>
  <c r="D25" i="10"/>
  <c r="E25" i="10"/>
  <c r="O25" i="10"/>
  <c r="C29" i="2"/>
  <c r="F25" i="10"/>
  <c r="D24" i="10"/>
  <c r="E24" i="10"/>
  <c r="O24" i="10"/>
  <c r="C27" i="2"/>
  <c r="F24" i="10"/>
  <c r="D23" i="10"/>
  <c r="E23" i="10"/>
  <c r="O23" i="10"/>
  <c r="C25" i="2"/>
  <c r="F23" i="10"/>
  <c r="D22" i="10"/>
  <c r="E22" i="10"/>
  <c r="O22" i="10"/>
  <c r="C23" i="2"/>
  <c r="F22" i="10"/>
  <c r="D21" i="10"/>
  <c r="E21" i="10"/>
  <c r="O21" i="10"/>
  <c r="C22" i="2"/>
  <c r="F21" i="10"/>
  <c r="D20" i="10"/>
  <c r="E20" i="10"/>
  <c r="O20" i="10"/>
  <c r="C20" i="2"/>
  <c r="F20" i="10"/>
  <c r="D19" i="10"/>
  <c r="E19" i="10"/>
  <c r="O19" i="10"/>
  <c r="C19" i="2"/>
  <c r="F19" i="10"/>
  <c r="D18" i="10"/>
  <c r="E18" i="10"/>
  <c r="O18" i="10"/>
  <c r="C17" i="2"/>
  <c r="F18" i="10"/>
  <c r="D17" i="10"/>
  <c r="E17" i="10"/>
  <c r="O17" i="10"/>
  <c r="C16" i="2"/>
  <c r="F17" i="10"/>
  <c r="D16" i="10"/>
  <c r="E16" i="10"/>
  <c r="O16" i="10"/>
  <c r="C14" i="2"/>
  <c r="F16" i="10"/>
  <c r="D15" i="10"/>
  <c r="E15" i="10"/>
  <c r="O15" i="10"/>
  <c r="C13" i="2"/>
  <c r="F15" i="10"/>
  <c r="D14" i="10"/>
  <c r="E14" i="10"/>
  <c r="O14" i="10"/>
  <c r="C30" i="1"/>
  <c r="F14" i="10"/>
  <c r="D13" i="10"/>
  <c r="E13" i="10"/>
  <c r="O13" i="10"/>
  <c r="C28" i="1"/>
  <c r="F13" i="10"/>
  <c r="D12" i="10"/>
  <c r="E12" i="10"/>
  <c r="O12" i="10"/>
  <c r="C26" i="1"/>
  <c r="F12" i="10"/>
  <c r="D11" i="10"/>
  <c r="E11" i="10"/>
  <c r="O11" i="10"/>
  <c r="C24" i="1"/>
  <c r="F11" i="10"/>
  <c r="D10" i="10"/>
  <c r="E10" i="10"/>
  <c r="O10" i="10"/>
  <c r="C22" i="1"/>
  <c r="F10" i="10"/>
  <c r="D9" i="10"/>
  <c r="E9" i="10"/>
  <c r="O9" i="10"/>
  <c r="C21" i="1"/>
  <c r="F9" i="10"/>
  <c r="D8" i="10"/>
  <c r="E8" i="10"/>
  <c r="O8" i="10"/>
  <c r="C19" i="1"/>
  <c r="F8" i="10"/>
  <c r="D7" i="10"/>
  <c r="E7" i="10"/>
  <c r="O7" i="10"/>
  <c r="C18" i="1"/>
  <c r="F7" i="10"/>
  <c r="D6" i="10"/>
  <c r="E6" i="10"/>
  <c r="O6" i="10"/>
  <c r="J6" i="10"/>
  <c r="I6" i="10"/>
  <c r="H6" i="10"/>
  <c r="C17" i="1"/>
  <c r="F6" i="10"/>
  <c r="O5" i="10"/>
  <c r="M5" i="10"/>
  <c r="K5" i="10"/>
  <c r="J5" i="10"/>
  <c r="I5" i="10"/>
  <c r="H5" i="10"/>
  <c r="C15" i="1"/>
  <c r="F5" i="10"/>
  <c r="O4" i="10"/>
  <c r="M4" i="10"/>
  <c r="K4" i="10"/>
  <c r="J4" i="10"/>
  <c r="I4" i="10"/>
  <c r="H4" i="10"/>
  <c r="C13" i="1"/>
  <c r="F4" i="10"/>
  <c r="E4" i="10"/>
  <c r="D4" i="10"/>
  <c r="W296" i="5"/>
  <c r="X296" i="5"/>
  <c r="Y296" i="5"/>
  <c r="Z296" i="5"/>
  <c r="AA296" i="5"/>
  <c r="AB296" i="5"/>
  <c r="C758" i="9"/>
  <c r="D758" i="9"/>
  <c r="O758" i="9"/>
  <c r="N758" i="9"/>
  <c r="E296" i="5"/>
  <c r="L758" i="9"/>
  <c r="E758" i="9"/>
  <c r="N757" i="9"/>
  <c r="E294" i="5"/>
  <c r="L757" i="9"/>
  <c r="E757" i="9"/>
  <c r="N756" i="9"/>
  <c r="E292" i="5"/>
  <c r="L756" i="9"/>
  <c r="E756" i="9"/>
  <c r="N755" i="9"/>
  <c r="E291" i="5"/>
  <c r="L755" i="9"/>
  <c r="E755" i="9"/>
  <c r="N754" i="9"/>
  <c r="E289" i="5"/>
  <c r="L754" i="9"/>
  <c r="E754" i="9"/>
  <c r="N753" i="9"/>
  <c r="E287" i="5"/>
  <c r="L753" i="9"/>
  <c r="E753" i="9"/>
  <c r="N752" i="9"/>
  <c r="E286" i="5"/>
  <c r="L752" i="9"/>
  <c r="E752" i="9"/>
  <c r="N751" i="9"/>
  <c r="E284" i="5"/>
  <c r="L751" i="9"/>
  <c r="E751" i="9"/>
  <c r="N750" i="9"/>
  <c r="E283" i="5"/>
  <c r="L750" i="9"/>
  <c r="E750" i="9"/>
  <c r="N749" i="9"/>
  <c r="E281" i="5"/>
  <c r="L749" i="9"/>
  <c r="E749" i="9"/>
  <c r="N748" i="9"/>
  <c r="E280" i="5"/>
  <c r="L748" i="9"/>
  <c r="E748" i="9"/>
  <c r="N747" i="9"/>
  <c r="E279" i="5"/>
  <c r="L747" i="9"/>
  <c r="E747" i="9"/>
  <c r="N746" i="9"/>
  <c r="E277" i="5"/>
  <c r="L746" i="9"/>
  <c r="E746" i="9"/>
  <c r="N745" i="9"/>
  <c r="E308" i="4"/>
  <c r="L745" i="9"/>
  <c r="E745" i="9"/>
  <c r="N744" i="9"/>
  <c r="E306" i="4"/>
  <c r="L744" i="9"/>
  <c r="E744" i="9"/>
  <c r="N743" i="9"/>
  <c r="E304" i="4"/>
  <c r="L743" i="9"/>
  <c r="E743" i="9"/>
  <c r="N742" i="9"/>
  <c r="E302" i="4"/>
  <c r="L742" i="9"/>
  <c r="E742" i="9"/>
  <c r="N741" i="9"/>
  <c r="E301" i="4"/>
  <c r="L741" i="9"/>
  <c r="E741" i="9"/>
  <c r="N740" i="9"/>
  <c r="E299" i="4"/>
  <c r="L740" i="9"/>
  <c r="E740" i="9"/>
  <c r="N739" i="9"/>
  <c r="E297" i="4"/>
  <c r="L739" i="9"/>
  <c r="E739" i="9"/>
  <c r="N738" i="9"/>
  <c r="E295" i="4"/>
  <c r="L738" i="9"/>
  <c r="E738" i="9"/>
  <c r="N737" i="9"/>
  <c r="E292" i="4"/>
  <c r="L737" i="9"/>
  <c r="E737" i="9"/>
  <c r="N736" i="9"/>
  <c r="E291" i="4"/>
  <c r="L736" i="9"/>
  <c r="E736" i="9"/>
  <c r="N735" i="9"/>
  <c r="E290" i="4"/>
  <c r="L735" i="9"/>
  <c r="E735" i="9"/>
  <c r="N734" i="9"/>
  <c r="E288" i="4"/>
  <c r="L734" i="9"/>
  <c r="E734" i="9"/>
  <c r="N733" i="9"/>
  <c r="E287" i="4"/>
  <c r="L733" i="9"/>
  <c r="E733" i="9"/>
  <c r="N732" i="9"/>
  <c r="E272" i="3"/>
  <c r="L732" i="9"/>
  <c r="E732" i="9"/>
  <c r="N731" i="9"/>
  <c r="E271" i="3"/>
  <c r="L731" i="9"/>
  <c r="E731" i="9"/>
  <c r="N730" i="9"/>
  <c r="E270" i="3"/>
  <c r="L730" i="9"/>
  <c r="E730" i="9"/>
  <c r="N729" i="9"/>
  <c r="E269" i="3"/>
  <c r="L729" i="9"/>
  <c r="E729" i="9"/>
  <c r="N728" i="9"/>
  <c r="E267" i="3"/>
  <c r="L728" i="9"/>
  <c r="E728" i="9"/>
  <c r="N727" i="9"/>
  <c r="E266" i="3"/>
  <c r="L727" i="9"/>
  <c r="E727" i="9"/>
  <c r="N726" i="9"/>
  <c r="E264" i="3"/>
  <c r="L726" i="9"/>
  <c r="E726" i="9"/>
  <c r="N725" i="9"/>
  <c r="E263" i="3"/>
  <c r="L725" i="9"/>
  <c r="E725" i="9"/>
  <c r="N724" i="9"/>
  <c r="E261" i="3"/>
  <c r="L724" i="9"/>
  <c r="E724" i="9"/>
  <c r="N723" i="9"/>
  <c r="E260" i="3"/>
  <c r="L723" i="9"/>
  <c r="E723" i="9"/>
  <c r="N722" i="9"/>
  <c r="E259" i="3"/>
  <c r="L722" i="9"/>
  <c r="E722" i="9"/>
  <c r="N721" i="9"/>
  <c r="E258" i="3"/>
  <c r="L721" i="9"/>
  <c r="E721" i="9"/>
  <c r="N720" i="9"/>
  <c r="E256" i="3"/>
  <c r="L720" i="9"/>
  <c r="E720" i="9"/>
  <c r="N719" i="9"/>
  <c r="E255" i="3"/>
  <c r="L719" i="9"/>
  <c r="E719" i="9"/>
  <c r="N718" i="9"/>
  <c r="E254" i="3"/>
  <c r="L718" i="9"/>
  <c r="E718" i="9"/>
  <c r="N717" i="9"/>
  <c r="E260" i="2"/>
  <c r="L717" i="9"/>
  <c r="E717" i="9"/>
  <c r="N716" i="9"/>
  <c r="E258" i="2"/>
  <c r="L716" i="9"/>
  <c r="E716" i="9"/>
  <c r="N715" i="9"/>
  <c r="E256" i="2"/>
  <c r="L715" i="9"/>
  <c r="E715" i="9"/>
  <c r="N714" i="9"/>
  <c r="E254" i="2"/>
  <c r="L714" i="9"/>
  <c r="E714" i="9"/>
  <c r="N713" i="9"/>
  <c r="E253" i="2"/>
  <c r="L713" i="9"/>
  <c r="E713" i="9"/>
  <c r="N712" i="9"/>
  <c r="E251" i="2"/>
  <c r="L712" i="9"/>
  <c r="E712" i="9"/>
  <c r="N711" i="9"/>
  <c r="E250" i="2"/>
  <c r="L711" i="9"/>
  <c r="E711" i="9"/>
  <c r="N710" i="9"/>
  <c r="E248" i="2"/>
  <c r="L710" i="9"/>
  <c r="E710" i="9"/>
  <c r="N709" i="9"/>
  <c r="E247" i="2"/>
  <c r="L709" i="9"/>
  <c r="E709" i="9"/>
  <c r="N708" i="9"/>
  <c r="E245" i="2"/>
  <c r="L708" i="9"/>
  <c r="E708" i="9"/>
  <c r="N707" i="9"/>
  <c r="E244" i="2"/>
  <c r="L707" i="9"/>
  <c r="E707" i="9"/>
  <c r="N706" i="9"/>
  <c r="E272" i="1"/>
  <c r="L706" i="9"/>
  <c r="E706" i="9"/>
  <c r="N705" i="9"/>
  <c r="E270" i="1"/>
  <c r="L705" i="9"/>
  <c r="E705" i="9"/>
  <c r="N704" i="9"/>
  <c r="E268" i="1"/>
  <c r="L704" i="9"/>
  <c r="E704" i="9"/>
  <c r="N703" i="9"/>
  <c r="E266" i="1"/>
  <c r="L703" i="9"/>
  <c r="E703" i="9"/>
  <c r="N702" i="9"/>
  <c r="E264" i="1"/>
  <c r="L702" i="9"/>
  <c r="E702" i="9"/>
  <c r="N701" i="9"/>
  <c r="E263" i="1"/>
  <c r="L701" i="9"/>
  <c r="E701" i="9"/>
  <c r="N700" i="9"/>
  <c r="E261" i="1"/>
  <c r="L700" i="9"/>
  <c r="E700" i="9"/>
  <c r="N699" i="9"/>
  <c r="E260" i="1"/>
  <c r="L699" i="9"/>
  <c r="E699" i="9"/>
  <c r="N698" i="9"/>
  <c r="E259" i="1"/>
  <c r="L698" i="9"/>
  <c r="E698" i="9"/>
  <c r="N697" i="9"/>
  <c r="E257" i="1"/>
  <c r="L697" i="9"/>
  <c r="E697" i="9"/>
  <c r="N696" i="9"/>
  <c r="E255" i="1"/>
  <c r="L696" i="9"/>
  <c r="E696" i="9"/>
  <c r="N695" i="9"/>
  <c r="E272" i="5"/>
  <c r="L695" i="9"/>
  <c r="E695" i="9"/>
  <c r="N694" i="9"/>
  <c r="E270" i="5"/>
  <c r="L694" i="9"/>
  <c r="E694" i="9"/>
  <c r="N693" i="9"/>
  <c r="E268" i="5"/>
  <c r="L693" i="9"/>
  <c r="E693" i="9"/>
  <c r="N692" i="9"/>
  <c r="E267" i="5"/>
  <c r="L692" i="9"/>
  <c r="E692" i="9"/>
  <c r="N691" i="9"/>
  <c r="E265" i="5"/>
  <c r="L691" i="9"/>
  <c r="E691" i="9"/>
  <c r="N690" i="9"/>
  <c r="E263" i="5"/>
  <c r="L690" i="9"/>
  <c r="E690" i="9"/>
  <c r="N689" i="9"/>
  <c r="E262" i="5"/>
  <c r="L689" i="9"/>
  <c r="E689" i="9"/>
  <c r="N688" i="9"/>
  <c r="E260" i="5"/>
  <c r="L688" i="9"/>
  <c r="E688" i="9"/>
  <c r="N687" i="9"/>
  <c r="E259" i="5"/>
  <c r="L687" i="9"/>
  <c r="E687" i="9"/>
  <c r="N686" i="9"/>
  <c r="E257" i="5"/>
  <c r="L686" i="9"/>
  <c r="E686" i="9"/>
  <c r="N685" i="9"/>
  <c r="E256" i="5"/>
  <c r="L685" i="9"/>
  <c r="E685" i="9"/>
  <c r="N684" i="9"/>
  <c r="E255" i="5"/>
  <c r="L684" i="9"/>
  <c r="E684" i="9"/>
  <c r="N683" i="9"/>
  <c r="E253" i="5"/>
  <c r="L683" i="9"/>
  <c r="E683" i="9"/>
  <c r="N682" i="9"/>
  <c r="E283" i="4"/>
  <c r="L682" i="9"/>
  <c r="E682" i="9"/>
  <c r="N681" i="9"/>
  <c r="E281" i="4"/>
  <c r="L681" i="9"/>
  <c r="E681" i="9"/>
  <c r="N680" i="9"/>
  <c r="E279" i="4"/>
  <c r="L680" i="9"/>
  <c r="E680" i="9"/>
  <c r="N679" i="9"/>
  <c r="E277" i="4"/>
  <c r="L679" i="9"/>
  <c r="E679" i="9"/>
  <c r="N678" i="9"/>
  <c r="E276" i="4"/>
  <c r="L678" i="9"/>
  <c r="E678" i="9"/>
  <c r="N677" i="9"/>
  <c r="E274" i="4"/>
  <c r="L677" i="9"/>
  <c r="E677" i="9"/>
  <c r="N676" i="9"/>
  <c r="E272" i="4"/>
  <c r="L676" i="9"/>
  <c r="E676" i="9"/>
  <c r="N675" i="9"/>
  <c r="E270" i="4"/>
  <c r="L675" i="9"/>
  <c r="E675" i="9"/>
  <c r="N674" i="9"/>
  <c r="E267" i="4"/>
  <c r="L674" i="9"/>
  <c r="E674" i="9"/>
  <c r="N673" i="9"/>
  <c r="E266" i="4"/>
  <c r="L673" i="9"/>
  <c r="E673" i="9"/>
  <c r="N672" i="9"/>
  <c r="E265" i="4"/>
  <c r="L672" i="9"/>
  <c r="E672" i="9"/>
  <c r="N671" i="9"/>
  <c r="E263" i="4"/>
  <c r="L671" i="9"/>
  <c r="E671" i="9"/>
  <c r="N670" i="9"/>
  <c r="E262" i="4"/>
  <c r="L670" i="9"/>
  <c r="E670" i="9"/>
  <c r="N669" i="9"/>
  <c r="E250" i="3"/>
  <c r="L669" i="9"/>
  <c r="E669" i="9"/>
  <c r="N668" i="9"/>
  <c r="E249" i="3"/>
  <c r="L668" i="9"/>
  <c r="E668" i="9"/>
  <c r="N667" i="9"/>
  <c r="E248" i="3"/>
  <c r="L667" i="9"/>
  <c r="E667" i="9"/>
  <c r="N666" i="9"/>
  <c r="E247" i="3"/>
  <c r="L666" i="9"/>
  <c r="E666" i="9"/>
  <c r="N665" i="9"/>
  <c r="E245" i="3"/>
  <c r="L665" i="9"/>
  <c r="E665" i="9"/>
  <c r="N664" i="9"/>
  <c r="E244" i="3"/>
  <c r="L664" i="9"/>
  <c r="E664" i="9"/>
  <c r="N663" i="9"/>
  <c r="E242" i="3"/>
  <c r="L663" i="9"/>
  <c r="E663" i="9"/>
  <c r="N662" i="9"/>
  <c r="E241" i="3"/>
  <c r="L662" i="9"/>
  <c r="E662" i="9"/>
  <c r="N661" i="9"/>
  <c r="E239" i="3"/>
  <c r="L661" i="9"/>
  <c r="E661" i="9"/>
  <c r="N660" i="9"/>
  <c r="E238" i="3"/>
  <c r="L660" i="9"/>
  <c r="E660" i="9"/>
  <c r="N659" i="9"/>
  <c r="E237" i="3"/>
  <c r="L659" i="9"/>
  <c r="E659" i="9"/>
  <c r="N658" i="9"/>
  <c r="E236" i="3"/>
  <c r="L658" i="9"/>
  <c r="E658" i="9"/>
  <c r="N657" i="9"/>
  <c r="E234" i="3"/>
  <c r="L657" i="9"/>
  <c r="E657" i="9"/>
  <c r="N656" i="9"/>
  <c r="E233" i="3"/>
  <c r="L656" i="9"/>
  <c r="E656" i="9"/>
  <c r="N655" i="9"/>
  <c r="E232" i="3"/>
  <c r="L655" i="9"/>
  <c r="E655" i="9"/>
  <c r="N654" i="9"/>
  <c r="E239" i="2"/>
  <c r="L654" i="9"/>
  <c r="E654" i="9"/>
  <c r="N653" i="9"/>
  <c r="E237" i="2"/>
  <c r="L653" i="9"/>
  <c r="E653" i="9"/>
  <c r="N652" i="9"/>
  <c r="E235" i="2"/>
  <c r="L652" i="9"/>
  <c r="E652" i="9"/>
  <c r="N651" i="9"/>
  <c r="E233" i="2"/>
  <c r="L651" i="9"/>
  <c r="E651" i="9"/>
  <c r="N650" i="9"/>
  <c r="E232" i="2"/>
  <c r="L650" i="9"/>
  <c r="E650" i="9"/>
  <c r="N649" i="9"/>
  <c r="E230" i="2"/>
  <c r="L649" i="9"/>
  <c r="E649" i="9"/>
  <c r="N648" i="9"/>
  <c r="E229" i="2"/>
  <c r="L648" i="9"/>
  <c r="E648" i="9"/>
  <c r="N647" i="9"/>
  <c r="E227" i="2"/>
  <c r="L647" i="9"/>
  <c r="E647" i="9"/>
  <c r="N646" i="9"/>
  <c r="E226" i="2"/>
  <c r="L646" i="9"/>
  <c r="E646" i="9"/>
  <c r="N645" i="9"/>
  <c r="E224" i="2"/>
  <c r="L645" i="9"/>
  <c r="E645" i="9"/>
  <c r="N644" i="9"/>
  <c r="E223" i="2"/>
  <c r="L644" i="9"/>
  <c r="E644" i="9"/>
  <c r="N643" i="9"/>
  <c r="E250" i="1"/>
  <c r="L643" i="9"/>
  <c r="E643" i="9"/>
  <c r="N642" i="9"/>
  <c r="E248" i="1"/>
  <c r="L642" i="9"/>
  <c r="E642" i="9"/>
  <c r="N641" i="9"/>
  <c r="E246" i="1"/>
  <c r="L641" i="9"/>
  <c r="E641" i="9"/>
  <c r="N640" i="9"/>
  <c r="E244" i="1"/>
  <c r="L640" i="9"/>
  <c r="E640" i="9"/>
  <c r="N639" i="9"/>
  <c r="E242" i="1"/>
  <c r="L639" i="9"/>
  <c r="E639" i="9"/>
  <c r="N638" i="9"/>
  <c r="E241" i="1"/>
  <c r="L638" i="9"/>
  <c r="E638" i="9"/>
  <c r="N637" i="9"/>
  <c r="E239" i="1"/>
  <c r="L637" i="9"/>
  <c r="E637" i="9"/>
  <c r="N636" i="9"/>
  <c r="E238" i="1"/>
  <c r="L636" i="9"/>
  <c r="E636" i="9"/>
  <c r="N635" i="9"/>
  <c r="E237" i="1"/>
  <c r="L635" i="9"/>
  <c r="E635" i="9"/>
  <c r="N634" i="9"/>
  <c r="E235" i="1"/>
  <c r="L634" i="9"/>
  <c r="E634" i="9"/>
  <c r="N633" i="9"/>
  <c r="E233" i="1"/>
  <c r="L633" i="9"/>
  <c r="E633" i="9"/>
  <c r="N632" i="9"/>
  <c r="E248" i="5"/>
  <c r="L632" i="9"/>
  <c r="E632" i="9"/>
  <c r="N631" i="9"/>
  <c r="E246" i="5"/>
  <c r="L631" i="9"/>
  <c r="E631" i="9"/>
  <c r="N630" i="9"/>
  <c r="E244" i="5"/>
  <c r="L630" i="9"/>
  <c r="E630" i="9"/>
  <c r="N629" i="9"/>
  <c r="E243" i="5"/>
  <c r="L629" i="9"/>
  <c r="E629" i="9"/>
  <c r="N628" i="9"/>
  <c r="E241" i="5"/>
  <c r="L628" i="9"/>
  <c r="E628" i="9"/>
  <c r="N627" i="9"/>
  <c r="E239" i="5"/>
  <c r="L627" i="9"/>
  <c r="E627" i="9"/>
  <c r="N626" i="9"/>
  <c r="E238" i="5"/>
  <c r="L626" i="9"/>
  <c r="E626" i="9"/>
  <c r="N625" i="9"/>
  <c r="E236" i="5"/>
  <c r="L625" i="9"/>
  <c r="E625" i="9"/>
  <c r="N624" i="9"/>
  <c r="E235" i="5"/>
  <c r="L624" i="9"/>
  <c r="E624" i="9"/>
  <c r="N623" i="9"/>
  <c r="E233" i="5"/>
  <c r="L623" i="9"/>
  <c r="E623" i="9"/>
  <c r="N622" i="9"/>
  <c r="E232" i="5"/>
  <c r="L622" i="9"/>
  <c r="E622" i="9"/>
  <c r="N621" i="9"/>
  <c r="E231" i="5"/>
  <c r="L621" i="9"/>
  <c r="E621" i="9"/>
  <c r="N620" i="9"/>
  <c r="E229" i="5"/>
  <c r="L620" i="9"/>
  <c r="E620" i="9"/>
  <c r="N619" i="9"/>
  <c r="E258" i="4"/>
  <c r="L619" i="9"/>
  <c r="E619" i="9"/>
  <c r="N618" i="9"/>
  <c r="E256" i="4"/>
  <c r="L618" i="9"/>
  <c r="E618" i="9"/>
  <c r="N617" i="9"/>
  <c r="E254" i="4"/>
  <c r="L617" i="9"/>
  <c r="E617" i="9"/>
  <c r="N616" i="9"/>
  <c r="E252" i="4"/>
  <c r="L616" i="9"/>
  <c r="E616" i="9"/>
  <c r="N615" i="9"/>
  <c r="E251" i="4"/>
  <c r="L615" i="9"/>
  <c r="E615" i="9"/>
  <c r="N614" i="9"/>
  <c r="E249" i="4"/>
  <c r="L614" i="9"/>
  <c r="E614" i="9"/>
  <c r="N613" i="9"/>
  <c r="E247" i="4"/>
  <c r="L613" i="9"/>
  <c r="E613" i="9"/>
  <c r="N612" i="9"/>
  <c r="E245" i="4"/>
  <c r="L612" i="9"/>
  <c r="E612" i="9"/>
  <c r="N611" i="9"/>
  <c r="E242" i="4"/>
  <c r="L611" i="9"/>
  <c r="E611" i="9"/>
  <c r="N610" i="9"/>
  <c r="E241" i="4"/>
  <c r="L610" i="9"/>
  <c r="E610" i="9"/>
  <c r="N609" i="9"/>
  <c r="E240" i="4"/>
  <c r="L609" i="9"/>
  <c r="E609" i="9"/>
  <c r="N608" i="9"/>
  <c r="E238" i="4"/>
  <c r="L608" i="9"/>
  <c r="E608" i="9"/>
  <c r="N607" i="9"/>
  <c r="E237" i="4"/>
  <c r="L607" i="9"/>
  <c r="E607" i="9"/>
  <c r="N606" i="9"/>
  <c r="E228" i="3"/>
  <c r="L606" i="9"/>
  <c r="E606" i="9"/>
  <c r="N605" i="9"/>
  <c r="E227" i="3"/>
  <c r="L605" i="9"/>
  <c r="E605" i="9"/>
  <c r="N604" i="9"/>
  <c r="E226" i="3"/>
  <c r="L604" i="9"/>
  <c r="E604" i="9"/>
  <c r="N603" i="9"/>
  <c r="E225" i="3"/>
  <c r="L603" i="9"/>
  <c r="E603" i="9"/>
  <c r="N602" i="9"/>
  <c r="E223" i="3"/>
  <c r="L602" i="9"/>
  <c r="E602" i="9"/>
  <c r="N601" i="9"/>
  <c r="E222" i="3"/>
  <c r="L601" i="9"/>
  <c r="E601" i="9"/>
  <c r="N600" i="9"/>
  <c r="E220" i="3"/>
  <c r="L600" i="9"/>
  <c r="E600" i="9"/>
  <c r="N599" i="9"/>
  <c r="E219" i="3"/>
  <c r="L599" i="9"/>
  <c r="E599" i="9"/>
  <c r="N598" i="9"/>
  <c r="E217" i="3"/>
  <c r="L598" i="9"/>
  <c r="E598" i="9"/>
  <c r="N597" i="9"/>
  <c r="E216" i="3"/>
  <c r="L597" i="9"/>
  <c r="E597" i="9"/>
  <c r="N596" i="9"/>
  <c r="E215" i="3"/>
  <c r="L596" i="9"/>
  <c r="E596" i="9"/>
  <c r="N595" i="9"/>
  <c r="E214" i="3"/>
  <c r="L595" i="9"/>
  <c r="E595" i="9"/>
  <c r="N594" i="9"/>
  <c r="E212" i="3"/>
  <c r="L594" i="9"/>
  <c r="E594" i="9"/>
  <c r="N593" i="9"/>
  <c r="E211" i="3"/>
  <c r="L593" i="9"/>
  <c r="E593" i="9"/>
  <c r="N592" i="9"/>
  <c r="E210" i="3"/>
  <c r="L592" i="9"/>
  <c r="E592" i="9"/>
  <c r="N591" i="9"/>
  <c r="E218" i="2"/>
  <c r="L591" i="9"/>
  <c r="E591" i="9"/>
  <c r="N590" i="9"/>
  <c r="E216" i="2"/>
  <c r="L590" i="9"/>
  <c r="E590" i="9"/>
  <c r="N589" i="9"/>
  <c r="E214" i="2"/>
  <c r="L589" i="9"/>
  <c r="E589" i="9"/>
  <c r="N588" i="9"/>
  <c r="E212" i="2"/>
  <c r="L588" i="9"/>
  <c r="E588" i="9"/>
  <c r="N587" i="9"/>
  <c r="E211" i="2"/>
  <c r="L587" i="9"/>
  <c r="E587" i="9"/>
  <c r="N586" i="9"/>
  <c r="E209" i="2"/>
  <c r="L586" i="9"/>
  <c r="E586" i="9"/>
  <c r="N585" i="9"/>
  <c r="E208" i="2"/>
  <c r="L585" i="9"/>
  <c r="E585" i="9"/>
  <c r="N584" i="9"/>
  <c r="E206" i="2"/>
  <c r="L584" i="9"/>
  <c r="E584" i="9"/>
  <c r="N583" i="9"/>
  <c r="E205" i="2"/>
  <c r="L583" i="9"/>
  <c r="E583" i="9"/>
  <c r="N582" i="9"/>
  <c r="E203" i="2"/>
  <c r="L582" i="9"/>
  <c r="E582" i="9"/>
  <c r="N581" i="9"/>
  <c r="E202" i="2"/>
  <c r="L581" i="9"/>
  <c r="E581" i="9"/>
  <c r="N580" i="9"/>
  <c r="E228" i="1"/>
  <c r="L580" i="9"/>
  <c r="E580" i="9"/>
  <c r="N579" i="9"/>
  <c r="E226" i="1"/>
  <c r="L579" i="9"/>
  <c r="E579" i="9"/>
  <c r="N578" i="9"/>
  <c r="E224" i="1"/>
  <c r="L578" i="9"/>
  <c r="E578" i="9"/>
  <c r="N577" i="9"/>
  <c r="E222" i="1"/>
  <c r="L577" i="9"/>
  <c r="E577" i="9"/>
  <c r="N576" i="9"/>
  <c r="E220" i="1"/>
  <c r="L576" i="9"/>
  <c r="E576" i="9"/>
  <c r="N575" i="9"/>
  <c r="E219" i="1"/>
  <c r="L575" i="9"/>
  <c r="E575" i="9"/>
  <c r="N574" i="9"/>
  <c r="E217" i="1"/>
  <c r="L574" i="9"/>
  <c r="E574" i="9"/>
  <c r="N573" i="9"/>
  <c r="E216" i="1"/>
  <c r="L573" i="9"/>
  <c r="E573" i="9"/>
  <c r="N572" i="9"/>
  <c r="E215" i="1"/>
  <c r="L572" i="9"/>
  <c r="E572" i="9"/>
  <c r="N571" i="9"/>
  <c r="E213" i="1"/>
  <c r="L571" i="9"/>
  <c r="E571" i="9"/>
  <c r="N570" i="9"/>
  <c r="E211" i="1"/>
  <c r="L570" i="9"/>
  <c r="E570" i="9"/>
  <c r="N569" i="9"/>
  <c r="E224" i="5"/>
  <c r="L569" i="9"/>
  <c r="E569" i="9"/>
  <c r="N568" i="9"/>
  <c r="E222" i="5"/>
  <c r="L568" i="9"/>
  <c r="E568" i="9"/>
  <c r="N567" i="9"/>
  <c r="E220" i="5"/>
  <c r="L567" i="9"/>
  <c r="E567" i="9"/>
  <c r="N566" i="9"/>
  <c r="E219" i="5"/>
  <c r="L566" i="9"/>
  <c r="E566" i="9"/>
  <c r="N565" i="9"/>
  <c r="E217" i="5"/>
  <c r="L565" i="9"/>
  <c r="E565" i="9"/>
  <c r="N564" i="9"/>
  <c r="E215" i="5"/>
  <c r="L564" i="9"/>
  <c r="E564" i="9"/>
  <c r="N563" i="9"/>
  <c r="E214" i="5"/>
  <c r="L563" i="9"/>
  <c r="E563" i="9"/>
  <c r="N562" i="9"/>
  <c r="E212" i="5"/>
  <c r="L562" i="9"/>
  <c r="E562" i="9"/>
  <c r="N561" i="9"/>
  <c r="E211" i="5"/>
  <c r="L561" i="9"/>
  <c r="E561" i="9"/>
  <c r="N560" i="9"/>
  <c r="E209" i="5"/>
  <c r="L560" i="9"/>
  <c r="E560" i="9"/>
  <c r="N559" i="9"/>
  <c r="E208" i="5"/>
  <c r="L559" i="9"/>
  <c r="E559" i="9"/>
  <c r="N558" i="9"/>
  <c r="E207" i="5"/>
  <c r="L558" i="9"/>
  <c r="E558" i="9"/>
  <c r="N557" i="9"/>
  <c r="E205" i="5"/>
  <c r="L557" i="9"/>
  <c r="E557" i="9"/>
  <c r="N556" i="9"/>
  <c r="E233" i="4"/>
  <c r="L556" i="9"/>
  <c r="E556" i="9"/>
  <c r="N555" i="9"/>
  <c r="E231" i="4"/>
  <c r="L555" i="9"/>
  <c r="E555" i="9"/>
  <c r="N554" i="9"/>
  <c r="E229" i="4"/>
  <c r="L554" i="9"/>
  <c r="E554" i="9"/>
  <c r="N553" i="9"/>
  <c r="E227" i="4"/>
  <c r="L553" i="9"/>
  <c r="E553" i="9"/>
  <c r="N552" i="9"/>
  <c r="E226" i="4"/>
  <c r="L552" i="9"/>
  <c r="E552" i="9"/>
  <c r="N551" i="9"/>
  <c r="E224" i="4"/>
  <c r="L551" i="9"/>
  <c r="E551" i="9"/>
  <c r="N550" i="9"/>
  <c r="E222" i="4"/>
  <c r="L550" i="9"/>
  <c r="E550" i="9"/>
  <c r="N549" i="9"/>
  <c r="E220" i="4"/>
  <c r="L549" i="9"/>
  <c r="E549" i="9"/>
  <c r="N548" i="9"/>
  <c r="E217" i="4"/>
  <c r="L548" i="9"/>
  <c r="E548" i="9"/>
  <c r="N547" i="9"/>
  <c r="E216" i="4"/>
  <c r="L547" i="9"/>
  <c r="E547" i="9"/>
  <c r="N546" i="9"/>
  <c r="E215" i="4"/>
  <c r="L546" i="9"/>
  <c r="E546" i="9"/>
  <c r="N545" i="9"/>
  <c r="E213" i="4"/>
  <c r="L545" i="9"/>
  <c r="E545" i="9"/>
  <c r="N544" i="9"/>
  <c r="E212" i="4"/>
  <c r="L544" i="9"/>
  <c r="E544" i="9"/>
  <c r="N543" i="9"/>
  <c r="E206" i="3"/>
  <c r="L543" i="9"/>
  <c r="E543" i="9"/>
  <c r="N542" i="9"/>
  <c r="E205" i="3"/>
  <c r="L542" i="9"/>
  <c r="E542" i="9"/>
  <c r="N541" i="9"/>
  <c r="E204" i="3"/>
  <c r="L541" i="9"/>
  <c r="E541" i="9"/>
  <c r="N540" i="9"/>
  <c r="E203" i="3"/>
  <c r="L540" i="9"/>
  <c r="E540" i="9"/>
  <c r="N539" i="9"/>
  <c r="E201" i="3"/>
  <c r="L539" i="9"/>
  <c r="E539" i="9"/>
  <c r="N538" i="9"/>
  <c r="E200" i="3"/>
  <c r="L538" i="9"/>
  <c r="E538" i="9"/>
  <c r="N537" i="9"/>
  <c r="E198" i="3"/>
  <c r="L537" i="9"/>
  <c r="E537" i="9"/>
  <c r="N536" i="9"/>
  <c r="E197" i="3"/>
  <c r="L536" i="9"/>
  <c r="E536" i="9"/>
  <c r="N535" i="9"/>
  <c r="E195" i="3"/>
  <c r="L535" i="9"/>
  <c r="E535" i="9"/>
  <c r="N534" i="9"/>
  <c r="E194" i="3"/>
  <c r="L534" i="9"/>
  <c r="E534" i="9"/>
  <c r="N533" i="9"/>
  <c r="E193" i="3"/>
  <c r="L533" i="9"/>
  <c r="E533" i="9"/>
  <c r="N532" i="9"/>
  <c r="E192" i="3"/>
  <c r="L532" i="9"/>
  <c r="E532" i="9"/>
  <c r="N531" i="9"/>
  <c r="E190" i="3"/>
  <c r="L531" i="9"/>
  <c r="E531" i="9"/>
  <c r="N530" i="9"/>
  <c r="E189" i="3"/>
  <c r="L530" i="9"/>
  <c r="E530" i="9"/>
  <c r="N529" i="9"/>
  <c r="E188" i="3"/>
  <c r="L529" i="9"/>
  <c r="E529" i="9"/>
  <c r="N528" i="9"/>
  <c r="E197" i="2"/>
  <c r="L528" i="9"/>
  <c r="E528" i="9"/>
  <c r="N527" i="9"/>
  <c r="E195" i="2"/>
  <c r="L527" i="9"/>
  <c r="E527" i="9"/>
  <c r="N526" i="9"/>
  <c r="E193" i="2"/>
  <c r="L526" i="9"/>
  <c r="E526" i="9"/>
  <c r="N525" i="9"/>
  <c r="E191" i="2"/>
  <c r="L525" i="9"/>
  <c r="E525" i="9"/>
  <c r="N524" i="9"/>
  <c r="E190" i="2"/>
  <c r="L524" i="9"/>
  <c r="E524" i="9"/>
  <c r="N523" i="9"/>
  <c r="E188" i="2"/>
  <c r="L523" i="9"/>
  <c r="E523" i="9"/>
  <c r="N522" i="9"/>
  <c r="E187" i="2"/>
  <c r="L522" i="9"/>
  <c r="E522" i="9"/>
  <c r="N521" i="9"/>
  <c r="E185" i="2"/>
  <c r="L521" i="9"/>
  <c r="E521" i="9"/>
  <c r="N520" i="9"/>
  <c r="E184" i="2"/>
  <c r="L520" i="9"/>
  <c r="E520" i="9"/>
  <c r="N519" i="9"/>
  <c r="E182" i="2"/>
  <c r="L519" i="9"/>
  <c r="E519" i="9"/>
  <c r="N518" i="9"/>
  <c r="E181" i="2"/>
  <c r="L518" i="9"/>
  <c r="E518" i="9"/>
  <c r="N517" i="9"/>
  <c r="E206" i="1"/>
  <c r="L517" i="9"/>
  <c r="E517" i="9"/>
  <c r="N516" i="9"/>
  <c r="E204" i="1"/>
  <c r="L516" i="9"/>
  <c r="E516" i="9"/>
  <c r="N515" i="9"/>
  <c r="E202" i="1"/>
  <c r="L515" i="9"/>
  <c r="E515" i="9"/>
  <c r="N514" i="9"/>
  <c r="E200" i="1"/>
  <c r="L514" i="9"/>
  <c r="E514" i="9"/>
  <c r="N513" i="9"/>
  <c r="E198" i="1"/>
  <c r="L513" i="9"/>
  <c r="E513" i="9"/>
  <c r="N512" i="9"/>
  <c r="E197" i="1"/>
  <c r="L512" i="9"/>
  <c r="E512" i="9"/>
  <c r="N511" i="9"/>
  <c r="E195" i="1"/>
  <c r="L511" i="9"/>
  <c r="E511" i="9"/>
  <c r="N510" i="9"/>
  <c r="E194" i="1"/>
  <c r="L510" i="9"/>
  <c r="E510" i="9"/>
  <c r="N509" i="9"/>
  <c r="E193" i="1"/>
  <c r="L509" i="9"/>
  <c r="E509" i="9"/>
  <c r="N508" i="9"/>
  <c r="E191" i="1"/>
  <c r="L508" i="9"/>
  <c r="E508" i="9"/>
  <c r="N507" i="9"/>
  <c r="E189" i="1"/>
  <c r="L507" i="9"/>
  <c r="E507" i="9"/>
  <c r="N506" i="9"/>
  <c r="E200" i="5"/>
  <c r="L506" i="9"/>
  <c r="E506" i="9"/>
  <c r="N505" i="9"/>
  <c r="E198" i="5"/>
  <c r="L505" i="9"/>
  <c r="E505" i="9"/>
  <c r="N504" i="9"/>
  <c r="E196" i="5"/>
  <c r="L504" i="9"/>
  <c r="E504" i="9"/>
  <c r="N503" i="9"/>
  <c r="E195" i="5"/>
  <c r="L503" i="9"/>
  <c r="E503" i="9"/>
  <c r="N502" i="9"/>
  <c r="E193" i="5"/>
  <c r="L502" i="9"/>
  <c r="E502" i="9"/>
  <c r="N501" i="9"/>
  <c r="E191" i="5"/>
  <c r="L501" i="9"/>
  <c r="E501" i="9"/>
  <c r="N500" i="9"/>
  <c r="E190" i="5"/>
  <c r="L500" i="9"/>
  <c r="E500" i="9"/>
  <c r="N499" i="9"/>
  <c r="E188" i="5"/>
  <c r="L499" i="9"/>
  <c r="E499" i="9"/>
  <c r="N498" i="9"/>
  <c r="E187" i="5"/>
  <c r="L498" i="9"/>
  <c r="E498" i="9"/>
  <c r="N497" i="9"/>
  <c r="E185" i="5"/>
  <c r="L497" i="9"/>
  <c r="E497" i="9"/>
  <c r="N496" i="9"/>
  <c r="E184" i="5"/>
  <c r="L496" i="9"/>
  <c r="E496" i="9"/>
  <c r="N495" i="9"/>
  <c r="E183" i="5"/>
  <c r="L495" i="9"/>
  <c r="E495" i="9"/>
  <c r="N494" i="9"/>
  <c r="E181" i="5"/>
  <c r="L494" i="9"/>
  <c r="E494" i="9"/>
  <c r="N493" i="9"/>
  <c r="E208" i="4"/>
  <c r="L493" i="9"/>
  <c r="E493" i="9"/>
  <c r="N492" i="9"/>
  <c r="E206" i="4"/>
  <c r="L492" i="9"/>
  <c r="E492" i="9"/>
  <c r="N491" i="9"/>
  <c r="E204" i="4"/>
  <c r="L491" i="9"/>
  <c r="E491" i="9"/>
  <c r="N490" i="9"/>
  <c r="E202" i="4"/>
  <c r="L490" i="9"/>
  <c r="E490" i="9"/>
  <c r="N489" i="9"/>
  <c r="E201" i="4"/>
  <c r="L489" i="9"/>
  <c r="E489" i="9"/>
  <c r="N488" i="9"/>
  <c r="E199" i="4"/>
  <c r="L488" i="9"/>
  <c r="E488" i="9"/>
  <c r="N487" i="9"/>
  <c r="E197" i="4"/>
  <c r="L487" i="9"/>
  <c r="E487" i="9"/>
  <c r="N486" i="9"/>
  <c r="E195" i="4"/>
  <c r="L486" i="9"/>
  <c r="E486" i="9"/>
  <c r="N485" i="9"/>
  <c r="E192" i="4"/>
  <c r="L485" i="9"/>
  <c r="E485" i="9"/>
  <c r="N484" i="9"/>
  <c r="E191" i="4"/>
  <c r="L484" i="9"/>
  <c r="E484" i="9"/>
  <c r="N483" i="9"/>
  <c r="E190" i="4"/>
  <c r="L483" i="9"/>
  <c r="E483" i="9"/>
  <c r="N482" i="9"/>
  <c r="E188" i="4"/>
  <c r="L482" i="9"/>
  <c r="E482" i="9"/>
  <c r="N481" i="9"/>
  <c r="E187" i="4"/>
  <c r="L481" i="9"/>
  <c r="E481" i="9"/>
  <c r="N480" i="9"/>
  <c r="E184" i="3"/>
  <c r="L480" i="9"/>
  <c r="E480" i="9"/>
  <c r="N479" i="9"/>
  <c r="E183" i="3"/>
  <c r="L479" i="9"/>
  <c r="E479" i="9"/>
  <c r="N478" i="9"/>
  <c r="E182" i="3"/>
  <c r="L478" i="9"/>
  <c r="E478" i="9"/>
  <c r="N477" i="9"/>
  <c r="E181" i="3"/>
  <c r="L477" i="9"/>
  <c r="E477" i="9"/>
  <c r="N476" i="9"/>
  <c r="E179" i="3"/>
  <c r="L476" i="9"/>
  <c r="E476" i="9"/>
  <c r="N475" i="9"/>
  <c r="E178" i="3"/>
  <c r="L475" i="9"/>
  <c r="E475" i="9"/>
  <c r="N474" i="9"/>
  <c r="E176" i="3"/>
  <c r="L474" i="9"/>
  <c r="E474" i="9"/>
  <c r="N473" i="9"/>
  <c r="E175" i="3"/>
  <c r="L473" i="9"/>
  <c r="E473" i="9"/>
  <c r="N472" i="9"/>
  <c r="E173" i="3"/>
  <c r="L472" i="9"/>
  <c r="E472" i="9"/>
  <c r="N471" i="9"/>
  <c r="E172" i="3"/>
  <c r="L471" i="9"/>
  <c r="E471" i="9"/>
  <c r="N470" i="9"/>
  <c r="E171" i="3"/>
  <c r="L470" i="9"/>
  <c r="E470" i="9"/>
  <c r="N469" i="9"/>
  <c r="E170" i="3"/>
  <c r="L469" i="9"/>
  <c r="E469" i="9"/>
  <c r="N468" i="9"/>
  <c r="E168" i="3"/>
  <c r="L468" i="9"/>
  <c r="E468" i="9"/>
  <c r="N467" i="9"/>
  <c r="E167" i="3"/>
  <c r="L467" i="9"/>
  <c r="E467" i="9"/>
  <c r="N466" i="9"/>
  <c r="E166" i="3"/>
  <c r="L466" i="9"/>
  <c r="E466" i="9"/>
  <c r="N465" i="9"/>
  <c r="E176" i="2"/>
  <c r="L465" i="9"/>
  <c r="E465" i="9"/>
  <c r="N464" i="9"/>
  <c r="E174" i="2"/>
  <c r="L464" i="9"/>
  <c r="E464" i="9"/>
  <c r="N463" i="9"/>
  <c r="E172" i="2"/>
  <c r="L463" i="9"/>
  <c r="E463" i="9"/>
  <c r="N462" i="9"/>
  <c r="E170" i="2"/>
  <c r="L462" i="9"/>
  <c r="E462" i="9"/>
  <c r="N461" i="9"/>
  <c r="E169" i="2"/>
  <c r="L461" i="9"/>
  <c r="E461" i="9"/>
  <c r="N460" i="9"/>
  <c r="E167" i="2"/>
  <c r="L460" i="9"/>
  <c r="E460" i="9"/>
  <c r="N459" i="9"/>
  <c r="E166" i="2"/>
  <c r="L459" i="9"/>
  <c r="E459" i="9"/>
  <c r="N458" i="9"/>
  <c r="E164" i="2"/>
  <c r="L458" i="9"/>
  <c r="E458" i="9"/>
  <c r="N457" i="9"/>
  <c r="E163" i="2"/>
  <c r="L457" i="9"/>
  <c r="E457" i="9"/>
  <c r="N456" i="9"/>
  <c r="E161" i="2"/>
  <c r="L456" i="9"/>
  <c r="E456" i="9"/>
  <c r="N455" i="9"/>
  <c r="E160" i="2"/>
  <c r="L455" i="9"/>
  <c r="E455" i="9"/>
  <c r="N454" i="9"/>
  <c r="E184" i="1"/>
  <c r="L454" i="9"/>
  <c r="E454" i="9"/>
  <c r="N453" i="9"/>
  <c r="E182" i="1"/>
  <c r="L453" i="9"/>
  <c r="E453" i="9"/>
  <c r="N452" i="9"/>
  <c r="E180" i="1"/>
  <c r="L452" i="9"/>
  <c r="E452" i="9"/>
  <c r="N451" i="9"/>
  <c r="E178" i="1"/>
  <c r="L451" i="9"/>
  <c r="E451" i="9"/>
  <c r="N450" i="9"/>
  <c r="E176" i="1"/>
  <c r="L450" i="9"/>
  <c r="E450" i="9"/>
  <c r="N449" i="9"/>
  <c r="E175" i="1"/>
  <c r="L449" i="9"/>
  <c r="E449" i="9"/>
  <c r="N448" i="9"/>
  <c r="E173" i="1"/>
  <c r="L448" i="9"/>
  <c r="E448" i="9"/>
  <c r="N447" i="9"/>
  <c r="E172" i="1"/>
  <c r="L447" i="9"/>
  <c r="E447" i="9"/>
  <c r="N446" i="9"/>
  <c r="E171" i="1"/>
  <c r="L446" i="9"/>
  <c r="E446" i="9"/>
  <c r="N445" i="9"/>
  <c r="E169" i="1"/>
  <c r="L445" i="9"/>
  <c r="E445" i="9"/>
  <c r="N444" i="9"/>
  <c r="E167" i="1"/>
  <c r="L444" i="9"/>
  <c r="E444" i="9"/>
  <c r="N443" i="9"/>
  <c r="E176" i="5"/>
  <c r="L443" i="9"/>
  <c r="E443" i="9"/>
  <c r="N442" i="9"/>
  <c r="E174" i="5"/>
  <c r="L442" i="9"/>
  <c r="E442" i="9"/>
  <c r="N441" i="9"/>
  <c r="E172" i="5"/>
  <c r="L441" i="9"/>
  <c r="E441" i="9"/>
  <c r="N440" i="9"/>
  <c r="E171" i="5"/>
  <c r="L440" i="9"/>
  <c r="E440" i="9"/>
  <c r="N439" i="9"/>
  <c r="E169" i="5"/>
  <c r="L439" i="9"/>
  <c r="E439" i="9"/>
  <c r="N438" i="9"/>
  <c r="E167" i="5"/>
  <c r="L438" i="9"/>
  <c r="E438" i="9"/>
  <c r="N437" i="9"/>
  <c r="E166" i="5"/>
  <c r="L437" i="9"/>
  <c r="E437" i="9"/>
  <c r="N436" i="9"/>
  <c r="E164" i="5"/>
  <c r="L436" i="9"/>
  <c r="E436" i="9"/>
  <c r="N435" i="9"/>
  <c r="E163" i="5"/>
  <c r="L435" i="9"/>
  <c r="E435" i="9"/>
  <c r="N434" i="9"/>
  <c r="E161" i="5"/>
  <c r="L434" i="9"/>
  <c r="E434" i="9"/>
  <c r="N433" i="9"/>
  <c r="E160" i="5"/>
  <c r="L433" i="9"/>
  <c r="E433" i="9"/>
  <c r="N432" i="9"/>
  <c r="E159" i="5"/>
  <c r="L432" i="9"/>
  <c r="E432" i="9"/>
  <c r="N431" i="9"/>
  <c r="E157" i="5"/>
  <c r="L431" i="9"/>
  <c r="E431" i="9"/>
  <c r="N430" i="9"/>
  <c r="E183" i="4"/>
  <c r="L430" i="9"/>
  <c r="E430" i="9"/>
  <c r="N429" i="9"/>
  <c r="E181" i="4"/>
  <c r="L429" i="9"/>
  <c r="E429" i="9"/>
  <c r="N428" i="9"/>
  <c r="E179" i="4"/>
  <c r="L428" i="9"/>
  <c r="E428" i="9"/>
  <c r="N427" i="9"/>
  <c r="E177" i="4"/>
  <c r="L427" i="9"/>
  <c r="E427" i="9"/>
  <c r="N426" i="9"/>
  <c r="E176" i="4"/>
  <c r="L426" i="9"/>
  <c r="E426" i="9"/>
  <c r="N425" i="9"/>
  <c r="E174" i="4"/>
  <c r="L425" i="9"/>
  <c r="E425" i="9"/>
  <c r="N424" i="9"/>
  <c r="E172" i="4"/>
  <c r="L424" i="9"/>
  <c r="E424" i="9"/>
  <c r="N423" i="9"/>
  <c r="E170" i="4"/>
  <c r="L423" i="9"/>
  <c r="E423" i="9"/>
  <c r="N422" i="9"/>
  <c r="E167" i="4"/>
  <c r="L422" i="9"/>
  <c r="E422" i="9"/>
  <c r="N421" i="9"/>
  <c r="E166" i="4"/>
  <c r="L421" i="9"/>
  <c r="E421" i="9"/>
  <c r="N420" i="9"/>
  <c r="E165" i="4"/>
  <c r="L420" i="9"/>
  <c r="E420" i="9"/>
  <c r="N419" i="9"/>
  <c r="E163" i="4"/>
  <c r="L419" i="9"/>
  <c r="E419" i="9"/>
  <c r="N418" i="9"/>
  <c r="E162" i="4"/>
  <c r="L418" i="9"/>
  <c r="E418" i="9"/>
  <c r="N417" i="9"/>
  <c r="E162" i="3"/>
  <c r="L417" i="9"/>
  <c r="E417" i="9"/>
  <c r="N416" i="9"/>
  <c r="E161" i="3"/>
  <c r="L416" i="9"/>
  <c r="E416" i="9"/>
  <c r="N415" i="9"/>
  <c r="E160" i="3"/>
  <c r="L415" i="9"/>
  <c r="E415" i="9"/>
  <c r="N414" i="9"/>
  <c r="E159" i="3"/>
  <c r="L414" i="9"/>
  <c r="E414" i="9"/>
  <c r="N413" i="9"/>
  <c r="E157" i="3"/>
  <c r="L413" i="9"/>
  <c r="E413" i="9"/>
  <c r="N412" i="9"/>
  <c r="E156" i="3"/>
  <c r="L412" i="9"/>
  <c r="E412" i="9"/>
  <c r="N411" i="9"/>
  <c r="E154" i="3"/>
  <c r="L411" i="9"/>
  <c r="E411" i="9"/>
  <c r="N410" i="9"/>
  <c r="E153" i="3"/>
  <c r="L410" i="9"/>
  <c r="E410" i="9"/>
  <c r="N409" i="9"/>
  <c r="E151" i="3"/>
  <c r="L409" i="9"/>
  <c r="E409" i="9"/>
  <c r="N408" i="9"/>
  <c r="E150" i="3"/>
  <c r="L408" i="9"/>
  <c r="E408" i="9"/>
  <c r="N407" i="9"/>
  <c r="E149" i="3"/>
  <c r="L407" i="9"/>
  <c r="E407" i="9"/>
  <c r="N406" i="9"/>
  <c r="E148" i="3"/>
  <c r="L406" i="9"/>
  <c r="E406" i="9"/>
  <c r="N405" i="9"/>
  <c r="E146" i="3"/>
  <c r="L405" i="9"/>
  <c r="E405" i="9"/>
  <c r="N404" i="9"/>
  <c r="E145" i="3"/>
  <c r="L404" i="9"/>
  <c r="E404" i="9"/>
  <c r="N403" i="9"/>
  <c r="E144" i="3"/>
  <c r="L403" i="9"/>
  <c r="E403" i="9"/>
  <c r="N402" i="9"/>
  <c r="E155" i="2"/>
  <c r="L402" i="9"/>
  <c r="E402" i="9"/>
  <c r="N401" i="9"/>
  <c r="E153" i="2"/>
  <c r="L401" i="9"/>
  <c r="E401" i="9"/>
  <c r="N400" i="9"/>
  <c r="E151" i="2"/>
  <c r="L400" i="9"/>
  <c r="E400" i="9"/>
  <c r="N399" i="9"/>
  <c r="E149" i="2"/>
  <c r="L399" i="9"/>
  <c r="E399" i="9"/>
  <c r="N398" i="9"/>
  <c r="E148" i="2"/>
  <c r="L398" i="9"/>
  <c r="E398" i="9"/>
  <c r="N397" i="9"/>
  <c r="E146" i="2"/>
  <c r="L397" i="9"/>
  <c r="E397" i="9"/>
  <c r="N396" i="9"/>
  <c r="E145" i="2"/>
  <c r="L396" i="9"/>
  <c r="E396" i="9"/>
  <c r="N395" i="9"/>
  <c r="E143" i="2"/>
  <c r="L395" i="9"/>
  <c r="E395" i="9"/>
  <c r="N394" i="9"/>
  <c r="E142" i="2"/>
  <c r="L394" i="9"/>
  <c r="E394" i="9"/>
  <c r="N393" i="9"/>
  <c r="E140" i="2"/>
  <c r="L393" i="9"/>
  <c r="E393" i="9"/>
  <c r="N392" i="9"/>
  <c r="E139" i="2"/>
  <c r="L392" i="9"/>
  <c r="E392" i="9"/>
  <c r="N391" i="9"/>
  <c r="E162" i="1"/>
  <c r="L391" i="9"/>
  <c r="E391" i="9"/>
  <c r="N390" i="9"/>
  <c r="E160" i="1"/>
  <c r="L390" i="9"/>
  <c r="E390" i="9"/>
  <c r="N389" i="9"/>
  <c r="E158" i="1"/>
  <c r="L389" i="9"/>
  <c r="E389" i="9"/>
  <c r="N388" i="9"/>
  <c r="E156" i="1"/>
  <c r="L388" i="9"/>
  <c r="E388" i="9"/>
  <c r="N387" i="9"/>
  <c r="E154" i="1"/>
  <c r="L387" i="9"/>
  <c r="E387" i="9"/>
  <c r="N386" i="9"/>
  <c r="E153" i="1"/>
  <c r="L386" i="9"/>
  <c r="E386" i="9"/>
  <c r="N385" i="9"/>
  <c r="E151" i="1"/>
  <c r="L385" i="9"/>
  <c r="E385" i="9"/>
  <c r="N384" i="9"/>
  <c r="E150" i="1"/>
  <c r="L384" i="9"/>
  <c r="E384" i="9"/>
  <c r="N383" i="9"/>
  <c r="E149" i="1"/>
  <c r="L383" i="9"/>
  <c r="E383" i="9"/>
  <c r="N382" i="9"/>
  <c r="E147" i="1"/>
  <c r="L382" i="9"/>
  <c r="E382" i="9"/>
  <c r="N381" i="9"/>
  <c r="E145" i="1"/>
  <c r="L381" i="9"/>
  <c r="E381" i="9"/>
  <c r="N380" i="9"/>
  <c r="E152" i="5"/>
  <c r="L380" i="9"/>
  <c r="E380" i="9"/>
  <c r="N379" i="9"/>
  <c r="E150" i="5"/>
  <c r="L379" i="9"/>
  <c r="E379" i="9"/>
  <c r="N378" i="9"/>
  <c r="E148" i="5"/>
  <c r="L378" i="9"/>
  <c r="E378" i="9"/>
  <c r="N377" i="9"/>
  <c r="E147" i="5"/>
  <c r="L377" i="9"/>
  <c r="E377" i="9"/>
  <c r="N376" i="9"/>
  <c r="E145" i="5"/>
  <c r="L376" i="9"/>
  <c r="E376" i="9"/>
  <c r="N375" i="9"/>
  <c r="E143" i="5"/>
  <c r="L375" i="9"/>
  <c r="E375" i="9"/>
  <c r="N374" i="9"/>
  <c r="E142" i="5"/>
  <c r="L374" i="9"/>
  <c r="E374" i="9"/>
  <c r="N373" i="9"/>
  <c r="E140" i="5"/>
  <c r="L373" i="9"/>
  <c r="E373" i="9"/>
  <c r="N372" i="9"/>
  <c r="E139" i="5"/>
  <c r="L372" i="9"/>
  <c r="E372" i="9"/>
  <c r="N371" i="9"/>
  <c r="E137" i="5"/>
  <c r="L371" i="9"/>
  <c r="E371" i="9"/>
  <c r="N370" i="9"/>
  <c r="E136" i="5"/>
  <c r="L370" i="9"/>
  <c r="E370" i="9"/>
  <c r="N369" i="9"/>
  <c r="E135" i="5"/>
  <c r="L369" i="9"/>
  <c r="E369" i="9"/>
  <c r="N368" i="9"/>
  <c r="E133" i="5"/>
  <c r="L368" i="9"/>
  <c r="E368" i="9"/>
  <c r="N367" i="9"/>
  <c r="E158" i="4"/>
  <c r="L367" i="9"/>
  <c r="E367" i="9"/>
  <c r="N366" i="9"/>
  <c r="E156" i="4"/>
  <c r="L366" i="9"/>
  <c r="E366" i="9"/>
  <c r="N365" i="9"/>
  <c r="E154" i="4"/>
  <c r="L365" i="9"/>
  <c r="E365" i="9"/>
  <c r="N364" i="9"/>
  <c r="E152" i="4"/>
  <c r="L364" i="9"/>
  <c r="E364" i="9"/>
  <c r="N363" i="9"/>
  <c r="E151" i="4"/>
  <c r="L363" i="9"/>
  <c r="E363" i="9"/>
  <c r="N362" i="9"/>
  <c r="E149" i="4"/>
  <c r="L362" i="9"/>
  <c r="E362" i="9"/>
  <c r="N361" i="9"/>
  <c r="E147" i="4"/>
  <c r="L361" i="9"/>
  <c r="E361" i="9"/>
  <c r="N360" i="9"/>
  <c r="E145" i="4"/>
  <c r="L360" i="9"/>
  <c r="E360" i="9"/>
  <c r="N359" i="9"/>
  <c r="E142" i="4"/>
  <c r="L359" i="9"/>
  <c r="E359" i="9"/>
  <c r="N358" i="9"/>
  <c r="E141" i="4"/>
  <c r="L358" i="9"/>
  <c r="E358" i="9"/>
  <c r="N357" i="9"/>
  <c r="E140" i="4"/>
  <c r="L357" i="9"/>
  <c r="E357" i="9"/>
  <c r="N356" i="9"/>
  <c r="E138" i="4"/>
  <c r="L356" i="9"/>
  <c r="E356" i="9"/>
  <c r="N355" i="9"/>
  <c r="E137" i="4"/>
  <c r="L355" i="9"/>
  <c r="E355" i="9"/>
  <c r="N354" i="9"/>
  <c r="E140" i="3"/>
  <c r="L354" i="9"/>
  <c r="E354" i="9"/>
  <c r="N353" i="9"/>
  <c r="E139" i="3"/>
  <c r="L353" i="9"/>
  <c r="E353" i="9"/>
  <c r="N352" i="9"/>
  <c r="E138" i="3"/>
  <c r="L352" i="9"/>
  <c r="E352" i="9"/>
  <c r="N351" i="9"/>
  <c r="E137" i="3"/>
  <c r="L351" i="9"/>
  <c r="E351" i="9"/>
  <c r="N350" i="9"/>
  <c r="E135" i="3"/>
  <c r="L350" i="9"/>
  <c r="E350" i="9"/>
  <c r="N349" i="9"/>
  <c r="E134" i="3"/>
  <c r="L349" i="9"/>
  <c r="E349" i="9"/>
  <c r="N348" i="9"/>
  <c r="E132" i="3"/>
  <c r="L348" i="9"/>
  <c r="E348" i="9"/>
  <c r="N347" i="9"/>
  <c r="E131" i="3"/>
  <c r="L347" i="9"/>
  <c r="E347" i="9"/>
  <c r="N346" i="9"/>
  <c r="E129" i="3"/>
  <c r="L346" i="9"/>
  <c r="E346" i="9"/>
  <c r="N345" i="9"/>
  <c r="E128" i="3"/>
  <c r="L345" i="9"/>
  <c r="E345" i="9"/>
  <c r="N344" i="9"/>
  <c r="E127" i="3"/>
  <c r="L344" i="9"/>
  <c r="E344" i="9"/>
  <c r="N343" i="9"/>
  <c r="E126" i="3"/>
  <c r="L343" i="9"/>
  <c r="E343" i="9"/>
  <c r="N342" i="9"/>
  <c r="E124" i="3"/>
  <c r="L342" i="9"/>
  <c r="E342" i="9"/>
  <c r="N341" i="9"/>
  <c r="E123" i="3"/>
  <c r="L341" i="9"/>
  <c r="E341" i="9"/>
  <c r="N340" i="9"/>
  <c r="E122" i="3"/>
  <c r="L340" i="9"/>
  <c r="E340" i="9"/>
  <c r="N339" i="9"/>
  <c r="E134" i="2"/>
  <c r="L339" i="9"/>
  <c r="E339" i="9"/>
  <c r="N338" i="9"/>
  <c r="E132" i="2"/>
  <c r="L338" i="9"/>
  <c r="E338" i="9"/>
  <c r="N337" i="9"/>
  <c r="E130" i="2"/>
  <c r="L337" i="9"/>
  <c r="E337" i="9"/>
  <c r="N336" i="9"/>
  <c r="E128" i="2"/>
  <c r="L336" i="9"/>
  <c r="E336" i="9"/>
  <c r="N335" i="9"/>
  <c r="E127" i="2"/>
  <c r="L335" i="9"/>
  <c r="E335" i="9"/>
  <c r="N334" i="9"/>
  <c r="E125" i="2"/>
  <c r="L334" i="9"/>
  <c r="E334" i="9"/>
  <c r="N333" i="9"/>
  <c r="E124" i="2"/>
  <c r="L333" i="9"/>
  <c r="E333" i="9"/>
  <c r="N332" i="9"/>
  <c r="E122" i="2"/>
  <c r="L332" i="9"/>
  <c r="E332" i="9"/>
  <c r="N331" i="9"/>
  <c r="E121" i="2"/>
  <c r="L331" i="9"/>
  <c r="E331" i="9"/>
  <c r="N330" i="9"/>
  <c r="E119" i="2"/>
  <c r="L330" i="9"/>
  <c r="E330" i="9"/>
  <c r="N329" i="9"/>
  <c r="E118" i="2"/>
  <c r="L329" i="9"/>
  <c r="E329" i="9"/>
  <c r="N328" i="9"/>
  <c r="E140" i="1"/>
  <c r="L328" i="9"/>
  <c r="E328" i="9"/>
  <c r="N327" i="9"/>
  <c r="E138" i="1"/>
  <c r="L327" i="9"/>
  <c r="E327" i="9"/>
  <c r="N326" i="9"/>
  <c r="E136" i="1"/>
  <c r="L326" i="9"/>
  <c r="E326" i="9"/>
  <c r="N325" i="9"/>
  <c r="E134" i="1"/>
  <c r="L325" i="9"/>
  <c r="E325" i="9"/>
  <c r="N324" i="9"/>
  <c r="E132" i="1"/>
  <c r="L324" i="9"/>
  <c r="E324" i="9"/>
  <c r="N323" i="9"/>
  <c r="E131" i="1"/>
  <c r="L323" i="9"/>
  <c r="E323" i="9"/>
  <c r="N322" i="9"/>
  <c r="E129" i="1"/>
  <c r="L322" i="9"/>
  <c r="E322" i="9"/>
  <c r="N321" i="9"/>
  <c r="E128" i="1"/>
  <c r="L321" i="9"/>
  <c r="E321" i="9"/>
  <c r="N320" i="9"/>
  <c r="E127" i="1"/>
  <c r="L320" i="9"/>
  <c r="E320" i="9"/>
  <c r="N319" i="9"/>
  <c r="E125" i="1"/>
  <c r="L319" i="9"/>
  <c r="E319" i="9"/>
  <c r="N318" i="9"/>
  <c r="E123" i="1"/>
  <c r="L318" i="9"/>
  <c r="E318" i="9"/>
  <c r="N317" i="9"/>
  <c r="E128" i="5"/>
  <c r="L317" i="9"/>
  <c r="E317" i="9"/>
  <c r="N316" i="9"/>
  <c r="E126" i="5"/>
  <c r="L316" i="9"/>
  <c r="E316" i="9"/>
  <c r="N315" i="9"/>
  <c r="E124" i="5"/>
  <c r="L315" i="9"/>
  <c r="E315" i="9"/>
  <c r="N314" i="9"/>
  <c r="E123" i="5"/>
  <c r="L314" i="9"/>
  <c r="E314" i="9"/>
  <c r="N313" i="9"/>
  <c r="E121" i="5"/>
  <c r="L313" i="9"/>
  <c r="E313" i="9"/>
  <c r="N312" i="9"/>
  <c r="E119" i="5"/>
  <c r="L312" i="9"/>
  <c r="E312" i="9"/>
  <c r="N311" i="9"/>
  <c r="E118" i="5"/>
  <c r="L311" i="9"/>
  <c r="E311" i="9"/>
  <c r="N310" i="9"/>
  <c r="E116" i="5"/>
  <c r="L310" i="9"/>
  <c r="E310" i="9"/>
  <c r="N309" i="9"/>
  <c r="E115" i="5"/>
  <c r="L309" i="9"/>
  <c r="E309" i="9"/>
  <c r="N308" i="9"/>
  <c r="E113" i="5"/>
  <c r="L308" i="9"/>
  <c r="E308" i="9"/>
  <c r="N307" i="9"/>
  <c r="E112" i="5"/>
  <c r="L307" i="9"/>
  <c r="E307" i="9"/>
  <c r="N306" i="9"/>
  <c r="E111" i="5"/>
  <c r="L306" i="9"/>
  <c r="E306" i="9"/>
  <c r="N305" i="9"/>
  <c r="E109" i="5"/>
  <c r="L305" i="9"/>
  <c r="E305" i="9"/>
  <c r="N304" i="9"/>
  <c r="E133" i="4"/>
  <c r="L304" i="9"/>
  <c r="E304" i="9"/>
  <c r="N303" i="9"/>
  <c r="E131" i="4"/>
  <c r="L303" i="9"/>
  <c r="E303" i="9"/>
  <c r="N302" i="9"/>
  <c r="E129" i="4"/>
  <c r="L302" i="9"/>
  <c r="E302" i="9"/>
  <c r="N301" i="9"/>
  <c r="E127" i="4"/>
  <c r="L301" i="9"/>
  <c r="E301" i="9"/>
  <c r="N300" i="9"/>
  <c r="E126" i="4"/>
  <c r="L300" i="9"/>
  <c r="E300" i="9"/>
  <c r="N299" i="9"/>
  <c r="E124" i="4"/>
  <c r="L299" i="9"/>
  <c r="E299" i="9"/>
  <c r="N298" i="9"/>
  <c r="E122" i="4"/>
  <c r="L298" i="9"/>
  <c r="E298" i="9"/>
  <c r="N297" i="9"/>
  <c r="E120" i="4"/>
  <c r="L297" i="9"/>
  <c r="E297" i="9"/>
  <c r="N296" i="9"/>
  <c r="E117" i="4"/>
  <c r="L296" i="9"/>
  <c r="E296" i="9"/>
  <c r="N295" i="9"/>
  <c r="E116" i="4"/>
  <c r="L295" i="9"/>
  <c r="E295" i="9"/>
  <c r="N294" i="9"/>
  <c r="E115" i="4"/>
  <c r="L294" i="9"/>
  <c r="E294" i="9"/>
  <c r="N293" i="9"/>
  <c r="E113" i="4"/>
  <c r="L293" i="9"/>
  <c r="E293" i="9"/>
  <c r="N292" i="9"/>
  <c r="E112" i="4"/>
  <c r="L292" i="9"/>
  <c r="E292" i="9"/>
  <c r="N291" i="9"/>
  <c r="E118" i="3"/>
  <c r="L291" i="9"/>
  <c r="E291" i="9"/>
  <c r="N290" i="9"/>
  <c r="E117" i="3"/>
  <c r="L290" i="9"/>
  <c r="E290" i="9"/>
  <c r="N289" i="9"/>
  <c r="E116" i="3"/>
  <c r="L289" i="9"/>
  <c r="E289" i="9"/>
  <c r="N288" i="9"/>
  <c r="E115" i="3"/>
  <c r="L288" i="9"/>
  <c r="E288" i="9"/>
  <c r="N287" i="9"/>
  <c r="E113" i="3"/>
  <c r="L287" i="9"/>
  <c r="E287" i="9"/>
  <c r="N286" i="9"/>
  <c r="E112" i="3"/>
  <c r="L286" i="9"/>
  <c r="E286" i="9"/>
  <c r="N285" i="9"/>
  <c r="E110" i="3"/>
  <c r="L285" i="9"/>
  <c r="E285" i="9"/>
  <c r="N284" i="9"/>
  <c r="E109" i="3"/>
  <c r="L284" i="9"/>
  <c r="E284" i="9"/>
  <c r="N283" i="9"/>
  <c r="E107" i="3"/>
  <c r="L283" i="9"/>
  <c r="E283" i="9"/>
  <c r="N282" i="9"/>
  <c r="E106" i="3"/>
  <c r="L282" i="9"/>
  <c r="E282" i="9"/>
  <c r="N281" i="9"/>
  <c r="E105" i="3"/>
  <c r="L281" i="9"/>
  <c r="E281" i="9"/>
  <c r="N280" i="9"/>
  <c r="E104" i="3"/>
  <c r="L280" i="9"/>
  <c r="E280" i="9"/>
  <c r="N279" i="9"/>
  <c r="E102" i="3"/>
  <c r="L279" i="9"/>
  <c r="E279" i="9"/>
  <c r="N278" i="9"/>
  <c r="E101" i="3"/>
  <c r="L278" i="9"/>
  <c r="E278" i="9"/>
  <c r="N277" i="9"/>
  <c r="E100" i="3"/>
  <c r="L277" i="9"/>
  <c r="E277" i="9"/>
  <c r="N276" i="9"/>
  <c r="E113" i="2"/>
  <c r="L276" i="9"/>
  <c r="E276" i="9"/>
  <c r="N275" i="9"/>
  <c r="E111" i="2"/>
  <c r="L275" i="9"/>
  <c r="E275" i="9"/>
  <c r="N274" i="9"/>
  <c r="E109" i="2"/>
  <c r="L274" i="9"/>
  <c r="E274" i="9"/>
  <c r="N273" i="9"/>
  <c r="E107" i="2"/>
  <c r="L273" i="9"/>
  <c r="E273" i="9"/>
  <c r="N272" i="9"/>
  <c r="E106" i="2"/>
  <c r="L272" i="9"/>
  <c r="E272" i="9"/>
  <c r="N271" i="9"/>
  <c r="E104" i="2"/>
  <c r="L271" i="9"/>
  <c r="E271" i="9"/>
  <c r="N270" i="9"/>
  <c r="E103" i="2"/>
  <c r="L270" i="9"/>
  <c r="E270" i="9"/>
  <c r="N269" i="9"/>
  <c r="E101" i="2"/>
  <c r="L269" i="9"/>
  <c r="E269" i="9"/>
  <c r="N268" i="9"/>
  <c r="E100" i="2"/>
  <c r="L268" i="9"/>
  <c r="E268" i="9"/>
  <c r="N267" i="9"/>
  <c r="E98" i="2"/>
  <c r="L267" i="9"/>
  <c r="E267" i="9"/>
  <c r="N266" i="9"/>
  <c r="E97" i="2"/>
  <c r="L266" i="9"/>
  <c r="E266" i="9"/>
  <c r="N265" i="9"/>
  <c r="E118" i="1"/>
  <c r="L265" i="9"/>
  <c r="E265" i="9"/>
  <c r="N264" i="9"/>
  <c r="E116" i="1"/>
  <c r="L264" i="9"/>
  <c r="E264" i="9"/>
  <c r="N263" i="9"/>
  <c r="E114" i="1"/>
  <c r="L263" i="9"/>
  <c r="E263" i="9"/>
  <c r="N262" i="9"/>
  <c r="E112" i="1"/>
  <c r="L262" i="9"/>
  <c r="E262" i="9"/>
  <c r="N261" i="9"/>
  <c r="E110" i="1"/>
  <c r="L261" i="9"/>
  <c r="E261" i="9"/>
  <c r="N260" i="9"/>
  <c r="E109" i="1"/>
  <c r="L260" i="9"/>
  <c r="E260" i="9"/>
  <c r="N259" i="9"/>
  <c r="E107" i="1"/>
  <c r="L259" i="9"/>
  <c r="E259" i="9"/>
  <c r="N258" i="9"/>
  <c r="E106" i="1"/>
  <c r="L258" i="9"/>
  <c r="E258" i="9"/>
  <c r="N257" i="9"/>
  <c r="E105" i="1"/>
  <c r="L257" i="9"/>
  <c r="E257" i="9"/>
  <c r="N256" i="9"/>
  <c r="E103" i="1"/>
  <c r="L256" i="9"/>
  <c r="E256" i="9"/>
  <c r="N255" i="9"/>
  <c r="E101" i="1"/>
  <c r="L255" i="9"/>
  <c r="E255" i="9"/>
  <c r="N254" i="9"/>
  <c r="E104" i="5"/>
  <c r="L254" i="9"/>
  <c r="E254" i="9"/>
  <c r="N253" i="9"/>
  <c r="E102" i="5"/>
  <c r="L253" i="9"/>
  <c r="E253" i="9"/>
  <c r="N252" i="9"/>
  <c r="E100" i="5"/>
  <c r="L252" i="9"/>
  <c r="E252" i="9"/>
  <c r="N251" i="9"/>
  <c r="E99" i="5"/>
  <c r="L251" i="9"/>
  <c r="E251" i="9"/>
  <c r="N250" i="9"/>
  <c r="E97" i="5"/>
  <c r="L250" i="9"/>
  <c r="E250" i="9"/>
  <c r="N249" i="9"/>
  <c r="E95" i="5"/>
  <c r="L249" i="9"/>
  <c r="E249" i="9"/>
  <c r="N248" i="9"/>
  <c r="E94" i="5"/>
  <c r="L248" i="9"/>
  <c r="E248" i="9"/>
  <c r="N247" i="9"/>
  <c r="E92" i="5"/>
  <c r="L247" i="9"/>
  <c r="E247" i="9"/>
  <c r="N246" i="9"/>
  <c r="E91" i="5"/>
  <c r="L246" i="9"/>
  <c r="E246" i="9"/>
  <c r="N245" i="9"/>
  <c r="E89" i="5"/>
  <c r="L245" i="9"/>
  <c r="E245" i="9"/>
  <c r="N244" i="9"/>
  <c r="E88" i="5"/>
  <c r="L244" i="9"/>
  <c r="E244" i="9"/>
  <c r="N243" i="9"/>
  <c r="E87" i="5"/>
  <c r="L243" i="9"/>
  <c r="E243" i="9"/>
  <c r="N242" i="9"/>
  <c r="E85" i="5"/>
  <c r="L242" i="9"/>
  <c r="E242" i="9"/>
  <c r="N241" i="9"/>
  <c r="E108" i="4"/>
  <c r="L241" i="9"/>
  <c r="E241" i="9"/>
  <c r="N240" i="9"/>
  <c r="E106" i="4"/>
  <c r="L240" i="9"/>
  <c r="E240" i="9"/>
  <c r="N239" i="9"/>
  <c r="E104" i="4"/>
  <c r="L239" i="9"/>
  <c r="E239" i="9"/>
  <c r="N238" i="9"/>
  <c r="E102" i="4"/>
  <c r="L238" i="9"/>
  <c r="E238" i="9"/>
  <c r="N237" i="9"/>
  <c r="E101" i="4"/>
  <c r="L237" i="9"/>
  <c r="E237" i="9"/>
  <c r="N236" i="9"/>
  <c r="E99" i="4"/>
  <c r="L236" i="9"/>
  <c r="E236" i="9"/>
  <c r="N235" i="9"/>
  <c r="E97" i="4"/>
  <c r="L235" i="9"/>
  <c r="E235" i="9"/>
  <c r="N234" i="9"/>
  <c r="E95" i="4"/>
  <c r="L234" i="9"/>
  <c r="E234" i="9"/>
  <c r="N233" i="9"/>
  <c r="E92" i="4"/>
  <c r="L233" i="9"/>
  <c r="E233" i="9"/>
  <c r="N232" i="9"/>
  <c r="E91" i="4"/>
  <c r="L232" i="9"/>
  <c r="E232" i="9"/>
  <c r="N231" i="9"/>
  <c r="E90" i="4"/>
  <c r="L231" i="9"/>
  <c r="E231" i="9"/>
  <c r="N230" i="9"/>
  <c r="E88" i="4"/>
  <c r="L230" i="9"/>
  <c r="E230" i="9"/>
  <c r="N229" i="9"/>
  <c r="E87" i="4"/>
  <c r="L229" i="9"/>
  <c r="E229" i="9"/>
  <c r="N228" i="9"/>
  <c r="E96" i="3"/>
  <c r="L228" i="9"/>
  <c r="E228" i="9"/>
  <c r="N227" i="9"/>
  <c r="E95" i="3"/>
  <c r="L227" i="9"/>
  <c r="E227" i="9"/>
  <c r="N226" i="9"/>
  <c r="E94" i="3"/>
  <c r="L226" i="9"/>
  <c r="E226" i="9"/>
  <c r="N225" i="9"/>
  <c r="E93" i="3"/>
  <c r="L225" i="9"/>
  <c r="E225" i="9"/>
  <c r="N224" i="9"/>
  <c r="E91" i="3"/>
  <c r="L224" i="9"/>
  <c r="E224" i="9"/>
  <c r="N223" i="9"/>
  <c r="E90" i="3"/>
  <c r="L223" i="9"/>
  <c r="E223" i="9"/>
  <c r="N222" i="9"/>
  <c r="E88" i="3"/>
  <c r="L222" i="9"/>
  <c r="E222" i="9"/>
  <c r="N221" i="9"/>
  <c r="E87" i="3"/>
  <c r="L221" i="9"/>
  <c r="E221" i="9"/>
  <c r="N220" i="9"/>
  <c r="E85" i="3"/>
  <c r="L220" i="9"/>
  <c r="E220" i="9"/>
  <c r="N219" i="9"/>
  <c r="E84" i="3"/>
  <c r="L219" i="9"/>
  <c r="E219" i="9"/>
  <c r="N218" i="9"/>
  <c r="E83" i="3"/>
  <c r="L218" i="9"/>
  <c r="E218" i="9"/>
  <c r="N217" i="9"/>
  <c r="E82" i="3"/>
  <c r="L217" i="9"/>
  <c r="E217" i="9"/>
  <c r="N216" i="9"/>
  <c r="E80" i="3"/>
  <c r="L216" i="9"/>
  <c r="E216" i="9"/>
  <c r="N215" i="9"/>
  <c r="E79" i="3"/>
  <c r="L215" i="9"/>
  <c r="E215" i="9"/>
  <c r="N214" i="9"/>
  <c r="E78" i="3"/>
  <c r="L214" i="9"/>
  <c r="E214" i="9"/>
  <c r="N213" i="9"/>
  <c r="E92" i="2"/>
  <c r="L213" i="9"/>
  <c r="E213" i="9"/>
  <c r="N212" i="9"/>
  <c r="E90" i="2"/>
  <c r="L212" i="9"/>
  <c r="E212" i="9"/>
  <c r="N211" i="9"/>
  <c r="E88" i="2"/>
  <c r="L211" i="9"/>
  <c r="E211" i="9"/>
  <c r="N210" i="9"/>
  <c r="E86" i="2"/>
  <c r="L210" i="9"/>
  <c r="E210" i="9"/>
  <c r="N209" i="9"/>
  <c r="E85" i="2"/>
  <c r="L209" i="9"/>
  <c r="E209" i="9"/>
  <c r="N208" i="9"/>
  <c r="E83" i="2"/>
  <c r="L208" i="9"/>
  <c r="E208" i="9"/>
  <c r="N207" i="9"/>
  <c r="E82" i="2"/>
  <c r="L207" i="9"/>
  <c r="E207" i="9"/>
  <c r="N206" i="9"/>
  <c r="E80" i="2"/>
  <c r="L206" i="9"/>
  <c r="E206" i="9"/>
  <c r="N205" i="9"/>
  <c r="E79" i="2"/>
  <c r="L205" i="9"/>
  <c r="E205" i="9"/>
  <c r="N204" i="9"/>
  <c r="E77" i="2"/>
  <c r="L204" i="9"/>
  <c r="E204" i="9"/>
  <c r="N203" i="9"/>
  <c r="E76" i="2"/>
  <c r="L203" i="9"/>
  <c r="E203" i="9"/>
  <c r="N202" i="9"/>
  <c r="E96" i="1"/>
  <c r="L202" i="9"/>
  <c r="E202" i="9"/>
  <c r="N201" i="9"/>
  <c r="E94" i="1"/>
  <c r="L201" i="9"/>
  <c r="E201" i="9"/>
  <c r="N200" i="9"/>
  <c r="E92" i="1"/>
  <c r="L200" i="9"/>
  <c r="E200" i="9"/>
  <c r="N199" i="9"/>
  <c r="E90" i="1"/>
  <c r="L199" i="9"/>
  <c r="E199" i="9"/>
  <c r="N198" i="9"/>
  <c r="E88" i="1"/>
  <c r="L198" i="9"/>
  <c r="E198" i="9"/>
  <c r="N197" i="9"/>
  <c r="E87" i="1"/>
  <c r="L197" i="9"/>
  <c r="E197" i="9"/>
  <c r="N196" i="9"/>
  <c r="E85" i="1"/>
  <c r="L196" i="9"/>
  <c r="E196" i="9"/>
  <c r="N195" i="9"/>
  <c r="E84" i="1"/>
  <c r="L195" i="9"/>
  <c r="E195" i="9"/>
  <c r="N194" i="9"/>
  <c r="E83" i="1"/>
  <c r="L194" i="9"/>
  <c r="E194" i="9"/>
  <c r="N193" i="9"/>
  <c r="E81" i="1"/>
  <c r="L193" i="9"/>
  <c r="E193" i="9"/>
  <c r="N192" i="9"/>
  <c r="E79" i="1"/>
  <c r="L192" i="9"/>
  <c r="E192" i="9"/>
  <c r="N191" i="9"/>
  <c r="E80" i="5"/>
  <c r="L191" i="9"/>
  <c r="E191" i="9"/>
  <c r="N190" i="9"/>
  <c r="E78" i="5"/>
  <c r="L190" i="9"/>
  <c r="E190" i="9"/>
  <c r="N189" i="9"/>
  <c r="E76" i="5"/>
  <c r="L189" i="9"/>
  <c r="E189" i="9"/>
  <c r="N188" i="9"/>
  <c r="E75" i="5"/>
  <c r="L188" i="9"/>
  <c r="E188" i="9"/>
  <c r="N187" i="9"/>
  <c r="E73" i="5"/>
  <c r="L187" i="9"/>
  <c r="E187" i="9"/>
  <c r="N186" i="9"/>
  <c r="E71" i="5"/>
  <c r="L186" i="9"/>
  <c r="E186" i="9"/>
  <c r="N185" i="9"/>
  <c r="E70" i="5"/>
  <c r="L185" i="9"/>
  <c r="E185" i="9"/>
  <c r="N184" i="9"/>
  <c r="E68" i="5"/>
  <c r="L184" i="9"/>
  <c r="E184" i="9"/>
  <c r="N183" i="9"/>
  <c r="E67" i="5"/>
  <c r="L183" i="9"/>
  <c r="E183" i="9"/>
  <c r="N182" i="9"/>
  <c r="E65" i="5"/>
  <c r="L182" i="9"/>
  <c r="E182" i="9"/>
  <c r="N181" i="9"/>
  <c r="E64" i="5"/>
  <c r="L181" i="9"/>
  <c r="E181" i="9"/>
  <c r="N180" i="9"/>
  <c r="E63" i="5"/>
  <c r="L180" i="9"/>
  <c r="E180" i="9"/>
  <c r="N179" i="9"/>
  <c r="E61" i="5"/>
  <c r="L179" i="9"/>
  <c r="E179" i="9"/>
  <c r="N178" i="9"/>
  <c r="E83" i="4"/>
  <c r="L178" i="9"/>
  <c r="E178" i="9"/>
  <c r="N177" i="9"/>
  <c r="E81" i="4"/>
  <c r="L177" i="9"/>
  <c r="E177" i="9"/>
  <c r="N176" i="9"/>
  <c r="E79" i="4"/>
  <c r="L176" i="9"/>
  <c r="E176" i="9"/>
  <c r="N175" i="9"/>
  <c r="E77" i="4"/>
  <c r="L175" i="9"/>
  <c r="E175" i="9"/>
  <c r="N174" i="9"/>
  <c r="E76" i="4"/>
  <c r="L174" i="9"/>
  <c r="E174" i="9"/>
  <c r="N173" i="9"/>
  <c r="E74" i="4"/>
  <c r="L173" i="9"/>
  <c r="E173" i="9"/>
  <c r="N172" i="9"/>
  <c r="E72" i="4"/>
  <c r="L172" i="9"/>
  <c r="E172" i="9"/>
  <c r="N171" i="9"/>
  <c r="E70" i="4"/>
  <c r="L171" i="9"/>
  <c r="E171" i="9"/>
  <c r="N170" i="9"/>
  <c r="E67" i="4"/>
  <c r="L170" i="9"/>
  <c r="E170" i="9"/>
  <c r="N169" i="9"/>
  <c r="E66" i="4"/>
  <c r="L169" i="9"/>
  <c r="E169" i="9"/>
  <c r="N168" i="9"/>
  <c r="E65" i="4"/>
  <c r="L168" i="9"/>
  <c r="E168" i="9"/>
  <c r="N167" i="9"/>
  <c r="E63" i="4"/>
  <c r="L167" i="9"/>
  <c r="E167" i="9"/>
  <c r="N166" i="9"/>
  <c r="E62" i="4"/>
  <c r="L166" i="9"/>
  <c r="E166" i="9"/>
  <c r="N165" i="9"/>
  <c r="E74" i="3"/>
  <c r="L165" i="9"/>
  <c r="E165" i="9"/>
  <c r="N164" i="9"/>
  <c r="E73" i="3"/>
  <c r="L164" i="9"/>
  <c r="E164" i="9"/>
  <c r="N163" i="9"/>
  <c r="E72" i="3"/>
  <c r="L163" i="9"/>
  <c r="E163" i="9"/>
  <c r="N162" i="9"/>
  <c r="E71" i="3"/>
  <c r="L162" i="9"/>
  <c r="E162" i="9"/>
  <c r="N161" i="9"/>
  <c r="E69" i="3"/>
  <c r="L161" i="9"/>
  <c r="E161" i="9"/>
  <c r="N160" i="9"/>
  <c r="E68" i="3"/>
  <c r="L160" i="9"/>
  <c r="E160" i="9"/>
  <c r="N159" i="9"/>
  <c r="E66" i="3"/>
  <c r="L159" i="9"/>
  <c r="E159" i="9"/>
  <c r="N158" i="9"/>
  <c r="E65" i="3"/>
  <c r="L158" i="9"/>
  <c r="E158" i="9"/>
  <c r="N157" i="9"/>
  <c r="E63" i="3"/>
  <c r="L157" i="9"/>
  <c r="E157" i="9"/>
  <c r="N156" i="9"/>
  <c r="E62" i="3"/>
  <c r="L156" i="9"/>
  <c r="E156" i="9"/>
  <c r="N155" i="9"/>
  <c r="E61" i="3"/>
  <c r="L155" i="9"/>
  <c r="E155" i="9"/>
  <c r="N154" i="9"/>
  <c r="E60" i="3"/>
  <c r="L154" i="9"/>
  <c r="E154" i="9"/>
  <c r="N153" i="9"/>
  <c r="E58" i="3"/>
  <c r="L153" i="9"/>
  <c r="E153" i="9"/>
  <c r="N152" i="9"/>
  <c r="E57" i="3"/>
  <c r="L152" i="9"/>
  <c r="E152" i="9"/>
  <c r="N151" i="9"/>
  <c r="E56" i="3"/>
  <c r="L151" i="9"/>
  <c r="E151" i="9"/>
  <c r="N150" i="9"/>
  <c r="E71" i="2"/>
  <c r="L150" i="9"/>
  <c r="E150" i="9"/>
  <c r="N149" i="9"/>
  <c r="E69" i="2"/>
  <c r="L149" i="9"/>
  <c r="E149" i="9"/>
  <c r="N148" i="9"/>
  <c r="E67" i="2"/>
  <c r="L148" i="9"/>
  <c r="E148" i="9"/>
  <c r="N147" i="9"/>
  <c r="E65" i="2"/>
  <c r="L147" i="9"/>
  <c r="E147" i="9"/>
  <c r="N146" i="9"/>
  <c r="E64" i="2"/>
  <c r="L146" i="9"/>
  <c r="E146" i="9"/>
  <c r="N145" i="9"/>
  <c r="E62" i="2"/>
  <c r="L145" i="9"/>
  <c r="E145" i="9"/>
  <c r="N144" i="9"/>
  <c r="E61" i="2"/>
  <c r="L144" i="9"/>
  <c r="E144" i="9"/>
  <c r="N143" i="9"/>
  <c r="E59" i="2"/>
  <c r="L143" i="9"/>
  <c r="E143" i="9"/>
  <c r="N142" i="9"/>
  <c r="E58" i="2"/>
  <c r="L142" i="9"/>
  <c r="E142" i="9"/>
  <c r="N141" i="9"/>
  <c r="E56" i="2"/>
  <c r="L141" i="9"/>
  <c r="E141" i="9"/>
  <c r="N140" i="9"/>
  <c r="E55" i="2"/>
  <c r="L140" i="9"/>
  <c r="E140" i="9"/>
  <c r="N139" i="9"/>
  <c r="E74" i="1"/>
  <c r="L139" i="9"/>
  <c r="E139" i="9"/>
  <c r="N138" i="9"/>
  <c r="E72" i="1"/>
  <c r="L138" i="9"/>
  <c r="E138" i="9"/>
  <c r="N137" i="9"/>
  <c r="E70" i="1"/>
  <c r="L137" i="9"/>
  <c r="E137" i="9"/>
  <c r="N136" i="9"/>
  <c r="E68" i="1"/>
  <c r="L136" i="9"/>
  <c r="E136" i="9"/>
  <c r="N135" i="9"/>
  <c r="E66" i="1"/>
  <c r="L135" i="9"/>
  <c r="E135" i="9"/>
  <c r="N134" i="9"/>
  <c r="E65" i="1"/>
  <c r="L134" i="9"/>
  <c r="E134" i="9"/>
  <c r="N133" i="9"/>
  <c r="E63" i="1"/>
  <c r="L133" i="9"/>
  <c r="E133" i="9"/>
  <c r="N132" i="9"/>
  <c r="E62" i="1"/>
  <c r="L132" i="9"/>
  <c r="E132" i="9"/>
  <c r="N131" i="9"/>
  <c r="E61" i="1"/>
  <c r="L131" i="9"/>
  <c r="E131" i="9"/>
  <c r="N130" i="9"/>
  <c r="E59" i="1"/>
  <c r="L130" i="9"/>
  <c r="E130" i="9"/>
  <c r="N129" i="9"/>
  <c r="E57" i="1"/>
  <c r="L129" i="9"/>
  <c r="E129" i="9"/>
  <c r="N128" i="9"/>
  <c r="E56" i="5"/>
  <c r="L128" i="9"/>
  <c r="E128" i="9"/>
  <c r="N127" i="9"/>
  <c r="E54" i="5"/>
  <c r="L127" i="9"/>
  <c r="E127" i="9"/>
  <c r="N126" i="9"/>
  <c r="E52" i="5"/>
  <c r="L126" i="9"/>
  <c r="E126" i="9"/>
  <c r="N125" i="9"/>
  <c r="E51" i="5"/>
  <c r="L125" i="9"/>
  <c r="E125" i="9"/>
  <c r="N124" i="9"/>
  <c r="E49" i="5"/>
  <c r="L124" i="9"/>
  <c r="E124" i="9"/>
  <c r="N123" i="9"/>
  <c r="E47" i="5"/>
  <c r="L123" i="9"/>
  <c r="E123" i="9"/>
  <c r="N122" i="9"/>
  <c r="E46" i="5"/>
  <c r="L122" i="9"/>
  <c r="E122" i="9"/>
  <c r="N121" i="9"/>
  <c r="E44" i="5"/>
  <c r="L121" i="9"/>
  <c r="E121" i="9"/>
  <c r="N120" i="9"/>
  <c r="E43" i="5"/>
  <c r="L120" i="9"/>
  <c r="E120" i="9"/>
  <c r="N119" i="9"/>
  <c r="E41" i="5"/>
  <c r="L119" i="9"/>
  <c r="E119" i="9"/>
  <c r="N118" i="9"/>
  <c r="E40" i="5"/>
  <c r="L118" i="9"/>
  <c r="E118" i="9"/>
  <c r="N117" i="9"/>
  <c r="E39" i="5"/>
  <c r="L117" i="9"/>
  <c r="E117" i="9"/>
  <c r="N116" i="9"/>
  <c r="E37" i="5"/>
  <c r="L116" i="9"/>
  <c r="E116" i="9"/>
  <c r="N115" i="9"/>
  <c r="E58" i="4"/>
  <c r="L115" i="9"/>
  <c r="E115" i="9"/>
  <c r="N114" i="9"/>
  <c r="E56" i="4"/>
  <c r="L114" i="9"/>
  <c r="E114" i="9"/>
  <c r="N113" i="9"/>
  <c r="E54" i="4"/>
  <c r="L113" i="9"/>
  <c r="E113" i="9"/>
  <c r="N112" i="9"/>
  <c r="E52" i="4"/>
  <c r="L112" i="9"/>
  <c r="E112" i="9"/>
  <c r="N111" i="9"/>
  <c r="E51" i="4"/>
  <c r="L111" i="9"/>
  <c r="E111" i="9"/>
  <c r="N110" i="9"/>
  <c r="E49" i="4"/>
  <c r="L110" i="9"/>
  <c r="E110" i="9"/>
  <c r="N109" i="9"/>
  <c r="E47" i="4"/>
  <c r="L109" i="9"/>
  <c r="E109" i="9"/>
  <c r="N108" i="9"/>
  <c r="E45" i="4"/>
  <c r="L108" i="9"/>
  <c r="E108" i="9"/>
  <c r="N107" i="9"/>
  <c r="E42" i="4"/>
  <c r="L107" i="9"/>
  <c r="E107" i="9"/>
  <c r="N106" i="9"/>
  <c r="E41" i="4"/>
  <c r="L106" i="9"/>
  <c r="E106" i="9"/>
  <c r="N105" i="9"/>
  <c r="E40" i="4"/>
  <c r="L105" i="9"/>
  <c r="E105" i="9"/>
  <c r="N104" i="9"/>
  <c r="E38" i="4"/>
  <c r="L104" i="9"/>
  <c r="E104" i="9"/>
  <c r="N103" i="9"/>
  <c r="E37" i="4"/>
  <c r="L103" i="9"/>
  <c r="E103" i="9"/>
  <c r="N102" i="9"/>
  <c r="E52" i="3"/>
  <c r="L102" i="9"/>
  <c r="E102" i="9"/>
  <c r="N101" i="9"/>
  <c r="E51" i="3"/>
  <c r="L101" i="9"/>
  <c r="E101" i="9"/>
  <c r="N100" i="9"/>
  <c r="E50" i="3"/>
  <c r="L100" i="9"/>
  <c r="E100" i="9"/>
  <c r="N99" i="9"/>
  <c r="E49" i="3"/>
  <c r="L99" i="9"/>
  <c r="E99" i="9"/>
  <c r="N98" i="9"/>
  <c r="E47" i="3"/>
  <c r="L98" i="9"/>
  <c r="E98" i="9"/>
  <c r="N97" i="9"/>
  <c r="E46" i="3"/>
  <c r="L97" i="9"/>
  <c r="E97" i="9"/>
  <c r="N96" i="9"/>
  <c r="E44" i="3"/>
  <c r="L96" i="9"/>
  <c r="E96" i="9"/>
  <c r="N95" i="9"/>
  <c r="E43" i="3"/>
  <c r="L95" i="9"/>
  <c r="E95" i="9"/>
  <c r="N94" i="9"/>
  <c r="E41" i="3"/>
  <c r="L94" i="9"/>
  <c r="E94" i="9"/>
  <c r="N93" i="9"/>
  <c r="E40" i="3"/>
  <c r="L93" i="9"/>
  <c r="E93" i="9"/>
  <c r="N92" i="9"/>
  <c r="E39" i="3"/>
  <c r="L92" i="9"/>
  <c r="E92" i="9"/>
  <c r="N91" i="9"/>
  <c r="E38" i="3"/>
  <c r="L91" i="9"/>
  <c r="E91" i="9"/>
  <c r="N90" i="9"/>
  <c r="E36" i="3"/>
  <c r="L90" i="9"/>
  <c r="E90" i="9"/>
  <c r="N89" i="9"/>
  <c r="E35" i="3"/>
  <c r="L89" i="9"/>
  <c r="E89" i="9"/>
  <c r="N88" i="9"/>
  <c r="E34" i="3"/>
  <c r="L88" i="9"/>
  <c r="E88" i="9"/>
  <c r="N87" i="9"/>
  <c r="E50" i="2"/>
  <c r="L87" i="9"/>
  <c r="E87" i="9"/>
  <c r="N86" i="9"/>
  <c r="E48" i="2"/>
  <c r="L86" i="9"/>
  <c r="E86" i="9"/>
  <c r="N85" i="9"/>
  <c r="E46" i="2"/>
  <c r="L85" i="9"/>
  <c r="E85" i="9"/>
  <c r="N84" i="9"/>
  <c r="E44" i="2"/>
  <c r="L84" i="9"/>
  <c r="E84" i="9"/>
  <c r="N83" i="9"/>
  <c r="E43" i="2"/>
  <c r="L83" i="9"/>
  <c r="E83" i="9"/>
  <c r="N82" i="9"/>
  <c r="E41" i="2"/>
  <c r="L82" i="9"/>
  <c r="E82" i="9"/>
  <c r="N81" i="9"/>
  <c r="E40" i="2"/>
  <c r="L81" i="9"/>
  <c r="E81" i="9"/>
  <c r="N80" i="9"/>
  <c r="E38" i="2"/>
  <c r="L80" i="9"/>
  <c r="E80" i="9"/>
  <c r="N79" i="9"/>
  <c r="E37" i="2"/>
  <c r="L79" i="9"/>
  <c r="E79" i="9"/>
  <c r="N78" i="9"/>
  <c r="E35" i="2"/>
  <c r="L78" i="9"/>
  <c r="E78" i="9"/>
  <c r="N77" i="9"/>
  <c r="E34" i="2"/>
  <c r="L77" i="9"/>
  <c r="E77" i="9"/>
  <c r="N76" i="9"/>
  <c r="E52" i="1"/>
  <c r="L76" i="9"/>
  <c r="E76" i="9"/>
  <c r="N75" i="9"/>
  <c r="E50" i="1"/>
  <c r="L75" i="9"/>
  <c r="E75" i="9"/>
  <c r="N74" i="9"/>
  <c r="E48" i="1"/>
  <c r="L74" i="9"/>
  <c r="E74" i="9"/>
  <c r="N73" i="9"/>
  <c r="E46" i="1"/>
  <c r="L73" i="9"/>
  <c r="E73" i="9"/>
  <c r="N72" i="9"/>
  <c r="E44" i="1"/>
  <c r="L72" i="9"/>
  <c r="E72" i="9"/>
  <c r="N71" i="9"/>
  <c r="E43" i="1"/>
  <c r="L71" i="9"/>
  <c r="E71" i="9"/>
  <c r="N70" i="9"/>
  <c r="E41" i="1"/>
  <c r="L70" i="9"/>
  <c r="E70" i="9"/>
  <c r="N69" i="9"/>
  <c r="E40" i="1"/>
  <c r="L69" i="9"/>
  <c r="E69" i="9"/>
  <c r="N68" i="9"/>
  <c r="E39" i="1"/>
  <c r="L68" i="9"/>
  <c r="E68" i="9"/>
  <c r="N67" i="9"/>
  <c r="E37" i="1"/>
  <c r="L67" i="9"/>
  <c r="E67" i="9"/>
  <c r="N66" i="9"/>
  <c r="E35" i="1"/>
  <c r="L66" i="9"/>
  <c r="E66" i="9"/>
  <c r="N65" i="9"/>
  <c r="K65" i="9"/>
  <c r="M65" i="9"/>
  <c r="E32" i="5"/>
  <c r="L65" i="9"/>
  <c r="J65" i="9"/>
  <c r="I65" i="9"/>
  <c r="H65" i="9"/>
  <c r="G65" i="9"/>
  <c r="E65" i="9"/>
  <c r="N64" i="9"/>
  <c r="K64" i="9"/>
  <c r="M64" i="9"/>
  <c r="E30" i="5"/>
  <c r="L64" i="9"/>
  <c r="J64" i="9"/>
  <c r="I64" i="9"/>
  <c r="H64" i="9"/>
  <c r="G64" i="9"/>
  <c r="E64" i="9"/>
  <c r="N63" i="9"/>
  <c r="K63" i="9"/>
  <c r="M63" i="9"/>
  <c r="E28" i="5"/>
  <c r="L63" i="9"/>
  <c r="J63" i="9"/>
  <c r="I63" i="9"/>
  <c r="H63" i="9"/>
  <c r="G63" i="9"/>
  <c r="E63" i="9"/>
  <c r="N62" i="9"/>
  <c r="K62" i="9"/>
  <c r="M62" i="9"/>
  <c r="E27" i="5"/>
  <c r="L62" i="9"/>
  <c r="J62" i="9"/>
  <c r="I62" i="9"/>
  <c r="H62" i="9"/>
  <c r="G62" i="9"/>
  <c r="E62" i="9"/>
  <c r="N61" i="9"/>
  <c r="K61" i="9"/>
  <c r="M61" i="9"/>
  <c r="E25" i="5"/>
  <c r="L61" i="9"/>
  <c r="J61" i="9"/>
  <c r="I61" i="9"/>
  <c r="H61" i="9"/>
  <c r="G61" i="9"/>
  <c r="E61" i="9"/>
  <c r="N60" i="9"/>
  <c r="K60" i="9"/>
  <c r="M60" i="9"/>
  <c r="E23" i="5"/>
  <c r="L60" i="9"/>
  <c r="J60" i="9"/>
  <c r="I60" i="9"/>
  <c r="H60" i="9"/>
  <c r="G60" i="9"/>
  <c r="E60" i="9"/>
  <c r="N59" i="9"/>
  <c r="K59" i="9"/>
  <c r="M59" i="9"/>
  <c r="E22" i="5"/>
  <c r="L59" i="9"/>
  <c r="J59" i="9"/>
  <c r="I59" i="9"/>
  <c r="H59" i="9"/>
  <c r="G59" i="9"/>
  <c r="E59" i="9"/>
  <c r="N58" i="9"/>
  <c r="K58" i="9"/>
  <c r="M58" i="9"/>
  <c r="E20" i="5"/>
  <c r="L58" i="9"/>
  <c r="J58" i="9"/>
  <c r="I58" i="9"/>
  <c r="H58" i="9"/>
  <c r="G58" i="9"/>
  <c r="E58" i="9"/>
  <c r="N57" i="9"/>
  <c r="K57" i="9"/>
  <c r="M57" i="9"/>
  <c r="E19" i="5"/>
  <c r="L57" i="9"/>
  <c r="J57" i="9"/>
  <c r="I57" i="9"/>
  <c r="H57" i="9"/>
  <c r="G57" i="9"/>
  <c r="E57" i="9"/>
  <c r="N56" i="9"/>
  <c r="K56" i="9"/>
  <c r="M56" i="9"/>
  <c r="E17" i="5"/>
  <c r="L56" i="9"/>
  <c r="J56" i="9"/>
  <c r="I56" i="9"/>
  <c r="H56" i="9"/>
  <c r="G56" i="9"/>
  <c r="E56" i="9"/>
  <c r="N55" i="9"/>
  <c r="K55" i="9"/>
  <c r="M55" i="9"/>
  <c r="E16" i="5"/>
  <c r="L55" i="9"/>
  <c r="J55" i="9"/>
  <c r="I55" i="9"/>
  <c r="H55" i="9"/>
  <c r="G55" i="9"/>
  <c r="E55" i="9"/>
  <c r="N54" i="9"/>
  <c r="K54" i="9"/>
  <c r="M54" i="9"/>
  <c r="E15" i="5"/>
  <c r="L54" i="9"/>
  <c r="J54" i="9"/>
  <c r="I54" i="9"/>
  <c r="H54" i="9"/>
  <c r="G54" i="9"/>
  <c r="E54" i="9"/>
  <c r="N53" i="9"/>
  <c r="K53" i="9"/>
  <c r="M53" i="9"/>
  <c r="E13" i="5"/>
  <c r="L53" i="9"/>
  <c r="J53" i="9"/>
  <c r="I53" i="9"/>
  <c r="H53" i="9"/>
  <c r="G53" i="9"/>
  <c r="E53" i="9"/>
  <c r="N52" i="9"/>
  <c r="E33" i="4"/>
  <c r="L52" i="9"/>
  <c r="E52" i="9"/>
  <c r="N51" i="9"/>
  <c r="K51" i="9"/>
  <c r="M51" i="9"/>
  <c r="E31" i="4"/>
  <c r="L51" i="9"/>
  <c r="J51" i="9"/>
  <c r="I51" i="9"/>
  <c r="H51" i="9"/>
  <c r="G51" i="9"/>
  <c r="E51" i="9"/>
  <c r="N50" i="9"/>
  <c r="K50" i="9"/>
  <c r="M50" i="9"/>
  <c r="E29" i="4"/>
  <c r="L50" i="9"/>
  <c r="J50" i="9"/>
  <c r="I50" i="9"/>
  <c r="H50" i="9"/>
  <c r="G50" i="9"/>
  <c r="E50" i="9"/>
  <c r="N49" i="9"/>
  <c r="K49" i="9"/>
  <c r="M49" i="9"/>
  <c r="E27" i="4"/>
  <c r="L49" i="9"/>
  <c r="J49" i="9"/>
  <c r="I49" i="9"/>
  <c r="H49" i="9"/>
  <c r="G49" i="9"/>
  <c r="E49" i="9"/>
  <c r="N48" i="9"/>
  <c r="K48" i="9"/>
  <c r="M48" i="9"/>
  <c r="E26" i="4"/>
  <c r="L48" i="9"/>
  <c r="J48" i="9"/>
  <c r="I48" i="9"/>
  <c r="H48" i="9"/>
  <c r="G48" i="9"/>
  <c r="E48" i="9"/>
  <c r="N47" i="9"/>
  <c r="E24" i="4"/>
  <c r="L47" i="9"/>
  <c r="E47" i="9"/>
  <c r="N46" i="9"/>
  <c r="K46" i="9"/>
  <c r="M46" i="9"/>
  <c r="E22" i="4"/>
  <c r="L46" i="9"/>
  <c r="J46" i="9"/>
  <c r="I46" i="9"/>
  <c r="H46" i="9"/>
  <c r="G46" i="9"/>
  <c r="E46" i="9"/>
  <c r="N45" i="9"/>
  <c r="E20" i="4"/>
  <c r="L45" i="9"/>
  <c r="E45" i="9"/>
  <c r="N44" i="9"/>
  <c r="K44" i="9"/>
  <c r="M44" i="9"/>
  <c r="E17" i="4"/>
  <c r="L44" i="9"/>
  <c r="J44" i="9"/>
  <c r="I44" i="9"/>
  <c r="H44" i="9"/>
  <c r="G44" i="9"/>
  <c r="E44" i="9"/>
  <c r="N43" i="9"/>
  <c r="K43" i="9"/>
  <c r="M43" i="9"/>
  <c r="E16" i="4"/>
  <c r="L43" i="9"/>
  <c r="J43" i="9"/>
  <c r="I43" i="9"/>
  <c r="H43" i="9"/>
  <c r="G43" i="9"/>
  <c r="E43" i="9"/>
  <c r="N42" i="9"/>
  <c r="K42" i="9"/>
  <c r="M42" i="9"/>
  <c r="E15" i="4"/>
  <c r="L42" i="9"/>
  <c r="J42" i="9"/>
  <c r="I42" i="9"/>
  <c r="H42" i="9"/>
  <c r="G42" i="9"/>
  <c r="E42" i="9"/>
  <c r="N41" i="9"/>
  <c r="K41" i="9"/>
  <c r="M41" i="9"/>
  <c r="E13" i="4"/>
  <c r="L41" i="9"/>
  <c r="J41" i="9"/>
  <c r="I41" i="9"/>
  <c r="H41" i="9"/>
  <c r="G41" i="9"/>
  <c r="E41" i="9"/>
  <c r="N40" i="9"/>
  <c r="K40" i="9"/>
  <c r="M40" i="9"/>
  <c r="E12" i="4"/>
  <c r="L40" i="9"/>
  <c r="J40" i="9"/>
  <c r="I40" i="9"/>
  <c r="H40" i="9"/>
  <c r="G40" i="9"/>
  <c r="E40" i="9"/>
  <c r="N39" i="9"/>
  <c r="K39" i="9"/>
  <c r="M39" i="9"/>
  <c r="E30" i="3"/>
  <c r="L39" i="9"/>
  <c r="J39" i="9"/>
  <c r="I39" i="9"/>
  <c r="H39" i="9"/>
  <c r="G39" i="9"/>
  <c r="E39" i="9"/>
  <c r="N38" i="9"/>
  <c r="E29" i="3"/>
  <c r="L38" i="9"/>
  <c r="E38" i="9"/>
  <c r="N37" i="9"/>
  <c r="E28" i="3"/>
  <c r="L37" i="9"/>
  <c r="N36" i="9"/>
  <c r="K36" i="9"/>
  <c r="M36" i="9"/>
  <c r="E27" i="3"/>
  <c r="L36" i="9"/>
  <c r="J36" i="9"/>
  <c r="I36" i="9"/>
  <c r="H36" i="9"/>
  <c r="G36" i="9"/>
  <c r="E36" i="9"/>
  <c r="N35" i="9"/>
  <c r="K35" i="9"/>
  <c r="M35" i="9"/>
  <c r="E25" i="3"/>
  <c r="L35" i="9"/>
  <c r="J35" i="9"/>
  <c r="I35" i="9"/>
  <c r="H35" i="9"/>
  <c r="G35" i="9"/>
  <c r="E35" i="9"/>
  <c r="N34" i="9"/>
  <c r="K34" i="9"/>
  <c r="M34" i="9"/>
  <c r="E24" i="3"/>
  <c r="L34" i="9"/>
  <c r="J34" i="9"/>
  <c r="I34" i="9"/>
  <c r="H34" i="9"/>
  <c r="G34" i="9"/>
  <c r="E34" i="9"/>
  <c r="N33" i="9"/>
  <c r="K33" i="9"/>
  <c r="M33" i="9"/>
  <c r="E22" i="3"/>
  <c r="L33" i="9"/>
  <c r="J33" i="9"/>
  <c r="I33" i="9"/>
  <c r="H33" i="9"/>
  <c r="G33" i="9"/>
  <c r="E33" i="9"/>
  <c r="N32" i="9"/>
  <c r="K32" i="9"/>
  <c r="M32" i="9"/>
  <c r="E21" i="3"/>
  <c r="L32" i="9"/>
  <c r="J32" i="9"/>
  <c r="I32" i="9"/>
  <c r="H32" i="9"/>
  <c r="G32" i="9"/>
  <c r="E32" i="9"/>
  <c r="N31" i="9"/>
  <c r="K31" i="9"/>
  <c r="M31" i="9"/>
  <c r="E19" i="3"/>
  <c r="L31" i="9"/>
  <c r="J31" i="9"/>
  <c r="I31" i="9"/>
  <c r="H31" i="9"/>
  <c r="G31" i="9"/>
  <c r="E31" i="9"/>
  <c r="N30" i="9"/>
  <c r="K30" i="9"/>
  <c r="M30" i="9"/>
  <c r="E18" i="3"/>
  <c r="L30" i="9"/>
  <c r="J30" i="9"/>
  <c r="I30" i="9"/>
  <c r="H30" i="9"/>
  <c r="G30" i="9"/>
  <c r="E30" i="9"/>
  <c r="N29" i="9"/>
  <c r="K29" i="9"/>
  <c r="M29" i="9"/>
  <c r="E17" i="3"/>
  <c r="L29" i="9"/>
  <c r="J29" i="9"/>
  <c r="I29" i="9"/>
  <c r="H29" i="9"/>
  <c r="G29" i="9"/>
  <c r="E29" i="9"/>
  <c r="N28" i="9"/>
  <c r="K28" i="9"/>
  <c r="M28" i="9"/>
  <c r="E16" i="3"/>
  <c r="L28" i="9"/>
  <c r="J28" i="9"/>
  <c r="I28" i="9"/>
  <c r="H28" i="9"/>
  <c r="G28" i="9"/>
  <c r="E28" i="9"/>
  <c r="N27" i="9"/>
  <c r="K27" i="9"/>
  <c r="M27" i="9"/>
  <c r="E14" i="3"/>
  <c r="L27" i="9"/>
  <c r="J27" i="9"/>
  <c r="I27" i="9"/>
  <c r="H27" i="9"/>
  <c r="G27" i="9"/>
  <c r="E27" i="9"/>
  <c r="N26" i="9"/>
  <c r="K26" i="9"/>
  <c r="M26" i="9"/>
  <c r="E13" i="3"/>
  <c r="L26" i="9"/>
  <c r="J26" i="9"/>
  <c r="I26" i="9"/>
  <c r="H26" i="9"/>
  <c r="G26" i="9"/>
  <c r="E26" i="9"/>
  <c r="N25" i="9"/>
  <c r="K25" i="9"/>
  <c r="M25" i="9"/>
  <c r="E12" i="3"/>
  <c r="L25" i="9"/>
  <c r="J25" i="9"/>
  <c r="I25" i="9"/>
  <c r="H25" i="9"/>
  <c r="G25" i="9"/>
  <c r="E25" i="9"/>
  <c r="N24" i="9"/>
  <c r="K24" i="9"/>
  <c r="M24" i="9"/>
  <c r="E29" i="2"/>
  <c r="L24" i="9"/>
  <c r="J24" i="9"/>
  <c r="I24" i="9"/>
  <c r="H24" i="9"/>
  <c r="G24" i="9"/>
  <c r="E24" i="9"/>
  <c r="N23" i="9"/>
  <c r="K23" i="9"/>
  <c r="M23" i="9"/>
  <c r="E27" i="2"/>
  <c r="L23" i="9"/>
  <c r="J23" i="9"/>
  <c r="I23" i="9"/>
  <c r="H23" i="9"/>
  <c r="G23" i="9"/>
  <c r="E23" i="9"/>
  <c r="N22" i="9"/>
  <c r="K22" i="9"/>
  <c r="M22" i="9"/>
  <c r="E25" i="2"/>
  <c r="L22" i="9"/>
  <c r="J22" i="9"/>
  <c r="I22" i="9"/>
  <c r="H22" i="9"/>
  <c r="G22" i="9"/>
  <c r="E22" i="9"/>
  <c r="N21" i="9"/>
  <c r="K21" i="9"/>
  <c r="M21" i="9"/>
  <c r="E23" i="2"/>
  <c r="L21" i="9"/>
  <c r="J21" i="9"/>
  <c r="I21" i="9"/>
  <c r="H21" i="9"/>
  <c r="G21" i="9"/>
  <c r="E21" i="9"/>
  <c r="N20" i="9"/>
  <c r="K20" i="9"/>
  <c r="M20" i="9"/>
  <c r="E22" i="2"/>
  <c r="L20" i="9"/>
  <c r="J20" i="9"/>
  <c r="I20" i="9"/>
  <c r="H20" i="9"/>
  <c r="G20" i="9"/>
  <c r="E20" i="9"/>
  <c r="N19" i="9"/>
  <c r="K19" i="9"/>
  <c r="M19" i="9"/>
  <c r="E20" i="2"/>
  <c r="L19" i="9"/>
  <c r="J19" i="9"/>
  <c r="I19" i="9"/>
  <c r="H19" i="9"/>
  <c r="G19" i="9"/>
  <c r="E19" i="9"/>
  <c r="N18" i="9"/>
  <c r="K18" i="9"/>
  <c r="M18" i="9"/>
  <c r="E19" i="2"/>
  <c r="L18" i="9"/>
  <c r="J18" i="9"/>
  <c r="I18" i="9"/>
  <c r="H18" i="9"/>
  <c r="G18" i="9"/>
  <c r="E18" i="9"/>
  <c r="N17" i="9"/>
  <c r="K17" i="9"/>
  <c r="M17" i="9"/>
  <c r="E17" i="2"/>
  <c r="L17" i="9"/>
  <c r="J17" i="9"/>
  <c r="I17" i="9"/>
  <c r="H17" i="9"/>
  <c r="G17" i="9"/>
  <c r="E17" i="9"/>
  <c r="N16" i="9"/>
  <c r="K16" i="9"/>
  <c r="M16" i="9"/>
  <c r="E16" i="2"/>
  <c r="L16" i="9"/>
  <c r="J16" i="9"/>
  <c r="I16" i="9"/>
  <c r="H16" i="9"/>
  <c r="G16" i="9"/>
  <c r="E16" i="9"/>
  <c r="N15" i="9"/>
  <c r="K15" i="9"/>
  <c r="M15" i="9"/>
  <c r="E14" i="2"/>
  <c r="L15" i="9"/>
  <c r="J15" i="9"/>
  <c r="I15" i="9"/>
  <c r="H15" i="9"/>
  <c r="G15" i="9"/>
  <c r="E15" i="9"/>
  <c r="N14" i="9"/>
  <c r="K14" i="9"/>
  <c r="M14" i="9"/>
  <c r="E13" i="2"/>
  <c r="L14" i="9"/>
  <c r="J14" i="9"/>
  <c r="I14" i="9"/>
  <c r="H14" i="9"/>
  <c r="G14" i="9"/>
  <c r="E14" i="9"/>
  <c r="N13" i="9"/>
  <c r="K13" i="9"/>
  <c r="M13" i="9"/>
  <c r="E30" i="1"/>
  <c r="L13" i="9"/>
  <c r="J13" i="9"/>
  <c r="I13" i="9"/>
  <c r="H13" i="9"/>
  <c r="G13" i="9"/>
  <c r="E13" i="9"/>
  <c r="N12" i="9"/>
  <c r="K12" i="9"/>
  <c r="M12" i="9"/>
  <c r="E28" i="1"/>
  <c r="L12" i="9"/>
  <c r="J12" i="9"/>
  <c r="I12" i="9"/>
  <c r="H12" i="9"/>
  <c r="G12" i="9"/>
  <c r="E12" i="9"/>
  <c r="N11" i="9"/>
  <c r="K11" i="9"/>
  <c r="M11" i="9"/>
  <c r="E26" i="1"/>
  <c r="L11" i="9"/>
  <c r="J11" i="9"/>
  <c r="I11" i="9"/>
  <c r="H11" i="9"/>
  <c r="G11" i="9"/>
  <c r="E11" i="9"/>
  <c r="N10" i="9"/>
  <c r="K10" i="9"/>
  <c r="M10" i="9"/>
  <c r="E24" i="1"/>
  <c r="L10" i="9"/>
  <c r="J10" i="9"/>
  <c r="I10" i="9"/>
  <c r="H10" i="9"/>
  <c r="G10" i="9"/>
  <c r="E10" i="9"/>
  <c r="N9" i="9"/>
  <c r="K9" i="9"/>
  <c r="M9" i="9"/>
  <c r="E22" i="1"/>
  <c r="L9" i="9"/>
  <c r="J9" i="9"/>
  <c r="I9" i="9"/>
  <c r="H9" i="9"/>
  <c r="G9" i="9"/>
  <c r="E9" i="9"/>
  <c r="N8" i="9"/>
  <c r="K8" i="9"/>
  <c r="M8" i="9"/>
  <c r="E21" i="1"/>
  <c r="L8" i="9"/>
  <c r="J8" i="9"/>
  <c r="I8" i="9"/>
  <c r="H8" i="9"/>
  <c r="G8" i="9"/>
  <c r="E8" i="9"/>
  <c r="N7" i="9"/>
  <c r="K7" i="9"/>
  <c r="M7" i="9"/>
  <c r="E19" i="1"/>
  <c r="L7" i="9"/>
  <c r="J7" i="9"/>
  <c r="I7" i="9"/>
  <c r="H7" i="9"/>
  <c r="G7" i="9"/>
  <c r="E7" i="9"/>
  <c r="N6" i="9"/>
  <c r="K6" i="9"/>
  <c r="M6" i="9"/>
  <c r="E18" i="1"/>
  <c r="L6" i="9"/>
  <c r="J6" i="9"/>
  <c r="I6" i="9"/>
  <c r="H6" i="9"/>
  <c r="G6" i="9"/>
  <c r="E6" i="9"/>
  <c r="N5" i="9"/>
  <c r="E17" i="1"/>
  <c r="Y17" i="1"/>
  <c r="Z17" i="1"/>
  <c r="AC17" i="1"/>
  <c r="P5" i="9"/>
  <c r="L5" i="9"/>
  <c r="J5" i="9"/>
  <c r="I5" i="9"/>
  <c r="H5" i="9"/>
  <c r="G5" i="9"/>
  <c r="E5" i="9"/>
  <c r="N4" i="9"/>
  <c r="K4" i="9"/>
  <c r="M4" i="9"/>
  <c r="E15" i="1"/>
  <c r="L4" i="9"/>
  <c r="J4" i="9"/>
  <c r="I4" i="9"/>
  <c r="H4" i="9"/>
  <c r="G4" i="9"/>
  <c r="E4" i="9"/>
  <c r="N3" i="9"/>
  <c r="M3" i="9"/>
  <c r="E13" i="1"/>
  <c r="L3" i="9"/>
  <c r="K3" i="9"/>
  <c r="J3" i="9"/>
  <c r="I3" i="9"/>
  <c r="H3" i="9"/>
  <c r="G3" i="9"/>
  <c r="E3" i="9"/>
  <c r="G80" i="8"/>
  <c r="G79" i="8"/>
  <c r="G78" i="8"/>
  <c r="G77" i="8"/>
  <c r="G76" i="8"/>
  <c r="E2" i="7"/>
  <c r="U32" i="5"/>
  <c r="U30" i="5"/>
  <c r="U28" i="5"/>
  <c r="U27" i="5"/>
  <c r="U25" i="5"/>
  <c r="U23" i="5"/>
  <c r="U22" i="5"/>
  <c r="U20" i="5"/>
  <c r="U19" i="5"/>
  <c r="U17" i="5"/>
  <c r="U16" i="5"/>
  <c r="U15" i="5"/>
  <c r="U13" i="5"/>
  <c r="AA33" i="4"/>
  <c r="AB33" i="4"/>
  <c r="Y33" i="4"/>
  <c r="Z33" i="4"/>
  <c r="AC33" i="4"/>
  <c r="P52" i="9"/>
  <c r="U33" i="4"/>
  <c r="U31" i="4"/>
  <c r="U29" i="4"/>
  <c r="U27" i="4"/>
  <c r="U26" i="4"/>
  <c r="AA24" i="4"/>
  <c r="AB24" i="4"/>
  <c r="Y24" i="4"/>
  <c r="Z24" i="4"/>
  <c r="AC24" i="4"/>
  <c r="P47" i="9"/>
  <c r="U24" i="4"/>
  <c r="U22" i="4"/>
  <c r="AA20" i="4"/>
  <c r="AB20" i="4"/>
  <c r="AC20" i="4"/>
  <c r="P45" i="9"/>
  <c r="U20" i="4"/>
  <c r="U17" i="4"/>
  <c r="U16" i="4"/>
  <c r="U15" i="4"/>
  <c r="U13" i="4"/>
  <c r="U12" i="4"/>
  <c r="U44" i="3"/>
  <c r="U30" i="3"/>
  <c r="U27" i="3"/>
  <c r="U25" i="3"/>
  <c r="U24" i="3"/>
  <c r="U22" i="3"/>
  <c r="U21" i="3"/>
  <c r="U19" i="3"/>
  <c r="U18" i="3"/>
  <c r="U17" i="3"/>
  <c r="U16" i="3"/>
  <c r="U14" i="3"/>
  <c r="U13" i="3"/>
  <c r="U12" i="3"/>
  <c r="U30" i="1"/>
  <c r="U28" i="1"/>
  <c r="U26" i="1"/>
  <c r="U24" i="1"/>
  <c r="U22" i="1"/>
  <c r="U21" i="1"/>
  <c r="U19" i="1"/>
  <c r="U18" i="1"/>
  <c r="U17" i="1"/>
  <c r="V15" i="1"/>
  <c r="U15" i="1"/>
  <c r="V13" i="1"/>
  <c r="U13" i="1"/>
  <c r="U29" i="2"/>
  <c r="U27" i="2"/>
  <c r="U25" i="2"/>
  <c r="U23" i="2"/>
  <c r="U22" i="2"/>
  <c r="U20" i="2"/>
  <c r="U19" i="2"/>
  <c r="U17" i="2"/>
  <c r="U16" i="2"/>
  <c r="U14" i="2"/>
  <c r="U13" i="2"/>
  <c r="G6" i="10"/>
  <c r="N6" i="10"/>
  <c r="V17" i="1"/>
  <c r="K6" i="10"/>
  <c r="M6" i="10"/>
  <c r="B26" i="12"/>
  <c r="C26" i="12"/>
  <c r="D26" i="12"/>
  <c r="L6" i="10"/>
  <c r="E26" i="12"/>
  <c r="F26" i="12"/>
  <c r="G37" i="9"/>
  <c r="F37" i="9"/>
  <c r="J37" i="9"/>
  <c r="K37" i="9"/>
  <c r="M37" i="9"/>
  <c r="I37" i="9"/>
  <c r="H37" i="9"/>
  <c r="E37" i="9"/>
  <c r="U28" i="3"/>
  <c r="K38" i="9"/>
  <c r="M38" i="9"/>
  <c r="I38" i="9"/>
  <c r="G38" i="9"/>
  <c r="J38" i="9"/>
  <c r="H38" i="9"/>
  <c r="F38" i="9"/>
  <c r="O40" i="10"/>
  <c r="O50" i="10"/>
  <c r="O55" i="10"/>
  <c r="O107" i="10"/>
  <c r="O75" i="10"/>
  <c r="O80" i="10"/>
  <c r="O85" i="10"/>
  <c r="O90" i="10"/>
  <c r="O95" i="10"/>
  <c r="O115" i="10"/>
  <c r="O126" i="10"/>
  <c r="O44" i="10"/>
  <c r="O59" i="10"/>
  <c r="O74" i="10"/>
  <c r="O79" i="10"/>
  <c r="O84" i="10"/>
  <c r="O89" i="10"/>
  <c r="O122" i="10"/>
  <c r="O64" i="10"/>
  <c r="O99" i="10"/>
  <c r="O104" i="10"/>
  <c r="O42" i="10"/>
  <c r="O47" i="10"/>
  <c r="O52" i="10"/>
  <c r="O57" i="10"/>
  <c r="O72" i="10"/>
  <c r="O62" i="10"/>
  <c r="O67" i="10"/>
  <c r="O87" i="10"/>
  <c r="O92" i="10"/>
  <c r="O97" i="10"/>
  <c r="O102" i="10"/>
  <c r="U56" i="4"/>
  <c r="U51" i="4"/>
  <c r="AC43" i="2"/>
  <c r="P83" i="9"/>
  <c r="F83" i="9"/>
  <c r="O123" i="10"/>
  <c r="U68" i="3"/>
  <c r="U46" i="3"/>
  <c r="U72" i="1"/>
  <c r="U35" i="3"/>
  <c r="U90" i="2"/>
  <c r="U62" i="1"/>
  <c r="U40" i="2"/>
  <c r="U50" i="1"/>
  <c r="U38" i="3"/>
  <c r="U50" i="3"/>
  <c r="U54" i="5"/>
  <c r="U47" i="5"/>
  <c r="U43" i="5"/>
  <c r="U49" i="3"/>
  <c r="U52" i="1"/>
  <c r="U41" i="4"/>
  <c r="AC41" i="4"/>
  <c r="P106" i="9"/>
  <c r="F106" i="9"/>
  <c r="U39" i="5"/>
  <c r="U81" i="4"/>
  <c r="U63" i="3"/>
  <c r="AC37" i="4"/>
  <c r="P103" i="9"/>
  <c r="AC58" i="4"/>
  <c r="P115" i="9"/>
  <c r="H115" i="9"/>
  <c r="U47" i="4"/>
  <c r="U37" i="1"/>
  <c r="U38" i="4"/>
  <c r="U51" i="5"/>
  <c r="U48" i="2"/>
  <c r="U43" i="2"/>
  <c r="U41" i="3"/>
  <c r="U67" i="2"/>
  <c r="U61" i="2"/>
  <c r="U39" i="3"/>
  <c r="U67" i="4"/>
  <c r="AC54" i="5"/>
  <c r="P127" i="9"/>
  <c r="K127" i="9"/>
  <c r="M127" i="9"/>
  <c r="U47" i="3"/>
  <c r="AC38" i="3"/>
  <c r="P91" i="9"/>
  <c r="G91" i="9"/>
  <c r="U35" i="2"/>
  <c r="U40" i="4"/>
  <c r="U34" i="3"/>
  <c r="U58" i="2"/>
  <c r="U85" i="3"/>
  <c r="U80" i="3"/>
  <c r="U83" i="2"/>
  <c r="U77" i="2"/>
  <c r="U137" i="3"/>
  <c r="U72" i="3"/>
  <c r="U66" i="1"/>
  <c r="U78" i="5"/>
  <c r="U148" i="5"/>
  <c r="U141" i="4"/>
  <c r="U98" i="2"/>
  <c r="U87" i="5"/>
  <c r="U104" i="4"/>
  <c r="U97" i="4"/>
  <c r="U109" i="3"/>
  <c r="U63" i="4"/>
  <c r="U46" i="5"/>
  <c r="U46" i="1"/>
  <c r="U51" i="3"/>
  <c r="U54" i="4"/>
  <c r="U44" i="5"/>
  <c r="U40" i="5"/>
  <c r="U34" i="2"/>
  <c r="U63" i="5"/>
  <c r="U49" i="4"/>
  <c r="U56" i="5"/>
  <c r="U58" i="4"/>
  <c r="U44" i="1"/>
  <c r="U79" i="1"/>
  <c r="U72" i="4"/>
  <c r="U46" i="2"/>
  <c r="AC37" i="2"/>
  <c r="P79" i="9"/>
  <c r="G79" i="9"/>
  <c r="AC36" i="3"/>
  <c r="P90" i="9"/>
  <c r="K90" i="9"/>
  <c r="M90" i="9"/>
  <c r="U90" i="3"/>
  <c r="U84" i="3"/>
  <c r="U37" i="5"/>
  <c r="U101" i="4"/>
  <c r="U140" i="5"/>
  <c r="U97" i="2"/>
  <c r="U94" i="3"/>
  <c r="U88" i="3"/>
  <c r="U45" i="4"/>
  <c r="AC43" i="3"/>
  <c r="P95" i="9"/>
  <c r="J95" i="9"/>
  <c r="U76" i="4"/>
  <c r="U41" i="5"/>
  <c r="U57" i="3"/>
  <c r="AC41" i="5"/>
  <c r="P119" i="9"/>
  <c r="F119" i="9"/>
  <c r="U56" i="3"/>
  <c r="U65" i="2"/>
  <c r="U61" i="5"/>
  <c r="U69" i="3"/>
  <c r="U68" i="1"/>
  <c r="U135" i="5"/>
  <c r="U116" i="3"/>
  <c r="U91" i="5"/>
  <c r="U85" i="5"/>
  <c r="U77" i="4"/>
  <c r="U60" i="3"/>
  <c r="U73" i="3"/>
  <c r="U69" i="2"/>
  <c r="U119" i="5"/>
  <c r="U95" i="5"/>
  <c r="U94" i="1"/>
  <c r="U65" i="4"/>
  <c r="U87" i="4"/>
  <c r="U65" i="5"/>
  <c r="U76" i="5"/>
  <c r="U70" i="5"/>
  <c r="U99" i="5"/>
  <c r="U75" i="5"/>
  <c r="U68" i="5"/>
  <c r="U88" i="4"/>
  <c r="U84" i="1"/>
  <c r="U110" i="3"/>
  <c r="U105" i="3"/>
  <c r="U118" i="1"/>
  <c r="U145" i="5"/>
  <c r="U133" i="5"/>
  <c r="U133" i="4"/>
  <c r="U100" i="5"/>
  <c r="U94" i="5"/>
  <c r="U106" i="4"/>
  <c r="U93" i="3"/>
  <c r="U92" i="2"/>
  <c r="U85" i="2"/>
  <c r="U88" i="1"/>
  <c r="U92" i="5"/>
  <c r="U104" i="5"/>
  <c r="U97" i="5"/>
  <c r="U174" i="4"/>
  <c r="U88" i="2"/>
  <c r="U82" i="2"/>
  <c r="U92" i="1"/>
  <c r="U132" i="1"/>
  <c r="U137" i="4"/>
  <c r="U112" i="4"/>
  <c r="U173" i="3"/>
  <c r="U127" i="1"/>
  <c r="U131" i="1"/>
  <c r="U100" i="2"/>
  <c r="U116" i="1"/>
  <c r="U103" i="1"/>
  <c r="U153" i="1"/>
  <c r="U142" i="5"/>
  <c r="U124" i="5"/>
  <c r="U111" i="5"/>
  <c r="U115" i="4"/>
  <c r="U109" i="2"/>
  <c r="U115" i="5"/>
  <c r="U127" i="4"/>
  <c r="U101" i="3"/>
  <c r="U152" i="5"/>
  <c r="U138" i="3"/>
  <c r="AC132" i="1"/>
  <c r="P324" i="9"/>
  <c r="I324" i="9"/>
  <c r="U248" i="2"/>
  <c r="U272" i="1"/>
  <c r="U241" i="1"/>
  <c r="U128" i="3"/>
  <c r="U130" i="2"/>
  <c r="U124" i="2"/>
  <c r="U118" i="2"/>
  <c r="U217" i="4"/>
  <c r="U190" i="2"/>
  <c r="U189" i="3"/>
  <c r="U190" i="3"/>
  <c r="U248" i="3"/>
  <c r="U262" i="5"/>
  <c r="U237" i="2"/>
  <c r="U263" i="4"/>
  <c r="U184" i="5"/>
  <c r="U184" i="1"/>
  <c r="U283" i="5"/>
  <c r="U264" i="1"/>
  <c r="U302" i="4"/>
  <c r="U234" i="3"/>
  <c r="U169" i="1"/>
  <c r="U277" i="5"/>
  <c r="U57" i="1"/>
  <c r="U99" i="4"/>
  <c r="U91" i="4"/>
  <c r="AC38" i="2"/>
  <c r="P80" i="9"/>
  <c r="U38" i="2"/>
  <c r="U131" i="4"/>
  <c r="U118" i="3"/>
  <c r="U113" i="3"/>
  <c r="AC50" i="2"/>
  <c r="P87" i="9"/>
  <c r="AC67" i="5"/>
  <c r="P183" i="9"/>
  <c r="U67" i="5"/>
  <c r="U74" i="1"/>
  <c r="U41" i="1"/>
  <c r="AC41" i="1"/>
  <c r="P70" i="9"/>
  <c r="U132" i="2"/>
  <c r="U125" i="2"/>
  <c r="U119" i="2"/>
  <c r="U136" i="1"/>
  <c r="U123" i="1"/>
  <c r="AC52" i="5"/>
  <c r="P126" i="9"/>
  <c r="U48" i="1"/>
  <c r="AC48" i="1"/>
  <c r="P74" i="9"/>
  <c r="U40" i="1"/>
  <c r="U71" i="2"/>
  <c r="U123" i="5"/>
  <c r="U52" i="5"/>
  <c r="AC52" i="3"/>
  <c r="P102" i="9"/>
  <c r="U44" i="2"/>
  <c r="U37" i="2"/>
  <c r="U36" i="3"/>
  <c r="U181" i="3"/>
  <c r="U169" i="2"/>
  <c r="U166" i="5"/>
  <c r="U151" i="3"/>
  <c r="U153" i="2"/>
  <c r="U146" i="2"/>
  <c r="U154" i="4"/>
  <c r="U63" i="1"/>
  <c r="AC42" i="4"/>
  <c r="P107" i="9"/>
  <c r="U42" i="4"/>
  <c r="U145" i="2"/>
  <c r="AC72" i="3"/>
  <c r="P163" i="9"/>
  <c r="U62" i="2"/>
  <c r="AC40" i="5"/>
  <c r="P118" i="9"/>
  <c r="K106" i="9"/>
  <c r="M106" i="9"/>
  <c r="U43" i="3"/>
  <c r="AC48" i="2"/>
  <c r="P86" i="9"/>
  <c r="U267" i="5"/>
  <c r="U244" i="3"/>
  <c r="AC43" i="1"/>
  <c r="P71" i="9"/>
  <c r="U266" i="3"/>
  <c r="U266" i="1"/>
  <c r="U231" i="4"/>
  <c r="U174" i="2"/>
  <c r="U123" i="3"/>
  <c r="U58" i="3"/>
  <c r="U90" i="1"/>
  <c r="U59" i="1"/>
  <c r="U49" i="5"/>
  <c r="AC52" i="4"/>
  <c r="P112" i="9"/>
  <c r="U52" i="4"/>
  <c r="U176" i="2"/>
  <c r="U229" i="2"/>
  <c r="I83" i="9"/>
  <c r="U66" i="3"/>
  <c r="AC47" i="5"/>
  <c r="P123" i="9"/>
  <c r="AC46" i="1"/>
  <c r="P73" i="9"/>
  <c r="AC35" i="1"/>
  <c r="P66" i="9"/>
  <c r="U35" i="1"/>
  <c r="U238" i="3"/>
  <c r="U212" i="2"/>
  <c r="U233" i="4"/>
  <c r="AC41" i="2"/>
  <c r="P82" i="9"/>
  <c r="U191" i="1"/>
  <c r="U171" i="5"/>
  <c r="U260" i="1"/>
  <c r="U62" i="3"/>
  <c r="AC47" i="3"/>
  <c r="P98" i="9"/>
  <c r="U41" i="2"/>
  <c r="U43" i="1"/>
  <c r="J83" i="9"/>
  <c r="U52" i="3"/>
  <c r="G103" i="9"/>
  <c r="U138" i="1"/>
  <c r="U125" i="1"/>
  <c r="U113" i="2"/>
  <c r="U89" i="5"/>
  <c r="U78" i="3"/>
  <c r="U86" i="2"/>
  <c r="AC59" i="1"/>
  <c r="P130" i="9"/>
  <c r="H130" i="9"/>
  <c r="U166" i="4"/>
  <c r="AC123" i="5"/>
  <c r="P314" i="9"/>
  <c r="J314" i="9"/>
  <c r="AC49" i="4"/>
  <c r="P110" i="9"/>
  <c r="U40" i="3"/>
  <c r="U50" i="2"/>
  <c r="U190" i="5"/>
  <c r="U195" i="2"/>
  <c r="U150" i="1"/>
  <c r="U128" i="5"/>
  <c r="H83" i="9"/>
  <c r="U189" i="1"/>
  <c r="U37" i="4"/>
  <c r="K83" i="9"/>
  <c r="M83" i="9"/>
  <c r="H103" i="9"/>
  <c r="U109" i="1"/>
  <c r="U88" i="5"/>
  <c r="U96" i="1"/>
  <c r="U80" i="5"/>
  <c r="U65" i="3"/>
  <c r="AC49" i="3"/>
  <c r="P99" i="9"/>
  <c r="U237" i="4"/>
  <c r="U82" i="3"/>
  <c r="U79" i="2"/>
  <c r="U73" i="5"/>
  <c r="AC41" i="3"/>
  <c r="P94" i="9"/>
  <c r="AC39" i="1"/>
  <c r="P68" i="9"/>
  <c r="U267" i="4"/>
  <c r="U248" i="1"/>
  <c r="U172" i="1"/>
  <c r="U176" i="5"/>
  <c r="U132" i="3"/>
  <c r="U90" i="4"/>
  <c r="U95" i="3"/>
  <c r="U91" i="3"/>
  <c r="U83" i="1"/>
  <c r="AC67" i="4"/>
  <c r="P170" i="9"/>
  <c r="G170" i="9"/>
  <c r="U70" i="1"/>
  <c r="AC43" i="5"/>
  <c r="P120" i="9"/>
  <c r="AC51" i="4"/>
  <c r="P111" i="9"/>
  <c r="U236" i="3"/>
  <c r="U232" i="5"/>
  <c r="U256" i="4"/>
  <c r="U241" i="4"/>
  <c r="U143" i="2"/>
  <c r="U109" i="5"/>
  <c r="U113" i="4"/>
  <c r="U71" i="5"/>
  <c r="U74" i="4"/>
  <c r="U71" i="3"/>
  <c r="U65" i="1"/>
  <c r="U61" i="1"/>
  <c r="AC56" i="4"/>
  <c r="P114" i="9"/>
  <c r="U160" i="3"/>
  <c r="U144" i="3"/>
  <c r="U150" i="5"/>
  <c r="U143" i="5"/>
  <c r="U107" i="2"/>
  <c r="U79" i="4"/>
  <c r="U66" i="4"/>
  <c r="U55" i="2"/>
  <c r="AC46" i="5"/>
  <c r="P122" i="9"/>
  <c r="AC34" i="3"/>
  <c r="P88" i="9"/>
  <c r="U269" i="3"/>
  <c r="U263" i="3"/>
  <c r="U185" i="5"/>
  <c r="U208" i="4"/>
  <c r="U201" i="4"/>
  <c r="U192" i="4"/>
  <c r="U142" i="2"/>
  <c r="U126" i="5"/>
  <c r="U102" i="4"/>
  <c r="AC40" i="2"/>
  <c r="P81" i="9"/>
  <c r="AC35" i="2"/>
  <c r="P78" i="9"/>
  <c r="AC37" i="1"/>
  <c r="P67" i="9"/>
  <c r="AC226" i="1"/>
  <c r="P579" i="9"/>
  <c r="F579" i="9"/>
  <c r="U160" i="2"/>
  <c r="U212" i="5"/>
  <c r="U200" i="3"/>
  <c r="U182" i="3"/>
  <c r="U255" i="1"/>
  <c r="U208" i="2"/>
  <c r="U202" i="2"/>
  <c r="U207" i="5"/>
  <c r="U284" i="5"/>
  <c r="U279" i="5"/>
  <c r="U271" i="3"/>
  <c r="U206" i="2"/>
  <c r="U226" i="4"/>
  <c r="U178" i="1"/>
  <c r="U194" i="3"/>
  <c r="U227" i="2"/>
  <c r="U219" i="3"/>
  <c r="U214" i="3"/>
  <c r="U166" i="3"/>
  <c r="U164" i="2"/>
  <c r="U167" i="1"/>
  <c r="U268" i="1"/>
  <c r="U261" i="1"/>
  <c r="U230" i="2"/>
  <c r="U224" i="2"/>
  <c r="U258" i="2"/>
  <c r="U245" i="2"/>
  <c r="U178" i="3"/>
  <c r="U167" i="3"/>
  <c r="U172" i="2"/>
  <c r="U166" i="2"/>
  <c r="U172" i="4"/>
  <c r="U163" i="4"/>
  <c r="U211" i="5"/>
  <c r="U167" i="5"/>
  <c r="U252" i="4"/>
  <c r="U245" i="4"/>
  <c r="U238" i="4"/>
  <c r="U226" i="3"/>
  <c r="U220" i="3"/>
  <c r="U215" i="3"/>
  <c r="U193" i="1"/>
  <c r="U162" i="1"/>
  <c r="U176" i="4"/>
  <c r="U153" i="3"/>
  <c r="U222" i="1"/>
  <c r="U213" i="4"/>
  <c r="U242" i="3"/>
  <c r="U246" i="5"/>
  <c r="AC258" i="4"/>
  <c r="P619" i="9"/>
  <c r="K619" i="9"/>
  <c r="M619" i="9"/>
  <c r="U225" i="3"/>
  <c r="U170" i="3"/>
  <c r="AC270" i="5"/>
  <c r="P694" i="9"/>
  <c r="K694" i="9"/>
  <c r="M694" i="9"/>
  <c r="U262" i="4"/>
  <c r="U217" i="5"/>
  <c r="U191" i="2"/>
  <c r="U239" i="2"/>
  <c r="U232" i="2"/>
  <c r="U199" i="4"/>
  <c r="U191" i="4"/>
  <c r="U179" i="3"/>
  <c r="U161" i="2"/>
  <c r="U190" i="4"/>
  <c r="U226" i="2"/>
  <c r="AC212" i="3"/>
  <c r="P594" i="9"/>
  <c r="H594" i="9"/>
  <c r="U168" i="3"/>
  <c r="U167" i="2"/>
  <c r="U180" i="1"/>
  <c r="U173" i="1"/>
  <c r="U280" i="5"/>
  <c r="U306" i="4"/>
  <c r="U299" i="4"/>
  <c r="U204" i="3"/>
  <c r="U198" i="3"/>
  <c r="U193" i="3"/>
  <c r="U188" i="3"/>
  <c r="U185" i="2"/>
  <c r="U198" i="1"/>
  <c r="U159" i="3"/>
  <c r="U268" i="5"/>
  <c r="U291" i="5"/>
  <c r="U297" i="4"/>
  <c r="U209" i="5"/>
  <c r="U212" i="4"/>
  <c r="U131" i="3"/>
  <c r="U127" i="3"/>
  <c r="U244" i="5"/>
  <c r="U220" i="1"/>
  <c r="AC233" i="4"/>
  <c r="P556" i="9"/>
  <c r="H556" i="9"/>
  <c r="U162" i="3"/>
  <c r="U140" i="2"/>
  <c r="U140" i="1"/>
  <c r="U256" i="2"/>
  <c r="AC249" i="3"/>
  <c r="P668" i="9"/>
  <c r="K668" i="9"/>
  <c r="M668" i="9"/>
  <c r="U211" i="2"/>
  <c r="U201" i="3"/>
  <c r="U195" i="3"/>
  <c r="U165" i="4"/>
  <c r="U161" i="3"/>
  <c r="U158" i="1"/>
  <c r="U258" i="4"/>
  <c r="U272" i="5"/>
  <c r="U217" i="3"/>
  <c r="U216" i="2"/>
  <c r="U174" i="5"/>
  <c r="U224" i="1"/>
  <c r="U182" i="2"/>
  <c r="U182" i="1"/>
  <c r="U138" i="4"/>
  <c r="U124" i="3"/>
  <c r="U121" i="2"/>
  <c r="U263" i="5"/>
  <c r="AC283" i="4"/>
  <c r="P682" i="9"/>
  <c r="H682" i="9"/>
  <c r="U235" i="2"/>
  <c r="U205" i="3"/>
  <c r="U149" i="3"/>
  <c r="U139" i="5"/>
  <c r="U248" i="5"/>
  <c r="U241" i="5"/>
  <c r="U227" i="4"/>
  <c r="U200" i="5"/>
  <c r="U181" i="5"/>
  <c r="U188" i="4"/>
  <c r="U148" i="3"/>
  <c r="U155" i="2"/>
  <c r="AC119" i="2"/>
  <c r="P330" i="9"/>
  <c r="F330" i="9"/>
  <c r="U206" i="1"/>
  <c r="U187" i="5"/>
  <c r="U101" i="1"/>
  <c r="U253" i="2"/>
  <c r="U236" i="5"/>
  <c r="U239" i="1"/>
  <c r="U243" i="5"/>
  <c r="U215" i="1"/>
  <c r="AC200" i="5"/>
  <c r="P506" i="9"/>
  <c r="I506" i="9"/>
  <c r="U304" i="4"/>
  <c r="U270" i="1"/>
  <c r="U237" i="3"/>
  <c r="U244" i="1"/>
  <c r="U203" i="2"/>
  <c r="U214" i="5"/>
  <c r="U184" i="2"/>
  <c r="U149" i="1"/>
  <c r="U103" i="2"/>
  <c r="U106" i="1"/>
  <c r="U172" i="3"/>
  <c r="AC172" i="2"/>
  <c r="P463" i="9"/>
  <c r="G463" i="9"/>
  <c r="U172" i="5"/>
  <c r="U161" i="5"/>
  <c r="U148" i="2"/>
  <c r="U160" i="1"/>
  <c r="U113" i="5"/>
  <c r="U126" i="4"/>
  <c r="U256" i="5"/>
  <c r="U266" i="4"/>
  <c r="U247" i="3"/>
  <c r="U241" i="3"/>
  <c r="U206" i="3"/>
  <c r="AC197" i="1"/>
  <c r="P512" i="9"/>
  <c r="K512" i="9"/>
  <c r="M512" i="9"/>
  <c r="U198" i="5"/>
  <c r="U183" i="4"/>
  <c r="U281" i="4"/>
  <c r="U217" i="1"/>
  <c r="U224" i="4"/>
  <c r="U216" i="4"/>
  <c r="U196" i="5"/>
  <c r="AC163" i="4"/>
  <c r="P419" i="9"/>
  <c r="U136" i="5"/>
  <c r="U156" i="4"/>
  <c r="AC136" i="1"/>
  <c r="P326" i="9"/>
  <c r="F326" i="9"/>
  <c r="U112" i="5"/>
  <c r="U104" i="3"/>
  <c r="U263" i="1"/>
  <c r="U259" i="3"/>
  <c r="U255" i="3"/>
  <c r="U260" i="5"/>
  <c r="U272" i="4"/>
  <c r="U265" i="4"/>
  <c r="U215" i="4"/>
  <c r="U195" i="1"/>
  <c r="U176" i="3"/>
  <c r="U160" i="5"/>
  <c r="U181" i="4"/>
  <c r="U156" i="3"/>
  <c r="U146" i="3"/>
  <c r="U147" i="1"/>
  <c r="U276" i="4"/>
  <c r="U295" i="4"/>
  <c r="U288" i="4"/>
  <c r="U250" i="2"/>
  <c r="U251" i="4"/>
  <c r="U219" i="5"/>
  <c r="U222" i="4"/>
  <c r="U188" i="2"/>
  <c r="U170" i="2"/>
  <c r="U167" i="4"/>
  <c r="U116" i="5"/>
  <c r="U134" i="1"/>
  <c r="U121" i="5"/>
  <c r="U257" i="1"/>
  <c r="U292" i="4"/>
  <c r="U235" i="1"/>
  <c r="U216" i="1"/>
  <c r="U169" i="5"/>
  <c r="U145" i="1"/>
  <c r="U147" i="4"/>
  <c r="U140" i="3"/>
  <c r="U135" i="3"/>
  <c r="AC129" i="3"/>
  <c r="P346" i="9"/>
  <c r="F346" i="9"/>
  <c r="U301" i="4"/>
  <c r="U254" i="3"/>
  <c r="U254" i="2"/>
  <c r="AC272" i="1"/>
  <c r="P706" i="9"/>
  <c r="F706" i="9"/>
  <c r="U233" i="3"/>
  <c r="AC232" i="5"/>
  <c r="P622" i="9"/>
  <c r="J622" i="9"/>
  <c r="U226" i="1"/>
  <c r="U205" i="5"/>
  <c r="U193" i="2"/>
  <c r="U188" i="5"/>
  <c r="U204" i="4"/>
  <c r="U197" i="4"/>
  <c r="U139" i="2"/>
  <c r="U104" i="2"/>
  <c r="U114" i="1"/>
  <c r="U292" i="5"/>
  <c r="U286" i="5"/>
  <c r="U291" i="4"/>
  <c r="U259" i="1"/>
  <c r="U240" i="4"/>
  <c r="U176" i="1"/>
  <c r="U157" i="5"/>
  <c r="U162" i="4"/>
  <c r="U140" i="4"/>
  <c r="U139" i="3"/>
  <c r="U112" i="3"/>
  <c r="AC109" i="2"/>
  <c r="P274" i="9"/>
  <c r="F274" i="9"/>
  <c r="U154" i="3"/>
  <c r="U177" i="4"/>
  <c r="U294" i="5"/>
  <c r="U287" i="5"/>
  <c r="U281" i="5"/>
  <c r="U274" i="4"/>
  <c r="U231" i="5"/>
  <c r="U222" i="3"/>
  <c r="AC188" i="5"/>
  <c r="P499" i="9"/>
  <c r="I499" i="9"/>
  <c r="U183" i="5"/>
  <c r="U184" i="3"/>
  <c r="U156" i="1"/>
  <c r="U122" i="3"/>
  <c r="U128" i="2"/>
  <c r="U122" i="2"/>
  <c r="U129" i="3"/>
  <c r="U219" i="1"/>
  <c r="U222" i="5"/>
  <c r="U215" i="5"/>
  <c r="U152" i="4"/>
  <c r="U145" i="4"/>
  <c r="U102" i="3"/>
  <c r="AC95" i="4"/>
  <c r="P234" i="9"/>
  <c r="K234" i="9"/>
  <c r="M234" i="9"/>
  <c r="U108" i="4"/>
  <c r="U213" i="1"/>
  <c r="U220" i="5"/>
  <c r="U193" i="5"/>
  <c r="U159" i="5"/>
  <c r="U106" i="3"/>
  <c r="U81" i="1"/>
  <c r="AC224" i="1"/>
  <c r="P578" i="9"/>
  <c r="H578" i="9"/>
  <c r="U163" i="5"/>
  <c r="U137" i="5"/>
  <c r="U158" i="4"/>
  <c r="U151" i="4"/>
  <c r="U247" i="2"/>
  <c r="U270" i="5"/>
  <c r="U259" i="5"/>
  <c r="U203" i="3"/>
  <c r="U197" i="3"/>
  <c r="U192" i="3"/>
  <c r="U163" i="2"/>
  <c r="U171" i="1"/>
  <c r="U179" i="4"/>
  <c r="AC145" i="3"/>
  <c r="P404" i="9"/>
  <c r="U107" i="1"/>
  <c r="U83" i="3"/>
  <c r="U85" i="1"/>
  <c r="AC229" i="5"/>
  <c r="P620" i="9"/>
  <c r="F620" i="9"/>
  <c r="U229" i="5"/>
  <c r="U255" i="5"/>
  <c r="U250" i="3"/>
  <c r="U254" i="4"/>
  <c r="U187" i="2"/>
  <c r="U228" i="1"/>
  <c r="U204" i="1"/>
  <c r="U197" i="1"/>
  <c r="U175" i="1"/>
  <c r="AC149" i="3"/>
  <c r="P407" i="9"/>
  <c r="U145" i="3"/>
  <c r="U151" i="2"/>
  <c r="U151" i="1"/>
  <c r="AC145" i="1"/>
  <c r="P381" i="9"/>
  <c r="G381" i="9"/>
  <c r="U112" i="1"/>
  <c r="U87" i="3"/>
  <c r="U308" i="4"/>
  <c r="U251" i="2"/>
  <c r="U233" i="1"/>
  <c r="U229" i="4"/>
  <c r="AC191" i="1"/>
  <c r="P508" i="9"/>
  <c r="K508" i="9"/>
  <c r="M508" i="9"/>
  <c r="AC187" i="4"/>
  <c r="P481" i="9"/>
  <c r="F481" i="9"/>
  <c r="U187" i="4"/>
  <c r="AC118" i="5"/>
  <c r="P311" i="9"/>
  <c r="U118" i="5"/>
  <c r="AC96" i="3"/>
  <c r="P228" i="9"/>
  <c r="U96" i="3"/>
  <c r="U247" i="4"/>
  <c r="U126" i="3"/>
  <c r="U279" i="4"/>
  <c r="U270" i="3"/>
  <c r="U228" i="3"/>
  <c r="U223" i="3"/>
  <c r="U218" i="2"/>
  <c r="AC191" i="4"/>
  <c r="P484" i="9"/>
  <c r="I484" i="9"/>
  <c r="U171" i="3"/>
  <c r="AC177" i="4"/>
  <c r="P427" i="9"/>
  <c r="U110" i="1"/>
  <c r="U250" i="1"/>
  <c r="AC208" i="4"/>
  <c r="P493" i="9"/>
  <c r="G493" i="9"/>
  <c r="AC88" i="1"/>
  <c r="P198" i="9"/>
  <c r="U265" i="5"/>
  <c r="U195" i="5"/>
  <c r="AC182" i="3"/>
  <c r="P478" i="9"/>
  <c r="AC147" i="4"/>
  <c r="P361" i="9"/>
  <c r="J361" i="9"/>
  <c r="U129" i="1"/>
  <c r="U120" i="4"/>
  <c r="U216" i="3"/>
  <c r="AC209" i="5"/>
  <c r="P560" i="9"/>
  <c r="G560" i="9"/>
  <c r="U202" i="1"/>
  <c r="AC204" i="4"/>
  <c r="P491" i="9"/>
  <c r="F491" i="9"/>
  <c r="U154" i="1"/>
  <c r="AC286" i="5"/>
  <c r="P752" i="9"/>
  <c r="I752" i="9"/>
  <c r="U233" i="2"/>
  <c r="AC241" i="1"/>
  <c r="P638" i="9"/>
  <c r="F638" i="9"/>
  <c r="U237" i="1"/>
  <c r="AC211" i="2"/>
  <c r="P587" i="9"/>
  <c r="F587" i="9"/>
  <c r="U181" i="2"/>
  <c r="U170" i="4"/>
  <c r="AC116" i="5"/>
  <c r="P310" i="9"/>
  <c r="F310" i="9"/>
  <c r="AC88" i="4"/>
  <c r="P230" i="9"/>
  <c r="AC291" i="4"/>
  <c r="P736" i="9"/>
  <c r="F736" i="9"/>
  <c r="AC255" i="1"/>
  <c r="P696" i="9"/>
  <c r="I696" i="9"/>
  <c r="AC263" i="5"/>
  <c r="P690" i="9"/>
  <c r="J690" i="9"/>
  <c r="AC252" i="4"/>
  <c r="P616" i="9"/>
  <c r="G616" i="9"/>
  <c r="AC245" i="4"/>
  <c r="P612" i="9"/>
  <c r="F612" i="9"/>
  <c r="AC216" i="2"/>
  <c r="P590" i="9"/>
  <c r="G590" i="9"/>
  <c r="AC208" i="5"/>
  <c r="P559" i="9"/>
  <c r="I559" i="9"/>
  <c r="U195" i="4"/>
  <c r="U149" i="2"/>
  <c r="U147" i="5"/>
  <c r="AC110" i="1"/>
  <c r="P261" i="9"/>
  <c r="F261" i="9"/>
  <c r="U92" i="4"/>
  <c r="U272" i="3"/>
  <c r="U244" i="2"/>
  <c r="U202" i="4"/>
  <c r="U260" i="2"/>
  <c r="AC244" i="3"/>
  <c r="P664" i="9"/>
  <c r="K664" i="9"/>
  <c r="M664" i="9"/>
  <c r="U223" i="2"/>
  <c r="U220" i="4"/>
  <c r="U183" i="3"/>
  <c r="AC115" i="4"/>
  <c r="P294" i="9"/>
  <c r="F294" i="9"/>
  <c r="AC109" i="3"/>
  <c r="P284" i="9"/>
  <c r="J284" i="9"/>
  <c r="U267" i="3"/>
  <c r="AC266" i="1"/>
  <c r="P703" i="9"/>
  <c r="G703" i="9"/>
  <c r="U238" i="5"/>
  <c r="AC117" i="3"/>
  <c r="P290" i="9"/>
  <c r="U117" i="3"/>
  <c r="U134" i="2"/>
  <c r="U127" i="2"/>
  <c r="AC65" i="1"/>
  <c r="P134" i="9"/>
  <c r="AC157" i="3"/>
  <c r="P413" i="9"/>
  <c r="U157" i="3"/>
  <c r="AC136" i="5"/>
  <c r="P370" i="9"/>
  <c r="U149" i="4"/>
  <c r="U142" i="4"/>
  <c r="AC61" i="3"/>
  <c r="P155" i="9"/>
  <c r="U61" i="3"/>
  <c r="U56" i="2"/>
  <c r="AC175" i="3"/>
  <c r="P473" i="9"/>
  <c r="F473" i="9"/>
  <c r="U175" i="3"/>
  <c r="U76" i="2"/>
  <c r="U62" i="4"/>
  <c r="AC122" i="2"/>
  <c r="P332" i="9"/>
  <c r="U205" i="2"/>
  <c r="U200" i="1"/>
  <c r="U258" i="3"/>
  <c r="AC233" i="5"/>
  <c r="P623" i="9"/>
  <c r="U233" i="5"/>
  <c r="U211" i="3"/>
  <c r="AC211" i="1"/>
  <c r="P570" i="9"/>
  <c r="F570" i="9"/>
  <c r="U211" i="1"/>
  <c r="U80" i="2"/>
  <c r="U212" i="3"/>
  <c r="U242" i="4"/>
  <c r="U74" i="3"/>
  <c r="U289" i="5"/>
  <c r="U249" i="4"/>
  <c r="AC171" i="5"/>
  <c r="P440" i="9"/>
  <c r="F440" i="9"/>
  <c r="U164" i="5"/>
  <c r="AC247" i="2"/>
  <c r="P709" i="9"/>
  <c r="I709" i="9"/>
  <c r="AC179" i="4"/>
  <c r="P428" i="9"/>
  <c r="AC174" i="2"/>
  <c r="P464" i="9"/>
  <c r="AC176" i="1"/>
  <c r="P450" i="9"/>
  <c r="U150" i="3"/>
  <c r="AC140" i="4"/>
  <c r="P357" i="9"/>
  <c r="G357" i="9"/>
  <c r="AC113" i="4"/>
  <c r="P293" i="9"/>
  <c r="G293" i="9"/>
  <c r="U257" i="5"/>
  <c r="AC105" i="3"/>
  <c r="P281" i="9"/>
  <c r="AC247" i="3"/>
  <c r="P666" i="9"/>
  <c r="K666" i="9"/>
  <c r="M666" i="9"/>
  <c r="U209" i="2"/>
  <c r="AC216" i="1"/>
  <c r="P573" i="9"/>
  <c r="AC112" i="3"/>
  <c r="P286" i="9"/>
  <c r="AC80" i="3"/>
  <c r="P216" i="9"/>
  <c r="AC292" i="4"/>
  <c r="P737" i="9"/>
  <c r="AC241" i="3"/>
  <c r="P662" i="9"/>
  <c r="U242" i="1"/>
  <c r="U238" i="1"/>
  <c r="U214" i="2"/>
  <c r="AC153" i="2"/>
  <c r="P401" i="9"/>
  <c r="AC139" i="5"/>
  <c r="P372" i="9"/>
  <c r="J372" i="9"/>
  <c r="AC77" i="4"/>
  <c r="P175" i="9"/>
  <c r="AC292" i="5"/>
  <c r="P756" i="9"/>
  <c r="F756" i="9"/>
  <c r="AC259" i="3"/>
  <c r="P722" i="9"/>
  <c r="AC257" i="1"/>
  <c r="P697" i="9"/>
  <c r="K697" i="9"/>
  <c r="M697" i="9"/>
  <c r="AC255" i="5"/>
  <c r="P684" i="9"/>
  <c r="AC248" i="5"/>
  <c r="P632" i="9"/>
  <c r="F632" i="9"/>
  <c r="U210" i="3"/>
  <c r="AC231" i="4"/>
  <c r="P555" i="9"/>
  <c r="AC204" i="3"/>
  <c r="P541" i="9"/>
  <c r="G541" i="9"/>
  <c r="AC198" i="1"/>
  <c r="P513" i="9"/>
  <c r="K513" i="9"/>
  <c r="M513" i="9"/>
  <c r="U117" i="4"/>
  <c r="U83" i="4"/>
  <c r="AC76" i="4"/>
  <c r="P174" i="9"/>
  <c r="H174" i="9"/>
  <c r="U232" i="3"/>
  <c r="U239" i="5"/>
  <c r="AC215" i="1"/>
  <c r="P572" i="9"/>
  <c r="G572" i="9"/>
  <c r="AC154" i="3"/>
  <c r="P411" i="9"/>
  <c r="AC132" i="2"/>
  <c r="P338" i="9"/>
  <c r="AC113" i="2"/>
  <c r="P276" i="9"/>
  <c r="AC103" i="2"/>
  <c r="P270" i="9"/>
  <c r="U296" i="5"/>
  <c r="U253" i="5"/>
  <c r="U277" i="4"/>
  <c r="U270" i="4"/>
  <c r="AC246" i="5"/>
  <c r="P631" i="9"/>
  <c r="AC227" i="3"/>
  <c r="P605" i="9"/>
  <c r="G605" i="9"/>
  <c r="AC178" i="1"/>
  <c r="P451" i="9"/>
  <c r="AC151" i="1"/>
  <c r="P385" i="9"/>
  <c r="AC126" i="5"/>
  <c r="P316" i="9"/>
  <c r="AC83" i="1"/>
  <c r="P194" i="9"/>
  <c r="AC66" i="3"/>
  <c r="P159" i="9"/>
  <c r="AC264" i="1"/>
  <c r="P702" i="9"/>
  <c r="AC223" i="3"/>
  <c r="P602" i="9"/>
  <c r="F602" i="9"/>
  <c r="AC211" i="3"/>
  <c r="P593" i="9"/>
  <c r="AC190" i="5"/>
  <c r="P500" i="9"/>
  <c r="J500" i="9"/>
  <c r="AC126" i="4"/>
  <c r="P300" i="9"/>
  <c r="AC76" i="2"/>
  <c r="P203" i="9"/>
  <c r="U256" i="3"/>
  <c r="AC217" i="3"/>
  <c r="P598" i="9"/>
  <c r="F598" i="9"/>
  <c r="AC222" i="5"/>
  <c r="P568" i="9"/>
  <c r="AC215" i="5"/>
  <c r="P564" i="9"/>
  <c r="AC203" i="3"/>
  <c r="P540" i="9"/>
  <c r="U206" i="4"/>
  <c r="AC163" i="2"/>
  <c r="P457" i="9"/>
  <c r="AC131" i="3"/>
  <c r="P347" i="9"/>
  <c r="AC127" i="2"/>
  <c r="P335" i="9"/>
  <c r="U124" i="4"/>
  <c r="U107" i="3"/>
  <c r="AC97" i="2"/>
  <c r="P266" i="9"/>
  <c r="AC109" i="1"/>
  <c r="P260" i="9"/>
  <c r="U87" i="1"/>
  <c r="AC114" i="1"/>
  <c r="P263" i="9"/>
  <c r="AC88" i="2"/>
  <c r="P211" i="9"/>
  <c r="U264" i="3"/>
  <c r="U260" i="3"/>
  <c r="AC248" i="1"/>
  <c r="P642" i="9"/>
  <c r="G642" i="9"/>
  <c r="AC233" i="1"/>
  <c r="P633" i="9"/>
  <c r="K633" i="9"/>
  <c r="M633" i="9"/>
  <c r="AC218" i="2"/>
  <c r="P591" i="9"/>
  <c r="F591" i="9"/>
  <c r="AC208" i="2"/>
  <c r="P585" i="9"/>
  <c r="F585" i="9"/>
  <c r="AC193" i="2"/>
  <c r="P526" i="9"/>
  <c r="U194" i="1"/>
  <c r="AC167" i="3"/>
  <c r="P467" i="9"/>
  <c r="AC171" i="1"/>
  <c r="P446" i="9"/>
  <c r="AC148" i="5"/>
  <c r="P378" i="9"/>
  <c r="AC135" i="5"/>
  <c r="P369" i="9"/>
  <c r="AC135" i="3"/>
  <c r="P350" i="9"/>
  <c r="AC128" i="5"/>
  <c r="P317" i="9"/>
  <c r="AC112" i="4"/>
  <c r="P292" i="9"/>
  <c r="U102" i="5"/>
  <c r="AC101" i="4"/>
  <c r="P237" i="9"/>
  <c r="F237" i="9"/>
  <c r="AC68" i="1"/>
  <c r="P136" i="9"/>
  <c r="U290" i="4"/>
  <c r="AC236" i="3"/>
  <c r="P658" i="9"/>
  <c r="G658" i="9"/>
  <c r="AC247" i="4"/>
  <c r="P613" i="9"/>
  <c r="I613" i="9"/>
  <c r="AC206" i="2"/>
  <c r="P584" i="9"/>
  <c r="I584" i="9"/>
  <c r="AC204" i="1"/>
  <c r="P516" i="9"/>
  <c r="G516" i="9"/>
  <c r="AC161" i="2"/>
  <c r="P456" i="9"/>
  <c r="K456" i="9"/>
  <c r="M456" i="9"/>
  <c r="AC174" i="4"/>
  <c r="P425" i="9"/>
  <c r="AC161" i="3"/>
  <c r="P416" i="9"/>
  <c r="U128" i="1"/>
  <c r="U122" i="4"/>
  <c r="U116" i="4"/>
  <c r="U115" i="3"/>
  <c r="AC73" i="3"/>
  <c r="P164" i="9"/>
  <c r="AC66" i="1"/>
  <c r="P135" i="9"/>
  <c r="AC238" i="3"/>
  <c r="P660" i="9"/>
  <c r="K660" i="9"/>
  <c r="M660" i="9"/>
  <c r="AC226" i="4"/>
  <c r="P552" i="9"/>
  <c r="I552" i="9"/>
  <c r="AC205" i="3"/>
  <c r="P542" i="9"/>
  <c r="AC110" i="3"/>
  <c r="P285" i="9"/>
  <c r="AC81" i="1"/>
  <c r="P193" i="9"/>
  <c r="AC65" i="2"/>
  <c r="P147" i="9"/>
  <c r="AC205" i="5"/>
  <c r="P557" i="9"/>
  <c r="I557" i="9"/>
  <c r="AC191" i="2"/>
  <c r="P525" i="9"/>
  <c r="AC199" i="4"/>
  <c r="P488" i="9"/>
  <c r="AC183" i="4"/>
  <c r="P430" i="9"/>
  <c r="AC147" i="5"/>
  <c r="P377" i="9"/>
  <c r="AC120" i="4"/>
  <c r="P297" i="9"/>
  <c r="AC71" i="2"/>
  <c r="P150" i="9"/>
  <c r="AC281" i="5"/>
  <c r="P749" i="9"/>
  <c r="J749" i="9"/>
  <c r="AC260" i="1"/>
  <c r="P699" i="9"/>
  <c r="AC262" i="4"/>
  <c r="P670" i="9"/>
  <c r="F670" i="9"/>
  <c r="U224" i="5"/>
  <c r="AC200" i="3"/>
  <c r="P538" i="9"/>
  <c r="U197" i="2"/>
  <c r="AC180" i="1"/>
  <c r="P452" i="9"/>
  <c r="AC139" i="2"/>
  <c r="P392" i="9"/>
  <c r="AC95" i="5"/>
  <c r="P249" i="9"/>
  <c r="AC235" i="5"/>
  <c r="P624" i="9"/>
  <c r="U235" i="5"/>
  <c r="AC105" i="1"/>
  <c r="P257" i="9"/>
  <c r="U105" i="1"/>
  <c r="U283" i="4"/>
  <c r="AC129" i="4"/>
  <c r="P302" i="9"/>
  <c r="U129" i="4"/>
  <c r="AC111" i="2"/>
  <c r="P275" i="9"/>
  <c r="U111" i="2"/>
  <c r="AC70" i="4"/>
  <c r="P171" i="9"/>
  <c r="U70" i="4"/>
  <c r="U59" i="2"/>
  <c r="U64" i="5"/>
  <c r="U249" i="3"/>
  <c r="AC287" i="4"/>
  <c r="P733" i="9"/>
  <c r="U287" i="4"/>
  <c r="AC64" i="2"/>
  <c r="P146" i="9"/>
  <c r="U64" i="2"/>
  <c r="U245" i="3"/>
  <c r="AC232" i="3"/>
  <c r="P655" i="9"/>
  <c r="U227" i="3"/>
  <c r="U101" i="2"/>
  <c r="AC261" i="3"/>
  <c r="P724" i="9"/>
  <c r="U261" i="3"/>
  <c r="U106" i="2"/>
  <c r="AC79" i="3"/>
  <c r="P215" i="9"/>
  <c r="U79" i="3"/>
  <c r="AC239" i="3"/>
  <c r="P661" i="9"/>
  <c r="U239" i="3"/>
  <c r="AC191" i="5"/>
  <c r="P501" i="9"/>
  <c r="U191" i="5"/>
  <c r="AC100" i="3"/>
  <c r="P277" i="9"/>
  <c r="U100" i="3"/>
  <c r="AC246" i="1"/>
  <c r="P641" i="9"/>
  <c r="U246" i="1"/>
  <c r="U95" i="4"/>
  <c r="AC296" i="5"/>
  <c r="P758" i="9"/>
  <c r="G758" i="9"/>
  <c r="AC182" i="2"/>
  <c r="P519" i="9"/>
  <c r="AC134" i="3"/>
  <c r="P349" i="9"/>
  <c r="U134" i="3"/>
  <c r="U208" i="5"/>
  <c r="AC210" i="3"/>
  <c r="P592" i="9"/>
  <c r="AC289" i="5"/>
  <c r="P754" i="9"/>
  <c r="AC277" i="4"/>
  <c r="P679" i="9"/>
  <c r="AC220" i="4"/>
  <c r="P549" i="9"/>
  <c r="AC98" i="2"/>
  <c r="P267" i="9"/>
  <c r="AC297" i="4"/>
  <c r="P739" i="9"/>
  <c r="AC290" i="4"/>
  <c r="P735" i="9"/>
  <c r="AC265" i="5"/>
  <c r="P691" i="9"/>
  <c r="AC214" i="3"/>
  <c r="P595" i="9"/>
  <c r="AC239" i="5"/>
  <c r="P627" i="9"/>
  <c r="AC231" i="5"/>
  <c r="P621" i="9"/>
  <c r="AC127" i="4"/>
  <c r="P301" i="9"/>
  <c r="AC223" i="2"/>
  <c r="P644" i="9"/>
  <c r="AC244" i="5"/>
  <c r="P630" i="9"/>
  <c r="AC237" i="4"/>
  <c r="P607" i="9"/>
  <c r="AC181" i="3"/>
  <c r="P477" i="9"/>
  <c r="AC142" i="2"/>
  <c r="P394" i="9"/>
  <c r="AC254" i="2"/>
  <c r="P714" i="9"/>
  <c r="AC250" i="2"/>
  <c r="P711" i="9"/>
  <c r="AC206" i="3"/>
  <c r="P543" i="9"/>
  <c r="AC197" i="4"/>
  <c r="P487" i="9"/>
  <c r="AC173" i="3"/>
  <c r="P472" i="9"/>
  <c r="AC172" i="4"/>
  <c r="P424" i="9"/>
  <c r="AC124" i="4"/>
  <c r="P299" i="9"/>
  <c r="AC280" i="5"/>
  <c r="P748" i="9"/>
  <c r="AC237" i="2"/>
  <c r="P653" i="9"/>
  <c r="AC232" i="2"/>
  <c r="P650" i="9"/>
  <c r="AC226" i="3"/>
  <c r="P604" i="9"/>
  <c r="AC165" i="4"/>
  <c r="P420" i="9"/>
  <c r="AC150" i="3"/>
  <c r="P408" i="9"/>
  <c r="AC71" i="5"/>
  <c r="P186" i="9"/>
  <c r="AC306" i="4"/>
  <c r="P744" i="9"/>
  <c r="AC241" i="4"/>
  <c r="P610" i="9"/>
  <c r="AC197" i="2"/>
  <c r="P528" i="9"/>
  <c r="AC195" i="5"/>
  <c r="P503" i="9"/>
  <c r="AC145" i="2"/>
  <c r="P396" i="9"/>
  <c r="AC304" i="4"/>
  <c r="P743" i="9"/>
  <c r="AC198" i="3"/>
  <c r="P537" i="9"/>
  <c r="AC170" i="3"/>
  <c r="P469" i="9"/>
  <c r="AC193" i="3"/>
  <c r="P533" i="9"/>
  <c r="AC85" i="5"/>
  <c r="P242" i="9"/>
  <c r="AC267" i="3"/>
  <c r="P728" i="9"/>
  <c r="AC263" i="1"/>
  <c r="P701" i="9"/>
  <c r="AC236" i="5"/>
  <c r="P625" i="9"/>
  <c r="AC181" i="4"/>
  <c r="P429" i="9"/>
  <c r="AC166" i="4"/>
  <c r="P421" i="9"/>
  <c r="AC97" i="5"/>
  <c r="P250" i="9"/>
  <c r="AC272" i="4"/>
  <c r="P676" i="9"/>
  <c r="AC206" i="1"/>
  <c r="P517" i="9"/>
  <c r="AC189" i="1"/>
  <c r="P507" i="9"/>
  <c r="AC169" i="5"/>
  <c r="P439" i="9"/>
  <c r="AC133" i="5"/>
  <c r="P368" i="9"/>
  <c r="AC102" i="5"/>
  <c r="P253" i="9"/>
  <c r="AC83" i="4"/>
  <c r="P178" i="9"/>
  <c r="AC294" i="5"/>
  <c r="P757" i="9"/>
  <c r="AC260" i="5"/>
  <c r="P688" i="9"/>
  <c r="AC250" i="1"/>
  <c r="P643" i="9"/>
  <c r="AC244" i="1"/>
  <c r="P640" i="9"/>
  <c r="AC216" i="3"/>
  <c r="P597" i="9"/>
  <c r="AC217" i="1"/>
  <c r="P574" i="9"/>
  <c r="AC212" i="5"/>
  <c r="P562" i="9"/>
  <c r="AC201" i="3"/>
  <c r="P539" i="9"/>
  <c r="AC195" i="4"/>
  <c r="P486" i="9"/>
  <c r="AC172" i="5"/>
  <c r="P441" i="9"/>
  <c r="AC156" i="3"/>
  <c r="P412" i="9"/>
  <c r="AC89" i="5"/>
  <c r="P245" i="9"/>
  <c r="AC82" i="2"/>
  <c r="P207" i="9"/>
  <c r="AC235" i="1"/>
  <c r="P634" i="9"/>
  <c r="AC94" i="5"/>
  <c r="P248" i="9"/>
  <c r="AC108" i="4"/>
  <c r="P241" i="9"/>
  <c r="AC90" i="3"/>
  <c r="P223" i="9"/>
  <c r="AC72" i="1"/>
  <c r="P138" i="9"/>
  <c r="AC271" i="3"/>
  <c r="P731" i="9"/>
  <c r="AC264" i="3"/>
  <c r="P726" i="9"/>
  <c r="AC268" i="5"/>
  <c r="P693" i="9"/>
  <c r="AC281" i="4"/>
  <c r="P681" i="9"/>
  <c r="AC203" i="2"/>
  <c r="P582" i="9"/>
  <c r="AC222" i="1"/>
  <c r="P577" i="9"/>
  <c r="AC153" i="3"/>
  <c r="P410" i="9"/>
  <c r="AC143" i="5"/>
  <c r="P375" i="9"/>
  <c r="AC86" i="2"/>
  <c r="P210" i="9"/>
  <c r="AC269" i="3"/>
  <c r="P729" i="9"/>
  <c r="AC268" i="1"/>
  <c r="P704" i="9"/>
  <c r="AC267" i="5"/>
  <c r="P692" i="9"/>
  <c r="AC217" i="5"/>
  <c r="P565" i="9"/>
  <c r="AC195" i="1"/>
  <c r="P511" i="9"/>
  <c r="AC184" i="1"/>
  <c r="P454" i="9"/>
  <c r="AC151" i="2"/>
  <c r="P400" i="9"/>
  <c r="AC158" i="1"/>
  <c r="P389" i="9"/>
  <c r="AC152" i="5"/>
  <c r="P380" i="9"/>
  <c r="AC123" i="3"/>
  <c r="P341" i="9"/>
  <c r="AC112" i="5"/>
  <c r="P307" i="9"/>
  <c r="AC118" i="1"/>
  <c r="P265" i="9"/>
  <c r="AC284" i="5"/>
  <c r="P751" i="9"/>
  <c r="AC258" i="2"/>
  <c r="P716" i="9"/>
  <c r="AC267" i="4"/>
  <c r="P674" i="9"/>
  <c r="AC237" i="1"/>
  <c r="P635" i="9"/>
  <c r="AC238" i="4"/>
  <c r="P608" i="9"/>
  <c r="AC228" i="1"/>
  <c r="P580" i="9"/>
  <c r="AC227" i="4"/>
  <c r="P553" i="9"/>
  <c r="AC216" i="4"/>
  <c r="P547" i="9"/>
  <c r="AC213" i="4"/>
  <c r="P545" i="9"/>
  <c r="AC194" i="3"/>
  <c r="P534" i="9"/>
  <c r="AC193" i="1"/>
  <c r="P509" i="9"/>
  <c r="AC184" i="5"/>
  <c r="P496" i="9"/>
  <c r="AC171" i="3"/>
  <c r="P470" i="9"/>
  <c r="AC140" i="5"/>
  <c r="P373" i="9"/>
  <c r="AC121" i="2"/>
  <c r="P331" i="9"/>
  <c r="AC99" i="5"/>
  <c r="P251" i="9"/>
  <c r="AC251" i="2"/>
  <c r="P712" i="9"/>
  <c r="AC279" i="4"/>
  <c r="P680" i="9"/>
  <c r="AC276" i="4"/>
  <c r="P678" i="9"/>
  <c r="AC195" i="3"/>
  <c r="P535" i="9"/>
  <c r="AC195" i="2"/>
  <c r="P527" i="9"/>
  <c r="AC190" i="2"/>
  <c r="P524" i="9"/>
  <c r="AC198" i="5"/>
  <c r="P505" i="9"/>
  <c r="AC206" i="4"/>
  <c r="P492" i="9"/>
  <c r="AC184" i="3"/>
  <c r="P480" i="9"/>
  <c r="AC176" i="3"/>
  <c r="P474" i="9"/>
  <c r="AC160" i="3"/>
  <c r="P415" i="9"/>
  <c r="AC140" i="2"/>
  <c r="P393" i="9"/>
  <c r="AC151" i="4"/>
  <c r="P363" i="9"/>
  <c r="AC137" i="4"/>
  <c r="P355" i="9"/>
  <c r="AC122" i="4"/>
  <c r="P298" i="9"/>
  <c r="AC90" i="2"/>
  <c r="P212" i="9"/>
  <c r="AC62" i="3"/>
  <c r="P156" i="9"/>
  <c r="AC215" i="4"/>
  <c r="P546" i="9"/>
  <c r="AC194" i="1"/>
  <c r="P510" i="9"/>
  <c r="AC201" i="4"/>
  <c r="P489" i="9"/>
  <c r="AC176" i="2"/>
  <c r="P465" i="9"/>
  <c r="AC170" i="2"/>
  <c r="P462" i="9"/>
  <c r="AC166" i="2"/>
  <c r="P459" i="9"/>
  <c r="AC131" i="4"/>
  <c r="P303" i="9"/>
  <c r="AC106" i="1"/>
  <c r="P258" i="9"/>
  <c r="AC100" i="5"/>
  <c r="P252" i="9"/>
  <c r="AC59" i="2"/>
  <c r="P143" i="9"/>
  <c r="AC261" i="1"/>
  <c r="P700" i="9"/>
  <c r="AC224" i="4"/>
  <c r="P551" i="9"/>
  <c r="AC188" i="2"/>
  <c r="P523" i="9"/>
  <c r="AC179" i="3"/>
  <c r="P476" i="9"/>
  <c r="AC167" i="1"/>
  <c r="P444" i="9"/>
  <c r="AC160" i="1"/>
  <c r="P390" i="9"/>
  <c r="AC118" i="2"/>
  <c r="P329" i="9"/>
  <c r="AC102" i="3"/>
  <c r="P279" i="9"/>
  <c r="AC272" i="3"/>
  <c r="P732" i="9"/>
  <c r="AC255" i="3"/>
  <c r="P719" i="9"/>
  <c r="AC260" i="2"/>
  <c r="P717" i="9"/>
  <c r="AC256" i="5"/>
  <c r="P685" i="9"/>
  <c r="AC248" i="3"/>
  <c r="P667" i="9"/>
  <c r="AC243" i="5"/>
  <c r="P629" i="9"/>
  <c r="AC238" i="5"/>
  <c r="P626" i="9"/>
  <c r="AC188" i="3"/>
  <c r="P529" i="9"/>
  <c r="AC168" i="3"/>
  <c r="P468" i="9"/>
  <c r="AC154" i="1"/>
  <c r="P387" i="9"/>
  <c r="AC113" i="5"/>
  <c r="P308" i="9"/>
  <c r="AC106" i="4"/>
  <c r="P240" i="9"/>
  <c r="AC259" i="5"/>
  <c r="P687" i="9"/>
  <c r="AC265" i="4"/>
  <c r="P672" i="9"/>
  <c r="AC239" i="2"/>
  <c r="P654" i="9"/>
  <c r="AC230" i="2"/>
  <c r="P649" i="9"/>
  <c r="AC228" i="3"/>
  <c r="P606" i="9"/>
  <c r="AC202" i="1"/>
  <c r="P515" i="9"/>
  <c r="AC196" i="5"/>
  <c r="P504" i="9"/>
  <c r="AC192" i="4"/>
  <c r="P485" i="9"/>
  <c r="AC144" i="3"/>
  <c r="P403" i="9"/>
  <c r="AC100" i="2"/>
  <c r="P268" i="9"/>
  <c r="AC90" i="4"/>
  <c r="P231" i="9"/>
  <c r="AC87" i="4"/>
  <c r="P229" i="9"/>
  <c r="AC56" i="3"/>
  <c r="P151" i="9"/>
  <c r="AC159" i="5"/>
  <c r="P432" i="9"/>
  <c r="AC128" i="2"/>
  <c r="P336" i="9"/>
  <c r="AC90" i="1"/>
  <c r="P199" i="9"/>
  <c r="AC71" i="3"/>
  <c r="P162" i="9"/>
  <c r="AC148" i="3"/>
  <c r="P406" i="9"/>
  <c r="AC123" i="1"/>
  <c r="P318" i="9"/>
  <c r="AC91" i="3"/>
  <c r="P224" i="9"/>
  <c r="AC84" i="3"/>
  <c r="P219" i="9"/>
  <c r="AC61" i="2"/>
  <c r="P144" i="9"/>
  <c r="AC92" i="4"/>
  <c r="P233" i="9"/>
  <c r="AC77" i="2"/>
  <c r="P204" i="9"/>
  <c r="AC80" i="5"/>
  <c r="P191" i="9"/>
  <c r="AC202" i="4"/>
  <c r="P490" i="9"/>
  <c r="AC182" i="1"/>
  <c r="P453" i="9"/>
  <c r="AC173" i="1"/>
  <c r="P448" i="9"/>
  <c r="AC164" i="5"/>
  <c r="P436" i="9"/>
  <c r="AC160" i="5"/>
  <c r="P433" i="9"/>
  <c r="AC150" i="5"/>
  <c r="P379" i="9"/>
  <c r="AC124" i="3"/>
  <c r="P342" i="9"/>
  <c r="AC122" i="3"/>
  <c r="P340" i="9"/>
  <c r="AC129" i="1"/>
  <c r="P322" i="9"/>
  <c r="AC115" i="5"/>
  <c r="P309" i="9"/>
  <c r="AC115" i="3"/>
  <c r="P288" i="9"/>
  <c r="AC101" i="2"/>
  <c r="P269" i="9"/>
  <c r="AC84" i="1"/>
  <c r="P195" i="9"/>
  <c r="AC55" i="2"/>
  <c r="P140" i="9"/>
  <c r="AC213" i="1"/>
  <c r="P571" i="9"/>
  <c r="AC185" i="5"/>
  <c r="P497" i="9"/>
  <c r="AC124" i="2"/>
  <c r="P333" i="9"/>
  <c r="AC104" i="5"/>
  <c r="P254" i="9"/>
  <c r="AC88" i="3"/>
  <c r="P222" i="9"/>
  <c r="AC65" i="5"/>
  <c r="P182" i="9"/>
  <c r="AC66" i="4"/>
  <c r="P169" i="9"/>
  <c r="AC58" i="2"/>
  <c r="P142" i="9"/>
  <c r="AC74" i="1"/>
  <c r="P139" i="9"/>
  <c r="AC178" i="3"/>
  <c r="P475" i="9"/>
  <c r="AC169" i="1"/>
  <c r="P445" i="9"/>
  <c r="AC155" i="2"/>
  <c r="P402" i="9"/>
  <c r="AC146" i="2"/>
  <c r="P397" i="9"/>
  <c r="AC156" i="1"/>
  <c r="P388" i="9"/>
  <c r="AC142" i="4"/>
  <c r="P359" i="9"/>
  <c r="AC128" i="1"/>
  <c r="P321" i="9"/>
  <c r="AC106" i="3"/>
  <c r="P282" i="9"/>
  <c r="AC107" i="2"/>
  <c r="P273" i="9"/>
  <c r="AC104" i="2"/>
  <c r="P271" i="9"/>
  <c r="AC93" i="3"/>
  <c r="P225" i="9"/>
  <c r="AC78" i="3"/>
  <c r="P214" i="9"/>
  <c r="AC61" i="1"/>
  <c r="P131" i="9"/>
  <c r="AC185" i="2"/>
  <c r="P521" i="9"/>
  <c r="AC172" i="3"/>
  <c r="P471" i="9"/>
  <c r="AC172" i="1"/>
  <c r="P447" i="9"/>
  <c r="AC167" i="5"/>
  <c r="P438" i="9"/>
  <c r="AC158" i="4"/>
  <c r="P367" i="9"/>
  <c r="AC111" i="5"/>
  <c r="P306" i="9"/>
  <c r="AC133" i="4"/>
  <c r="P304" i="9"/>
  <c r="AC83" i="2"/>
  <c r="P208" i="9"/>
  <c r="AC79" i="4"/>
  <c r="P176" i="9"/>
  <c r="AC302" i="4"/>
  <c r="P742" i="9"/>
  <c r="AC288" i="4"/>
  <c r="P734" i="9"/>
  <c r="AC254" i="3"/>
  <c r="P718" i="9"/>
  <c r="AC256" i="2"/>
  <c r="P715" i="9"/>
  <c r="AC248" i="2"/>
  <c r="P710" i="9"/>
  <c r="AC262" i="5"/>
  <c r="P689" i="9"/>
  <c r="AC257" i="5"/>
  <c r="P686" i="9"/>
  <c r="AC283" i="5"/>
  <c r="P750" i="9"/>
  <c r="AC227" i="2"/>
  <c r="P647" i="9"/>
  <c r="AC192" i="3"/>
  <c r="P532" i="9"/>
  <c r="AC279" i="5"/>
  <c r="P747" i="9"/>
  <c r="AC235" i="2"/>
  <c r="P652" i="9"/>
  <c r="AC287" i="5"/>
  <c r="P753" i="9"/>
  <c r="AC270" i="4"/>
  <c r="P675" i="9"/>
  <c r="AC219" i="3"/>
  <c r="P599" i="9"/>
  <c r="AC277" i="5"/>
  <c r="P746" i="9"/>
  <c r="AC295" i="4"/>
  <c r="P738" i="9"/>
  <c r="AC256" i="3"/>
  <c r="P720" i="9"/>
  <c r="AC245" i="2"/>
  <c r="P708" i="9"/>
  <c r="AC242" i="1"/>
  <c r="P639" i="9"/>
  <c r="AC209" i="2"/>
  <c r="P586" i="9"/>
  <c r="AC212" i="4"/>
  <c r="P544" i="9"/>
  <c r="AC291" i="5"/>
  <c r="P755" i="9"/>
  <c r="AC220" i="1"/>
  <c r="P576" i="9"/>
  <c r="AC266" i="3"/>
  <c r="P727" i="9"/>
  <c r="AC219" i="5"/>
  <c r="P566" i="9"/>
  <c r="AC197" i="3"/>
  <c r="P536" i="9"/>
  <c r="AC183" i="5"/>
  <c r="P495" i="9"/>
  <c r="AC272" i="5"/>
  <c r="P695" i="9"/>
  <c r="AC308" i="4"/>
  <c r="P745" i="9"/>
  <c r="AC270" i="3"/>
  <c r="P730" i="9"/>
  <c r="AC253" i="2"/>
  <c r="P713" i="9"/>
  <c r="AC253" i="5"/>
  <c r="P683" i="9"/>
  <c r="AC157" i="5"/>
  <c r="P431" i="9"/>
  <c r="AC299" i="4"/>
  <c r="P740" i="9"/>
  <c r="AC260" i="3"/>
  <c r="P723" i="9"/>
  <c r="AC274" i="4"/>
  <c r="P677" i="9"/>
  <c r="AC239" i="1"/>
  <c r="P637" i="9"/>
  <c r="AC212" i="2"/>
  <c r="P588" i="9"/>
  <c r="AC190" i="3"/>
  <c r="P531" i="9"/>
  <c r="AC181" i="2"/>
  <c r="P518" i="9"/>
  <c r="AC183" i="3"/>
  <c r="P479" i="9"/>
  <c r="AC142" i="5"/>
  <c r="P374" i="9"/>
  <c r="AC263" i="4"/>
  <c r="P671" i="9"/>
  <c r="AC224" i="2"/>
  <c r="P645" i="9"/>
  <c r="AC249" i="4"/>
  <c r="P614" i="9"/>
  <c r="AC222" i="3"/>
  <c r="P601" i="9"/>
  <c r="AC217" i="4"/>
  <c r="P548" i="9"/>
  <c r="AC187" i="2"/>
  <c r="P522" i="9"/>
  <c r="AC184" i="2"/>
  <c r="P520" i="9"/>
  <c r="AC259" i="1"/>
  <c r="P698" i="9"/>
  <c r="AC250" i="3"/>
  <c r="P669" i="9"/>
  <c r="AC242" i="3"/>
  <c r="P663" i="9"/>
  <c r="AC233" i="2"/>
  <c r="P651" i="9"/>
  <c r="AC256" i="4"/>
  <c r="P618" i="9"/>
  <c r="AC225" i="3"/>
  <c r="P603" i="9"/>
  <c r="AC220" i="5"/>
  <c r="P567" i="9"/>
  <c r="AC214" i="5"/>
  <c r="P563" i="9"/>
  <c r="AC211" i="5"/>
  <c r="P561" i="9"/>
  <c r="AC222" i="4"/>
  <c r="P550" i="9"/>
  <c r="AC181" i="5"/>
  <c r="P494" i="9"/>
  <c r="AC164" i="2"/>
  <c r="P458" i="9"/>
  <c r="AC163" i="5"/>
  <c r="P435" i="9"/>
  <c r="AC145" i="5"/>
  <c r="P376" i="9"/>
  <c r="AC229" i="4"/>
  <c r="P554" i="9"/>
  <c r="AC190" i="4"/>
  <c r="P483" i="9"/>
  <c r="AC258" i="3"/>
  <c r="P721" i="9"/>
  <c r="AC244" i="2"/>
  <c r="P707" i="9"/>
  <c r="AC237" i="3"/>
  <c r="P659" i="9"/>
  <c r="AC234" i="3"/>
  <c r="P657" i="9"/>
  <c r="AC241" i="5"/>
  <c r="P628" i="9"/>
  <c r="AC215" i="3"/>
  <c r="P596" i="9"/>
  <c r="AC219" i="1"/>
  <c r="P575" i="9"/>
  <c r="AC207" i="5"/>
  <c r="P558" i="9"/>
  <c r="AC301" i="4"/>
  <c r="P741" i="9"/>
  <c r="AC226" i="2"/>
  <c r="P646" i="9"/>
  <c r="AC238" i="1"/>
  <c r="P636" i="9"/>
  <c r="AC189" i="3"/>
  <c r="P530" i="9"/>
  <c r="AC193" i="5"/>
  <c r="P502" i="9"/>
  <c r="AC167" i="2"/>
  <c r="P460" i="9"/>
  <c r="AC147" i="1"/>
  <c r="P382" i="9"/>
  <c r="AC270" i="1"/>
  <c r="P705" i="9"/>
  <c r="AC229" i="2"/>
  <c r="P648" i="9"/>
  <c r="AC240" i="4"/>
  <c r="P609" i="9"/>
  <c r="AC220" i="3"/>
  <c r="P600" i="9"/>
  <c r="AC205" i="2"/>
  <c r="P583" i="9"/>
  <c r="AC202" i="2"/>
  <c r="P581" i="9"/>
  <c r="AC176" i="5"/>
  <c r="P443" i="9"/>
  <c r="AC145" i="4"/>
  <c r="P360" i="9"/>
  <c r="AC233" i="3"/>
  <c r="P656" i="9"/>
  <c r="AC251" i="4"/>
  <c r="P615" i="9"/>
  <c r="AC242" i="4"/>
  <c r="P611" i="9"/>
  <c r="AC214" i="2"/>
  <c r="P589" i="9"/>
  <c r="AC170" i="4"/>
  <c r="P423" i="9"/>
  <c r="AC150" i="1"/>
  <c r="P384" i="9"/>
  <c r="AC141" i="4"/>
  <c r="P358" i="9"/>
  <c r="AC138" i="4"/>
  <c r="P356" i="9"/>
  <c r="AC103" i="1"/>
  <c r="P256" i="9"/>
  <c r="AC132" i="3"/>
  <c r="P348" i="9"/>
  <c r="AC159" i="3"/>
  <c r="P414" i="9"/>
  <c r="AC149" i="2"/>
  <c r="P399" i="9"/>
  <c r="AC143" i="2"/>
  <c r="P395" i="9"/>
  <c r="AC149" i="4"/>
  <c r="P362" i="9"/>
  <c r="AC138" i="3"/>
  <c r="P352" i="9"/>
  <c r="AC266" i="4"/>
  <c r="P673" i="9"/>
  <c r="AC245" i="3"/>
  <c r="P665" i="9"/>
  <c r="AC254" i="4"/>
  <c r="P617" i="9"/>
  <c r="AC224" i="5"/>
  <c r="P569" i="9"/>
  <c r="AC200" i="1"/>
  <c r="P514" i="9"/>
  <c r="AC187" i="5"/>
  <c r="P498" i="9"/>
  <c r="AC188" i="4"/>
  <c r="P482" i="9"/>
  <c r="AC162" i="4"/>
  <c r="P418" i="9"/>
  <c r="AC151" i="3"/>
  <c r="P409" i="9"/>
  <c r="AC99" i="4"/>
  <c r="P236" i="9"/>
  <c r="AC263" i="3"/>
  <c r="P725" i="9"/>
  <c r="AC167" i="4"/>
  <c r="P422" i="9"/>
  <c r="AC101" i="3"/>
  <c r="P278" i="9"/>
  <c r="AC160" i="2"/>
  <c r="P455" i="9"/>
  <c r="AC176" i="4"/>
  <c r="P426" i="9"/>
  <c r="AC153" i="1"/>
  <c r="P386" i="9"/>
  <c r="AC174" i="5"/>
  <c r="P442" i="9"/>
  <c r="AC140" i="3"/>
  <c r="P354" i="9"/>
  <c r="AC140" i="1"/>
  <c r="P328" i="9"/>
  <c r="AC154" i="4"/>
  <c r="P365" i="9"/>
  <c r="AC102" i="4"/>
  <c r="P238" i="9"/>
  <c r="AC91" i="4"/>
  <c r="P232" i="9"/>
  <c r="AC169" i="2"/>
  <c r="P461" i="9"/>
  <c r="AC175" i="1"/>
  <c r="P449" i="9"/>
  <c r="AC162" i="3"/>
  <c r="P417" i="9"/>
  <c r="AC146" i="3"/>
  <c r="P405" i="9"/>
  <c r="AC152" i="4"/>
  <c r="P364" i="9"/>
  <c r="AC119" i="5"/>
  <c r="P312" i="9"/>
  <c r="AC117" i="4"/>
  <c r="P296" i="9"/>
  <c r="AC112" i="1"/>
  <c r="P262" i="9"/>
  <c r="AC166" i="5"/>
  <c r="P437" i="9"/>
  <c r="AC161" i="5"/>
  <c r="P434" i="9"/>
  <c r="AC156" i="4"/>
  <c r="P366" i="9"/>
  <c r="AC137" i="3"/>
  <c r="P351" i="9"/>
  <c r="AC125" i="2"/>
  <c r="P334" i="9"/>
  <c r="AC134" i="1"/>
  <c r="P325" i="9"/>
  <c r="AC109" i="5"/>
  <c r="P305" i="9"/>
  <c r="AC113" i="3"/>
  <c r="P287" i="9"/>
  <c r="AC91" i="5"/>
  <c r="P246" i="9"/>
  <c r="AC78" i="5"/>
  <c r="P190" i="9"/>
  <c r="AC65" i="3"/>
  <c r="P158" i="9"/>
  <c r="AC166" i="3"/>
  <c r="P466" i="9"/>
  <c r="AC148" i="2"/>
  <c r="P398" i="9"/>
  <c r="AC162" i="1"/>
  <c r="P391" i="9"/>
  <c r="AC139" i="3"/>
  <c r="P353" i="9"/>
  <c r="AC128" i="3"/>
  <c r="P345" i="9"/>
  <c r="AC126" i="3"/>
  <c r="P343" i="9"/>
  <c r="AC88" i="5"/>
  <c r="P244" i="9"/>
  <c r="AC68" i="3"/>
  <c r="P160" i="9"/>
  <c r="AC149" i="1"/>
  <c r="P383" i="9"/>
  <c r="AC138" i="1"/>
  <c r="P327" i="9"/>
  <c r="AC131" i="1"/>
  <c r="P323" i="9"/>
  <c r="AC137" i="5"/>
  <c r="P371" i="9"/>
  <c r="AC127" i="1"/>
  <c r="P320" i="9"/>
  <c r="AC62" i="4"/>
  <c r="P166" i="9"/>
  <c r="AC125" i="1"/>
  <c r="P319" i="9"/>
  <c r="AC116" i="4"/>
  <c r="P295" i="9"/>
  <c r="AC104" i="3"/>
  <c r="P280" i="9"/>
  <c r="AC106" i="2"/>
  <c r="P272" i="9"/>
  <c r="AC116" i="1"/>
  <c r="P264" i="9"/>
  <c r="AC95" i="3"/>
  <c r="P227" i="9"/>
  <c r="AC39" i="3"/>
  <c r="P92" i="9"/>
  <c r="AC121" i="5"/>
  <c r="P313" i="9"/>
  <c r="AC116" i="3"/>
  <c r="P289" i="9"/>
  <c r="AC97" i="4"/>
  <c r="P235" i="9"/>
  <c r="AC87" i="3"/>
  <c r="P221" i="9"/>
  <c r="AC80" i="2"/>
  <c r="P206" i="9"/>
  <c r="AC63" i="4"/>
  <c r="P167" i="9"/>
  <c r="AC37" i="5"/>
  <c r="P116" i="9"/>
  <c r="AC40" i="1"/>
  <c r="P69" i="9"/>
  <c r="AC134" i="2"/>
  <c r="P339" i="9"/>
  <c r="AC130" i="2"/>
  <c r="P337" i="9"/>
  <c r="AC124" i="5"/>
  <c r="P315" i="9"/>
  <c r="AC118" i="3"/>
  <c r="P291" i="9"/>
  <c r="AC87" i="5"/>
  <c r="P243" i="9"/>
  <c r="AC104" i="4"/>
  <c r="P239" i="9"/>
  <c r="AC83" i="3"/>
  <c r="P218" i="9"/>
  <c r="AC81" i="4"/>
  <c r="P177" i="9"/>
  <c r="AC127" i="3"/>
  <c r="P344" i="9"/>
  <c r="AC107" i="3"/>
  <c r="P283" i="9"/>
  <c r="AC92" i="5"/>
  <c r="P247" i="9"/>
  <c r="AC34" i="2"/>
  <c r="P77" i="9"/>
  <c r="AC107" i="1"/>
  <c r="P259" i="9"/>
  <c r="AC101" i="1"/>
  <c r="P255" i="9"/>
  <c r="AC85" i="3"/>
  <c r="P220" i="9"/>
  <c r="AC44" i="3"/>
  <c r="P96" i="9"/>
  <c r="AC92" i="2"/>
  <c r="P213" i="9"/>
  <c r="AC73" i="5"/>
  <c r="P187" i="9"/>
  <c r="AC64" i="5"/>
  <c r="P181" i="9"/>
  <c r="AC82" i="3"/>
  <c r="P217" i="9"/>
  <c r="AC96" i="1"/>
  <c r="P202" i="9"/>
  <c r="AC76" i="5"/>
  <c r="P189" i="9"/>
  <c r="AC70" i="5"/>
  <c r="P185" i="9"/>
  <c r="AC74" i="3"/>
  <c r="P165" i="9"/>
  <c r="AC60" i="3"/>
  <c r="P154" i="9"/>
  <c r="AC62" i="1"/>
  <c r="P132" i="9"/>
  <c r="AC45" i="4"/>
  <c r="P108" i="9"/>
  <c r="AC75" i="5"/>
  <c r="P188" i="9"/>
  <c r="AC68" i="5"/>
  <c r="P184" i="9"/>
  <c r="AC50" i="1"/>
  <c r="P75" i="9"/>
  <c r="AC94" i="3"/>
  <c r="P226" i="9"/>
  <c r="AC85" i="1"/>
  <c r="P196" i="9"/>
  <c r="AC61" i="5"/>
  <c r="P179" i="9"/>
  <c r="AC67" i="2"/>
  <c r="P148" i="9"/>
  <c r="AC49" i="5"/>
  <c r="P124" i="9"/>
  <c r="AC50" i="3"/>
  <c r="P100" i="9"/>
  <c r="AC92" i="1"/>
  <c r="P200" i="9"/>
  <c r="AC57" i="3"/>
  <c r="P152" i="9"/>
  <c r="AC79" i="2"/>
  <c r="P205" i="9"/>
  <c r="AC63" i="3"/>
  <c r="P157" i="9"/>
  <c r="AC56" i="5"/>
  <c r="P128" i="9"/>
  <c r="AC38" i="4"/>
  <c r="P104" i="9"/>
  <c r="AC87" i="1"/>
  <c r="P197" i="9"/>
  <c r="AC65" i="4"/>
  <c r="P168" i="9"/>
  <c r="AC69" i="2"/>
  <c r="P149" i="9"/>
  <c r="AC62" i="2"/>
  <c r="P145" i="9"/>
  <c r="AC56" i="2"/>
  <c r="P141" i="9"/>
  <c r="AC70" i="1"/>
  <c r="P137" i="9"/>
  <c r="AC63" i="1"/>
  <c r="P133" i="9"/>
  <c r="AC57" i="1"/>
  <c r="P129" i="9"/>
  <c r="AC51" i="5"/>
  <c r="P125" i="9"/>
  <c r="AC44" i="5"/>
  <c r="P121" i="9"/>
  <c r="AC39" i="5"/>
  <c r="P117" i="9"/>
  <c r="AC54" i="4"/>
  <c r="P113" i="9"/>
  <c r="AC47" i="4"/>
  <c r="P109" i="9"/>
  <c r="AC40" i="4"/>
  <c r="P105" i="9"/>
  <c r="AC51" i="3"/>
  <c r="P101" i="9"/>
  <c r="AC46" i="3"/>
  <c r="P97" i="9"/>
  <c r="AC40" i="3"/>
  <c r="P93" i="9"/>
  <c r="AC35" i="3"/>
  <c r="P89" i="9"/>
  <c r="AC46" i="2"/>
  <c r="P85" i="9"/>
  <c r="AC79" i="1"/>
  <c r="P192" i="9"/>
  <c r="AC74" i="4"/>
  <c r="P173" i="9"/>
  <c r="AC44" i="2"/>
  <c r="P84" i="9"/>
  <c r="AC52" i="1"/>
  <c r="P76" i="9"/>
  <c r="AC85" i="2"/>
  <c r="P209" i="9"/>
  <c r="AC63" i="5"/>
  <c r="P180" i="9"/>
  <c r="AC69" i="3"/>
  <c r="P161" i="9"/>
  <c r="AC44" i="1"/>
  <c r="P72" i="9"/>
  <c r="AC94" i="1"/>
  <c r="P201" i="9"/>
  <c r="AC72" i="4"/>
  <c r="P172" i="9"/>
  <c r="AC58" i="3"/>
  <c r="P153" i="9"/>
  <c r="F45" i="9"/>
  <c r="O109" i="10"/>
  <c r="I45" i="9"/>
  <c r="H45" i="9"/>
  <c r="G45" i="9"/>
  <c r="K45" i="9"/>
  <c r="J45" i="9"/>
  <c r="F47" i="9"/>
  <c r="I47" i="9"/>
  <c r="H47" i="9"/>
  <c r="G47" i="9"/>
  <c r="K47" i="9"/>
  <c r="J47" i="9"/>
  <c r="F52" i="9"/>
  <c r="I52" i="9"/>
  <c r="H52" i="9"/>
  <c r="G52" i="9"/>
  <c r="K52" i="9"/>
  <c r="J52" i="9"/>
  <c r="F5" i="9"/>
  <c r="K5" i="9"/>
  <c r="M5" i="9"/>
  <c r="G83" i="9"/>
  <c r="I115" i="9"/>
  <c r="K115" i="9"/>
  <c r="M115" i="9"/>
  <c r="F115" i="9"/>
  <c r="J324" i="9"/>
  <c r="K95" i="9"/>
  <c r="M95" i="9"/>
  <c r="I90" i="9"/>
  <c r="F95" i="9"/>
  <c r="O159" i="10"/>
  <c r="J115" i="9"/>
  <c r="F90" i="9"/>
  <c r="O154" i="10"/>
  <c r="H79" i="9"/>
  <c r="F103" i="9"/>
  <c r="O167" i="10"/>
  <c r="I103" i="9"/>
  <c r="J103" i="9"/>
  <c r="K103" i="9"/>
  <c r="M103" i="9"/>
  <c r="H91" i="9"/>
  <c r="K91" i="9"/>
  <c r="M91" i="9"/>
  <c r="J91" i="9"/>
  <c r="H95" i="9"/>
  <c r="F91" i="9"/>
  <c r="O155" i="10"/>
  <c r="I91" i="9"/>
  <c r="F127" i="9"/>
  <c r="I127" i="9"/>
  <c r="H127" i="9"/>
  <c r="J127" i="9"/>
  <c r="G127" i="9"/>
  <c r="G115" i="9"/>
  <c r="G90" i="9"/>
  <c r="G106" i="9"/>
  <c r="H106" i="9"/>
  <c r="J106" i="9"/>
  <c r="I106" i="9"/>
  <c r="K79" i="9"/>
  <c r="M79" i="9"/>
  <c r="H90" i="9"/>
  <c r="K170" i="9"/>
  <c r="M170" i="9"/>
  <c r="G324" i="9"/>
  <c r="H274" i="9"/>
  <c r="G274" i="9"/>
  <c r="H234" i="9"/>
  <c r="I234" i="9"/>
  <c r="K274" i="9"/>
  <c r="M274" i="9"/>
  <c r="J234" i="9"/>
  <c r="G234" i="9"/>
  <c r="I119" i="9"/>
  <c r="G95" i="9"/>
  <c r="K119" i="9"/>
  <c r="M119" i="9"/>
  <c r="J119" i="9"/>
  <c r="H119" i="9"/>
  <c r="G119" i="9"/>
  <c r="I95" i="9"/>
  <c r="I79" i="9"/>
  <c r="I174" i="9"/>
  <c r="F174" i="9"/>
  <c r="I170" i="9"/>
  <c r="J90" i="9"/>
  <c r="J79" i="9"/>
  <c r="F79" i="9"/>
  <c r="O143" i="10"/>
  <c r="F605" i="9"/>
  <c r="J174" i="9"/>
  <c r="H324" i="9"/>
  <c r="J579" i="9"/>
  <c r="I579" i="9"/>
  <c r="F234" i="9"/>
  <c r="I237" i="9"/>
  <c r="J237" i="9"/>
  <c r="J619" i="9"/>
  <c r="H284" i="9"/>
  <c r="I284" i="9"/>
  <c r="F284" i="9"/>
  <c r="K324" i="9"/>
  <c r="M324" i="9"/>
  <c r="F324" i="9"/>
  <c r="F484" i="9"/>
  <c r="I594" i="9"/>
  <c r="F694" i="9"/>
  <c r="K579" i="9"/>
  <c r="M579" i="9"/>
  <c r="K484" i="9"/>
  <c r="M484" i="9"/>
  <c r="G579" i="9"/>
  <c r="H619" i="9"/>
  <c r="J578" i="9"/>
  <c r="H668" i="9"/>
  <c r="G668" i="9"/>
  <c r="H579" i="9"/>
  <c r="J668" i="9"/>
  <c r="F668" i="9"/>
  <c r="I668" i="9"/>
  <c r="F616" i="9"/>
  <c r="G594" i="9"/>
  <c r="F170" i="9"/>
  <c r="F86" i="9"/>
  <c r="O150" i="10"/>
  <c r="K86" i="9"/>
  <c r="M86" i="9"/>
  <c r="J86" i="9"/>
  <c r="H86" i="9"/>
  <c r="I86" i="9"/>
  <c r="G86" i="9"/>
  <c r="F163" i="9"/>
  <c r="J163" i="9"/>
  <c r="I163" i="9"/>
  <c r="G163" i="9"/>
  <c r="K163" i="9"/>
  <c r="M163" i="9"/>
  <c r="H163" i="9"/>
  <c r="K314" i="9"/>
  <c r="M314" i="9"/>
  <c r="F112" i="9"/>
  <c r="O176" i="10"/>
  <c r="I112" i="9"/>
  <c r="H112" i="9"/>
  <c r="G112" i="9"/>
  <c r="K112" i="9"/>
  <c r="M112" i="9"/>
  <c r="J112" i="9"/>
  <c r="F66" i="9"/>
  <c r="O130" i="10"/>
  <c r="K66" i="9"/>
  <c r="M66" i="9"/>
  <c r="J66" i="9"/>
  <c r="I66" i="9"/>
  <c r="H66" i="9"/>
  <c r="G66" i="9"/>
  <c r="F73" i="9"/>
  <c r="O137" i="10"/>
  <c r="J73" i="9"/>
  <c r="K73" i="9"/>
  <c r="M73" i="9"/>
  <c r="I73" i="9"/>
  <c r="H73" i="9"/>
  <c r="G73" i="9"/>
  <c r="F372" i="9"/>
  <c r="F81" i="9"/>
  <c r="G81" i="9"/>
  <c r="K81" i="9"/>
  <c r="M81" i="9"/>
  <c r="J81" i="9"/>
  <c r="H81" i="9"/>
  <c r="I81" i="9"/>
  <c r="F110" i="9"/>
  <c r="K110" i="9"/>
  <c r="M110" i="9"/>
  <c r="H110" i="9"/>
  <c r="G110" i="9"/>
  <c r="I110" i="9"/>
  <c r="J110" i="9"/>
  <c r="F87" i="9"/>
  <c r="J87" i="9"/>
  <c r="H87" i="9"/>
  <c r="K87" i="9"/>
  <c r="M87" i="9"/>
  <c r="I87" i="9"/>
  <c r="G87" i="9"/>
  <c r="H330" i="9"/>
  <c r="F123" i="9"/>
  <c r="G123" i="9"/>
  <c r="H123" i="9"/>
  <c r="K123" i="9"/>
  <c r="M123" i="9"/>
  <c r="J123" i="9"/>
  <c r="I123" i="9"/>
  <c r="F758" i="9"/>
  <c r="I130" i="9"/>
  <c r="J130" i="9"/>
  <c r="G314" i="9"/>
  <c r="F114" i="9"/>
  <c r="I114" i="9"/>
  <c r="H114" i="9"/>
  <c r="G114" i="9"/>
  <c r="J114" i="9"/>
  <c r="K114" i="9"/>
  <c r="M114" i="9"/>
  <c r="F80" i="9"/>
  <c r="I80" i="9"/>
  <c r="H80" i="9"/>
  <c r="G80" i="9"/>
  <c r="J80" i="9"/>
  <c r="K80" i="9"/>
  <c r="M80" i="9"/>
  <c r="F293" i="9"/>
  <c r="G174" i="9"/>
  <c r="K130" i="9"/>
  <c r="M130" i="9"/>
  <c r="I381" i="9"/>
  <c r="H314" i="9"/>
  <c r="H170" i="9"/>
  <c r="F111" i="9"/>
  <c r="O175" i="10"/>
  <c r="K111" i="9"/>
  <c r="M111" i="9"/>
  <c r="J111" i="9"/>
  <c r="I111" i="9"/>
  <c r="G111" i="9"/>
  <c r="H111" i="9"/>
  <c r="F82" i="9"/>
  <c r="O146" i="10"/>
  <c r="J82" i="9"/>
  <c r="I82" i="9"/>
  <c r="K82" i="9"/>
  <c r="M82" i="9"/>
  <c r="H82" i="9"/>
  <c r="G82" i="9"/>
  <c r="K74" i="9"/>
  <c r="M74" i="9"/>
  <c r="H74" i="9"/>
  <c r="F74" i="9"/>
  <c r="O94" i="10"/>
  <c r="J74" i="9"/>
  <c r="I74" i="9"/>
  <c r="G74" i="9"/>
  <c r="F183" i="9"/>
  <c r="K183" i="9"/>
  <c r="M183" i="9"/>
  <c r="I183" i="9"/>
  <c r="H183" i="9"/>
  <c r="J183" i="9"/>
  <c r="G183" i="9"/>
  <c r="J170" i="9"/>
  <c r="G130" i="9"/>
  <c r="K174" i="9"/>
  <c r="M174" i="9"/>
  <c r="F130" i="9"/>
  <c r="F381" i="9"/>
  <c r="I314" i="9"/>
  <c r="F67" i="9"/>
  <c r="O131" i="10"/>
  <c r="J67" i="9"/>
  <c r="I67" i="9"/>
  <c r="H67" i="9"/>
  <c r="G67" i="9"/>
  <c r="K67" i="9"/>
  <c r="M67" i="9"/>
  <c r="F88" i="9"/>
  <c r="O152" i="10"/>
  <c r="H88" i="9"/>
  <c r="G88" i="9"/>
  <c r="J88" i="9"/>
  <c r="I88" i="9"/>
  <c r="K88" i="9"/>
  <c r="M88" i="9"/>
  <c r="F120" i="9"/>
  <c r="K120" i="9"/>
  <c r="M120" i="9"/>
  <c r="J120" i="9"/>
  <c r="H120" i="9"/>
  <c r="I120" i="9"/>
  <c r="G120" i="9"/>
  <c r="G68" i="9"/>
  <c r="K68" i="9"/>
  <c r="M68" i="9"/>
  <c r="H68" i="9"/>
  <c r="F68" i="9"/>
  <c r="J68" i="9"/>
  <c r="I68" i="9"/>
  <c r="O170" i="10"/>
  <c r="O120" i="10"/>
  <c r="F102" i="9"/>
  <c r="O166" i="10"/>
  <c r="J102" i="9"/>
  <c r="H102" i="9"/>
  <c r="K102" i="9"/>
  <c r="M102" i="9"/>
  <c r="I102" i="9"/>
  <c r="G102" i="9"/>
  <c r="F99" i="9"/>
  <c r="K99" i="9"/>
  <c r="M99" i="9"/>
  <c r="H99" i="9"/>
  <c r="G99" i="9"/>
  <c r="J99" i="9"/>
  <c r="I99" i="9"/>
  <c r="F98" i="9"/>
  <c r="O162" i="10"/>
  <c r="J98" i="9"/>
  <c r="I98" i="9"/>
  <c r="H98" i="9"/>
  <c r="K98" i="9"/>
  <c r="M98" i="9"/>
  <c r="G98" i="9"/>
  <c r="F70" i="9"/>
  <c r="H70" i="9"/>
  <c r="G70" i="9"/>
  <c r="I70" i="9"/>
  <c r="J70" i="9"/>
  <c r="K70" i="9"/>
  <c r="M70" i="9"/>
  <c r="F107" i="9"/>
  <c r="O171" i="10"/>
  <c r="J107" i="9"/>
  <c r="I107" i="9"/>
  <c r="H107" i="9"/>
  <c r="G107" i="9"/>
  <c r="K107" i="9"/>
  <c r="M107" i="9"/>
  <c r="F357" i="9"/>
  <c r="F314" i="9"/>
  <c r="I78" i="9"/>
  <c r="H78" i="9"/>
  <c r="G78" i="9"/>
  <c r="F78" i="9"/>
  <c r="O117" i="10"/>
  <c r="K78" i="9"/>
  <c r="M78" i="9"/>
  <c r="J78" i="9"/>
  <c r="F122" i="9"/>
  <c r="O147" i="10"/>
  <c r="J122" i="9"/>
  <c r="I122" i="9"/>
  <c r="H122" i="9"/>
  <c r="G122" i="9"/>
  <c r="K122" i="9"/>
  <c r="M122" i="9"/>
  <c r="F94" i="9"/>
  <c r="O114" i="10"/>
  <c r="I94" i="9"/>
  <c r="H94" i="9"/>
  <c r="G94" i="9"/>
  <c r="K94" i="9"/>
  <c r="M94" i="9"/>
  <c r="J94" i="9"/>
  <c r="F71" i="9"/>
  <c r="O125" i="10"/>
  <c r="K71" i="9"/>
  <c r="M71" i="9"/>
  <c r="J71" i="9"/>
  <c r="I71" i="9"/>
  <c r="G71" i="9"/>
  <c r="H71" i="9"/>
  <c r="F118" i="9"/>
  <c r="O182" i="10"/>
  <c r="I118" i="9"/>
  <c r="H118" i="9"/>
  <c r="G118" i="9"/>
  <c r="K118" i="9"/>
  <c r="M118" i="9"/>
  <c r="J118" i="9"/>
  <c r="F126" i="9"/>
  <c r="K126" i="9"/>
  <c r="M126" i="9"/>
  <c r="J126" i="9"/>
  <c r="I126" i="9"/>
  <c r="H126" i="9"/>
  <c r="G126" i="9"/>
  <c r="I578" i="9"/>
  <c r="I706" i="9"/>
  <c r="H638" i="9"/>
  <c r="G622" i="9"/>
  <c r="J559" i="9"/>
  <c r="I638" i="9"/>
  <c r="F622" i="9"/>
  <c r="K638" i="9"/>
  <c r="M638" i="9"/>
  <c r="H752" i="9"/>
  <c r="G578" i="9"/>
  <c r="F696" i="9"/>
  <c r="H703" i="9"/>
  <c r="H694" i="9"/>
  <c r="J440" i="9"/>
  <c r="H473" i="9"/>
  <c r="J694" i="9"/>
  <c r="K594" i="9"/>
  <c r="M594" i="9"/>
  <c r="I591" i="9"/>
  <c r="J594" i="9"/>
  <c r="K591" i="9"/>
  <c r="M591" i="9"/>
  <c r="J556" i="9"/>
  <c r="F594" i="9"/>
  <c r="K696" i="9"/>
  <c r="M696" i="9"/>
  <c r="H491" i="9"/>
  <c r="G506" i="9"/>
  <c r="I556" i="9"/>
  <c r="G752" i="9"/>
  <c r="K556" i="9"/>
  <c r="M556" i="9"/>
  <c r="G694" i="9"/>
  <c r="G709" i="9"/>
  <c r="F619" i="9"/>
  <c r="G619" i="9"/>
  <c r="H696" i="9"/>
  <c r="F556" i="9"/>
  <c r="I703" i="9"/>
  <c r="I694" i="9"/>
  <c r="H622" i="9"/>
  <c r="I619" i="9"/>
  <c r="F658" i="9"/>
  <c r="J696" i="9"/>
  <c r="J703" i="9"/>
  <c r="G440" i="9"/>
  <c r="G559" i="9"/>
  <c r="F559" i="9"/>
  <c r="H590" i="9"/>
  <c r="J585" i="9"/>
  <c r="G620" i="9"/>
  <c r="G556" i="9"/>
  <c r="F572" i="9"/>
  <c r="K682" i="9"/>
  <c r="M682" i="9"/>
  <c r="H499" i="9"/>
  <c r="J590" i="9"/>
  <c r="G346" i="9"/>
  <c r="K346" i="9"/>
  <c r="M346" i="9"/>
  <c r="H506" i="9"/>
  <c r="I756" i="9"/>
  <c r="J506" i="9"/>
  <c r="J682" i="9"/>
  <c r="I590" i="9"/>
  <c r="J346" i="9"/>
  <c r="K506" i="9"/>
  <c r="M506" i="9"/>
  <c r="F578" i="9"/>
  <c r="F506" i="9"/>
  <c r="F642" i="9"/>
  <c r="K585" i="9"/>
  <c r="M585" i="9"/>
  <c r="K612" i="9"/>
  <c r="M612" i="9"/>
  <c r="G682" i="9"/>
  <c r="K590" i="9"/>
  <c r="M590" i="9"/>
  <c r="J612" i="9"/>
  <c r="I682" i="9"/>
  <c r="J326" i="9"/>
  <c r="F590" i="9"/>
  <c r="J587" i="9"/>
  <c r="I512" i="9"/>
  <c r="K587" i="9"/>
  <c r="M587" i="9"/>
  <c r="F682" i="9"/>
  <c r="I481" i="9"/>
  <c r="K557" i="9"/>
  <c r="M557" i="9"/>
  <c r="G612" i="9"/>
  <c r="F752" i="9"/>
  <c r="K658" i="9"/>
  <c r="M658" i="9"/>
  <c r="H508" i="9"/>
  <c r="J463" i="9"/>
  <c r="J512" i="9"/>
  <c r="F500" i="9"/>
  <c r="G473" i="9"/>
  <c r="I658" i="9"/>
  <c r="K361" i="9"/>
  <c r="M361" i="9"/>
  <c r="I463" i="9"/>
  <c r="H512" i="9"/>
  <c r="G330" i="9"/>
  <c r="I330" i="9"/>
  <c r="K330" i="9"/>
  <c r="M330" i="9"/>
  <c r="J330" i="9"/>
  <c r="G696" i="9"/>
  <c r="F557" i="9"/>
  <c r="H463" i="9"/>
  <c r="H346" i="9"/>
  <c r="I326" i="9"/>
  <c r="H326" i="9"/>
  <c r="G326" i="9"/>
  <c r="I310" i="9"/>
  <c r="G512" i="9"/>
  <c r="F709" i="9"/>
  <c r="F513" i="9"/>
  <c r="I612" i="9"/>
  <c r="J294" i="9"/>
  <c r="K463" i="9"/>
  <c r="M463" i="9"/>
  <c r="I346" i="9"/>
  <c r="K500" i="9"/>
  <c r="M500" i="9"/>
  <c r="F512" i="9"/>
  <c r="I642" i="9"/>
  <c r="J660" i="9"/>
  <c r="K326" i="9"/>
  <c r="M326" i="9"/>
  <c r="F499" i="9"/>
  <c r="F463" i="9"/>
  <c r="I622" i="9"/>
  <c r="K622" i="9"/>
  <c r="M622" i="9"/>
  <c r="F419" i="9"/>
  <c r="K419" i="9"/>
  <c r="M419" i="9"/>
  <c r="H419" i="9"/>
  <c r="J419" i="9"/>
  <c r="I419" i="9"/>
  <c r="G419" i="9"/>
  <c r="G660" i="9"/>
  <c r="F613" i="9"/>
  <c r="I261" i="9"/>
  <c r="G706" i="9"/>
  <c r="J706" i="9"/>
  <c r="H706" i="9"/>
  <c r="K706" i="9"/>
  <c r="M706" i="9"/>
  <c r="J261" i="9"/>
  <c r="J274" i="9"/>
  <c r="I274" i="9"/>
  <c r="H605" i="9"/>
  <c r="H633" i="9"/>
  <c r="J493" i="9"/>
  <c r="H493" i="9"/>
  <c r="K493" i="9"/>
  <c r="M493" i="9"/>
  <c r="F407" i="9"/>
  <c r="I407" i="9"/>
  <c r="H407" i="9"/>
  <c r="G407" i="9"/>
  <c r="K407" i="9"/>
  <c r="M407" i="9"/>
  <c r="J407" i="9"/>
  <c r="K703" i="9"/>
  <c r="M703" i="9"/>
  <c r="J633" i="9"/>
  <c r="H440" i="9"/>
  <c r="K491" i="9"/>
  <c r="M491" i="9"/>
  <c r="J491" i="9"/>
  <c r="I491" i="9"/>
  <c r="G491" i="9"/>
  <c r="K620" i="9"/>
  <c r="M620" i="9"/>
  <c r="J620" i="9"/>
  <c r="H620" i="9"/>
  <c r="F228" i="9"/>
  <c r="I228" i="9"/>
  <c r="H228" i="9"/>
  <c r="G228" i="9"/>
  <c r="J228" i="9"/>
  <c r="K228" i="9"/>
  <c r="M228" i="9"/>
  <c r="H736" i="9"/>
  <c r="I230" i="9"/>
  <c r="H230" i="9"/>
  <c r="G230" i="9"/>
  <c r="J230" i="9"/>
  <c r="K560" i="9"/>
  <c r="M560" i="9"/>
  <c r="H560" i="9"/>
  <c r="F427" i="9"/>
  <c r="J427" i="9"/>
  <c r="I427" i="9"/>
  <c r="H427" i="9"/>
  <c r="G427" i="9"/>
  <c r="K427" i="9"/>
  <c r="M427" i="9"/>
  <c r="F541" i="9"/>
  <c r="K578" i="9"/>
  <c r="M578" i="9"/>
  <c r="F493" i="9"/>
  <c r="J560" i="9"/>
  <c r="H612" i="9"/>
  <c r="F703" i="9"/>
  <c r="G736" i="9"/>
  <c r="I605" i="9"/>
  <c r="K294" i="9"/>
  <c r="M294" i="9"/>
  <c r="K261" i="9"/>
  <c r="M261" i="9"/>
  <c r="H261" i="9"/>
  <c r="G261" i="9"/>
  <c r="K310" i="9"/>
  <c r="M310" i="9"/>
  <c r="H310" i="9"/>
  <c r="J310" i="9"/>
  <c r="G310" i="9"/>
  <c r="F311" i="9"/>
  <c r="H311" i="9"/>
  <c r="G311" i="9"/>
  <c r="J311" i="9"/>
  <c r="I311" i="9"/>
  <c r="K311" i="9"/>
  <c r="M311" i="9"/>
  <c r="G690" i="9"/>
  <c r="G585" i="9"/>
  <c r="I560" i="9"/>
  <c r="K736" i="9"/>
  <c r="M736" i="9"/>
  <c r="K605" i="9"/>
  <c r="M605" i="9"/>
  <c r="G508" i="9"/>
  <c r="K284" i="9"/>
  <c r="M284" i="9"/>
  <c r="G284" i="9"/>
  <c r="H484" i="9"/>
  <c r="G484" i="9"/>
  <c r="J484" i="9"/>
  <c r="F404" i="9"/>
  <c r="G404" i="9"/>
  <c r="J404" i="9"/>
  <c r="I404" i="9"/>
  <c r="H404" i="9"/>
  <c r="K404" i="9"/>
  <c r="M404" i="9"/>
  <c r="I493" i="9"/>
  <c r="F690" i="9"/>
  <c r="H602" i="9"/>
  <c r="F560" i="9"/>
  <c r="J736" i="9"/>
  <c r="J605" i="9"/>
  <c r="G499" i="9"/>
  <c r="K230" i="9"/>
  <c r="M230" i="9"/>
  <c r="F508" i="9"/>
  <c r="G294" i="9"/>
  <c r="I294" i="9"/>
  <c r="H294" i="9"/>
  <c r="H756" i="9"/>
  <c r="F230" i="9"/>
  <c r="H690" i="9"/>
  <c r="G587" i="9"/>
  <c r="I587" i="9"/>
  <c r="H587" i="9"/>
  <c r="I361" i="9"/>
  <c r="H361" i="9"/>
  <c r="G361" i="9"/>
  <c r="J632" i="9"/>
  <c r="I633" i="9"/>
  <c r="I736" i="9"/>
  <c r="G632" i="9"/>
  <c r="I620" i="9"/>
  <c r="H660" i="9"/>
  <c r="F361" i="9"/>
  <c r="I690" i="9"/>
  <c r="H559" i="9"/>
  <c r="K559" i="9"/>
  <c r="M559" i="9"/>
  <c r="F478" i="9"/>
  <c r="J478" i="9"/>
  <c r="I478" i="9"/>
  <c r="H478" i="9"/>
  <c r="G478" i="9"/>
  <c r="K478" i="9"/>
  <c r="M478" i="9"/>
  <c r="J381" i="9"/>
  <c r="H381" i="9"/>
  <c r="K381" i="9"/>
  <c r="M381" i="9"/>
  <c r="K690" i="9"/>
  <c r="M690" i="9"/>
  <c r="J638" i="9"/>
  <c r="G638" i="9"/>
  <c r="G633" i="9"/>
  <c r="I440" i="9"/>
  <c r="I508" i="9"/>
  <c r="J664" i="9"/>
  <c r="I664" i="9"/>
  <c r="H664" i="9"/>
  <c r="G664" i="9"/>
  <c r="K499" i="9"/>
  <c r="M499" i="9"/>
  <c r="J499" i="9"/>
  <c r="F633" i="9"/>
  <c r="F664" i="9"/>
  <c r="F660" i="9"/>
  <c r="G552" i="9"/>
  <c r="K440" i="9"/>
  <c r="M440" i="9"/>
  <c r="J508" i="9"/>
  <c r="J616" i="9"/>
  <c r="I616" i="9"/>
  <c r="H616" i="9"/>
  <c r="K616" i="9"/>
  <c r="M616" i="9"/>
  <c r="J752" i="9"/>
  <c r="K752" i="9"/>
  <c r="M752" i="9"/>
  <c r="F198" i="9"/>
  <c r="K198" i="9"/>
  <c r="M198" i="9"/>
  <c r="H198" i="9"/>
  <c r="J198" i="9"/>
  <c r="I198" i="9"/>
  <c r="G198" i="9"/>
  <c r="G481" i="9"/>
  <c r="J481" i="9"/>
  <c r="H481" i="9"/>
  <c r="K481" i="9"/>
  <c r="M481" i="9"/>
  <c r="K572" i="9"/>
  <c r="M572" i="9"/>
  <c r="F538" i="9"/>
  <c r="H538" i="9"/>
  <c r="K538" i="9"/>
  <c r="M538" i="9"/>
  <c r="J538" i="9"/>
  <c r="I538" i="9"/>
  <c r="G538" i="9"/>
  <c r="F147" i="9"/>
  <c r="K147" i="9"/>
  <c r="M147" i="9"/>
  <c r="J147" i="9"/>
  <c r="I147" i="9"/>
  <c r="H147" i="9"/>
  <c r="G147" i="9"/>
  <c r="F416" i="9"/>
  <c r="K416" i="9"/>
  <c r="M416" i="9"/>
  <c r="H416" i="9"/>
  <c r="G416" i="9"/>
  <c r="J416" i="9"/>
  <c r="I416" i="9"/>
  <c r="F317" i="9"/>
  <c r="K317" i="9"/>
  <c r="M317" i="9"/>
  <c r="J317" i="9"/>
  <c r="H317" i="9"/>
  <c r="I317" i="9"/>
  <c r="G317" i="9"/>
  <c r="F159" i="9"/>
  <c r="G159" i="9"/>
  <c r="H159" i="9"/>
  <c r="K159" i="9"/>
  <c r="M159" i="9"/>
  <c r="J159" i="9"/>
  <c r="I159" i="9"/>
  <c r="F276" i="9"/>
  <c r="K276" i="9"/>
  <c r="M276" i="9"/>
  <c r="J276" i="9"/>
  <c r="H276" i="9"/>
  <c r="G276" i="9"/>
  <c r="I276" i="9"/>
  <c r="F428" i="9"/>
  <c r="K428" i="9"/>
  <c r="M428" i="9"/>
  <c r="I428" i="9"/>
  <c r="J428" i="9"/>
  <c r="H428" i="9"/>
  <c r="G428" i="9"/>
  <c r="F193" i="9"/>
  <c r="I193" i="9"/>
  <c r="H193" i="9"/>
  <c r="K193" i="9"/>
  <c r="M193" i="9"/>
  <c r="J193" i="9"/>
  <c r="G193" i="9"/>
  <c r="F425" i="9"/>
  <c r="K425" i="9"/>
  <c r="M425" i="9"/>
  <c r="J425" i="9"/>
  <c r="H425" i="9"/>
  <c r="G425" i="9"/>
  <c r="I425" i="9"/>
  <c r="F350" i="9"/>
  <c r="I350" i="9"/>
  <c r="G350" i="9"/>
  <c r="K350" i="9"/>
  <c r="M350" i="9"/>
  <c r="J350" i="9"/>
  <c r="H350" i="9"/>
  <c r="F540" i="9"/>
  <c r="K540" i="9"/>
  <c r="M540" i="9"/>
  <c r="I540" i="9"/>
  <c r="G540" i="9"/>
  <c r="H540" i="9"/>
  <c r="J540" i="9"/>
  <c r="F194" i="9"/>
  <c r="K194" i="9"/>
  <c r="M194" i="9"/>
  <c r="I194" i="9"/>
  <c r="H194" i="9"/>
  <c r="G194" i="9"/>
  <c r="J194" i="9"/>
  <c r="F338" i="9"/>
  <c r="K338" i="9"/>
  <c r="M338" i="9"/>
  <c r="H338" i="9"/>
  <c r="G338" i="9"/>
  <c r="J338" i="9"/>
  <c r="I338" i="9"/>
  <c r="K632" i="9"/>
  <c r="M632" i="9"/>
  <c r="I632" i="9"/>
  <c r="H632" i="9"/>
  <c r="G369" i="9"/>
  <c r="J369" i="9"/>
  <c r="H369" i="9"/>
  <c r="K369" i="9"/>
  <c r="M369" i="9"/>
  <c r="I369" i="9"/>
  <c r="F564" i="9"/>
  <c r="H564" i="9"/>
  <c r="I564" i="9"/>
  <c r="K564" i="9"/>
  <c r="M564" i="9"/>
  <c r="J564" i="9"/>
  <c r="G564" i="9"/>
  <c r="F662" i="9"/>
  <c r="I662" i="9"/>
  <c r="K662" i="9"/>
  <c r="M662" i="9"/>
  <c r="J662" i="9"/>
  <c r="H662" i="9"/>
  <c r="G662" i="9"/>
  <c r="H699" i="9"/>
  <c r="I699" i="9"/>
  <c r="K385" i="9"/>
  <c r="M385" i="9"/>
  <c r="J385" i="9"/>
  <c r="I385" i="9"/>
  <c r="H385" i="9"/>
  <c r="F737" i="9"/>
  <c r="G737" i="9"/>
  <c r="K737" i="9"/>
  <c r="M737" i="9"/>
  <c r="H737" i="9"/>
  <c r="J737" i="9"/>
  <c r="I737" i="9"/>
  <c r="F446" i="9"/>
  <c r="K446" i="9"/>
  <c r="M446" i="9"/>
  <c r="J446" i="9"/>
  <c r="I446" i="9"/>
  <c r="H446" i="9"/>
  <c r="G446" i="9"/>
  <c r="F451" i="9"/>
  <c r="I451" i="9"/>
  <c r="G451" i="9"/>
  <c r="K451" i="9"/>
  <c r="M451" i="9"/>
  <c r="J451" i="9"/>
  <c r="H451" i="9"/>
  <c r="F216" i="9"/>
  <c r="H216" i="9"/>
  <c r="G216" i="9"/>
  <c r="K216" i="9"/>
  <c r="M216" i="9"/>
  <c r="J216" i="9"/>
  <c r="I216" i="9"/>
  <c r="G385" i="9"/>
  <c r="J697" i="9"/>
  <c r="F150" i="9"/>
  <c r="J150" i="9"/>
  <c r="I150" i="9"/>
  <c r="H150" i="9"/>
  <c r="G150" i="9"/>
  <c r="K150" i="9"/>
  <c r="M150" i="9"/>
  <c r="K613" i="9"/>
  <c r="M613" i="9"/>
  <c r="J613" i="9"/>
  <c r="H613" i="9"/>
  <c r="G613" i="9"/>
  <c r="F467" i="9"/>
  <c r="J467" i="9"/>
  <c r="I467" i="9"/>
  <c r="K467" i="9"/>
  <c r="M467" i="9"/>
  <c r="H467" i="9"/>
  <c r="G467" i="9"/>
  <c r="F260" i="9"/>
  <c r="G260" i="9"/>
  <c r="I260" i="9"/>
  <c r="H260" i="9"/>
  <c r="J260" i="9"/>
  <c r="K260" i="9"/>
  <c r="M260" i="9"/>
  <c r="F286" i="9"/>
  <c r="G286" i="9"/>
  <c r="J286" i="9"/>
  <c r="I286" i="9"/>
  <c r="H286" i="9"/>
  <c r="K286" i="9"/>
  <c r="M286" i="9"/>
  <c r="F623" i="9"/>
  <c r="H623" i="9"/>
  <c r="G623" i="9"/>
  <c r="K623" i="9"/>
  <c r="M623" i="9"/>
  <c r="J623" i="9"/>
  <c r="I623" i="9"/>
  <c r="F134" i="9"/>
  <c r="I134" i="9"/>
  <c r="K134" i="9"/>
  <c r="M134" i="9"/>
  <c r="H134" i="9"/>
  <c r="G134" i="9"/>
  <c r="J134" i="9"/>
  <c r="F263" i="9"/>
  <c r="J263" i="9"/>
  <c r="I263" i="9"/>
  <c r="K263" i="9"/>
  <c r="M263" i="9"/>
  <c r="H263" i="9"/>
  <c r="G263" i="9"/>
  <c r="H552" i="9"/>
  <c r="J552" i="9"/>
  <c r="G598" i="9"/>
  <c r="J598" i="9"/>
  <c r="H598" i="9"/>
  <c r="I598" i="9"/>
  <c r="F722" i="9"/>
  <c r="I722" i="9"/>
  <c r="H722" i="9"/>
  <c r="G722" i="9"/>
  <c r="J722" i="9"/>
  <c r="F155" i="9"/>
  <c r="K155" i="9"/>
  <c r="M155" i="9"/>
  <c r="I155" i="9"/>
  <c r="J155" i="9"/>
  <c r="H155" i="9"/>
  <c r="G155" i="9"/>
  <c r="F385" i="9"/>
  <c r="I660" i="9"/>
  <c r="F552" i="9"/>
  <c r="F297" i="9"/>
  <c r="K297" i="9"/>
  <c r="M297" i="9"/>
  <c r="J297" i="9"/>
  <c r="I297" i="9"/>
  <c r="H297" i="9"/>
  <c r="G297" i="9"/>
  <c r="F135" i="9"/>
  <c r="J135" i="9"/>
  <c r="I135" i="9"/>
  <c r="G135" i="9"/>
  <c r="H135" i="9"/>
  <c r="K135" i="9"/>
  <c r="M135" i="9"/>
  <c r="J658" i="9"/>
  <c r="H658" i="9"/>
  <c r="F266" i="9"/>
  <c r="H266" i="9"/>
  <c r="G266" i="9"/>
  <c r="K266" i="9"/>
  <c r="M266" i="9"/>
  <c r="I266" i="9"/>
  <c r="J266" i="9"/>
  <c r="F203" i="9"/>
  <c r="K203" i="9"/>
  <c r="I203" i="9"/>
  <c r="J203" i="9"/>
  <c r="H203" i="9"/>
  <c r="G203" i="9"/>
  <c r="F631" i="9"/>
  <c r="J631" i="9"/>
  <c r="H631" i="9"/>
  <c r="G631" i="9"/>
  <c r="I631" i="9"/>
  <c r="K631" i="9"/>
  <c r="M631" i="9"/>
  <c r="F573" i="9"/>
  <c r="K573" i="9"/>
  <c r="M573" i="9"/>
  <c r="J573" i="9"/>
  <c r="I573" i="9"/>
  <c r="H573" i="9"/>
  <c r="G573" i="9"/>
  <c r="F332" i="9"/>
  <c r="I332" i="9"/>
  <c r="G332" i="9"/>
  <c r="K332" i="9"/>
  <c r="M332" i="9"/>
  <c r="J332" i="9"/>
  <c r="H332" i="9"/>
  <c r="F542" i="9"/>
  <c r="I542" i="9"/>
  <c r="G542" i="9"/>
  <c r="K542" i="9"/>
  <c r="M542" i="9"/>
  <c r="J542" i="9"/>
  <c r="H542" i="9"/>
  <c r="F164" i="9"/>
  <c r="K164" i="9"/>
  <c r="M164" i="9"/>
  <c r="J164" i="9"/>
  <c r="I164" i="9"/>
  <c r="H164" i="9"/>
  <c r="G164" i="9"/>
  <c r="G756" i="9"/>
  <c r="K756" i="9"/>
  <c r="M756" i="9"/>
  <c r="J756" i="9"/>
  <c r="F285" i="9"/>
  <c r="K285" i="9"/>
  <c r="M285" i="9"/>
  <c r="I285" i="9"/>
  <c r="H285" i="9"/>
  <c r="G285" i="9"/>
  <c r="J285" i="9"/>
  <c r="F211" i="9"/>
  <c r="J211" i="9"/>
  <c r="I211" i="9"/>
  <c r="H211" i="9"/>
  <c r="G211" i="9"/>
  <c r="K211" i="9"/>
  <c r="M211" i="9"/>
  <c r="F411" i="9"/>
  <c r="K411" i="9"/>
  <c r="M411" i="9"/>
  <c r="H411" i="9"/>
  <c r="G411" i="9"/>
  <c r="J411" i="9"/>
  <c r="I411" i="9"/>
  <c r="F568" i="9"/>
  <c r="K568" i="9"/>
  <c r="M568" i="9"/>
  <c r="I568" i="9"/>
  <c r="H568" i="9"/>
  <c r="G568" i="9"/>
  <c r="J568" i="9"/>
  <c r="K357" i="9"/>
  <c r="M357" i="9"/>
  <c r="J357" i="9"/>
  <c r="I357" i="9"/>
  <c r="H357" i="9"/>
  <c r="H758" i="9"/>
  <c r="F584" i="9"/>
  <c r="G699" i="9"/>
  <c r="F249" i="9"/>
  <c r="K249" i="9"/>
  <c r="M249" i="9"/>
  <c r="J249" i="9"/>
  <c r="I249" i="9"/>
  <c r="H249" i="9"/>
  <c r="G249" i="9"/>
  <c r="F430" i="9"/>
  <c r="G430" i="9"/>
  <c r="K430" i="9"/>
  <c r="M430" i="9"/>
  <c r="H430" i="9"/>
  <c r="J430" i="9"/>
  <c r="I430" i="9"/>
  <c r="F136" i="9"/>
  <c r="K136" i="9"/>
  <c r="M136" i="9"/>
  <c r="J136" i="9"/>
  <c r="I136" i="9"/>
  <c r="G136" i="9"/>
  <c r="H136" i="9"/>
  <c r="I585" i="9"/>
  <c r="H585" i="9"/>
  <c r="I500" i="9"/>
  <c r="H500" i="9"/>
  <c r="G500" i="9"/>
  <c r="F175" i="9"/>
  <c r="G175" i="9"/>
  <c r="I175" i="9"/>
  <c r="H175" i="9"/>
  <c r="K175" i="9"/>
  <c r="M175" i="9"/>
  <c r="J175" i="9"/>
  <c r="F666" i="9"/>
  <c r="I666" i="9"/>
  <c r="J666" i="9"/>
  <c r="H666" i="9"/>
  <c r="G666" i="9"/>
  <c r="F450" i="9"/>
  <c r="H450" i="9"/>
  <c r="G450" i="9"/>
  <c r="J450" i="9"/>
  <c r="I450" i="9"/>
  <c r="K450" i="9"/>
  <c r="M450" i="9"/>
  <c r="K709" i="9"/>
  <c r="M709" i="9"/>
  <c r="J709" i="9"/>
  <c r="H709" i="9"/>
  <c r="K473" i="9"/>
  <c r="M473" i="9"/>
  <c r="I473" i="9"/>
  <c r="J473" i="9"/>
  <c r="G456" i="9"/>
  <c r="J456" i="9"/>
  <c r="I456" i="9"/>
  <c r="H456" i="9"/>
  <c r="F684" i="9"/>
  <c r="K684" i="9"/>
  <c r="M684" i="9"/>
  <c r="J684" i="9"/>
  <c r="I684" i="9"/>
  <c r="H684" i="9"/>
  <c r="G684" i="9"/>
  <c r="I570" i="9"/>
  <c r="H570" i="9"/>
  <c r="K516" i="9"/>
  <c r="M516" i="9"/>
  <c r="J516" i="9"/>
  <c r="I516" i="9"/>
  <c r="H516" i="9"/>
  <c r="H572" i="9"/>
  <c r="I572" i="9"/>
  <c r="J572" i="9"/>
  <c r="F749" i="9"/>
  <c r="I749" i="9"/>
  <c r="H749" i="9"/>
  <c r="G749" i="9"/>
  <c r="K749" i="9"/>
  <c r="M749" i="9"/>
  <c r="F516" i="9"/>
  <c r="K552" i="9"/>
  <c r="M552" i="9"/>
  <c r="I758" i="9"/>
  <c r="F456" i="9"/>
  <c r="F369" i="9"/>
  <c r="G670" i="9"/>
  <c r="J699" i="9"/>
  <c r="G570" i="9"/>
  <c r="F392" i="9"/>
  <c r="J392" i="9"/>
  <c r="I392" i="9"/>
  <c r="H392" i="9"/>
  <c r="K392" i="9"/>
  <c r="M392" i="9"/>
  <c r="G392" i="9"/>
  <c r="F488" i="9"/>
  <c r="I488" i="9"/>
  <c r="H488" i="9"/>
  <c r="G488" i="9"/>
  <c r="K488" i="9"/>
  <c r="M488" i="9"/>
  <c r="J488" i="9"/>
  <c r="K237" i="9"/>
  <c r="M237" i="9"/>
  <c r="H237" i="9"/>
  <c r="G237" i="9"/>
  <c r="G591" i="9"/>
  <c r="H591" i="9"/>
  <c r="F335" i="9"/>
  <c r="G335" i="9"/>
  <c r="J335" i="9"/>
  <c r="I335" i="9"/>
  <c r="H335" i="9"/>
  <c r="K335" i="9"/>
  <c r="M335" i="9"/>
  <c r="F593" i="9"/>
  <c r="G593" i="9"/>
  <c r="I593" i="9"/>
  <c r="H593" i="9"/>
  <c r="K593" i="9"/>
  <c r="M593" i="9"/>
  <c r="J593" i="9"/>
  <c r="H513" i="9"/>
  <c r="G513" i="9"/>
  <c r="J513" i="9"/>
  <c r="I513" i="9"/>
  <c r="K372" i="9"/>
  <c r="M372" i="9"/>
  <c r="H372" i="9"/>
  <c r="G372" i="9"/>
  <c r="I372" i="9"/>
  <c r="F281" i="9"/>
  <c r="K281" i="9"/>
  <c r="M281" i="9"/>
  <c r="J281" i="9"/>
  <c r="I281" i="9"/>
  <c r="H281" i="9"/>
  <c r="G281" i="9"/>
  <c r="F464" i="9"/>
  <c r="K464" i="9"/>
  <c r="M464" i="9"/>
  <c r="H464" i="9"/>
  <c r="J464" i="9"/>
  <c r="I464" i="9"/>
  <c r="G464" i="9"/>
  <c r="F413" i="9"/>
  <c r="J413" i="9"/>
  <c r="I413" i="9"/>
  <c r="H413" i="9"/>
  <c r="G413" i="9"/>
  <c r="K413" i="9"/>
  <c r="M413" i="9"/>
  <c r="F377" i="9"/>
  <c r="G377" i="9"/>
  <c r="K377" i="9"/>
  <c r="M377" i="9"/>
  <c r="I377" i="9"/>
  <c r="J377" i="9"/>
  <c r="H377" i="9"/>
  <c r="F300" i="9"/>
  <c r="J300" i="9"/>
  <c r="H300" i="9"/>
  <c r="G300" i="9"/>
  <c r="I300" i="9"/>
  <c r="K300" i="9"/>
  <c r="M300" i="9"/>
  <c r="K699" i="9"/>
  <c r="M699" i="9"/>
  <c r="J570" i="9"/>
  <c r="F452" i="9"/>
  <c r="J452" i="9"/>
  <c r="I452" i="9"/>
  <c r="K452" i="9"/>
  <c r="M452" i="9"/>
  <c r="H452" i="9"/>
  <c r="G452" i="9"/>
  <c r="F525" i="9"/>
  <c r="J525" i="9"/>
  <c r="H525" i="9"/>
  <c r="G525" i="9"/>
  <c r="K525" i="9"/>
  <c r="M525" i="9"/>
  <c r="I525" i="9"/>
  <c r="F347" i="9"/>
  <c r="J347" i="9"/>
  <c r="I347" i="9"/>
  <c r="H347" i="9"/>
  <c r="K347" i="9"/>
  <c r="M347" i="9"/>
  <c r="G347" i="9"/>
  <c r="J602" i="9"/>
  <c r="I602" i="9"/>
  <c r="G602" i="9"/>
  <c r="K602" i="9"/>
  <c r="M602" i="9"/>
  <c r="K541" i="9"/>
  <c r="M541" i="9"/>
  <c r="J541" i="9"/>
  <c r="I541" i="9"/>
  <c r="H541" i="9"/>
  <c r="F401" i="9"/>
  <c r="K401" i="9"/>
  <c r="M401" i="9"/>
  <c r="J401" i="9"/>
  <c r="H401" i="9"/>
  <c r="G401" i="9"/>
  <c r="I401" i="9"/>
  <c r="K670" i="9"/>
  <c r="M670" i="9"/>
  <c r="J670" i="9"/>
  <c r="I670" i="9"/>
  <c r="H670" i="9"/>
  <c r="F316" i="9"/>
  <c r="K316" i="9"/>
  <c r="M316" i="9"/>
  <c r="J316" i="9"/>
  <c r="I316" i="9"/>
  <c r="H316" i="9"/>
  <c r="G316" i="9"/>
  <c r="F378" i="9"/>
  <c r="I378" i="9"/>
  <c r="H378" i="9"/>
  <c r="G378" i="9"/>
  <c r="J378" i="9"/>
  <c r="K378" i="9"/>
  <c r="M378" i="9"/>
  <c r="G697" i="9"/>
  <c r="I697" i="9"/>
  <c r="H697" i="9"/>
  <c r="H584" i="9"/>
  <c r="K584" i="9"/>
  <c r="M584" i="9"/>
  <c r="J584" i="9"/>
  <c r="G584" i="9"/>
  <c r="K722" i="9"/>
  <c r="M722" i="9"/>
  <c r="F697" i="9"/>
  <c r="F526" i="9"/>
  <c r="K526" i="9"/>
  <c r="M526" i="9"/>
  <c r="J526" i="9"/>
  <c r="G526" i="9"/>
  <c r="I526" i="9"/>
  <c r="H526" i="9"/>
  <c r="F370" i="9"/>
  <c r="K370" i="9"/>
  <c r="M370" i="9"/>
  <c r="J370" i="9"/>
  <c r="G370" i="9"/>
  <c r="I370" i="9"/>
  <c r="H370" i="9"/>
  <c r="J758" i="9"/>
  <c r="K758" i="9"/>
  <c r="M758" i="9"/>
  <c r="J591" i="9"/>
  <c r="F699" i="9"/>
  <c r="K598" i="9"/>
  <c r="M598" i="9"/>
  <c r="K570" i="9"/>
  <c r="M570" i="9"/>
  <c r="J557" i="9"/>
  <c r="H557" i="9"/>
  <c r="G557" i="9"/>
  <c r="F292" i="9"/>
  <c r="G292" i="9"/>
  <c r="I292" i="9"/>
  <c r="K292" i="9"/>
  <c r="M292" i="9"/>
  <c r="H292" i="9"/>
  <c r="J292" i="9"/>
  <c r="J642" i="9"/>
  <c r="K642" i="9"/>
  <c r="M642" i="9"/>
  <c r="H642" i="9"/>
  <c r="F457" i="9"/>
  <c r="I457" i="9"/>
  <c r="H457" i="9"/>
  <c r="G457" i="9"/>
  <c r="J457" i="9"/>
  <c r="K457" i="9"/>
  <c r="M457" i="9"/>
  <c r="F702" i="9"/>
  <c r="J702" i="9"/>
  <c r="G702" i="9"/>
  <c r="K702" i="9"/>
  <c r="M702" i="9"/>
  <c r="I702" i="9"/>
  <c r="H702" i="9"/>
  <c r="F270" i="9"/>
  <c r="J270" i="9"/>
  <c r="I270" i="9"/>
  <c r="H270" i="9"/>
  <c r="G270" i="9"/>
  <c r="K270" i="9"/>
  <c r="M270" i="9"/>
  <c r="F555" i="9"/>
  <c r="I555" i="9"/>
  <c r="H555" i="9"/>
  <c r="G555" i="9"/>
  <c r="K555" i="9"/>
  <c r="M555" i="9"/>
  <c r="J555" i="9"/>
  <c r="J293" i="9"/>
  <c r="H293" i="9"/>
  <c r="K293" i="9"/>
  <c r="M293" i="9"/>
  <c r="I293" i="9"/>
  <c r="F290" i="9"/>
  <c r="K290" i="9"/>
  <c r="M290" i="9"/>
  <c r="G290" i="9"/>
  <c r="J290" i="9"/>
  <c r="I290" i="9"/>
  <c r="H290" i="9"/>
  <c r="F521" i="9"/>
  <c r="I521" i="9"/>
  <c r="G521" i="9"/>
  <c r="K521" i="9"/>
  <c r="M521" i="9"/>
  <c r="J521" i="9"/>
  <c r="H521" i="9"/>
  <c r="F445" i="9"/>
  <c r="K445" i="9"/>
  <c r="M445" i="9"/>
  <c r="J445" i="9"/>
  <c r="I445" i="9"/>
  <c r="H445" i="9"/>
  <c r="G445" i="9"/>
  <c r="F195" i="9"/>
  <c r="K195" i="9"/>
  <c r="M195" i="9"/>
  <c r="I195" i="9"/>
  <c r="H195" i="9"/>
  <c r="G195" i="9"/>
  <c r="J195" i="9"/>
  <c r="F490" i="9"/>
  <c r="J490" i="9"/>
  <c r="H490" i="9"/>
  <c r="I490" i="9"/>
  <c r="G490" i="9"/>
  <c r="K490" i="9"/>
  <c r="M490" i="9"/>
  <c r="F432" i="9"/>
  <c r="K432" i="9"/>
  <c r="M432" i="9"/>
  <c r="J432" i="9"/>
  <c r="I432" i="9"/>
  <c r="G432" i="9"/>
  <c r="H432" i="9"/>
  <c r="F672" i="9"/>
  <c r="G672" i="9"/>
  <c r="J672" i="9"/>
  <c r="I672" i="9"/>
  <c r="H672" i="9"/>
  <c r="K672" i="9"/>
  <c r="M672" i="9"/>
  <c r="F719" i="9"/>
  <c r="H719" i="9"/>
  <c r="G719" i="9"/>
  <c r="K719" i="9"/>
  <c r="M719" i="9"/>
  <c r="J719" i="9"/>
  <c r="I719" i="9"/>
  <c r="F258" i="9"/>
  <c r="K258" i="9"/>
  <c r="M258" i="9"/>
  <c r="H258" i="9"/>
  <c r="G258" i="9"/>
  <c r="I258" i="9"/>
  <c r="J258" i="9"/>
  <c r="F363" i="9"/>
  <c r="G363" i="9"/>
  <c r="H363" i="9"/>
  <c r="J363" i="9"/>
  <c r="I363" i="9"/>
  <c r="K363" i="9"/>
  <c r="M363" i="9"/>
  <c r="F712" i="9"/>
  <c r="K712" i="9"/>
  <c r="M712" i="9"/>
  <c r="I712" i="9"/>
  <c r="H712" i="9"/>
  <c r="G712" i="9"/>
  <c r="J712" i="9"/>
  <c r="F608" i="9"/>
  <c r="H608" i="9"/>
  <c r="K608" i="9"/>
  <c r="M608" i="9"/>
  <c r="G608" i="9"/>
  <c r="J608" i="9"/>
  <c r="I608" i="9"/>
  <c r="F511" i="9"/>
  <c r="I511" i="9"/>
  <c r="H511" i="9"/>
  <c r="J511" i="9"/>
  <c r="G511" i="9"/>
  <c r="K511" i="9"/>
  <c r="M511" i="9"/>
  <c r="F681" i="9"/>
  <c r="K681" i="9"/>
  <c r="M681" i="9"/>
  <c r="I681" i="9"/>
  <c r="J681" i="9"/>
  <c r="G681" i="9"/>
  <c r="H681" i="9"/>
  <c r="F245" i="9"/>
  <c r="J245" i="9"/>
  <c r="I245" i="9"/>
  <c r="H245" i="9"/>
  <c r="K245" i="9"/>
  <c r="M245" i="9"/>
  <c r="G245" i="9"/>
  <c r="F178" i="9"/>
  <c r="I178" i="9"/>
  <c r="H178" i="9"/>
  <c r="G178" i="9"/>
  <c r="K178" i="9"/>
  <c r="M178" i="9"/>
  <c r="J178" i="9"/>
  <c r="F625" i="9"/>
  <c r="J625" i="9"/>
  <c r="G625" i="9"/>
  <c r="K625" i="9"/>
  <c r="M625" i="9"/>
  <c r="I625" i="9"/>
  <c r="H625" i="9"/>
  <c r="F610" i="9"/>
  <c r="G610" i="9"/>
  <c r="I610" i="9"/>
  <c r="H610" i="9"/>
  <c r="J610" i="9"/>
  <c r="K610" i="9"/>
  <c r="M610" i="9"/>
  <c r="F186" i="9"/>
  <c r="J186" i="9"/>
  <c r="K186" i="9"/>
  <c r="M186" i="9"/>
  <c r="H186" i="9"/>
  <c r="I186" i="9"/>
  <c r="G186" i="9"/>
  <c r="F748" i="9"/>
  <c r="K748" i="9"/>
  <c r="M748" i="9"/>
  <c r="G748" i="9"/>
  <c r="J748" i="9"/>
  <c r="I748" i="9"/>
  <c r="H748" i="9"/>
  <c r="F595" i="9"/>
  <c r="J595" i="9"/>
  <c r="K595" i="9"/>
  <c r="M595" i="9"/>
  <c r="H595" i="9"/>
  <c r="I595" i="9"/>
  <c r="G595" i="9"/>
  <c r="F549" i="9"/>
  <c r="J549" i="9"/>
  <c r="H549" i="9"/>
  <c r="G549" i="9"/>
  <c r="I549" i="9"/>
  <c r="K549" i="9"/>
  <c r="M549" i="9"/>
  <c r="G733" i="9"/>
  <c r="F733" i="9"/>
  <c r="H733" i="9"/>
  <c r="J733" i="9"/>
  <c r="I733" i="9"/>
  <c r="K733" i="9"/>
  <c r="M733" i="9"/>
  <c r="F131" i="9"/>
  <c r="I131" i="9"/>
  <c r="H131" i="9"/>
  <c r="J131" i="9"/>
  <c r="G131" i="9"/>
  <c r="K131" i="9"/>
  <c r="M131" i="9"/>
  <c r="F475" i="9"/>
  <c r="K475" i="9"/>
  <c r="M475" i="9"/>
  <c r="J475" i="9"/>
  <c r="G475" i="9"/>
  <c r="H475" i="9"/>
  <c r="I475" i="9"/>
  <c r="K269" i="9"/>
  <c r="M269" i="9"/>
  <c r="J269" i="9"/>
  <c r="I269" i="9"/>
  <c r="H269" i="9"/>
  <c r="G269" i="9"/>
  <c r="F269" i="9"/>
  <c r="F191" i="9"/>
  <c r="K191" i="9"/>
  <c r="M191" i="9"/>
  <c r="G191" i="9"/>
  <c r="I191" i="9"/>
  <c r="H191" i="9"/>
  <c r="J191" i="9"/>
  <c r="F151" i="9"/>
  <c r="H151" i="9"/>
  <c r="G151" i="9"/>
  <c r="K151" i="9"/>
  <c r="M151" i="9"/>
  <c r="J151" i="9"/>
  <c r="I151" i="9"/>
  <c r="F687" i="9"/>
  <c r="K687" i="9"/>
  <c r="M687" i="9"/>
  <c r="J687" i="9"/>
  <c r="H687" i="9"/>
  <c r="G687" i="9"/>
  <c r="I687" i="9"/>
  <c r="F732" i="9"/>
  <c r="K732" i="9"/>
  <c r="M732" i="9"/>
  <c r="J732" i="9"/>
  <c r="G732" i="9"/>
  <c r="H732" i="9"/>
  <c r="I732" i="9"/>
  <c r="F303" i="9"/>
  <c r="K303" i="9"/>
  <c r="M303" i="9"/>
  <c r="J303" i="9"/>
  <c r="I303" i="9"/>
  <c r="H303" i="9"/>
  <c r="G303" i="9"/>
  <c r="F393" i="9"/>
  <c r="J393" i="9"/>
  <c r="H393" i="9"/>
  <c r="G393" i="9"/>
  <c r="K393" i="9"/>
  <c r="M393" i="9"/>
  <c r="I393" i="9"/>
  <c r="F251" i="9"/>
  <c r="I251" i="9"/>
  <c r="K251" i="9"/>
  <c r="M251" i="9"/>
  <c r="G251" i="9"/>
  <c r="J251" i="9"/>
  <c r="H251" i="9"/>
  <c r="F635" i="9"/>
  <c r="J635" i="9"/>
  <c r="G635" i="9"/>
  <c r="K635" i="9"/>
  <c r="M635" i="9"/>
  <c r="H635" i="9"/>
  <c r="I635" i="9"/>
  <c r="F565" i="9"/>
  <c r="J565" i="9"/>
  <c r="G565" i="9"/>
  <c r="K565" i="9"/>
  <c r="M565" i="9"/>
  <c r="I565" i="9"/>
  <c r="H565" i="9"/>
  <c r="F693" i="9"/>
  <c r="K693" i="9"/>
  <c r="M693" i="9"/>
  <c r="J693" i="9"/>
  <c r="I693" i="9"/>
  <c r="H693" i="9"/>
  <c r="G693" i="9"/>
  <c r="F412" i="9"/>
  <c r="J412" i="9"/>
  <c r="H412" i="9"/>
  <c r="G412" i="9"/>
  <c r="K412" i="9"/>
  <c r="M412" i="9"/>
  <c r="I412" i="9"/>
  <c r="F253" i="9"/>
  <c r="I253" i="9"/>
  <c r="J253" i="9"/>
  <c r="H253" i="9"/>
  <c r="G253" i="9"/>
  <c r="K253" i="9"/>
  <c r="M253" i="9"/>
  <c r="F701" i="9"/>
  <c r="K701" i="9"/>
  <c r="M701" i="9"/>
  <c r="H701" i="9"/>
  <c r="J701" i="9"/>
  <c r="I701" i="9"/>
  <c r="G701" i="9"/>
  <c r="F469" i="9"/>
  <c r="G469" i="9"/>
  <c r="J469" i="9"/>
  <c r="K469" i="9"/>
  <c r="M469" i="9"/>
  <c r="I469" i="9"/>
  <c r="H469" i="9"/>
  <c r="F396" i="9"/>
  <c r="I396" i="9"/>
  <c r="K396" i="9"/>
  <c r="M396" i="9"/>
  <c r="J396" i="9"/>
  <c r="H396" i="9"/>
  <c r="G396" i="9"/>
  <c r="F299" i="9"/>
  <c r="G299" i="9"/>
  <c r="J299" i="9"/>
  <c r="K299" i="9"/>
  <c r="M299" i="9"/>
  <c r="I299" i="9"/>
  <c r="H299" i="9"/>
  <c r="F691" i="9"/>
  <c r="J691" i="9"/>
  <c r="H691" i="9"/>
  <c r="G691" i="9"/>
  <c r="K691" i="9"/>
  <c r="M691" i="9"/>
  <c r="I691" i="9"/>
  <c r="F655" i="9"/>
  <c r="K655" i="9"/>
  <c r="M655" i="9"/>
  <c r="J655" i="9"/>
  <c r="I655" i="9"/>
  <c r="H655" i="9"/>
  <c r="G655" i="9"/>
  <c r="F275" i="9"/>
  <c r="H275" i="9"/>
  <c r="I275" i="9"/>
  <c r="J275" i="9"/>
  <c r="G275" i="9"/>
  <c r="K275" i="9"/>
  <c r="M275" i="9"/>
  <c r="F279" i="9"/>
  <c r="G279" i="9"/>
  <c r="K279" i="9"/>
  <c r="M279" i="9"/>
  <c r="J279" i="9"/>
  <c r="I279" i="9"/>
  <c r="H279" i="9"/>
  <c r="F716" i="9"/>
  <c r="G716" i="9"/>
  <c r="I716" i="9"/>
  <c r="K716" i="9"/>
  <c r="M716" i="9"/>
  <c r="J716" i="9"/>
  <c r="H716" i="9"/>
  <c r="F472" i="9"/>
  <c r="K472" i="9"/>
  <c r="M472" i="9"/>
  <c r="I472" i="9"/>
  <c r="G472" i="9"/>
  <c r="J472" i="9"/>
  <c r="H472" i="9"/>
  <c r="F465" i="9"/>
  <c r="K465" i="9"/>
  <c r="M465" i="9"/>
  <c r="J465" i="9"/>
  <c r="I465" i="9"/>
  <c r="G465" i="9"/>
  <c r="H465" i="9"/>
  <c r="F208" i="9"/>
  <c r="G208" i="9"/>
  <c r="H208" i="9"/>
  <c r="J208" i="9"/>
  <c r="I208" i="9"/>
  <c r="K208" i="9"/>
  <c r="F273" i="9"/>
  <c r="H273" i="9"/>
  <c r="J273" i="9"/>
  <c r="I273" i="9"/>
  <c r="G273" i="9"/>
  <c r="K273" i="9"/>
  <c r="M273" i="9"/>
  <c r="F182" i="9"/>
  <c r="J182" i="9"/>
  <c r="I182" i="9"/>
  <c r="K182" i="9"/>
  <c r="M182" i="9"/>
  <c r="H182" i="9"/>
  <c r="G182" i="9"/>
  <c r="F340" i="9"/>
  <c r="I340" i="9"/>
  <c r="G340" i="9"/>
  <c r="K340" i="9"/>
  <c r="M340" i="9"/>
  <c r="J340" i="9"/>
  <c r="H340" i="9"/>
  <c r="F219" i="9"/>
  <c r="J219" i="9"/>
  <c r="I219" i="9"/>
  <c r="H219" i="9"/>
  <c r="K219" i="9"/>
  <c r="M219" i="9"/>
  <c r="G219" i="9"/>
  <c r="F403" i="9"/>
  <c r="H403" i="9"/>
  <c r="I403" i="9"/>
  <c r="G403" i="9"/>
  <c r="J403" i="9"/>
  <c r="K403" i="9"/>
  <c r="M403" i="9"/>
  <c r="F468" i="9"/>
  <c r="K468" i="9"/>
  <c r="M468" i="9"/>
  <c r="H468" i="9"/>
  <c r="J468" i="9"/>
  <c r="G468" i="9"/>
  <c r="I468" i="9"/>
  <c r="F444" i="9"/>
  <c r="I444" i="9"/>
  <c r="H444" i="9"/>
  <c r="J444" i="9"/>
  <c r="G444" i="9"/>
  <c r="K444" i="9"/>
  <c r="M444" i="9"/>
  <c r="H489" i="9"/>
  <c r="J489" i="9"/>
  <c r="K489" i="9"/>
  <c r="M489" i="9"/>
  <c r="I489" i="9"/>
  <c r="G489" i="9"/>
  <c r="F489" i="9"/>
  <c r="F492" i="9"/>
  <c r="K492" i="9"/>
  <c r="M492" i="9"/>
  <c r="J492" i="9"/>
  <c r="G492" i="9"/>
  <c r="I492" i="9"/>
  <c r="H492" i="9"/>
  <c r="F496" i="9"/>
  <c r="H496" i="9"/>
  <c r="I496" i="9"/>
  <c r="K496" i="9"/>
  <c r="M496" i="9"/>
  <c r="G496" i="9"/>
  <c r="J496" i="9"/>
  <c r="F265" i="9"/>
  <c r="G265" i="9"/>
  <c r="J265" i="9"/>
  <c r="K265" i="9"/>
  <c r="M265" i="9"/>
  <c r="H265" i="9"/>
  <c r="I265" i="9"/>
  <c r="F223" i="9"/>
  <c r="I223" i="9"/>
  <c r="H223" i="9"/>
  <c r="G223" i="9"/>
  <c r="K223" i="9"/>
  <c r="M223" i="9"/>
  <c r="J223" i="9"/>
  <c r="F562" i="9"/>
  <c r="J562" i="9"/>
  <c r="G562" i="9"/>
  <c r="K562" i="9"/>
  <c r="M562" i="9"/>
  <c r="H562" i="9"/>
  <c r="I562" i="9"/>
  <c r="F517" i="9"/>
  <c r="H517" i="9"/>
  <c r="G517" i="9"/>
  <c r="I517" i="9"/>
  <c r="K517" i="9"/>
  <c r="M517" i="9"/>
  <c r="J517" i="9"/>
  <c r="F242" i="9"/>
  <c r="K242" i="9"/>
  <c r="M242" i="9"/>
  <c r="J242" i="9"/>
  <c r="G242" i="9"/>
  <c r="I242" i="9"/>
  <c r="H242" i="9"/>
  <c r="F537" i="9"/>
  <c r="I537" i="9"/>
  <c r="K537" i="9"/>
  <c r="M537" i="9"/>
  <c r="H537" i="9"/>
  <c r="G537" i="9"/>
  <c r="J537" i="9"/>
  <c r="F744" i="9"/>
  <c r="K744" i="9"/>
  <c r="M744" i="9"/>
  <c r="J744" i="9"/>
  <c r="H744" i="9"/>
  <c r="G744" i="9"/>
  <c r="I744" i="9"/>
  <c r="F543" i="9"/>
  <c r="I543" i="9"/>
  <c r="K543" i="9"/>
  <c r="M543" i="9"/>
  <c r="J543" i="9"/>
  <c r="H543" i="9"/>
  <c r="G543" i="9"/>
  <c r="F394" i="9"/>
  <c r="K394" i="9"/>
  <c r="M394" i="9"/>
  <c r="I394" i="9"/>
  <c r="G394" i="9"/>
  <c r="J394" i="9"/>
  <c r="H394" i="9"/>
  <c r="F621" i="9"/>
  <c r="K621" i="9"/>
  <c r="M621" i="9"/>
  <c r="G621" i="9"/>
  <c r="H621" i="9"/>
  <c r="J621" i="9"/>
  <c r="I621" i="9"/>
  <c r="F735" i="9"/>
  <c r="H735" i="9"/>
  <c r="J735" i="9"/>
  <c r="G735" i="9"/>
  <c r="K735" i="9"/>
  <c r="M735" i="9"/>
  <c r="I735" i="9"/>
  <c r="F679" i="9"/>
  <c r="I679" i="9"/>
  <c r="G679" i="9"/>
  <c r="K679" i="9"/>
  <c r="M679" i="9"/>
  <c r="H679" i="9"/>
  <c r="J679" i="9"/>
  <c r="F592" i="9"/>
  <c r="I592" i="9"/>
  <c r="G592" i="9"/>
  <c r="H592" i="9"/>
  <c r="K592" i="9"/>
  <c r="M592" i="9"/>
  <c r="J592" i="9"/>
  <c r="F171" i="9"/>
  <c r="G171" i="9"/>
  <c r="K171" i="9"/>
  <c r="M171" i="9"/>
  <c r="I171" i="9"/>
  <c r="H171" i="9"/>
  <c r="J171" i="9"/>
  <c r="F204" i="9"/>
  <c r="G204" i="9"/>
  <c r="J204" i="9"/>
  <c r="H204" i="9"/>
  <c r="I204" i="9"/>
  <c r="K204" i="9"/>
  <c r="F331" i="9"/>
  <c r="J331" i="9"/>
  <c r="H331" i="9"/>
  <c r="G331" i="9"/>
  <c r="I331" i="9"/>
  <c r="K331" i="9"/>
  <c r="M331" i="9"/>
  <c r="F441" i="9"/>
  <c r="K441" i="9"/>
  <c r="M441" i="9"/>
  <c r="J441" i="9"/>
  <c r="H441" i="9"/>
  <c r="G441" i="9"/>
  <c r="I441" i="9"/>
  <c r="F408" i="9"/>
  <c r="H408" i="9"/>
  <c r="K408" i="9"/>
  <c r="M408" i="9"/>
  <c r="J408" i="9"/>
  <c r="I408" i="9"/>
  <c r="G408" i="9"/>
  <c r="F309" i="9"/>
  <c r="G309" i="9"/>
  <c r="K309" i="9"/>
  <c r="M309" i="9"/>
  <c r="J309" i="9"/>
  <c r="I309" i="9"/>
  <c r="H309" i="9"/>
  <c r="F474" i="9"/>
  <c r="I474" i="9"/>
  <c r="K474" i="9"/>
  <c r="M474" i="9"/>
  <c r="H474" i="9"/>
  <c r="G474" i="9"/>
  <c r="J474" i="9"/>
  <c r="F439" i="9"/>
  <c r="G439" i="9"/>
  <c r="K439" i="9"/>
  <c r="M439" i="9"/>
  <c r="H439" i="9"/>
  <c r="J439" i="9"/>
  <c r="I439" i="9"/>
  <c r="F420" i="9"/>
  <c r="K420" i="9"/>
  <c r="M420" i="9"/>
  <c r="J420" i="9"/>
  <c r="I420" i="9"/>
  <c r="H420" i="9"/>
  <c r="G420" i="9"/>
  <c r="F322" i="9"/>
  <c r="H322" i="9"/>
  <c r="G322" i="9"/>
  <c r="I322" i="9"/>
  <c r="J322" i="9"/>
  <c r="K322" i="9"/>
  <c r="M322" i="9"/>
  <c r="F390" i="9"/>
  <c r="G390" i="9"/>
  <c r="J390" i="9"/>
  <c r="I390" i="9"/>
  <c r="H390" i="9"/>
  <c r="K390" i="9"/>
  <c r="M390" i="9"/>
  <c r="F729" i="9"/>
  <c r="H729" i="9"/>
  <c r="I729" i="9"/>
  <c r="G729" i="9"/>
  <c r="K729" i="9"/>
  <c r="M729" i="9"/>
  <c r="J729" i="9"/>
  <c r="F604" i="9"/>
  <c r="H604" i="9"/>
  <c r="J604" i="9"/>
  <c r="G604" i="9"/>
  <c r="K604" i="9"/>
  <c r="M604" i="9"/>
  <c r="I604" i="9"/>
  <c r="F714" i="9"/>
  <c r="G714" i="9"/>
  <c r="I714" i="9"/>
  <c r="K714" i="9"/>
  <c r="M714" i="9"/>
  <c r="J714" i="9"/>
  <c r="H714" i="9"/>
  <c r="F724" i="9"/>
  <c r="K724" i="9"/>
  <c r="M724" i="9"/>
  <c r="G724" i="9"/>
  <c r="J724" i="9"/>
  <c r="H724" i="9"/>
  <c r="I724" i="9"/>
  <c r="F304" i="9"/>
  <c r="G304" i="9"/>
  <c r="J304" i="9"/>
  <c r="K304" i="9"/>
  <c r="M304" i="9"/>
  <c r="I304" i="9"/>
  <c r="H304" i="9"/>
  <c r="F342" i="9"/>
  <c r="K342" i="9"/>
  <c r="M342" i="9"/>
  <c r="J342" i="9"/>
  <c r="I342" i="9"/>
  <c r="H342" i="9"/>
  <c r="G342" i="9"/>
  <c r="F476" i="9"/>
  <c r="I476" i="9"/>
  <c r="K476" i="9"/>
  <c r="M476" i="9"/>
  <c r="H476" i="9"/>
  <c r="J476" i="9"/>
  <c r="G476" i="9"/>
  <c r="F509" i="9"/>
  <c r="J509" i="9"/>
  <c r="G509" i="9"/>
  <c r="K509" i="9"/>
  <c r="M509" i="9"/>
  <c r="I509" i="9"/>
  <c r="H509" i="9"/>
  <c r="F574" i="9"/>
  <c r="K574" i="9"/>
  <c r="M574" i="9"/>
  <c r="J574" i="9"/>
  <c r="H574" i="9"/>
  <c r="G574" i="9"/>
  <c r="I574" i="9"/>
  <c r="F627" i="9"/>
  <c r="J627" i="9"/>
  <c r="H627" i="9"/>
  <c r="G627" i="9"/>
  <c r="K627" i="9"/>
  <c r="M627" i="9"/>
  <c r="I627" i="9"/>
  <c r="G754" i="9"/>
  <c r="K754" i="9"/>
  <c r="M754" i="9"/>
  <c r="J754" i="9"/>
  <c r="H754" i="9"/>
  <c r="F306" i="9"/>
  <c r="G306" i="9"/>
  <c r="H306" i="9"/>
  <c r="I306" i="9"/>
  <c r="K306" i="9"/>
  <c r="M306" i="9"/>
  <c r="J306" i="9"/>
  <c r="F321" i="9"/>
  <c r="J321" i="9"/>
  <c r="K321" i="9"/>
  <c r="M321" i="9"/>
  <c r="I321" i="9"/>
  <c r="H321" i="9"/>
  <c r="G321" i="9"/>
  <c r="F254" i="9"/>
  <c r="K254" i="9"/>
  <c r="M254" i="9"/>
  <c r="I254" i="9"/>
  <c r="J254" i="9"/>
  <c r="H254" i="9"/>
  <c r="G254" i="9"/>
  <c r="F379" i="9"/>
  <c r="H379" i="9"/>
  <c r="J379" i="9"/>
  <c r="I379" i="9"/>
  <c r="G379" i="9"/>
  <c r="K379" i="9"/>
  <c r="M379" i="9"/>
  <c r="F318" i="9"/>
  <c r="K318" i="9"/>
  <c r="M318" i="9"/>
  <c r="G318" i="9"/>
  <c r="J318" i="9"/>
  <c r="I318" i="9"/>
  <c r="H318" i="9"/>
  <c r="F504" i="9"/>
  <c r="J504" i="9"/>
  <c r="K504" i="9"/>
  <c r="M504" i="9"/>
  <c r="I504" i="9"/>
  <c r="H504" i="9"/>
  <c r="G504" i="9"/>
  <c r="F626" i="9"/>
  <c r="G626" i="9"/>
  <c r="H626" i="9"/>
  <c r="J626" i="9"/>
  <c r="I626" i="9"/>
  <c r="K626" i="9"/>
  <c r="M626" i="9"/>
  <c r="F523" i="9"/>
  <c r="H523" i="9"/>
  <c r="K523" i="9"/>
  <c r="M523" i="9"/>
  <c r="J523" i="9"/>
  <c r="I523" i="9"/>
  <c r="G523" i="9"/>
  <c r="F546" i="9"/>
  <c r="G546" i="9"/>
  <c r="K546" i="9"/>
  <c r="M546" i="9"/>
  <c r="J546" i="9"/>
  <c r="H546" i="9"/>
  <c r="I546" i="9"/>
  <c r="F524" i="9"/>
  <c r="K524" i="9"/>
  <c r="M524" i="9"/>
  <c r="J524" i="9"/>
  <c r="H524" i="9"/>
  <c r="G524" i="9"/>
  <c r="I524" i="9"/>
  <c r="F534" i="9"/>
  <c r="K534" i="9"/>
  <c r="M534" i="9"/>
  <c r="H534" i="9"/>
  <c r="J534" i="9"/>
  <c r="I534" i="9"/>
  <c r="G534" i="9"/>
  <c r="F341" i="9"/>
  <c r="J341" i="9"/>
  <c r="I341" i="9"/>
  <c r="G341" i="9"/>
  <c r="H341" i="9"/>
  <c r="K341" i="9"/>
  <c r="M341" i="9"/>
  <c r="F210" i="9"/>
  <c r="G210" i="9"/>
  <c r="I210" i="9"/>
  <c r="H210" i="9"/>
  <c r="K210" i="9"/>
  <c r="M210" i="9"/>
  <c r="J210" i="9"/>
  <c r="F248" i="9"/>
  <c r="G248" i="9"/>
  <c r="H248" i="9"/>
  <c r="K248" i="9"/>
  <c r="M248" i="9"/>
  <c r="J248" i="9"/>
  <c r="I248" i="9"/>
  <c r="F597" i="9"/>
  <c r="I597" i="9"/>
  <c r="J597" i="9"/>
  <c r="G597" i="9"/>
  <c r="H597" i="9"/>
  <c r="K597" i="9"/>
  <c r="M597" i="9"/>
  <c r="F650" i="9"/>
  <c r="G650" i="9"/>
  <c r="J650" i="9"/>
  <c r="H650" i="9"/>
  <c r="K650" i="9"/>
  <c r="M650" i="9"/>
  <c r="I650" i="9"/>
  <c r="F267" i="9"/>
  <c r="J267" i="9"/>
  <c r="G267" i="9"/>
  <c r="I267" i="9"/>
  <c r="H267" i="9"/>
  <c r="K267" i="9"/>
  <c r="M267" i="9"/>
  <c r="F501" i="9"/>
  <c r="J501" i="9"/>
  <c r="G501" i="9"/>
  <c r="I501" i="9"/>
  <c r="K501" i="9"/>
  <c r="M501" i="9"/>
  <c r="H501" i="9"/>
  <c r="F214" i="9"/>
  <c r="K214" i="9"/>
  <c r="M214" i="9"/>
  <c r="G214" i="9"/>
  <c r="I214" i="9"/>
  <c r="J214" i="9"/>
  <c r="H214" i="9"/>
  <c r="F229" i="9"/>
  <c r="J229" i="9"/>
  <c r="H229" i="9"/>
  <c r="K229" i="9"/>
  <c r="M229" i="9"/>
  <c r="G229" i="9"/>
  <c r="I229" i="9"/>
  <c r="F415" i="9"/>
  <c r="H415" i="9"/>
  <c r="K415" i="9"/>
  <c r="M415" i="9"/>
  <c r="J415" i="9"/>
  <c r="I415" i="9"/>
  <c r="G415" i="9"/>
  <c r="F726" i="9"/>
  <c r="K726" i="9"/>
  <c r="M726" i="9"/>
  <c r="I726" i="9"/>
  <c r="H726" i="9"/>
  <c r="G726" i="9"/>
  <c r="J726" i="9"/>
  <c r="F503" i="9"/>
  <c r="K503" i="9"/>
  <c r="M503" i="9"/>
  <c r="J503" i="9"/>
  <c r="G503" i="9"/>
  <c r="I503" i="9"/>
  <c r="H503" i="9"/>
  <c r="F142" i="9"/>
  <c r="H142" i="9"/>
  <c r="I142" i="9"/>
  <c r="G142" i="9"/>
  <c r="J142" i="9"/>
  <c r="K142" i="9"/>
  <c r="M142" i="9"/>
  <c r="F231" i="9"/>
  <c r="K231" i="9"/>
  <c r="M231" i="9"/>
  <c r="H231" i="9"/>
  <c r="J231" i="9"/>
  <c r="I231" i="9"/>
  <c r="G231" i="9"/>
  <c r="F462" i="9"/>
  <c r="K462" i="9"/>
  <c r="M462" i="9"/>
  <c r="G462" i="9"/>
  <c r="J462" i="9"/>
  <c r="I462" i="9"/>
  <c r="H462" i="9"/>
  <c r="F704" i="9"/>
  <c r="K704" i="9"/>
  <c r="M704" i="9"/>
  <c r="I704" i="9"/>
  <c r="G704" i="9"/>
  <c r="J704" i="9"/>
  <c r="H704" i="9"/>
  <c r="F641" i="9"/>
  <c r="G641" i="9"/>
  <c r="K641" i="9"/>
  <c r="M641" i="9"/>
  <c r="J641" i="9"/>
  <c r="H641" i="9"/>
  <c r="I641" i="9"/>
  <c r="F176" i="9"/>
  <c r="I176" i="9"/>
  <c r="G176" i="9"/>
  <c r="K176" i="9"/>
  <c r="M176" i="9"/>
  <c r="J176" i="9"/>
  <c r="H176" i="9"/>
  <c r="F169" i="9"/>
  <c r="H169" i="9"/>
  <c r="J169" i="9"/>
  <c r="I169" i="9"/>
  <c r="G169" i="9"/>
  <c r="K169" i="9"/>
  <c r="M169" i="9"/>
  <c r="F387" i="9"/>
  <c r="H387" i="9"/>
  <c r="G387" i="9"/>
  <c r="I387" i="9"/>
  <c r="J387" i="9"/>
  <c r="K387" i="9"/>
  <c r="M387" i="9"/>
  <c r="F751" i="9"/>
  <c r="K751" i="9"/>
  <c r="M751" i="9"/>
  <c r="J751" i="9"/>
  <c r="I751" i="9"/>
  <c r="H751" i="9"/>
  <c r="G751" i="9"/>
  <c r="F539" i="9"/>
  <c r="K539" i="9"/>
  <c r="M539" i="9"/>
  <c r="I539" i="9"/>
  <c r="G539" i="9"/>
  <c r="H539" i="9"/>
  <c r="J539" i="9"/>
  <c r="F487" i="9"/>
  <c r="K487" i="9"/>
  <c r="M487" i="9"/>
  <c r="J487" i="9"/>
  <c r="G487" i="9"/>
  <c r="I487" i="9"/>
  <c r="H487" i="9"/>
  <c r="F301" i="9"/>
  <c r="H301" i="9"/>
  <c r="I301" i="9"/>
  <c r="J301" i="9"/>
  <c r="G301" i="9"/>
  <c r="K301" i="9"/>
  <c r="M301" i="9"/>
  <c r="F222" i="9"/>
  <c r="K222" i="9"/>
  <c r="M222" i="9"/>
  <c r="H222" i="9"/>
  <c r="J222" i="9"/>
  <c r="I222" i="9"/>
  <c r="G222" i="9"/>
  <c r="F529" i="9"/>
  <c r="G529" i="9"/>
  <c r="H529" i="9"/>
  <c r="I529" i="9"/>
  <c r="J529" i="9"/>
  <c r="K529" i="9"/>
  <c r="M529" i="9"/>
  <c r="F505" i="9"/>
  <c r="H505" i="9"/>
  <c r="G505" i="9"/>
  <c r="K505" i="9"/>
  <c r="M505" i="9"/>
  <c r="J505" i="9"/>
  <c r="I505" i="9"/>
  <c r="F307" i="9"/>
  <c r="J307" i="9"/>
  <c r="I307" i="9"/>
  <c r="H307" i="9"/>
  <c r="K307" i="9"/>
  <c r="M307" i="9"/>
  <c r="G307" i="9"/>
  <c r="F241" i="9"/>
  <c r="J241" i="9"/>
  <c r="I241" i="9"/>
  <c r="H241" i="9"/>
  <c r="G241" i="9"/>
  <c r="K241" i="9"/>
  <c r="M241" i="9"/>
  <c r="F676" i="9"/>
  <c r="K676" i="9"/>
  <c r="M676" i="9"/>
  <c r="J676" i="9"/>
  <c r="H676" i="9"/>
  <c r="G676" i="9"/>
  <c r="I676" i="9"/>
  <c r="F739" i="9"/>
  <c r="K739" i="9"/>
  <c r="M739" i="9"/>
  <c r="I739" i="9"/>
  <c r="G739" i="9"/>
  <c r="J739" i="9"/>
  <c r="H739" i="9"/>
  <c r="F215" i="9"/>
  <c r="H215" i="9"/>
  <c r="G215" i="9"/>
  <c r="I215" i="9"/>
  <c r="K215" i="9"/>
  <c r="M215" i="9"/>
  <c r="J215" i="9"/>
  <c r="I754" i="9"/>
  <c r="F367" i="9"/>
  <c r="K367" i="9"/>
  <c r="M367" i="9"/>
  <c r="H367" i="9"/>
  <c r="G367" i="9"/>
  <c r="J367" i="9"/>
  <c r="I367" i="9"/>
  <c r="F359" i="9"/>
  <c r="G359" i="9"/>
  <c r="I359" i="9"/>
  <c r="H359" i="9"/>
  <c r="K359" i="9"/>
  <c r="M359" i="9"/>
  <c r="J359" i="9"/>
  <c r="F333" i="9"/>
  <c r="I333" i="9"/>
  <c r="G333" i="9"/>
  <c r="J333" i="9"/>
  <c r="H333" i="9"/>
  <c r="K333" i="9"/>
  <c r="M333" i="9"/>
  <c r="F433" i="9"/>
  <c r="K433" i="9"/>
  <c r="M433" i="9"/>
  <c r="H433" i="9"/>
  <c r="G433" i="9"/>
  <c r="I433" i="9"/>
  <c r="J433" i="9"/>
  <c r="F406" i="9"/>
  <c r="K406" i="9"/>
  <c r="M406" i="9"/>
  <c r="J406" i="9"/>
  <c r="I406" i="9"/>
  <c r="H406" i="9"/>
  <c r="G406" i="9"/>
  <c r="F515" i="9"/>
  <c r="K515" i="9"/>
  <c r="M515" i="9"/>
  <c r="I515" i="9"/>
  <c r="H515" i="9"/>
  <c r="G515" i="9"/>
  <c r="J515" i="9"/>
  <c r="F629" i="9"/>
  <c r="I629" i="9"/>
  <c r="G629" i="9"/>
  <c r="J629" i="9"/>
  <c r="H629" i="9"/>
  <c r="K629" i="9"/>
  <c r="M629" i="9"/>
  <c r="F551" i="9"/>
  <c r="J551" i="9"/>
  <c r="H551" i="9"/>
  <c r="I551" i="9"/>
  <c r="K551" i="9"/>
  <c r="M551" i="9"/>
  <c r="G551" i="9"/>
  <c r="F156" i="9"/>
  <c r="K156" i="9"/>
  <c r="M156" i="9"/>
  <c r="G156" i="9"/>
  <c r="J156" i="9"/>
  <c r="I156" i="9"/>
  <c r="H156" i="9"/>
  <c r="F527" i="9"/>
  <c r="J527" i="9"/>
  <c r="G527" i="9"/>
  <c r="K527" i="9"/>
  <c r="M527" i="9"/>
  <c r="I527" i="9"/>
  <c r="H527" i="9"/>
  <c r="F545" i="9"/>
  <c r="J545" i="9"/>
  <c r="G545" i="9"/>
  <c r="K545" i="9"/>
  <c r="M545" i="9"/>
  <c r="H545" i="9"/>
  <c r="I545" i="9"/>
  <c r="F380" i="9"/>
  <c r="H380" i="9"/>
  <c r="K380" i="9"/>
  <c r="M380" i="9"/>
  <c r="J380" i="9"/>
  <c r="I380" i="9"/>
  <c r="G380" i="9"/>
  <c r="F375" i="9"/>
  <c r="K375" i="9"/>
  <c r="M375" i="9"/>
  <c r="G375" i="9"/>
  <c r="J375" i="9"/>
  <c r="I375" i="9"/>
  <c r="H375" i="9"/>
  <c r="F634" i="9"/>
  <c r="H634" i="9"/>
  <c r="G634" i="9"/>
  <c r="I634" i="9"/>
  <c r="J634" i="9"/>
  <c r="K634" i="9"/>
  <c r="M634" i="9"/>
  <c r="F640" i="9"/>
  <c r="J640" i="9"/>
  <c r="I640" i="9"/>
  <c r="K640" i="9"/>
  <c r="M640" i="9"/>
  <c r="H640" i="9"/>
  <c r="G640" i="9"/>
  <c r="F533" i="9"/>
  <c r="J533" i="9"/>
  <c r="H533" i="9"/>
  <c r="K533" i="9"/>
  <c r="M533" i="9"/>
  <c r="G533" i="9"/>
  <c r="I533" i="9"/>
  <c r="F653" i="9"/>
  <c r="J653" i="9"/>
  <c r="H653" i="9"/>
  <c r="G653" i="9"/>
  <c r="K653" i="9"/>
  <c r="M653" i="9"/>
  <c r="I653" i="9"/>
  <c r="F349" i="9"/>
  <c r="K349" i="9"/>
  <c r="M349" i="9"/>
  <c r="I349" i="9"/>
  <c r="G349" i="9"/>
  <c r="J349" i="9"/>
  <c r="H349" i="9"/>
  <c r="F139" i="9"/>
  <c r="J139" i="9"/>
  <c r="I139" i="9"/>
  <c r="H139" i="9"/>
  <c r="G139" i="9"/>
  <c r="K139" i="9"/>
  <c r="M139" i="9"/>
  <c r="F240" i="9"/>
  <c r="I240" i="9"/>
  <c r="J240" i="9"/>
  <c r="K240" i="9"/>
  <c r="M240" i="9"/>
  <c r="G240" i="9"/>
  <c r="H240" i="9"/>
  <c r="F674" i="9"/>
  <c r="G674" i="9"/>
  <c r="K674" i="9"/>
  <c r="M674" i="9"/>
  <c r="I674" i="9"/>
  <c r="J674" i="9"/>
  <c r="H674" i="9"/>
  <c r="F368" i="9"/>
  <c r="J368" i="9"/>
  <c r="I368" i="9"/>
  <c r="H368" i="9"/>
  <c r="K368" i="9"/>
  <c r="M368" i="9"/>
  <c r="G368" i="9"/>
  <c r="F277" i="9"/>
  <c r="G277" i="9"/>
  <c r="J277" i="9"/>
  <c r="K277" i="9"/>
  <c r="M277" i="9"/>
  <c r="H277" i="9"/>
  <c r="I277" i="9"/>
  <c r="F233" i="9"/>
  <c r="I233" i="9"/>
  <c r="K233" i="9"/>
  <c r="M233" i="9"/>
  <c r="J233" i="9"/>
  <c r="H233" i="9"/>
  <c r="G233" i="9"/>
  <c r="F329" i="9"/>
  <c r="J329" i="9"/>
  <c r="K329" i="9"/>
  <c r="M329" i="9"/>
  <c r="G329" i="9"/>
  <c r="I329" i="9"/>
  <c r="H329" i="9"/>
  <c r="F731" i="9"/>
  <c r="H731" i="9"/>
  <c r="J731" i="9"/>
  <c r="G731" i="9"/>
  <c r="I731" i="9"/>
  <c r="K731" i="9"/>
  <c r="M731" i="9"/>
  <c r="F711" i="9"/>
  <c r="J711" i="9"/>
  <c r="H711" i="9"/>
  <c r="G711" i="9"/>
  <c r="K711" i="9"/>
  <c r="M711" i="9"/>
  <c r="I711" i="9"/>
  <c r="F302" i="9"/>
  <c r="J302" i="9"/>
  <c r="I302" i="9"/>
  <c r="G302" i="9"/>
  <c r="K302" i="9"/>
  <c r="M302" i="9"/>
  <c r="H302" i="9"/>
  <c r="F144" i="9"/>
  <c r="G144" i="9"/>
  <c r="I144" i="9"/>
  <c r="H144" i="9"/>
  <c r="J144" i="9"/>
  <c r="K144" i="9"/>
  <c r="M144" i="9"/>
  <c r="F480" i="9"/>
  <c r="K480" i="9"/>
  <c r="M480" i="9"/>
  <c r="H480" i="9"/>
  <c r="G480" i="9"/>
  <c r="I480" i="9"/>
  <c r="J480" i="9"/>
  <c r="F138" i="9"/>
  <c r="K138" i="9"/>
  <c r="M138" i="9"/>
  <c r="J138" i="9"/>
  <c r="I138" i="9"/>
  <c r="G138" i="9"/>
  <c r="H138" i="9"/>
  <c r="F146" i="9"/>
  <c r="H146" i="9"/>
  <c r="I146" i="9"/>
  <c r="G146" i="9"/>
  <c r="J146" i="9"/>
  <c r="K146" i="9"/>
  <c r="M146" i="9"/>
  <c r="F282" i="9"/>
  <c r="I282" i="9"/>
  <c r="G282" i="9"/>
  <c r="K282" i="9"/>
  <c r="M282" i="9"/>
  <c r="J282" i="9"/>
  <c r="H282" i="9"/>
  <c r="F224" i="9"/>
  <c r="H224" i="9"/>
  <c r="K224" i="9"/>
  <c r="M224" i="9"/>
  <c r="J224" i="9"/>
  <c r="I224" i="9"/>
  <c r="G224" i="9"/>
  <c r="F510" i="9"/>
  <c r="G510" i="9"/>
  <c r="H510" i="9"/>
  <c r="I510" i="9"/>
  <c r="J510" i="9"/>
  <c r="K510" i="9"/>
  <c r="M510" i="9"/>
  <c r="F754" i="9"/>
  <c r="F438" i="9"/>
  <c r="H438" i="9"/>
  <c r="G438" i="9"/>
  <c r="K438" i="9"/>
  <c r="M438" i="9"/>
  <c r="J438" i="9"/>
  <c r="I438" i="9"/>
  <c r="F436" i="9"/>
  <c r="J436" i="9"/>
  <c r="I436" i="9"/>
  <c r="K436" i="9"/>
  <c r="M436" i="9"/>
  <c r="H436" i="9"/>
  <c r="G436" i="9"/>
  <c r="F606" i="9"/>
  <c r="K606" i="9"/>
  <c r="M606" i="9"/>
  <c r="H606" i="9"/>
  <c r="G606" i="9"/>
  <c r="J606" i="9"/>
  <c r="I606" i="9"/>
  <c r="F667" i="9"/>
  <c r="K667" i="9"/>
  <c r="M667" i="9"/>
  <c r="H667" i="9"/>
  <c r="G667" i="9"/>
  <c r="I667" i="9"/>
  <c r="J667" i="9"/>
  <c r="F700" i="9"/>
  <c r="J700" i="9"/>
  <c r="K700" i="9"/>
  <c r="M700" i="9"/>
  <c r="G700" i="9"/>
  <c r="I700" i="9"/>
  <c r="H700" i="9"/>
  <c r="F212" i="9"/>
  <c r="K212" i="9"/>
  <c r="J212" i="9"/>
  <c r="H212" i="9"/>
  <c r="I212" i="9"/>
  <c r="G212" i="9"/>
  <c r="F547" i="9"/>
  <c r="I547" i="9"/>
  <c r="G547" i="9"/>
  <c r="J547" i="9"/>
  <c r="K547" i="9"/>
  <c r="M547" i="9"/>
  <c r="H547" i="9"/>
  <c r="F389" i="9"/>
  <c r="K389" i="9"/>
  <c r="M389" i="9"/>
  <c r="G389" i="9"/>
  <c r="H389" i="9"/>
  <c r="J389" i="9"/>
  <c r="I389" i="9"/>
  <c r="F410" i="9"/>
  <c r="H410" i="9"/>
  <c r="K410" i="9"/>
  <c r="M410" i="9"/>
  <c r="I410" i="9"/>
  <c r="G410" i="9"/>
  <c r="J410" i="9"/>
  <c r="F643" i="9"/>
  <c r="I643" i="9"/>
  <c r="J643" i="9"/>
  <c r="H643" i="9"/>
  <c r="G643" i="9"/>
  <c r="K643" i="9"/>
  <c r="M643" i="9"/>
  <c r="F250" i="9"/>
  <c r="K250" i="9"/>
  <c r="M250" i="9"/>
  <c r="I250" i="9"/>
  <c r="H250" i="9"/>
  <c r="G250" i="9"/>
  <c r="J250" i="9"/>
  <c r="F528" i="9"/>
  <c r="K528" i="9"/>
  <c r="M528" i="9"/>
  <c r="G528" i="9"/>
  <c r="J528" i="9"/>
  <c r="I528" i="9"/>
  <c r="H528" i="9"/>
  <c r="F477" i="9"/>
  <c r="J477" i="9"/>
  <c r="H477" i="9"/>
  <c r="K477" i="9"/>
  <c r="M477" i="9"/>
  <c r="I477" i="9"/>
  <c r="G477" i="9"/>
  <c r="F519" i="9"/>
  <c r="I519" i="9"/>
  <c r="G519" i="9"/>
  <c r="K519" i="9"/>
  <c r="M519" i="9"/>
  <c r="J519" i="9"/>
  <c r="H519" i="9"/>
  <c r="F257" i="9"/>
  <c r="H257" i="9"/>
  <c r="J257" i="9"/>
  <c r="K257" i="9"/>
  <c r="M257" i="9"/>
  <c r="I257" i="9"/>
  <c r="G257" i="9"/>
  <c r="F288" i="9"/>
  <c r="K288" i="9"/>
  <c r="M288" i="9"/>
  <c r="J288" i="9"/>
  <c r="H288" i="9"/>
  <c r="I288" i="9"/>
  <c r="G288" i="9"/>
  <c r="F459" i="9"/>
  <c r="H459" i="9"/>
  <c r="I459" i="9"/>
  <c r="G459" i="9"/>
  <c r="K459" i="9"/>
  <c r="M459" i="9"/>
  <c r="J459" i="9"/>
  <c r="F692" i="9"/>
  <c r="I692" i="9"/>
  <c r="K692" i="9"/>
  <c r="M692" i="9"/>
  <c r="J692" i="9"/>
  <c r="H692" i="9"/>
  <c r="G692" i="9"/>
  <c r="F728" i="9"/>
  <c r="J728" i="9"/>
  <c r="I728" i="9"/>
  <c r="H728" i="9"/>
  <c r="K728" i="9"/>
  <c r="M728" i="9"/>
  <c r="G728" i="9"/>
  <c r="F424" i="9"/>
  <c r="G424" i="9"/>
  <c r="J424" i="9"/>
  <c r="I424" i="9"/>
  <c r="H424" i="9"/>
  <c r="K424" i="9"/>
  <c r="M424" i="9"/>
  <c r="F225" i="9"/>
  <c r="I225" i="9"/>
  <c r="K225" i="9"/>
  <c r="M225" i="9"/>
  <c r="H225" i="9"/>
  <c r="G225" i="9"/>
  <c r="J225" i="9"/>
  <c r="F308" i="9"/>
  <c r="K308" i="9"/>
  <c r="M308" i="9"/>
  <c r="I308" i="9"/>
  <c r="H308" i="9"/>
  <c r="G308" i="9"/>
  <c r="J308" i="9"/>
  <c r="F373" i="9"/>
  <c r="K373" i="9"/>
  <c r="M373" i="9"/>
  <c r="J373" i="9"/>
  <c r="H373" i="9"/>
  <c r="G373" i="9"/>
  <c r="I373" i="9"/>
  <c r="F486" i="9"/>
  <c r="J486" i="9"/>
  <c r="H486" i="9"/>
  <c r="G486" i="9"/>
  <c r="K486" i="9"/>
  <c r="M486" i="9"/>
  <c r="I486" i="9"/>
  <c r="F271" i="9"/>
  <c r="H271" i="9"/>
  <c r="I271" i="9"/>
  <c r="G271" i="9"/>
  <c r="K271" i="9"/>
  <c r="M271" i="9"/>
  <c r="J271" i="9"/>
  <c r="F268" i="9"/>
  <c r="I268" i="9"/>
  <c r="H268" i="9"/>
  <c r="G268" i="9"/>
  <c r="K268" i="9"/>
  <c r="M268" i="9"/>
  <c r="J268" i="9"/>
  <c r="F470" i="9"/>
  <c r="I470" i="9"/>
  <c r="G470" i="9"/>
  <c r="H470" i="9"/>
  <c r="K470" i="9"/>
  <c r="M470" i="9"/>
  <c r="J470" i="9"/>
  <c r="F507" i="9"/>
  <c r="K507" i="9"/>
  <c r="M507" i="9"/>
  <c r="J507" i="9"/>
  <c r="I507" i="9"/>
  <c r="G507" i="9"/>
  <c r="H507" i="9"/>
  <c r="F485" i="9"/>
  <c r="J485" i="9"/>
  <c r="K485" i="9"/>
  <c r="M485" i="9"/>
  <c r="I485" i="9"/>
  <c r="H485" i="9"/>
  <c r="G485" i="9"/>
  <c r="F630" i="9"/>
  <c r="K630" i="9"/>
  <c r="M630" i="9"/>
  <c r="J630" i="9"/>
  <c r="H630" i="9"/>
  <c r="G630" i="9"/>
  <c r="I630" i="9"/>
  <c r="F388" i="9"/>
  <c r="J388" i="9"/>
  <c r="I388" i="9"/>
  <c r="H388" i="9"/>
  <c r="K388" i="9"/>
  <c r="M388" i="9"/>
  <c r="G388" i="9"/>
  <c r="F497" i="9"/>
  <c r="J497" i="9"/>
  <c r="H497" i="9"/>
  <c r="K497" i="9"/>
  <c r="M497" i="9"/>
  <c r="I497" i="9"/>
  <c r="G497" i="9"/>
  <c r="F162" i="9"/>
  <c r="I162" i="9"/>
  <c r="H162" i="9"/>
  <c r="G162" i="9"/>
  <c r="J162" i="9"/>
  <c r="K162" i="9"/>
  <c r="M162" i="9"/>
  <c r="F535" i="9"/>
  <c r="I535" i="9"/>
  <c r="K535" i="9"/>
  <c r="M535" i="9"/>
  <c r="J535" i="9"/>
  <c r="G535" i="9"/>
  <c r="H535" i="9"/>
  <c r="F447" i="9"/>
  <c r="I447" i="9"/>
  <c r="H447" i="9"/>
  <c r="K447" i="9"/>
  <c r="M447" i="9"/>
  <c r="J447" i="9"/>
  <c r="G447" i="9"/>
  <c r="F397" i="9"/>
  <c r="J397" i="9"/>
  <c r="I397" i="9"/>
  <c r="H397" i="9"/>
  <c r="K397" i="9"/>
  <c r="M397" i="9"/>
  <c r="G397" i="9"/>
  <c r="F571" i="9"/>
  <c r="K571" i="9"/>
  <c r="M571" i="9"/>
  <c r="J571" i="9"/>
  <c r="I571" i="9"/>
  <c r="H571" i="9"/>
  <c r="G571" i="9"/>
  <c r="F448" i="9"/>
  <c r="K448" i="9"/>
  <c r="M448" i="9"/>
  <c r="J448" i="9"/>
  <c r="H448" i="9"/>
  <c r="G448" i="9"/>
  <c r="I448" i="9"/>
  <c r="F199" i="9"/>
  <c r="J199" i="9"/>
  <c r="I199" i="9"/>
  <c r="H199" i="9"/>
  <c r="G199" i="9"/>
  <c r="K199" i="9"/>
  <c r="M199" i="9"/>
  <c r="F649" i="9"/>
  <c r="K649" i="9"/>
  <c r="M649" i="9"/>
  <c r="I649" i="9"/>
  <c r="H649" i="9"/>
  <c r="G649" i="9"/>
  <c r="J649" i="9"/>
  <c r="F685" i="9"/>
  <c r="G685" i="9"/>
  <c r="J685" i="9"/>
  <c r="I685" i="9"/>
  <c r="K685" i="9"/>
  <c r="M685" i="9"/>
  <c r="H685" i="9"/>
  <c r="F143" i="9"/>
  <c r="O207" i="10"/>
  <c r="K143" i="9"/>
  <c r="M143" i="9"/>
  <c r="J143" i="9"/>
  <c r="I143" i="9"/>
  <c r="H143" i="9"/>
  <c r="G143" i="9"/>
  <c r="F298" i="9"/>
  <c r="J298" i="9"/>
  <c r="I298" i="9"/>
  <c r="G298" i="9"/>
  <c r="K298" i="9"/>
  <c r="M298" i="9"/>
  <c r="H298" i="9"/>
  <c r="F678" i="9"/>
  <c r="K678" i="9"/>
  <c r="M678" i="9"/>
  <c r="J678" i="9"/>
  <c r="I678" i="9"/>
  <c r="G678" i="9"/>
  <c r="H678" i="9"/>
  <c r="F553" i="9"/>
  <c r="K553" i="9"/>
  <c r="M553" i="9"/>
  <c r="I553" i="9"/>
  <c r="J553" i="9"/>
  <c r="H553" i="9"/>
  <c r="G553" i="9"/>
  <c r="F400" i="9"/>
  <c r="G400" i="9"/>
  <c r="J400" i="9"/>
  <c r="I400" i="9"/>
  <c r="H400" i="9"/>
  <c r="K400" i="9"/>
  <c r="M400" i="9"/>
  <c r="F577" i="9"/>
  <c r="J577" i="9"/>
  <c r="H577" i="9"/>
  <c r="K577" i="9"/>
  <c r="M577" i="9"/>
  <c r="I577" i="9"/>
  <c r="G577" i="9"/>
  <c r="F688" i="9"/>
  <c r="G688" i="9"/>
  <c r="I688" i="9"/>
  <c r="H688" i="9"/>
  <c r="J688" i="9"/>
  <c r="K688" i="9"/>
  <c r="M688" i="9"/>
  <c r="F421" i="9"/>
  <c r="J421" i="9"/>
  <c r="H421" i="9"/>
  <c r="G421" i="9"/>
  <c r="I421" i="9"/>
  <c r="K421" i="9"/>
  <c r="M421" i="9"/>
  <c r="F743" i="9"/>
  <c r="J743" i="9"/>
  <c r="H743" i="9"/>
  <c r="G743" i="9"/>
  <c r="K743" i="9"/>
  <c r="M743" i="9"/>
  <c r="I743" i="9"/>
  <c r="F607" i="9"/>
  <c r="J607" i="9"/>
  <c r="H607" i="9"/>
  <c r="I607" i="9"/>
  <c r="G607" i="9"/>
  <c r="K607" i="9"/>
  <c r="M607" i="9"/>
  <c r="F471" i="9"/>
  <c r="K471" i="9"/>
  <c r="M471" i="9"/>
  <c r="I471" i="9"/>
  <c r="J471" i="9"/>
  <c r="G471" i="9"/>
  <c r="H471" i="9"/>
  <c r="F402" i="9"/>
  <c r="H402" i="9"/>
  <c r="K402" i="9"/>
  <c r="M402" i="9"/>
  <c r="I402" i="9"/>
  <c r="J402" i="9"/>
  <c r="G402" i="9"/>
  <c r="F140" i="9"/>
  <c r="H140" i="9"/>
  <c r="G140" i="9"/>
  <c r="K140" i="9"/>
  <c r="M140" i="9"/>
  <c r="J140" i="9"/>
  <c r="I140" i="9"/>
  <c r="F453" i="9"/>
  <c r="J453" i="9"/>
  <c r="K453" i="9"/>
  <c r="M453" i="9"/>
  <c r="I453" i="9"/>
  <c r="H453" i="9"/>
  <c r="G453" i="9"/>
  <c r="F336" i="9"/>
  <c r="I336" i="9"/>
  <c r="G336" i="9"/>
  <c r="K336" i="9"/>
  <c r="M336" i="9"/>
  <c r="J336" i="9"/>
  <c r="H336" i="9"/>
  <c r="F654" i="9"/>
  <c r="J654" i="9"/>
  <c r="G654" i="9"/>
  <c r="K654" i="9"/>
  <c r="M654" i="9"/>
  <c r="H654" i="9"/>
  <c r="I654" i="9"/>
  <c r="F717" i="9"/>
  <c r="G717" i="9"/>
  <c r="K717" i="9"/>
  <c r="M717" i="9"/>
  <c r="J717" i="9"/>
  <c r="I717" i="9"/>
  <c r="H717" i="9"/>
  <c r="F252" i="9"/>
  <c r="G252" i="9"/>
  <c r="I252" i="9"/>
  <c r="H252" i="9"/>
  <c r="K252" i="9"/>
  <c r="M252" i="9"/>
  <c r="J252" i="9"/>
  <c r="F355" i="9"/>
  <c r="H355" i="9"/>
  <c r="K355" i="9"/>
  <c r="M355" i="9"/>
  <c r="J355" i="9"/>
  <c r="I355" i="9"/>
  <c r="G355" i="9"/>
  <c r="F680" i="9"/>
  <c r="I680" i="9"/>
  <c r="J680" i="9"/>
  <c r="H680" i="9"/>
  <c r="G680" i="9"/>
  <c r="K680" i="9"/>
  <c r="M680" i="9"/>
  <c r="F580" i="9"/>
  <c r="J580" i="9"/>
  <c r="H580" i="9"/>
  <c r="I580" i="9"/>
  <c r="G580" i="9"/>
  <c r="K580" i="9"/>
  <c r="M580" i="9"/>
  <c r="F454" i="9"/>
  <c r="K454" i="9"/>
  <c r="M454" i="9"/>
  <c r="J454" i="9"/>
  <c r="I454" i="9"/>
  <c r="H454" i="9"/>
  <c r="G454" i="9"/>
  <c r="F582" i="9"/>
  <c r="I582" i="9"/>
  <c r="K582" i="9"/>
  <c r="M582" i="9"/>
  <c r="J582" i="9"/>
  <c r="G582" i="9"/>
  <c r="H582" i="9"/>
  <c r="F207" i="9"/>
  <c r="K207" i="9"/>
  <c r="G207" i="9"/>
  <c r="I207" i="9"/>
  <c r="J207" i="9"/>
  <c r="H207" i="9"/>
  <c r="F757" i="9"/>
  <c r="J757" i="9"/>
  <c r="K757" i="9"/>
  <c r="M757" i="9"/>
  <c r="I757" i="9"/>
  <c r="G757" i="9"/>
  <c r="H757" i="9"/>
  <c r="F429" i="9"/>
  <c r="I429" i="9"/>
  <c r="G429" i="9"/>
  <c r="J429" i="9"/>
  <c r="H429" i="9"/>
  <c r="K429" i="9"/>
  <c r="M429" i="9"/>
  <c r="F644" i="9"/>
  <c r="K644" i="9"/>
  <c r="M644" i="9"/>
  <c r="I644" i="9"/>
  <c r="J644" i="9"/>
  <c r="G644" i="9"/>
  <c r="H644" i="9"/>
  <c r="F661" i="9"/>
  <c r="J661" i="9"/>
  <c r="K661" i="9"/>
  <c r="M661" i="9"/>
  <c r="I661" i="9"/>
  <c r="H661" i="9"/>
  <c r="G661" i="9"/>
  <c r="I624" i="9"/>
  <c r="F624" i="9"/>
  <c r="H624" i="9"/>
  <c r="K624" i="9"/>
  <c r="M624" i="9"/>
  <c r="J624" i="9"/>
  <c r="G624" i="9"/>
  <c r="F72" i="9"/>
  <c r="I72" i="9"/>
  <c r="G72" i="9"/>
  <c r="J72" i="9"/>
  <c r="K72" i="9"/>
  <c r="M72" i="9"/>
  <c r="H72" i="9"/>
  <c r="F149" i="9"/>
  <c r="H149" i="9"/>
  <c r="G149" i="9"/>
  <c r="K149" i="9"/>
  <c r="M149" i="9"/>
  <c r="J149" i="9"/>
  <c r="I149" i="9"/>
  <c r="F202" i="9"/>
  <c r="I202" i="9"/>
  <c r="H202" i="9"/>
  <c r="G202" i="9"/>
  <c r="J202" i="9"/>
  <c r="K202" i="9"/>
  <c r="M202" i="9"/>
  <c r="F206" i="9"/>
  <c r="I206" i="9"/>
  <c r="H206" i="9"/>
  <c r="G206" i="9"/>
  <c r="J206" i="9"/>
  <c r="K206" i="9"/>
  <c r="F166" i="9"/>
  <c r="K166" i="9"/>
  <c r="M166" i="9"/>
  <c r="I166" i="9"/>
  <c r="J166" i="9"/>
  <c r="H166" i="9"/>
  <c r="G166" i="9"/>
  <c r="F398" i="9"/>
  <c r="I398" i="9"/>
  <c r="G398" i="9"/>
  <c r="K398" i="9"/>
  <c r="M398" i="9"/>
  <c r="J398" i="9"/>
  <c r="H398" i="9"/>
  <c r="F328" i="9"/>
  <c r="K328" i="9"/>
  <c r="M328" i="9"/>
  <c r="J328" i="9"/>
  <c r="I328" i="9"/>
  <c r="G328" i="9"/>
  <c r="H328" i="9"/>
  <c r="F482" i="9"/>
  <c r="I482" i="9"/>
  <c r="K482" i="9"/>
  <c r="M482" i="9"/>
  <c r="J482" i="9"/>
  <c r="H482" i="9"/>
  <c r="G482" i="9"/>
  <c r="F348" i="9"/>
  <c r="I348" i="9"/>
  <c r="G348" i="9"/>
  <c r="K348" i="9"/>
  <c r="M348" i="9"/>
  <c r="J348" i="9"/>
  <c r="H348" i="9"/>
  <c r="F581" i="9"/>
  <c r="G581" i="9"/>
  <c r="K581" i="9"/>
  <c r="M581" i="9"/>
  <c r="J581" i="9"/>
  <c r="I581" i="9"/>
  <c r="H581" i="9"/>
  <c r="F741" i="9"/>
  <c r="J741" i="9"/>
  <c r="I741" i="9"/>
  <c r="H741" i="9"/>
  <c r="G741" i="9"/>
  <c r="K741" i="9"/>
  <c r="M741" i="9"/>
  <c r="F435" i="9"/>
  <c r="I435" i="9"/>
  <c r="G435" i="9"/>
  <c r="K435" i="9"/>
  <c r="M435" i="9"/>
  <c r="J435" i="9"/>
  <c r="H435" i="9"/>
  <c r="F698" i="9"/>
  <c r="I698" i="9"/>
  <c r="J698" i="9"/>
  <c r="H698" i="9"/>
  <c r="G698" i="9"/>
  <c r="K698" i="9"/>
  <c r="M698" i="9"/>
  <c r="F588" i="9"/>
  <c r="J588" i="9"/>
  <c r="I588" i="9"/>
  <c r="H588" i="9"/>
  <c r="G588" i="9"/>
  <c r="K588" i="9"/>
  <c r="M588" i="9"/>
  <c r="F495" i="9"/>
  <c r="K495" i="9"/>
  <c r="M495" i="9"/>
  <c r="H495" i="9"/>
  <c r="G495" i="9"/>
  <c r="J495" i="9"/>
  <c r="I495" i="9"/>
  <c r="F720" i="9"/>
  <c r="G720" i="9"/>
  <c r="I720" i="9"/>
  <c r="H720" i="9"/>
  <c r="K720" i="9"/>
  <c r="M720" i="9"/>
  <c r="J720" i="9"/>
  <c r="F161" i="9"/>
  <c r="K161" i="9"/>
  <c r="M161" i="9"/>
  <c r="J161" i="9"/>
  <c r="I161" i="9"/>
  <c r="G161" i="9"/>
  <c r="H161" i="9"/>
  <c r="F105" i="9"/>
  <c r="K105" i="9"/>
  <c r="M105" i="9"/>
  <c r="I105" i="9"/>
  <c r="J105" i="9"/>
  <c r="H105" i="9"/>
  <c r="G105" i="9"/>
  <c r="F168" i="9"/>
  <c r="G168" i="9"/>
  <c r="K168" i="9"/>
  <c r="M168" i="9"/>
  <c r="I168" i="9"/>
  <c r="H168" i="9"/>
  <c r="J168" i="9"/>
  <c r="F196" i="9"/>
  <c r="K196" i="9"/>
  <c r="M196" i="9"/>
  <c r="J196" i="9"/>
  <c r="I196" i="9"/>
  <c r="H196" i="9"/>
  <c r="G196" i="9"/>
  <c r="F217" i="9"/>
  <c r="G217" i="9"/>
  <c r="K217" i="9"/>
  <c r="M217" i="9"/>
  <c r="J217" i="9"/>
  <c r="I217" i="9"/>
  <c r="H217" i="9"/>
  <c r="F177" i="9"/>
  <c r="K177" i="9"/>
  <c r="M177" i="9"/>
  <c r="G177" i="9"/>
  <c r="J177" i="9"/>
  <c r="I177" i="9"/>
  <c r="H177" i="9"/>
  <c r="F221" i="9"/>
  <c r="G221" i="9"/>
  <c r="K221" i="9"/>
  <c r="M221" i="9"/>
  <c r="H221" i="9"/>
  <c r="J221" i="9"/>
  <c r="I221" i="9"/>
  <c r="F320" i="9"/>
  <c r="I320" i="9"/>
  <c r="G320" i="9"/>
  <c r="J320" i="9"/>
  <c r="H320" i="9"/>
  <c r="K320" i="9"/>
  <c r="M320" i="9"/>
  <c r="F466" i="9"/>
  <c r="K466" i="9"/>
  <c r="M466" i="9"/>
  <c r="J466" i="9"/>
  <c r="I466" i="9"/>
  <c r="G466" i="9"/>
  <c r="H466" i="9"/>
  <c r="F262" i="9"/>
  <c r="G262" i="9"/>
  <c r="J262" i="9"/>
  <c r="I262" i="9"/>
  <c r="H262" i="9"/>
  <c r="K262" i="9"/>
  <c r="M262" i="9"/>
  <c r="F354" i="9"/>
  <c r="I354" i="9"/>
  <c r="G354" i="9"/>
  <c r="K354" i="9"/>
  <c r="M354" i="9"/>
  <c r="J354" i="9"/>
  <c r="H354" i="9"/>
  <c r="F498" i="9"/>
  <c r="I498" i="9"/>
  <c r="H498" i="9"/>
  <c r="G498" i="9"/>
  <c r="K498" i="9"/>
  <c r="M498" i="9"/>
  <c r="J498" i="9"/>
  <c r="F256" i="9"/>
  <c r="K256" i="9"/>
  <c r="M256" i="9"/>
  <c r="I256" i="9"/>
  <c r="J256" i="9"/>
  <c r="H256" i="9"/>
  <c r="G256" i="9"/>
  <c r="F583" i="9"/>
  <c r="J583" i="9"/>
  <c r="I583" i="9"/>
  <c r="H583" i="9"/>
  <c r="G583" i="9"/>
  <c r="K583" i="9"/>
  <c r="M583" i="9"/>
  <c r="F558" i="9"/>
  <c r="I558" i="9"/>
  <c r="H558" i="9"/>
  <c r="G558" i="9"/>
  <c r="K558" i="9"/>
  <c r="M558" i="9"/>
  <c r="J558" i="9"/>
  <c r="F458" i="9"/>
  <c r="I458" i="9"/>
  <c r="J458" i="9"/>
  <c r="G458" i="9"/>
  <c r="H458" i="9"/>
  <c r="K458" i="9"/>
  <c r="M458" i="9"/>
  <c r="F520" i="9"/>
  <c r="K520" i="9"/>
  <c r="M520" i="9"/>
  <c r="H520" i="9"/>
  <c r="G520" i="9"/>
  <c r="J520" i="9"/>
  <c r="I520" i="9"/>
  <c r="F637" i="9"/>
  <c r="G637" i="9"/>
  <c r="J637" i="9"/>
  <c r="I637" i="9"/>
  <c r="H637" i="9"/>
  <c r="K637" i="9"/>
  <c r="M637" i="9"/>
  <c r="F536" i="9"/>
  <c r="J536" i="9"/>
  <c r="I536" i="9"/>
  <c r="K536" i="9"/>
  <c r="M536" i="9"/>
  <c r="H536" i="9"/>
  <c r="G536" i="9"/>
  <c r="F738" i="9"/>
  <c r="K738" i="9"/>
  <c r="M738" i="9"/>
  <c r="J738" i="9"/>
  <c r="I738" i="9"/>
  <c r="H738" i="9"/>
  <c r="G738" i="9"/>
  <c r="F686" i="9"/>
  <c r="I686" i="9"/>
  <c r="G686" i="9"/>
  <c r="K686" i="9"/>
  <c r="M686" i="9"/>
  <c r="J686" i="9"/>
  <c r="H686" i="9"/>
  <c r="F197" i="9"/>
  <c r="G197" i="9"/>
  <c r="K197" i="9"/>
  <c r="M197" i="9"/>
  <c r="I197" i="9"/>
  <c r="H197" i="9"/>
  <c r="J197" i="9"/>
  <c r="F514" i="9"/>
  <c r="K514" i="9"/>
  <c r="M514" i="9"/>
  <c r="J514" i="9"/>
  <c r="I514" i="9"/>
  <c r="H514" i="9"/>
  <c r="G514" i="9"/>
  <c r="F566" i="9"/>
  <c r="J566" i="9"/>
  <c r="I566" i="9"/>
  <c r="H566" i="9"/>
  <c r="G566" i="9"/>
  <c r="K566" i="9"/>
  <c r="M566" i="9"/>
  <c r="F75" i="9"/>
  <c r="I75" i="9"/>
  <c r="G75" i="9"/>
  <c r="H75" i="9"/>
  <c r="K75" i="9"/>
  <c r="M75" i="9"/>
  <c r="J75" i="9"/>
  <c r="F312" i="9"/>
  <c r="I312" i="9"/>
  <c r="G312" i="9"/>
  <c r="K312" i="9"/>
  <c r="M312" i="9"/>
  <c r="J312" i="9"/>
  <c r="H312" i="9"/>
  <c r="F727" i="9"/>
  <c r="G727" i="9"/>
  <c r="J727" i="9"/>
  <c r="I727" i="9"/>
  <c r="K727" i="9"/>
  <c r="M727" i="9"/>
  <c r="H727" i="9"/>
  <c r="F76" i="9"/>
  <c r="O88" i="10"/>
  <c r="K76" i="9"/>
  <c r="M76" i="9"/>
  <c r="G76" i="9"/>
  <c r="J76" i="9"/>
  <c r="I76" i="9"/>
  <c r="H76" i="9"/>
  <c r="F243" i="9"/>
  <c r="J243" i="9"/>
  <c r="I243" i="9"/>
  <c r="H243" i="9"/>
  <c r="G243" i="9"/>
  <c r="K243" i="9"/>
  <c r="M243" i="9"/>
  <c r="F364" i="9"/>
  <c r="K364" i="9"/>
  <c r="M364" i="9"/>
  <c r="I364" i="9"/>
  <c r="H364" i="9"/>
  <c r="J364" i="9"/>
  <c r="G364" i="9"/>
  <c r="F628" i="9"/>
  <c r="J628" i="9"/>
  <c r="I628" i="9"/>
  <c r="H628" i="9"/>
  <c r="K628" i="9"/>
  <c r="M628" i="9"/>
  <c r="G628" i="9"/>
  <c r="F157" i="9"/>
  <c r="G157" i="9"/>
  <c r="K157" i="9"/>
  <c r="M157" i="9"/>
  <c r="J157" i="9"/>
  <c r="H157" i="9"/>
  <c r="I157" i="9"/>
  <c r="F92" i="9"/>
  <c r="J92" i="9"/>
  <c r="I92" i="9"/>
  <c r="G92" i="9"/>
  <c r="H92" i="9"/>
  <c r="K92" i="9"/>
  <c r="M92" i="9"/>
  <c r="F287" i="9"/>
  <c r="I287" i="9"/>
  <c r="H287" i="9"/>
  <c r="J287" i="9"/>
  <c r="G287" i="9"/>
  <c r="K287" i="9"/>
  <c r="M287" i="9"/>
  <c r="F705" i="9"/>
  <c r="K705" i="9"/>
  <c r="M705" i="9"/>
  <c r="G705" i="9"/>
  <c r="I705" i="9"/>
  <c r="H705" i="9"/>
  <c r="J705" i="9"/>
  <c r="F220" i="9"/>
  <c r="K220" i="9"/>
  <c r="M220" i="9"/>
  <c r="I220" i="9"/>
  <c r="J220" i="9"/>
  <c r="H220" i="9"/>
  <c r="G220" i="9"/>
  <c r="F417" i="9"/>
  <c r="J417" i="9"/>
  <c r="H417" i="9"/>
  <c r="G417" i="9"/>
  <c r="I417" i="9"/>
  <c r="K417" i="9"/>
  <c r="M417" i="9"/>
  <c r="F431" i="9"/>
  <c r="G431" i="9"/>
  <c r="I431" i="9"/>
  <c r="K431" i="9"/>
  <c r="M431" i="9"/>
  <c r="J431" i="9"/>
  <c r="H431" i="9"/>
  <c r="F337" i="9"/>
  <c r="I337" i="9"/>
  <c r="G337" i="9"/>
  <c r="K337" i="9"/>
  <c r="M337" i="9"/>
  <c r="J337" i="9"/>
  <c r="H337" i="9"/>
  <c r="F325" i="9"/>
  <c r="I325" i="9"/>
  <c r="G325" i="9"/>
  <c r="J325" i="9"/>
  <c r="H325" i="9"/>
  <c r="K325" i="9"/>
  <c r="M325" i="9"/>
  <c r="F449" i="9"/>
  <c r="G449" i="9"/>
  <c r="K449" i="9"/>
  <c r="M449" i="9"/>
  <c r="J449" i="9"/>
  <c r="I449" i="9"/>
  <c r="H449" i="9"/>
  <c r="F422" i="9"/>
  <c r="I422" i="9"/>
  <c r="J422" i="9"/>
  <c r="H422" i="9"/>
  <c r="G422" i="9"/>
  <c r="K422" i="9"/>
  <c r="M422" i="9"/>
  <c r="F352" i="9"/>
  <c r="H352" i="9"/>
  <c r="K352" i="9"/>
  <c r="M352" i="9"/>
  <c r="I352" i="9"/>
  <c r="G352" i="9"/>
  <c r="J352" i="9"/>
  <c r="F611" i="9"/>
  <c r="H611" i="9"/>
  <c r="G611" i="9"/>
  <c r="J611" i="9"/>
  <c r="I611" i="9"/>
  <c r="K611" i="9"/>
  <c r="M611" i="9"/>
  <c r="F460" i="9"/>
  <c r="G460" i="9"/>
  <c r="I460" i="9"/>
  <c r="H460" i="9"/>
  <c r="K460" i="9"/>
  <c r="M460" i="9"/>
  <c r="J460" i="9"/>
  <c r="F707" i="9"/>
  <c r="J707" i="9"/>
  <c r="I707" i="9"/>
  <c r="H707" i="9"/>
  <c r="G707" i="9"/>
  <c r="K707" i="9"/>
  <c r="M707" i="9"/>
  <c r="F603" i="9"/>
  <c r="J603" i="9"/>
  <c r="I603" i="9"/>
  <c r="H603" i="9"/>
  <c r="G603" i="9"/>
  <c r="K603" i="9"/>
  <c r="M603" i="9"/>
  <c r="F671" i="9"/>
  <c r="G671" i="9"/>
  <c r="H671" i="9"/>
  <c r="I671" i="9"/>
  <c r="K671" i="9"/>
  <c r="M671" i="9"/>
  <c r="J671" i="9"/>
  <c r="F683" i="9"/>
  <c r="J683" i="9"/>
  <c r="I683" i="9"/>
  <c r="H683" i="9"/>
  <c r="K683" i="9"/>
  <c r="M683" i="9"/>
  <c r="G683" i="9"/>
  <c r="F755" i="9"/>
  <c r="G755" i="9"/>
  <c r="K755" i="9"/>
  <c r="M755" i="9"/>
  <c r="J755" i="9"/>
  <c r="I755" i="9"/>
  <c r="H755" i="9"/>
  <c r="F747" i="9"/>
  <c r="K747" i="9"/>
  <c r="M747" i="9"/>
  <c r="J747" i="9"/>
  <c r="I747" i="9"/>
  <c r="H747" i="9"/>
  <c r="G747" i="9"/>
  <c r="F742" i="9"/>
  <c r="K742" i="9"/>
  <c r="M742" i="9"/>
  <c r="J742" i="9"/>
  <c r="I742" i="9"/>
  <c r="H742" i="9"/>
  <c r="G742" i="9"/>
  <c r="F226" i="9"/>
  <c r="G226" i="9"/>
  <c r="K226" i="9"/>
  <c r="M226" i="9"/>
  <c r="I226" i="9"/>
  <c r="H226" i="9"/>
  <c r="J226" i="9"/>
  <c r="F235" i="9"/>
  <c r="G235" i="9"/>
  <c r="I235" i="9"/>
  <c r="H235" i="9"/>
  <c r="J235" i="9"/>
  <c r="K235" i="9"/>
  <c r="M235" i="9"/>
  <c r="F296" i="9"/>
  <c r="I296" i="9"/>
  <c r="K296" i="9"/>
  <c r="M296" i="9"/>
  <c r="J296" i="9"/>
  <c r="H296" i="9"/>
  <c r="G296" i="9"/>
  <c r="F575" i="9"/>
  <c r="G575" i="9"/>
  <c r="K575" i="9"/>
  <c r="M575" i="9"/>
  <c r="I575" i="9"/>
  <c r="J575" i="9"/>
  <c r="H575" i="9"/>
  <c r="F677" i="9"/>
  <c r="J677" i="9"/>
  <c r="I677" i="9"/>
  <c r="H677" i="9"/>
  <c r="G677" i="9"/>
  <c r="K677" i="9"/>
  <c r="M677" i="9"/>
  <c r="F718" i="9"/>
  <c r="K718" i="9"/>
  <c r="M718" i="9"/>
  <c r="J718" i="9"/>
  <c r="H718" i="9"/>
  <c r="G718" i="9"/>
  <c r="I718" i="9"/>
  <c r="F125" i="9"/>
  <c r="G125" i="9"/>
  <c r="K125" i="9"/>
  <c r="M125" i="9"/>
  <c r="I125" i="9"/>
  <c r="H125" i="9"/>
  <c r="J125" i="9"/>
  <c r="F108" i="9"/>
  <c r="I108" i="9"/>
  <c r="H108" i="9"/>
  <c r="G108" i="9"/>
  <c r="K108" i="9"/>
  <c r="M108" i="9"/>
  <c r="J108" i="9"/>
  <c r="F227" i="9"/>
  <c r="G227" i="9"/>
  <c r="K227" i="9"/>
  <c r="M227" i="9"/>
  <c r="J227" i="9"/>
  <c r="I227" i="9"/>
  <c r="H227" i="9"/>
  <c r="F305" i="9"/>
  <c r="H305" i="9"/>
  <c r="K305" i="9"/>
  <c r="M305" i="9"/>
  <c r="I305" i="9"/>
  <c r="G305" i="9"/>
  <c r="J305" i="9"/>
  <c r="F673" i="9"/>
  <c r="G673" i="9"/>
  <c r="J673" i="9"/>
  <c r="I673" i="9"/>
  <c r="H673" i="9"/>
  <c r="K673" i="9"/>
  <c r="M673" i="9"/>
  <c r="F382" i="9"/>
  <c r="J382" i="9"/>
  <c r="H382" i="9"/>
  <c r="G382" i="9"/>
  <c r="K382" i="9"/>
  <c r="M382" i="9"/>
  <c r="I382" i="9"/>
  <c r="F567" i="9"/>
  <c r="K567" i="9"/>
  <c r="M567" i="9"/>
  <c r="J567" i="9"/>
  <c r="I567" i="9"/>
  <c r="H567" i="9"/>
  <c r="G567" i="9"/>
  <c r="F645" i="9"/>
  <c r="K645" i="9"/>
  <c r="M645" i="9"/>
  <c r="H645" i="9"/>
  <c r="G645" i="9"/>
  <c r="J645" i="9"/>
  <c r="I645" i="9"/>
  <c r="F652" i="9"/>
  <c r="I652" i="9"/>
  <c r="H652" i="9"/>
  <c r="G652" i="9"/>
  <c r="K652" i="9"/>
  <c r="M652" i="9"/>
  <c r="J652" i="9"/>
  <c r="F192" i="9"/>
  <c r="I192" i="9"/>
  <c r="K192" i="9"/>
  <c r="M192" i="9"/>
  <c r="J192" i="9"/>
  <c r="H192" i="9"/>
  <c r="G192" i="9"/>
  <c r="F152" i="9"/>
  <c r="I152" i="9"/>
  <c r="K152" i="9"/>
  <c r="M152" i="9"/>
  <c r="J152" i="9"/>
  <c r="H152" i="9"/>
  <c r="G152" i="9"/>
  <c r="F255" i="9"/>
  <c r="J255" i="9"/>
  <c r="I255" i="9"/>
  <c r="H255" i="9"/>
  <c r="G255" i="9"/>
  <c r="K255" i="9"/>
  <c r="M255" i="9"/>
  <c r="F244" i="9"/>
  <c r="K244" i="9"/>
  <c r="M244" i="9"/>
  <c r="J244" i="9"/>
  <c r="I244" i="9"/>
  <c r="G244" i="9"/>
  <c r="H244" i="9"/>
  <c r="F133" i="9"/>
  <c r="J133" i="9"/>
  <c r="I133" i="9"/>
  <c r="H133" i="9"/>
  <c r="G133" i="9"/>
  <c r="K133" i="9"/>
  <c r="M133" i="9"/>
  <c r="F259" i="9"/>
  <c r="G259" i="9"/>
  <c r="J259" i="9"/>
  <c r="I259" i="9"/>
  <c r="H259" i="9"/>
  <c r="K259" i="9"/>
  <c r="M259" i="9"/>
  <c r="F343" i="9"/>
  <c r="I343" i="9"/>
  <c r="G343" i="9"/>
  <c r="J343" i="9"/>
  <c r="H343" i="9"/>
  <c r="K343" i="9"/>
  <c r="M343" i="9"/>
  <c r="F725" i="9"/>
  <c r="H725" i="9"/>
  <c r="G725" i="9"/>
  <c r="J725" i="9"/>
  <c r="I725" i="9"/>
  <c r="K725" i="9"/>
  <c r="M725" i="9"/>
  <c r="F502" i="9"/>
  <c r="K502" i="9"/>
  <c r="M502" i="9"/>
  <c r="J502" i="9"/>
  <c r="I502" i="9"/>
  <c r="H502" i="9"/>
  <c r="G502" i="9"/>
  <c r="F618" i="9"/>
  <c r="J618" i="9"/>
  <c r="I618" i="9"/>
  <c r="K618" i="9"/>
  <c r="M618" i="9"/>
  <c r="H618" i="9"/>
  <c r="G618" i="9"/>
  <c r="F544" i="9"/>
  <c r="K544" i="9"/>
  <c r="M544" i="9"/>
  <c r="H544" i="9"/>
  <c r="G544" i="9"/>
  <c r="I544" i="9"/>
  <c r="J544" i="9"/>
  <c r="F89" i="9"/>
  <c r="G89" i="9"/>
  <c r="J89" i="9"/>
  <c r="I89" i="9"/>
  <c r="H89" i="9"/>
  <c r="K89" i="9"/>
  <c r="M89" i="9"/>
  <c r="F77" i="9"/>
  <c r="G77" i="9"/>
  <c r="K77" i="9"/>
  <c r="M77" i="9"/>
  <c r="I77" i="9"/>
  <c r="J77" i="9"/>
  <c r="H77" i="9"/>
  <c r="F280" i="9"/>
  <c r="G280" i="9"/>
  <c r="J280" i="9"/>
  <c r="I280" i="9"/>
  <c r="H280" i="9"/>
  <c r="K280" i="9"/>
  <c r="M280" i="9"/>
  <c r="F232" i="9"/>
  <c r="K232" i="9"/>
  <c r="M232" i="9"/>
  <c r="J232" i="9"/>
  <c r="H232" i="9"/>
  <c r="I232" i="9"/>
  <c r="G232" i="9"/>
  <c r="F236" i="9"/>
  <c r="I236" i="9"/>
  <c r="H236" i="9"/>
  <c r="K236" i="9"/>
  <c r="M236" i="9"/>
  <c r="J236" i="9"/>
  <c r="G236" i="9"/>
  <c r="F656" i="9"/>
  <c r="I656" i="9"/>
  <c r="J656" i="9"/>
  <c r="H656" i="9"/>
  <c r="G656" i="9"/>
  <c r="K656" i="9"/>
  <c r="M656" i="9"/>
  <c r="F530" i="9"/>
  <c r="J530" i="9"/>
  <c r="I530" i="9"/>
  <c r="K530" i="9"/>
  <c r="M530" i="9"/>
  <c r="H530" i="9"/>
  <c r="G530" i="9"/>
  <c r="F483" i="9"/>
  <c r="K483" i="9"/>
  <c r="M483" i="9"/>
  <c r="J483" i="9"/>
  <c r="G483" i="9"/>
  <c r="I483" i="9"/>
  <c r="H483" i="9"/>
  <c r="F651" i="9"/>
  <c r="H651" i="9"/>
  <c r="G651" i="9"/>
  <c r="K651" i="9"/>
  <c r="M651" i="9"/>
  <c r="J651" i="9"/>
  <c r="I651" i="9"/>
  <c r="F479" i="9"/>
  <c r="G479" i="9"/>
  <c r="K479" i="9"/>
  <c r="M479" i="9"/>
  <c r="J479" i="9"/>
  <c r="H479" i="9"/>
  <c r="I479" i="9"/>
  <c r="F730" i="9"/>
  <c r="H730" i="9"/>
  <c r="G730" i="9"/>
  <c r="J730" i="9"/>
  <c r="I730" i="9"/>
  <c r="K730" i="9"/>
  <c r="M730" i="9"/>
  <c r="F586" i="9"/>
  <c r="J586" i="9"/>
  <c r="I586" i="9"/>
  <c r="H586" i="9"/>
  <c r="G586" i="9"/>
  <c r="K586" i="9"/>
  <c r="M586" i="9"/>
  <c r="F532" i="9"/>
  <c r="K532" i="9"/>
  <c r="M532" i="9"/>
  <c r="I532" i="9"/>
  <c r="H532" i="9"/>
  <c r="J532" i="9"/>
  <c r="G532" i="9"/>
  <c r="F109" i="9"/>
  <c r="J109" i="9"/>
  <c r="I109" i="9"/>
  <c r="H109" i="9"/>
  <c r="G109" i="9"/>
  <c r="K109" i="9"/>
  <c r="M109" i="9"/>
  <c r="F218" i="9"/>
  <c r="I218" i="9"/>
  <c r="G218" i="9"/>
  <c r="J218" i="9"/>
  <c r="H218" i="9"/>
  <c r="K218" i="9"/>
  <c r="M218" i="9"/>
  <c r="F158" i="9"/>
  <c r="I158" i="9"/>
  <c r="K158" i="9"/>
  <c r="M158" i="9"/>
  <c r="H158" i="9"/>
  <c r="G158" i="9"/>
  <c r="J158" i="9"/>
  <c r="F356" i="9"/>
  <c r="I356" i="9"/>
  <c r="J356" i="9"/>
  <c r="G356" i="9"/>
  <c r="H356" i="9"/>
  <c r="K356" i="9"/>
  <c r="M356" i="9"/>
  <c r="F494" i="9"/>
  <c r="J494" i="9"/>
  <c r="I494" i="9"/>
  <c r="K494" i="9"/>
  <c r="M494" i="9"/>
  <c r="H494" i="9"/>
  <c r="G494" i="9"/>
  <c r="F689" i="9"/>
  <c r="K689" i="9"/>
  <c r="M689" i="9"/>
  <c r="J689" i="9"/>
  <c r="I689" i="9"/>
  <c r="H689" i="9"/>
  <c r="G689" i="9"/>
  <c r="F113" i="9"/>
  <c r="G113" i="9"/>
  <c r="I113" i="9"/>
  <c r="J113" i="9"/>
  <c r="H113" i="9"/>
  <c r="K113" i="9"/>
  <c r="M113" i="9"/>
  <c r="F187" i="9"/>
  <c r="G187" i="9"/>
  <c r="J187" i="9"/>
  <c r="I187" i="9"/>
  <c r="H187" i="9"/>
  <c r="K187" i="9"/>
  <c r="M187" i="9"/>
  <c r="F289" i="9"/>
  <c r="I289" i="9"/>
  <c r="G289" i="9"/>
  <c r="H289" i="9"/>
  <c r="K289" i="9"/>
  <c r="M289" i="9"/>
  <c r="J289" i="9"/>
  <c r="F190" i="9"/>
  <c r="J190" i="9"/>
  <c r="I190" i="9"/>
  <c r="H190" i="9"/>
  <c r="G190" i="9"/>
  <c r="K190" i="9"/>
  <c r="M190" i="9"/>
  <c r="F569" i="9"/>
  <c r="G569" i="9"/>
  <c r="J569" i="9"/>
  <c r="I569" i="9"/>
  <c r="H569" i="9"/>
  <c r="K569" i="9"/>
  <c r="M569" i="9"/>
  <c r="F609" i="9"/>
  <c r="K609" i="9"/>
  <c r="M609" i="9"/>
  <c r="J609" i="9"/>
  <c r="I609" i="9"/>
  <c r="H609" i="9"/>
  <c r="G609" i="9"/>
  <c r="F550" i="9"/>
  <c r="K550" i="9"/>
  <c r="M550" i="9"/>
  <c r="J550" i="9"/>
  <c r="I550" i="9"/>
  <c r="H550" i="9"/>
  <c r="G550" i="9"/>
  <c r="F723" i="9"/>
  <c r="K723" i="9"/>
  <c r="M723" i="9"/>
  <c r="J723" i="9"/>
  <c r="G723" i="9"/>
  <c r="I723" i="9"/>
  <c r="H723" i="9"/>
  <c r="F710" i="9"/>
  <c r="I710" i="9"/>
  <c r="K710" i="9"/>
  <c r="M710" i="9"/>
  <c r="G710" i="9"/>
  <c r="J710" i="9"/>
  <c r="H710" i="9"/>
  <c r="F128" i="9"/>
  <c r="J128" i="9"/>
  <c r="H128" i="9"/>
  <c r="I128" i="9"/>
  <c r="G128" i="9"/>
  <c r="K128" i="9"/>
  <c r="M128" i="9"/>
  <c r="F213" i="9"/>
  <c r="K213" i="9"/>
  <c r="M213" i="9"/>
  <c r="G213" i="9"/>
  <c r="I213" i="9"/>
  <c r="J213" i="9"/>
  <c r="H213" i="9"/>
  <c r="F313" i="9"/>
  <c r="I313" i="9"/>
  <c r="G313" i="9"/>
  <c r="K313" i="9"/>
  <c r="M313" i="9"/>
  <c r="J313" i="9"/>
  <c r="H313" i="9"/>
  <c r="F246" i="9"/>
  <c r="I246" i="9"/>
  <c r="H246" i="9"/>
  <c r="G246" i="9"/>
  <c r="J246" i="9"/>
  <c r="K246" i="9"/>
  <c r="M246" i="9"/>
  <c r="F617" i="9"/>
  <c r="J617" i="9"/>
  <c r="I617" i="9"/>
  <c r="H617" i="9"/>
  <c r="G617" i="9"/>
  <c r="K617" i="9"/>
  <c r="M617" i="9"/>
  <c r="F648" i="9"/>
  <c r="J648" i="9"/>
  <c r="I648" i="9"/>
  <c r="H648" i="9"/>
  <c r="K648" i="9"/>
  <c r="M648" i="9"/>
  <c r="G648" i="9"/>
  <c r="F601" i="9"/>
  <c r="G601" i="9"/>
  <c r="H601" i="9"/>
  <c r="K601" i="9"/>
  <c r="M601" i="9"/>
  <c r="J601" i="9"/>
  <c r="I601" i="9"/>
  <c r="F675" i="9"/>
  <c r="K675" i="9"/>
  <c r="M675" i="9"/>
  <c r="J675" i="9"/>
  <c r="I675" i="9"/>
  <c r="H675" i="9"/>
  <c r="G675" i="9"/>
  <c r="F84" i="9"/>
  <c r="I84" i="9"/>
  <c r="G84" i="9"/>
  <c r="K84" i="9"/>
  <c r="M84" i="9"/>
  <c r="J84" i="9"/>
  <c r="H84" i="9"/>
  <c r="F96" i="9"/>
  <c r="I96" i="9"/>
  <c r="H96" i="9"/>
  <c r="G96" i="9"/>
  <c r="J96" i="9"/>
  <c r="K96" i="9"/>
  <c r="M96" i="9"/>
  <c r="F455" i="9"/>
  <c r="G455" i="9"/>
  <c r="K455" i="9"/>
  <c r="M455" i="9"/>
  <c r="J455" i="9"/>
  <c r="H455" i="9"/>
  <c r="I455" i="9"/>
  <c r="F200" i="9"/>
  <c r="I200" i="9"/>
  <c r="K200" i="9"/>
  <c r="M200" i="9"/>
  <c r="J200" i="9"/>
  <c r="H200" i="9"/>
  <c r="G200" i="9"/>
  <c r="F272" i="9"/>
  <c r="I272" i="9"/>
  <c r="H272" i="9"/>
  <c r="K272" i="9"/>
  <c r="M272" i="9"/>
  <c r="G272" i="9"/>
  <c r="J272" i="9"/>
  <c r="F461" i="9"/>
  <c r="G461" i="9"/>
  <c r="J461" i="9"/>
  <c r="H461" i="9"/>
  <c r="K461" i="9"/>
  <c r="M461" i="9"/>
  <c r="I461" i="9"/>
  <c r="F615" i="9"/>
  <c r="K615" i="9"/>
  <c r="M615" i="9"/>
  <c r="J615" i="9"/>
  <c r="I615" i="9"/>
  <c r="H615" i="9"/>
  <c r="G615" i="9"/>
  <c r="F713" i="9"/>
  <c r="K713" i="9"/>
  <c r="M713" i="9"/>
  <c r="J713" i="9"/>
  <c r="I713" i="9"/>
  <c r="H713" i="9"/>
  <c r="G713" i="9"/>
  <c r="F153" i="9"/>
  <c r="K153" i="9"/>
  <c r="M153" i="9"/>
  <c r="G153" i="9"/>
  <c r="H153" i="9"/>
  <c r="J153" i="9"/>
  <c r="I153" i="9"/>
  <c r="F100" i="9"/>
  <c r="K100" i="9"/>
  <c r="M100" i="9"/>
  <c r="J100" i="9"/>
  <c r="I100" i="9"/>
  <c r="H100" i="9"/>
  <c r="G100" i="9"/>
  <c r="F69" i="9"/>
  <c r="I69" i="9"/>
  <c r="J69" i="9"/>
  <c r="K69" i="9"/>
  <c r="M69" i="9"/>
  <c r="H69" i="9"/>
  <c r="G69" i="9"/>
  <c r="F345" i="9"/>
  <c r="H345" i="9"/>
  <c r="K345" i="9"/>
  <c r="M345" i="9"/>
  <c r="J345" i="9"/>
  <c r="I345" i="9"/>
  <c r="G345" i="9"/>
  <c r="F395" i="9"/>
  <c r="G395" i="9"/>
  <c r="J395" i="9"/>
  <c r="I395" i="9"/>
  <c r="H395" i="9"/>
  <c r="K395" i="9"/>
  <c r="M395" i="9"/>
  <c r="F172" i="9"/>
  <c r="K172" i="9"/>
  <c r="M172" i="9"/>
  <c r="J172" i="9"/>
  <c r="H172" i="9"/>
  <c r="G172" i="9"/>
  <c r="I172" i="9"/>
  <c r="F93" i="9"/>
  <c r="I93" i="9"/>
  <c r="G93" i="9"/>
  <c r="K93" i="9"/>
  <c r="M93" i="9"/>
  <c r="J93" i="9"/>
  <c r="H93" i="9"/>
  <c r="F141" i="9"/>
  <c r="K141" i="9"/>
  <c r="M141" i="9"/>
  <c r="J141" i="9"/>
  <c r="I141" i="9"/>
  <c r="H141" i="9"/>
  <c r="G141" i="9"/>
  <c r="F124" i="9"/>
  <c r="K124" i="9"/>
  <c r="M124" i="9"/>
  <c r="G124" i="9"/>
  <c r="J124" i="9"/>
  <c r="I124" i="9"/>
  <c r="H124" i="9"/>
  <c r="F185" i="9"/>
  <c r="G185" i="9"/>
  <c r="K185" i="9"/>
  <c r="M185" i="9"/>
  <c r="I185" i="9"/>
  <c r="H185" i="9"/>
  <c r="J185" i="9"/>
  <c r="F247" i="9"/>
  <c r="G247" i="9"/>
  <c r="J247" i="9"/>
  <c r="I247" i="9"/>
  <c r="H247" i="9"/>
  <c r="K247" i="9"/>
  <c r="M247" i="9"/>
  <c r="F116" i="9"/>
  <c r="J116" i="9"/>
  <c r="I116" i="9"/>
  <c r="G116" i="9"/>
  <c r="K116" i="9"/>
  <c r="M116" i="9"/>
  <c r="H116" i="9"/>
  <c r="F295" i="9"/>
  <c r="I295" i="9"/>
  <c r="G295" i="9"/>
  <c r="H295" i="9"/>
  <c r="J295" i="9"/>
  <c r="K295" i="9"/>
  <c r="M295" i="9"/>
  <c r="F353" i="9"/>
  <c r="G353" i="9"/>
  <c r="J353" i="9"/>
  <c r="I353" i="9"/>
  <c r="H353" i="9"/>
  <c r="K353" i="9"/>
  <c r="M353" i="9"/>
  <c r="F366" i="9"/>
  <c r="I366" i="9"/>
  <c r="G366" i="9"/>
  <c r="H366" i="9"/>
  <c r="J366" i="9"/>
  <c r="K366" i="9"/>
  <c r="M366" i="9"/>
  <c r="F238" i="9"/>
  <c r="H238" i="9"/>
  <c r="G238" i="9"/>
  <c r="J238" i="9"/>
  <c r="I238" i="9"/>
  <c r="K238" i="9"/>
  <c r="M238" i="9"/>
  <c r="F409" i="9"/>
  <c r="I409" i="9"/>
  <c r="G409" i="9"/>
  <c r="K409" i="9"/>
  <c r="M409" i="9"/>
  <c r="J409" i="9"/>
  <c r="H409" i="9"/>
  <c r="F399" i="9"/>
  <c r="K399" i="9"/>
  <c r="M399" i="9"/>
  <c r="J399" i="9"/>
  <c r="I399" i="9"/>
  <c r="H399" i="9"/>
  <c r="G399" i="9"/>
  <c r="F360" i="9"/>
  <c r="I360" i="9"/>
  <c r="G360" i="9"/>
  <c r="J360" i="9"/>
  <c r="H360" i="9"/>
  <c r="K360" i="9"/>
  <c r="M360" i="9"/>
  <c r="F636" i="9"/>
  <c r="G636" i="9"/>
  <c r="K636" i="9"/>
  <c r="M636" i="9"/>
  <c r="J636" i="9"/>
  <c r="H636" i="9"/>
  <c r="I636" i="9"/>
  <c r="F554" i="9"/>
  <c r="J554" i="9"/>
  <c r="I554" i="9"/>
  <c r="K554" i="9"/>
  <c r="M554" i="9"/>
  <c r="H554" i="9"/>
  <c r="G554" i="9"/>
  <c r="F663" i="9"/>
  <c r="J663" i="9"/>
  <c r="I663" i="9"/>
  <c r="H663" i="9"/>
  <c r="G663" i="9"/>
  <c r="K663" i="9"/>
  <c r="M663" i="9"/>
  <c r="F518" i="9"/>
  <c r="J518" i="9"/>
  <c r="I518" i="9"/>
  <c r="K518" i="9"/>
  <c r="M518" i="9"/>
  <c r="H518" i="9"/>
  <c r="G518" i="9"/>
  <c r="F745" i="9"/>
  <c r="G745" i="9"/>
  <c r="J745" i="9"/>
  <c r="I745" i="9"/>
  <c r="H745" i="9"/>
  <c r="K745" i="9"/>
  <c r="M745" i="9"/>
  <c r="F639" i="9"/>
  <c r="K639" i="9"/>
  <c r="M639" i="9"/>
  <c r="J639" i="9"/>
  <c r="I639" i="9"/>
  <c r="H639" i="9"/>
  <c r="G639" i="9"/>
  <c r="F647" i="9"/>
  <c r="J647" i="9"/>
  <c r="I647" i="9"/>
  <c r="H647" i="9"/>
  <c r="G647" i="9"/>
  <c r="K647" i="9"/>
  <c r="M647" i="9"/>
  <c r="F181" i="9"/>
  <c r="G181" i="9"/>
  <c r="H181" i="9"/>
  <c r="K181" i="9"/>
  <c r="M181" i="9"/>
  <c r="J181" i="9"/>
  <c r="I181" i="9"/>
  <c r="F371" i="9"/>
  <c r="G371" i="9"/>
  <c r="K371" i="9"/>
  <c r="M371" i="9"/>
  <c r="J371" i="9"/>
  <c r="I371" i="9"/>
  <c r="H371" i="9"/>
  <c r="F442" i="9"/>
  <c r="H442" i="9"/>
  <c r="K442" i="9"/>
  <c r="M442" i="9"/>
  <c r="J442" i="9"/>
  <c r="I442" i="9"/>
  <c r="G442" i="9"/>
  <c r="F600" i="9"/>
  <c r="K600" i="9"/>
  <c r="M600" i="9"/>
  <c r="I600" i="9"/>
  <c r="H600" i="9"/>
  <c r="G600" i="9"/>
  <c r="J600" i="9"/>
  <c r="F522" i="9"/>
  <c r="I522" i="9"/>
  <c r="H522" i="9"/>
  <c r="G522" i="9"/>
  <c r="K522" i="9"/>
  <c r="M522" i="9"/>
  <c r="J522" i="9"/>
  <c r="F746" i="9"/>
  <c r="I746" i="9"/>
  <c r="J746" i="9"/>
  <c r="H746" i="9"/>
  <c r="G746" i="9"/>
  <c r="K746" i="9"/>
  <c r="M746" i="9"/>
  <c r="F209" i="9"/>
  <c r="G209" i="9"/>
  <c r="K209" i="9"/>
  <c r="I209" i="9"/>
  <c r="H209" i="9"/>
  <c r="J209" i="9"/>
  <c r="F104" i="9"/>
  <c r="J104" i="9"/>
  <c r="I104" i="9"/>
  <c r="G104" i="9"/>
  <c r="H104" i="9"/>
  <c r="K104" i="9"/>
  <c r="M104" i="9"/>
  <c r="F239" i="9"/>
  <c r="G239" i="9"/>
  <c r="K239" i="9"/>
  <c r="M239" i="9"/>
  <c r="J239" i="9"/>
  <c r="I239" i="9"/>
  <c r="H239" i="9"/>
  <c r="F323" i="9"/>
  <c r="G323" i="9"/>
  <c r="H323" i="9"/>
  <c r="K323" i="9"/>
  <c r="M323" i="9"/>
  <c r="J323" i="9"/>
  <c r="I323" i="9"/>
  <c r="F386" i="9"/>
  <c r="I386" i="9"/>
  <c r="K386" i="9"/>
  <c r="M386" i="9"/>
  <c r="J386" i="9"/>
  <c r="H386" i="9"/>
  <c r="G386" i="9"/>
  <c r="F358" i="9"/>
  <c r="K358" i="9"/>
  <c r="M358" i="9"/>
  <c r="H358" i="9"/>
  <c r="G358" i="9"/>
  <c r="J358" i="9"/>
  <c r="I358" i="9"/>
  <c r="F596" i="9"/>
  <c r="I596" i="9"/>
  <c r="G596" i="9"/>
  <c r="K596" i="9"/>
  <c r="M596" i="9"/>
  <c r="J596" i="9"/>
  <c r="H596" i="9"/>
  <c r="F548" i="9"/>
  <c r="J548" i="9"/>
  <c r="I548" i="9"/>
  <c r="K548" i="9"/>
  <c r="M548" i="9"/>
  <c r="G548" i="9"/>
  <c r="H548" i="9"/>
  <c r="F599" i="9"/>
  <c r="K599" i="9"/>
  <c r="M599" i="9"/>
  <c r="J599" i="9"/>
  <c r="I599" i="9"/>
  <c r="H599" i="9"/>
  <c r="G599" i="9"/>
  <c r="F117" i="9"/>
  <c r="K117" i="9"/>
  <c r="M117" i="9"/>
  <c r="I117" i="9"/>
  <c r="H117" i="9"/>
  <c r="J117" i="9"/>
  <c r="G117" i="9"/>
  <c r="F184" i="9"/>
  <c r="K184" i="9"/>
  <c r="M184" i="9"/>
  <c r="J184" i="9"/>
  <c r="I184" i="9"/>
  <c r="G184" i="9"/>
  <c r="H184" i="9"/>
  <c r="F327" i="9"/>
  <c r="I327" i="9"/>
  <c r="G327" i="9"/>
  <c r="H327" i="9"/>
  <c r="J327" i="9"/>
  <c r="K327" i="9"/>
  <c r="M327" i="9"/>
  <c r="F426" i="9"/>
  <c r="I426" i="9"/>
  <c r="G426" i="9"/>
  <c r="K426" i="9"/>
  <c r="M426" i="9"/>
  <c r="J426" i="9"/>
  <c r="H426" i="9"/>
  <c r="F384" i="9"/>
  <c r="I384" i="9"/>
  <c r="G384" i="9"/>
  <c r="J384" i="9"/>
  <c r="K384" i="9"/>
  <c r="M384" i="9"/>
  <c r="H384" i="9"/>
  <c r="F561" i="9"/>
  <c r="K561" i="9"/>
  <c r="M561" i="9"/>
  <c r="J561" i="9"/>
  <c r="G561" i="9"/>
  <c r="I561" i="9"/>
  <c r="H561" i="9"/>
  <c r="F740" i="9"/>
  <c r="I740" i="9"/>
  <c r="H740" i="9"/>
  <c r="G740" i="9"/>
  <c r="J740" i="9"/>
  <c r="K740" i="9"/>
  <c r="M740" i="9"/>
  <c r="F715" i="9"/>
  <c r="G715" i="9"/>
  <c r="I715" i="9"/>
  <c r="H715" i="9"/>
  <c r="K715" i="9"/>
  <c r="M715" i="9"/>
  <c r="J715" i="9"/>
  <c r="F121" i="9"/>
  <c r="J121" i="9"/>
  <c r="I121" i="9"/>
  <c r="H121" i="9"/>
  <c r="G121" i="9"/>
  <c r="K121" i="9"/>
  <c r="M121" i="9"/>
  <c r="F188" i="9"/>
  <c r="I188" i="9"/>
  <c r="K188" i="9"/>
  <c r="M188" i="9"/>
  <c r="J188" i="9"/>
  <c r="H188" i="9"/>
  <c r="G188" i="9"/>
  <c r="F291" i="9"/>
  <c r="K291" i="9"/>
  <c r="M291" i="9"/>
  <c r="H291" i="9"/>
  <c r="G291" i="9"/>
  <c r="J291" i="9"/>
  <c r="I291" i="9"/>
  <c r="F383" i="9"/>
  <c r="G383" i="9"/>
  <c r="K383" i="9"/>
  <c r="M383" i="9"/>
  <c r="I383" i="9"/>
  <c r="H383" i="9"/>
  <c r="J383" i="9"/>
  <c r="F405" i="9"/>
  <c r="K405" i="9"/>
  <c r="M405" i="9"/>
  <c r="J405" i="9"/>
  <c r="I405" i="9"/>
  <c r="H405" i="9"/>
  <c r="G405" i="9"/>
  <c r="F665" i="9"/>
  <c r="K665" i="9"/>
  <c r="M665" i="9"/>
  <c r="J665" i="9"/>
  <c r="I665" i="9"/>
  <c r="H665" i="9"/>
  <c r="G665" i="9"/>
  <c r="F423" i="9"/>
  <c r="J423" i="9"/>
  <c r="K423" i="9"/>
  <c r="M423" i="9"/>
  <c r="I423" i="9"/>
  <c r="H423" i="9"/>
  <c r="G423" i="9"/>
  <c r="F657" i="9"/>
  <c r="I657" i="9"/>
  <c r="H657" i="9"/>
  <c r="G657" i="9"/>
  <c r="K657" i="9"/>
  <c r="M657" i="9"/>
  <c r="J657" i="9"/>
  <c r="F563" i="9"/>
  <c r="G563" i="9"/>
  <c r="K563" i="9"/>
  <c r="M563" i="9"/>
  <c r="J563" i="9"/>
  <c r="I563" i="9"/>
  <c r="H563" i="9"/>
  <c r="F614" i="9"/>
  <c r="I614" i="9"/>
  <c r="K614" i="9"/>
  <c r="M614" i="9"/>
  <c r="G614" i="9"/>
  <c r="J614" i="9"/>
  <c r="H614" i="9"/>
  <c r="F753" i="9"/>
  <c r="G753" i="9"/>
  <c r="K753" i="9"/>
  <c r="M753" i="9"/>
  <c r="I753" i="9"/>
  <c r="H753" i="9"/>
  <c r="J753" i="9"/>
  <c r="F173" i="9"/>
  <c r="G173" i="9"/>
  <c r="K173" i="9"/>
  <c r="M173" i="9"/>
  <c r="I173" i="9"/>
  <c r="H173" i="9"/>
  <c r="J173" i="9"/>
  <c r="F205" i="9"/>
  <c r="G205" i="9"/>
  <c r="K205" i="9"/>
  <c r="H205" i="9"/>
  <c r="J205" i="9"/>
  <c r="I205" i="9"/>
  <c r="F315" i="9"/>
  <c r="K315" i="9"/>
  <c r="M315" i="9"/>
  <c r="I315" i="9"/>
  <c r="H315" i="9"/>
  <c r="J315" i="9"/>
  <c r="G315" i="9"/>
  <c r="F160" i="9"/>
  <c r="J160" i="9"/>
  <c r="G160" i="9"/>
  <c r="I160" i="9"/>
  <c r="H160" i="9"/>
  <c r="K160" i="9"/>
  <c r="M160" i="9"/>
  <c r="F278" i="9"/>
  <c r="I278" i="9"/>
  <c r="H278" i="9"/>
  <c r="K278" i="9"/>
  <c r="M278" i="9"/>
  <c r="J278" i="9"/>
  <c r="G278" i="9"/>
  <c r="F589" i="9"/>
  <c r="G589" i="9"/>
  <c r="K589" i="9"/>
  <c r="M589" i="9"/>
  <c r="J589" i="9"/>
  <c r="I589" i="9"/>
  <c r="H589" i="9"/>
  <c r="F659" i="9"/>
  <c r="K659" i="9"/>
  <c r="M659" i="9"/>
  <c r="J659" i="9"/>
  <c r="I659" i="9"/>
  <c r="H659" i="9"/>
  <c r="G659" i="9"/>
  <c r="F576" i="9"/>
  <c r="I576" i="9"/>
  <c r="H576" i="9"/>
  <c r="G576" i="9"/>
  <c r="J576" i="9"/>
  <c r="K576" i="9"/>
  <c r="M576" i="9"/>
  <c r="F734" i="9"/>
  <c r="I734" i="9"/>
  <c r="K734" i="9"/>
  <c r="M734" i="9"/>
  <c r="G734" i="9"/>
  <c r="J734" i="9"/>
  <c r="H734" i="9"/>
  <c r="F129" i="9"/>
  <c r="K129" i="9"/>
  <c r="M129" i="9"/>
  <c r="J129" i="9"/>
  <c r="I129" i="9"/>
  <c r="G129" i="9"/>
  <c r="H129" i="9"/>
  <c r="F132" i="9"/>
  <c r="I132" i="9"/>
  <c r="H132" i="9"/>
  <c r="G132" i="9"/>
  <c r="J132" i="9"/>
  <c r="K132" i="9"/>
  <c r="M132" i="9"/>
  <c r="F264" i="9"/>
  <c r="I264" i="9"/>
  <c r="K264" i="9"/>
  <c r="M264" i="9"/>
  <c r="J264" i="9"/>
  <c r="H264" i="9"/>
  <c r="G264" i="9"/>
  <c r="F85" i="9"/>
  <c r="I85" i="9"/>
  <c r="H85" i="9"/>
  <c r="G85" i="9"/>
  <c r="K85" i="9"/>
  <c r="M85" i="9"/>
  <c r="J85" i="9"/>
  <c r="F154" i="9"/>
  <c r="H154" i="9"/>
  <c r="G154" i="9"/>
  <c r="J154" i="9"/>
  <c r="I154" i="9"/>
  <c r="K154" i="9"/>
  <c r="M154" i="9"/>
  <c r="F339" i="9"/>
  <c r="I339" i="9"/>
  <c r="H339" i="9"/>
  <c r="G339" i="9"/>
  <c r="J339" i="9"/>
  <c r="K339" i="9"/>
  <c r="M339" i="9"/>
  <c r="F334" i="9"/>
  <c r="G334" i="9"/>
  <c r="K334" i="9"/>
  <c r="M334" i="9"/>
  <c r="J334" i="9"/>
  <c r="I334" i="9"/>
  <c r="H334" i="9"/>
  <c r="F362" i="9"/>
  <c r="I362" i="9"/>
  <c r="K362" i="9"/>
  <c r="M362" i="9"/>
  <c r="J362" i="9"/>
  <c r="H362" i="9"/>
  <c r="G362" i="9"/>
  <c r="F721" i="9"/>
  <c r="G721" i="9"/>
  <c r="J721" i="9"/>
  <c r="I721" i="9"/>
  <c r="H721" i="9"/>
  <c r="K721" i="9"/>
  <c r="M721" i="9"/>
  <c r="F374" i="9"/>
  <c r="I374" i="9"/>
  <c r="K374" i="9"/>
  <c r="M374" i="9"/>
  <c r="J374" i="9"/>
  <c r="H374" i="9"/>
  <c r="G374" i="9"/>
  <c r="F137" i="9"/>
  <c r="G137" i="9"/>
  <c r="K137" i="9"/>
  <c r="M137" i="9"/>
  <c r="I137" i="9"/>
  <c r="H137" i="9"/>
  <c r="J137" i="9"/>
  <c r="F165" i="9"/>
  <c r="J165" i="9"/>
  <c r="I165" i="9"/>
  <c r="H165" i="9"/>
  <c r="G165" i="9"/>
  <c r="K165" i="9"/>
  <c r="M165" i="9"/>
  <c r="F351" i="9"/>
  <c r="K351" i="9"/>
  <c r="M351" i="9"/>
  <c r="J351" i="9"/>
  <c r="I351" i="9"/>
  <c r="H351" i="9"/>
  <c r="G351" i="9"/>
  <c r="F201" i="9"/>
  <c r="K201" i="9"/>
  <c r="M201" i="9"/>
  <c r="H201" i="9"/>
  <c r="G201" i="9"/>
  <c r="I201" i="9"/>
  <c r="J201" i="9"/>
  <c r="F97" i="9"/>
  <c r="J97" i="9"/>
  <c r="I97" i="9"/>
  <c r="H97" i="9"/>
  <c r="G97" i="9"/>
  <c r="K97" i="9"/>
  <c r="M97" i="9"/>
  <c r="F145" i="9"/>
  <c r="J145" i="9"/>
  <c r="I145" i="9"/>
  <c r="H145" i="9"/>
  <c r="G145" i="9"/>
  <c r="K145" i="9"/>
  <c r="M145" i="9"/>
  <c r="F148" i="9"/>
  <c r="K148" i="9"/>
  <c r="M148" i="9"/>
  <c r="G148" i="9"/>
  <c r="J148" i="9"/>
  <c r="I148" i="9"/>
  <c r="H148" i="9"/>
  <c r="F189" i="9"/>
  <c r="G189" i="9"/>
  <c r="K189" i="9"/>
  <c r="M189" i="9"/>
  <c r="I189" i="9"/>
  <c r="H189" i="9"/>
  <c r="J189" i="9"/>
  <c r="F283" i="9"/>
  <c r="I283" i="9"/>
  <c r="G283" i="9"/>
  <c r="H283" i="9"/>
  <c r="J283" i="9"/>
  <c r="K283" i="9"/>
  <c r="M283" i="9"/>
  <c r="F167" i="9"/>
  <c r="K167" i="9"/>
  <c r="M167" i="9"/>
  <c r="G167" i="9"/>
  <c r="J167" i="9"/>
  <c r="I167" i="9"/>
  <c r="H167" i="9"/>
  <c r="F319" i="9"/>
  <c r="I319" i="9"/>
  <c r="G319" i="9"/>
  <c r="K319" i="9"/>
  <c r="M319" i="9"/>
  <c r="J319" i="9"/>
  <c r="H319" i="9"/>
  <c r="F391" i="9"/>
  <c r="I391" i="9"/>
  <c r="G391" i="9"/>
  <c r="H391" i="9"/>
  <c r="J391" i="9"/>
  <c r="K391" i="9"/>
  <c r="M391" i="9"/>
  <c r="F434" i="9"/>
  <c r="I434" i="9"/>
  <c r="J434" i="9"/>
  <c r="H434" i="9"/>
  <c r="G434" i="9"/>
  <c r="K434" i="9"/>
  <c r="M434" i="9"/>
  <c r="F365" i="9"/>
  <c r="G365" i="9"/>
  <c r="K365" i="9"/>
  <c r="M365" i="9"/>
  <c r="J365" i="9"/>
  <c r="I365" i="9"/>
  <c r="H365" i="9"/>
  <c r="F418" i="9"/>
  <c r="J418" i="9"/>
  <c r="H418" i="9"/>
  <c r="G418" i="9"/>
  <c r="K418" i="9"/>
  <c r="M418" i="9"/>
  <c r="I418" i="9"/>
  <c r="F414" i="9"/>
  <c r="I414" i="9"/>
  <c r="G414" i="9"/>
  <c r="J414" i="9"/>
  <c r="H414" i="9"/>
  <c r="K414" i="9"/>
  <c r="M414" i="9"/>
  <c r="F443" i="9"/>
  <c r="G443" i="9"/>
  <c r="J443" i="9"/>
  <c r="I443" i="9"/>
  <c r="H443" i="9"/>
  <c r="K443" i="9"/>
  <c r="M443" i="9"/>
  <c r="F646" i="9"/>
  <c r="G646" i="9"/>
  <c r="K646" i="9"/>
  <c r="M646" i="9"/>
  <c r="J646" i="9"/>
  <c r="I646" i="9"/>
  <c r="H646" i="9"/>
  <c r="F376" i="9"/>
  <c r="H376" i="9"/>
  <c r="K376" i="9"/>
  <c r="M376" i="9"/>
  <c r="J376" i="9"/>
  <c r="G376" i="9"/>
  <c r="I376" i="9"/>
  <c r="F669" i="9"/>
  <c r="K669" i="9"/>
  <c r="M669" i="9"/>
  <c r="J669" i="9"/>
  <c r="I669" i="9"/>
  <c r="H669" i="9"/>
  <c r="G669" i="9"/>
  <c r="F531" i="9"/>
  <c r="K531" i="9"/>
  <c r="M531" i="9"/>
  <c r="J531" i="9"/>
  <c r="I531" i="9"/>
  <c r="H531" i="9"/>
  <c r="G531" i="9"/>
  <c r="F695" i="9"/>
  <c r="K695" i="9"/>
  <c r="M695" i="9"/>
  <c r="G695" i="9"/>
  <c r="H695" i="9"/>
  <c r="J695" i="9"/>
  <c r="I695" i="9"/>
  <c r="F708" i="9"/>
  <c r="J708" i="9"/>
  <c r="I708" i="9"/>
  <c r="K708" i="9"/>
  <c r="M708" i="9"/>
  <c r="H708" i="9"/>
  <c r="G708" i="9"/>
  <c r="F750" i="9"/>
  <c r="J750" i="9"/>
  <c r="I750" i="9"/>
  <c r="H750" i="9"/>
  <c r="G750" i="9"/>
  <c r="K750" i="9"/>
  <c r="M750" i="9"/>
  <c r="F180" i="9"/>
  <c r="I180" i="9"/>
  <c r="K180" i="9"/>
  <c r="M180" i="9"/>
  <c r="J180" i="9"/>
  <c r="H180" i="9"/>
  <c r="G180" i="9"/>
  <c r="F101" i="9"/>
  <c r="G101" i="9"/>
  <c r="J101" i="9"/>
  <c r="I101" i="9"/>
  <c r="K101" i="9"/>
  <c r="M101" i="9"/>
  <c r="H101" i="9"/>
  <c r="F179" i="9"/>
  <c r="G179" i="9"/>
  <c r="J179" i="9"/>
  <c r="I179" i="9"/>
  <c r="H179" i="9"/>
  <c r="K179" i="9"/>
  <c r="M179" i="9"/>
  <c r="F344" i="9"/>
  <c r="I344" i="9"/>
  <c r="K344" i="9"/>
  <c r="M344" i="9"/>
  <c r="J344" i="9"/>
  <c r="H344" i="9"/>
  <c r="G344" i="9"/>
  <c r="F437" i="9"/>
  <c r="G437" i="9"/>
  <c r="K437" i="9"/>
  <c r="M437" i="9"/>
  <c r="J437" i="9"/>
  <c r="I437" i="9"/>
  <c r="H437" i="9"/>
  <c r="O133" i="10"/>
  <c r="O70" i="10"/>
  <c r="O77" i="10"/>
  <c r="O66" i="10"/>
  <c r="J66" i="10"/>
  <c r="I66" i="10"/>
  <c r="H66" i="10"/>
  <c r="G66" i="10"/>
  <c r="O132" i="10"/>
  <c r="O69" i="10"/>
  <c r="J67" i="10"/>
  <c r="I67" i="10"/>
  <c r="H67" i="10"/>
  <c r="J65" i="10"/>
  <c r="I65" i="10"/>
  <c r="H65" i="10"/>
  <c r="J64" i="10"/>
  <c r="I64" i="10"/>
  <c r="H64" i="10"/>
  <c r="J63" i="10"/>
  <c r="I63" i="10"/>
  <c r="H63" i="10"/>
  <c r="J62" i="10"/>
  <c r="I62" i="10"/>
  <c r="H62" i="10"/>
  <c r="J61" i="10"/>
  <c r="I61" i="10"/>
  <c r="H61" i="10"/>
  <c r="J60" i="10"/>
  <c r="I60" i="10"/>
  <c r="H60" i="10"/>
  <c r="J59" i="10"/>
  <c r="I59" i="10"/>
  <c r="H59" i="10"/>
  <c r="J58" i="10"/>
  <c r="I58" i="10"/>
  <c r="H58" i="10"/>
  <c r="J57" i="10"/>
  <c r="I57" i="10"/>
  <c r="H57" i="10"/>
  <c r="J56" i="10"/>
  <c r="I56" i="10"/>
  <c r="H56" i="10"/>
  <c r="J55" i="10"/>
  <c r="I55" i="10"/>
  <c r="H55" i="10"/>
  <c r="J54" i="10"/>
  <c r="I54" i="10"/>
  <c r="H54" i="10"/>
  <c r="J53" i="10"/>
  <c r="I53" i="10"/>
  <c r="H53" i="10"/>
  <c r="J52" i="10"/>
  <c r="I52" i="10"/>
  <c r="H52" i="10"/>
  <c r="J51" i="10"/>
  <c r="I51" i="10"/>
  <c r="H51" i="10"/>
  <c r="J50" i="10"/>
  <c r="I50" i="10"/>
  <c r="H50" i="10"/>
  <c r="J49" i="10"/>
  <c r="I49" i="10"/>
  <c r="H49" i="10"/>
  <c r="J48" i="10"/>
  <c r="I48" i="10"/>
  <c r="H48" i="10"/>
  <c r="J47" i="10"/>
  <c r="I47" i="10"/>
  <c r="H47" i="10"/>
  <c r="J46" i="10"/>
  <c r="I46" i="10"/>
  <c r="H46" i="10"/>
  <c r="J45" i="10"/>
  <c r="I45" i="10"/>
  <c r="H45" i="10"/>
  <c r="J44" i="10"/>
  <c r="I44" i="10"/>
  <c r="H44" i="10"/>
  <c r="J43" i="10"/>
  <c r="I43" i="10"/>
  <c r="H43" i="10"/>
  <c r="J42" i="10"/>
  <c r="I42" i="10"/>
  <c r="H42" i="10"/>
  <c r="J41" i="10"/>
  <c r="I41" i="10"/>
  <c r="H41" i="10"/>
  <c r="J40" i="10"/>
  <c r="I40" i="10"/>
  <c r="H40" i="10"/>
  <c r="J39" i="10"/>
  <c r="I39" i="10"/>
  <c r="H39" i="10"/>
  <c r="J38" i="10"/>
  <c r="I38" i="10"/>
  <c r="H38" i="10"/>
  <c r="J37" i="10"/>
  <c r="I37" i="10"/>
  <c r="H37" i="10"/>
  <c r="J36" i="10"/>
  <c r="I36" i="10"/>
  <c r="H36" i="10"/>
  <c r="J35" i="10"/>
  <c r="I35" i="10"/>
  <c r="H35" i="10"/>
  <c r="J34" i="10"/>
  <c r="I34" i="10"/>
  <c r="H34" i="10"/>
  <c r="J33" i="10"/>
  <c r="I33" i="10"/>
  <c r="H33" i="10"/>
  <c r="J32" i="10"/>
  <c r="I32" i="10"/>
  <c r="H32" i="10"/>
  <c r="J31" i="10"/>
  <c r="I31" i="10"/>
  <c r="H31" i="10"/>
  <c r="J30" i="10"/>
  <c r="I30" i="10"/>
  <c r="H30" i="10"/>
  <c r="J29" i="10"/>
  <c r="I29" i="10"/>
  <c r="H29" i="10"/>
  <c r="J28" i="10"/>
  <c r="I28" i="10"/>
  <c r="H28" i="10"/>
  <c r="J27" i="10"/>
  <c r="I27" i="10"/>
  <c r="H27" i="10"/>
  <c r="J26" i="10"/>
  <c r="I26" i="10"/>
  <c r="H26" i="10"/>
  <c r="J25" i="10"/>
  <c r="I25" i="10"/>
  <c r="H25" i="10"/>
  <c r="J24" i="10"/>
  <c r="I24" i="10"/>
  <c r="H24" i="10"/>
  <c r="J23" i="10"/>
  <c r="I23" i="10"/>
  <c r="H23" i="10"/>
  <c r="J22" i="10"/>
  <c r="I22" i="10"/>
  <c r="H22" i="10"/>
  <c r="J21" i="10"/>
  <c r="I21" i="10"/>
  <c r="H21" i="10"/>
  <c r="J20" i="10"/>
  <c r="I20" i="10"/>
  <c r="H20" i="10"/>
  <c r="J19" i="10"/>
  <c r="I19" i="10"/>
  <c r="H19" i="10"/>
  <c r="J18" i="10"/>
  <c r="I18" i="10"/>
  <c r="H18" i="10"/>
  <c r="J17" i="10"/>
  <c r="I17" i="10"/>
  <c r="H17" i="10"/>
  <c r="J16" i="10"/>
  <c r="I16" i="10"/>
  <c r="H16" i="10"/>
  <c r="J15" i="10"/>
  <c r="I15" i="10"/>
  <c r="H15" i="10"/>
  <c r="J14" i="10"/>
  <c r="I14" i="10"/>
  <c r="H14" i="10"/>
  <c r="J13" i="10"/>
  <c r="I13" i="10"/>
  <c r="H13" i="10"/>
  <c r="J12" i="10"/>
  <c r="I12" i="10"/>
  <c r="H12" i="10"/>
  <c r="J11" i="10"/>
  <c r="I11" i="10"/>
  <c r="H11" i="10"/>
  <c r="J10" i="10"/>
  <c r="I10" i="10"/>
  <c r="H10" i="10"/>
  <c r="J9" i="10"/>
  <c r="I9" i="10"/>
  <c r="H9" i="10"/>
  <c r="J8" i="10"/>
  <c r="I8" i="10"/>
  <c r="H8" i="10"/>
  <c r="J7" i="10"/>
  <c r="I7" i="10"/>
  <c r="H7" i="10"/>
  <c r="M52" i="9"/>
  <c r="M47" i="9"/>
  <c r="M45" i="9"/>
  <c r="G15" i="10"/>
  <c r="G16" i="10"/>
  <c r="G17" i="10"/>
  <c r="G18" i="10"/>
  <c r="G19" i="10"/>
  <c r="G20" i="10"/>
  <c r="G21" i="10"/>
  <c r="G22" i="10"/>
  <c r="G23" i="10"/>
  <c r="G24" i="10"/>
  <c r="G25" i="10"/>
  <c r="G7" i="10"/>
  <c r="G8" i="10"/>
  <c r="G9" i="10"/>
  <c r="G10" i="10"/>
  <c r="G11" i="10"/>
  <c r="G12" i="10"/>
  <c r="G13" i="10"/>
  <c r="G14" i="10"/>
  <c r="G67" i="10"/>
  <c r="G26" i="10"/>
  <c r="G27" i="10"/>
  <c r="G28" i="10"/>
  <c r="G29" i="10"/>
  <c r="G30" i="10"/>
  <c r="G31" i="10"/>
  <c r="G32" i="10"/>
  <c r="G33" i="10"/>
  <c r="G34" i="10"/>
  <c r="G35" i="10"/>
  <c r="G36" i="10"/>
  <c r="G37" i="10"/>
  <c r="G38" i="10"/>
  <c r="G39" i="10"/>
  <c r="G40" i="10"/>
  <c r="G41" i="10"/>
  <c r="G42" i="10"/>
  <c r="G43" i="10"/>
  <c r="G44" i="10"/>
  <c r="G45" i="10"/>
  <c r="G46" i="10"/>
  <c r="G47" i="10"/>
  <c r="G48" i="10"/>
  <c r="G49" i="10"/>
  <c r="G50" i="10"/>
  <c r="G51" i="10"/>
  <c r="G52" i="10"/>
  <c r="G53" i="10"/>
  <c r="G54" i="10"/>
  <c r="G55" i="10"/>
  <c r="G56" i="10"/>
  <c r="G57" i="10"/>
  <c r="G58" i="10"/>
  <c r="G59" i="10"/>
  <c r="G60" i="10"/>
  <c r="G61" i="10"/>
  <c r="G62" i="10"/>
  <c r="G63" i="10"/>
  <c r="G64" i="10"/>
  <c r="G65" i="10"/>
  <c r="G77" i="10"/>
  <c r="O129" i="10"/>
  <c r="H72" i="10"/>
  <c r="H107" i="10"/>
  <c r="O301" i="10"/>
  <c r="O194" i="10"/>
  <c r="G113" i="10"/>
  <c r="I76" i="10"/>
  <c r="H125" i="10"/>
  <c r="H81" i="10"/>
  <c r="H130" i="10"/>
  <c r="I77" i="10"/>
  <c r="J133" i="10"/>
  <c r="O200" i="10"/>
  <c r="H112" i="10"/>
  <c r="H90" i="10"/>
  <c r="H76" i="10"/>
  <c r="I81" i="10"/>
  <c r="O239" i="10"/>
  <c r="J139" i="10"/>
  <c r="H94" i="10"/>
  <c r="I109" i="10"/>
  <c r="J134" i="10"/>
  <c r="H117" i="10"/>
  <c r="G117" i="10"/>
  <c r="C137" i="12"/>
  <c r="J77" i="10"/>
  <c r="H85" i="10"/>
  <c r="J146" i="10"/>
  <c r="G142" i="10"/>
  <c r="J152" i="10"/>
  <c r="G76" i="10"/>
  <c r="H98" i="10"/>
  <c r="I72" i="10"/>
  <c r="H121" i="10"/>
  <c r="G101" i="10"/>
  <c r="C121" i="12"/>
  <c r="G75" i="10"/>
  <c r="N75" i="10"/>
  <c r="K75" i="10"/>
  <c r="H103" i="10"/>
  <c r="G133" i="10"/>
  <c r="G190" i="10"/>
  <c r="G169" i="10"/>
  <c r="J186" i="10"/>
  <c r="J185" i="10"/>
  <c r="J138" i="10"/>
  <c r="J168" i="10"/>
  <c r="J256" i="10"/>
  <c r="J178" i="10"/>
  <c r="I183" i="10"/>
  <c r="J150" i="10"/>
  <c r="J144" i="10"/>
  <c r="J164" i="10"/>
  <c r="J230" i="10"/>
  <c r="G180" i="10"/>
  <c r="J169" i="10"/>
  <c r="J174" i="10"/>
  <c r="J181" i="10"/>
  <c r="H193" i="10"/>
  <c r="J161" i="10"/>
  <c r="J157" i="10"/>
  <c r="J191" i="10"/>
  <c r="J160" i="10"/>
  <c r="G166" i="10"/>
  <c r="O195" i="10"/>
  <c r="O321" i="10"/>
  <c r="J247" i="10"/>
  <c r="G252" i="10"/>
  <c r="G178" i="10"/>
  <c r="B198" i="12"/>
  <c r="I85" i="10"/>
  <c r="I117" i="10"/>
  <c r="J238" i="10"/>
  <c r="G177" i="10"/>
  <c r="N177" i="10"/>
  <c r="K177" i="10"/>
  <c r="J76" i="10"/>
  <c r="J121" i="10"/>
  <c r="I239" i="10"/>
  <c r="G97" i="10"/>
  <c r="H95" i="10"/>
  <c r="J142" i="10"/>
  <c r="I195" i="10"/>
  <c r="G185" i="10"/>
  <c r="N185" i="10"/>
  <c r="K185" i="10"/>
  <c r="G119" i="10"/>
  <c r="G115" i="10"/>
  <c r="B135" i="12"/>
  <c r="G229" i="10"/>
  <c r="N229" i="10"/>
  <c r="K229" i="10"/>
  <c r="G103" i="10"/>
  <c r="C123" i="12"/>
  <c r="G90" i="10"/>
  <c r="G131" i="10"/>
  <c r="B151" i="12"/>
  <c r="G144" i="10"/>
  <c r="N144" i="10"/>
  <c r="K144" i="10"/>
  <c r="G79" i="10"/>
  <c r="I71" i="10"/>
  <c r="I75" i="10"/>
  <c r="I80" i="10"/>
  <c r="I84" i="10"/>
  <c r="I89" i="10"/>
  <c r="I93" i="10"/>
  <c r="I97" i="10"/>
  <c r="I102" i="10"/>
  <c r="I106" i="10"/>
  <c r="I111" i="10"/>
  <c r="I115" i="10"/>
  <c r="I120" i="10"/>
  <c r="I124" i="10"/>
  <c r="I128" i="10"/>
  <c r="H134" i="10"/>
  <c r="H139" i="10"/>
  <c r="H145" i="10"/>
  <c r="H152" i="10"/>
  <c r="H157" i="10"/>
  <c r="H162" i="10"/>
  <c r="H169" i="10"/>
  <c r="H174" i="10"/>
  <c r="H180" i="10"/>
  <c r="H186" i="10"/>
  <c r="H191" i="10"/>
  <c r="I222" i="10"/>
  <c r="G109" i="10"/>
  <c r="J70" i="10"/>
  <c r="O100" i="10"/>
  <c r="H133" i="10"/>
  <c r="G112" i="10"/>
  <c r="B132" i="12"/>
  <c r="I121" i="10"/>
  <c r="H187" i="10"/>
  <c r="G111" i="10"/>
  <c r="N111" i="10"/>
  <c r="K111" i="10"/>
  <c r="J72" i="10"/>
  <c r="J117" i="10"/>
  <c r="I165" i="10"/>
  <c r="H116" i="10"/>
  <c r="G126" i="10"/>
  <c r="I68" i="10"/>
  <c r="H99" i="10"/>
  <c r="J147" i="10"/>
  <c r="G182" i="10"/>
  <c r="C202" i="12"/>
  <c r="G118" i="10"/>
  <c r="N118" i="10"/>
  <c r="K118" i="10"/>
  <c r="G114" i="10"/>
  <c r="C134" i="12"/>
  <c r="G227" i="10"/>
  <c r="N227" i="10"/>
  <c r="K227" i="10"/>
  <c r="G102" i="10"/>
  <c r="G89" i="10"/>
  <c r="G130" i="10"/>
  <c r="N130" i="10"/>
  <c r="K130" i="10"/>
  <c r="G143" i="10"/>
  <c r="G78" i="10"/>
  <c r="J71" i="10"/>
  <c r="J75" i="10"/>
  <c r="J80" i="10"/>
  <c r="J84" i="10"/>
  <c r="J89" i="10"/>
  <c r="J93" i="10"/>
  <c r="J97" i="10"/>
  <c r="J102" i="10"/>
  <c r="J106" i="10"/>
  <c r="J111" i="10"/>
  <c r="J115" i="10"/>
  <c r="J120" i="10"/>
  <c r="J124" i="10"/>
  <c r="J128" i="10"/>
  <c r="I134" i="10"/>
  <c r="I139" i="10"/>
  <c r="H146" i="10"/>
  <c r="I152" i="10"/>
  <c r="I157" i="10"/>
  <c r="H164" i="10"/>
  <c r="I169" i="10"/>
  <c r="I174" i="10"/>
  <c r="H181" i="10"/>
  <c r="I186" i="10"/>
  <c r="I191" i="10"/>
  <c r="I230" i="10"/>
  <c r="G100" i="10"/>
  <c r="N100" i="10"/>
  <c r="H77" i="10"/>
  <c r="H109" i="10"/>
  <c r="I133" i="10"/>
  <c r="O238" i="10"/>
  <c r="O214" i="10"/>
  <c r="O111" i="10"/>
  <c r="O134" i="10"/>
  <c r="G162" i="10"/>
  <c r="N162" i="10"/>
  <c r="K162" i="10"/>
  <c r="I103" i="10"/>
  <c r="I125" i="10"/>
  <c r="H147" i="10"/>
  <c r="H170" i="10"/>
  <c r="J109" i="10"/>
  <c r="G160" i="10"/>
  <c r="C180" i="12"/>
  <c r="H68" i="10"/>
  <c r="J94" i="10"/>
  <c r="J112" i="10"/>
  <c r="H142" i="10"/>
  <c r="I170" i="10"/>
  <c r="H195" i="10"/>
  <c r="G110" i="10"/>
  <c r="G86" i="10"/>
  <c r="H91" i="10"/>
  <c r="H118" i="10"/>
  <c r="J135" i="10"/>
  <c r="J170" i="10"/>
  <c r="J187" i="10"/>
  <c r="G88" i="10"/>
  <c r="C108" i="12"/>
  <c r="G191" i="10"/>
  <c r="G108" i="10"/>
  <c r="I78" i="10"/>
  <c r="I91" i="10"/>
  <c r="I108" i="10"/>
  <c r="I131" i="10"/>
  <c r="H154" i="10"/>
  <c r="H177" i="10"/>
  <c r="H188" i="10"/>
  <c r="J116" i="10"/>
  <c r="G174" i="10"/>
  <c r="N174" i="10"/>
  <c r="K174" i="10"/>
  <c r="G137" i="10"/>
  <c r="D157" i="12"/>
  <c r="J73" i="10"/>
  <c r="J82" i="10"/>
  <c r="J108" i="10"/>
  <c r="J122" i="10"/>
  <c r="I148" i="10"/>
  <c r="H172" i="10"/>
  <c r="H189" i="10"/>
  <c r="O116" i="10"/>
  <c r="G123" i="10"/>
  <c r="B143" i="12"/>
  <c r="G173" i="10"/>
  <c r="N173" i="10"/>
  <c r="K173" i="10"/>
  <c r="G106" i="10"/>
  <c r="B126" i="12"/>
  <c r="G156" i="10"/>
  <c r="B176" i="12"/>
  <c r="G94" i="10"/>
  <c r="G136" i="10"/>
  <c r="G69" i="10"/>
  <c r="B89" i="12"/>
  <c r="G205" i="10"/>
  <c r="B225" i="12"/>
  <c r="G83" i="10"/>
  <c r="I69" i="10"/>
  <c r="H74" i="10"/>
  <c r="H79" i="10"/>
  <c r="H83" i="10"/>
  <c r="H87" i="10"/>
  <c r="H92" i="10"/>
  <c r="H96" i="10"/>
  <c r="H101" i="10"/>
  <c r="H105" i="10"/>
  <c r="H110" i="10"/>
  <c r="H114" i="10"/>
  <c r="H119" i="10"/>
  <c r="H123" i="10"/>
  <c r="H127" i="10"/>
  <c r="H132" i="10"/>
  <c r="J137" i="10"/>
  <c r="J143" i="10"/>
  <c r="J148" i="10"/>
  <c r="J155" i="10"/>
  <c r="J166" i="10"/>
  <c r="J172" i="10"/>
  <c r="J177" i="10"/>
  <c r="J183" i="10"/>
  <c r="J189" i="10"/>
  <c r="I205" i="10"/>
  <c r="H129" i="10"/>
  <c r="G128" i="10"/>
  <c r="B148" i="12"/>
  <c r="I98" i="10"/>
  <c r="H135" i="10"/>
  <c r="H153" i="10"/>
  <c r="H175" i="10"/>
  <c r="O127" i="10"/>
  <c r="O190" i="10"/>
  <c r="G98" i="10"/>
  <c r="N98" i="10"/>
  <c r="K98" i="10"/>
  <c r="J81" i="10"/>
  <c r="J98" i="10"/>
  <c r="J125" i="10"/>
  <c r="I147" i="10"/>
  <c r="H176" i="10"/>
  <c r="G70" i="10"/>
  <c r="N70" i="10"/>
  <c r="K70" i="10"/>
  <c r="G176" i="10"/>
  <c r="N176" i="10"/>
  <c r="K176" i="10"/>
  <c r="G73" i="10"/>
  <c r="N73" i="10"/>
  <c r="K73" i="10"/>
  <c r="H78" i="10"/>
  <c r="H104" i="10"/>
  <c r="H122" i="10"/>
  <c r="J153" i="10"/>
  <c r="I247" i="10"/>
  <c r="G175" i="10"/>
  <c r="G96" i="10"/>
  <c r="J68" i="10"/>
  <c r="I86" i="10"/>
  <c r="I104" i="10"/>
  <c r="I122" i="10"/>
  <c r="H143" i="10"/>
  <c r="H166" i="10"/>
  <c r="H183" i="10"/>
  <c r="I88" i="10"/>
  <c r="G107" i="10"/>
  <c r="C127" i="12"/>
  <c r="G95" i="10"/>
  <c r="G84" i="10"/>
  <c r="J91" i="10"/>
  <c r="J104" i="10"/>
  <c r="J131" i="10"/>
  <c r="H155" i="10"/>
  <c r="I177" i="10"/>
  <c r="J204" i="10"/>
  <c r="G188" i="10"/>
  <c r="C208" i="12"/>
  <c r="G155" i="10"/>
  <c r="G135" i="10"/>
  <c r="G68" i="10"/>
  <c r="G82" i="10"/>
  <c r="J69" i="10"/>
  <c r="I74" i="10"/>
  <c r="I79" i="10"/>
  <c r="I83" i="10"/>
  <c r="I87" i="10"/>
  <c r="I92" i="10"/>
  <c r="I96" i="10"/>
  <c r="I101" i="10"/>
  <c r="I105" i="10"/>
  <c r="I110" i="10"/>
  <c r="I114" i="10"/>
  <c r="I119" i="10"/>
  <c r="I123" i="10"/>
  <c r="I127" i="10"/>
  <c r="I132" i="10"/>
  <c r="H138" i="10"/>
  <c r="H144" i="10"/>
  <c r="H149" i="10"/>
  <c r="H156" i="10"/>
  <c r="H161" i="10"/>
  <c r="H167" i="10"/>
  <c r="H173" i="10"/>
  <c r="H178" i="10"/>
  <c r="H184" i="10"/>
  <c r="H190" i="10"/>
  <c r="I212" i="10"/>
  <c r="G129" i="10"/>
  <c r="H100" i="10"/>
  <c r="I129" i="10"/>
  <c r="O178" i="10"/>
  <c r="O121" i="10"/>
  <c r="G99" i="10"/>
  <c r="C119" i="12"/>
  <c r="I90" i="10"/>
  <c r="I107" i="10"/>
  <c r="I130" i="10"/>
  <c r="H158" i="10"/>
  <c r="H182" i="10"/>
  <c r="G127" i="10"/>
  <c r="C147" i="12"/>
  <c r="G87" i="10"/>
  <c r="J85" i="10"/>
  <c r="J103" i="10"/>
  <c r="I135" i="10"/>
  <c r="I153" i="10"/>
  <c r="I187" i="10"/>
  <c r="G251" i="10"/>
  <c r="G193" i="10"/>
  <c r="H82" i="10"/>
  <c r="H108" i="10"/>
  <c r="H126" i="10"/>
  <c r="J159" i="10"/>
  <c r="J176" i="10"/>
  <c r="I116" i="10"/>
  <c r="G158" i="10"/>
  <c r="B178" i="12"/>
  <c r="G72" i="10"/>
  <c r="N72" i="10"/>
  <c r="K72" i="10"/>
  <c r="I73" i="10"/>
  <c r="I95" i="10"/>
  <c r="I113" i="10"/>
  <c r="I126" i="10"/>
  <c r="H148" i="10"/>
  <c r="H171" i="10"/>
  <c r="G157" i="10"/>
  <c r="G71" i="10"/>
  <c r="H69" i="10"/>
  <c r="J95" i="10"/>
  <c r="J99" i="10"/>
  <c r="J118" i="10"/>
  <c r="H137" i="10"/>
  <c r="I160" i="10"/>
  <c r="J88" i="10"/>
  <c r="G189" i="10"/>
  <c r="G122" i="10"/>
  <c r="C142" i="12"/>
  <c r="G105" i="10"/>
  <c r="G93" i="10"/>
  <c r="G150" i="10"/>
  <c r="B170" i="12"/>
  <c r="G187" i="10"/>
  <c r="G121" i="10"/>
  <c r="G104" i="10"/>
  <c r="C124" i="12"/>
  <c r="G154" i="10"/>
  <c r="C174" i="12"/>
  <c r="G92" i="10"/>
  <c r="N92" i="10"/>
  <c r="K92" i="10"/>
  <c r="G134" i="10"/>
  <c r="D154" i="12"/>
  <c r="G147" i="10"/>
  <c r="N147" i="10"/>
  <c r="K147" i="10"/>
  <c r="G81" i="10"/>
  <c r="J74" i="10"/>
  <c r="J79" i="10"/>
  <c r="J83" i="10"/>
  <c r="J87" i="10"/>
  <c r="J92" i="10"/>
  <c r="J96" i="10"/>
  <c r="J101" i="10"/>
  <c r="J105" i="10"/>
  <c r="J110" i="10"/>
  <c r="J114" i="10"/>
  <c r="J119" i="10"/>
  <c r="J123" i="10"/>
  <c r="J127" i="10"/>
  <c r="J132" i="10"/>
  <c r="I138" i="10"/>
  <c r="I144" i="10"/>
  <c r="H150" i="10"/>
  <c r="I156" i="10"/>
  <c r="I161" i="10"/>
  <c r="H168" i="10"/>
  <c r="I173" i="10"/>
  <c r="I178" i="10"/>
  <c r="H185" i="10"/>
  <c r="I190" i="10"/>
  <c r="J212" i="10"/>
  <c r="H70" i="10"/>
  <c r="I100" i="10"/>
  <c r="J129" i="10"/>
  <c r="G141" i="10"/>
  <c r="I94" i="10"/>
  <c r="I112" i="10"/>
  <c r="H141" i="10"/>
  <c r="H165" i="10"/>
  <c r="O140" i="10"/>
  <c r="G74" i="10"/>
  <c r="B94" i="12"/>
  <c r="J90" i="10"/>
  <c r="J107" i="10"/>
  <c r="J130" i="10"/>
  <c r="H159" i="10"/>
  <c r="I182" i="10"/>
  <c r="O151" i="10"/>
  <c r="G159" i="10"/>
  <c r="N159" i="10"/>
  <c r="K159" i="10"/>
  <c r="H73" i="10"/>
  <c r="H86" i="10"/>
  <c r="H113" i="10"/>
  <c r="H131" i="10"/>
  <c r="J165" i="10"/>
  <c r="J182" i="10"/>
  <c r="H88" i="10"/>
  <c r="G125" i="10"/>
  <c r="G138" i="10"/>
  <c r="G85" i="10"/>
  <c r="D105" i="12"/>
  <c r="I82" i="10"/>
  <c r="I99" i="10"/>
  <c r="I118" i="10"/>
  <c r="H136" i="10"/>
  <c r="H160" i="10"/>
  <c r="G412" i="10"/>
  <c r="B432" i="12"/>
  <c r="G124" i="10"/>
  <c r="D144" i="12"/>
  <c r="G206" i="10"/>
  <c r="J78" i="10"/>
  <c r="J86" i="10"/>
  <c r="J113" i="10"/>
  <c r="J126" i="10"/>
  <c r="I143" i="10"/>
  <c r="I166" i="10"/>
  <c r="G172" i="10"/>
  <c r="B192" i="12"/>
  <c r="G186" i="10"/>
  <c r="N186" i="10"/>
  <c r="K186" i="10"/>
  <c r="G120" i="10"/>
  <c r="C140" i="12"/>
  <c r="G167" i="10"/>
  <c r="N167" i="10"/>
  <c r="K167" i="10"/>
  <c r="G153" i="10"/>
  <c r="G91" i="10"/>
  <c r="G132" i="10"/>
  <c r="B152" i="12"/>
  <c r="G145" i="10"/>
  <c r="N145" i="10"/>
  <c r="K145" i="10"/>
  <c r="G80" i="10"/>
  <c r="H71" i="10"/>
  <c r="H75" i="10"/>
  <c r="H80" i="10"/>
  <c r="H84" i="10"/>
  <c r="H89" i="10"/>
  <c r="H93" i="10"/>
  <c r="H97" i="10"/>
  <c r="H102" i="10"/>
  <c r="H106" i="10"/>
  <c r="H111" i="10"/>
  <c r="H115" i="10"/>
  <c r="H120" i="10"/>
  <c r="H124" i="10"/>
  <c r="H128" i="10"/>
  <c r="J156" i="10"/>
  <c r="J173" i="10"/>
  <c r="J190" i="10"/>
  <c r="J221" i="10"/>
  <c r="G116" i="10"/>
  <c r="C136" i="12"/>
  <c r="I70" i="10"/>
  <c r="J100" i="10"/>
  <c r="G333" i="10"/>
  <c r="N333" i="10"/>
  <c r="K333" i="10"/>
  <c r="O234" i="10"/>
  <c r="J421" i="10"/>
  <c r="G747" i="10"/>
  <c r="G568" i="10"/>
  <c r="G704" i="10"/>
  <c r="C724" i="12"/>
  <c r="G550" i="10"/>
  <c r="N550" i="10"/>
  <c r="K550" i="10"/>
  <c r="I694" i="10"/>
  <c r="G595" i="10"/>
  <c r="N595" i="10"/>
  <c r="K595" i="10"/>
  <c r="G594" i="10"/>
  <c r="N594" i="10"/>
  <c r="K594" i="10"/>
  <c r="G743" i="10"/>
  <c r="B763" i="12"/>
  <c r="G578" i="10"/>
  <c r="B598" i="12"/>
  <c r="G519" i="10"/>
  <c r="B539" i="12"/>
  <c r="J450" i="10"/>
  <c r="I553" i="10"/>
  <c r="G734" i="10"/>
  <c r="B754" i="12"/>
  <c r="G617" i="10"/>
  <c r="G616" i="10"/>
  <c r="N616" i="10"/>
  <c r="K616" i="10"/>
  <c r="G692" i="10"/>
  <c r="B712" i="12"/>
  <c r="G706" i="10"/>
  <c r="N706" i="10"/>
  <c r="K706" i="10"/>
  <c r="I610" i="10"/>
  <c r="G576" i="10"/>
  <c r="N576" i="10"/>
  <c r="K576" i="10"/>
  <c r="G409" i="10"/>
  <c r="N409" i="10"/>
  <c r="K409" i="10"/>
  <c r="O700" i="10"/>
  <c r="H369" i="10"/>
  <c r="G682" i="10"/>
  <c r="C702" i="12"/>
  <c r="G660" i="10"/>
  <c r="D680" i="12"/>
  <c r="G551" i="10"/>
  <c r="C571" i="12"/>
  <c r="G632" i="10"/>
  <c r="G642" i="10"/>
  <c r="D662" i="12"/>
  <c r="G425" i="10"/>
  <c r="B445" i="12"/>
  <c r="G503" i="10"/>
  <c r="C523" i="12"/>
  <c r="G430" i="10"/>
  <c r="B450" i="12"/>
  <c r="G343" i="10"/>
  <c r="B363" i="12"/>
  <c r="G451" i="10"/>
  <c r="N451" i="10"/>
  <c r="K451" i="10"/>
  <c r="I257" i="10"/>
  <c r="I474" i="10"/>
  <c r="G502" i="10"/>
  <c r="N502" i="10"/>
  <c r="K502" i="10"/>
  <c r="G365" i="10"/>
  <c r="D385" i="12"/>
  <c r="G342" i="10"/>
  <c r="G323" i="10"/>
  <c r="I265" i="10"/>
  <c r="H504" i="10"/>
  <c r="H690" i="10"/>
  <c r="I359" i="10"/>
  <c r="G729" i="10"/>
  <c r="C749" i="12"/>
  <c r="G299" i="10"/>
  <c r="C319" i="12"/>
  <c r="G298" i="10"/>
  <c r="C318" i="12"/>
  <c r="G659" i="10"/>
  <c r="C679" i="12"/>
  <c r="G749" i="10"/>
  <c r="B769" i="12"/>
  <c r="G646" i="10"/>
  <c r="C666" i="12"/>
  <c r="I712" i="10"/>
  <c r="H484" i="10"/>
  <c r="G755" i="10"/>
  <c r="B775" i="12"/>
  <c r="G438" i="10"/>
  <c r="B458" i="12"/>
  <c r="G321" i="10"/>
  <c r="C341" i="12"/>
  <c r="G727" i="10"/>
  <c r="J646" i="10"/>
  <c r="H343" i="10"/>
  <c r="H664" i="10"/>
  <c r="G740" i="10"/>
  <c r="C760" i="12"/>
  <c r="G677" i="10"/>
  <c r="B697" i="12"/>
  <c r="G649" i="10"/>
  <c r="C669" i="12"/>
  <c r="J539" i="10"/>
  <c r="G437" i="10"/>
  <c r="H283" i="10"/>
  <c r="G751" i="10"/>
  <c r="D771" i="12"/>
  <c r="G647" i="10"/>
  <c r="N647" i="10"/>
  <c r="K647" i="10"/>
  <c r="H320" i="10"/>
  <c r="G684" i="10"/>
  <c r="B704" i="12"/>
  <c r="G480" i="10"/>
  <c r="N480" i="10"/>
  <c r="K480" i="10"/>
  <c r="G465" i="10"/>
  <c r="B485" i="12"/>
  <c r="G653" i="10"/>
  <c r="C673" i="12"/>
  <c r="H398" i="10"/>
  <c r="I503" i="10"/>
  <c r="J468" i="10"/>
  <c r="G364" i="10"/>
  <c r="J265" i="10"/>
  <c r="I575" i="10"/>
  <c r="G369" i="10"/>
  <c r="B389" i="12"/>
  <c r="H300" i="10"/>
  <c r="G317" i="10"/>
  <c r="N317" i="10"/>
  <c r="K317" i="10"/>
  <c r="G477" i="10"/>
  <c r="B497" i="12"/>
  <c r="G334" i="10"/>
  <c r="N334" i="10"/>
  <c r="K334" i="10"/>
  <c r="J395" i="10"/>
  <c r="H532" i="10"/>
  <c r="H416" i="10"/>
  <c r="J636" i="10"/>
  <c r="G731" i="10"/>
  <c r="G472" i="10"/>
  <c r="N472" i="10"/>
  <c r="K472" i="10"/>
  <c r="G575" i="10"/>
  <c r="B595" i="12"/>
  <c r="G588" i="10"/>
  <c r="B608" i="12"/>
  <c r="J429" i="10"/>
  <c r="G573" i="10"/>
  <c r="B593" i="12"/>
  <c r="G717" i="10"/>
  <c r="B737" i="12"/>
  <c r="G623" i="10"/>
  <c r="C643" i="12"/>
  <c r="G393" i="10"/>
  <c r="C413" i="12"/>
  <c r="J516" i="10"/>
  <c r="O573" i="10"/>
  <c r="G386" i="10"/>
  <c r="N386" i="10"/>
  <c r="K386" i="10"/>
  <c r="G754" i="10"/>
  <c r="G567" i="10"/>
  <c r="C587" i="12"/>
  <c r="G482" i="10"/>
  <c r="B502" i="12"/>
  <c r="G411" i="10"/>
  <c r="N411" i="10"/>
  <c r="K411" i="10"/>
  <c r="G452" i="10"/>
  <c r="N452" i="10"/>
  <c r="K452" i="10"/>
  <c r="J447" i="10"/>
  <c r="G495" i="10"/>
  <c r="B515" i="12"/>
  <c r="I457" i="10"/>
  <c r="I622" i="10"/>
  <c r="G429" i="10"/>
  <c r="N429" i="10"/>
  <c r="K429" i="10"/>
  <c r="J257" i="10"/>
  <c r="G753" i="10"/>
  <c r="D773" i="12"/>
  <c r="G688" i="10"/>
  <c r="G621" i="10"/>
  <c r="B641" i="12"/>
  <c r="G505" i="10"/>
  <c r="C525" i="12"/>
  <c r="G440" i="10"/>
  <c r="D460" i="12"/>
  <c r="G374" i="10"/>
  <c r="G254" i="10"/>
  <c r="N254" i="10"/>
  <c r="K254" i="10"/>
  <c r="G739" i="10"/>
  <c r="N739" i="10"/>
  <c r="K739" i="10"/>
  <c r="G619" i="10"/>
  <c r="O619" i="10"/>
  <c r="H619" i="10"/>
  <c r="I619" i="10"/>
  <c r="N619" i="10"/>
  <c r="K619" i="10"/>
  <c r="G553" i="10"/>
  <c r="D573" i="12"/>
  <c r="G487" i="10"/>
  <c r="B507" i="12"/>
  <c r="G367" i="10"/>
  <c r="O367" i="10"/>
  <c r="H367" i="10"/>
  <c r="I367" i="10"/>
  <c r="N367" i="10"/>
  <c r="K367" i="10"/>
  <c r="G301" i="10"/>
  <c r="C321" i="12"/>
  <c r="G232" i="10"/>
  <c r="G732" i="10"/>
  <c r="N732" i="10"/>
  <c r="K732" i="10"/>
  <c r="G666" i="10"/>
  <c r="N666" i="10"/>
  <c r="K666" i="10"/>
  <c r="G598" i="10"/>
  <c r="N598" i="10"/>
  <c r="K598" i="10"/>
  <c r="G532" i="10"/>
  <c r="B552" i="12"/>
  <c r="G414" i="10"/>
  <c r="N414" i="10"/>
  <c r="K414" i="10"/>
  <c r="G348" i="10"/>
  <c r="G279" i="10"/>
  <c r="C299" i="12"/>
  <c r="G636" i="10"/>
  <c r="B656" i="12"/>
  <c r="G454" i="10"/>
  <c r="N454" i="10"/>
  <c r="K454" i="10"/>
  <c r="G326" i="10"/>
  <c r="C346" i="12"/>
  <c r="G199" i="10"/>
  <c r="N199" i="10"/>
  <c r="K199" i="10"/>
  <c r="G521" i="10"/>
  <c r="G208" i="10"/>
  <c r="H194" i="10"/>
  <c r="H201" i="10"/>
  <c r="J210" i="10"/>
  <c r="H219" i="10"/>
  <c r="J228" i="10"/>
  <c r="H236" i="10"/>
  <c r="J245" i="10"/>
  <c r="H253" i="10"/>
  <c r="I264" i="10"/>
  <c r="I276" i="10"/>
  <c r="I294" i="10"/>
  <c r="J313" i="10"/>
  <c r="J336" i="10"/>
  <c r="J361" i="10"/>
  <c r="I388" i="10"/>
  <c r="I414" i="10"/>
  <c r="I440" i="10"/>
  <c r="H468" i="10"/>
  <c r="H496" i="10"/>
  <c r="I531" i="10"/>
  <c r="I565" i="10"/>
  <c r="H601" i="10"/>
  <c r="H636" i="10"/>
  <c r="H681" i="10"/>
  <c r="G501" i="10"/>
  <c r="B521" i="12"/>
  <c r="G593" i="10"/>
  <c r="N593" i="10"/>
  <c r="K593" i="10"/>
  <c r="G221" i="10"/>
  <c r="D241" i="12"/>
  <c r="G752" i="10"/>
  <c r="C772" i="12"/>
  <c r="G686" i="10"/>
  <c r="B706" i="12"/>
  <c r="G569" i="10"/>
  <c r="N569" i="10"/>
  <c r="K569" i="10"/>
  <c r="G504" i="10"/>
  <c r="N504" i="10"/>
  <c r="K504" i="10"/>
  <c r="G439" i="10"/>
  <c r="G371" i="10"/>
  <c r="B391" i="12"/>
  <c r="G253" i="10"/>
  <c r="N253" i="10"/>
  <c r="K253" i="10"/>
  <c r="G736" i="10"/>
  <c r="G618" i="10"/>
  <c r="B638" i="12"/>
  <c r="G552" i="10"/>
  <c r="B572" i="12"/>
  <c r="G484" i="10"/>
  <c r="B504" i="12"/>
  <c r="G366" i="10"/>
  <c r="G300" i="10"/>
  <c r="B320" i="12"/>
  <c r="G230" i="10"/>
  <c r="G665" i="10"/>
  <c r="C685" i="12"/>
  <c r="G596" i="10"/>
  <c r="D616" i="12"/>
  <c r="G531" i="10"/>
  <c r="B551" i="12"/>
  <c r="G413" i="10"/>
  <c r="N413" i="10"/>
  <c r="K413" i="10"/>
  <c r="G345" i="10"/>
  <c r="N345" i="10"/>
  <c r="K345" i="10"/>
  <c r="G278" i="10"/>
  <c r="G634" i="10"/>
  <c r="B654" i="12"/>
  <c r="G453" i="10"/>
  <c r="C473" i="12"/>
  <c r="G324" i="10"/>
  <c r="N324" i="10"/>
  <c r="K324" i="10"/>
  <c r="G198" i="10"/>
  <c r="G520" i="10"/>
  <c r="B540" i="12"/>
  <c r="G336" i="10"/>
  <c r="B356" i="12"/>
  <c r="G207" i="10"/>
  <c r="J194" i="10"/>
  <c r="I201" i="10"/>
  <c r="J211" i="10"/>
  <c r="I219" i="10"/>
  <c r="J229" i="10"/>
  <c r="I236" i="10"/>
  <c r="J246" i="10"/>
  <c r="I253" i="10"/>
  <c r="H265" i="10"/>
  <c r="I278" i="10"/>
  <c r="I295" i="10"/>
  <c r="H314" i="10"/>
  <c r="H337" i="10"/>
  <c r="I362" i="10"/>
  <c r="H389" i="10"/>
  <c r="H441" i="10"/>
  <c r="J496" i="10"/>
  <c r="H566" i="10"/>
  <c r="J601" i="10"/>
  <c r="H682" i="10"/>
  <c r="I282" i="10"/>
  <c r="I299" i="10"/>
  <c r="J319" i="10"/>
  <c r="J342" i="10"/>
  <c r="H395" i="10"/>
  <c r="H421" i="10"/>
  <c r="H447" i="10"/>
  <c r="J473" i="10"/>
  <c r="H539" i="10"/>
  <c r="J609" i="10"/>
  <c r="H646" i="10"/>
  <c r="J693" i="10"/>
  <c r="J534" i="10"/>
  <c r="G533" i="10"/>
  <c r="C553" i="12"/>
  <c r="H533" i="10"/>
  <c r="J532" i="10"/>
  <c r="I532" i="10"/>
  <c r="H420" i="10"/>
  <c r="I419" i="10"/>
  <c r="J417" i="10"/>
  <c r="H417" i="10"/>
  <c r="J416" i="10"/>
  <c r="I416" i="10"/>
  <c r="J420" i="10"/>
  <c r="I420" i="10"/>
  <c r="J630" i="10"/>
  <c r="I629" i="10"/>
  <c r="I627" i="10"/>
  <c r="G635" i="10"/>
  <c r="B655" i="12"/>
  <c r="J626" i="10"/>
  <c r="I626" i="10"/>
  <c r="I625" i="10"/>
  <c r="I631" i="10"/>
  <c r="H631" i="10"/>
  <c r="I501" i="10"/>
  <c r="J500" i="10"/>
  <c r="H499" i="10"/>
  <c r="J508" i="10"/>
  <c r="H503" i="10"/>
  <c r="H502" i="10"/>
  <c r="I734" i="10"/>
  <c r="H402" i="10"/>
  <c r="I401" i="10"/>
  <c r="G404" i="10"/>
  <c r="J402" i="10"/>
  <c r="I402" i="10"/>
  <c r="H674" i="10"/>
  <c r="H673" i="10"/>
  <c r="I676" i="10"/>
  <c r="H676" i="10"/>
  <c r="J722" i="10"/>
  <c r="G705" i="10"/>
  <c r="B725" i="12"/>
  <c r="J704" i="10"/>
  <c r="I703" i="10"/>
  <c r="H510" i="10"/>
  <c r="G509" i="10"/>
  <c r="I509" i="10"/>
  <c r="H509" i="10"/>
  <c r="I470" i="10"/>
  <c r="G467" i="10"/>
  <c r="N467" i="10"/>
  <c r="K467" i="10"/>
  <c r="J469" i="10"/>
  <c r="I469" i="10"/>
  <c r="H469" i="10"/>
  <c r="G648" i="10"/>
  <c r="D668" i="12"/>
  <c r="G650" i="10"/>
  <c r="N650" i="10"/>
  <c r="K650" i="10"/>
  <c r="J650" i="10"/>
  <c r="H725" i="10"/>
  <c r="G728" i="10"/>
  <c r="H640" i="10"/>
  <c r="O636" i="10"/>
  <c r="O384" i="10"/>
  <c r="H411" i="10"/>
  <c r="J411" i="10"/>
  <c r="I411" i="10"/>
  <c r="G726" i="10"/>
  <c r="C746" i="12"/>
  <c r="G341" i="10"/>
  <c r="N341" i="10"/>
  <c r="K341" i="10"/>
  <c r="G330" i="10"/>
  <c r="N330" i="10"/>
  <c r="K330" i="10"/>
  <c r="H231" i="10"/>
  <c r="J344" i="10"/>
  <c r="I612" i="10"/>
  <c r="G565" i="10"/>
  <c r="B585" i="12"/>
  <c r="G500" i="10"/>
  <c r="B520" i="12"/>
  <c r="G432" i="10"/>
  <c r="C452" i="12"/>
  <c r="G315" i="10"/>
  <c r="C335" i="12"/>
  <c r="G249" i="10"/>
  <c r="N249" i="10"/>
  <c r="K249" i="10"/>
  <c r="G680" i="10"/>
  <c r="N680" i="10"/>
  <c r="K680" i="10"/>
  <c r="G614" i="10"/>
  <c r="D634" i="12"/>
  <c r="G545" i="10"/>
  <c r="N545" i="10"/>
  <c r="K545" i="10"/>
  <c r="G428" i="10"/>
  <c r="G362" i="10"/>
  <c r="D382" i="12"/>
  <c r="G241" i="10"/>
  <c r="G723" i="10"/>
  <c r="G657" i="10"/>
  <c r="C677" i="12"/>
  <c r="G544" i="10"/>
  <c r="N544" i="10"/>
  <c r="K544" i="10"/>
  <c r="G475" i="10"/>
  <c r="D495" i="12"/>
  <c r="G291" i="10"/>
  <c r="N291" i="10"/>
  <c r="K291" i="10"/>
  <c r="G220" i="10"/>
  <c r="D240" i="12"/>
  <c r="G702" i="10"/>
  <c r="N702" i="10"/>
  <c r="K702" i="10"/>
  <c r="G449" i="10"/>
  <c r="N449" i="10"/>
  <c r="K449" i="10"/>
  <c r="G263" i="10"/>
  <c r="N263" i="10"/>
  <c r="K263" i="10"/>
  <c r="G716" i="10"/>
  <c r="N716" i="10"/>
  <c r="K716" i="10"/>
  <c r="G457" i="10"/>
  <c r="N457" i="10"/>
  <c r="K457" i="10"/>
  <c r="G275" i="10"/>
  <c r="N275" i="10"/>
  <c r="K275" i="10"/>
  <c r="H206" i="10"/>
  <c r="I213" i="10"/>
  <c r="H223" i="10"/>
  <c r="I231" i="10"/>
  <c r="H240" i="10"/>
  <c r="I248" i="10"/>
  <c r="H258" i="10"/>
  <c r="J270" i="10"/>
  <c r="J283" i="10"/>
  <c r="J300" i="10"/>
  <c r="I345" i="10"/>
  <c r="I371" i="10"/>
  <c r="H424" i="10"/>
  <c r="H477" i="10"/>
  <c r="I508" i="10"/>
  <c r="H544" i="10"/>
  <c r="J578" i="10"/>
  <c r="J613" i="10"/>
  <c r="I650" i="10"/>
  <c r="H703" i="10"/>
  <c r="O255" i="10"/>
  <c r="G709" i="10"/>
  <c r="N709" i="10"/>
  <c r="K709" i="10"/>
  <c r="H709" i="10"/>
  <c r="J672" i="10"/>
  <c r="J278" i="10"/>
  <c r="I536" i="10"/>
  <c r="I615" i="10"/>
  <c r="J614" i="10"/>
  <c r="I614" i="10"/>
  <c r="H614" i="10"/>
  <c r="J424" i="10"/>
  <c r="I424" i="10"/>
  <c r="I669" i="10"/>
  <c r="I638" i="10"/>
  <c r="H638" i="10"/>
  <c r="G638" i="10"/>
  <c r="N638" i="10"/>
  <c r="K638" i="10"/>
  <c r="I410" i="10"/>
  <c r="J408" i="10"/>
  <c r="H408" i="10"/>
  <c r="J407" i="10"/>
  <c r="I407" i="10"/>
  <c r="J607" i="10"/>
  <c r="J596" i="10"/>
  <c r="H607" i="10"/>
  <c r="I595" i="10"/>
  <c r="H584" i="10"/>
  <c r="I605" i="10"/>
  <c r="I593" i="10"/>
  <c r="G597" i="10"/>
  <c r="J602" i="10"/>
  <c r="J591" i="10"/>
  <c r="G583" i="10"/>
  <c r="B603" i="12"/>
  <c r="I602" i="10"/>
  <c r="I591" i="10"/>
  <c r="G584" i="10"/>
  <c r="N584" i="10"/>
  <c r="K584" i="10"/>
  <c r="H602" i="10"/>
  <c r="I590" i="10"/>
  <c r="I609" i="10"/>
  <c r="I597" i="10"/>
  <c r="I585" i="10"/>
  <c r="I608" i="10"/>
  <c r="H597" i="10"/>
  <c r="H585" i="10"/>
  <c r="H572" i="10"/>
  <c r="I571" i="10"/>
  <c r="J568" i="10"/>
  <c r="H567" i="10"/>
  <c r="J573" i="10"/>
  <c r="J572" i="10"/>
  <c r="J454" i="10"/>
  <c r="H446" i="10"/>
  <c r="G456" i="10"/>
  <c r="N456" i="10" s="1"/>
  <c r="H454" i="10"/>
  <c r="I445" i="10"/>
  <c r="I452" i="10"/>
  <c r="J442" i="10"/>
  <c r="J451" i="10"/>
  <c r="H442" i="10"/>
  <c r="I451" i="10"/>
  <c r="J441" i="10"/>
  <c r="H451" i="10"/>
  <c r="I441" i="10"/>
  <c r="I456" i="10"/>
  <c r="J446" i="10"/>
  <c r="H456" i="10"/>
  <c r="I446" i="10"/>
  <c r="G316" i="10"/>
  <c r="B336" i="12" s="1"/>
  <c r="G363" i="10"/>
  <c r="N363" i="10" s="1"/>
  <c r="K363" i="10" s="1"/>
  <c r="G450" i="10"/>
  <c r="B470" i="12" s="1"/>
  <c r="H213" i="10"/>
  <c r="I300" i="10"/>
  <c r="I577" i="10"/>
  <c r="G695" i="10"/>
  <c r="D715" i="12" s="1"/>
  <c r="G745" i="10"/>
  <c r="D765" i="12" s="1"/>
  <c r="G679" i="10"/>
  <c r="C699" i="12" s="1"/>
  <c r="G613" i="10"/>
  <c r="G493" i="10"/>
  <c r="G427" i="10"/>
  <c r="B447" i="12" s="1"/>
  <c r="G361" i="10"/>
  <c r="B381" i="12" s="1"/>
  <c r="G240" i="10"/>
  <c r="N240" i="10" s="1"/>
  <c r="G721" i="10"/>
  <c r="N721" i="10" s="1"/>
  <c r="G656" i="10"/>
  <c r="N656" i="10" s="1"/>
  <c r="G540" i="10"/>
  <c r="B560" i="12" s="1"/>
  <c r="G474" i="10"/>
  <c r="N474" i="10" s="1"/>
  <c r="L474" i="10" s="1"/>
  <c r="E494" i="12" s="1"/>
  <c r="G406" i="10"/>
  <c r="N406" i="10"/>
  <c r="G288" i="10"/>
  <c r="N288" i="10"/>
  <c r="G219" i="10"/>
  <c r="N219" i="10" s="1"/>
  <c r="L219" i="10" s="1"/>
  <c r="E239" i="12" s="1"/>
  <c r="G701" i="10"/>
  <c r="D721" i="12"/>
  <c r="G572" i="10"/>
  <c r="B592" i="12"/>
  <c r="G445" i="10"/>
  <c r="N445" i="10" s="1"/>
  <c r="G260" i="10"/>
  <c r="N260" i="10" s="1"/>
  <c r="G715" i="10"/>
  <c r="N715" i="10" s="1"/>
  <c r="G587" i="10"/>
  <c r="N587" i="10" s="1"/>
  <c r="G402" i="10"/>
  <c r="C422" i="12" s="1"/>
  <c r="G274" i="10"/>
  <c r="N274" i="10"/>
  <c r="J197" i="10"/>
  <c r="I206" i="10"/>
  <c r="J215" i="10"/>
  <c r="I223" i="10"/>
  <c r="J232" i="10"/>
  <c r="I240" i="10"/>
  <c r="J249" i="10"/>
  <c r="I258" i="10"/>
  <c r="H271" i="10"/>
  <c r="J287" i="10"/>
  <c r="H306" i="10"/>
  <c r="J327" i="10"/>
  <c r="I350" i="10"/>
  <c r="I376" i="10"/>
  <c r="H404" i="10"/>
  <c r="H429" i="10"/>
  <c r="J456" i="10"/>
  <c r="I483" i="10"/>
  <c r="H515" i="10"/>
  <c r="H550" i="10"/>
  <c r="J585" i="10"/>
  <c r="J619" i="10"/>
  <c r="J659" i="10"/>
  <c r="I747" i="10"/>
  <c r="O289" i="10"/>
  <c r="G631" i="10"/>
  <c r="N631" i="10" s="1"/>
  <c r="G547" i="10"/>
  <c r="N547" i="10" s="1"/>
  <c r="G410" i="10"/>
  <c r="C430" i="12" s="1"/>
  <c r="G320" i="10"/>
  <c r="J205" i="10"/>
  <c r="I283" i="10"/>
  <c r="H450" i="10"/>
  <c r="O699" i="10"/>
  <c r="G694" i="10"/>
  <c r="N694" i="10"/>
  <c r="K694" i="10"/>
  <c r="G380" i="10"/>
  <c r="N380" i="10"/>
  <c r="K380" i="10"/>
  <c r="G628" i="10"/>
  <c r="D648" i="12"/>
  <c r="G497" i="10"/>
  <c r="C517" i="12" s="1"/>
  <c r="G379" i="10"/>
  <c r="N379" i="10"/>
  <c r="G313" i="10"/>
  <c r="D333" i="12" s="1"/>
  <c r="G245" i="10"/>
  <c r="G744" i="10"/>
  <c r="N744" i="10" s="1"/>
  <c r="G678" i="10"/>
  <c r="C698" i="12"/>
  <c r="G610" i="10"/>
  <c r="B630" i="12"/>
  <c r="G492" i="10"/>
  <c r="B512" i="12" s="1"/>
  <c r="G426" i="10"/>
  <c r="C446" i="12"/>
  <c r="G358" i="10"/>
  <c r="C378" i="12" s="1"/>
  <c r="G239" i="10"/>
  <c r="C259" i="12" s="1"/>
  <c r="G720" i="10"/>
  <c r="D740" i="12" s="1"/>
  <c r="G607" i="10"/>
  <c r="C627" i="12"/>
  <c r="G538" i="10"/>
  <c r="N538" i="10" s="1"/>
  <c r="G473" i="10"/>
  <c r="N473" i="10" s="1"/>
  <c r="G355" i="10"/>
  <c r="N355" i="10" s="1"/>
  <c r="G287" i="10"/>
  <c r="G218" i="10"/>
  <c r="B238" i="12"/>
  <c r="G697" i="10"/>
  <c r="N697" i="10" s="1"/>
  <c r="G571" i="10"/>
  <c r="B591" i="12" s="1"/>
  <c r="G390" i="10"/>
  <c r="B410" i="12" s="1"/>
  <c r="G257" i="10"/>
  <c r="K257" i="10" s="1"/>
  <c r="N257" i="10"/>
  <c r="G714" i="10"/>
  <c r="K714" i="10" s="1"/>
  <c r="N714" i="10"/>
  <c r="G586" i="10"/>
  <c r="D606" i="12"/>
  <c r="G401" i="10"/>
  <c r="C421" i="12" s="1"/>
  <c r="G273" i="10"/>
  <c r="D293" i="12"/>
  <c r="I199" i="10"/>
  <c r="J206" i="10"/>
  <c r="I217" i="10"/>
  <c r="J223" i="10"/>
  <c r="I234" i="10"/>
  <c r="J240" i="10"/>
  <c r="I251" i="10"/>
  <c r="J258" i="10"/>
  <c r="I271" i="10"/>
  <c r="H288" i="10"/>
  <c r="I306" i="10"/>
  <c r="H328" i="10"/>
  <c r="H351" i="10"/>
  <c r="H377" i="10"/>
  <c r="J404" i="10"/>
  <c r="J551" i="10"/>
  <c r="I587" i="10"/>
  <c r="I660" i="10"/>
  <c r="H748" i="10"/>
  <c r="H570" i="10"/>
  <c r="J584" i="10"/>
  <c r="J399" i="10"/>
  <c r="H399" i="10"/>
  <c r="J398" i="10"/>
  <c r="I398" i="10"/>
  <c r="H491" i="10"/>
  <c r="I482" i="10"/>
  <c r="I490" i="10"/>
  <c r="I481" i="10"/>
  <c r="I488" i="10"/>
  <c r="J479" i="10"/>
  <c r="J487" i="10"/>
  <c r="H479" i="10"/>
  <c r="I487" i="10"/>
  <c r="J477" i="10"/>
  <c r="H487" i="10"/>
  <c r="I477" i="10"/>
  <c r="J491" i="10"/>
  <c r="H483" i="10"/>
  <c r="I491" i="10"/>
  <c r="J482" i="10"/>
  <c r="J463" i="10"/>
  <c r="H463" i="10"/>
  <c r="I461" i="10"/>
  <c r="G463" i="10"/>
  <c r="N463" i="10" s="1"/>
  <c r="I464" i="10"/>
  <c r="H464" i="10"/>
  <c r="H437" i="10"/>
  <c r="H428" i="10"/>
  <c r="I436" i="10"/>
  <c r="I427" i="10"/>
  <c r="J434" i="10"/>
  <c r="H434" i="10"/>
  <c r="J433" i="10"/>
  <c r="I433" i="10"/>
  <c r="J437" i="10"/>
  <c r="J428" i="10"/>
  <c r="I437" i="10"/>
  <c r="I428" i="10"/>
  <c r="H394" i="10"/>
  <c r="I393" i="10"/>
  <c r="J394" i="10"/>
  <c r="I394" i="10"/>
  <c r="H514" i="10"/>
  <c r="J524" i="10"/>
  <c r="I513" i="10"/>
  <c r="J522" i="10"/>
  <c r="H522" i="10"/>
  <c r="J521" i="10"/>
  <c r="G515" i="10"/>
  <c r="N515" i="10" s="1"/>
  <c r="J520" i="10"/>
  <c r="J514" i="10"/>
  <c r="I514" i="10"/>
  <c r="G681" i="10"/>
  <c r="N681" i="10" s="1"/>
  <c r="G476" i="10"/>
  <c r="N476" i="10" s="1"/>
  <c r="G464" i="10"/>
  <c r="C484" i="12" s="1"/>
  <c r="J222" i="10"/>
  <c r="I320" i="10"/>
  <c r="I649" i="10"/>
  <c r="G458" i="10"/>
  <c r="C478" i="12"/>
  <c r="J460" i="10"/>
  <c r="G460" i="10"/>
  <c r="B480" i="12"/>
  <c r="I460" i="10"/>
  <c r="H460" i="10"/>
  <c r="J618" i="10"/>
  <c r="H618" i="10"/>
  <c r="J620" i="10"/>
  <c r="G499" i="10"/>
  <c r="O499" i="10"/>
  <c r="I499" i="10"/>
  <c r="N499" i="10"/>
  <c r="G248" i="10"/>
  <c r="D268" i="12"/>
  <c r="G563" i="10"/>
  <c r="O563" i="10"/>
  <c r="H563" i="10"/>
  <c r="I563" i="10"/>
  <c r="G627" i="10"/>
  <c r="B647" i="12"/>
  <c r="G562" i="10"/>
  <c r="D582" i="12" s="1"/>
  <c r="G378" i="10"/>
  <c r="D398" i="12"/>
  <c r="G312" i="10"/>
  <c r="C332" i="12" s="1"/>
  <c r="G243" i="10"/>
  <c r="N243" i="10" s="1"/>
  <c r="G608" i="10"/>
  <c r="D628" i="12" s="1"/>
  <c r="G491" i="10"/>
  <c r="N491" i="10"/>
  <c r="G356" i="10"/>
  <c r="G238" i="10"/>
  <c r="N238" i="10" s="1"/>
  <c r="G719" i="10"/>
  <c r="C739" i="12" s="1"/>
  <c r="G606" i="10"/>
  <c r="N606" i="10" s="1"/>
  <c r="G537" i="10"/>
  <c r="G353" i="10"/>
  <c r="B373" i="12" s="1"/>
  <c r="G284" i="10"/>
  <c r="G217" i="10"/>
  <c r="G517" i="10"/>
  <c r="C537" i="12" s="1"/>
  <c r="G256" i="10"/>
  <c r="N256" i="10" s="1"/>
  <c r="G713" i="10"/>
  <c r="N713" i="10" s="1"/>
  <c r="G585" i="10"/>
  <c r="G400" i="10"/>
  <c r="G272" i="10"/>
  <c r="B292" i="12" s="1"/>
  <c r="J199" i="10"/>
  <c r="J207" i="10"/>
  <c r="J217" i="10"/>
  <c r="J224" i="10"/>
  <c r="J234" i="10"/>
  <c r="J241" i="10"/>
  <c r="J251" i="10"/>
  <c r="I260" i="10"/>
  <c r="J271" i="10"/>
  <c r="I288" i="10"/>
  <c r="J306" i="10"/>
  <c r="I328" i="10"/>
  <c r="J353" i="10"/>
  <c r="J378" i="10"/>
  <c r="I406" i="10"/>
  <c r="I432" i="10"/>
  <c r="H459" i="10"/>
  <c r="H486" i="10"/>
  <c r="I519" i="10"/>
  <c r="H589" i="10"/>
  <c r="H624" i="10"/>
  <c r="H561" i="10"/>
  <c r="H549" i="10"/>
  <c r="H537" i="10"/>
  <c r="J559" i="10"/>
  <c r="I548" i="10"/>
  <c r="J556" i="10"/>
  <c r="J545" i="10"/>
  <c r="H556" i="10"/>
  <c r="H545" i="10"/>
  <c r="J566" i="10"/>
  <c r="J555" i="10"/>
  <c r="J544" i="10"/>
  <c r="I566" i="10"/>
  <c r="J554" i="10"/>
  <c r="I544" i="10"/>
  <c r="J561" i="10"/>
  <c r="J549" i="10"/>
  <c r="J538" i="10"/>
  <c r="I561" i="10"/>
  <c r="I549" i="10"/>
  <c r="J537" i="10"/>
  <c r="H691" i="10"/>
  <c r="I693" i="10"/>
  <c r="H693" i="10"/>
  <c r="H657" i="10"/>
  <c r="H656" i="10"/>
  <c r="G662" i="10"/>
  <c r="N662" i="10" s="1"/>
  <c r="J668" i="10"/>
  <c r="I668" i="10"/>
  <c r="H668" i="10"/>
  <c r="I659" i="10"/>
  <c r="H659" i="10"/>
  <c r="H526" i="10"/>
  <c r="G525" i="10"/>
  <c r="N525" i="10" s="1"/>
  <c r="J526" i="10"/>
  <c r="I526" i="10"/>
  <c r="H653" i="10"/>
  <c r="I651" i="10"/>
  <c r="G651" i="10"/>
  <c r="N651" i="10"/>
  <c r="K651" i="10"/>
  <c r="H651" i="10"/>
  <c r="G652" i="10"/>
  <c r="N652" i="10" s="1"/>
  <c r="H643" i="10"/>
  <c r="H642" i="10"/>
  <c r="I645" i="10"/>
  <c r="H645" i="10"/>
  <c r="J472" i="10"/>
  <c r="H472" i="10"/>
  <c r="G471" i="10"/>
  <c r="I473" i="10"/>
  <c r="H473" i="10"/>
  <c r="J425" i="10"/>
  <c r="H425" i="10"/>
  <c r="I686" i="10"/>
  <c r="J685" i="10"/>
  <c r="I685" i="10"/>
  <c r="H685" i="10"/>
  <c r="J390" i="10"/>
  <c r="G387" i="10"/>
  <c r="B407" i="12"/>
  <c r="H390" i="10"/>
  <c r="G388" i="10"/>
  <c r="N388" i="10"/>
  <c r="J389" i="10"/>
  <c r="G389" i="10"/>
  <c r="N389" i="10" s="1"/>
  <c r="I389" i="10"/>
  <c r="G615" i="10"/>
  <c r="N615" i="10" s="1"/>
  <c r="G703" i="10"/>
  <c r="N703" i="10" s="1"/>
  <c r="G204" i="10"/>
  <c r="J239" i="10"/>
  <c r="I397" i="10"/>
  <c r="H506" i="10"/>
  <c r="G629" i="10"/>
  <c r="N629" i="10" s="1"/>
  <c r="G693" i="10"/>
  <c r="N693" i="10" s="1"/>
  <c r="G756" i="10"/>
  <c r="B776" i="12"/>
  <c r="G691" i="10"/>
  <c r="C711" i="12" s="1"/>
  <c r="G626" i="10"/>
  <c r="G560" i="10"/>
  <c r="N560" i="10" s="1"/>
  <c r="K560" i="10" s="1"/>
  <c r="G443" i="10"/>
  <c r="N443" i="10" s="1"/>
  <c r="K443" i="10" s="1"/>
  <c r="G377" i="10"/>
  <c r="N377" i="10" s="1"/>
  <c r="K377" i="10" s="1"/>
  <c r="G311" i="10"/>
  <c r="G742" i="10"/>
  <c r="N742" i="10"/>
  <c r="G676" i="10"/>
  <c r="B696" i="12" s="1"/>
  <c r="G556" i="10"/>
  <c r="C576" i="12"/>
  <c r="G490" i="10"/>
  <c r="D510" i="12" s="1"/>
  <c r="G424" i="10"/>
  <c r="B444" i="12" s="1"/>
  <c r="G304" i="10"/>
  <c r="O304" i="10"/>
  <c r="H304" i="10"/>
  <c r="I304" i="10"/>
  <c r="G237" i="10"/>
  <c r="C257" i="12" s="1"/>
  <c r="G670" i="10"/>
  <c r="N670" i="10" s="1"/>
  <c r="G605" i="10"/>
  <c r="D625" i="12" s="1"/>
  <c r="G536" i="10"/>
  <c r="B556" i="12" s="1"/>
  <c r="G470" i="10"/>
  <c r="N470" i="10" s="1"/>
  <c r="G351" i="10"/>
  <c r="C371" i="12" s="1"/>
  <c r="G282" i="10"/>
  <c r="B302" i="12" s="1"/>
  <c r="G216" i="10"/>
  <c r="N216" i="10" s="1"/>
  <c r="G641" i="10"/>
  <c r="B661" i="12"/>
  <c r="G516" i="10"/>
  <c r="N516" i="10" s="1"/>
  <c r="K516" i="10" s="1"/>
  <c r="G384" i="10"/>
  <c r="C404" i="12" s="1"/>
  <c r="G202" i="10"/>
  <c r="N202" i="10" s="1"/>
  <c r="G712" i="10"/>
  <c r="D732" i="12" s="1"/>
  <c r="G528" i="10"/>
  <c r="G399" i="10"/>
  <c r="C419" i="12" s="1"/>
  <c r="G268" i="10"/>
  <c r="H200" i="10"/>
  <c r="I208" i="10"/>
  <c r="H218" i="10"/>
  <c r="I225" i="10"/>
  <c r="H235" i="10"/>
  <c r="I243" i="10"/>
  <c r="H252" i="10"/>
  <c r="H261" i="10"/>
  <c r="I274" i="10"/>
  <c r="J288" i="10"/>
  <c r="H307" i="10"/>
  <c r="J328" i="10"/>
  <c r="I354" i="10"/>
  <c r="I379" i="10"/>
  <c r="H407" i="10"/>
  <c r="H433" i="10"/>
  <c r="J459" i="10"/>
  <c r="J486" i="10"/>
  <c r="H520" i="10"/>
  <c r="H554" i="10"/>
  <c r="J589" i="10"/>
  <c r="J624" i="10"/>
  <c r="H665" i="10"/>
  <c r="H729" i="10"/>
  <c r="I580" i="10"/>
  <c r="G582" i="10"/>
  <c r="N582" i="10" s="1"/>
  <c r="J579" i="10"/>
  <c r="I579" i="10"/>
  <c r="H579" i="10"/>
  <c r="G566" i="10"/>
  <c r="C586" i="12" s="1"/>
  <c r="G250" i="10"/>
  <c r="C270" i="12" s="1"/>
  <c r="G293" i="10"/>
  <c r="N293" i="10" s="1"/>
  <c r="J195" i="10"/>
  <c r="H248" i="10"/>
  <c r="I423" i="10"/>
  <c r="J542" i="10"/>
  <c r="I498" i="10"/>
  <c r="H498" i="10"/>
  <c r="I497" i="10"/>
  <c r="H497" i="10"/>
  <c r="G630" i="10"/>
  <c r="B650" i="12" s="1"/>
  <c r="G758" i="10"/>
  <c r="N758" i="10" s="1"/>
  <c r="G757" i="10"/>
  <c r="C777" i="12" s="1"/>
  <c r="G690" i="10"/>
  <c r="C710" i="12" s="1"/>
  <c r="G625" i="10"/>
  <c r="G558" i="10"/>
  <c r="G442" i="10"/>
  <c r="D462" i="12" s="1"/>
  <c r="G376" i="10"/>
  <c r="C396" i="12" s="1"/>
  <c r="G308" i="10"/>
  <c r="D328" i="12" s="1"/>
  <c r="G741" i="10"/>
  <c r="B761" i="12" s="1"/>
  <c r="G673" i="10"/>
  <c r="C693" i="12" s="1"/>
  <c r="G555" i="10"/>
  <c r="B575" i="12" s="1"/>
  <c r="G489" i="10"/>
  <c r="N489" i="10" s="1"/>
  <c r="G421" i="10"/>
  <c r="N421" i="10" s="1"/>
  <c r="G303" i="10"/>
  <c r="B323" i="12" s="1"/>
  <c r="G236" i="10"/>
  <c r="B256" i="12" s="1"/>
  <c r="G669" i="10"/>
  <c r="G601" i="10"/>
  <c r="B621" i="12" s="1"/>
  <c r="G535" i="10"/>
  <c r="B555" i="12" s="1"/>
  <c r="G417" i="10"/>
  <c r="B437" i="12" s="1"/>
  <c r="G350" i="10"/>
  <c r="D370" i="12" s="1"/>
  <c r="G281" i="10"/>
  <c r="N281" i="10"/>
  <c r="K281" i="10" s="1"/>
  <c r="G215" i="10"/>
  <c r="N215" i="10"/>
  <c r="K215" i="10" s="1"/>
  <c r="G640" i="10"/>
  <c r="G512" i="10"/>
  <c r="N512" i="10"/>
  <c r="G383" i="10"/>
  <c r="C403" i="12"/>
  <c r="G201" i="10"/>
  <c r="B221" i="12" s="1"/>
  <c r="G711" i="10"/>
  <c r="B731" i="12"/>
  <c r="G523" i="10"/>
  <c r="C543" i="12" s="1"/>
  <c r="G398" i="10"/>
  <c r="B418" i="12" s="1"/>
  <c r="G210" i="10"/>
  <c r="N210" i="10" s="1"/>
  <c r="I200" i="10"/>
  <c r="J209" i="10"/>
  <c r="I218" i="10"/>
  <c r="J227" i="10"/>
  <c r="I235" i="10"/>
  <c r="J244" i="10"/>
  <c r="I252" i="10"/>
  <c r="I262" i="10"/>
  <c r="J275" i="10"/>
  <c r="J293" i="10"/>
  <c r="I311" i="10"/>
  <c r="J335" i="10"/>
  <c r="H386" i="10"/>
  <c r="H412" i="10"/>
  <c r="H438" i="10"/>
  <c r="J464" i="10"/>
  <c r="H492" i="10"/>
  <c r="H527" i="10"/>
  <c r="H562" i="10"/>
  <c r="J597" i="10"/>
  <c r="J631" i="10"/>
  <c r="J676" i="10"/>
  <c r="I384" i="10"/>
  <c r="I375" i="10"/>
  <c r="I366" i="10"/>
  <c r="I358" i="10"/>
  <c r="I349" i="10"/>
  <c r="J341" i="10"/>
  <c r="I333" i="10"/>
  <c r="H325" i="10"/>
  <c r="J317" i="10"/>
  <c r="I310" i="10"/>
  <c r="J297" i="10"/>
  <c r="J292" i="10"/>
  <c r="I286" i="10"/>
  <c r="J280" i="10"/>
  <c r="J274" i="10"/>
  <c r="I269" i="10"/>
  <c r="J262" i="10"/>
  <c r="H257" i="10"/>
  <c r="J250" i="10"/>
  <c r="H245" i="10"/>
  <c r="H239" i="10"/>
  <c r="J233" i="10"/>
  <c r="H228" i="10"/>
  <c r="H222" i="10"/>
  <c r="J216" i="10"/>
  <c r="H210" i="10"/>
  <c r="H205" i="10"/>
  <c r="J198" i="10"/>
  <c r="G212" i="10"/>
  <c r="B232" i="12"/>
  <c r="G335" i="10"/>
  <c r="B355" i="12" s="1"/>
  <c r="G203" i="10"/>
  <c r="N203" i="10"/>
  <c r="J383" i="10"/>
  <c r="J374" i="10"/>
  <c r="J365" i="10"/>
  <c r="J357" i="10"/>
  <c r="J348" i="10"/>
  <c r="I341" i="10"/>
  <c r="H333" i="10"/>
  <c r="J324" i="10"/>
  <c r="H317" i="10"/>
  <c r="H310" i="10"/>
  <c r="I302" i="10"/>
  <c r="I297" i="10"/>
  <c r="I292" i="10"/>
  <c r="I285" i="10"/>
  <c r="I280" i="10"/>
  <c r="G322" i="10"/>
  <c r="H382" i="10"/>
  <c r="H373" i="10"/>
  <c r="H364" i="10"/>
  <c r="H356" i="10"/>
  <c r="H347" i="10"/>
  <c r="J339" i="10"/>
  <c r="J332" i="10"/>
  <c r="I324" i="10"/>
  <c r="I315" i="10"/>
  <c r="J309" i="10"/>
  <c r="H302" i="10"/>
  <c r="H297" i="10"/>
  <c r="H292" i="10"/>
  <c r="H285" i="10"/>
  <c r="H280" i="10"/>
  <c r="H274" i="10"/>
  <c r="H268" i="10"/>
  <c r="H262" i="10"/>
  <c r="I256" i="10"/>
  <c r="I249" i="10"/>
  <c r="I244" i="10"/>
  <c r="I238" i="10"/>
  <c r="I232" i="10"/>
  <c r="I227" i="10"/>
  <c r="I221" i="10"/>
  <c r="I215" i="10"/>
  <c r="I209" i="10"/>
  <c r="I204" i="10"/>
  <c r="I197" i="10"/>
  <c r="G269" i="10"/>
  <c r="N269" i="10" s="1"/>
  <c r="G337" i="10"/>
  <c r="C357" i="12" s="1"/>
  <c r="G264" i="10"/>
  <c r="D284" i="12" s="1"/>
  <c r="G223" i="10"/>
  <c r="G290" i="10"/>
  <c r="G354" i="10"/>
  <c r="G295" i="10"/>
  <c r="I380" i="10"/>
  <c r="I372" i="10"/>
  <c r="I363" i="10"/>
  <c r="I355" i="10"/>
  <c r="I346" i="10"/>
  <c r="H338" i="10"/>
  <c r="I332" i="10"/>
  <c r="H324" i="10"/>
  <c r="H315" i="10"/>
  <c r="I309" i="10"/>
  <c r="J301" i="10"/>
  <c r="J296" i="10"/>
  <c r="I291" i="10"/>
  <c r="J284" i="10"/>
  <c r="J279" i="10"/>
  <c r="I273" i="10"/>
  <c r="J267" i="10"/>
  <c r="J261" i="10"/>
  <c r="J254" i="10"/>
  <c r="H249" i="10"/>
  <c r="H244" i="10"/>
  <c r="J237" i="10"/>
  <c r="H232" i="10"/>
  <c r="H227" i="10"/>
  <c r="J220" i="10"/>
  <c r="H215" i="10"/>
  <c r="H209" i="10"/>
  <c r="J202" i="10"/>
  <c r="H197" i="10"/>
  <c r="G270" i="10"/>
  <c r="N270" i="10"/>
  <c r="G338" i="10"/>
  <c r="C358" i="12" s="1"/>
  <c r="G265" i="10"/>
  <c r="C285" i="12"/>
  <c r="H380" i="10"/>
  <c r="H372" i="10"/>
  <c r="H363" i="10"/>
  <c r="H355" i="10"/>
  <c r="H346" i="10"/>
  <c r="J337" i="10"/>
  <c r="J331" i="10"/>
  <c r="J323" i="10"/>
  <c r="J314" i="10"/>
  <c r="H309" i="10"/>
  <c r="I301" i="10"/>
  <c r="I296" i="10"/>
  <c r="I290" i="10"/>
  <c r="I284" i="10"/>
  <c r="I279" i="10"/>
  <c r="I272" i="10"/>
  <c r="I267" i="10"/>
  <c r="I261" i="10"/>
  <c r="J253" i="10"/>
  <c r="J248" i="10"/>
  <c r="J243" i="10"/>
  <c r="J236" i="10"/>
  <c r="J231" i="10"/>
  <c r="J225" i="10"/>
  <c r="J219" i="10"/>
  <c r="J213" i="10"/>
  <c r="J208" i="10"/>
  <c r="J201" i="10"/>
  <c r="G271" i="10"/>
  <c r="N271" i="10"/>
  <c r="G339" i="10"/>
  <c r="N339" i="10" s="1"/>
  <c r="G197" i="10"/>
  <c r="B217" i="12" s="1"/>
  <c r="G319" i="10"/>
  <c r="B339" i="12" s="1"/>
  <c r="G228" i="10"/>
  <c r="G292" i="10"/>
  <c r="D312" i="12" s="1"/>
  <c r="J379" i="10"/>
  <c r="J371" i="10"/>
  <c r="J362" i="10"/>
  <c r="J354" i="10"/>
  <c r="J345" i="10"/>
  <c r="I337" i="10"/>
  <c r="H330" i="10"/>
  <c r="I323" i="10"/>
  <c r="I314" i="10"/>
  <c r="I307" i="10"/>
  <c r="H301" i="10"/>
  <c r="H296" i="10"/>
  <c r="H290" i="10"/>
  <c r="H284" i="10"/>
  <c r="H279" i="10"/>
  <c r="H272" i="10"/>
  <c r="H267" i="10"/>
  <c r="H376" i="10"/>
  <c r="H359" i="10"/>
  <c r="H350" i="10"/>
  <c r="I342" i="10"/>
  <c r="H334" i="10"/>
  <c r="I327" i="10"/>
  <c r="I319" i="10"/>
  <c r="H311" i="10"/>
  <c r="J304" i="10"/>
  <c r="I298" i="10"/>
  <c r="I293" i="10"/>
  <c r="I287" i="10"/>
  <c r="I281" i="10"/>
  <c r="I275" i="10"/>
  <c r="I270" i="10"/>
  <c r="J384" i="10"/>
  <c r="J375" i="10"/>
  <c r="J366" i="10"/>
  <c r="J358" i="10"/>
  <c r="J349" i="10"/>
  <c r="H342" i="10"/>
  <c r="J333" i="10"/>
  <c r="J326" i="10"/>
  <c r="H319" i="10"/>
  <c r="J310" i="10"/>
  <c r="H298" i="10"/>
  <c r="H293" i="10"/>
  <c r="H287" i="10"/>
  <c r="H281" i="10"/>
  <c r="H275" i="10"/>
  <c r="H270" i="10"/>
  <c r="H263" i="10"/>
  <c r="G434" i="10"/>
  <c r="N434" i="10" s="1"/>
  <c r="G658" i="10"/>
  <c r="N658" i="10" s="1"/>
  <c r="G590" i="10"/>
  <c r="N590" i="10" s="1"/>
  <c r="I268" i="10"/>
  <c r="J370" i="10"/>
  <c r="H476" i="10"/>
  <c r="O226" i="10"/>
  <c r="J269" i="10"/>
  <c r="G564" i="10"/>
  <c r="B584" i="12" s="1"/>
  <c r="G314" i="10"/>
  <c r="C334" i="12" s="1"/>
  <c r="G689" i="10"/>
  <c r="D709" i="12"/>
  <c r="G506" i="10"/>
  <c r="G441" i="10"/>
  <c r="C461" i="12" s="1"/>
  <c r="G375" i="10"/>
  <c r="C395" i="12" s="1"/>
  <c r="G306" i="10"/>
  <c r="G671" i="10"/>
  <c r="B691" i="12" s="1"/>
  <c r="G554" i="10"/>
  <c r="B574" i="12" s="1"/>
  <c r="G488" i="10"/>
  <c r="G419" i="10"/>
  <c r="C439" i="12" s="1"/>
  <c r="G302" i="10"/>
  <c r="B322" i="12" s="1"/>
  <c r="G235" i="10"/>
  <c r="N235" i="10" s="1"/>
  <c r="G733" i="10"/>
  <c r="C753" i="12" s="1"/>
  <c r="G668" i="10"/>
  <c r="C688" i="12" s="1"/>
  <c r="G599" i="10"/>
  <c r="G534" i="10"/>
  <c r="B554" i="12" s="1"/>
  <c r="G416" i="10"/>
  <c r="D436" i="12" s="1"/>
  <c r="G349" i="10"/>
  <c r="G280" i="10"/>
  <c r="B300" i="12" s="1"/>
  <c r="G639" i="10"/>
  <c r="C659" i="12" s="1"/>
  <c r="G508" i="10"/>
  <c r="B528" i="12" s="1"/>
  <c r="G382" i="10"/>
  <c r="N382" i="10" s="1"/>
  <c r="M382" i="10" s="1"/>
  <c r="G200" i="10"/>
  <c r="B220" i="12" s="1"/>
  <c r="G708" i="10"/>
  <c r="G522" i="10"/>
  <c r="G395" i="10"/>
  <c r="G209" i="10"/>
  <c r="J200" i="10"/>
  <c r="I210" i="10"/>
  <c r="J218" i="10"/>
  <c r="I228" i="10"/>
  <c r="J235" i="10"/>
  <c r="I245" i="10"/>
  <c r="J252" i="10"/>
  <c r="I263" i="10"/>
  <c r="H276" i="10"/>
  <c r="H294" i="10"/>
  <c r="H313" i="10"/>
  <c r="I336" i="10"/>
  <c r="H360" i="10"/>
  <c r="J386" i="10"/>
  <c r="J412" i="10"/>
  <c r="J438" i="10"/>
  <c r="I465" i="10"/>
  <c r="H493" i="10"/>
  <c r="J527" i="10"/>
  <c r="J562" i="10"/>
  <c r="I598" i="10"/>
  <c r="I632" i="10"/>
  <c r="I677" i="10"/>
  <c r="J758" i="10"/>
  <c r="H712" i="10"/>
  <c r="H734" i="10"/>
  <c r="J711" i="10"/>
  <c r="G633" i="10"/>
  <c r="D653" i="12" s="1"/>
  <c r="G759" i="10"/>
  <c r="C779" i="12" s="1"/>
  <c r="H536" i="10"/>
  <c r="J611" i="10"/>
  <c r="J576" i="10"/>
  <c r="H423" i="10"/>
  <c r="O644" i="10"/>
  <c r="I607" i="10"/>
  <c r="G643" i="10"/>
  <c r="N643" i="10" s="1"/>
  <c r="J617" i="10"/>
  <c r="I617" i="10"/>
  <c r="G612" i="10"/>
  <c r="I618" i="10"/>
  <c r="H406" i="10"/>
  <c r="G405" i="10"/>
  <c r="C425" i="12" s="1"/>
  <c r="J405" i="10"/>
  <c r="I405" i="10"/>
  <c r="G407" i="10"/>
  <c r="C427" i="12" s="1"/>
  <c r="H405" i="10"/>
  <c r="G408" i="10"/>
  <c r="I408" i="10"/>
  <c r="J406" i="10"/>
  <c r="G483" i="10"/>
  <c r="N483" i="10" s="1"/>
  <c r="J484" i="10"/>
  <c r="I484" i="10"/>
  <c r="J483" i="10"/>
  <c r="H524" i="10"/>
  <c r="H519" i="10"/>
  <c r="G524" i="10"/>
  <c r="D544" i="12" s="1"/>
  <c r="J530" i="10"/>
  <c r="J523" i="10"/>
  <c r="J528" i="10"/>
  <c r="I523" i="10"/>
  <c r="G526" i="10"/>
  <c r="B546" i="12" s="1"/>
  <c r="H528" i="10"/>
  <c r="H523" i="10"/>
  <c r="G527" i="10"/>
  <c r="N527" i="10" s="1"/>
  <c r="K527" i="10" s="1"/>
  <c r="G530" i="10"/>
  <c r="B550" i="12" s="1"/>
  <c r="I527" i="10"/>
  <c r="I522" i="10"/>
  <c r="J525" i="10"/>
  <c r="J519" i="10"/>
  <c r="J680" i="10"/>
  <c r="I680" i="10"/>
  <c r="H680" i="10"/>
  <c r="G546" i="10"/>
  <c r="N546" i="10" s="1"/>
  <c r="J546" i="10"/>
  <c r="H546" i="10"/>
  <c r="I545" i="10"/>
  <c r="H548" i="10"/>
  <c r="J547" i="10"/>
  <c r="G548" i="10"/>
  <c r="N548" i="10" s="1"/>
  <c r="G549" i="10"/>
  <c r="B569" i="12" s="1"/>
  <c r="J550" i="10"/>
  <c r="J548" i="10"/>
  <c r="I500" i="10"/>
  <c r="H500" i="10"/>
  <c r="J499" i="10"/>
  <c r="G498" i="10"/>
  <c r="B518" i="12" s="1"/>
  <c r="H501" i="10"/>
  <c r="J606" i="10"/>
  <c r="I606" i="10"/>
  <c r="H606" i="10"/>
  <c r="J605" i="10"/>
  <c r="J382" i="10"/>
  <c r="I382" i="10"/>
  <c r="O455" i="10"/>
  <c r="I370" i="10"/>
  <c r="G370" i="10"/>
  <c r="N370" i="10" s="1"/>
  <c r="H370" i="10"/>
  <c r="J369" i="10"/>
  <c r="G372" i="10"/>
  <c r="I369" i="10"/>
  <c r="J372" i="10"/>
  <c r="H371" i="10"/>
  <c r="H490" i="10"/>
  <c r="I489" i="10"/>
  <c r="H489" i="10"/>
  <c r="J490" i="10"/>
  <c r="H513" i="10"/>
  <c r="G513" i="10"/>
  <c r="N513" i="10" s="1"/>
  <c r="G514" i="10"/>
  <c r="D534" i="12" s="1"/>
  <c r="J515" i="10"/>
  <c r="J513" i="10"/>
  <c r="G577" i="10"/>
  <c r="N577" i="10" s="1"/>
  <c r="G579" i="10"/>
  <c r="B599" i="12" s="1"/>
  <c r="J580" i="10"/>
  <c r="G580" i="10"/>
  <c r="C600" i="12" s="1"/>
  <c r="H580" i="10"/>
  <c r="I578" i="10"/>
  <c r="J268" i="10"/>
  <c r="G267" i="10"/>
  <c r="C287" i="12" s="1"/>
  <c r="H571" i="10"/>
  <c r="J571" i="10"/>
  <c r="J729" i="10"/>
  <c r="H481" i="10"/>
  <c r="G481" i="10"/>
  <c r="N481" i="10" s="1"/>
  <c r="K481" i="10" s="1"/>
  <c r="H482" i="10"/>
  <c r="J443" i="10"/>
  <c r="I443" i="10"/>
  <c r="H443" i="10"/>
  <c r="J338" i="10"/>
  <c r="I338" i="10"/>
  <c r="O206" i="10"/>
  <c r="J282" i="10"/>
  <c r="G283" i="10"/>
  <c r="N283" i="10" s="1"/>
  <c r="K283" i="10" s="1"/>
  <c r="H282" i="10"/>
  <c r="J281" i="10"/>
  <c r="J455" i="10"/>
  <c r="I455" i="10"/>
  <c r="J458" i="10"/>
  <c r="I458" i="10"/>
  <c r="H458" i="10"/>
  <c r="J457" i="10"/>
  <c r="H457" i="10"/>
  <c r="J583" i="10"/>
  <c r="I583" i="10"/>
  <c r="I582" i="10"/>
  <c r="I584" i="10"/>
  <c r="H755" i="10"/>
  <c r="J754" i="10"/>
  <c r="H751" i="10"/>
  <c r="G750" i="10"/>
  <c r="B770" i="12" s="1"/>
  <c r="J750" i="10"/>
  <c r="J755" i="10"/>
  <c r="I755" i="10"/>
  <c r="J308" i="10"/>
  <c r="G307" i="10"/>
  <c r="N307" i="10" s="1"/>
  <c r="K307" i="10" s="1"/>
  <c r="I308" i="10"/>
  <c r="H308" i="10"/>
  <c r="G309" i="10"/>
  <c r="N309" i="10" s="1"/>
  <c r="K309" i="10" s="1"/>
  <c r="J307" i="10"/>
  <c r="G310" i="10"/>
  <c r="D330" i="12" s="1"/>
  <c r="J495" i="10"/>
  <c r="G496" i="10"/>
  <c r="C516" i="12" s="1"/>
  <c r="I495" i="10"/>
  <c r="H495" i="10"/>
  <c r="I496" i="10"/>
  <c r="I681" i="10"/>
  <c r="J641" i="10"/>
  <c r="J635" i="10"/>
  <c r="I641" i="10"/>
  <c r="I635" i="10"/>
  <c r="H641" i="10"/>
  <c r="I640" i="10"/>
  <c r="H639" i="10"/>
  <c r="I642" i="10"/>
  <c r="I636" i="10"/>
  <c r="I326" i="10"/>
  <c r="G325" i="10"/>
  <c r="N325" i="10" s="1"/>
  <c r="H326" i="10"/>
  <c r="J325" i="10"/>
  <c r="G327" i="10"/>
  <c r="B347" i="12"/>
  <c r="I325" i="10"/>
  <c r="G328" i="10"/>
  <c r="D348" i="12"/>
  <c r="H327" i="10"/>
  <c r="H323" i="10"/>
  <c r="J663" i="10"/>
  <c r="G661" i="10"/>
  <c r="N661" i="10" s="1"/>
  <c r="I663" i="10"/>
  <c r="H663" i="10"/>
  <c r="G663" i="10"/>
  <c r="C683" i="12" s="1"/>
  <c r="H661" i="10"/>
  <c r="G664" i="10"/>
  <c r="C684" i="12" s="1"/>
  <c r="H660" i="10"/>
  <c r="I664" i="10"/>
  <c r="H531" i="10"/>
  <c r="J531" i="10"/>
  <c r="H388" i="10"/>
  <c r="J387" i="10"/>
  <c r="O510" i="10"/>
  <c r="I387" i="10"/>
  <c r="O447" i="10"/>
  <c r="H387" i="10"/>
  <c r="O258" i="10"/>
  <c r="J388" i="10"/>
  <c r="G699" i="10"/>
  <c r="B719" i="12" s="1"/>
  <c r="I699" i="10"/>
  <c r="I383" i="10"/>
  <c r="H383" i="10"/>
  <c r="O257" i="10"/>
  <c r="I385" i="10"/>
  <c r="I386" i="10"/>
  <c r="H384" i="10"/>
  <c r="J552" i="10"/>
  <c r="I552" i="10"/>
  <c r="H552" i="10"/>
  <c r="I634" i="10"/>
  <c r="J632" i="10"/>
  <c r="H633" i="10"/>
  <c r="H632" i="10"/>
  <c r="G294" i="10"/>
  <c r="C314" i="12" s="1"/>
  <c r="J294" i="10"/>
  <c r="G685" i="10"/>
  <c r="D705" i="12" s="1"/>
  <c r="G687" i="10"/>
  <c r="D707" i="12" s="1"/>
  <c r="G683" i="10"/>
  <c r="B703" i="12" s="1"/>
  <c r="H687" i="10"/>
  <c r="H686" i="10"/>
  <c r="G696" i="10"/>
  <c r="B716" i="12" s="1"/>
  <c r="J728" i="10"/>
  <c r="H726" i="10"/>
  <c r="J725" i="10"/>
  <c r="I725" i="10"/>
  <c r="G725" i="10"/>
  <c r="D745" i="12" s="1"/>
  <c r="I729" i="10"/>
  <c r="H731" i="10"/>
  <c r="J334" i="10"/>
  <c r="I334" i="10"/>
  <c r="I378" i="10"/>
  <c r="H378" i="10"/>
  <c r="J377" i="10"/>
  <c r="I377" i="10"/>
  <c r="G266" i="10"/>
  <c r="N266" i="10" s="1"/>
  <c r="J290" i="10"/>
  <c r="J392" i="10"/>
  <c r="H401" i="10"/>
  <c r="H397" i="10"/>
  <c r="H393" i="10"/>
  <c r="G394" i="10"/>
  <c r="B414" i="12" s="1"/>
  <c r="G391" i="10"/>
  <c r="N391" i="10" s="1"/>
  <c r="J400" i="10"/>
  <c r="J396" i="10"/>
  <c r="J391" i="10"/>
  <c r="H392" i="10"/>
  <c r="I400" i="10"/>
  <c r="I396" i="10"/>
  <c r="I391" i="10"/>
  <c r="G396" i="10"/>
  <c r="B416" i="12" s="1"/>
  <c r="H400" i="10"/>
  <c r="H396" i="10"/>
  <c r="H391" i="10"/>
  <c r="G397" i="10"/>
  <c r="N397" i="10" s="1"/>
  <c r="I399" i="10"/>
  <c r="I395" i="10"/>
  <c r="I390" i="10"/>
  <c r="J401" i="10"/>
  <c r="J397" i="10"/>
  <c r="J393" i="10"/>
  <c r="J322" i="10"/>
  <c r="J330" i="10"/>
  <c r="I330" i="10"/>
  <c r="H739" i="10"/>
  <c r="G748" i="10"/>
  <c r="B768" i="12" s="1"/>
  <c r="J738" i="10"/>
  <c r="I738" i="10"/>
  <c r="G737" i="10"/>
  <c r="B757" i="12" s="1"/>
  <c r="H738" i="10"/>
  <c r="G738" i="10"/>
  <c r="B758" i="12" s="1"/>
  <c r="J747" i="10"/>
  <c r="J742" i="10"/>
  <c r="G722" i="10"/>
  <c r="D742" i="12" s="1"/>
  <c r="G724" i="10"/>
  <c r="N724" i="10" s="1"/>
  <c r="K724" i="10" s="1"/>
  <c r="J724" i="10"/>
  <c r="G667" i="10"/>
  <c r="N667" i="10" s="1"/>
  <c r="L667" i="10" s="1"/>
  <c r="E687" i="12" s="1"/>
  <c r="H678" i="10"/>
  <c r="G675" i="10"/>
  <c r="C695" i="12" s="1"/>
  <c r="H677" i="10"/>
  <c r="O637" i="10"/>
  <c r="J264" i="10"/>
  <c r="J260" i="10"/>
  <c r="H256" i="10"/>
  <c r="H251" i="10"/>
  <c r="H247" i="10"/>
  <c r="H243" i="10"/>
  <c r="H238" i="10"/>
  <c r="H234" i="10"/>
  <c r="H230" i="10"/>
  <c r="H225" i="10"/>
  <c r="H221" i="10"/>
  <c r="H217" i="10"/>
  <c r="H212" i="10"/>
  <c r="H208" i="10"/>
  <c r="H204" i="10"/>
  <c r="H199" i="10"/>
  <c r="I194" i="10"/>
  <c r="I189" i="10"/>
  <c r="I185" i="10"/>
  <c r="I181" i="10"/>
  <c r="I176" i="10"/>
  <c r="I172" i="10"/>
  <c r="I168" i="10"/>
  <c r="I164" i="10"/>
  <c r="I159" i="10"/>
  <c r="I155" i="10"/>
  <c r="I150" i="10"/>
  <c r="I146" i="10"/>
  <c r="I142" i="10"/>
  <c r="I137" i="10"/>
  <c r="G146" i="10"/>
  <c r="D166" i="12" s="1"/>
  <c r="G211" i="10"/>
  <c r="D231" i="12" s="1"/>
  <c r="G139" i="10"/>
  <c r="D159" i="12" s="1"/>
  <c r="G258" i="10"/>
  <c r="C278" i="12" s="1"/>
  <c r="G161" i="10"/>
  <c r="N161" i="10" s="1"/>
  <c r="G222" i="10"/>
  <c r="N222" i="10" s="1"/>
  <c r="G168" i="10"/>
  <c r="C188" i="12" s="1"/>
  <c r="G231" i="10"/>
  <c r="C251" i="12" s="1"/>
  <c r="G181" i="10"/>
  <c r="N181" i="10" s="1"/>
  <c r="K181" i="10" s="1"/>
  <c r="G244" i="10"/>
  <c r="N244" i="10" s="1"/>
  <c r="K244" i="10" s="1"/>
  <c r="J163" i="10"/>
  <c r="H264" i="10"/>
  <c r="H260" i="10"/>
  <c r="I254" i="10"/>
  <c r="I250" i="10"/>
  <c r="I246" i="10"/>
  <c r="I241" i="10"/>
  <c r="I237" i="10"/>
  <c r="I233" i="10"/>
  <c r="I229" i="10"/>
  <c r="I224" i="10"/>
  <c r="I220" i="10"/>
  <c r="I216" i="10"/>
  <c r="I211" i="10"/>
  <c r="I207" i="10"/>
  <c r="I202" i="10"/>
  <c r="I198" i="10"/>
  <c r="J193" i="10"/>
  <c r="J188" i="10"/>
  <c r="J184" i="10"/>
  <c r="J180" i="10"/>
  <c r="J175" i="10"/>
  <c r="J171" i="10"/>
  <c r="J167" i="10"/>
  <c r="J162" i="10"/>
  <c r="J158" i="10"/>
  <c r="J154" i="10"/>
  <c r="J149" i="10"/>
  <c r="J145" i="10"/>
  <c r="J141" i="10"/>
  <c r="J136" i="10"/>
  <c r="G148" i="10"/>
  <c r="B168" i="12" s="1"/>
  <c r="G213" i="10"/>
  <c r="N213" i="10" s="1"/>
  <c r="G194" i="10"/>
  <c r="N194" i="10" s="1"/>
  <c r="G261" i="10"/>
  <c r="N261" i="10" s="1"/>
  <c r="G164" i="10"/>
  <c r="B184" i="12" s="1"/>
  <c r="G224" i="10"/>
  <c r="N224" i="10" s="1"/>
  <c r="G170" i="10"/>
  <c r="C190" i="12" s="1"/>
  <c r="G233" i="10"/>
  <c r="D253" i="12" s="1"/>
  <c r="G183" i="10"/>
  <c r="N183" i="10" s="1"/>
  <c r="G246" i="10"/>
  <c r="N246" i="10" s="1"/>
  <c r="J263" i="10"/>
  <c r="H254" i="10"/>
  <c r="H250" i="10"/>
  <c r="H246" i="10"/>
  <c r="H241" i="10"/>
  <c r="H237" i="10"/>
  <c r="H233" i="10"/>
  <c r="H229" i="10"/>
  <c r="H224" i="10"/>
  <c r="H220" i="10"/>
  <c r="H216" i="10"/>
  <c r="H211" i="10"/>
  <c r="H207" i="10"/>
  <c r="H202" i="10"/>
  <c r="H198" i="10"/>
  <c r="I193" i="10"/>
  <c r="I188" i="10"/>
  <c r="I184" i="10"/>
  <c r="I180" i="10"/>
  <c r="I175" i="10"/>
  <c r="I171" i="10"/>
  <c r="I167" i="10"/>
  <c r="I162" i="10"/>
  <c r="I158" i="10"/>
  <c r="I154" i="10"/>
  <c r="I149" i="10"/>
  <c r="I145" i="10"/>
  <c r="I141" i="10"/>
  <c r="I136" i="10"/>
  <c r="G149" i="10"/>
  <c r="N149" i="10" s="1"/>
  <c r="G195" i="10"/>
  <c r="B215" i="12"/>
  <c r="G262" i="10"/>
  <c r="D282" i="12" s="1"/>
  <c r="G152" i="10"/>
  <c r="N152" i="10" s="1"/>
  <c r="G165" i="10"/>
  <c r="B185" i="12" s="1"/>
  <c r="G225" i="10"/>
  <c r="C245" i="12" s="1"/>
  <c r="G171" i="10"/>
  <c r="N171" i="10" s="1"/>
  <c r="K171" i="10" s="1"/>
  <c r="G234" i="10"/>
  <c r="B254" i="12" s="1"/>
  <c r="G184" i="10"/>
  <c r="D204" i="12" s="1"/>
  <c r="G247" i="10"/>
  <c r="D267" i="12" s="1"/>
  <c r="O511" i="10"/>
  <c r="J226" i="10"/>
  <c r="H226" i="10"/>
  <c r="H553" i="10"/>
  <c r="I556" i="10"/>
  <c r="J553" i="10"/>
  <c r="J628" i="10"/>
  <c r="I628" i="10"/>
  <c r="H628" i="10"/>
  <c r="J627" i="10"/>
  <c r="H627" i="10"/>
  <c r="I630" i="10"/>
  <c r="G340" i="10"/>
  <c r="I344" i="10"/>
  <c r="I339" i="10"/>
  <c r="G344" i="10"/>
  <c r="N344" i="10" s="1"/>
  <c r="H344" i="10"/>
  <c r="H339" i="10"/>
  <c r="J343" i="10"/>
  <c r="G346" i="10"/>
  <c r="B366" i="12" s="1"/>
  <c r="I343" i="10"/>
  <c r="J346" i="10"/>
  <c r="H345" i="10"/>
  <c r="H341" i="10"/>
  <c r="H756" i="10"/>
  <c r="J376" i="10"/>
  <c r="H375" i="10"/>
  <c r="I365" i="10"/>
  <c r="H365" i="10"/>
  <c r="J364" i="10"/>
  <c r="I364" i="10"/>
  <c r="J367" i="10"/>
  <c r="J363" i="10"/>
  <c r="H366" i="10"/>
  <c r="J475" i="10"/>
  <c r="I475" i="10"/>
  <c r="H475" i="10"/>
  <c r="J474" i="10"/>
  <c r="H474" i="10"/>
  <c r="I476" i="10"/>
  <c r="H414" i="10"/>
  <c r="H410" i="10"/>
  <c r="G418" i="10"/>
  <c r="N418" i="10" s="1"/>
  <c r="J415" i="10"/>
  <c r="J418" i="10"/>
  <c r="J413" i="10"/>
  <c r="J409" i="10"/>
  <c r="I418" i="10"/>
  <c r="I413" i="10"/>
  <c r="I409" i="10"/>
  <c r="H418" i="10"/>
  <c r="H413" i="10"/>
  <c r="H409" i="10"/>
  <c r="I417" i="10"/>
  <c r="I412" i="10"/>
  <c r="J414" i="10"/>
  <c r="J410" i="10"/>
  <c r="I361" i="10"/>
  <c r="I357" i="10"/>
  <c r="I353" i="10"/>
  <c r="I348" i="10"/>
  <c r="G357" i="10"/>
  <c r="N357" i="10" s="1"/>
  <c r="H361" i="10"/>
  <c r="H357" i="10"/>
  <c r="H353" i="10"/>
  <c r="H348" i="10"/>
  <c r="J360" i="10"/>
  <c r="J356" i="10"/>
  <c r="J351" i="10"/>
  <c r="J347" i="10"/>
  <c r="G359" i="10"/>
  <c r="B379" i="12" s="1"/>
  <c r="I360" i="10"/>
  <c r="I356" i="10"/>
  <c r="I351" i="10"/>
  <c r="I347" i="10"/>
  <c r="G347" i="10"/>
  <c r="D367" i="12" s="1"/>
  <c r="G360" i="10"/>
  <c r="D380" i="12" s="1"/>
  <c r="J359" i="10"/>
  <c r="J355" i="10"/>
  <c r="J350" i="10"/>
  <c r="H362" i="10"/>
  <c r="H358" i="10"/>
  <c r="H354" i="10"/>
  <c r="H349" i="10"/>
  <c r="I718" i="10"/>
  <c r="J720" i="10"/>
  <c r="J588" i="10"/>
  <c r="G589" i="10"/>
  <c r="C609" i="12" s="1"/>
  <c r="I588" i="10"/>
  <c r="H588" i="10"/>
  <c r="J587" i="10"/>
  <c r="I586" i="10"/>
  <c r="I589" i="10"/>
  <c r="H494" i="10"/>
  <c r="I493" i="10"/>
  <c r="I492" i="10"/>
  <c r="I494" i="10"/>
  <c r="H305" i="10"/>
  <c r="H542" i="10"/>
  <c r="G539" i="10"/>
  <c r="N539" i="10" s="1"/>
  <c r="J540" i="10"/>
  <c r="I540" i="10"/>
  <c r="G542" i="10"/>
  <c r="D562" i="12" s="1"/>
  <c r="H540" i="10"/>
  <c r="G543" i="10"/>
  <c r="N543" i="10" s="1"/>
  <c r="I539" i="10"/>
  <c r="J543" i="10"/>
  <c r="J623" i="10"/>
  <c r="G622" i="10"/>
  <c r="D642" i="12" s="1"/>
  <c r="I623" i="10"/>
  <c r="H623" i="10"/>
  <c r="G624" i="10"/>
  <c r="N624" i="10" s="1"/>
  <c r="K624" i="10" s="1"/>
  <c r="J622" i="10"/>
  <c r="I621" i="10"/>
  <c r="I624" i="10"/>
  <c r="J380" i="10"/>
  <c r="H379" i="10"/>
  <c r="I374" i="10"/>
  <c r="H374" i="10"/>
  <c r="J373" i="10"/>
  <c r="I373" i="10"/>
  <c r="G373" i="10"/>
  <c r="D393" i="12" s="1"/>
  <c r="H436" i="10"/>
  <c r="J435" i="10"/>
  <c r="I435" i="10"/>
  <c r="G435" i="10"/>
  <c r="D455" i="12" s="1"/>
  <c r="H435" i="10"/>
  <c r="G436" i="10"/>
  <c r="O436" i="10"/>
  <c r="J436" i="10"/>
  <c r="J471" i="10"/>
  <c r="J467" i="10"/>
  <c r="I471" i="10"/>
  <c r="I467" i="10"/>
  <c r="H471" i="10"/>
  <c r="H467" i="10"/>
  <c r="G468" i="10"/>
  <c r="N468" i="10" s="1"/>
  <c r="J470" i="10"/>
  <c r="G469" i="10"/>
  <c r="B489" i="12" s="1"/>
  <c r="H470" i="10"/>
  <c r="I472" i="10"/>
  <c r="I468" i="10"/>
  <c r="J557" i="10"/>
  <c r="H559" i="10"/>
  <c r="G559" i="10"/>
  <c r="N559" i="10" s="1"/>
  <c r="K559" i="10" s="1"/>
  <c r="J558" i="10"/>
  <c r="G557" i="10"/>
  <c r="B577" i="12" s="1"/>
  <c r="I558" i="10"/>
  <c r="H558" i="10"/>
  <c r="J560" i="10"/>
  <c r="J517" i="10"/>
  <c r="I517" i="10"/>
  <c r="H517" i="10"/>
  <c r="J488" i="10"/>
  <c r="H488" i="10"/>
  <c r="J303" i="10"/>
  <c r="I303" i="10"/>
  <c r="H303" i="10"/>
  <c r="J302" i="10"/>
  <c r="J453" i="10"/>
  <c r="I453" i="10"/>
  <c r="H453" i="10"/>
  <c r="I454" i="10"/>
  <c r="G591" i="10"/>
  <c r="N591" i="10" s="1"/>
  <c r="J449" i="10"/>
  <c r="I449" i="10"/>
  <c r="H449" i="10"/>
  <c r="J452" i="10"/>
  <c r="H452" i="10"/>
  <c r="I450" i="10"/>
  <c r="J703" i="10"/>
  <c r="G674" i="10"/>
  <c r="D694" i="12" s="1"/>
  <c r="I673" i="10"/>
  <c r="I485" i="10"/>
  <c r="H485" i="10"/>
  <c r="G485" i="10"/>
  <c r="B505" i="12" s="1"/>
  <c r="G486" i="10"/>
  <c r="B506" i="12" s="1"/>
  <c r="I486" i="10"/>
  <c r="I505" i="10"/>
  <c r="G510" i="10"/>
  <c r="D530" i="12" s="1"/>
  <c r="J512" i="10"/>
  <c r="H505" i="10"/>
  <c r="J504" i="10"/>
  <c r="I510" i="10"/>
  <c r="I504" i="10"/>
  <c r="J509" i="10"/>
  <c r="J503" i="10"/>
  <c r="H508" i="10"/>
  <c r="J708" i="10"/>
  <c r="I708" i="10"/>
  <c r="H708" i="10"/>
  <c r="J706" i="10"/>
  <c r="H440" i="10"/>
  <c r="J439" i="10"/>
  <c r="I439" i="10"/>
  <c r="H439" i="10"/>
  <c r="I442" i="10"/>
  <c r="I438" i="10"/>
  <c r="J440" i="10"/>
  <c r="H432" i="10"/>
  <c r="H427" i="10"/>
  <c r="G433" i="10"/>
  <c r="C453" i="12" s="1"/>
  <c r="J430" i="10"/>
  <c r="J426" i="10"/>
  <c r="I430" i="10"/>
  <c r="I426" i="10"/>
  <c r="H430" i="10"/>
  <c r="H426" i="10"/>
  <c r="I434" i="10"/>
  <c r="I429" i="10"/>
  <c r="I425" i="10"/>
  <c r="J432" i="10"/>
  <c r="J427" i="10"/>
  <c r="I335" i="10"/>
  <c r="H335" i="10"/>
  <c r="H336" i="10"/>
  <c r="J321" i="10"/>
  <c r="J316" i="10"/>
  <c r="J312" i="10"/>
  <c r="I316" i="10"/>
  <c r="I321" i="10"/>
  <c r="I312" i="10"/>
  <c r="H321" i="10"/>
  <c r="H316" i="10"/>
  <c r="H312" i="10"/>
  <c r="J320" i="10"/>
  <c r="J315" i="10"/>
  <c r="J311" i="10"/>
  <c r="H322" i="10"/>
  <c r="I317" i="10"/>
  <c r="I313" i="10"/>
  <c r="J696" i="10"/>
  <c r="J689" i="10"/>
  <c r="I689" i="10"/>
  <c r="H689" i="10"/>
  <c r="I696" i="10"/>
  <c r="H695" i="10"/>
  <c r="H694" i="10"/>
  <c r="I690" i="10"/>
  <c r="J644" i="10"/>
  <c r="J654" i="10"/>
  <c r="H649" i="10"/>
  <c r="G654" i="10"/>
  <c r="C674" i="12" s="1"/>
  <c r="I654" i="10"/>
  <c r="H648" i="10"/>
  <c r="H654" i="10"/>
  <c r="I647" i="10"/>
  <c r="I653" i="10"/>
  <c r="H647" i="10"/>
  <c r="G645" i="10"/>
  <c r="C665" i="12" s="1"/>
  <c r="H652" i="10"/>
  <c r="I646" i="10"/>
  <c r="I656" i="10"/>
  <c r="H650" i="10"/>
  <c r="I331" i="10"/>
  <c r="H331" i="10"/>
  <c r="G331" i="10"/>
  <c r="N331" i="10" s="1"/>
  <c r="G332" i="10"/>
  <c r="N332" i="10" s="1"/>
  <c r="H332" i="10"/>
  <c r="O557" i="10"/>
  <c r="G403" i="10"/>
  <c r="B423" i="12" s="1"/>
  <c r="I404" i="10"/>
  <c r="O364" i="10"/>
  <c r="J600" i="10"/>
  <c r="J594" i="10"/>
  <c r="G600" i="10"/>
  <c r="C620" i="12" s="1"/>
  <c r="O427" i="10"/>
  <c r="I600" i="10"/>
  <c r="I594" i="10"/>
  <c r="I599" i="10"/>
  <c r="H594" i="10"/>
  <c r="J598" i="10"/>
  <c r="J593" i="10"/>
  <c r="H598" i="10"/>
  <c r="H593" i="10"/>
  <c r="I596" i="10"/>
  <c r="G561" i="10"/>
  <c r="C581" i="12" s="1"/>
  <c r="I562" i="10"/>
  <c r="J712" i="10"/>
  <c r="J734" i="10"/>
  <c r="J715" i="10"/>
  <c r="J737" i="10"/>
  <c r="G746" i="10"/>
  <c r="D766" i="12" s="1"/>
  <c r="H259" i="10"/>
  <c r="H565" i="10"/>
  <c r="J569" i="10"/>
  <c r="J564" i="10"/>
  <c r="I569" i="10"/>
  <c r="J563" i="10"/>
  <c r="H569" i="10"/>
  <c r="J567" i="10"/>
  <c r="J565" i="10"/>
  <c r="H699" i="10"/>
  <c r="J717" i="10"/>
  <c r="J741" i="10"/>
  <c r="H445" i="10"/>
  <c r="G446" i="10"/>
  <c r="N446" i="10" s="1"/>
  <c r="K446" i="10" s="1"/>
  <c r="G447" i="10"/>
  <c r="D467" i="12" s="1"/>
  <c r="I447" i="10"/>
  <c r="J445" i="10"/>
  <c r="O186" i="10"/>
  <c r="J291" i="10"/>
  <c r="H291" i="10"/>
  <c r="G602" i="10"/>
  <c r="N602" i="10" s="1"/>
  <c r="G603" i="10"/>
  <c r="N603" i="10" s="1"/>
  <c r="I603" i="10"/>
  <c r="I601" i="10"/>
  <c r="G604" i="10"/>
  <c r="C624" i="12" s="1"/>
  <c r="O297" i="10"/>
  <c r="J462" i="10"/>
  <c r="G459" i="10"/>
  <c r="I462" i="10"/>
  <c r="H462" i="10"/>
  <c r="G461" i="10"/>
  <c r="C481" i="12" s="1"/>
  <c r="J465" i="10"/>
  <c r="J461" i="10"/>
  <c r="G462" i="10"/>
  <c r="N462" i="10" s="1"/>
  <c r="H465" i="10"/>
  <c r="H461" i="10"/>
  <c r="I463" i="10"/>
  <c r="I459" i="10"/>
  <c r="G735" i="10"/>
  <c r="D755" i="12" s="1"/>
  <c r="H735" i="10"/>
  <c r="G479" i="10"/>
  <c r="C499" i="12" s="1"/>
  <c r="J480" i="10"/>
  <c r="I480" i="10"/>
  <c r="H480" i="10"/>
  <c r="I479" i="10"/>
  <c r="J698" i="10"/>
  <c r="I698" i="10"/>
  <c r="H698" i="10"/>
  <c r="G698" i="10"/>
  <c r="B718" i="12" s="1"/>
  <c r="H717" i="10"/>
  <c r="J718" i="10"/>
  <c r="J716" i="10"/>
  <c r="I716" i="10"/>
  <c r="H716" i="10"/>
  <c r="J713" i="10"/>
  <c r="H721" i="10"/>
  <c r="H743" i="10"/>
  <c r="H329" i="10"/>
  <c r="J702" i="10"/>
  <c r="I721" i="10"/>
  <c r="J745" i="10"/>
  <c r="H529" i="10"/>
  <c r="J721" i="10"/>
  <c r="H747" i="10"/>
  <c r="G581" i="10"/>
  <c r="N581" i="10" s="1"/>
  <c r="I557" i="10"/>
  <c r="J419" i="10"/>
  <c r="J423" i="10"/>
  <c r="J536" i="10"/>
  <c r="I613" i="10"/>
  <c r="J709" i="10"/>
  <c r="I421" i="10"/>
  <c r="J533" i="10"/>
  <c r="H575" i="10"/>
  <c r="H610" i="10"/>
  <c r="H615" i="10"/>
  <c r="H669" i="10"/>
  <c r="O263" i="10"/>
  <c r="G423" i="10"/>
  <c r="N423" i="10" s="1"/>
  <c r="G297" i="10"/>
  <c r="C317" i="12" s="1"/>
  <c r="G286" i="10"/>
  <c r="B306" i="12" s="1"/>
  <c r="G710" i="10"/>
  <c r="N710" i="10" s="1"/>
  <c r="J272" i="10"/>
  <c r="J276" i="10"/>
  <c r="J285" i="10"/>
  <c r="J298" i="10"/>
  <c r="H422" i="10"/>
  <c r="H535" i="10"/>
  <c r="J575" i="10"/>
  <c r="J610" i="10"/>
  <c r="J615" i="10"/>
  <c r="H670" i="10"/>
  <c r="G611" i="10"/>
  <c r="B631" i="12" s="1"/>
  <c r="G422" i="10"/>
  <c r="N422" i="10" s="1"/>
  <c r="K422" i="10" s="1"/>
  <c r="G296" i="10"/>
  <c r="N296" i="10" s="1"/>
  <c r="K296" i="10" s="1"/>
  <c r="G285" i="10"/>
  <c r="N285" i="10" s="1"/>
  <c r="H269" i="10"/>
  <c r="H273" i="10"/>
  <c r="H278" i="10"/>
  <c r="H286" i="10"/>
  <c r="H295" i="10"/>
  <c r="H299" i="10"/>
  <c r="I422" i="10"/>
  <c r="I535" i="10"/>
  <c r="H576" i="10"/>
  <c r="H611" i="10"/>
  <c r="I616" i="10"/>
  <c r="H672" i="10"/>
  <c r="O707" i="10"/>
  <c r="J422" i="10"/>
  <c r="J535" i="10"/>
  <c r="I576" i="10"/>
  <c r="I611" i="10"/>
  <c r="I672" i="10"/>
  <c r="O192" i="10"/>
  <c r="G672" i="10"/>
  <c r="G609" i="10"/>
  <c r="G420" i="10"/>
  <c r="G276" i="10"/>
  <c r="B296" i="12" s="1"/>
  <c r="J273" i="10"/>
  <c r="J286" i="10"/>
  <c r="J295" i="10"/>
  <c r="J299" i="10"/>
  <c r="H419" i="10"/>
  <c r="G329" i="10"/>
  <c r="C349" i="12" s="1"/>
  <c r="J151" i="10"/>
  <c r="I226" i="10"/>
  <c r="J385" i="10"/>
  <c r="H557" i="10"/>
  <c r="O620" i="10"/>
  <c r="G730" i="10"/>
  <c r="C750" i="12" s="1"/>
  <c r="H163" i="10"/>
  <c r="I322" i="10"/>
  <c r="I392" i="10"/>
  <c r="O478" i="10"/>
  <c r="I633" i="10"/>
  <c r="H718" i="10"/>
  <c r="O574" i="10"/>
  <c r="J710" i="10"/>
  <c r="I710" i="10"/>
  <c r="H710" i="10"/>
  <c r="I709" i="10"/>
  <c r="H671" i="10"/>
  <c r="J667" i="10"/>
  <c r="J670" i="10"/>
  <c r="I667" i="10"/>
  <c r="I670" i="10"/>
  <c r="H667" i="10"/>
  <c r="J669" i="10"/>
  <c r="J671" i="10"/>
  <c r="I671" i="10"/>
  <c r="I534" i="10"/>
  <c r="H534" i="10"/>
  <c r="I533" i="10"/>
  <c r="H613" i="10"/>
  <c r="H609" i="10"/>
  <c r="J616" i="10"/>
  <c r="J612" i="10"/>
  <c r="H616" i="10"/>
  <c r="H612" i="10"/>
  <c r="I574" i="10"/>
  <c r="H574" i="10"/>
  <c r="I573" i="10"/>
  <c r="I568" i="10"/>
  <c r="H573" i="10"/>
  <c r="H568" i="10"/>
  <c r="J570" i="10"/>
  <c r="I570" i="10"/>
  <c r="G574" i="10"/>
  <c r="N574" i="10" s="1"/>
  <c r="I572" i="10"/>
  <c r="I567" i="10"/>
  <c r="J574" i="10"/>
  <c r="G259" i="10"/>
  <c r="C279" i="12" s="1"/>
  <c r="I163" i="10"/>
  <c r="I564" i="10"/>
  <c r="H564" i="10"/>
  <c r="J266" i="10"/>
  <c r="I266" i="10"/>
  <c r="H658" i="10"/>
  <c r="J657" i="10"/>
  <c r="I657" i="10"/>
  <c r="J658" i="10"/>
  <c r="I658" i="10"/>
  <c r="I551" i="10"/>
  <c r="H551" i="10"/>
  <c r="I554" i="10"/>
  <c r="O667" i="10"/>
  <c r="O444" i="10"/>
  <c r="O403" i="10"/>
  <c r="I277" i="10"/>
  <c r="O179" i="10"/>
  <c r="O730" i="10"/>
  <c r="O507" i="10"/>
  <c r="O466" i="10"/>
  <c r="H277" i="10"/>
  <c r="O242" i="10"/>
  <c r="O203" i="10"/>
  <c r="O570" i="10"/>
  <c r="O529" i="10"/>
  <c r="O305" i="10"/>
  <c r="O266" i="10"/>
  <c r="O633" i="10"/>
  <c r="O592" i="10"/>
  <c r="O368" i="10"/>
  <c r="O329" i="10"/>
  <c r="O696" i="10"/>
  <c r="O655" i="10"/>
  <c r="O431" i="10"/>
  <c r="O392" i="10"/>
  <c r="O163" i="10"/>
  <c r="G277" i="10"/>
  <c r="N277" i="10" s="1"/>
  <c r="F297" i="12" s="1"/>
  <c r="O541" i="10"/>
  <c r="O318" i="10"/>
  <c r="O277" i="10"/>
  <c r="O604" i="10"/>
  <c r="O381" i="10"/>
  <c r="O340" i="10"/>
  <c r="J277" i="10"/>
  <c r="J749" i="10"/>
  <c r="I749" i="10"/>
  <c r="H749" i="10"/>
  <c r="I750" i="10"/>
  <c r="H750" i="10"/>
  <c r="H666" i="10"/>
  <c r="H662" i="10"/>
  <c r="J665" i="10"/>
  <c r="J661" i="10"/>
  <c r="I665" i="10"/>
  <c r="I661" i="10"/>
  <c r="J664" i="10"/>
  <c r="J660" i="10"/>
  <c r="J666" i="10"/>
  <c r="J662" i="10"/>
  <c r="I666" i="10"/>
  <c r="I662" i="10"/>
  <c r="I733" i="10"/>
  <c r="H733" i="10"/>
  <c r="H688" i="10"/>
  <c r="H684" i="10"/>
  <c r="J687" i="10"/>
  <c r="J682" i="10"/>
  <c r="I687" i="10"/>
  <c r="I682" i="10"/>
  <c r="J686" i="10"/>
  <c r="J681" i="10"/>
  <c r="I683" i="10"/>
  <c r="J688" i="10"/>
  <c r="J684" i="10"/>
  <c r="H683" i="10"/>
  <c r="I688" i="10"/>
  <c r="I684" i="10"/>
  <c r="J727" i="10"/>
  <c r="I727" i="10"/>
  <c r="J730" i="10"/>
  <c r="H727" i="10"/>
  <c r="I730" i="10"/>
  <c r="J726" i="10"/>
  <c r="H730" i="10"/>
  <c r="I726" i="10"/>
  <c r="I728" i="10"/>
  <c r="H728" i="10"/>
  <c r="G289" i="10"/>
  <c r="C309" i="12" s="1"/>
  <c r="H385" i="10"/>
  <c r="G385" i="10"/>
  <c r="N385" i="10" s="1"/>
  <c r="G392" i="10"/>
  <c r="D412" i="12" s="1"/>
  <c r="J329" i="10"/>
  <c r="H746" i="10"/>
  <c r="J744" i="10"/>
  <c r="J740" i="10"/>
  <c r="J736" i="10"/>
  <c r="I744" i="10"/>
  <c r="I740" i="10"/>
  <c r="I736" i="10"/>
  <c r="H744" i="10"/>
  <c r="H740" i="10"/>
  <c r="H736" i="10"/>
  <c r="J748" i="10"/>
  <c r="J743" i="10"/>
  <c r="J739" i="10"/>
  <c r="J735" i="10"/>
  <c r="I748" i="10"/>
  <c r="I743" i="10"/>
  <c r="I739" i="10"/>
  <c r="I735" i="10"/>
  <c r="J746" i="10"/>
  <c r="I745" i="10"/>
  <c r="I741" i="10"/>
  <c r="I737" i="10"/>
  <c r="I746" i="10"/>
  <c r="H745" i="10"/>
  <c r="H741" i="10"/>
  <c r="H737" i="10"/>
  <c r="J723" i="10"/>
  <c r="I723" i="10"/>
  <c r="H723" i="10"/>
  <c r="I722" i="10"/>
  <c r="I724" i="10"/>
  <c r="H724" i="10"/>
  <c r="H675" i="10"/>
  <c r="J678" i="10"/>
  <c r="I678" i="10"/>
  <c r="J677" i="10"/>
  <c r="J675" i="10"/>
  <c r="I675" i="10"/>
  <c r="O322" i="10"/>
  <c r="H255" i="10"/>
  <c r="H214" i="10"/>
  <c r="G226" i="10"/>
  <c r="G242" i="10"/>
  <c r="G255" i="10"/>
  <c r="O259" i="10"/>
  <c r="J179" i="10"/>
  <c r="J140" i="10"/>
  <c r="O196" i="10"/>
  <c r="J242" i="10"/>
  <c r="J203" i="10"/>
  <c r="I179" i="10"/>
  <c r="I140" i="10"/>
  <c r="G151" i="10"/>
  <c r="C171" i="12" s="1"/>
  <c r="I242" i="10"/>
  <c r="I203" i="10"/>
  <c r="H179" i="10"/>
  <c r="H140" i="10"/>
  <c r="G214" i="10"/>
  <c r="N214" i="10" s="1"/>
  <c r="G140" i="10"/>
  <c r="N140" i="10" s="1"/>
  <c r="H242" i="10"/>
  <c r="H203" i="10"/>
  <c r="G196" i="10"/>
  <c r="N196" i="10" s="1"/>
  <c r="O448" i="10"/>
  <c r="J255" i="10"/>
  <c r="J214" i="10"/>
  <c r="I192" i="10"/>
  <c r="I151" i="10"/>
  <c r="O385" i="10"/>
  <c r="I255" i="10"/>
  <c r="I214" i="10"/>
  <c r="H192" i="10"/>
  <c r="H151" i="10"/>
  <c r="G163" i="10"/>
  <c r="N163" i="10" s="1"/>
  <c r="G179" i="10"/>
  <c r="C199" i="12" s="1"/>
  <c r="G192" i="10"/>
  <c r="B212" i="12" s="1"/>
  <c r="I555" i="10"/>
  <c r="H555" i="10"/>
  <c r="H630" i="10"/>
  <c r="J629" i="10"/>
  <c r="H629" i="10"/>
  <c r="J340" i="10"/>
  <c r="I340" i="10"/>
  <c r="H340" i="10"/>
  <c r="J757" i="10"/>
  <c r="J753" i="10"/>
  <c r="I757" i="10"/>
  <c r="I753" i="10"/>
  <c r="H757" i="10"/>
  <c r="H753" i="10"/>
  <c r="J756" i="10"/>
  <c r="J752" i="10"/>
  <c r="I756" i="10"/>
  <c r="I752" i="10"/>
  <c r="I758" i="10"/>
  <c r="I754" i="10"/>
  <c r="H758" i="10"/>
  <c r="H754" i="10"/>
  <c r="G368" i="10"/>
  <c r="N368" i="10" s="1"/>
  <c r="K368" i="10" s="1"/>
  <c r="J368" i="10"/>
  <c r="H478" i="10"/>
  <c r="J476" i="10"/>
  <c r="G478" i="10"/>
  <c r="B498" i="12" s="1"/>
  <c r="J478" i="10"/>
  <c r="I478" i="10"/>
  <c r="G415" i="10"/>
  <c r="B435" i="12" s="1"/>
  <c r="I415" i="10"/>
  <c r="H415" i="10"/>
  <c r="G352" i="10"/>
  <c r="N352" i="10" s="1"/>
  <c r="H352" i="10"/>
  <c r="J719" i="10"/>
  <c r="J714" i="10"/>
  <c r="I719" i="10"/>
  <c r="I714" i="10"/>
  <c r="H719" i="10"/>
  <c r="H714" i="10"/>
  <c r="I717" i="10"/>
  <c r="I713" i="10"/>
  <c r="I720" i="10"/>
  <c r="I715" i="10"/>
  <c r="G718" i="10"/>
  <c r="B738" i="12" s="1"/>
  <c r="H720" i="10"/>
  <c r="H715" i="10"/>
  <c r="J732" i="10"/>
  <c r="I732" i="10"/>
  <c r="H732" i="10"/>
  <c r="J731" i="10"/>
  <c r="I731" i="10"/>
  <c r="H587" i="10"/>
  <c r="H583" i="10"/>
  <c r="H578" i="10"/>
  <c r="J590" i="10"/>
  <c r="J586" i="10"/>
  <c r="J582" i="10"/>
  <c r="J577" i="10"/>
  <c r="H590" i="10"/>
  <c r="H586" i="10"/>
  <c r="H582" i="10"/>
  <c r="H577" i="10"/>
  <c r="H581" i="10"/>
  <c r="J493" i="10"/>
  <c r="G494" i="10"/>
  <c r="D514" i="12" s="1"/>
  <c r="J492" i="10"/>
  <c r="G305" i="10"/>
  <c r="N305" i="10" s="1"/>
  <c r="J305" i="10"/>
  <c r="I305" i="10"/>
  <c r="I541" i="10"/>
  <c r="H541" i="10"/>
  <c r="I543" i="10"/>
  <c r="H543" i="10"/>
  <c r="I542" i="10"/>
  <c r="J541" i="10"/>
  <c r="H626" i="10"/>
  <c r="H622" i="10"/>
  <c r="J625" i="10"/>
  <c r="J621" i="10"/>
  <c r="H625" i="10"/>
  <c r="H621" i="10"/>
  <c r="H620" i="10"/>
  <c r="I711" i="10"/>
  <c r="H711" i="10"/>
  <c r="J466" i="10"/>
  <c r="I466" i="10"/>
  <c r="H466" i="10"/>
  <c r="I560" i="10"/>
  <c r="H560" i="10"/>
  <c r="I559" i="10"/>
  <c r="G518" i="10"/>
  <c r="B538" i="12" s="1"/>
  <c r="H591" i="10"/>
  <c r="J592" i="10"/>
  <c r="G448" i="10"/>
  <c r="C468" i="12" s="1"/>
  <c r="I448" i="10"/>
  <c r="H448" i="10"/>
  <c r="J701" i="10"/>
  <c r="H697" i="10"/>
  <c r="J700" i="10"/>
  <c r="I701" i="10"/>
  <c r="I700" i="10"/>
  <c r="H701" i="10"/>
  <c r="H700" i="10"/>
  <c r="I704" i="10"/>
  <c r="J699" i="10"/>
  <c r="I702" i="10"/>
  <c r="J697" i="10"/>
  <c r="H702" i="10"/>
  <c r="I697" i="10"/>
  <c r="J674" i="10"/>
  <c r="I674" i="10"/>
  <c r="J673" i="10"/>
  <c r="J485" i="10"/>
  <c r="H511" i="10"/>
  <c r="I512" i="10"/>
  <c r="J506" i="10"/>
  <c r="J507" i="10"/>
  <c r="G511" i="10"/>
  <c r="D531" i="12" s="1"/>
  <c r="H512" i="10"/>
  <c r="I506" i="10"/>
  <c r="I507" i="10"/>
  <c r="H507" i="10"/>
  <c r="G507" i="10"/>
  <c r="N507" i="10" s="1"/>
  <c r="L507" i="10" s="1"/>
  <c r="E527" i="12" s="1"/>
  <c r="J510" i="10"/>
  <c r="J505" i="10"/>
  <c r="J511" i="10"/>
  <c r="I511" i="10"/>
  <c r="H707" i="10"/>
  <c r="J705" i="10"/>
  <c r="I705" i="10"/>
  <c r="H705" i="10"/>
  <c r="J707" i="10"/>
  <c r="I706" i="10"/>
  <c r="I707" i="10"/>
  <c r="H706" i="10"/>
  <c r="G431" i="10"/>
  <c r="D451" i="12" s="1"/>
  <c r="I318" i="10"/>
  <c r="H318" i="10"/>
  <c r="G318" i="10"/>
  <c r="J318" i="10"/>
  <c r="H692" i="10"/>
  <c r="J695" i="10"/>
  <c r="J691" i="10"/>
  <c r="I695" i="10"/>
  <c r="I691" i="10"/>
  <c r="J694" i="10"/>
  <c r="J690" i="10"/>
  <c r="J692" i="10"/>
  <c r="I692" i="10"/>
  <c r="J652" i="10"/>
  <c r="J648" i="10"/>
  <c r="I652" i="10"/>
  <c r="I648" i="10"/>
  <c r="J656" i="10"/>
  <c r="J651" i="10"/>
  <c r="J647" i="10"/>
  <c r="G655" i="10"/>
  <c r="D675" i="12" s="1"/>
  <c r="J653" i="10"/>
  <c r="J649" i="10"/>
  <c r="J645" i="10"/>
  <c r="J403" i="10"/>
  <c r="I403" i="10"/>
  <c r="H403" i="10"/>
  <c r="J481" i="10"/>
  <c r="J444" i="10"/>
  <c r="I444" i="10"/>
  <c r="H444" i="10"/>
  <c r="G444" i="10"/>
  <c r="O233" i="10"/>
  <c r="O183" i="10"/>
  <c r="G455" i="10"/>
  <c r="J608" i="10"/>
  <c r="H608" i="10"/>
  <c r="J637" i="10"/>
  <c r="I637" i="10"/>
  <c r="J643" i="10"/>
  <c r="J639" i="10"/>
  <c r="H635" i="10"/>
  <c r="H637" i="10"/>
  <c r="I643" i="10"/>
  <c r="I639" i="10"/>
  <c r="J634" i="10"/>
  <c r="J633" i="10"/>
  <c r="J642" i="10"/>
  <c r="J638" i="10"/>
  <c r="H634" i="10"/>
  <c r="I644" i="10"/>
  <c r="J640" i="10"/>
  <c r="H644" i="10"/>
  <c r="H617" i="10"/>
  <c r="I530" i="10"/>
  <c r="I525" i="10"/>
  <c r="I521" i="10"/>
  <c r="H530" i="10"/>
  <c r="H525" i="10"/>
  <c r="H521" i="10"/>
  <c r="J529" i="10"/>
  <c r="I529" i="10"/>
  <c r="I528" i="10"/>
  <c r="I524" i="10"/>
  <c r="I520" i="10"/>
  <c r="H679" i="10"/>
  <c r="J679" i="10"/>
  <c r="I679" i="10"/>
  <c r="I546" i="10"/>
  <c r="I547" i="10"/>
  <c r="H547" i="10"/>
  <c r="I550" i="10"/>
  <c r="J502" i="10"/>
  <c r="J498" i="10"/>
  <c r="I502" i="10"/>
  <c r="J501" i="10"/>
  <c r="J497" i="10"/>
  <c r="J604" i="10"/>
  <c r="I604" i="10"/>
  <c r="H605" i="10"/>
  <c r="H600" i="10"/>
  <c r="H596" i="10"/>
  <c r="H604" i="10"/>
  <c r="J603" i="10"/>
  <c r="J599" i="10"/>
  <c r="J595" i="10"/>
  <c r="H603" i="10"/>
  <c r="H599" i="10"/>
  <c r="H595" i="10"/>
  <c r="J381" i="10"/>
  <c r="I381" i="10"/>
  <c r="H381" i="10"/>
  <c r="G381" i="10"/>
  <c r="B401" i="12" s="1"/>
  <c r="J489" i="10"/>
  <c r="I516" i="10"/>
  <c r="H516" i="10"/>
  <c r="I515" i="10"/>
  <c r="I751" i="10"/>
  <c r="G570" i="10"/>
  <c r="G541" i="10"/>
  <c r="C561" i="12" s="1"/>
  <c r="J192" i="10"/>
  <c r="I259" i="10"/>
  <c r="I329" i="10"/>
  <c r="O415" i="10"/>
  <c r="J494" i="10"/>
  <c r="I581" i="10"/>
  <c r="H655" i="10"/>
  <c r="O718" i="10"/>
  <c r="I538" i="10"/>
  <c r="H538" i="10"/>
  <c r="I537" i="10"/>
  <c r="H742" i="10"/>
  <c r="J751" i="10"/>
  <c r="J259" i="10"/>
  <c r="I352" i="10"/>
  <c r="H431" i="10"/>
  <c r="O494" i="10"/>
  <c r="J581" i="10"/>
  <c r="I655" i="10"/>
  <c r="O746" i="10"/>
  <c r="H704" i="10"/>
  <c r="H713" i="10"/>
  <c r="H722" i="10"/>
  <c r="J733" i="10"/>
  <c r="I742" i="10"/>
  <c r="H752" i="10"/>
  <c r="G707" i="10"/>
  <c r="H196" i="10"/>
  <c r="H266" i="10"/>
  <c r="J352" i="10"/>
  <c r="I431" i="10"/>
  <c r="H518" i="10"/>
  <c r="O581" i="10"/>
  <c r="J655" i="10"/>
  <c r="H759" i="10"/>
  <c r="G700" i="10"/>
  <c r="B720" i="12" s="1"/>
  <c r="G592" i="10"/>
  <c r="I196" i="10"/>
  <c r="H289" i="10"/>
  <c r="O352" i="10"/>
  <c r="J431" i="10"/>
  <c r="I518" i="10"/>
  <c r="H592" i="10"/>
  <c r="J683" i="10"/>
  <c r="I759" i="10"/>
  <c r="G644" i="10"/>
  <c r="C664" i="12" s="1"/>
  <c r="G529" i="10"/>
  <c r="B549" i="12" s="1"/>
  <c r="J196" i="10"/>
  <c r="I289" i="10"/>
  <c r="H368" i="10"/>
  <c r="J448" i="10"/>
  <c r="J518" i="10"/>
  <c r="I592" i="10"/>
  <c r="O683" i="10"/>
  <c r="J759" i="10"/>
  <c r="G620" i="10"/>
  <c r="N620" i="10" s="1"/>
  <c r="V258" i="4" s="1"/>
  <c r="G637" i="10"/>
  <c r="D657" i="12" s="1"/>
  <c r="G466" i="10"/>
  <c r="D486" i="12" s="1"/>
  <c r="J289" i="10"/>
  <c r="I368" i="10"/>
  <c r="H455" i="10"/>
  <c r="O518" i="10"/>
  <c r="I620" i="10"/>
  <c r="H696" i="10"/>
  <c r="O759" i="10"/>
  <c r="O298" i="10"/>
  <c r="O361" i="10"/>
  <c r="O235" i="10"/>
  <c r="O278" i="10"/>
  <c r="O404" i="10"/>
  <c r="O467" i="10"/>
  <c r="O215" i="10"/>
  <c r="O341" i="10"/>
  <c r="O695" i="10"/>
  <c r="O602" i="10"/>
  <c r="O506" i="10"/>
  <c r="O665" i="10"/>
  <c r="O569" i="10"/>
  <c r="O476" i="10"/>
  <c r="O380" i="10"/>
  <c r="O758" i="10"/>
  <c r="O728" i="10"/>
  <c r="O632" i="10"/>
  <c r="O539" i="10"/>
  <c r="O443" i="10"/>
  <c r="O350" i="10"/>
  <c r="O254" i="10"/>
  <c r="O161" i="10"/>
  <c r="O317" i="10"/>
  <c r="O287" i="10"/>
  <c r="O413" i="10"/>
  <c r="O224" i="10"/>
  <c r="O128" i="10"/>
  <c r="O191" i="10"/>
  <c r="O722" i="10"/>
  <c r="O533" i="10"/>
  <c r="O344" i="10"/>
  <c r="O596" i="10"/>
  <c r="O407" i="10"/>
  <c r="O659" i="10"/>
  <c r="O470" i="10"/>
  <c r="O281" i="10"/>
  <c r="O218" i="10"/>
  <c r="O697" i="10"/>
  <c r="O508" i="10"/>
  <c r="O319" i="10"/>
  <c r="O571" i="10"/>
  <c r="O382" i="10"/>
  <c r="O634" i="10"/>
  <c r="O445" i="10"/>
  <c r="O193" i="10"/>
  <c r="O256" i="10"/>
  <c r="O710" i="10"/>
  <c r="O521" i="10"/>
  <c r="O332" i="10"/>
  <c r="O584" i="10"/>
  <c r="O395" i="10"/>
  <c r="O647" i="10"/>
  <c r="O458" i="10"/>
  <c r="O269" i="10"/>
  <c r="O752" i="10"/>
  <c r="O626" i="10"/>
  <c r="O437" i="10"/>
  <c r="N437" i="10" s="1"/>
  <c r="F457" i="12" s="1"/>
  <c r="O248" i="10"/>
  <c r="N248" i="10" s="1"/>
  <c r="K248" i="10" s="1"/>
  <c r="O689" i="10"/>
  <c r="N689" i="10" s="1"/>
  <c r="O500" i="10"/>
  <c r="N500" i="10" s="1"/>
  <c r="O311" i="10"/>
  <c r="N311" i="10" s="1"/>
  <c r="F331" i="12" s="1"/>
  <c r="O374" i="10"/>
  <c r="N374" i="10" s="1"/>
  <c r="L374" i="10" s="1"/>
  <c r="E394" i="12" s="1"/>
  <c r="O185" i="10"/>
  <c r="O685" i="10"/>
  <c r="O496" i="10"/>
  <c r="O307" i="10"/>
  <c r="O559" i="10"/>
  <c r="O370" i="10"/>
  <c r="O748" i="10"/>
  <c r="O622" i="10"/>
  <c r="O433" i="10"/>
  <c r="O244" i="10"/>
  <c r="O181" i="10"/>
  <c r="O609" i="10"/>
  <c r="O420" i="10"/>
  <c r="O231" i="10"/>
  <c r="O672" i="10"/>
  <c r="O483" i="10"/>
  <c r="O735" i="10"/>
  <c r="O546" i="10"/>
  <c r="O357" i="10"/>
  <c r="O294" i="10"/>
  <c r="O168" i="10"/>
  <c r="O680" i="10"/>
  <c r="O491" i="10"/>
  <c r="O302" i="10"/>
  <c r="O743" i="10"/>
  <c r="O554" i="10"/>
  <c r="O365" i="10"/>
  <c r="O617" i="10"/>
  <c r="O428" i="10"/>
  <c r="O646" i="10"/>
  <c r="O457" i="10"/>
  <c r="O268" i="10"/>
  <c r="N268" i="10" s="1"/>
  <c r="O621" i="10"/>
  <c r="O432" i="10"/>
  <c r="O243" i="10"/>
  <c r="O709" i="10"/>
  <c r="O520" i="10"/>
  <c r="O331" i="10"/>
  <c r="O684" i="10"/>
  <c r="O495" i="10"/>
  <c r="O583" i="10"/>
  <c r="O394" i="10"/>
  <c r="O558" i="10"/>
  <c r="O306" i="10"/>
  <c r="O142" i="10"/>
  <c r="O369" i="10"/>
  <c r="O180" i="10"/>
  <c r="O205" i="10"/>
  <c r="O747" i="10"/>
  <c r="O690" i="10"/>
  <c r="O651" i="10"/>
  <c r="O501" i="10"/>
  <c r="O462" i="10"/>
  <c r="O312" i="10"/>
  <c r="O714" i="10"/>
  <c r="O564" i="10"/>
  <c r="O525" i="10"/>
  <c r="O375" i="10"/>
  <c r="O336" i="10"/>
  <c r="O753" i="10"/>
  <c r="O627" i="10"/>
  <c r="O588" i="10"/>
  <c r="O438" i="10"/>
  <c r="O399" i="10"/>
  <c r="O249" i="10"/>
  <c r="O210" i="10"/>
  <c r="O273" i="10"/>
  <c r="O668" i="10"/>
  <c r="O479" i="10"/>
  <c r="O290" i="10"/>
  <c r="O731" i="10"/>
  <c r="O542" i="10"/>
  <c r="O353" i="10"/>
  <c r="O605" i="10"/>
  <c r="O416" i="10"/>
  <c r="O227" i="10"/>
  <c r="O164" i="10"/>
  <c r="O727" i="10"/>
  <c r="O538" i="10"/>
  <c r="O349" i="10"/>
  <c r="O601" i="10"/>
  <c r="O412" i="10"/>
  <c r="O664" i="10"/>
  <c r="O475" i="10"/>
  <c r="O286" i="10"/>
  <c r="O160" i="10"/>
  <c r="O223" i="10"/>
  <c r="O744" i="10"/>
  <c r="O555" i="10"/>
  <c r="O366" i="10"/>
  <c r="O599" i="10"/>
  <c r="O410" i="10"/>
  <c r="O618" i="10"/>
  <c r="O429" i="10"/>
  <c r="O662" i="10"/>
  <c r="O473" i="10"/>
  <c r="O681" i="10"/>
  <c r="O492" i="10"/>
  <c r="O303" i="10"/>
  <c r="O725" i="10"/>
  <c r="O536" i="10"/>
  <c r="O240" i="10"/>
  <c r="O177" i="10"/>
  <c r="O347" i="10"/>
  <c r="O284" i="10"/>
  <c r="O221" i="10"/>
  <c r="O158" i="10"/>
  <c r="O663" i="10"/>
  <c r="O474" i="10"/>
  <c r="O285" i="10"/>
  <c r="O726" i="10"/>
  <c r="O537" i="10"/>
  <c r="O348" i="10"/>
  <c r="O600" i="10"/>
  <c r="O411" i="10"/>
  <c r="O222" i="10"/>
  <c r="O614" i="10"/>
  <c r="O425" i="10"/>
  <c r="O677" i="10"/>
  <c r="O488" i="10"/>
  <c r="O299" i="10"/>
  <c r="O740" i="10"/>
  <c r="O551" i="10"/>
  <c r="O362" i="10"/>
  <c r="O173" i="10"/>
  <c r="O236" i="10"/>
  <c r="O737" i="10"/>
  <c r="O624" i="10"/>
  <c r="O548" i="10"/>
  <c r="O435" i="10"/>
  <c r="O687" i="10"/>
  <c r="O611" i="10"/>
  <c r="O498" i="10"/>
  <c r="O422" i="10"/>
  <c r="O674" i="10"/>
  <c r="O561" i="10"/>
  <c r="O485" i="10"/>
  <c r="O372" i="10"/>
  <c r="O296" i="10"/>
  <c r="O750" i="10"/>
  <c r="O309" i="10"/>
  <c r="O359" i="10"/>
  <c r="O246" i="10"/>
  <c r="O582" i="10"/>
  <c r="O393" i="10"/>
  <c r="O645" i="10"/>
  <c r="O456" i="10"/>
  <c r="O708" i="10"/>
  <c r="O519" i="10"/>
  <c r="O330" i="10"/>
  <c r="O141" i="10"/>
  <c r="O267" i="10"/>
  <c r="N267" i="10" s="1"/>
  <c r="L267" i="10" s="1"/>
  <c r="E287" i="12" s="1"/>
  <c r="O204" i="10"/>
  <c r="O678" i="10"/>
  <c r="O489" i="10"/>
  <c r="O575" i="10"/>
  <c r="O386" i="10"/>
  <c r="O741" i="10"/>
  <c r="O552" i="10"/>
  <c r="O638" i="10"/>
  <c r="O449" i="10"/>
  <c r="O260" i="10"/>
  <c r="O615" i="10"/>
  <c r="O426" i="10"/>
  <c r="O237" i="10"/>
  <c r="O701" i="10"/>
  <c r="O512" i="10"/>
  <c r="O323" i="10"/>
  <c r="O197" i="10"/>
  <c r="O174" i="10"/>
  <c r="O300" i="10"/>
  <c r="O363" i="10"/>
  <c r="O641" i="10"/>
  <c r="O452" i="10"/>
  <c r="O704" i="10"/>
  <c r="O515" i="10"/>
  <c r="O326" i="10"/>
  <c r="O578" i="10"/>
  <c r="O389" i="10"/>
  <c r="O430" i="10"/>
  <c r="N430" i="10" s="1"/>
  <c r="O562" i="10"/>
  <c r="N562" i="10" s="1"/>
  <c r="F582" i="12" s="1"/>
  <c r="O373" i="10"/>
  <c r="N373" i="10" s="1"/>
  <c r="O751" i="10"/>
  <c r="N751" i="10" s="1"/>
  <c r="F771" i="12" s="1"/>
  <c r="O682" i="10"/>
  <c r="N682" i="10" s="1"/>
  <c r="M682" i="10" s="1"/>
  <c r="O493" i="10"/>
  <c r="N493" i="10" s="1"/>
  <c r="F513" i="12" s="1"/>
  <c r="O625" i="10"/>
  <c r="O745" i="10"/>
  <c r="N745" i="10" s="1"/>
  <c r="K745" i="10" s="1"/>
  <c r="O556" i="10"/>
  <c r="N556" i="10" s="1"/>
  <c r="K556" i="10" s="1"/>
  <c r="O688" i="10"/>
  <c r="N688" i="10" s="1"/>
  <c r="O184" i="10"/>
  <c r="O247" i="10"/>
  <c r="N247" i="10" s="1"/>
  <c r="L247" i="10" s="1"/>
  <c r="E267" i="12" s="1"/>
  <c r="O310" i="10"/>
  <c r="N310" i="10" s="1"/>
  <c r="O241" i="10"/>
  <c r="N241" i="10" s="1"/>
  <c r="M241" i="10" s="1"/>
  <c r="O673" i="10"/>
  <c r="O484" i="10"/>
  <c r="O295" i="10"/>
  <c r="O736" i="10"/>
  <c r="O547" i="10"/>
  <c r="O358" i="10"/>
  <c r="O610" i="10"/>
  <c r="O421" i="10"/>
  <c r="O232" i="10"/>
  <c r="O169" i="10"/>
  <c r="O585" i="10"/>
  <c r="O648" i="10"/>
  <c r="O459" i="10"/>
  <c r="O711" i="10"/>
  <c r="O522" i="10"/>
  <c r="O333" i="10"/>
  <c r="O396" i="10"/>
  <c r="O270" i="10"/>
  <c r="O717" i="10"/>
  <c r="O528" i="10"/>
  <c r="O339" i="10"/>
  <c r="O591" i="10"/>
  <c r="O402" i="10"/>
  <c r="O654" i="10"/>
  <c r="O465" i="10"/>
  <c r="O276" i="10"/>
  <c r="O213" i="10"/>
  <c r="O732" i="10"/>
  <c r="O543" i="10"/>
  <c r="O354" i="10"/>
  <c r="O606" i="10"/>
  <c r="O417" i="10"/>
  <c r="O669" i="10"/>
  <c r="O480" i="10"/>
  <c r="O291" i="10"/>
  <c r="O228" i="10"/>
  <c r="O165" i="10"/>
  <c r="O757" i="10"/>
  <c r="O631" i="10"/>
  <c r="O442" i="10"/>
  <c r="O694" i="10"/>
  <c r="O505" i="10"/>
  <c r="O316" i="10"/>
  <c r="O568" i="10"/>
  <c r="O379" i="10"/>
  <c r="O253" i="10"/>
  <c r="O587" i="10"/>
  <c r="O398" i="10"/>
  <c r="O209" i="10"/>
  <c r="O650" i="10"/>
  <c r="O461" i="10"/>
  <c r="O713" i="10"/>
  <c r="O524" i="10"/>
  <c r="O335" i="10"/>
  <c r="O272" i="10"/>
  <c r="O607" i="10"/>
  <c r="O418" i="10"/>
  <c r="O670" i="10"/>
  <c r="O481" i="10"/>
  <c r="O733" i="10"/>
  <c r="O544" i="10"/>
  <c r="O355" i="10"/>
  <c r="O229" i="10"/>
  <c r="O292" i="10"/>
  <c r="O653" i="10"/>
  <c r="O464" i="10"/>
  <c r="O275" i="10"/>
  <c r="O716" i="10"/>
  <c r="O527" i="10"/>
  <c r="O590" i="10"/>
  <c r="O212" i="10"/>
  <c r="O149" i="10"/>
  <c r="O401" i="10"/>
  <c r="O338" i="10"/>
  <c r="O616" i="10"/>
  <c r="O679" i="10"/>
  <c r="O490" i="10"/>
  <c r="O553" i="10"/>
  <c r="O742" i="10"/>
  <c r="O560" i="10"/>
  <c r="O371" i="10"/>
  <c r="O749" i="10"/>
  <c r="O623" i="10"/>
  <c r="O434" i="10"/>
  <c r="O686" i="10"/>
  <c r="O497" i="10"/>
  <c r="O308" i="10"/>
  <c r="O245" i="10"/>
  <c r="O739" i="10"/>
  <c r="O550" i="10"/>
  <c r="O613" i="10"/>
  <c r="O424" i="10"/>
  <c r="O676" i="10"/>
  <c r="O487" i="10"/>
  <c r="O639" i="10"/>
  <c r="O450" i="10"/>
  <c r="O692" i="10"/>
  <c r="O503" i="10"/>
  <c r="O314" i="10"/>
  <c r="O702" i="10"/>
  <c r="O513" i="10"/>
  <c r="O566" i="10"/>
  <c r="O377" i="10"/>
  <c r="O576" i="10"/>
  <c r="O387" i="10"/>
  <c r="O198" i="10"/>
  <c r="O755" i="10"/>
  <c r="O629" i="10"/>
  <c r="O261" i="10"/>
  <c r="O440" i="10"/>
  <c r="O188" i="10"/>
  <c r="O324" i="10"/>
  <c r="O251" i="10"/>
  <c r="O135" i="10"/>
  <c r="O661" i="10"/>
  <c r="O472" i="10"/>
  <c r="O705" i="10"/>
  <c r="O516" i="10"/>
  <c r="O327" i="10"/>
  <c r="O724" i="10"/>
  <c r="O535" i="10"/>
  <c r="O579" i="10"/>
  <c r="O390" i="10"/>
  <c r="O598" i="10"/>
  <c r="O409" i="10"/>
  <c r="O220" i="10"/>
  <c r="O642" i="10"/>
  <c r="O453" i="10"/>
  <c r="O264" i="10"/>
  <c r="O201" i="10"/>
  <c r="O138" i="10"/>
  <c r="O346" i="10"/>
  <c r="O157" i="10"/>
  <c r="O283" i="10"/>
  <c r="O658" i="10"/>
  <c r="O469" i="10"/>
  <c r="O280" i="10"/>
  <c r="O721" i="10"/>
  <c r="O532" i="10"/>
  <c r="O595" i="10"/>
  <c r="O217" i="10"/>
  <c r="O406" i="10"/>
  <c r="O343" i="10"/>
  <c r="O754" i="10"/>
  <c r="O715" i="10"/>
  <c r="O565" i="10"/>
  <c r="O526" i="10"/>
  <c r="O628" i="10"/>
  <c r="O589" i="10"/>
  <c r="O439" i="10"/>
  <c r="O400" i="10"/>
  <c r="O691" i="10"/>
  <c r="O652" i="10"/>
  <c r="O502" i="10"/>
  <c r="O463" i="10"/>
  <c r="O313" i="10"/>
  <c r="O274" i="10"/>
  <c r="O376" i="10"/>
  <c r="O337" i="10"/>
  <c r="O250" i="10"/>
  <c r="O124" i="10"/>
  <c r="O211" i="10"/>
  <c r="O148" i="10"/>
  <c r="O187" i="10"/>
  <c r="O720" i="10"/>
  <c r="O531" i="10"/>
  <c r="O594" i="10"/>
  <c r="O405" i="10"/>
  <c r="O657" i="10"/>
  <c r="O468" i="10"/>
  <c r="O279" i="10"/>
  <c r="O342" i="10"/>
  <c r="O216" i="10"/>
  <c r="O153" i="10"/>
  <c r="O567" i="10"/>
  <c r="O378" i="10"/>
  <c r="O189" i="10"/>
  <c r="O756" i="10"/>
  <c r="O630" i="10"/>
  <c r="O441" i="10"/>
  <c r="O693" i="10"/>
  <c r="O504" i="10"/>
  <c r="O315" i="10"/>
  <c r="O252" i="10"/>
  <c r="O675" i="10"/>
  <c r="O486" i="10"/>
  <c r="O738" i="10"/>
  <c r="O549" i="10"/>
  <c r="O360" i="10"/>
  <c r="O612" i="10"/>
  <c r="O423" i="10"/>
  <c r="O597" i="10"/>
  <c r="O408" i="10"/>
  <c r="O660" i="10"/>
  <c r="O471" i="10"/>
  <c r="O282" i="10"/>
  <c r="O723" i="10"/>
  <c r="O534" i="10"/>
  <c r="O345" i="10"/>
  <c r="O156" i="10"/>
  <c r="O219" i="10"/>
  <c r="O580" i="10"/>
  <c r="O712" i="10"/>
  <c r="O523" i="10"/>
  <c r="O334" i="10"/>
  <c r="O643" i="10"/>
  <c r="O454" i="10"/>
  <c r="O586" i="10"/>
  <c r="O397" i="10"/>
  <c r="O706" i="10"/>
  <c r="O517" i="10"/>
  <c r="O328" i="10"/>
  <c r="O139" i="10"/>
  <c r="O649" i="10"/>
  <c r="O391" i="10"/>
  <c r="O202" i="10"/>
  <c r="O271" i="10"/>
  <c r="O460" i="10"/>
  <c r="O265" i="10"/>
  <c r="O208" i="10"/>
  <c r="O145" i="10"/>
  <c r="O82" i="10"/>
  <c r="O572" i="10"/>
  <c r="O383" i="10"/>
  <c r="O635" i="10"/>
  <c r="O446" i="10"/>
  <c r="O698" i="10"/>
  <c r="O509" i="10"/>
  <c r="O320" i="10"/>
  <c r="O656" i="10"/>
  <c r="O719" i="10"/>
  <c r="O530" i="10"/>
  <c r="O593" i="10"/>
  <c r="O729" i="10"/>
  <c r="O540" i="10"/>
  <c r="O351" i="10"/>
  <c r="O603" i="10"/>
  <c r="O414" i="10"/>
  <c r="O666" i="10"/>
  <c r="O477" i="10"/>
  <c r="O288" i="10"/>
  <c r="O225" i="10"/>
  <c r="O734" i="10"/>
  <c r="O545" i="10"/>
  <c r="O356" i="10"/>
  <c r="O608" i="10"/>
  <c r="O419" i="10"/>
  <c r="O671" i="10"/>
  <c r="O293" i="10"/>
  <c r="O482" i="10"/>
  <c r="O230" i="10"/>
  <c r="O577" i="10"/>
  <c r="O388" i="10"/>
  <c r="O640" i="10"/>
  <c r="O451" i="10"/>
  <c r="O703" i="10"/>
  <c r="O325" i="10"/>
  <c r="O136" i="10"/>
  <c r="O262" i="10"/>
  <c r="O514" i="10"/>
  <c r="O199" i="10"/>
  <c r="N759" i="10"/>
  <c r="N192" i="10"/>
  <c r="N129" i="10"/>
  <c r="M129" i="10" s="1"/>
  <c r="B149" i="12"/>
  <c r="C149" i="12"/>
  <c r="D149" i="12"/>
  <c r="N66" i="10"/>
  <c r="K66" i="10"/>
  <c r="B86" i="12"/>
  <c r="C86" i="12"/>
  <c r="D86" i="12"/>
  <c r="N683" i="10"/>
  <c r="V283" i="4" s="1"/>
  <c r="B451" i="12"/>
  <c r="B262" i="12"/>
  <c r="C262" i="12"/>
  <c r="N116" i="10"/>
  <c r="F136" i="12" s="1"/>
  <c r="B136" i="12"/>
  <c r="N109" i="10"/>
  <c r="B129" i="12"/>
  <c r="C129" i="12"/>
  <c r="D129" i="12"/>
  <c r="N322" i="10"/>
  <c r="F342" i="12" s="1"/>
  <c r="B342" i="12"/>
  <c r="C342" i="12"/>
  <c r="D342" i="12"/>
  <c r="C286" i="12"/>
  <c r="D286" i="12"/>
  <c r="B223" i="12"/>
  <c r="D223" i="12"/>
  <c r="N133" i="10"/>
  <c r="B153" i="12"/>
  <c r="C153" i="12"/>
  <c r="D153" i="12"/>
  <c r="N77" i="10"/>
  <c r="B97" i="12"/>
  <c r="C97" i="12"/>
  <c r="D97" i="12"/>
  <c r="N754" i="10"/>
  <c r="K754" i="10" s="1"/>
  <c r="B774" i="12"/>
  <c r="C774" i="12"/>
  <c r="D774" i="12"/>
  <c r="N753" i="10"/>
  <c r="K753" i="10" s="1"/>
  <c r="B773" i="12"/>
  <c r="C773" i="12"/>
  <c r="C769" i="12"/>
  <c r="D769" i="12"/>
  <c r="N747" i="10"/>
  <c r="B767" i="12"/>
  <c r="C767" i="12"/>
  <c r="D767" i="12"/>
  <c r="C714" i="12"/>
  <c r="D714" i="12"/>
  <c r="N691" i="10"/>
  <c r="B711" i="12"/>
  <c r="D711" i="12"/>
  <c r="B708" i="12"/>
  <c r="C708" i="12"/>
  <c r="D708" i="12"/>
  <c r="N686" i="10"/>
  <c r="N632" i="10"/>
  <c r="F652" i="12" s="1"/>
  <c r="B652" i="12"/>
  <c r="C652" i="12"/>
  <c r="D652" i="12"/>
  <c r="B646" i="12"/>
  <c r="C646" i="12"/>
  <c r="D646" i="12"/>
  <c r="B645" i="12"/>
  <c r="C645" i="12"/>
  <c r="D645" i="12"/>
  <c r="D643" i="12"/>
  <c r="N568" i="10"/>
  <c r="B588" i="12"/>
  <c r="C588" i="12"/>
  <c r="D588" i="12"/>
  <c r="N567" i="10"/>
  <c r="K567" i="10" s="1"/>
  <c r="B587" i="12"/>
  <c r="D587" i="12"/>
  <c r="N565" i="10"/>
  <c r="K565" i="10" s="1"/>
  <c r="C583" i="12"/>
  <c r="D583" i="12"/>
  <c r="N558" i="10"/>
  <c r="L558" i="10" s="1"/>
  <c r="E578" i="12" s="1"/>
  <c r="B578" i="12"/>
  <c r="C578" i="12"/>
  <c r="D578" i="12"/>
  <c r="B522" i="12"/>
  <c r="N442" i="10"/>
  <c r="B462" i="12"/>
  <c r="N441" i="10"/>
  <c r="L441" i="10" s="1"/>
  <c r="E461" i="12" s="1"/>
  <c r="B461" i="12"/>
  <c r="N439" i="10"/>
  <c r="B459" i="12"/>
  <c r="C459" i="12"/>
  <c r="D459" i="12"/>
  <c r="B457" i="12"/>
  <c r="C457" i="12"/>
  <c r="D457" i="12"/>
  <c r="C455" i="12"/>
  <c r="C454" i="12"/>
  <c r="D454" i="12"/>
  <c r="B394" i="12"/>
  <c r="C394" i="12"/>
  <c r="D394" i="12"/>
  <c r="N372" i="10"/>
  <c r="K372" i="10" s="1"/>
  <c r="B392" i="12"/>
  <c r="C392" i="12"/>
  <c r="D392" i="12"/>
  <c r="D391" i="12"/>
  <c r="C336" i="12"/>
  <c r="N315" i="10"/>
  <c r="K315" i="10" s="1"/>
  <c r="B335" i="12"/>
  <c r="D335" i="12"/>
  <c r="B333" i="12"/>
  <c r="C333" i="12"/>
  <c r="B331" i="12"/>
  <c r="C331" i="12"/>
  <c r="D331" i="12"/>
  <c r="B330" i="12"/>
  <c r="C329" i="12"/>
  <c r="N306" i="10"/>
  <c r="B326" i="12"/>
  <c r="C326" i="12"/>
  <c r="D326" i="12"/>
  <c r="C273" i="12"/>
  <c r="D273" i="12"/>
  <c r="N252" i="10"/>
  <c r="K252" i="10" s="1"/>
  <c r="B272" i="12"/>
  <c r="C272" i="12"/>
  <c r="D272" i="12"/>
  <c r="N251" i="10"/>
  <c r="F271" i="12" s="1"/>
  <c r="B271" i="12"/>
  <c r="C271" i="12"/>
  <c r="D271" i="12"/>
  <c r="N250" i="10"/>
  <c r="K250" i="10" s="1"/>
  <c r="B270" i="12"/>
  <c r="N245" i="10"/>
  <c r="V88" i="5" s="1"/>
  <c r="B265" i="12"/>
  <c r="C265" i="12"/>
  <c r="D265" i="12"/>
  <c r="N191" i="10"/>
  <c r="K191" i="10" s="1"/>
  <c r="B211" i="12"/>
  <c r="C211" i="12"/>
  <c r="D211" i="12"/>
  <c r="N190" i="10"/>
  <c r="K190" i="10" s="1"/>
  <c r="B210" i="12"/>
  <c r="C210" i="12"/>
  <c r="D210" i="12"/>
  <c r="N189" i="10"/>
  <c r="K189" i="10" s="1"/>
  <c r="B209" i="12"/>
  <c r="C209" i="12"/>
  <c r="D209" i="12"/>
  <c r="N187" i="10"/>
  <c r="K187" i="10" s="1"/>
  <c r="B207" i="12"/>
  <c r="C207" i="12"/>
  <c r="D207" i="12"/>
  <c r="C205" i="12"/>
  <c r="D205" i="12"/>
  <c r="N180" i="10"/>
  <c r="K180" i="10" s="1"/>
  <c r="B200" i="12"/>
  <c r="C200" i="12"/>
  <c r="D200" i="12"/>
  <c r="N128" i="10"/>
  <c r="K128" i="10"/>
  <c r="N127" i="10"/>
  <c r="K127" i="10" s="1"/>
  <c r="B147" i="12"/>
  <c r="D147" i="12"/>
  <c r="N126" i="10"/>
  <c r="K126" i="10" s="1"/>
  <c r="B146" i="12"/>
  <c r="C146" i="12"/>
  <c r="D146" i="12"/>
  <c r="N125" i="10"/>
  <c r="K125" i="10" s="1"/>
  <c r="B145" i="12"/>
  <c r="C145" i="12"/>
  <c r="D145" i="12"/>
  <c r="N124" i="10"/>
  <c r="K124" i="10" s="1"/>
  <c r="B144" i="12"/>
  <c r="C144" i="12"/>
  <c r="D142" i="12"/>
  <c r="N121" i="10"/>
  <c r="K121" i="10" s="1"/>
  <c r="B141" i="12"/>
  <c r="C141" i="12"/>
  <c r="D141" i="12"/>
  <c r="N120" i="10"/>
  <c r="K120" i="10" s="1"/>
  <c r="B140" i="12"/>
  <c r="D140" i="12"/>
  <c r="N119" i="10"/>
  <c r="K119" i="10"/>
  <c r="B139" i="12"/>
  <c r="C139" i="12"/>
  <c r="D139" i="12"/>
  <c r="N117" i="10"/>
  <c r="K117" i="10" s="1"/>
  <c r="B137" i="12"/>
  <c r="N65" i="10"/>
  <c r="K65" i="10"/>
  <c r="B85" i="12"/>
  <c r="C85" i="12"/>
  <c r="D85" i="12"/>
  <c r="N64" i="10"/>
  <c r="K64" i="10"/>
  <c r="B84" i="12"/>
  <c r="C84" i="12"/>
  <c r="D84" i="12"/>
  <c r="N63" i="10"/>
  <c r="K63" i="10"/>
  <c r="B83" i="12"/>
  <c r="C83" i="12"/>
  <c r="D83" i="12"/>
  <c r="N62" i="10"/>
  <c r="K62" i="10"/>
  <c r="B82" i="12"/>
  <c r="C82" i="12"/>
  <c r="D82" i="12"/>
  <c r="N61" i="10"/>
  <c r="K61" i="10"/>
  <c r="B81" i="12"/>
  <c r="C81" i="12"/>
  <c r="D81" i="12"/>
  <c r="N60" i="10"/>
  <c r="K60" i="10"/>
  <c r="B80" i="12"/>
  <c r="C80" i="12"/>
  <c r="D80" i="12"/>
  <c r="N59" i="10"/>
  <c r="K59" i="10"/>
  <c r="B79" i="12"/>
  <c r="C79" i="12"/>
  <c r="D79" i="12"/>
  <c r="N58" i="10"/>
  <c r="K58" i="10"/>
  <c r="B78" i="12"/>
  <c r="C78" i="12"/>
  <c r="D78" i="12"/>
  <c r="N57" i="10"/>
  <c r="K57" i="10"/>
  <c r="B77" i="12"/>
  <c r="C77" i="12"/>
  <c r="D77" i="12"/>
  <c r="N56" i="10"/>
  <c r="K56" i="10"/>
  <c r="B76" i="12"/>
  <c r="C76" i="12"/>
  <c r="D76" i="12"/>
  <c r="N55" i="10"/>
  <c r="K55" i="10"/>
  <c r="B75" i="12"/>
  <c r="C75" i="12"/>
  <c r="D75" i="12"/>
  <c r="N54" i="10"/>
  <c r="K54" i="10"/>
  <c r="B74" i="12"/>
  <c r="C74" i="12"/>
  <c r="D74" i="12"/>
  <c r="B764" i="12"/>
  <c r="C761" i="12"/>
  <c r="D761" i="12"/>
  <c r="N737" i="10"/>
  <c r="L737" i="10" s="1"/>
  <c r="E757" i="12" s="1"/>
  <c r="N736" i="10"/>
  <c r="B756" i="12"/>
  <c r="C756" i="12"/>
  <c r="D756" i="12"/>
  <c r="N734" i="10"/>
  <c r="M734" i="10" s="1"/>
  <c r="C754" i="12"/>
  <c r="B702" i="12"/>
  <c r="B700" i="12"/>
  <c r="N678" i="10"/>
  <c r="M678" i="10" s="1"/>
  <c r="B698" i="12"/>
  <c r="N677" i="10"/>
  <c r="K677" i="10" s="1"/>
  <c r="D695" i="12"/>
  <c r="D691" i="12"/>
  <c r="N618" i="10"/>
  <c r="V254" i="4" s="1"/>
  <c r="C638" i="12"/>
  <c r="D638" i="12"/>
  <c r="N617" i="10"/>
  <c r="K617" i="10" s="1"/>
  <c r="B637" i="12"/>
  <c r="C637" i="12"/>
  <c r="D637" i="12"/>
  <c r="N613" i="10"/>
  <c r="V245" i="4" s="1"/>
  <c r="B633" i="12"/>
  <c r="C633" i="12"/>
  <c r="D633" i="12"/>
  <c r="B632" i="12"/>
  <c r="C632" i="12"/>
  <c r="N610" i="10"/>
  <c r="F630" i="12" s="1"/>
  <c r="C630" i="12"/>
  <c r="D574" i="12"/>
  <c r="N551" i="10"/>
  <c r="F571" i="12" s="1"/>
  <c r="B571" i="12"/>
  <c r="D571" i="12"/>
  <c r="C569" i="12"/>
  <c r="D569" i="12"/>
  <c r="K493" i="10"/>
  <c r="B513" i="12"/>
  <c r="C513" i="12"/>
  <c r="D513" i="12"/>
  <c r="B511" i="12"/>
  <c r="C511" i="12"/>
  <c r="D511" i="12"/>
  <c r="N487" i="10"/>
  <c r="B449" i="12"/>
  <c r="N428" i="10"/>
  <c r="V177" i="4" s="1"/>
  <c r="B448" i="12"/>
  <c r="C448" i="12"/>
  <c r="D448" i="12"/>
  <c r="N427" i="10"/>
  <c r="M427" i="10" s="1"/>
  <c r="C447" i="12"/>
  <c r="D447" i="12"/>
  <c r="N425" i="10"/>
  <c r="M425" i="10" s="1"/>
  <c r="N366" i="10"/>
  <c r="K366" i="10" s="1"/>
  <c r="B386" i="12"/>
  <c r="C386" i="12"/>
  <c r="D386" i="12"/>
  <c r="N365" i="10"/>
  <c r="V152" i="4" s="1"/>
  <c r="C385" i="12"/>
  <c r="N364" i="10"/>
  <c r="K364" i="10" s="1"/>
  <c r="B384" i="12"/>
  <c r="C384" i="12"/>
  <c r="D384" i="12"/>
  <c r="N360" i="10"/>
  <c r="L360" i="10" s="1"/>
  <c r="E380" i="12" s="1"/>
  <c r="C380" i="12"/>
  <c r="N358" i="10"/>
  <c r="K358" i="10" s="1"/>
  <c r="B378" i="12"/>
  <c r="D378" i="12"/>
  <c r="N356" i="10"/>
  <c r="K356" i="10" s="1"/>
  <c r="B376" i="12"/>
  <c r="C376" i="12"/>
  <c r="D376" i="12"/>
  <c r="N303" i="10"/>
  <c r="N302" i="10"/>
  <c r="F322" i="12" s="1"/>
  <c r="C322" i="12"/>
  <c r="D322" i="12"/>
  <c r="N301" i="10"/>
  <c r="L301" i="10" s="1"/>
  <c r="E321" i="12" s="1"/>
  <c r="B321" i="12"/>
  <c r="D321" i="12"/>
  <c r="N299" i="10"/>
  <c r="L299" i="10" s="1"/>
  <c r="E319" i="12" s="1"/>
  <c r="B319" i="12"/>
  <c r="B315" i="12"/>
  <c r="N294" i="10"/>
  <c r="L294" i="10" s="1"/>
  <c r="E314" i="12" s="1"/>
  <c r="B314" i="12"/>
  <c r="D314" i="12"/>
  <c r="B261" i="12"/>
  <c r="C261" i="12"/>
  <c r="D261" i="12"/>
  <c r="N237" i="10"/>
  <c r="K237" i="10" s="1"/>
  <c r="B257" i="12"/>
  <c r="D257" i="12"/>
  <c r="N236" i="10"/>
  <c r="K236" i="10" s="1"/>
  <c r="C256" i="12"/>
  <c r="D256" i="12"/>
  <c r="C254" i="12"/>
  <c r="D254" i="12"/>
  <c r="N232" i="10"/>
  <c r="B252" i="12"/>
  <c r="C252" i="12"/>
  <c r="D252" i="12"/>
  <c r="N231" i="10"/>
  <c r="V88" i="4" s="1"/>
  <c r="B251" i="12"/>
  <c r="N230" i="10"/>
  <c r="F250" i="12" s="1"/>
  <c r="B250" i="12"/>
  <c r="C250" i="12"/>
  <c r="D250" i="12"/>
  <c r="N178" i="10"/>
  <c r="M178" i="10" s="1"/>
  <c r="C198" i="12"/>
  <c r="B196" i="12"/>
  <c r="N175" i="10"/>
  <c r="K175" i="10" s="1"/>
  <c r="B195" i="12"/>
  <c r="C195" i="12"/>
  <c r="D195" i="12"/>
  <c r="B194" i="12"/>
  <c r="C194" i="12"/>
  <c r="D194" i="12"/>
  <c r="D193" i="12"/>
  <c r="N172" i="10"/>
  <c r="V70" i="4" s="1"/>
  <c r="C192" i="12"/>
  <c r="N169" i="10"/>
  <c r="M169" i="10" s="1"/>
  <c r="B189" i="12"/>
  <c r="C189" i="12"/>
  <c r="D189" i="12"/>
  <c r="B188" i="12"/>
  <c r="B187" i="12"/>
  <c r="C187" i="12"/>
  <c r="D187" i="12"/>
  <c r="N115" i="10"/>
  <c r="V56" i="4" s="1"/>
  <c r="N114" i="10"/>
  <c r="B134" i="12"/>
  <c r="D134" i="12"/>
  <c r="N113" i="10"/>
  <c r="V52" i="4" s="1"/>
  <c r="B133" i="12"/>
  <c r="C133" i="12"/>
  <c r="D133" i="12"/>
  <c r="N112" i="10"/>
  <c r="M112" i="10" s="1"/>
  <c r="N110" i="10"/>
  <c r="K110" i="10"/>
  <c r="B130" i="12"/>
  <c r="C130" i="12"/>
  <c r="D130" i="12"/>
  <c r="N108" i="10"/>
  <c r="F128" i="12" s="1"/>
  <c r="B128" i="12"/>
  <c r="C128" i="12"/>
  <c r="D128" i="12"/>
  <c r="N107" i="10"/>
  <c r="V41" i="4" s="1"/>
  <c r="B127" i="12"/>
  <c r="N106" i="10"/>
  <c r="L106" i="10" s="1"/>
  <c r="E126" i="12" s="1"/>
  <c r="C126" i="12"/>
  <c r="N105" i="10"/>
  <c r="L105" i="10" s="1"/>
  <c r="E125" i="12" s="1"/>
  <c r="B125" i="12"/>
  <c r="C125" i="12"/>
  <c r="D125" i="12"/>
  <c r="N53" i="10"/>
  <c r="K53" i="10"/>
  <c r="B73" i="12"/>
  <c r="C73" i="12"/>
  <c r="D73" i="12"/>
  <c r="N52" i="10"/>
  <c r="K52" i="10"/>
  <c r="B72" i="12"/>
  <c r="C72" i="12"/>
  <c r="D72" i="12"/>
  <c r="N51" i="10"/>
  <c r="K51" i="10"/>
  <c r="B71" i="12"/>
  <c r="C71" i="12"/>
  <c r="D71" i="12"/>
  <c r="N50" i="10"/>
  <c r="K50" i="10"/>
  <c r="B70" i="12"/>
  <c r="C70" i="12"/>
  <c r="D70" i="12"/>
  <c r="N49" i="10"/>
  <c r="K49" i="10"/>
  <c r="B69" i="12"/>
  <c r="C69" i="12"/>
  <c r="D69" i="12"/>
  <c r="N48" i="10"/>
  <c r="K48" i="10"/>
  <c r="B68" i="12"/>
  <c r="C68" i="12"/>
  <c r="D68" i="12"/>
  <c r="N47" i="10"/>
  <c r="K47" i="10"/>
  <c r="B67" i="12"/>
  <c r="C67" i="12"/>
  <c r="D67" i="12"/>
  <c r="N46" i="10"/>
  <c r="K46" i="10"/>
  <c r="B66" i="12"/>
  <c r="C66" i="12"/>
  <c r="D66" i="12"/>
  <c r="N45" i="10"/>
  <c r="K45" i="10"/>
  <c r="B65" i="12"/>
  <c r="C65" i="12"/>
  <c r="D65" i="12"/>
  <c r="N44" i="10"/>
  <c r="K44" i="10"/>
  <c r="B64" i="12"/>
  <c r="C64" i="12"/>
  <c r="D64" i="12"/>
  <c r="N43" i="10"/>
  <c r="K43" i="10"/>
  <c r="B63" i="12"/>
  <c r="C63" i="12"/>
  <c r="D63" i="12"/>
  <c r="N42" i="10"/>
  <c r="K42" i="10"/>
  <c r="B62" i="12"/>
  <c r="C62" i="12"/>
  <c r="D62" i="12"/>
  <c r="N41" i="10"/>
  <c r="K41" i="10"/>
  <c r="B61" i="12"/>
  <c r="C61" i="12"/>
  <c r="D61" i="12"/>
  <c r="C752" i="12"/>
  <c r="D752" i="12"/>
  <c r="N731" i="10"/>
  <c r="L731" i="10" s="1"/>
  <c r="E751" i="12" s="1"/>
  <c r="B751" i="12"/>
  <c r="C751" i="12"/>
  <c r="D751" i="12"/>
  <c r="N728" i="10"/>
  <c r="L728" i="10" s="1"/>
  <c r="E748" i="12" s="1"/>
  <c r="B748" i="12"/>
  <c r="C748" i="12"/>
  <c r="D748" i="12"/>
  <c r="N727" i="10"/>
  <c r="V264" i="3" s="1"/>
  <c r="B747" i="12"/>
  <c r="C747" i="12"/>
  <c r="D747" i="12"/>
  <c r="N725" i="10"/>
  <c r="F745" i="12" s="1"/>
  <c r="N723" i="10"/>
  <c r="L723" i="10" s="1"/>
  <c r="E743" i="12" s="1"/>
  <c r="B743" i="12"/>
  <c r="C743" i="12"/>
  <c r="D743" i="12"/>
  <c r="N722" i="10"/>
  <c r="F742" i="12" s="1"/>
  <c r="B742" i="12"/>
  <c r="B741" i="12"/>
  <c r="D741" i="12"/>
  <c r="C690" i="12"/>
  <c r="D690" i="12"/>
  <c r="N669" i="10"/>
  <c r="L669" i="10" s="1"/>
  <c r="E689" i="12" s="1"/>
  <c r="B689" i="12"/>
  <c r="C689" i="12"/>
  <c r="D689" i="12"/>
  <c r="N657" i="10"/>
  <c r="M657" i="10" s="1"/>
  <c r="B627" i="12"/>
  <c r="N601" i="10"/>
  <c r="L601" i="10" s="1"/>
  <c r="E621" i="12" s="1"/>
  <c r="C621" i="12"/>
  <c r="D621" i="12"/>
  <c r="N597" i="10"/>
  <c r="L597" i="10" s="1"/>
  <c r="E617" i="12" s="1"/>
  <c r="B617" i="12"/>
  <c r="C617" i="12"/>
  <c r="D617" i="12"/>
  <c r="D614" i="12"/>
  <c r="N537" i="10"/>
  <c r="M537" i="10" s="1"/>
  <c r="B557" i="12"/>
  <c r="C557" i="12"/>
  <c r="D557" i="12"/>
  <c r="N531" i="10"/>
  <c r="C550" i="12"/>
  <c r="D501" i="12"/>
  <c r="B496" i="12"/>
  <c r="B492" i="12"/>
  <c r="C492" i="12"/>
  <c r="C487" i="12"/>
  <c r="N404" i="10"/>
  <c r="F424" i="12" s="1"/>
  <c r="B424" i="12"/>
  <c r="C424" i="12"/>
  <c r="D424" i="12"/>
  <c r="N351" i="10"/>
  <c r="B371" i="12"/>
  <c r="N349" i="10"/>
  <c r="M349" i="10" s="1"/>
  <c r="B369" i="12"/>
  <c r="C369" i="12"/>
  <c r="D369" i="12"/>
  <c r="N348" i="10"/>
  <c r="V131" i="3" s="1"/>
  <c r="B368" i="12"/>
  <c r="C368" i="12"/>
  <c r="D368" i="12"/>
  <c r="C365" i="12"/>
  <c r="D365" i="12"/>
  <c r="N342" i="10"/>
  <c r="M342" i="10" s="1"/>
  <c r="B362" i="12"/>
  <c r="C362" i="12"/>
  <c r="D362" i="12"/>
  <c r="B311" i="12"/>
  <c r="N287" i="10"/>
  <c r="M287" i="10" s="1"/>
  <c r="B307" i="12"/>
  <c r="C307" i="12"/>
  <c r="D307" i="12"/>
  <c r="N284" i="10"/>
  <c r="K284" i="10" s="1"/>
  <c r="B304" i="12"/>
  <c r="C304" i="12"/>
  <c r="D304" i="12"/>
  <c r="C301" i="12"/>
  <c r="D301" i="12"/>
  <c r="N280" i="10"/>
  <c r="K280" i="10" s="1"/>
  <c r="N279" i="10"/>
  <c r="F299" i="12" s="1"/>
  <c r="B299" i="12"/>
  <c r="N278" i="10"/>
  <c r="B298" i="12"/>
  <c r="C298" i="12"/>
  <c r="D298" i="12"/>
  <c r="D249" i="12"/>
  <c r="N228" i="10"/>
  <c r="B248" i="12"/>
  <c r="C248" i="12"/>
  <c r="D248" i="12"/>
  <c r="D244" i="12"/>
  <c r="N221" i="10"/>
  <c r="V85" i="3" s="1"/>
  <c r="B241" i="12"/>
  <c r="C241" i="12"/>
  <c r="C240" i="12"/>
  <c r="B239" i="12"/>
  <c r="C239" i="12"/>
  <c r="D239" i="12"/>
  <c r="N218" i="10"/>
  <c r="K218" i="10"/>
  <c r="N217" i="10"/>
  <c r="B237" i="12"/>
  <c r="C237" i="12"/>
  <c r="D237" i="12"/>
  <c r="B236" i="12"/>
  <c r="C236" i="12"/>
  <c r="D236" i="12"/>
  <c r="N166" i="10"/>
  <c r="K166" i="10" s="1"/>
  <c r="B186" i="12"/>
  <c r="C186" i="12"/>
  <c r="D186" i="12"/>
  <c r="B182" i="12"/>
  <c r="C182" i="12"/>
  <c r="D182" i="12"/>
  <c r="D181" i="12"/>
  <c r="D179" i="12"/>
  <c r="N157" i="10"/>
  <c r="B177" i="12"/>
  <c r="C177" i="12"/>
  <c r="D177" i="12"/>
  <c r="N155" i="10"/>
  <c r="B175" i="12"/>
  <c r="C175" i="12"/>
  <c r="D175" i="12"/>
  <c r="N153" i="10"/>
  <c r="F173" i="12" s="1"/>
  <c r="B173" i="12"/>
  <c r="C173" i="12"/>
  <c r="D173" i="12"/>
  <c r="B172" i="12"/>
  <c r="C172" i="12"/>
  <c r="D172" i="12"/>
  <c r="N103" i="10"/>
  <c r="N102" i="10"/>
  <c r="V51" i="3" s="1"/>
  <c r="B122" i="12"/>
  <c r="C122" i="12"/>
  <c r="D122" i="12"/>
  <c r="N101" i="10"/>
  <c r="K101" i="10"/>
  <c r="B121" i="12"/>
  <c r="D121" i="12"/>
  <c r="N97" i="10"/>
  <c r="B117" i="12"/>
  <c r="C117" i="12"/>
  <c r="D117" i="12"/>
  <c r="N96" i="10"/>
  <c r="M96" i="10" s="1"/>
  <c r="B116" i="12"/>
  <c r="C116" i="12"/>
  <c r="D116" i="12"/>
  <c r="N95" i="10"/>
  <c r="L95" i="10" s="1"/>
  <c r="E115" i="12" s="1"/>
  <c r="B115" i="12"/>
  <c r="C115" i="12"/>
  <c r="D115" i="12"/>
  <c r="N94" i="10"/>
  <c r="B114" i="12"/>
  <c r="C114" i="12"/>
  <c r="D114" i="12"/>
  <c r="N93" i="10"/>
  <c r="V39" i="3" s="1"/>
  <c r="B113" i="12"/>
  <c r="C113" i="12"/>
  <c r="D113" i="12"/>
  <c r="B112" i="12"/>
  <c r="N91" i="10"/>
  <c r="V36" i="3" s="1"/>
  <c r="B111" i="12"/>
  <c r="C111" i="12"/>
  <c r="D111" i="12"/>
  <c r="N90" i="10"/>
  <c r="B110" i="12"/>
  <c r="C110" i="12"/>
  <c r="D110" i="12"/>
  <c r="N89" i="10"/>
  <c r="K89" i="10" s="1"/>
  <c r="B109" i="12"/>
  <c r="C109" i="12"/>
  <c r="D109" i="12"/>
  <c r="N40" i="10"/>
  <c r="K40" i="10"/>
  <c r="B60" i="12"/>
  <c r="C60" i="12"/>
  <c r="D60" i="12"/>
  <c r="N39" i="10"/>
  <c r="K39" i="10"/>
  <c r="B59" i="12"/>
  <c r="C59" i="12"/>
  <c r="D59" i="12"/>
  <c r="N38" i="10"/>
  <c r="K38" i="10"/>
  <c r="B58" i="12"/>
  <c r="C58" i="12"/>
  <c r="D58" i="12"/>
  <c r="N37" i="10"/>
  <c r="K37" i="10"/>
  <c r="B57" i="12"/>
  <c r="C57" i="12"/>
  <c r="D57" i="12"/>
  <c r="N36" i="10"/>
  <c r="K36" i="10"/>
  <c r="B56" i="12"/>
  <c r="C56" i="12"/>
  <c r="D56" i="12"/>
  <c r="N35" i="10"/>
  <c r="K35" i="10"/>
  <c r="B55" i="12"/>
  <c r="C55" i="12"/>
  <c r="D55" i="12"/>
  <c r="N34" i="10"/>
  <c r="K34" i="10"/>
  <c r="B54" i="12"/>
  <c r="C54" i="12"/>
  <c r="D54" i="12"/>
  <c r="N33" i="10"/>
  <c r="K33" i="10"/>
  <c r="B53" i="12"/>
  <c r="C53" i="12"/>
  <c r="D53" i="12"/>
  <c r="N32" i="10"/>
  <c r="K32" i="10"/>
  <c r="B52" i="12"/>
  <c r="C52" i="12"/>
  <c r="D52" i="12"/>
  <c r="N31" i="10"/>
  <c r="K31" i="10"/>
  <c r="B51" i="12"/>
  <c r="C51" i="12"/>
  <c r="D51" i="12"/>
  <c r="N30" i="10"/>
  <c r="K30" i="10"/>
  <c r="B50" i="12"/>
  <c r="C50" i="12"/>
  <c r="D50" i="12"/>
  <c r="N29" i="10"/>
  <c r="K29" i="10"/>
  <c r="B49" i="12"/>
  <c r="C49" i="12"/>
  <c r="D49" i="12"/>
  <c r="N28" i="10"/>
  <c r="K28" i="10"/>
  <c r="B48" i="12"/>
  <c r="C48" i="12"/>
  <c r="D48" i="12"/>
  <c r="N27" i="10"/>
  <c r="K27" i="10"/>
  <c r="B47" i="12"/>
  <c r="C47" i="12"/>
  <c r="D47" i="12"/>
  <c r="N26" i="10"/>
  <c r="K26" i="10"/>
  <c r="B46" i="12"/>
  <c r="C46" i="12"/>
  <c r="D46" i="12"/>
  <c r="D724" i="12"/>
  <c r="N701" i="10"/>
  <c r="B721" i="12"/>
  <c r="C721" i="12"/>
  <c r="D719" i="12"/>
  <c r="C658" i="12"/>
  <c r="D658" i="12"/>
  <c r="N634" i="10"/>
  <c r="V233" i="1" s="1"/>
  <c r="C654" i="12"/>
  <c r="D654" i="12"/>
  <c r="N580" i="10"/>
  <c r="F600" i="12" s="1"/>
  <c r="B600" i="12"/>
  <c r="N578" i="10"/>
  <c r="L578" i="10" s="1"/>
  <c r="E598" i="12" s="1"/>
  <c r="C592" i="12"/>
  <c r="D592" i="12"/>
  <c r="N509" i="10"/>
  <c r="L509" i="10" s="1"/>
  <c r="E529" i="12" s="1"/>
  <c r="B529" i="12"/>
  <c r="C529" i="12"/>
  <c r="D529" i="12"/>
  <c r="B474" i="12"/>
  <c r="N450" i="10"/>
  <c r="V175" i="1" s="1"/>
  <c r="C470" i="12"/>
  <c r="D409" i="12"/>
  <c r="B406" i="12"/>
  <c r="N328" i="10"/>
  <c r="L328" i="10" s="1"/>
  <c r="E348" i="12" s="1"/>
  <c r="B348" i="12"/>
  <c r="C348" i="12"/>
  <c r="N327" i="10"/>
  <c r="B346" i="12"/>
  <c r="N323" i="10"/>
  <c r="M323" i="10" s="1"/>
  <c r="B343" i="12"/>
  <c r="C343" i="12"/>
  <c r="D343" i="12"/>
  <c r="N320" i="10"/>
  <c r="B340" i="12"/>
  <c r="C340" i="12"/>
  <c r="D340" i="12"/>
  <c r="N265" i="10"/>
  <c r="V116" i="1" s="1"/>
  <c r="B285" i="12"/>
  <c r="N262" i="10"/>
  <c r="C277" i="12"/>
  <c r="D277" i="12"/>
  <c r="C222" i="12"/>
  <c r="D222" i="12"/>
  <c r="N201" i="10"/>
  <c r="V92" i="1" s="1"/>
  <c r="N200" i="10"/>
  <c r="B219" i="12"/>
  <c r="C219" i="12"/>
  <c r="D219" i="12"/>
  <c r="N198" i="10"/>
  <c r="L198" i="10" s="1"/>
  <c r="B218" i="12"/>
  <c r="C218" i="12"/>
  <c r="D218" i="12"/>
  <c r="D215" i="12"/>
  <c r="B214" i="12"/>
  <c r="C214" i="12"/>
  <c r="D214" i="12"/>
  <c r="N193" i="10"/>
  <c r="K193" i="10" s="1"/>
  <c r="B213" i="12"/>
  <c r="C213" i="12"/>
  <c r="D213" i="12"/>
  <c r="N138" i="10"/>
  <c r="V70" i="1" s="1"/>
  <c r="B158" i="12"/>
  <c r="C158" i="12"/>
  <c r="D158" i="12"/>
  <c r="N137" i="10"/>
  <c r="K137" i="10" s="1"/>
  <c r="B157" i="12"/>
  <c r="C157" i="12"/>
  <c r="N136" i="10"/>
  <c r="L136" i="10" s="1"/>
  <c r="K136" i="10"/>
  <c r="B156" i="12"/>
  <c r="C156" i="12"/>
  <c r="D156" i="12"/>
  <c r="N135" i="10"/>
  <c r="L135" i="10" s="1"/>
  <c r="E155" i="12" s="1"/>
  <c r="B155" i="12"/>
  <c r="C155" i="12"/>
  <c r="D155" i="12"/>
  <c r="N134" i="10"/>
  <c r="L134" i="10" s="1"/>
  <c r="E154" i="12" s="1"/>
  <c r="B154" i="12"/>
  <c r="C154" i="12"/>
  <c r="C152" i="12"/>
  <c r="D152" i="12"/>
  <c r="N76" i="10"/>
  <c r="B96" i="12"/>
  <c r="C96" i="12"/>
  <c r="D96" i="12"/>
  <c r="C95" i="12"/>
  <c r="D95" i="12"/>
  <c r="N74" i="10"/>
  <c r="M74" i="10" s="1"/>
  <c r="D94" i="12"/>
  <c r="B93" i="12"/>
  <c r="N71" i="10"/>
  <c r="B91" i="12"/>
  <c r="C91" i="12"/>
  <c r="D91" i="12"/>
  <c r="C89" i="12"/>
  <c r="D89" i="12"/>
  <c r="N68" i="10"/>
  <c r="K68" i="10" s="1"/>
  <c r="B88" i="12"/>
  <c r="C88" i="12"/>
  <c r="D88" i="12"/>
  <c r="N67" i="10"/>
  <c r="K67" i="10"/>
  <c r="B87" i="12"/>
  <c r="C87" i="12"/>
  <c r="D87" i="12"/>
  <c r="N14" i="10"/>
  <c r="K14" i="10"/>
  <c r="B34" i="12"/>
  <c r="C34" i="12"/>
  <c r="D34" i="12"/>
  <c r="N13" i="10"/>
  <c r="K13" i="10"/>
  <c r="B33" i="12"/>
  <c r="C33" i="12"/>
  <c r="D33" i="12"/>
  <c r="N12" i="10"/>
  <c r="K12" i="10"/>
  <c r="B32" i="12"/>
  <c r="C32" i="12"/>
  <c r="D32" i="12"/>
  <c r="N11" i="10"/>
  <c r="K11" i="10"/>
  <c r="B31" i="12"/>
  <c r="C31" i="12"/>
  <c r="D31" i="12"/>
  <c r="N10" i="10"/>
  <c r="K10" i="10"/>
  <c r="B30" i="12"/>
  <c r="C30" i="12"/>
  <c r="D30" i="12"/>
  <c r="N9" i="10"/>
  <c r="K9" i="10"/>
  <c r="B29" i="12"/>
  <c r="C29" i="12"/>
  <c r="D29" i="12"/>
  <c r="N8" i="10"/>
  <c r="K8" i="10"/>
  <c r="B28" i="12"/>
  <c r="C28" i="12"/>
  <c r="D28" i="12"/>
  <c r="N7" i="10"/>
  <c r="K7" i="10"/>
  <c r="B27" i="12"/>
  <c r="C27" i="12"/>
  <c r="D27" i="12"/>
  <c r="B736" i="12"/>
  <c r="N712" i="10"/>
  <c r="L712" i="10" s="1"/>
  <c r="E732" i="12" s="1"/>
  <c r="B732" i="12"/>
  <c r="C732" i="12"/>
  <c r="C671" i="12"/>
  <c r="D671" i="12"/>
  <c r="B610" i="12"/>
  <c r="B607" i="12"/>
  <c r="C607" i="12"/>
  <c r="D607" i="12"/>
  <c r="N585" i="10"/>
  <c r="F605" i="12" s="1"/>
  <c r="B605" i="12"/>
  <c r="C605" i="12"/>
  <c r="D605" i="12"/>
  <c r="N528" i="10"/>
  <c r="F548" i="12" s="1"/>
  <c r="B548" i="12"/>
  <c r="C548" i="12"/>
  <c r="D548" i="12"/>
  <c r="B547" i="12"/>
  <c r="C547" i="12"/>
  <c r="N524" i="10"/>
  <c r="L524" i="10" s="1"/>
  <c r="E544" i="12" s="1"/>
  <c r="C544" i="12"/>
  <c r="N523" i="10"/>
  <c r="B543" i="12"/>
  <c r="D543" i="12"/>
  <c r="N521" i="10"/>
  <c r="B541" i="12"/>
  <c r="C541" i="12"/>
  <c r="D541" i="12"/>
  <c r="N464" i="10"/>
  <c r="B484" i="12"/>
  <c r="B478" i="12"/>
  <c r="C476" i="12"/>
  <c r="D476" i="12"/>
  <c r="N400" i="10"/>
  <c r="M400" i="10" s="1"/>
  <c r="B420" i="12"/>
  <c r="C420" i="12"/>
  <c r="D420" i="12"/>
  <c r="N399" i="10"/>
  <c r="N398" i="10"/>
  <c r="V146" i="2" s="1"/>
  <c r="B417" i="12"/>
  <c r="C417" i="12"/>
  <c r="D417" i="12"/>
  <c r="N396" i="10"/>
  <c r="C416" i="12"/>
  <c r="D416" i="12"/>
  <c r="C359" i="12"/>
  <c r="N338" i="10"/>
  <c r="V130" i="2" s="1"/>
  <c r="B358" i="12"/>
  <c r="D358" i="12"/>
  <c r="N336" i="10"/>
  <c r="M336" i="10" s="1"/>
  <c r="C356" i="12"/>
  <c r="D356" i="12"/>
  <c r="N335" i="10"/>
  <c r="M335" i="10" s="1"/>
  <c r="K335" i="10"/>
  <c r="D355" i="12"/>
  <c r="D350" i="12"/>
  <c r="N276" i="10"/>
  <c r="D296" i="12"/>
  <c r="B295" i="12"/>
  <c r="D294" i="12"/>
  <c r="N272" i="10"/>
  <c r="F292" i="12" s="1"/>
  <c r="D291" i="12"/>
  <c r="D233" i="12"/>
  <c r="N208" i="10"/>
  <c r="L208" i="10" s="1"/>
  <c r="E228" i="12" s="1"/>
  <c r="B228" i="12"/>
  <c r="C228" i="12"/>
  <c r="D228" i="12"/>
  <c r="N207" i="10"/>
  <c r="V80" i="2" s="1"/>
  <c r="B227" i="12"/>
  <c r="C227" i="12"/>
  <c r="D227" i="12"/>
  <c r="N206" i="10"/>
  <c r="B226" i="12"/>
  <c r="C226" i="12"/>
  <c r="D226" i="12"/>
  <c r="N205" i="10"/>
  <c r="M205" i="10" s="1"/>
  <c r="C225" i="12"/>
  <c r="D225" i="12"/>
  <c r="N204" i="10"/>
  <c r="L204" i="10" s="1"/>
  <c r="E224" i="12" s="1"/>
  <c r="B224" i="12"/>
  <c r="C224" i="12"/>
  <c r="D224" i="12"/>
  <c r="N150" i="10"/>
  <c r="C170" i="12"/>
  <c r="C167" i="12"/>
  <c r="D167" i="12"/>
  <c r="B165" i="12"/>
  <c r="C164" i="12"/>
  <c r="D164" i="12"/>
  <c r="N143" i="10"/>
  <c r="B163" i="12"/>
  <c r="C163" i="12"/>
  <c r="D163" i="12"/>
  <c r="N142" i="10"/>
  <c r="B162" i="12"/>
  <c r="C162" i="12"/>
  <c r="D162" i="12"/>
  <c r="N141" i="10"/>
  <c r="M141" i="10" s="1"/>
  <c r="B161" i="12"/>
  <c r="C161" i="12"/>
  <c r="D161" i="12"/>
  <c r="N87" i="10"/>
  <c r="L87" i="10" s="1"/>
  <c r="E107" i="12" s="1"/>
  <c r="B107" i="12"/>
  <c r="C107" i="12"/>
  <c r="D107" i="12"/>
  <c r="N86" i="10"/>
  <c r="K86" i="10"/>
  <c r="B106" i="12"/>
  <c r="C106" i="12"/>
  <c r="D106" i="12"/>
  <c r="N85" i="10"/>
  <c r="B105" i="12"/>
  <c r="C105" i="12"/>
  <c r="N84" i="10"/>
  <c r="K84" i="10"/>
  <c r="B104" i="12"/>
  <c r="C104" i="12"/>
  <c r="D104" i="12"/>
  <c r="N83" i="10"/>
  <c r="B103" i="12"/>
  <c r="C103" i="12"/>
  <c r="D103" i="12"/>
  <c r="N82" i="10"/>
  <c r="L82" i="10" s="1"/>
  <c r="B102" i="12"/>
  <c r="C102" i="12"/>
  <c r="D102" i="12"/>
  <c r="N81" i="10"/>
  <c r="L81" i="10" s="1"/>
  <c r="E101" i="12" s="1"/>
  <c r="B101" i="12"/>
  <c r="C101" i="12"/>
  <c r="D101" i="12"/>
  <c r="N80" i="10"/>
  <c r="K80" i="10"/>
  <c r="B100" i="12"/>
  <c r="C100" i="12"/>
  <c r="D100" i="12"/>
  <c r="N79" i="10"/>
  <c r="B99" i="12"/>
  <c r="C99" i="12"/>
  <c r="D99" i="12"/>
  <c r="N78" i="10"/>
  <c r="V34" i="2" s="1"/>
  <c r="B98" i="12"/>
  <c r="C98" i="12"/>
  <c r="D98" i="12"/>
  <c r="N25" i="10"/>
  <c r="K25" i="10"/>
  <c r="B45" i="12"/>
  <c r="C45" i="12"/>
  <c r="D45" i="12"/>
  <c r="N24" i="10"/>
  <c r="K24" i="10"/>
  <c r="B44" i="12"/>
  <c r="C44" i="12"/>
  <c r="D44" i="12"/>
  <c r="N23" i="10"/>
  <c r="K23" i="10"/>
  <c r="B43" i="12"/>
  <c r="C43" i="12"/>
  <c r="D43" i="12"/>
  <c r="N22" i="10"/>
  <c r="K22" i="10"/>
  <c r="B42" i="12"/>
  <c r="C42" i="12"/>
  <c r="D42" i="12"/>
  <c r="N21" i="10"/>
  <c r="K21" i="10"/>
  <c r="B41" i="12"/>
  <c r="C41" i="12"/>
  <c r="D41" i="12"/>
  <c r="N20" i="10"/>
  <c r="K20" i="10"/>
  <c r="B40" i="12"/>
  <c r="C40" i="12"/>
  <c r="D40" i="12"/>
  <c r="N19" i="10"/>
  <c r="K19" i="10"/>
  <c r="B39" i="12"/>
  <c r="C39" i="12"/>
  <c r="D39" i="12"/>
  <c r="N18" i="10"/>
  <c r="K18" i="10"/>
  <c r="B38" i="12"/>
  <c r="C38" i="12"/>
  <c r="D38" i="12"/>
  <c r="N17" i="10"/>
  <c r="K17" i="10"/>
  <c r="B37" i="12"/>
  <c r="C37" i="12"/>
  <c r="D37" i="12"/>
  <c r="N16" i="10"/>
  <c r="K16" i="10"/>
  <c r="B36" i="12"/>
  <c r="C36" i="12"/>
  <c r="D36" i="12"/>
  <c r="N15" i="10"/>
  <c r="K15" i="10"/>
  <c r="B35" i="12"/>
  <c r="C35" i="12"/>
  <c r="D35" i="12"/>
  <c r="N426" i="10"/>
  <c r="C291" i="12"/>
  <c r="N704" i="10"/>
  <c r="N123" i="10"/>
  <c r="K123" i="10" s="1"/>
  <c r="N182" i="10"/>
  <c r="K182" i="10" s="1"/>
  <c r="B309" i="12"/>
  <c r="C766" i="12"/>
  <c r="D275" i="12"/>
  <c r="C409" i="12"/>
  <c r="B625" i="12"/>
  <c r="D744" i="12"/>
  <c r="C691" i="12"/>
  <c r="B659" i="12"/>
  <c r="N671" i="10"/>
  <c r="D203" i="12"/>
  <c r="C580" i="12"/>
  <c r="N730" i="10"/>
  <c r="B766" i="12"/>
  <c r="C275" i="12"/>
  <c r="C179" i="12"/>
  <c r="B409" i="12"/>
  <c r="C662" i="12"/>
  <c r="N605" i="10"/>
  <c r="F625" i="12" s="1"/>
  <c r="B744" i="12"/>
  <c r="D292" i="12"/>
  <c r="D300" i="12"/>
  <c r="B636" i="12"/>
  <c r="B724" i="12"/>
  <c r="N583" i="10"/>
  <c r="L583" i="10" s="1"/>
  <c r="E603" i="12" s="1"/>
  <c r="N535" i="10"/>
  <c r="F555" i="12" s="1"/>
  <c r="B291" i="12"/>
  <c r="B341" i="12"/>
  <c r="B690" i="12"/>
  <c r="C744" i="12"/>
  <c r="B124" i="12"/>
  <c r="B316" i="12"/>
  <c r="C482" i="12"/>
  <c r="D135" i="12"/>
  <c r="D190" i="12"/>
  <c r="D258" i="12"/>
  <c r="D148" i="12"/>
  <c r="N621" i="10"/>
  <c r="L621" i="10" s="1"/>
  <c r="E641" i="12" s="1"/>
  <c r="C653" i="12"/>
  <c r="C292" i="12"/>
  <c r="C418" i="12"/>
  <c r="D484" i="12"/>
  <c r="D465" i="12"/>
  <c r="N572" i="10"/>
  <c r="N642" i="10"/>
  <c r="M642" i="10" s="1"/>
  <c r="C238" i="12"/>
  <c r="C300" i="12"/>
  <c r="N469" i="10"/>
  <c r="D677" i="12"/>
  <c r="C745" i="12"/>
  <c r="C135" i="12"/>
  <c r="B190" i="12"/>
  <c r="D196" i="12"/>
  <c r="C258" i="12"/>
  <c r="C505" i="12"/>
  <c r="D698" i="12"/>
  <c r="C148" i="12"/>
  <c r="D775" i="12"/>
  <c r="B653" i="12"/>
  <c r="B671" i="12"/>
  <c r="D143" i="12"/>
  <c r="B202" i="12"/>
  <c r="B120" i="12"/>
  <c r="N104" i="10"/>
  <c r="L104" i="10" s="1"/>
  <c r="C203" i="12"/>
  <c r="B580" i="12"/>
  <c r="C641" i="12"/>
  <c r="N746" i="10"/>
  <c r="B275" i="12"/>
  <c r="D418" i="12"/>
  <c r="B662" i="12"/>
  <c r="D238" i="12"/>
  <c r="C244" i="12"/>
  <c r="D489" i="12"/>
  <c r="D547" i="12"/>
  <c r="B282" i="12"/>
  <c r="C465" i="12"/>
  <c r="D717" i="12"/>
  <c r="B123" i="12"/>
  <c r="D492" i="12"/>
  <c r="B677" i="12"/>
  <c r="C742" i="12"/>
  <c r="B745" i="12"/>
  <c r="N170" i="10"/>
  <c r="V66" i="4" s="1"/>
  <c r="C196" i="12"/>
  <c r="D336" i="12"/>
  <c r="C462" i="12"/>
  <c r="C585" i="12"/>
  <c r="N755" i="10"/>
  <c r="K755" i="10" s="1"/>
  <c r="N633" i="10"/>
  <c r="M633" i="10" s="1"/>
  <c r="N220" i="10"/>
  <c r="K220" i="10"/>
  <c r="B259" i="12"/>
  <c r="B95" i="12"/>
  <c r="C193" i="12"/>
  <c r="N239" i="10"/>
  <c r="F259" i="12" s="1"/>
  <c r="B240" i="12"/>
  <c r="C249" i="12"/>
  <c r="B427" i="12"/>
  <c r="B337" i="12"/>
  <c r="N211" i="10"/>
  <c r="K211" i="10" s="1"/>
  <c r="B280" i="12"/>
  <c r="B119" i="12"/>
  <c r="N165" i="10"/>
  <c r="V73" i="3" s="1"/>
  <c r="B249" i="12"/>
  <c r="N292" i="10"/>
  <c r="D432" i="12"/>
  <c r="C320" i="12"/>
  <c r="D269" i="12"/>
  <c r="D108" i="12"/>
  <c r="C280" i="12"/>
  <c r="B193" i="12"/>
  <c r="N99" i="10"/>
  <c r="K99" i="10" s="1"/>
  <c r="D434" i="12"/>
  <c r="D131" i="12"/>
  <c r="C434" i="12"/>
  <c r="B289" i="12"/>
  <c r="D359" i="12"/>
  <c r="B419" i="12"/>
  <c r="B92" i="12"/>
  <c r="N575" i="10"/>
  <c r="M575" i="10" s="1"/>
  <c r="N639" i="10"/>
  <c r="N158" i="10"/>
  <c r="K158" i="10" s="1"/>
  <c r="D247" i="12"/>
  <c r="C625" i="12"/>
  <c r="B131" i="12"/>
  <c r="D138" i="12"/>
  <c r="B274" i="12"/>
  <c r="N88" i="10"/>
  <c r="D320" i="12"/>
  <c r="C92" i="12"/>
  <c r="N282" i="10"/>
  <c r="V105" i="3" s="1"/>
  <c r="D556" i="12"/>
  <c r="C131" i="12"/>
  <c r="N300" i="10"/>
  <c r="F320" i="12" s="1"/>
  <c r="C274" i="12"/>
  <c r="B108" i="12"/>
  <c r="C181" i="12"/>
  <c r="D232" i="12"/>
  <c r="D92" i="12"/>
  <c r="D274" i="12"/>
  <c r="D473" i="12"/>
  <c r="C138" i="12"/>
  <c r="B90" i="12"/>
  <c r="B247" i="12"/>
  <c r="N482" i="10"/>
  <c r="B138" i="12"/>
  <c r="B208" i="12"/>
  <c r="D136" i="12"/>
  <c r="B260" i="12"/>
  <c r="D597" i="12"/>
  <c r="C247" i="12"/>
  <c r="D132" i="12"/>
  <c r="C352" i="12"/>
  <c r="B473" i="12"/>
  <c r="C597" i="12"/>
  <c r="D363" i="12"/>
  <c r="D124" i="12"/>
  <c r="C132" i="12"/>
  <c r="B352" i="12"/>
  <c r="B667" i="12"/>
  <c r="N154" i="10"/>
  <c r="K154" i="10" s="1"/>
  <c r="B180" i="12"/>
  <c r="D373" i="12"/>
  <c r="B749" i="12"/>
  <c r="B380" i="12"/>
  <c r="C440" i="12"/>
  <c r="D505" i="12"/>
  <c r="D570" i="12"/>
  <c r="N188" i="10"/>
  <c r="K188" i="10" s="1"/>
  <c r="D580" i="12"/>
  <c r="C215" i="12"/>
  <c r="B222" i="12"/>
  <c r="C382" i="12"/>
  <c r="D264" i="12"/>
  <c r="B710" i="12"/>
  <c r="N164" i="10"/>
  <c r="L164" i="10" s="1"/>
  <c r="E184" i="12" s="1"/>
  <c r="C264" i="12"/>
  <c r="B264" i="12"/>
  <c r="C231" i="12"/>
  <c r="C268" i="12"/>
  <c r="C328" i="12"/>
  <c r="B231" i="12"/>
  <c r="D280" i="12"/>
  <c r="N484" i="10"/>
  <c r="K484" i="10" s="1"/>
  <c r="B268" i="12"/>
  <c r="B328" i="12"/>
  <c r="D723" i="12"/>
  <c r="N486" i="10"/>
  <c r="K486" i="10" s="1"/>
  <c r="C771" i="12"/>
  <c r="D288" i="12"/>
  <c r="B482" i="12"/>
  <c r="D672" i="12"/>
  <c r="C282" i="12"/>
  <c r="N508" i="10"/>
  <c r="K508" i="10" s="1"/>
  <c r="B597" i="12"/>
  <c r="D303" i="12"/>
  <c r="B752" i="12"/>
  <c r="D197" i="12"/>
  <c r="C570" i="12"/>
  <c r="N316" i="10"/>
  <c r="K316" i="10" s="1"/>
  <c r="D397" i="12"/>
  <c r="N438" i="10"/>
  <c r="K438" i="10" s="1"/>
  <c r="N536" i="10"/>
  <c r="V195" i="3" s="1"/>
  <c r="C397" i="12"/>
  <c r="D521" i="12"/>
  <c r="D234" i="12"/>
  <c r="C431" i="12"/>
  <c r="B203" i="12"/>
  <c r="C197" i="12"/>
  <c r="C370" i="12"/>
  <c r="B197" i="12"/>
  <c r="D206" i="12"/>
  <c r="D389" i="12"/>
  <c r="B452" i="12"/>
  <c r="C521" i="12"/>
  <c r="C234" i="12"/>
  <c r="B344" i="12"/>
  <c r="D178" i="12"/>
  <c r="B501" i="12"/>
  <c r="D572" i="12"/>
  <c r="B635" i="12"/>
  <c r="C705" i="12"/>
  <c r="C501" i="12"/>
  <c r="B453" i="12"/>
  <c r="N501" i="10"/>
  <c r="K501" i="10" s="1"/>
  <c r="C166" i="12"/>
  <c r="C735" i="12"/>
  <c r="N197" i="10"/>
  <c r="D184" i="12"/>
  <c r="N417" i="10"/>
  <c r="K417" i="10" s="1"/>
  <c r="D613" i="12"/>
  <c r="B253" i="12"/>
  <c r="C512" i="12"/>
  <c r="B258" i="12"/>
  <c r="D266" i="12"/>
  <c r="C460" i="12"/>
  <c r="C458" i="12"/>
  <c r="C288" i="12"/>
  <c r="D344" i="12"/>
  <c r="N390" i="10"/>
  <c r="C436" i="12"/>
  <c r="B166" i="12"/>
  <c r="B735" i="12"/>
  <c r="N319" i="10"/>
  <c r="C717" i="12"/>
  <c r="C178" i="12"/>
  <c r="C184" i="12"/>
  <c r="D438" i="12"/>
  <c r="N233" i="10"/>
  <c r="C572" i="12"/>
  <c r="N146" i="10"/>
  <c r="F166" i="12" s="1"/>
  <c r="C611" i="12"/>
  <c r="B465" i="12"/>
  <c r="B174" i="12"/>
  <c r="D550" i="12"/>
  <c r="N361" i="10"/>
  <c r="B439" i="12"/>
  <c r="N552" i="10"/>
  <c r="D202" i="12"/>
  <c r="B460" i="12"/>
  <c r="C707" i="12"/>
  <c r="B779" i="12"/>
  <c r="C296" i="12"/>
  <c r="C489" i="12"/>
  <c r="B455" i="12"/>
  <c r="C253" i="12"/>
  <c r="C330" i="12"/>
  <c r="N435" i="10"/>
  <c r="D316" i="12"/>
  <c r="C183" i="12"/>
  <c r="C316" i="12"/>
  <c r="D309" i="12"/>
  <c r="N289" i="10"/>
  <c r="B611" i="12"/>
  <c r="D750" i="12"/>
  <c r="B750" i="12"/>
  <c r="C451" i="12"/>
  <c r="D245" i="12"/>
  <c r="B234" i="12"/>
  <c r="C438" i="12"/>
  <c r="N392" i="10"/>
  <c r="V162" i="1" s="1"/>
  <c r="B438" i="12"/>
  <c r="N234" i="10"/>
  <c r="D402" i="12"/>
  <c r="B359" i="12"/>
  <c r="N148" i="10"/>
  <c r="D230" i="12"/>
  <c r="B288" i="12"/>
  <c r="D295" i="12"/>
  <c r="C355" i="12"/>
  <c r="B476" i="12"/>
  <c r="D610" i="12"/>
  <c r="C672" i="12"/>
  <c r="D93" i="12"/>
  <c r="C159" i="12"/>
  <c r="B277" i="12"/>
  <c r="D406" i="12"/>
  <c r="D599" i="12"/>
  <c r="B658" i="12"/>
  <c r="B717" i="12"/>
  <c r="D112" i="12"/>
  <c r="B179" i="12"/>
  <c r="N225" i="10"/>
  <c r="K225" i="10" s="1"/>
  <c r="B301" i="12"/>
  <c r="D311" i="12"/>
  <c r="B365" i="12"/>
  <c r="B370" i="12"/>
  <c r="D496" i="12"/>
  <c r="B562" i="12"/>
  <c r="D682" i="12"/>
  <c r="B739" i="12"/>
  <c r="B191" i="12"/>
  <c r="D260" i="12"/>
  <c r="D315" i="12"/>
  <c r="B440" i="12"/>
  <c r="B570" i="12"/>
  <c r="N554" i="10"/>
  <c r="F574" i="12" s="1"/>
  <c r="D636" i="12"/>
  <c r="D764" i="12"/>
  <c r="C143" i="12"/>
  <c r="B205" i="12"/>
  <c r="B273" i="12"/>
  <c r="N308" i="10"/>
  <c r="F328" i="12" s="1"/>
  <c r="N369" i="10"/>
  <c r="K369" i="10" s="1"/>
  <c r="B397" i="12"/>
  <c r="N440" i="10"/>
  <c r="K440" i="10" s="1"/>
  <c r="B523" i="12"/>
  <c r="B583" i="12"/>
  <c r="C775" i="12"/>
  <c r="D90" i="12"/>
  <c r="D160" i="12"/>
  <c r="D120" i="12"/>
  <c r="N431" i="10"/>
  <c r="M431" i="10" s="1"/>
  <c r="C372" i="12"/>
  <c r="N419" i="10"/>
  <c r="K419" i="10" s="1"/>
  <c r="C574" i="12"/>
  <c r="B245" i="12"/>
  <c r="B425" i="12"/>
  <c r="N530" i="10"/>
  <c r="C562" i="12"/>
  <c r="D191" i="12"/>
  <c r="D423" i="12"/>
  <c r="D170" i="12"/>
  <c r="C230" i="12"/>
  <c r="C295" i="12"/>
  <c r="D414" i="12"/>
  <c r="C610" i="12"/>
  <c r="C730" i="12"/>
  <c r="C93" i="12"/>
  <c r="B159" i="12"/>
  <c r="D217" i="12"/>
  <c r="D220" i="12"/>
  <c r="D339" i="12"/>
  <c r="C406" i="12"/>
  <c r="D470" i="12"/>
  <c r="N571" i="10"/>
  <c r="L571" i="10" s="1"/>
  <c r="E591" i="12" s="1"/>
  <c r="N579" i="10"/>
  <c r="V224" i="1" s="1"/>
  <c r="C112" i="12"/>
  <c r="D185" i="12"/>
  <c r="C311" i="12"/>
  <c r="N350" i="10"/>
  <c r="K350" i="10" s="1"/>
  <c r="D431" i="12"/>
  <c r="D487" i="12"/>
  <c r="C496" i="12"/>
  <c r="D555" i="12"/>
  <c r="N542" i="10"/>
  <c r="K542" i="10" s="1"/>
  <c r="C623" i="12"/>
  <c r="C682" i="12"/>
  <c r="N719" i="10"/>
  <c r="K719" i="10" s="1"/>
  <c r="D126" i="12"/>
  <c r="D192" i="12"/>
  <c r="D198" i="12"/>
  <c r="C260" i="12"/>
  <c r="C315" i="12"/>
  <c r="C442" i="12"/>
  <c r="D512" i="12"/>
  <c r="D630" i="12"/>
  <c r="C636" i="12"/>
  <c r="D754" i="12"/>
  <c r="C764" i="12"/>
  <c r="D329" i="12"/>
  <c r="D334" i="12"/>
  <c r="N503" i="10"/>
  <c r="K503" i="10" s="1"/>
  <c r="D585" i="12"/>
  <c r="D641" i="12"/>
  <c r="C90" i="12"/>
  <c r="C160" i="12"/>
  <c r="C120" i="12"/>
  <c r="D703" i="12"/>
  <c r="D419" i="12"/>
  <c r="C217" i="12"/>
  <c r="D278" i="12"/>
  <c r="D600" i="12"/>
  <c r="C185" i="12"/>
  <c r="N346" i="10"/>
  <c r="F366" i="12" s="1"/>
  <c r="D371" i="12"/>
  <c r="C555" i="12"/>
  <c r="B623" i="12"/>
  <c r="B682" i="12"/>
  <c r="C703" i="12"/>
  <c r="D779" i="12"/>
  <c r="C402" i="12"/>
  <c r="B230" i="12"/>
  <c r="B730" i="12"/>
  <c r="N139" i="10"/>
  <c r="K139" i="10" s="1"/>
  <c r="C220" i="12"/>
  <c r="C339" i="12"/>
  <c r="D659" i="12"/>
  <c r="N458" i="10"/>
  <c r="B278" i="12"/>
  <c r="C344" i="12"/>
  <c r="N160" i="10"/>
  <c r="K160" i="10" s="1"/>
  <c r="B431" i="12"/>
  <c r="B487" i="12"/>
  <c r="C613" i="12"/>
  <c r="C741" i="12"/>
  <c r="B446" i="12"/>
  <c r="C504" i="12"/>
  <c r="N492" i="10"/>
  <c r="V204" i="4" s="1"/>
  <c r="B206" i="12"/>
  <c r="N432" i="10"/>
  <c r="D458" i="12"/>
  <c r="N195" i="10"/>
  <c r="K195" i="10" s="1"/>
  <c r="C719" i="12"/>
  <c r="N313" i="10"/>
  <c r="K313" i="10" s="1"/>
  <c r="B286" i="12"/>
  <c r="D308" i="12"/>
  <c r="B454" i="12"/>
  <c r="C308" i="12"/>
  <c r="D390" i="12"/>
  <c r="B308" i="12"/>
  <c r="D201" i="12"/>
  <c r="D263" i="12"/>
  <c r="C390" i="12"/>
  <c r="B297" i="12"/>
  <c r="C444" i="12"/>
  <c r="D276" i="12"/>
  <c r="B694" i="12"/>
  <c r="C201" i="12"/>
  <c r="C263" i="12"/>
  <c r="B390" i="12"/>
  <c r="B201" i="12"/>
  <c r="D404" i="12"/>
  <c r="D566" i="12"/>
  <c r="B263" i="12"/>
  <c r="C310" i="12"/>
  <c r="C169" i="12"/>
  <c r="C281" i="12"/>
  <c r="B404" i="12"/>
  <c r="N635" i="10"/>
  <c r="L635" i="10" s="1"/>
  <c r="K635" i="10"/>
  <c r="B310" i="12"/>
  <c r="N424" i="10"/>
  <c r="K424" i="10"/>
  <c r="D449" i="12"/>
  <c r="B566" i="12"/>
  <c r="B707" i="12"/>
  <c r="B160" i="12"/>
  <c r="C412" i="12"/>
  <c r="D444" i="12"/>
  <c r="D777" i="12"/>
  <c r="C276" i="12"/>
  <c r="D310" i="12"/>
  <c r="D169" i="12"/>
  <c r="B276" i="12"/>
  <c r="D281" i="12"/>
  <c r="C713" i="12"/>
  <c r="D165" i="12"/>
  <c r="C350" i="12"/>
  <c r="C165" i="12"/>
  <c r="B169" i="12"/>
  <c r="B350" i="12"/>
  <c r="D221" i="12"/>
  <c r="B281" i="12"/>
  <c r="D347" i="12"/>
  <c r="D306" i="12"/>
  <c r="D323" i="12"/>
  <c r="C449" i="12"/>
  <c r="N687" i="10"/>
  <c r="K687" i="10" s="1"/>
  <c r="B412" i="12"/>
  <c r="D533" i="12"/>
  <c r="C323" i="12"/>
  <c r="D270" i="12"/>
  <c r="B171" i="12"/>
  <c r="C566" i="12"/>
  <c r="N526" i="10"/>
  <c r="V191" i="2" s="1"/>
  <c r="B670" i="12"/>
  <c r="C221" i="12"/>
  <c r="C347" i="12"/>
  <c r="D461" i="12"/>
  <c r="N534" i="10"/>
  <c r="M534" i="10" s="1"/>
  <c r="C191" i="12"/>
  <c r="N433" i="10"/>
  <c r="F453" i="12" s="1"/>
  <c r="N151" i="10"/>
  <c r="V71" i="2" s="1"/>
  <c r="C232" i="12"/>
  <c r="N412" i="10"/>
  <c r="C363" i="12"/>
  <c r="C483" i="12"/>
  <c r="N131" i="10"/>
  <c r="F151" i="12" s="1"/>
  <c r="D596" i="12"/>
  <c r="D176" i="12"/>
  <c r="N343" i="10"/>
  <c r="C204" i="12"/>
  <c r="C400" i="12"/>
  <c r="C596" i="12"/>
  <c r="D483" i="12"/>
  <c r="D151" i="12"/>
  <c r="D400" i="12"/>
  <c r="D289" i="12"/>
  <c r="C176" i="12"/>
  <c r="B204" i="12"/>
  <c r="D208" i="12"/>
  <c r="D337" i="12"/>
  <c r="C289" i="12"/>
  <c r="B422" i="12"/>
  <c r="B596" i="12"/>
  <c r="N156" i="10"/>
  <c r="F176" i="12" s="1"/>
  <c r="N184" i="10"/>
  <c r="K184" i="10" s="1"/>
  <c r="C337" i="12"/>
  <c r="D379" i="12"/>
  <c r="B312" i="12"/>
  <c r="C379" i="12"/>
  <c r="D168" i="12"/>
  <c r="C242" i="12"/>
  <c r="C267" i="12"/>
  <c r="D183" i="12"/>
  <c r="N321" i="10"/>
  <c r="K321" i="10" s="1"/>
  <c r="C168" i="12"/>
  <c r="B267" i="12"/>
  <c r="N384" i="10"/>
  <c r="K384" i="10" s="1"/>
  <c r="C233" i="12"/>
  <c r="C290" i="12"/>
  <c r="C294" i="12"/>
  <c r="C414" i="12"/>
  <c r="N402" i="10"/>
  <c r="K402" i="10" s="1"/>
  <c r="B665" i="12"/>
  <c r="B402" i="12"/>
  <c r="D235" i="12"/>
  <c r="C373" i="12"/>
  <c r="C495" i="12"/>
  <c r="N729" i="10"/>
  <c r="M729" i="10" s="1"/>
  <c r="N168" i="10"/>
  <c r="B255" i="12"/>
  <c r="D383" i="12"/>
  <c r="C206" i="12"/>
  <c r="C266" i="12"/>
  <c r="C269" i="12"/>
  <c r="N314" i="10"/>
  <c r="K314" i="10" s="1"/>
  <c r="B400" i="12"/>
  <c r="N748" i="10"/>
  <c r="K748" i="10" s="1"/>
  <c r="N179" i="10"/>
  <c r="K179" i="10" s="1"/>
  <c r="C255" i="12"/>
  <c r="B334" i="12"/>
  <c r="B199" i="12"/>
  <c r="N212" i="10"/>
  <c r="K212" i="10" s="1"/>
  <c r="D255" i="12"/>
  <c r="D290" i="12"/>
  <c r="B290" i="12"/>
  <c r="B294" i="12"/>
  <c r="B266" i="12"/>
  <c r="B269" i="12"/>
  <c r="D325" i="12"/>
  <c r="B167" i="12"/>
  <c r="B357" i="12"/>
  <c r="N394" i="10"/>
  <c r="C94" i="12"/>
  <c r="D341" i="12"/>
  <c r="D174" i="12"/>
  <c r="N353" i="10"/>
  <c r="V138" i="3" s="1"/>
  <c r="N475" i="10"/>
  <c r="L475" i="10" s="1"/>
  <c r="E495" i="12" s="1"/>
  <c r="B233" i="12"/>
  <c r="D345" i="12"/>
  <c r="D410" i="12"/>
  <c r="C235" i="12"/>
  <c r="D302" i="12"/>
  <c r="B495" i="12"/>
  <c r="B626" i="12"/>
  <c r="C383" i="12"/>
  <c r="B164" i="12"/>
  <c r="C151" i="12"/>
  <c r="D285" i="12"/>
  <c r="C410" i="12"/>
  <c r="D119" i="12"/>
  <c r="D123" i="12"/>
  <c r="D180" i="12"/>
  <c r="B235" i="12"/>
  <c r="C302" i="12"/>
  <c r="C432" i="12"/>
  <c r="D618" i="12"/>
  <c r="D259" i="12"/>
  <c r="D319" i="12"/>
  <c r="B383" i="12"/>
  <c r="D439" i="12"/>
  <c r="D446" i="12"/>
  <c r="C755" i="12"/>
  <c r="D137" i="12"/>
  <c r="C389" i="12"/>
  <c r="D452" i="12"/>
  <c r="D351" i="12"/>
  <c r="N337" i="10"/>
  <c r="D735" i="12"/>
  <c r="D242" i="12"/>
  <c r="C312" i="12"/>
  <c r="D568" i="12"/>
  <c r="D516" i="12"/>
  <c r="N750" i="10"/>
  <c r="K750" i="10" s="1"/>
  <c r="D611" i="12"/>
  <c r="D305" i="12"/>
  <c r="C305" i="12"/>
  <c r="B305" i="12"/>
  <c r="D435" i="12"/>
  <c r="C435" i="12"/>
  <c r="N258" i="10"/>
  <c r="K258" i="10" s="1"/>
  <c r="B544" i="12"/>
  <c r="N718" i="10"/>
  <c r="M718" i="10" s="1"/>
  <c r="D372" i="12"/>
  <c r="C351" i="12"/>
  <c r="N326" i="10"/>
  <c r="C534" i="12"/>
  <c r="C303" i="12"/>
  <c r="C306" i="12"/>
  <c r="B436" i="12"/>
  <c r="D313" i="12"/>
  <c r="B382" i="12"/>
  <c r="B385" i="12"/>
  <c r="C391" i="12"/>
  <c r="D395" i="12"/>
  <c r="C313" i="12"/>
  <c r="N711" i="10"/>
  <c r="V248" i="2" s="1"/>
  <c r="B303" i="12"/>
  <c r="N362" i="10"/>
  <c r="K362" i="10" s="1"/>
  <c r="B395" i="12"/>
  <c r="C367" i="12"/>
  <c r="C374" i="12"/>
  <c r="D327" i="12"/>
  <c r="N375" i="10"/>
  <c r="K375" i="10" s="1"/>
  <c r="B367" i="12"/>
  <c r="D430" i="12"/>
  <c r="D433" i="12"/>
  <c r="D318" i="12"/>
  <c r="D324" i="12"/>
  <c r="D699" i="12"/>
  <c r="C327" i="12"/>
  <c r="N756" i="10"/>
  <c r="M756" i="10" s="1"/>
  <c r="B351" i="12"/>
  <c r="B374" i="12"/>
  <c r="N347" i="10"/>
  <c r="D609" i="12"/>
  <c r="D364" i="12"/>
  <c r="D375" i="12"/>
  <c r="B430" i="12"/>
  <c r="B433" i="12"/>
  <c r="B685" i="12"/>
  <c r="B318" i="12"/>
  <c r="B324" i="12"/>
  <c r="D387" i="12"/>
  <c r="B760" i="12"/>
  <c r="D408" i="12"/>
  <c r="D299" i="12"/>
  <c r="C364" i="12"/>
  <c r="N410" i="10"/>
  <c r="L410" i="10" s="1"/>
  <c r="E430" i="12" s="1"/>
  <c r="N298" i="10"/>
  <c r="K298" i="10" s="1"/>
  <c r="C656" i="12"/>
  <c r="N286" i="10"/>
  <c r="K286" i="10" s="1"/>
  <c r="D374" i="12"/>
  <c r="B313" i="12"/>
  <c r="N371" i="10"/>
  <c r="K371" i="10" s="1"/>
  <c r="N498" i="10"/>
  <c r="L498" i="10" s="1"/>
  <c r="E518" i="12" s="1"/>
  <c r="C433" i="12"/>
  <c r="C324" i="12"/>
  <c r="C284" i="12"/>
  <c r="B284" i="12"/>
  <c r="C375" i="12"/>
  <c r="N665" i="10"/>
  <c r="K665" i="10" s="1"/>
  <c r="C387" i="12"/>
  <c r="N740" i="10"/>
  <c r="K740" i="10" s="1"/>
  <c r="C393" i="12"/>
  <c r="C325" i="12"/>
  <c r="N264" i="10"/>
  <c r="K264" i="10" s="1"/>
  <c r="C408" i="12"/>
  <c r="B364" i="12"/>
  <c r="B375" i="12"/>
  <c r="D627" i="12"/>
  <c r="B387" i="12"/>
  <c r="C694" i="12"/>
  <c r="N416" i="10"/>
  <c r="F436" i="12" s="1"/>
  <c r="D346" i="12"/>
  <c r="B408" i="12"/>
  <c r="B393" i="12"/>
  <c r="D656" i="12"/>
  <c r="C361" i="12"/>
  <c r="C345" i="12"/>
  <c r="D354" i="12"/>
  <c r="B345" i="12"/>
  <c r="C398" i="12"/>
  <c r="C573" i="12"/>
  <c r="B398" i="12"/>
  <c r="C354" i="12"/>
  <c r="D428" i="12"/>
  <c r="N378" i="10"/>
  <c r="K378" i="10" s="1"/>
  <c r="B354" i="12"/>
  <c r="C428" i="12"/>
  <c r="B668" i="12"/>
  <c r="C661" i="12"/>
  <c r="N648" i="10"/>
  <c r="K648" i="10" s="1"/>
  <c r="N641" i="10"/>
  <c r="M641" i="10" s="1"/>
  <c r="D361" i="12"/>
  <c r="D685" i="12"/>
  <c r="D415" i="12"/>
  <c r="B421" i="12"/>
  <c r="D536" i="12"/>
  <c r="B426" i="12"/>
  <c r="D524" i="12"/>
  <c r="B443" i="12"/>
  <c r="B415" i="12"/>
  <c r="N401" i="10"/>
  <c r="N387" i="10"/>
  <c r="K387" i="10" s="1"/>
  <c r="N696" i="10"/>
  <c r="M696" i="10" s="1"/>
  <c r="N607" i="10"/>
  <c r="D649" i="12"/>
  <c r="N383" i="10"/>
  <c r="K383" i="10" s="1"/>
  <c r="B403" i="12"/>
  <c r="C616" i="12"/>
  <c r="N623" i="10"/>
  <c r="D469" i="12"/>
  <c r="N553" i="10"/>
  <c r="M553" i="10" s="1"/>
  <c r="B643" i="12"/>
  <c r="B649" i="12"/>
  <c r="N519" i="10"/>
  <c r="D545" i="12"/>
  <c r="D604" i="12"/>
  <c r="B616" i="12"/>
  <c r="D746" i="12"/>
  <c r="B573" i="12"/>
  <c r="C649" i="12"/>
  <c r="C469" i="12"/>
  <c r="D494" i="12"/>
  <c r="C545" i="12"/>
  <c r="B746" i="12"/>
  <c r="B413" i="12"/>
  <c r="C485" i="12"/>
  <c r="N393" i="10"/>
  <c r="F413" i="12" s="1"/>
  <c r="N465" i="10"/>
  <c r="B469" i="12"/>
  <c r="N596" i="10"/>
  <c r="K596" i="10" s="1"/>
  <c r="C509" i="12"/>
  <c r="D421" i="12"/>
  <c r="D426" i="12"/>
  <c r="B434" i="12"/>
  <c r="N726" i="10"/>
  <c r="C510" i="12"/>
  <c r="D565" i="12"/>
  <c r="D639" i="12"/>
  <c r="C728" i="12"/>
  <c r="N717" i="10"/>
  <c r="C535" i="12"/>
  <c r="C426" i="12"/>
  <c r="N540" i="10"/>
  <c r="M540" i="10" s="1"/>
  <c r="B639" i="12"/>
  <c r="C514" i="12"/>
  <c r="B620" i="12"/>
  <c r="B579" i="12"/>
  <c r="N600" i="10"/>
  <c r="K600" i="10" s="1"/>
  <c r="N645" i="10"/>
  <c r="M645" i="10" s="1"/>
  <c r="B673" i="12"/>
  <c r="D734" i="12"/>
  <c r="C494" i="12"/>
  <c r="D563" i="12"/>
  <c r="B679" i="12"/>
  <c r="N668" i="10"/>
  <c r="D504" i="12"/>
  <c r="C565" i="12"/>
  <c r="C634" i="12"/>
  <c r="D517" i="12"/>
  <c r="D589" i="12"/>
  <c r="N630" i="10"/>
  <c r="L630" i="10" s="1"/>
  <c r="E650" i="12" s="1"/>
  <c r="N494" i="10"/>
  <c r="F514" i="12" s="1"/>
  <c r="C536" i="12"/>
  <c r="C500" i="12"/>
  <c r="B510" i="12"/>
  <c r="B693" i="12"/>
  <c r="N490" i="10"/>
  <c r="M490" i="10" s="1"/>
  <c r="D725" i="12"/>
  <c r="B634" i="12"/>
  <c r="D542" i="12"/>
  <c r="D688" i="12"/>
  <c r="D650" i="12"/>
  <c r="N653" i="10"/>
  <c r="L653" i="10" s="1"/>
  <c r="E673" i="12" s="1"/>
  <c r="C734" i="12"/>
  <c r="D598" i="12"/>
  <c r="B494" i="12"/>
  <c r="C563" i="12"/>
  <c r="N659" i="10"/>
  <c r="K659" i="10" s="1"/>
  <c r="D576" i="12"/>
  <c r="N743" i="10"/>
  <c r="K743" i="10" s="1"/>
  <c r="B517" i="12"/>
  <c r="C589" i="12"/>
  <c r="C715" i="12"/>
  <c r="D577" i="12"/>
  <c r="D485" i="12"/>
  <c r="N588" i="10"/>
  <c r="K588" i="10" s="1"/>
  <c r="C668" i="12"/>
  <c r="D674" i="12"/>
  <c r="B734" i="12"/>
  <c r="C598" i="12"/>
  <c r="B660" i="12"/>
  <c r="D726" i="12"/>
  <c r="B563" i="12"/>
  <c r="D620" i="12"/>
  <c r="B681" i="12"/>
  <c r="N614" i="10"/>
  <c r="M614" i="10" s="1"/>
  <c r="N497" i="10"/>
  <c r="F517" i="12" s="1"/>
  <c r="B589" i="12"/>
  <c r="C709" i="12"/>
  <c r="B715" i="12"/>
  <c r="C577" i="12"/>
  <c r="B688" i="12"/>
  <c r="C650" i="12"/>
  <c r="D728" i="12"/>
  <c r="D661" i="12"/>
  <c r="B709" i="12"/>
  <c r="N695" i="10"/>
  <c r="D778" i="12"/>
  <c r="B545" i="12"/>
  <c r="B674" i="12"/>
  <c r="D287" i="12"/>
  <c r="B536" i="12"/>
  <c r="B565" i="12"/>
  <c r="D586" i="12"/>
  <c r="N557" i="10"/>
  <c r="C524" i="12"/>
  <c r="B327" i="12"/>
  <c r="C778" i="12"/>
  <c r="B361" i="12"/>
  <c r="B287" i="12"/>
  <c r="B293" i="12"/>
  <c r="D353" i="12"/>
  <c r="N705" i="10"/>
  <c r="L705" i="10" s="1"/>
  <c r="E725" i="12" s="1"/>
  <c r="B181" i="12"/>
  <c r="B242" i="12"/>
  <c r="C441" i="12"/>
  <c r="D758" i="12"/>
  <c r="B524" i="12"/>
  <c r="B586" i="12"/>
  <c r="B183" i="12"/>
  <c r="B388" i="12"/>
  <c r="C464" i="12"/>
  <c r="N273" i="10"/>
  <c r="C353" i="12"/>
  <c r="C415" i="12"/>
  <c r="C479" i="12"/>
  <c r="B728" i="12"/>
  <c r="N69" i="10"/>
  <c r="K69" i="10"/>
  <c r="V39" i="1" s="1"/>
  <c r="N132" i="10"/>
  <c r="K132" i="10" s="1"/>
  <c r="D283" i="12"/>
  <c r="B537" i="12"/>
  <c r="B428" i="12"/>
  <c r="D684" i="12"/>
  <c r="B441" i="12"/>
  <c r="D509" i="12"/>
  <c r="D575" i="12"/>
  <c r="C758" i="12"/>
  <c r="B142" i="12"/>
  <c r="D332" i="12"/>
  <c r="D399" i="12"/>
  <c r="N566" i="10"/>
  <c r="D651" i="12"/>
  <c r="D360" i="12"/>
  <c r="C223" i="12"/>
  <c r="B464" i="12"/>
  <c r="D118" i="12"/>
  <c r="C725" i="12"/>
  <c r="B778" i="12"/>
  <c r="C293" i="12"/>
  <c r="D537" i="12"/>
  <c r="D441" i="12"/>
  <c r="N359" i="10"/>
  <c r="B353" i="12"/>
  <c r="D150" i="12"/>
  <c r="C530" i="12"/>
  <c r="N517" i="10"/>
  <c r="K517" i="10" s="1"/>
  <c r="D619" i="12"/>
  <c r="D377" i="12"/>
  <c r="N122" i="10"/>
  <c r="K122" i="10"/>
  <c r="C399" i="12"/>
  <c r="C651" i="12"/>
  <c r="C360" i="12"/>
  <c r="D246" i="12"/>
  <c r="C229" i="12"/>
  <c r="D407" i="12"/>
  <c r="D532" i="12"/>
  <c r="C663" i="12"/>
  <c r="C118" i="12"/>
  <c r="C243" i="12"/>
  <c r="C558" i="12"/>
  <c r="C619" i="12"/>
  <c r="B684" i="12"/>
  <c r="B509" i="12"/>
  <c r="B576" i="12"/>
  <c r="D479" i="12"/>
  <c r="B479" i="12"/>
  <c r="C283" i="12"/>
  <c r="D558" i="12"/>
  <c r="N461" i="10"/>
  <c r="K461" i="10" s="1"/>
  <c r="D539" i="12"/>
  <c r="C150" i="12"/>
  <c r="B283" i="12"/>
  <c r="C377" i="12"/>
  <c r="N738" i="10"/>
  <c r="B332" i="12"/>
  <c r="B399" i="12"/>
  <c r="C526" i="12"/>
  <c r="B651" i="12"/>
  <c r="B360" i="12"/>
  <c r="C246" i="12"/>
  <c r="D212" i="12"/>
  <c r="B229" i="12"/>
  <c r="D357" i="12"/>
  <c r="D413" i="12"/>
  <c r="C539" i="12"/>
  <c r="D673" i="12"/>
  <c r="B150" i="12"/>
  <c r="D403" i="12"/>
  <c r="C407" i="12"/>
  <c r="B663" i="12"/>
  <c r="B118" i="12"/>
  <c r="B243" i="12"/>
  <c r="B558" i="12"/>
  <c r="B619" i="12"/>
  <c r="D679" i="12"/>
  <c r="N664" i="10"/>
  <c r="K664" i="10" s="1"/>
  <c r="D127" i="12"/>
  <c r="D188" i="12"/>
  <c r="D251" i="12"/>
  <c r="B317" i="12"/>
  <c r="B377" i="12"/>
  <c r="D443" i="12"/>
  <c r="D760" i="12"/>
  <c r="N312" i="10"/>
  <c r="M312" i="10" s="1"/>
  <c r="B526" i="12"/>
  <c r="D171" i="12"/>
  <c r="B246" i="12"/>
  <c r="B624" i="12"/>
  <c r="D199" i="12"/>
  <c r="C212" i="12"/>
  <c r="N654" i="10"/>
  <c r="L654" i="10" s="1"/>
  <c r="E674" i="12" s="1"/>
  <c r="D216" i="12"/>
  <c r="D229" i="12"/>
  <c r="D663" i="12"/>
  <c r="D243" i="12"/>
  <c r="D526" i="12"/>
  <c r="N297" i="10"/>
  <c r="C443" i="12"/>
  <c r="N622" i="10"/>
  <c r="B666" i="12"/>
  <c r="B672" i="12"/>
  <c r="D466" i="12"/>
  <c r="D493" i="12"/>
  <c r="C559" i="12"/>
  <c r="D567" i="12"/>
  <c r="B628" i="12"/>
  <c r="D669" i="12"/>
  <c r="C477" i="12"/>
  <c r="N589" i="10"/>
  <c r="V212" i="2" s="1"/>
  <c r="B669" i="12"/>
  <c r="D729" i="12"/>
  <c r="D490" i="12"/>
  <c r="B680" i="12"/>
  <c r="N611" i="10"/>
  <c r="K611" i="10" s="1"/>
  <c r="N679" i="10"/>
  <c r="L679" i="10" s="1"/>
  <c r="E699" i="12" s="1"/>
  <c r="C765" i="12"/>
  <c r="B516" i="12"/>
  <c r="N749" i="10"/>
  <c r="K749" i="10" s="1"/>
  <c r="B777" i="12"/>
  <c r="N529" i="10"/>
  <c r="K529" i="10" s="1"/>
  <c r="C538" i="12"/>
  <c r="B477" i="12"/>
  <c r="N646" i="10"/>
  <c r="K646" i="10" s="1"/>
  <c r="N649" i="10"/>
  <c r="K649" i="10" s="1"/>
  <c r="C729" i="12"/>
  <c r="C466" i="12"/>
  <c r="C532" i="12"/>
  <c r="D655" i="12"/>
  <c r="C490" i="12"/>
  <c r="C493" i="12"/>
  <c r="D551" i="12"/>
  <c r="B559" i="12"/>
  <c r="B613" i="12"/>
  <c r="C618" i="12"/>
  <c r="N660" i="10"/>
  <c r="K660" i="10" s="1"/>
  <c r="C567" i="12"/>
  <c r="N608" i="10"/>
  <c r="C639" i="12"/>
  <c r="D697" i="12"/>
  <c r="B765" i="12"/>
  <c r="N496" i="10"/>
  <c r="K496" i="10" s="1"/>
  <c r="D644" i="12"/>
  <c r="D770" i="12"/>
  <c r="N757" i="10"/>
  <c r="K757" i="10" s="1"/>
  <c r="B612" i="12"/>
  <c r="D498" i="12"/>
  <c r="D666" i="12"/>
  <c r="B534" i="12"/>
  <c r="D667" i="12"/>
  <c r="D670" i="12"/>
  <c r="D733" i="12"/>
  <c r="B466" i="12"/>
  <c r="C655" i="12"/>
  <c r="B493" i="12"/>
  <c r="D629" i="12"/>
  <c r="C697" i="12"/>
  <c r="D522" i="12"/>
  <c r="C770" i="12"/>
  <c r="C498" i="12"/>
  <c r="D477" i="12"/>
  <c r="B609" i="12"/>
  <c r="N514" i="10"/>
  <c r="K514" i="10" s="1"/>
  <c r="D559" i="12"/>
  <c r="C680" i="12"/>
  <c r="C628" i="12"/>
  <c r="C631" i="12"/>
  <c r="N674" i="10"/>
  <c r="B699" i="12"/>
  <c r="B729" i="12"/>
  <c r="D736" i="12"/>
  <c r="D474" i="12"/>
  <c r="B532" i="12"/>
  <c r="B490" i="12"/>
  <c r="C551" i="12"/>
  <c r="B618" i="12"/>
  <c r="D626" i="12"/>
  <c r="D678" i="12"/>
  <c r="D681" i="12"/>
  <c r="B567" i="12"/>
  <c r="D701" i="12"/>
  <c r="C644" i="12"/>
  <c r="C667" i="12"/>
  <c r="C670" i="12"/>
  <c r="C733" i="12"/>
  <c r="C736" i="12"/>
  <c r="C474" i="12"/>
  <c r="C626" i="12"/>
  <c r="C678" i="12"/>
  <c r="C681" i="12"/>
  <c r="N485" i="10"/>
  <c r="V191" i="4" s="1"/>
  <c r="C629" i="12"/>
  <c r="C701" i="12"/>
  <c r="C522" i="12"/>
  <c r="B644" i="12"/>
  <c r="D713" i="12"/>
  <c r="B733" i="12"/>
  <c r="D488" i="12"/>
  <c r="D491" i="12"/>
  <c r="D622" i="12"/>
  <c r="B678" i="12"/>
  <c r="B629" i="12"/>
  <c r="B701" i="12"/>
  <c r="B622" i="12"/>
  <c r="D546" i="12"/>
  <c r="D603" i="12"/>
  <c r="D608" i="12"/>
  <c r="C533" i="12"/>
  <c r="C723" i="12"/>
  <c r="C726" i="12"/>
  <c r="C488" i="12"/>
  <c r="C491" i="12"/>
  <c r="D554" i="12"/>
  <c r="C622" i="12"/>
  <c r="D503" i="12"/>
  <c r="D507" i="12"/>
  <c r="C568" i="12"/>
  <c r="B713" i="12"/>
  <c r="D768" i="12"/>
  <c r="C546" i="12"/>
  <c r="C603" i="12"/>
  <c r="C608" i="12"/>
  <c r="D731" i="12"/>
  <c r="B533" i="12"/>
  <c r="B723" i="12"/>
  <c r="B726" i="12"/>
  <c r="B488" i="12"/>
  <c r="B491" i="12"/>
  <c r="C554" i="12"/>
  <c r="C503" i="12"/>
  <c r="C507" i="12"/>
  <c r="B568" i="12"/>
  <c r="D702" i="12"/>
  <c r="D518" i="12"/>
  <c r="D523" i="12"/>
  <c r="C642" i="12"/>
  <c r="C768" i="12"/>
  <c r="D776" i="12"/>
  <c r="C731" i="12"/>
  <c r="B503" i="12"/>
  <c r="C518" i="12"/>
  <c r="B642" i="12"/>
  <c r="D710" i="12"/>
  <c r="C776" i="12"/>
  <c r="B514" i="12"/>
  <c r="D631" i="12"/>
  <c r="N690" i="10"/>
  <c r="F710" i="12" s="1"/>
  <c r="C606" i="12"/>
  <c r="D737" i="12"/>
  <c r="B499" i="12"/>
  <c r="B553" i="12"/>
  <c r="D560" i="12"/>
  <c r="N663" i="10"/>
  <c r="C740" i="12"/>
  <c r="B753" i="12"/>
  <c r="N676" i="10"/>
  <c r="L676" i="10" s="1"/>
  <c r="E696" i="12" s="1"/>
  <c r="D757" i="12"/>
  <c r="D763" i="12"/>
  <c r="N495" i="10"/>
  <c r="C582" i="12"/>
  <c r="C648" i="12"/>
  <c r="D706" i="12"/>
  <c r="B606" i="12"/>
  <c r="C737" i="12"/>
  <c r="B530" i="12"/>
  <c r="D660" i="12"/>
  <c r="N407" i="10"/>
  <c r="K407" i="10" s="1"/>
  <c r="N479" i="10"/>
  <c r="N533" i="10"/>
  <c r="K533" i="10" s="1"/>
  <c r="C560" i="12"/>
  <c r="B740" i="12"/>
  <c r="N733" i="10"/>
  <c r="L733" i="10" s="1"/>
  <c r="E753" i="12" s="1"/>
  <c r="N673" i="10"/>
  <c r="D700" i="12"/>
  <c r="C757" i="12"/>
  <c r="C763" i="12"/>
  <c r="D579" i="12"/>
  <c r="B582" i="12"/>
  <c r="B648" i="12"/>
  <c r="C706" i="12"/>
  <c r="N586" i="10"/>
  <c r="K586" i="10" s="1"/>
  <c r="D535" i="12"/>
  <c r="C660" i="12"/>
  <c r="D500" i="12"/>
  <c r="N720" i="10"/>
  <c r="C700" i="12"/>
  <c r="C579" i="12"/>
  <c r="N628" i="10"/>
  <c r="B542" i="12"/>
  <c r="D722" i="12"/>
  <c r="D429" i="12"/>
  <c r="B614" i="12"/>
  <c r="N555" i="10"/>
  <c r="B755" i="12"/>
  <c r="B714" i="12"/>
  <c r="N636" i="10"/>
  <c r="C542" i="12"/>
  <c r="C593" i="12"/>
  <c r="B722" i="12"/>
  <c r="B429" i="12"/>
  <c r="D615" i="12"/>
  <c r="C450" i="12"/>
  <c r="N675" i="10"/>
  <c r="D759" i="12"/>
  <c r="D762" i="12"/>
  <c r="C584" i="12"/>
  <c r="C647" i="12"/>
  <c r="C704" i="12"/>
  <c r="C604" i="12"/>
  <c r="D471" i="12"/>
  <c r="B535" i="12"/>
  <c r="B500" i="12"/>
  <c r="C575" i="12"/>
  <c r="B483" i="12"/>
  <c r="B604" i="12"/>
  <c r="C471" i="12"/>
  <c r="C614" i="12"/>
  <c r="D772" i="12"/>
  <c r="C601" i="12"/>
  <c r="D411" i="12"/>
  <c r="B471" i="12"/>
  <c r="C480" i="12"/>
  <c r="D540" i="12"/>
  <c r="C722" i="12"/>
  <c r="D497" i="12"/>
  <c r="C552" i="12"/>
  <c r="C676" i="12"/>
  <c r="D450" i="12"/>
  <c r="N549" i="10"/>
  <c r="K549" i="10" s="1"/>
  <c r="B695" i="12"/>
  <c r="N735" i="10"/>
  <c r="N741" i="10"/>
  <c r="K741" i="10" s="1"/>
  <c r="D584" i="12"/>
  <c r="D647" i="12"/>
  <c r="D704" i="12"/>
  <c r="B772" i="12"/>
  <c r="N460" i="10"/>
  <c r="K460" i="10" s="1"/>
  <c r="B602" i="12"/>
  <c r="N532" i="10"/>
  <c r="D422" i="12"/>
  <c r="D478" i="12"/>
  <c r="D481" i="12"/>
  <c r="N520" i="10"/>
  <c r="K520" i="10" s="1"/>
  <c r="D665" i="12"/>
  <c r="B472" i="12"/>
  <c r="N573" i="10"/>
  <c r="K573" i="10" s="1"/>
  <c r="N698" i="10"/>
  <c r="K698" i="10" s="1"/>
  <c r="D427" i="12"/>
  <c r="N477" i="10"/>
  <c r="K477" i="10" s="1"/>
  <c r="D553" i="12"/>
  <c r="B615" i="12"/>
  <c r="D683" i="12"/>
  <c r="D749" i="12"/>
  <c r="D753" i="12"/>
  <c r="D693" i="12"/>
  <c r="C696" i="12"/>
  <c r="B759" i="12"/>
  <c r="B762" i="12"/>
  <c r="D453" i="12"/>
  <c r="C515" i="12"/>
  <c r="N561" i="10"/>
  <c r="K561" i="10" s="1"/>
  <c r="N564" i="10"/>
  <c r="K564" i="10" s="1"/>
  <c r="N627" i="10"/>
  <c r="K627" i="10" s="1"/>
  <c r="N684" i="10"/>
  <c r="K684" i="10" s="1"/>
  <c r="N415" i="10"/>
  <c r="K415" i="10" s="1"/>
  <c r="C716" i="12"/>
  <c r="D480" i="12"/>
  <c r="C467" i="12"/>
  <c r="D552" i="12"/>
  <c r="D676" i="12"/>
  <c r="D602" i="12"/>
  <c r="C411" i="12"/>
  <c r="B467" i="12"/>
  <c r="D593" i="12"/>
  <c r="C429" i="12"/>
  <c r="C540" i="12"/>
  <c r="C602" i="12"/>
  <c r="B411" i="12"/>
  <c r="D472" i="12"/>
  <c r="C497" i="12"/>
  <c r="B676" i="12"/>
  <c r="C472" i="12"/>
  <c r="D718" i="12"/>
  <c r="C615" i="12"/>
  <c r="B692" i="12"/>
  <c r="D696" i="12"/>
  <c r="C759" i="12"/>
  <c r="C762" i="12"/>
  <c r="D515" i="12"/>
  <c r="B581" i="12"/>
  <c r="D716" i="12"/>
  <c r="B481" i="12"/>
  <c r="D499" i="12"/>
  <c r="B683" i="12"/>
  <c r="D506" i="12"/>
  <c r="D640" i="12"/>
  <c r="D686" i="12"/>
  <c r="C456" i="12"/>
  <c r="C519" i="12"/>
  <c r="N453" i="10"/>
  <c r="N405" i="10"/>
  <c r="K405" i="10" s="1"/>
  <c r="D564" i="12"/>
  <c r="D396" i="12"/>
  <c r="D456" i="12"/>
  <c r="D519" i="12"/>
  <c r="D525" i="12"/>
  <c r="B705" i="12"/>
  <c r="B771" i="12"/>
  <c r="C423" i="12"/>
  <c r="N604" i="10"/>
  <c r="K604" i="10" s="1"/>
  <c r="C564" i="12"/>
  <c r="B564" i="12"/>
  <c r="C686" i="12"/>
  <c r="B396" i="12"/>
  <c r="B456" i="12"/>
  <c r="B519" i="12"/>
  <c r="B525" i="12"/>
  <c r="D712" i="12"/>
  <c r="N403" i="10"/>
  <c r="K403" i="10" s="1"/>
  <c r="C594" i="12"/>
  <c r="C687" i="12"/>
  <c r="B686" i="12"/>
  <c r="N376" i="10"/>
  <c r="N505" i="10"/>
  <c r="M505" i="10" s="1"/>
  <c r="C712" i="12"/>
  <c r="D405" i="12"/>
  <c r="B594" i="12"/>
  <c r="B687" i="12"/>
  <c r="N510" i="10"/>
  <c r="N685" i="10"/>
  <c r="K685" i="10" s="1"/>
  <c r="D594" i="12"/>
  <c r="D687" i="12"/>
  <c r="D528" i="12"/>
  <c r="D366" i="12"/>
  <c r="D437" i="12"/>
  <c r="C445" i="12"/>
  <c r="C502" i="12"/>
  <c r="N692" i="10"/>
  <c r="B486" i="12"/>
  <c r="D591" i="12"/>
  <c r="D595" i="12"/>
  <c r="D381" i="12"/>
  <c r="D445" i="12"/>
  <c r="D502" i="12"/>
  <c r="D508" i="12"/>
  <c r="D463" i="12"/>
  <c r="D520" i="12"/>
  <c r="C486" i="12"/>
  <c r="C405" i="12"/>
  <c r="C591" i="12"/>
  <c r="C595" i="12"/>
  <c r="D739" i="12"/>
  <c r="C381" i="12"/>
  <c r="C508" i="12"/>
  <c r="C463" i="12"/>
  <c r="C520" i="12"/>
  <c r="B405" i="12"/>
  <c r="C528" i="12"/>
  <c r="C366" i="12"/>
  <c r="C437" i="12"/>
  <c r="D442" i="12"/>
  <c r="B508" i="12"/>
  <c r="D635" i="12"/>
  <c r="D692" i="12"/>
  <c r="B463" i="12"/>
  <c r="B601" i="12"/>
  <c r="N478" i="10"/>
  <c r="F498" i="12" s="1"/>
  <c r="C635" i="12"/>
  <c r="C599" i="12"/>
  <c r="C506" i="12"/>
  <c r="C718" i="12"/>
  <c r="D425" i="12"/>
  <c r="C556" i="12"/>
  <c r="D624" i="12"/>
  <c r="C675" i="12"/>
  <c r="N699" i="10"/>
  <c r="K699" i="10" s="1"/>
  <c r="B675" i="12"/>
  <c r="C692" i="12"/>
  <c r="N655" i="10"/>
  <c r="D297" i="12"/>
  <c r="C297" i="12"/>
  <c r="N447" i="10"/>
  <c r="F467" i="12" s="1"/>
  <c r="D317" i="12"/>
  <c r="B279" i="12"/>
  <c r="B349" i="12"/>
  <c r="B468" i="12"/>
  <c r="D388" i="12"/>
  <c r="D612" i="12"/>
  <c r="N259" i="10"/>
  <c r="K259" i="10" s="1"/>
  <c r="N329" i="10"/>
  <c r="K329" i="10" s="1"/>
  <c r="N448" i="10"/>
  <c r="K448" i="10" s="1"/>
  <c r="D601" i="12"/>
  <c r="C388" i="12"/>
  <c r="B216" i="12"/>
  <c r="C531" i="12"/>
  <c r="C216" i="12"/>
  <c r="B531" i="12"/>
  <c r="N511" i="10"/>
  <c r="K511" i="10" s="1"/>
  <c r="D581" i="12"/>
  <c r="D538" i="12"/>
  <c r="D279" i="12"/>
  <c r="D349" i="12"/>
  <c r="D468" i="12"/>
  <c r="D549" i="12"/>
  <c r="B475" i="12"/>
  <c r="B244" i="12"/>
  <c r="B442" i="12"/>
  <c r="B329" i="12"/>
  <c r="D738" i="12"/>
  <c r="B372" i="12"/>
  <c r="D527" i="12"/>
  <c r="C738" i="12"/>
  <c r="C640" i="12"/>
  <c r="C527" i="12"/>
  <c r="D352" i="12"/>
  <c r="D482" i="12"/>
  <c r="D730" i="12"/>
  <c r="D623" i="12"/>
  <c r="D440" i="12"/>
  <c r="D632" i="12"/>
  <c r="D262" i="12"/>
  <c r="N518" i="10"/>
  <c r="K518" i="10" s="1"/>
  <c r="D338" i="12"/>
  <c r="B325" i="12"/>
  <c r="B338" i="12"/>
  <c r="L277" i="10"/>
  <c r="E297" i="12" s="1"/>
  <c r="M277" i="10"/>
  <c r="M196" i="10"/>
  <c r="F216" i="12"/>
  <c r="M266" i="10"/>
  <c r="L385" i="10"/>
  <c r="E405" i="12" s="1"/>
  <c r="M385" i="10"/>
  <c r="F405" i="12"/>
  <c r="M574" i="10"/>
  <c r="L100" i="10"/>
  <c r="E120" i="12" s="1"/>
  <c r="M100" i="10"/>
  <c r="F120" i="12"/>
  <c r="M289" i="10"/>
  <c r="M667" i="10"/>
  <c r="F687" i="12"/>
  <c r="M116" i="10"/>
  <c r="L305" i="10"/>
  <c r="E325" i="12" s="1"/>
  <c r="M305" i="10"/>
  <c r="F325" i="12"/>
  <c r="M507" i="10"/>
  <c r="F527" i="12"/>
  <c r="L214" i="10"/>
  <c r="E234" i="12" s="1"/>
  <c r="M214" i="10"/>
  <c r="F234" i="12"/>
  <c r="L70" i="10"/>
  <c r="E90" i="12" s="1"/>
  <c r="M70" i="10"/>
  <c r="F90" i="12"/>
  <c r="L140" i="10"/>
  <c r="E160" i="12" s="1"/>
  <c r="M140" i="10"/>
  <c r="F160" i="12"/>
  <c r="L66" i="10"/>
  <c r="E86" i="12"/>
  <c r="M66" i="10"/>
  <c r="F86" i="12"/>
  <c r="K88" i="10"/>
  <c r="K277" i="10"/>
  <c r="V113" i="2"/>
  <c r="V84" i="1"/>
  <c r="L203" i="10"/>
  <c r="E223" i="12" s="1"/>
  <c r="M203" i="10"/>
  <c r="F223" i="12"/>
  <c r="V118" i="1"/>
  <c r="K385" i="10"/>
  <c r="V150" i="1"/>
  <c r="L581" i="10"/>
  <c r="E601" i="12" s="1"/>
  <c r="M581" i="10"/>
  <c r="F601" i="12"/>
  <c r="K100" i="10"/>
  <c r="V49" i="3"/>
  <c r="L163" i="10"/>
  <c r="E183" i="12" s="1"/>
  <c r="M163" i="10"/>
  <c r="F183" i="12"/>
  <c r="L352" i="10"/>
  <c r="E372" i="12" s="1"/>
  <c r="M352" i="10"/>
  <c r="F372" i="12"/>
  <c r="K667" i="10"/>
  <c r="V247" i="3"/>
  <c r="K305" i="10"/>
  <c r="V133" i="4"/>
  <c r="L368" i="10"/>
  <c r="E388" i="12" s="1"/>
  <c r="M368" i="10"/>
  <c r="F388" i="12"/>
  <c r="L192" i="10"/>
  <c r="E212" i="12" s="1"/>
  <c r="K507" i="10"/>
  <c r="V200" i="5"/>
  <c r="V13" i="2"/>
  <c r="M15" i="10"/>
  <c r="L15" i="10"/>
  <c r="E35" i="12"/>
  <c r="F35" i="12"/>
  <c r="V14" i="2"/>
  <c r="M16" i="10"/>
  <c r="L16" i="10"/>
  <c r="E36" i="12"/>
  <c r="F36" i="12"/>
  <c r="V16" i="2"/>
  <c r="M17" i="10"/>
  <c r="L17" i="10"/>
  <c r="E37" i="12"/>
  <c r="F37" i="12"/>
  <c r="V17" i="2"/>
  <c r="M18" i="10"/>
  <c r="L18" i="10"/>
  <c r="E38" i="12"/>
  <c r="F38" i="12"/>
  <c r="V19" i="2"/>
  <c r="M19" i="10"/>
  <c r="L19" i="10"/>
  <c r="E39" i="12"/>
  <c r="F39" i="12"/>
  <c r="V20" i="2"/>
  <c r="M20" i="10"/>
  <c r="L20" i="10"/>
  <c r="E40" i="12"/>
  <c r="F40" i="12"/>
  <c r="V22" i="2"/>
  <c r="M21" i="10"/>
  <c r="L21" i="10"/>
  <c r="E41" i="12"/>
  <c r="F41" i="12"/>
  <c r="V23" i="2"/>
  <c r="M22" i="10"/>
  <c r="L22" i="10"/>
  <c r="E42" i="12"/>
  <c r="F42" i="12"/>
  <c r="V25" i="2"/>
  <c r="M23" i="10"/>
  <c r="L23" i="10"/>
  <c r="E43" i="12"/>
  <c r="F43" i="12"/>
  <c r="V27" i="2"/>
  <c r="M24" i="10"/>
  <c r="L24" i="10"/>
  <c r="E44" i="12"/>
  <c r="F44" i="12"/>
  <c r="V29" i="2"/>
  <c r="M25" i="10"/>
  <c r="L25" i="10"/>
  <c r="E45" i="12"/>
  <c r="F45" i="12"/>
  <c r="M78" i="10"/>
  <c r="V37" i="2"/>
  <c r="M80" i="10"/>
  <c r="L80" i="10"/>
  <c r="E100" i="12"/>
  <c r="F100" i="12"/>
  <c r="F101" i="12"/>
  <c r="V40" i="2"/>
  <c r="E102" i="12"/>
  <c r="V41" i="2"/>
  <c r="L83" i="10"/>
  <c r="E103" i="12" s="1"/>
  <c r="V43" i="2"/>
  <c r="M84" i="10"/>
  <c r="L84" i="10"/>
  <c r="E104" i="12" s="1"/>
  <c r="F104" i="12"/>
  <c r="V44" i="2"/>
  <c r="L85" i="10"/>
  <c r="E105" i="12" s="1"/>
  <c r="F105" i="12"/>
  <c r="V46" i="2"/>
  <c r="M86" i="10"/>
  <c r="L86" i="10"/>
  <c r="E106" i="12" s="1"/>
  <c r="F106" i="12"/>
  <c r="M87" i="10"/>
  <c r="F163" i="12"/>
  <c r="V59" i="2"/>
  <c r="M144" i="10"/>
  <c r="L144" i="10"/>
  <c r="E164" i="12" s="1"/>
  <c r="F164" i="12"/>
  <c r="V61" i="2"/>
  <c r="M145" i="10"/>
  <c r="L145" i="10"/>
  <c r="E165" i="12" s="1"/>
  <c r="F165" i="12"/>
  <c r="L146" i="10"/>
  <c r="E166" i="12" s="1"/>
  <c r="V64" i="2"/>
  <c r="M147" i="10"/>
  <c r="L147" i="10"/>
  <c r="E167" i="12" s="1"/>
  <c r="F167" i="12"/>
  <c r="V67" i="2"/>
  <c r="L149" i="10"/>
  <c r="E169" i="12" s="1"/>
  <c r="L150" i="10"/>
  <c r="E170" i="12" s="1"/>
  <c r="F226" i="12"/>
  <c r="M210" i="10"/>
  <c r="L210" i="10"/>
  <c r="E230" i="12" s="1"/>
  <c r="V90" i="2"/>
  <c r="M213" i="10"/>
  <c r="L213" i="10"/>
  <c r="E233" i="12" s="1"/>
  <c r="F233" i="12"/>
  <c r="L268" i="10"/>
  <c r="E288" i="12" s="1"/>
  <c r="M269" i="10"/>
  <c r="L269" i="10"/>
  <c r="E289" i="12" s="1"/>
  <c r="V101" i="2"/>
  <c r="M270" i="10"/>
  <c r="L270" i="10"/>
  <c r="E290" i="12" s="1"/>
  <c r="F290" i="12"/>
  <c r="V103" i="2"/>
  <c r="M271" i="10"/>
  <c r="L271" i="10"/>
  <c r="E291" i="12" s="1"/>
  <c r="F291" i="12"/>
  <c r="V107" i="2"/>
  <c r="M274" i="10"/>
  <c r="L274" i="10"/>
  <c r="E294" i="12" s="1"/>
  <c r="F294" i="12"/>
  <c r="V109" i="2"/>
  <c r="M275" i="10"/>
  <c r="L275" i="10"/>
  <c r="E295" i="12" s="1"/>
  <c r="F295" i="12"/>
  <c r="V118" i="2"/>
  <c r="M330" i="10"/>
  <c r="L330" i="10"/>
  <c r="E350" i="12" s="1"/>
  <c r="F350" i="12"/>
  <c r="V119" i="2"/>
  <c r="M331" i="10"/>
  <c r="L331" i="10"/>
  <c r="E351" i="12" s="1"/>
  <c r="F351" i="12"/>
  <c r="V121" i="2"/>
  <c r="M332" i="10"/>
  <c r="L332" i="10"/>
  <c r="E352" i="12" s="1"/>
  <c r="F352" i="12"/>
  <c r="V122" i="2"/>
  <c r="M333" i="10"/>
  <c r="L333" i="10"/>
  <c r="E353" i="12" s="1"/>
  <c r="F353" i="12"/>
  <c r="V124" i="2"/>
  <c r="M334" i="10"/>
  <c r="L334" i="10"/>
  <c r="E354" i="12" s="1"/>
  <c r="F354" i="12"/>
  <c r="L335" i="10"/>
  <c r="E355" i="12" s="1"/>
  <c r="F355" i="12"/>
  <c r="L336" i="10"/>
  <c r="E356" i="12" s="1"/>
  <c r="F357" i="12"/>
  <c r="L338" i="10"/>
  <c r="E358" i="12" s="1"/>
  <c r="F358" i="12"/>
  <c r="M339" i="10"/>
  <c r="L397" i="10"/>
  <c r="E417" i="12" s="1"/>
  <c r="V160" i="2"/>
  <c r="M456" i="10"/>
  <c r="L456" i="10"/>
  <c r="E476" i="12" s="1"/>
  <c r="F476" i="12"/>
  <c r="V161" i="2"/>
  <c r="M457" i="10"/>
  <c r="L457" i="10"/>
  <c r="E477" i="12" s="1"/>
  <c r="F477" i="12"/>
  <c r="V169" i="2"/>
  <c r="M462" i="10"/>
  <c r="L462" i="10"/>
  <c r="E482" i="12" s="1"/>
  <c r="F482" i="12"/>
  <c r="V170" i="2"/>
  <c r="M463" i="10"/>
  <c r="L463" i="10"/>
  <c r="E483" i="12" s="1"/>
  <c r="F483" i="12"/>
  <c r="M524" i="10"/>
  <c r="F544" i="12"/>
  <c r="V190" i="2"/>
  <c r="M525" i="10"/>
  <c r="L525" i="10"/>
  <c r="E545" i="12" s="1"/>
  <c r="F545" i="12"/>
  <c r="V193" i="2"/>
  <c r="M527" i="10"/>
  <c r="L527" i="10"/>
  <c r="E547" i="12" s="1"/>
  <c r="F547" i="12"/>
  <c r="V195" i="2"/>
  <c r="M528" i="10"/>
  <c r="M582" i="10"/>
  <c r="V205" i="2"/>
  <c r="M584" i="10"/>
  <c r="L584" i="10"/>
  <c r="E604" i="12" s="1"/>
  <c r="F604" i="12"/>
  <c r="V209" i="2"/>
  <c r="M587" i="10"/>
  <c r="L587" i="10"/>
  <c r="E607" i="12" s="1"/>
  <c r="F607" i="12"/>
  <c r="M590" i="10"/>
  <c r="V216" i="2"/>
  <c r="M591" i="10"/>
  <c r="L591" i="10"/>
  <c r="E611" i="12" s="1"/>
  <c r="F611" i="12"/>
  <c r="V226" i="2"/>
  <c r="M647" i="10"/>
  <c r="L647" i="10"/>
  <c r="E667" i="12" s="1"/>
  <c r="F667" i="12"/>
  <c r="V230" i="2"/>
  <c r="M650" i="10"/>
  <c r="L650" i="10"/>
  <c r="E670" i="12" s="1"/>
  <c r="F670" i="12"/>
  <c r="V232" i="2"/>
  <c r="M651" i="10"/>
  <c r="L651" i="10"/>
  <c r="E671" i="12" s="1"/>
  <c r="F671" i="12"/>
  <c r="L652" i="10"/>
  <c r="E672" i="12" s="1"/>
  <c r="V245" i="2"/>
  <c r="M709" i="10"/>
  <c r="L709" i="10"/>
  <c r="E729" i="12" s="1"/>
  <c r="F729" i="12"/>
  <c r="V247" i="2"/>
  <c r="F730" i="12"/>
  <c r="V251" i="2"/>
  <c r="M713" i="10"/>
  <c r="L713" i="10"/>
  <c r="E733" i="12" s="1"/>
  <c r="F733" i="12"/>
  <c r="V253" i="2"/>
  <c r="M714" i="10"/>
  <c r="L714" i="10"/>
  <c r="E734" i="12" s="1"/>
  <c r="F734" i="12"/>
  <c r="V254" i="2"/>
  <c r="M715" i="10"/>
  <c r="L715" i="10"/>
  <c r="E735" i="12" s="1"/>
  <c r="F735" i="12"/>
  <c r="V256" i="2"/>
  <c r="M716" i="10"/>
  <c r="L716" i="10"/>
  <c r="E736" i="12" s="1"/>
  <c r="F736" i="12"/>
  <c r="V18" i="1"/>
  <c r="M7" i="10"/>
  <c r="L7" i="10"/>
  <c r="E27" i="12"/>
  <c r="F27" i="12"/>
  <c r="V19" i="1"/>
  <c r="M8" i="10"/>
  <c r="L8" i="10"/>
  <c r="E28" i="12"/>
  <c r="F28" i="12"/>
  <c r="V21" i="1"/>
  <c r="M9" i="10"/>
  <c r="L9" i="10"/>
  <c r="E29" i="12"/>
  <c r="F29" i="12"/>
  <c r="V22" i="1"/>
  <c r="M10" i="10"/>
  <c r="L10" i="10"/>
  <c r="E30" i="12"/>
  <c r="F30" i="12"/>
  <c r="V24" i="1"/>
  <c r="M11" i="10"/>
  <c r="L11" i="10"/>
  <c r="E31" i="12"/>
  <c r="F31" i="12"/>
  <c r="V26" i="1"/>
  <c r="M12" i="10"/>
  <c r="L12" i="10"/>
  <c r="E32" i="12"/>
  <c r="F32" i="12"/>
  <c r="V28" i="1"/>
  <c r="M13" i="10"/>
  <c r="L13" i="10"/>
  <c r="E33" i="12"/>
  <c r="F33" i="12"/>
  <c r="V30" i="1"/>
  <c r="M14" i="10"/>
  <c r="L14" i="10"/>
  <c r="E34" i="12"/>
  <c r="F34" i="12"/>
  <c r="V35" i="1"/>
  <c r="M67" i="10"/>
  <c r="L67" i="10"/>
  <c r="E87" i="12"/>
  <c r="F87" i="12"/>
  <c r="V37" i="1"/>
  <c r="M68" i="10"/>
  <c r="L68" i="10"/>
  <c r="E88" i="12"/>
  <c r="F88" i="12"/>
  <c r="M71" i="10"/>
  <c r="V43" i="1"/>
  <c r="M72" i="10"/>
  <c r="L72" i="10"/>
  <c r="E92" i="12" s="1"/>
  <c r="F92" i="12"/>
  <c r="V44" i="1"/>
  <c r="M73" i="10"/>
  <c r="L73" i="10"/>
  <c r="E93" i="12" s="1"/>
  <c r="F93" i="12"/>
  <c r="V46" i="1"/>
  <c r="F94" i="12"/>
  <c r="V48" i="1"/>
  <c r="M75" i="10"/>
  <c r="L75" i="10"/>
  <c r="E95" i="12" s="1"/>
  <c r="F95" i="12"/>
  <c r="V50" i="1"/>
  <c r="L76" i="10"/>
  <c r="E96" i="12" s="1"/>
  <c r="V57" i="1"/>
  <c r="M130" i="10"/>
  <c r="L130" i="10"/>
  <c r="E150" i="12" s="1"/>
  <c r="F150" i="12"/>
  <c r="M132" i="10"/>
  <c r="M134" i="10"/>
  <c r="V66" i="1"/>
  <c r="M136" i="10"/>
  <c r="E156" i="12"/>
  <c r="F156" i="12"/>
  <c r="V68" i="1"/>
  <c r="M137" i="10"/>
  <c r="F157" i="12"/>
  <c r="V72" i="1"/>
  <c r="L139" i="10"/>
  <c r="E159" i="12" s="1"/>
  <c r="V79" i="1"/>
  <c r="M193" i="10"/>
  <c r="F213" i="12"/>
  <c r="V81" i="1"/>
  <c r="M194" i="10"/>
  <c r="L194" i="10"/>
  <c r="E214" i="12" s="1"/>
  <c r="F214" i="12"/>
  <c r="V85" i="1"/>
  <c r="E218" i="12"/>
  <c r="V88" i="1"/>
  <c r="M199" i="10"/>
  <c r="L199" i="10"/>
  <c r="E219" i="12" s="1"/>
  <c r="F219" i="12"/>
  <c r="V90" i="1"/>
  <c r="F220" i="12"/>
  <c r="V94" i="1"/>
  <c r="M202" i="10"/>
  <c r="L202" i="10"/>
  <c r="E222" i="12" s="1"/>
  <c r="F222" i="12"/>
  <c r="V101" i="1"/>
  <c r="M256" i="10"/>
  <c r="L256" i="10"/>
  <c r="E276" i="12" s="1"/>
  <c r="F276" i="12"/>
  <c r="V103" i="1"/>
  <c r="M257" i="10"/>
  <c r="L257" i="10"/>
  <c r="E277" i="12" s="1"/>
  <c r="F277" i="12"/>
  <c r="V107" i="1"/>
  <c r="M260" i="10"/>
  <c r="L260" i="10"/>
  <c r="E280" i="12" s="1"/>
  <c r="F280" i="12"/>
  <c r="V109" i="1"/>
  <c r="M261" i="10"/>
  <c r="L261" i="10"/>
  <c r="E281" i="12" s="1"/>
  <c r="F281" i="12"/>
  <c r="V110" i="1"/>
  <c r="M262" i="10"/>
  <c r="F282" i="12"/>
  <c r="V112" i="1"/>
  <c r="M263" i="10"/>
  <c r="L263" i="10"/>
  <c r="E283" i="12" s="1"/>
  <c r="F283" i="12"/>
  <c r="V123" i="1"/>
  <c r="M320" i="10"/>
  <c r="L323" i="10"/>
  <c r="E343" i="12" s="1"/>
  <c r="V131" i="1"/>
  <c r="M324" i="10"/>
  <c r="L324" i="10"/>
  <c r="E344" i="12" s="1"/>
  <c r="F344" i="12"/>
  <c r="M325" i="10"/>
  <c r="L325" i="10"/>
  <c r="E345" i="12" s="1"/>
  <c r="V136" i="1"/>
  <c r="V145" i="1"/>
  <c r="L382" i="10"/>
  <c r="E402" i="12" s="1"/>
  <c r="F402" i="12"/>
  <c r="V151" i="1"/>
  <c r="M386" i="10"/>
  <c r="L386" i="10"/>
  <c r="E406" i="12" s="1"/>
  <c r="F406" i="12"/>
  <c r="V154" i="1"/>
  <c r="M388" i="10"/>
  <c r="L388" i="10"/>
  <c r="E408" i="12" s="1"/>
  <c r="F408" i="12"/>
  <c r="V156" i="1"/>
  <c r="M389" i="10"/>
  <c r="L389" i="10"/>
  <c r="E409" i="12" s="1"/>
  <c r="F409" i="12"/>
  <c r="V160" i="1"/>
  <c r="M391" i="10"/>
  <c r="L391" i="10"/>
  <c r="E411" i="12" s="1"/>
  <c r="F411" i="12"/>
  <c r="V167" i="1"/>
  <c r="M445" i="10"/>
  <c r="L445" i="10"/>
  <c r="E465" i="12" s="1"/>
  <c r="F465" i="12"/>
  <c r="V169" i="1"/>
  <c r="M446" i="10"/>
  <c r="L446" i="10"/>
  <c r="E466" i="12" s="1"/>
  <c r="F466" i="12"/>
  <c r="V173" i="1"/>
  <c r="M449" i="10"/>
  <c r="L449" i="10"/>
  <c r="E469" i="12" s="1"/>
  <c r="F469" i="12"/>
  <c r="V176" i="1"/>
  <c r="M451" i="10"/>
  <c r="L451" i="10"/>
  <c r="E471" i="12" s="1"/>
  <c r="F471" i="12"/>
  <c r="V178" i="1"/>
  <c r="M452" i="10"/>
  <c r="L452" i="10"/>
  <c r="E472" i="12" s="1"/>
  <c r="F472" i="12"/>
  <c r="V182" i="1"/>
  <c r="M454" i="10"/>
  <c r="L454" i="10"/>
  <c r="E474" i="12" s="1"/>
  <c r="F474" i="12"/>
  <c r="V195" i="1"/>
  <c r="M512" i="10"/>
  <c r="L512" i="10"/>
  <c r="E532" i="12" s="1"/>
  <c r="F532" i="12"/>
  <c r="V197" i="1"/>
  <c r="L513" i="10"/>
  <c r="E533" i="12" s="1"/>
  <c r="F533" i="12"/>
  <c r="V200" i="1"/>
  <c r="M515" i="10"/>
  <c r="L515" i="10"/>
  <c r="E535" i="12" s="1"/>
  <c r="F535" i="12"/>
  <c r="V202" i="1"/>
  <c r="M516" i="10"/>
  <c r="L516" i="10"/>
  <c r="E536" i="12" s="1"/>
  <c r="F536" i="12"/>
  <c r="V219" i="1"/>
  <c r="M576" i="10"/>
  <c r="L576" i="10"/>
  <c r="E596" i="12" s="1"/>
  <c r="F596" i="12"/>
  <c r="V220" i="1"/>
  <c r="M577" i="10"/>
  <c r="L577" i="10"/>
  <c r="E597" i="12" s="1"/>
  <c r="F597" i="12"/>
  <c r="M580" i="10"/>
  <c r="E655" i="12"/>
  <c r="F655" i="12"/>
  <c r="V239" i="1"/>
  <c r="M638" i="10"/>
  <c r="L638" i="10"/>
  <c r="E658" i="12" s="1"/>
  <c r="F658" i="12"/>
  <c r="F662" i="12"/>
  <c r="V248" i="1"/>
  <c r="M643" i="10"/>
  <c r="L643" i="10"/>
  <c r="E663" i="12" s="1"/>
  <c r="F663" i="12"/>
  <c r="V255" i="1"/>
  <c r="M697" i="10"/>
  <c r="L697" i="10"/>
  <c r="E717" i="12" s="1"/>
  <c r="F717" i="12"/>
  <c r="V263" i="1"/>
  <c r="M702" i="10"/>
  <c r="L702" i="10"/>
  <c r="E722" i="12"/>
  <c r="F722" i="12"/>
  <c r="V264" i="1"/>
  <c r="M703" i="10"/>
  <c r="L703" i="10"/>
  <c r="E723" i="12" s="1"/>
  <c r="F723" i="12"/>
  <c r="V270" i="1"/>
  <c r="M706" i="10"/>
  <c r="L706" i="10"/>
  <c r="E726" i="12"/>
  <c r="F726" i="12"/>
  <c r="V12" i="3"/>
  <c r="M26" i="10"/>
  <c r="L26" i="10"/>
  <c r="E46" i="12"/>
  <c r="F46" i="12"/>
  <c r="V13" i="3"/>
  <c r="M27" i="10"/>
  <c r="L27" i="10"/>
  <c r="E47" i="12"/>
  <c r="F47" i="12"/>
  <c r="V14" i="3"/>
  <c r="M28" i="10"/>
  <c r="L28" i="10"/>
  <c r="E48" i="12"/>
  <c r="F48" i="12"/>
  <c r="V16" i="3"/>
  <c r="M29" i="10"/>
  <c r="L29" i="10"/>
  <c r="E49" i="12"/>
  <c r="F49" i="12"/>
  <c r="V17" i="3"/>
  <c r="M30" i="10"/>
  <c r="L30" i="10"/>
  <c r="E50" i="12"/>
  <c r="F50" i="12"/>
  <c r="V18" i="3"/>
  <c r="M31" i="10"/>
  <c r="L31" i="10"/>
  <c r="E51" i="12"/>
  <c r="F51" i="12"/>
  <c r="V19" i="3"/>
  <c r="M32" i="10"/>
  <c r="L32" i="10"/>
  <c r="E52" i="12"/>
  <c r="F52" i="12"/>
  <c r="V21" i="3"/>
  <c r="M33" i="10"/>
  <c r="L33" i="10"/>
  <c r="E53" i="12"/>
  <c r="F53" i="12"/>
  <c r="V22" i="3"/>
  <c r="M34" i="10"/>
  <c r="L34" i="10"/>
  <c r="E54" i="12"/>
  <c r="F54" i="12"/>
  <c r="V24" i="3"/>
  <c r="M35" i="10"/>
  <c r="L35" i="10"/>
  <c r="E55" i="12"/>
  <c r="F55" i="12"/>
  <c r="V25" i="3"/>
  <c r="M36" i="10"/>
  <c r="L36" i="10"/>
  <c r="E56" i="12"/>
  <c r="F56" i="12"/>
  <c r="V27" i="3"/>
  <c r="M37" i="10"/>
  <c r="L37" i="10"/>
  <c r="E57" i="12"/>
  <c r="F57" i="12"/>
  <c r="V28" i="3"/>
  <c r="M38" i="10"/>
  <c r="L38" i="10"/>
  <c r="E58" i="12"/>
  <c r="F58" i="12"/>
  <c r="V29" i="3"/>
  <c r="M39" i="10"/>
  <c r="L39" i="10"/>
  <c r="E59" i="12"/>
  <c r="F59" i="12"/>
  <c r="V30" i="3"/>
  <c r="M40" i="10"/>
  <c r="L40" i="10"/>
  <c r="E60" i="12"/>
  <c r="F60" i="12"/>
  <c r="L89" i="10"/>
  <c r="E109" i="12" s="1"/>
  <c r="V35" i="3"/>
  <c r="L90" i="10"/>
  <c r="E110" i="12" s="1"/>
  <c r="M91" i="10"/>
  <c r="V38" i="3"/>
  <c r="M92" i="10"/>
  <c r="L92" i="10"/>
  <c r="E112" i="12" s="1"/>
  <c r="F112" i="12"/>
  <c r="F113" i="12"/>
  <c r="V40" i="3"/>
  <c r="F114" i="12"/>
  <c r="M95" i="10"/>
  <c r="V43" i="3"/>
  <c r="F116" i="12"/>
  <c r="V46" i="3"/>
  <c r="M98" i="10"/>
  <c r="L98" i="10"/>
  <c r="E118" i="12" s="1"/>
  <c r="F118" i="12"/>
  <c r="V50" i="3"/>
  <c r="M101" i="10"/>
  <c r="L101" i="10"/>
  <c r="E121" i="12" s="1"/>
  <c r="F121" i="12"/>
  <c r="M102" i="10"/>
  <c r="V56" i="3"/>
  <c r="M152" i="10"/>
  <c r="L152" i="10"/>
  <c r="E172" i="12" s="1"/>
  <c r="F172" i="12"/>
  <c r="V57" i="3"/>
  <c r="L153" i="10"/>
  <c r="E173" i="12" s="1"/>
  <c r="F175" i="12"/>
  <c r="M157" i="10"/>
  <c r="L157" i="10"/>
  <c r="E177" i="12" s="1"/>
  <c r="F177" i="12"/>
  <c r="V65" i="3"/>
  <c r="M159" i="10"/>
  <c r="L159" i="10"/>
  <c r="E179" i="12" s="1"/>
  <c r="F179" i="12"/>
  <c r="V68" i="3"/>
  <c r="M161" i="10"/>
  <c r="L161" i="10"/>
  <c r="E181" i="12" s="1"/>
  <c r="F181" i="12"/>
  <c r="V69" i="3"/>
  <c r="M162" i="10"/>
  <c r="L162" i="10"/>
  <c r="E182" i="12" s="1"/>
  <c r="F182" i="12"/>
  <c r="L166" i="10"/>
  <c r="E186" i="12" s="1"/>
  <c r="V78" i="3"/>
  <c r="M215" i="10"/>
  <c r="L215" i="10"/>
  <c r="E235" i="12" s="1"/>
  <c r="F235" i="12"/>
  <c r="V79" i="3"/>
  <c r="M216" i="10"/>
  <c r="L216" i="10"/>
  <c r="E236" i="12" s="1"/>
  <c r="F236" i="12"/>
  <c r="M217" i="10"/>
  <c r="F237" i="12"/>
  <c r="V82" i="3"/>
  <c r="M218" i="10"/>
  <c r="L218" i="10"/>
  <c r="E238" i="12" s="1"/>
  <c r="F238" i="12"/>
  <c r="V83" i="3"/>
  <c r="M219" i="10"/>
  <c r="F239" i="12"/>
  <c r="V84" i="3"/>
  <c r="M220" i="10"/>
  <c r="L220" i="10"/>
  <c r="E240" i="12" s="1"/>
  <c r="F240" i="12"/>
  <c r="F241" i="12"/>
  <c r="V87" i="3"/>
  <c r="M222" i="10"/>
  <c r="L222" i="10"/>
  <c r="E242" i="12" s="1"/>
  <c r="F242" i="12"/>
  <c r="V90" i="3"/>
  <c r="M224" i="10"/>
  <c r="L224" i="10"/>
  <c r="E244" i="12" s="1"/>
  <c r="F244" i="12"/>
  <c r="V94" i="3"/>
  <c r="M227" i="10"/>
  <c r="L227" i="10"/>
  <c r="E247" i="12" s="1"/>
  <c r="F247" i="12"/>
  <c r="V96" i="3"/>
  <c r="M229" i="10"/>
  <c r="L229" i="10"/>
  <c r="E249" i="12" s="1"/>
  <c r="F249" i="12"/>
  <c r="F298" i="12"/>
  <c r="V104" i="3"/>
  <c r="M281" i="10"/>
  <c r="L281" i="10"/>
  <c r="E301" i="12" s="1"/>
  <c r="F301" i="12"/>
  <c r="V106" i="3"/>
  <c r="M283" i="10"/>
  <c r="L283" i="10"/>
  <c r="E303" i="12" s="1"/>
  <c r="F303" i="12"/>
  <c r="V109" i="3"/>
  <c r="M285" i="10"/>
  <c r="L285" i="10"/>
  <c r="E305" i="12" s="1"/>
  <c r="F305" i="12"/>
  <c r="V113" i="3"/>
  <c r="M288" i="10"/>
  <c r="L288" i="10"/>
  <c r="E308" i="12" s="1"/>
  <c r="F308" i="12"/>
  <c r="V117" i="3"/>
  <c r="M291" i="10"/>
  <c r="L291" i="10"/>
  <c r="E311" i="12" s="1"/>
  <c r="F311" i="12"/>
  <c r="V122" i="3"/>
  <c r="M341" i="10"/>
  <c r="L341" i="10"/>
  <c r="E361" i="12" s="1"/>
  <c r="F361" i="12"/>
  <c r="V126" i="3"/>
  <c r="M344" i="10"/>
  <c r="L344" i="10"/>
  <c r="E364" i="12" s="1"/>
  <c r="F364" i="12"/>
  <c r="V127" i="3"/>
  <c r="M345" i="10"/>
  <c r="L345" i="10"/>
  <c r="E365" i="12" s="1"/>
  <c r="F365" i="12"/>
  <c r="V140" i="3"/>
  <c r="M355" i="10"/>
  <c r="L355" i="10"/>
  <c r="E375" i="12" s="1"/>
  <c r="F375" i="12"/>
  <c r="V144" i="3"/>
  <c r="V146" i="3"/>
  <c r="M406" i="10"/>
  <c r="L406" i="10"/>
  <c r="E426" i="12" s="1"/>
  <c r="F426" i="12"/>
  <c r="V150" i="3"/>
  <c r="M409" i="10"/>
  <c r="L409" i="10"/>
  <c r="E429" i="12" s="1"/>
  <c r="F429" i="12"/>
  <c r="V153" i="3"/>
  <c r="M411" i="10"/>
  <c r="L411" i="10"/>
  <c r="E431" i="12" s="1"/>
  <c r="F431" i="12"/>
  <c r="V156" i="3"/>
  <c r="M413" i="10"/>
  <c r="L413" i="10"/>
  <c r="E433" i="12" s="1"/>
  <c r="F433" i="12"/>
  <c r="V157" i="3"/>
  <c r="M414" i="10"/>
  <c r="L414" i="10"/>
  <c r="E434" i="12" s="1"/>
  <c r="F434" i="12"/>
  <c r="V162" i="3"/>
  <c r="M418" i="10"/>
  <c r="L418" i="10"/>
  <c r="E438" i="12" s="1"/>
  <c r="F438" i="12"/>
  <c r="V166" i="3"/>
  <c r="M467" i="10"/>
  <c r="L467" i="10"/>
  <c r="E487" i="12" s="1"/>
  <c r="F487" i="12"/>
  <c r="V167" i="3"/>
  <c r="M468" i="10"/>
  <c r="L468" i="10"/>
  <c r="E488" i="12" s="1"/>
  <c r="F488" i="12"/>
  <c r="V170" i="3"/>
  <c r="M470" i="10"/>
  <c r="L470" i="10"/>
  <c r="E490" i="12" s="1"/>
  <c r="F490" i="12"/>
  <c r="V172" i="3"/>
  <c r="M472" i="10"/>
  <c r="L472" i="10"/>
  <c r="E492" i="12" s="1"/>
  <c r="F492" i="12"/>
  <c r="V173" i="3"/>
  <c r="M473" i="10"/>
  <c r="L473" i="10"/>
  <c r="E493" i="12" s="1"/>
  <c r="F493" i="12"/>
  <c r="V175" i="3"/>
  <c r="M474" i="10"/>
  <c r="F494" i="12"/>
  <c r="V178" i="3"/>
  <c r="M476" i="10"/>
  <c r="L476" i="10"/>
  <c r="E496" i="12" s="1"/>
  <c r="F496" i="12"/>
  <c r="V183" i="3"/>
  <c r="M480" i="10"/>
  <c r="L480" i="10"/>
  <c r="E500" i="12" s="1"/>
  <c r="F500" i="12"/>
  <c r="V184" i="3"/>
  <c r="M481" i="10"/>
  <c r="L481" i="10"/>
  <c r="E501" i="12" s="1"/>
  <c r="F501" i="12"/>
  <c r="V189" i="3"/>
  <c r="V198" i="3"/>
  <c r="M538" i="10"/>
  <c r="L538" i="10"/>
  <c r="E558" i="12" s="1"/>
  <c r="F558" i="12"/>
  <c r="V200" i="3"/>
  <c r="M539" i="10"/>
  <c r="L539" i="10"/>
  <c r="E559" i="12" s="1"/>
  <c r="F559" i="12"/>
  <c r="V205" i="3"/>
  <c r="M543" i="10"/>
  <c r="L543" i="10"/>
  <c r="E563" i="12" s="1"/>
  <c r="F563" i="12"/>
  <c r="V206" i="3"/>
  <c r="M544" i="10"/>
  <c r="L544" i="10"/>
  <c r="E564" i="12" s="1"/>
  <c r="F564" i="12"/>
  <c r="V210" i="3"/>
  <c r="M593" i="10"/>
  <c r="L593" i="10"/>
  <c r="E613" i="12" s="1"/>
  <c r="F613" i="12"/>
  <c r="V211" i="3"/>
  <c r="M594" i="10"/>
  <c r="L594" i="10"/>
  <c r="E614" i="12" s="1"/>
  <c r="F614" i="12"/>
  <c r="V212" i="3"/>
  <c r="M595" i="10"/>
  <c r="L595" i="10"/>
  <c r="E615" i="12" s="1"/>
  <c r="F615" i="12"/>
  <c r="M597" i="10"/>
  <c r="V216" i="3"/>
  <c r="M598" i="10"/>
  <c r="L598" i="10"/>
  <c r="E618" i="12" s="1"/>
  <c r="F618" i="12"/>
  <c r="M601" i="10"/>
  <c r="V222" i="3"/>
  <c r="F622" i="12"/>
  <c r="V223" i="3"/>
  <c r="M603" i="10"/>
  <c r="L603" i="10"/>
  <c r="E623" i="12" s="1"/>
  <c r="F623" i="12"/>
  <c r="V226" i="3"/>
  <c r="M606" i="10"/>
  <c r="L606" i="10"/>
  <c r="E626" i="12" s="1"/>
  <c r="V232" i="3"/>
  <c r="M656" i="10"/>
  <c r="L656" i="10"/>
  <c r="E676" i="12" s="1"/>
  <c r="F676" i="12"/>
  <c r="V233" i="3"/>
  <c r="V234" i="3"/>
  <c r="M658" i="10"/>
  <c r="L658" i="10"/>
  <c r="E678" i="12" s="1"/>
  <c r="F678" i="12"/>
  <c r="V238" i="3"/>
  <c r="M661" i="10"/>
  <c r="L661" i="10"/>
  <c r="E681" i="12" s="1"/>
  <c r="F681" i="12"/>
  <c r="V239" i="3"/>
  <c r="M662" i="10"/>
  <c r="L662" i="10"/>
  <c r="E682" i="12" s="1"/>
  <c r="F682" i="12"/>
  <c r="V245" i="3"/>
  <c r="M666" i="10"/>
  <c r="L666" i="10"/>
  <c r="E686" i="12" s="1"/>
  <c r="F686" i="12"/>
  <c r="V250" i="3"/>
  <c r="M670" i="10"/>
  <c r="L670" i="10"/>
  <c r="E690" i="12" s="1"/>
  <c r="F690" i="12"/>
  <c r="V256" i="3"/>
  <c r="M721" i="10"/>
  <c r="L721" i="10"/>
  <c r="E741" i="12" s="1"/>
  <c r="F741" i="12"/>
  <c r="F743" i="12"/>
  <c r="V260" i="3"/>
  <c r="M724" i="10"/>
  <c r="L724" i="10"/>
  <c r="E744" i="12" s="1"/>
  <c r="F744" i="12"/>
  <c r="F747" i="12"/>
  <c r="V271" i="3"/>
  <c r="M732" i="10"/>
  <c r="L732" i="10"/>
  <c r="E752" i="12" s="1"/>
  <c r="F752" i="12"/>
  <c r="V12" i="4"/>
  <c r="M41" i="10"/>
  <c r="L41" i="10"/>
  <c r="E61" i="12"/>
  <c r="F61" i="12"/>
  <c r="V13" i="4"/>
  <c r="M42" i="10"/>
  <c r="L42" i="10"/>
  <c r="E62" i="12"/>
  <c r="F62" i="12"/>
  <c r="V15" i="4"/>
  <c r="M43" i="10"/>
  <c r="L43" i="10"/>
  <c r="E63" i="12"/>
  <c r="F63" i="12"/>
  <c r="V16" i="4"/>
  <c r="M44" i="10"/>
  <c r="L44" i="10"/>
  <c r="E64" i="12"/>
  <c r="F64" i="12"/>
  <c r="V17" i="4"/>
  <c r="M45" i="10"/>
  <c r="L45" i="10"/>
  <c r="E65" i="12"/>
  <c r="F65" i="12"/>
  <c r="V20" i="4"/>
  <c r="M46" i="10"/>
  <c r="L46" i="10"/>
  <c r="E66" i="12"/>
  <c r="F66" i="12"/>
  <c r="V22" i="4"/>
  <c r="M47" i="10"/>
  <c r="L47" i="10"/>
  <c r="E67" i="12"/>
  <c r="F67" i="12"/>
  <c r="V24" i="4"/>
  <c r="M48" i="10"/>
  <c r="L48" i="10"/>
  <c r="E68" i="12"/>
  <c r="F68" i="12"/>
  <c r="V26" i="4"/>
  <c r="M49" i="10"/>
  <c r="L49" i="10"/>
  <c r="E69" i="12"/>
  <c r="F69" i="12"/>
  <c r="V27" i="4"/>
  <c r="M50" i="10"/>
  <c r="L50" i="10"/>
  <c r="E70" i="12"/>
  <c r="F70" i="12"/>
  <c r="V29" i="4"/>
  <c r="M51" i="10"/>
  <c r="L51" i="10"/>
  <c r="E71" i="12"/>
  <c r="F71" i="12"/>
  <c r="V31" i="4"/>
  <c r="M52" i="10"/>
  <c r="L52" i="10"/>
  <c r="E72" i="12"/>
  <c r="F72" i="12"/>
  <c r="V33" i="4"/>
  <c r="M53" i="10"/>
  <c r="L53" i="10"/>
  <c r="E73" i="12"/>
  <c r="F73" i="12"/>
  <c r="E124" i="12"/>
  <c r="M105" i="10"/>
  <c r="M107" i="10"/>
  <c r="M108" i="10"/>
  <c r="V47" i="4"/>
  <c r="M110" i="10"/>
  <c r="L110" i="10"/>
  <c r="E130" i="12"/>
  <c r="F130" i="12"/>
  <c r="V49" i="4"/>
  <c r="M111" i="10"/>
  <c r="L111" i="10"/>
  <c r="E131" i="12" s="1"/>
  <c r="F131" i="12"/>
  <c r="L112" i="10"/>
  <c r="E132" i="12" s="1"/>
  <c r="L113" i="10"/>
  <c r="E133" i="12" s="1"/>
  <c r="V54" i="4"/>
  <c r="M114" i="10"/>
  <c r="M115" i="10"/>
  <c r="F135" i="12"/>
  <c r="V62" i="4"/>
  <c r="M167" i="10"/>
  <c r="L167" i="10"/>
  <c r="E187" i="12" s="1"/>
  <c r="F187" i="12"/>
  <c r="V65" i="4"/>
  <c r="F189" i="12"/>
  <c r="V67" i="4"/>
  <c r="M171" i="10"/>
  <c r="L171" i="10"/>
  <c r="E191" i="12" s="1"/>
  <c r="F191" i="12"/>
  <c r="M172" i="10"/>
  <c r="V72" i="4"/>
  <c r="M173" i="10"/>
  <c r="L173" i="10"/>
  <c r="E193" i="12" s="1"/>
  <c r="F193" i="12"/>
  <c r="V74" i="4"/>
  <c r="M174" i="10"/>
  <c r="L174" i="10"/>
  <c r="E194" i="12" s="1"/>
  <c r="F194" i="12"/>
  <c r="L175" i="10"/>
  <c r="E195" i="12" s="1"/>
  <c r="V77" i="4"/>
  <c r="M176" i="10"/>
  <c r="L176" i="10"/>
  <c r="E196" i="12" s="1"/>
  <c r="F196" i="12"/>
  <c r="V79" i="4"/>
  <c r="M177" i="10"/>
  <c r="L177" i="10"/>
  <c r="E197" i="12" s="1"/>
  <c r="F197" i="12"/>
  <c r="V81" i="4"/>
  <c r="M230" i="10"/>
  <c r="V90" i="4"/>
  <c r="M233" i="10"/>
  <c r="L233" i="10"/>
  <c r="E253" i="12" s="1"/>
  <c r="V95" i="4"/>
  <c r="M235" i="10"/>
  <c r="L235" i="10"/>
  <c r="E255" i="12" s="1"/>
  <c r="F255" i="12"/>
  <c r="V97" i="4"/>
  <c r="L237" i="10"/>
  <c r="E257" i="12" s="1"/>
  <c r="V101" i="4"/>
  <c r="M238" i="10"/>
  <c r="L238" i="10"/>
  <c r="E258" i="12" s="1"/>
  <c r="F258" i="12"/>
  <c r="M239" i="10"/>
  <c r="V104" i="4"/>
  <c r="M240" i="10"/>
  <c r="L240" i="10"/>
  <c r="E260" i="12" s="1"/>
  <c r="F260" i="12"/>
  <c r="V112" i="4"/>
  <c r="M293" i="10"/>
  <c r="L293" i="10"/>
  <c r="E313" i="12" s="1"/>
  <c r="F313" i="12"/>
  <c r="V116" i="4"/>
  <c r="M296" i="10"/>
  <c r="L296" i="10"/>
  <c r="E316" i="12" s="1"/>
  <c r="F316" i="12"/>
  <c r="M297" i="10"/>
  <c r="M299" i="10"/>
  <c r="M301" i="10"/>
  <c r="V137" i="4"/>
  <c r="M356" i="10"/>
  <c r="L356" i="10"/>
  <c r="E376" i="12" s="1"/>
  <c r="F376" i="12"/>
  <c r="V138" i="4"/>
  <c r="M357" i="10"/>
  <c r="L357" i="10"/>
  <c r="E377" i="12" s="1"/>
  <c r="F377" i="12"/>
  <c r="V140" i="4"/>
  <c r="M358" i="10"/>
  <c r="L358" i="10"/>
  <c r="E378" i="12" s="1"/>
  <c r="F378" i="12"/>
  <c r="V149" i="4"/>
  <c r="M363" i="10"/>
  <c r="L363" i="10"/>
  <c r="E383" i="12" s="1"/>
  <c r="F383" i="12"/>
  <c r="V151" i="4"/>
  <c r="M364" i="10"/>
  <c r="L364" i="10"/>
  <c r="E384" i="12" s="1"/>
  <c r="F384" i="12"/>
  <c r="V154" i="4"/>
  <c r="M366" i="10"/>
  <c r="L366" i="10"/>
  <c r="E386" i="12" s="1"/>
  <c r="F386" i="12"/>
  <c r="L367" i="10"/>
  <c r="E387" i="12" s="1"/>
  <c r="M367" i="10"/>
  <c r="F387" i="12"/>
  <c r="M419" i="10"/>
  <c r="V165" i="4"/>
  <c r="M421" i="10"/>
  <c r="L421" i="10"/>
  <c r="E441" i="12" s="1"/>
  <c r="F441" i="12"/>
  <c r="V166" i="4"/>
  <c r="M422" i="10"/>
  <c r="L422" i="10"/>
  <c r="E442" i="12" s="1"/>
  <c r="F442" i="12"/>
  <c r="V167" i="4"/>
  <c r="M423" i="10"/>
  <c r="L423" i="10"/>
  <c r="E443" i="12" s="1"/>
  <c r="F443" i="12"/>
  <c r="F445" i="12"/>
  <c r="V179" i="4"/>
  <c r="M429" i="10"/>
  <c r="L429" i="10"/>
  <c r="E449" i="12" s="1"/>
  <c r="F449" i="12"/>
  <c r="V188" i="4"/>
  <c r="M483" i="10"/>
  <c r="L483" i="10"/>
  <c r="E503" i="12" s="1"/>
  <c r="F503" i="12"/>
  <c r="M487" i="10"/>
  <c r="V199" i="4"/>
  <c r="M489" i="10"/>
  <c r="L489" i="10"/>
  <c r="E509" i="12" s="1"/>
  <c r="F509" i="12"/>
  <c r="V202" i="4"/>
  <c r="M491" i="10"/>
  <c r="L491" i="10"/>
  <c r="E511" i="12" s="1"/>
  <c r="F511" i="12"/>
  <c r="V212" i="4"/>
  <c r="M545" i="10"/>
  <c r="L545" i="10"/>
  <c r="E565" i="12" s="1"/>
  <c r="F565" i="12"/>
  <c r="V213" i="4"/>
  <c r="M546" i="10"/>
  <c r="L546" i="10"/>
  <c r="E566" i="12" s="1"/>
  <c r="F566" i="12"/>
  <c r="V215" i="4"/>
  <c r="M547" i="10"/>
  <c r="L547" i="10"/>
  <c r="E567" i="12" s="1"/>
  <c r="F567" i="12"/>
  <c r="V216" i="4"/>
  <c r="M548" i="10"/>
  <c r="L548" i="10"/>
  <c r="E568" i="12" s="1"/>
  <c r="F568" i="12"/>
  <c r="V220" i="4"/>
  <c r="M550" i="10"/>
  <c r="L550" i="10"/>
  <c r="E570" i="12" s="1"/>
  <c r="F570" i="12"/>
  <c r="M551" i="10"/>
  <c r="M608" i="10"/>
  <c r="F633" i="12"/>
  <c r="V249" i="4"/>
  <c r="M615" i="10"/>
  <c r="L615" i="10"/>
  <c r="E635" i="12" s="1"/>
  <c r="F635" i="12"/>
  <c r="V251" i="4"/>
  <c r="M616" i="10"/>
  <c r="L616" i="10"/>
  <c r="E636" i="12" s="1"/>
  <c r="F636" i="12"/>
  <c r="L619" i="10"/>
  <c r="M619" i="10"/>
  <c r="F639" i="12"/>
  <c r="V262" i="4"/>
  <c r="V277" i="4"/>
  <c r="M680" i="10"/>
  <c r="L680" i="10"/>
  <c r="E700" i="12" s="1"/>
  <c r="F700" i="12"/>
  <c r="V279" i="4"/>
  <c r="M681" i="10"/>
  <c r="L681" i="10"/>
  <c r="E701" i="12" s="1"/>
  <c r="F701" i="12"/>
  <c r="V290" i="4"/>
  <c r="F756" i="12"/>
  <c r="V295" i="4"/>
  <c r="M739" i="10"/>
  <c r="L739" i="10"/>
  <c r="E759" i="12" s="1"/>
  <c r="F759" i="12"/>
  <c r="V301" i="4"/>
  <c r="M742" i="10"/>
  <c r="L742" i="10"/>
  <c r="E762" i="12" s="1"/>
  <c r="F762" i="12"/>
  <c r="V304" i="4"/>
  <c r="M744" i="10"/>
  <c r="L744" i="10"/>
  <c r="E764" i="12" s="1"/>
  <c r="F764" i="12"/>
  <c r="V13" i="5"/>
  <c r="M54" i="10"/>
  <c r="L54" i="10"/>
  <c r="E74" i="12"/>
  <c r="F74" i="12"/>
  <c r="V15" i="5"/>
  <c r="M55" i="10"/>
  <c r="L55" i="10"/>
  <c r="E75" i="12"/>
  <c r="F75" i="12"/>
  <c r="V16" i="5"/>
  <c r="M56" i="10"/>
  <c r="L56" i="10"/>
  <c r="E76" i="12"/>
  <c r="F76" i="12"/>
  <c r="V17" i="5"/>
  <c r="M57" i="10"/>
  <c r="L57" i="10"/>
  <c r="E77" i="12"/>
  <c r="F77" i="12"/>
  <c r="V19" i="5"/>
  <c r="M58" i="10"/>
  <c r="L58" i="10"/>
  <c r="E78" i="12"/>
  <c r="F78" i="12"/>
  <c r="V20" i="5"/>
  <c r="M59" i="10"/>
  <c r="L59" i="10"/>
  <c r="E79" i="12"/>
  <c r="F79" i="12"/>
  <c r="V22" i="5"/>
  <c r="M60" i="10"/>
  <c r="L60" i="10"/>
  <c r="E80" i="12"/>
  <c r="F80" i="12"/>
  <c r="V23" i="5"/>
  <c r="M61" i="10"/>
  <c r="L61" i="10"/>
  <c r="E81" i="12"/>
  <c r="F81" i="12"/>
  <c r="V25" i="5"/>
  <c r="M62" i="10"/>
  <c r="L62" i="10"/>
  <c r="E82" i="12"/>
  <c r="F82" i="12"/>
  <c r="V27" i="5"/>
  <c r="M63" i="10"/>
  <c r="L63" i="10"/>
  <c r="E83" i="12"/>
  <c r="F83" i="12"/>
  <c r="V28" i="5"/>
  <c r="M64" i="10"/>
  <c r="L64" i="10"/>
  <c r="E84" i="12"/>
  <c r="F84" i="12"/>
  <c r="V30" i="5"/>
  <c r="M65" i="10"/>
  <c r="L65" i="10"/>
  <c r="E85" i="12"/>
  <c r="F85" i="12"/>
  <c r="V37" i="5"/>
  <c r="M117" i="10"/>
  <c r="L117" i="10"/>
  <c r="E137" i="12" s="1"/>
  <c r="F137" i="12"/>
  <c r="V39" i="5"/>
  <c r="M118" i="10"/>
  <c r="L118" i="10"/>
  <c r="E138" i="12"/>
  <c r="F138" i="12"/>
  <c r="V40" i="5"/>
  <c r="M119" i="10"/>
  <c r="L119" i="10"/>
  <c r="E139" i="12" s="1"/>
  <c r="F139" i="12"/>
  <c r="L120" i="10"/>
  <c r="E140" i="12" s="1"/>
  <c r="M121" i="10"/>
  <c r="L121" i="10"/>
  <c r="E141" i="12" s="1"/>
  <c r="F141" i="12"/>
  <c r="V47" i="5"/>
  <c r="F144" i="12"/>
  <c r="V49" i="5"/>
  <c r="M125" i="10"/>
  <c r="L125" i="10"/>
  <c r="E145" i="12" s="1"/>
  <c r="F145" i="12"/>
  <c r="V51" i="5"/>
  <c r="M126" i="10"/>
  <c r="F146" i="12"/>
  <c r="M127" i="10"/>
  <c r="L127" i="10"/>
  <c r="E147" i="12" s="1"/>
  <c r="V54" i="5"/>
  <c r="M128" i="10"/>
  <c r="L128" i="10"/>
  <c r="E148" i="12"/>
  <c r="F148" i="12"/>
  <c r="M180" i="10"/>
  <c r="F200" i="12"/>
  <c r="V63" i="5"/>
  <c r="M181" i="10"/>
  <c r="L181" i="10"/>
  <c r="E201" i="12" s="1"/>
  <c r="F201" i="12"/>
  <c r="V64" i="5"/>
  <c r="L182" i="10"/>
  <c r="E202" i="12" s="1"/>
  <c r="V65" i="5"/>
  <c r="M183" i="10"/>
  <c r="L183" i="10"/>
  <c r="E203" i="12" s="1"/>
  <c r="F203" i="12"/>
  <c r="M184" i="10"/>
  <c r="V68" i="5"/>
  <c r="M185" i="10"/>
  <c r="L185" i="10"/>
  <c r="E205" i="12" s="1"/>
  <c r="F205" i="12"/>
  <c r="V70" i="5"/>
  <c r="M186" i="10"/>
  <c r="L186" i="10"/>
  <c r="E206" i="12" s="1"/>
  <c r="F206" i="12"/>
  <c r="M187" i="10"/>
  <c r="F207" i="12"/>
  <c r="L188" i="10"/>
  <c r="E208" i="12" s="1"/>
  <c r="M189" i="10"/>
  <c r="M190" i="10"/>
  <c r="L190" i="10"/>
  <c r="E210" i="12" s="1"/>
  <c r="F210" i="12"/>
  <c r="V78" i="5"/>
  <c r="L191" i="10"/>
  <c r="E211" i="12" s="1"/>
  <c r="F211" i="12"/>
  <c r="V85" i="5"/>
  <c r="M243" i="10"/>
  <c r="L243" i="10"/>
  <c r="E263" i="12" s="1"/>
  <c r="F263" i="12"/>
  <c r="V87" i="5"/>
  <c r="M244" i="10"/>
  <c r="L244" i="10"/>
  <c r="E264" i="12" s="1"/>
  <c r="F264" i="12"/>
  <c r="V89" i="5"/>
  <c r="M246" i="10"/>
  <c r="L246" i="10"/>
  <c r="E266" i="12" s="1"/>
  <c r="F266" i="12"/>
  <c r="M248" i="10"/>
  <c r="V94" i="5"/>
  <c r="M249" i="10"/>
  <c r="L249" i="10"/>
  <c r="E269" i="12" s="1"/>
  <c r="F269" i="12"/>
  <c r="V95" i="5"/>
  <c r="M250" i="10"/>
  <c r="F270" i="12"/>
  <c r="M252" i="10"/>
  <c r="L252" i="10"/>
  <c r="E272" i="12" s="1"/>
  <c r="V100" i="5"/>
  <c r="M253" i="10"/>
  <c r="L253" i="10"/>
  <c r="E273" i="12"/>
  <c r="F273" i="12"/>
  <c r="V102" i="5"/>
  <c r="M254" i="10"/>
  <c r="L254" i="10"/>
  <c r="E274" i="12" s="1"/>
  <c r="F274" i="12"/>
  <c r="L306" i="10"/>
  <c r="E326" i="12" s="1"/>
  <c r="V111" i="5"/>
  <c r="M307" i="10"/>
  <c r="L307" i="10"/>
  <c r="E327" i="12" s="1"/>
  <c r="F327" i="12"/>
  <c r="V113" i="5"/>
  <c r="M309" i="10"/>
  <c r="L309" i="10"/>
  <c r="E329" i="12" s="1"/>
  <c r="F329" i="12"/>
  <c r="V118" i="5"/>
  <c r="L313" i="10"/>
  <c r="E333" i="12" s="1"/>
  <c r="F335" i="12"/>
  <c r="V126" i="5"/>
  <c r="M317" i="10"/>
  <c r="L317" i="10"/>
  <c r="E337" i="12" s="1"/>
  <c r="F337" i="12"/>
  <c r="V133" i="5"/>
  <c r="M369" i="10"/>
  <c r="F389" i="12"/>
  <c r="V135" i="5"/>
  <c r="M370" i="10"/>
  <c r="L370" i="10"/>
  <c r="E390" i="12" s="1"/>
  <c r="F390" i="12"/>
  <c r="F391" i="12"/>
  <c r="M372" i="10"/>
  <c r="M375" i="10"/>
  <c r="V145" i="5"/>
  <c r="M377" i="10"/>
  <c r="L377" i="10"/>
  <c r="E397" i="12" s="1"/>
  <c r="F397" i="12"/>
  <c r="V148" i="5"/>
  <c r="M379" i="10"/>
  <c r="L379" i="10"/>
  <c r="E399" i="12" s="1"/>
  <c r="F399" i="12"/>
  <c r="V150" i="5"/>
  <c r="M380" i="10"/>
  <c r="L380" i="10"/>
  <c r="E400" i="12" s="1"/>
  <c r="F400" i="12"/>
  <c r="V160" i="5"/>
  <c r="M434" i="10"/>
  <c r="L434" i="10"/>
  <c r="E454" i="12" s="1"/>
  <c r="F454" i="12"/>
  <c r="V166" i="5"/>
  <c r="L438" i="10"/>
  <c r="E458" i="12" s="1"/>
  <c r="F458" i="12"/>
  <c r="V171" i="5"/>
  <c r="V172" i="5"/>
  <c r="F462" i="12"/>
  <c r="V174" i="5"/>
  <c r="M443" i="10"/>
  <c r="L443" i="10"/>
  <c r="E463" i="12" s="1"/>
  <c r="F463" i="12"/>
  <c r="L499" i="10"/>
  <c r="E519" i="12" s="1"/>
  <c r="M499" i="10"/>
  <c r="F519" i="12"/>
  <c r="V190" i="5"/>
  <c r="M501" i="10"/>
  <c r="L501" i="10"/>
  <c r="E521" i="12" s="1"/>
  <c r="F521" i="12"/>
  <c r="V191" i="5"/>
  <c r="M502" i="10"/>
  <c r="L502" i="10"/>
  <c r="E522" i="12" s="1"/>
  <c r="F522" i="12"/>
  <c r="F523" i="12"/>
  <c r="V195" i="5"/>
  <c r="M504" i="10"/>
  <c r="L504" i="10"/>
  <c r="E524" i="12" s="1"/>
  <c r="F524" i="12"/>
  <c r="V207" i="5"/>
  <c r="M559" i="10"/>
  <c r="L559" i="10"/>
  <c r="E579" i="12" s="1"/>
  <c r="F579" i="12"/>
  <c r="V208" i="5"/>
  <c r="M560" i="10"/>
  <c r="L560" i="10"/>
  <c r="E580" i="12" s="1"/>
  <c r="F580" i="12"/>
  <c r="F585" i="12"/>
  <c r="V220" i="5"/>
  <c r="M568" i="10"/>
  <c r="F588" i="12"/>
  <c r="V222" i="5"/>
  <c r="M569" i="10"/>
  <c r="L569" i="10"/>
  <c r="E589" i="12" s="1"/>
  <c r="F589" i="12"/>
  <c r="V233" i="5"/>
  <c r="M624" i="10"/>
  <c r="L624" i="10"/>
  <c r="E644" i="12" s="1"/>
  <c r="F644" i="12"/>
  <c r="V241" i="5"/>
  <c r="M629" i="10"/>
  <c r="L629" i="10"/>
  <c r="E649" i="12" s="1"/>
  <c r="F649" i="12"/>
  <c r="V244" i="5"/>
  <c r="M631" i="10"/>
  <c r="L631" i="10"/>
  <c r="E651" i="12" s="1"/>
  <c r="F651" i="12"/>
  <c r="L687" i="10"/>
  <c r="E707" i="12" s="1"/>
  <c r="V263" i="5"/>
  <c r="M691" i="10"/>
  <c r="V267" i="5"/>
  <c r="M693" i="10"/>
  <c r="L693" i="10"/>
  <c r="E713" i="12" s="1"/>
  <c r="F713" i="12"/>
  <c r="V268" i="5"/>
  <c r="M694" i="10"/>
  <c r="L694" i="10"/>
  <c r="E714" i="12" s="1"/>
  <c r="F714" i="12"/>
  <c r="L747" i="10"/>
  <c r="E767" i="12" s="1"/>
  <c r="M748" i="10"/>
  <c r="M750" i="10"/>
  <c r="F773" i="12"/>
  <c r="L754" i="10"/>
  <c r="E774" i="12" s="1"/>
  <c r="M757" i="10"/>
  <c r="V294" i="5"/>
  <c r="M758" i="10"/>
  <c r="L758" i="10"/>
  <c r="E778" i="12" s="1"/>
  <c r="F778" i="12"/>
  <c r="F268" i="12"/>
  <c r="L248" i="10"/>
  <c r="E268" i="12" s="1"/>
  <c r="L633" i="10"/>
  <c r="E653" i="12" s="1"/>
  <c r="M484" i="10"/>
  <c r="V190" i="4"/>
  <c r="M225" i="10"/>
  <c r="F643" i="12"/>
  <c r="V91" i="3"/>
  <c r="L195" i="10"/>
  <c r="F180" i="12"/>
  <c r="M195" i="10"/>
  <c r="M623" i="10"/>
  <c r="M384" i="10"/>
  <c r="F232" i="12"/>
  <c r="V134" i="3"/>
  <c r="F142" i="12"/>
  <c r="F119" i="12"/>
  <c r="L508" i="10"/>
  <c r="E528" i="12" s="1"/>
  <c r="V88" i="2"/>
  <c r="L122" i="10"/>
  <c r="E142" i="12"/>
  <c r="V161" i="3"/>
  <c r="L99" i="10"/>
  <c r="E119" i="12" s="1"/>
  <c r="M508" i="10"/>
  <c r="M122" i="10"/>
  <c r="M99" i="10"/>
  <c r="V44" i="5"/>
  <c r="V47" i="3"/>
  <c r="F217" i="12"/>
  <c r="L69" i="10"/>
  <c r="E89" i="12" s="1"/>
  <c r="F168" i="12"/>
  <c r="L179" i="10"/>
  <c r="E199" i="12" s="1"/>
  <c r="L743" i="10"/>
  <c r="E763" i="12" s="1"/>
  <c r="V302" i="4"/>
  <c r="F152" i="12"/>
  <c r="M635" i="10"/>
  <c r="V235" i="1"/>
  <c r="M402" i="10"/>
  <c r="V124" i="5"/>
  <c r="F572" i="12"/>
  <c r="L264" i="10"/>
  <c r="E284" i="12" s="1"/>
  <c r="F562" i="12"/>
  <c r="L486" i="10"/>
  <c r="E506" i="12" s="1"/>
  <c r="V170" i="4"/>
  <c r="F581" i="12"/>
  <c r="L561" i="10"/>
  <c r="E581" i="12" s="1"/>
  <c r="M561" i="10"/>
  <c r="V209" i="5"/>
  <c r="F444" i="12"/>
  <c r="L424" i="10"/>
  <c r="E444" i="12" s="1"/>
  <c r="M424" i="10"/>
  <c r="F89" i="12"/>
  <c r="V65" i="2"/>
  <c r="F451" i="12"/>
  <c r="F422" i="12"/>
  <c r="M179" i="10"/>
  <c r="F768" i="12"/>
  <c r="L748" i="10"/>
  <c r="E768" i="12" s="1"/>
  <c r="L132" i="10"/>
  <c r="E152" i="12" s="1"/>
  <c r="F398" i="12"/>
  <c r="M573" i="10"/>
  <c r="F666" i="12"/>
  <c r="F525" i="12"/>
  <c r="F760" i="12"/>
  <c r="K494" i="10"/>
  <c r="L740" i="10"/>
  <c r="E760" i="12" s="1"/>
  <c r="M562" i="10"/>
  <c r="M376" i="10"/>
  <c r="F593" i="12"/>
  <c r="F279" i="12"/>
  <c r="L698" i="10"/>
  <c r="E718" i="12" s="1"/>
  <c r="F668" i="12"/>
  <c r="M259" i="10"/>
  <c r="L259" i="10"/>
  <c r="E279" i="12" s="1"/>
  <c r="F403" i="12"/>
  <c r="M529" i="10"/>
  <c r="F740" i="12"/>
  <c r="V147" i="1"/>
  <c r="V255" i="3"/>
  <c r="V242" i="3"/>
  <c r="F608" i="12"/>
  <c r="F725" i="12"/>
  <c r="L588" i="10"/>
  <c r="E608" i="12" s="1"/>
  <c r="M588" i="10"/>
  <c r="F473" i="12"/>
  <c r="V211" i="2"/>
  <c r="L614" i="10"/>
  <c r="E634" i="12" s="1"/>
  <c r="V219" i="3"/>
  <c r="V272" i="5"/>
  <c r="L695" i="10"/>
  <c r="E715" i="12" s="1"/>
  <c r="M630" i="10"/>
  <c r="F481" i="12"/>
  <c r="V270" i="5"/>
  <c r="L461" i="10"/>
  <c r="E481" i="12" s="1"/>
  <c r="M510" i="10"/>
  <c r="M461" i="10"/>
  <c r="V167" i="2"/>
  <c r="F715" i="12"/>
  <c r="M743" i="10"/>
  <c r="F683" i="12"/>
  <c r="M663" i="10"/>
  <c r="F497" i="12"/>
  <c r="L477" i="10"/>
  <c r="E497" i="12" s="1"/>
  <c r="L649" i="10"/>
  <c r="E669" i="12" s="1"/>
  <c r="M477" i="10"/>
  <c r="V179" i="3"/>
  <c r="V229" i="2"/>
  <c r="M460" i="10"/>
  <c r="F586" i="12"/>
  <c r="L611" i="10"/>
  <c r="E631" i="12" s="1"/>
  <c r="M566" i="10"/>
  <c r="F763" i="12"/>
  <c r="F674" i="12"/>
  <c r="F534" i="12"/>
  <c r="L514" i="10"/>
  <c r="E534" i="12" s="1"/>
  <c r="M69" i="10"/>
  <c r="V166" i="2"/>
  <c r="F552" i="12"/>
  <c r="V198" i="1"/>
  <c r="V214" i="5"/>
  <c r="L655" i="10"/>
  <c r="E675" i="12" s="1"/>
  <c r="L453" i="10"/>
  <c r="E473" i="12" s="1"/>
  <c r="M636" i="10"/>
  <c r="F540" i="12"/>
  <c r="V255" i="5"/>
  <c r="L684" i="10"/>
  <c r="E704" i="12" s="1"/>
  <c r="M620" i="10"/>
  <c r="F704" i="12"/>
  <c r="M684" i="10"/>
  <c r="F480" i="12"/>
  <c r="F705" i="12"/>
  <c r="V253" i="5"/>
  <c r="V181" i="5"/>
  <c r="V190" i="3"/>
  <c r="F675" i="12"/>
  <c r="L448" i="10"/>
  <c r="E468" i="12" s="1"/>
  <c r="M448" i="10"/>
  <c r="F349" i="12"/>
  <c r="L511" i="10"/>
  <c r="E531" i="12" s="1"/>
  <c r="V71" i="3"/>
  <c r="V140" i="1"/>
  <c r="V40" i="1"/>
  <c r="V96" i="1"/>
  <c r="V32" i="5"/>
  <c r="V92" i="2"/>
  <c r="V80" i="5"/>
  <c r="V158" i="4"/>
  <c r="V62" i="1"/>
  <c r="V74" i="1"/>
  <c r="V137" i="3"/>
  <c r="V228" i="1"/>
  <c r="V128" i="1"/>
  <c r="V106" i="1"/>
  <c r="E215" i="12"/>
  <c r="K469" i="10" l="1"/>
  <c r="V168" i="3"/>
  <c r="F489" i="12"/>
  <c r="K79" i="10"/>
  <c r="M79" i="10"/>
  <c r="F99" i="12"/>
  <c r="K155" i="10"/>
  <c r="V60" i="3"/>
  <c r="K109" i="10"/>
  <c r="F129" i="12"/>
  <c r="C727" i="12"/>
  <c r="N707" i="10"/>
  <c r="V172" i="1"/>
  <c r="F468" i="12"/>
  <c r="L604" i="10"/>
  <c r="E624" i="12" s="1"/>
  <c r="F685" i="12"/>
  <c r="F332" i="12"/>
  <c r="M321" i="10"/>
  <c r="F336" i="12"/>
  <c r="F506" i="12"/>
  <c r="F404" i="12"/>
  <c r="V169" i="5"/>
  <c r="M665" i="10"/>
  <c r="F528" i="12"/>
  <c r="F437" i="12"/>
  <c r="L384" i="10"/>
  <c r="E404" i="12" s="1"/>
  <c r="F653" i="12"/>
  <c r="V58" i="3"/>
  <c r="L753" i="10"/>
  <c r="E773" i="12" s="1"/>
  <c r="F707" i="12"/>
  <c r="M687" i="10"/>
  <c r="L567" i="10"/>
  <c r="E587" i="12" s="1"/>
  <c r="M565" i="10"/>
  <c r="V193" i="5"/>
  <c r="V123" i="5"/>
  <c r="M313" i="10"/>
  <c r="L250" i="10"/>
  <c r="E270" i="12" s="1"/>
  <c r="M191" i="10"/>
  <c r="V71" i="5"/>
  <c r="F204" i="12"/>
  <c r="V61" i="5"/>
  <c r="F147" i="12"/>
  <c r="V52" i="5"/>
  <c r="L126" i="10"/>
  <c r="E146" i="12" s="1"/>
  <c r="L124" i="10"/>
  <c r="E144" i="12" s="1"/>
  <c r="F143" i="12"/>
  <c r="V43" i="5"/>
  <c r="V240" i="4"/>
  <c r="M302" i="10"/>
  <c r="V102" i="4"/>
  <c r="F256" i="12"/>
  <c r="M170" i="10"/>
  <c r="V51" i="4"/>
  <c r="V40" i="4"/>
  <c r="V272" i="3"/>
  <c r="L727" i="10"/>
  <c r="E747" i="12" s="1"/>
  <c r="L534" i="10"/>
  <c r="E554" i="12" s="1"/>
  <c r="L469" i="10"/>
  <c r="E489" i="12" s="1"/>
  <c r="L93" i="10"/>
  <c r="E113" i="12" s="1"/>
  <c r="F111" i="12"/>
  <c r="M89" i="10"/>
  <c r="V87" i="1"/>
  <c r="L79" i="10"/>
  <c r="E99" i="12" s="1"/>
  <c r="K116" i="10"/>
  <c r="K148" i="10"/>
  <c r="M148" i="10"/>
  <c r="K85" i="10"/>
  <c r="M85" i="10"/>
  <c r="L94" i="10"/>
  <c r="E114" i="12" s="1"/>
  <c r="K94" i="10"/>
  <c r="M94" i="10"/>
  <c r="V44" i="3"/>
  <c r="M97" i="10"/>
  <c r="L103" i="10"/>
  <c r="E123" i="12" s="1"/>
  <c r="F123" i="12"/>
  <c r="L114" i="10"/>
  <c r="E134" i="12" s="1"/>
  <c r="K114" i="10"/>
  <c r="F134" i="12"/>
  <c r="L196" i="10"/>
  <c r="E216" i="12" s="1"/>
  <c r="K196" i="10"/>
  <c r="V85" i="2"/>
  <c r="F230" i="12"/>
  <c r="F171" i="12"/>
  <c r="L151" i="10"/>
  <c r="E171" i="12" s="1"/>
  <c r="K642" i="10"/>
  <c r="L642" i="10"/>
  <c r="E662" i="12" s="1"/>
  <c r="K278" i="10"/>
  <c r="V100" i="3"/>
  <c r="M351" i="10"/>
  <c r="L351" i="10"/>
  <c r="E371" i="12" s="1"/>
  <c r="V83" i="4"/>
  <c r="F341" i="12"/>
  <c r="F199" i="12"/>
  <c r="L314" i="10"/>
  <c r="E334" i="12" s="1"/>
  <c r="V192" i="4"/>
  <c r="L316" i="10"/>
  <c r="E336" i="12" s="1"/>
  <c r="M316" i="10"/>
  <c r="M486" i="10"/>
  <c r="V189" i="1"/>
  <c r="L440" i="10"/>
  <c r="E460" i="12" s="1"/>
  <c r="L745" i="10"/>
  <c r="E765" i="12" s="1"/>
  <c r="M417" i="10"/>
  <c r="L417" i="10"/>
  <c r="E437" i="12" s="1"/>
  <c r="M154" i="10"/>
  <c r="L154" i="10"/>
  <c r="E174" i="12" s="1"/>
  <c r="F174" i="12"/>
  <c r="V286" i="5"/>
  <c r="V257" i="5"/>
  <c r="M567" i="10"/>
  <c r="V215" i="5"/>
  <c r="F333" i="12"/>
  <c r="V119" i="5"/>
  <c r="L184" i="10"/>
  <c r="E204" i="12" s="1"/>
  <c r="M124" i="10"/>
  <c r="M123" i="10"/>
  <c r="F132" i="12"/>
  <c r="F125" i="12"/>
  <c r="M469" i="10"/>
  <c r="L284" i="10"/>
  <c r="E304" i="12" s="1"/>
  <c r="L280" i="10"/>
  <c r="E300" i="12" s="1"/>
  <c r="L158" i="10"/>
  <c r="E178" i="12" s="1"/>
  <c r="F122" i="12"/>
  <c r="M93" i="10"/>
  <c r="L91" i="10"/>
  <c r="E111" i="12" s="1"/>
  <c r="V246" i="1"/>
  <c r="L138" i="10"/>
  <c r="E158" i="12" s="1"/>
  <c r="L400" i="10"/>
  <c r="E420" i="12" s="1"/>
  <c r="V35" i="2"/>
  <c r="K83" i="10"/>
  <c r="M83" i="10"/>
  <c r="F103" i="12"/>
  <c r="K74" i="10"/>
  <c r="L74" i="10"/>
  <c r="E94" i="12" s="1"/>
  <c r="K138" i="10"/>
  <c r="K91" i="10"/>
  <c r="K93" i="10"/>
  <c r="K95" i="10"/>
  <c r="V41" i="3"/>
  <c r="F115" i="12"/>
  <c r="K153" i="10"/>
  <c r="M153" i="10"/>
  <c r="K217" i="10"/>
  <c r="V80" i="3"/>
  <c r="L531" i="10"/>
  <c r="E551" i="12" s="1"/>
  <c r="F551" i="12"/>
  <c r="K112" i="10"/>
  <c r="K115" i="10"/>
  <c r="L115" i="10"/>
  <c r="E135" i="12" s="1"/>
  <c r="L116" i="10"/>
  <c r="E136" i="12" s="1"/>
  <c r="V58" i="4"/>
  <c r="V100" i="2"/>
  <c r="F289" i="12"/>
  <c r="K168" i="10"/>
  <c r="M168" i="10"/>
  <c r="V77" i="2"/>
  <c r="K205" i="10"/>
  <c r="L205" i="10"/>
  <c r="E225" i="12" s="1"/>
  <c r="K265" i="10"/>
  <c r="L265" i="10"/>
  <c r="E285" i="12" s="1"/>
  <c r="V34" i="3"/>
  <c r="F109" i="12"/>
  <c r="K96" i="10"/>
  <c r="L96" i="10"/>
  <c r="E116" i="12" s="1"/>
  <c r="K513" i="10"/>
  <c r="M513" i="10"/>
  <c r="V227" i="3"/>
  <c r="F626" i="12"/>
  <c r="K271" i="10"/>
  <c r="K512" i="10"/>
  <c r="N640" i="10"/>
  <c r="M133" i="10"/>
  <c r="K133" i="10"/>
  <c r="F153" i="12"/>
  <c r="L133" i="10"/>
  <c r="E153" i="12" s="1"/>
  <c r="V145" i="2"/>
  <c r="F417" i="12"/>
  <c r="M397" i="10"/>
  <c r="V132" i="1"/>
  <c r="F345" i="12"/>
  <c r="L339" i="10"/>
  <c r="E359" i="12" s="1"/>
  <c r="V132" i="2"/>
  <c r="F359" i="12"/>
  <c r="K150" i="10"/>
  <c r="V69" i="2"/>
  <c r="F170" i="12"/>
  <c r="M150" i="10"/>
  <c r="L549" i="10"/>
  <c r="E569" i="12" s="1"/>
  <c r="M604" i="10"/>
  <c r="F624" i="12"/>
  <c r="M533" i="10"/>
  <c r="L699" i="10"/>
  <c r="E719" i="12" s="1"/>
  <c r="K478" i="10"/>
  <c r="L415" i="10"/>
  <c r="E435" i="12" s="1"/>
  <c r="M698" i="10"/>
  <c r="F620" i="12"/>
  <c r="K696" i="10"/>
  <c r="F716" i="12"/>
  <c r="M383" i="10"/>
  <c r="V299" i="4"/>
  <c r="V268" i="1"/>
  <c r="F284" i="12"/>
  <c r="L286" i="10"/>
  <c r="E306" i="12" s="1"/>
  <c r="M745" i="10"/>
  <c r="V139" i="2"/>
  <c r="L564" i="10"/>
  <c r="E584" i="12" s="1"/>
  <c r="M679" i="10"/>
  <c r="M264" i="10"/>
  <c r="M362" i="10"/>
  <c r="F382" i="12"/>
  <c r="M371" i="10"/>
  <c r="L371" i="10"/>
  <c r="E391" i="12" s="1"/>
  <c r="V151" i="3"/>
  <c r="V214" i="3"/>
  <c r="F208" i="12"/>
  <c r="M188" i="10"/>
  <c r="V222" i="4"/>
  <c r="V127" i="4"/>
  <c r="F319" i="12"/>
  <c r="F261" i="12"/>
  <c r="M237" i="10"/>
  <c r="L236" i="10"/>
  <c r="E256" i="12" s="1"/>
  <c r="L231" i="10"/>
  <c r="E251" i="12" s="1"/>
  <c r="F198" i="12"/>
  <c r="F195" i="12"/>
  <c r="M175" i="10"/>
  <c r="F368" i="12"/>
  <c r="M284" i="10"/>
  <c r="M280" i="10"/>
  <c r="L278" i="10"/>
  <c r="E298" i="12" s="1"/>
  <c r="L155" i="10"/>
  <c r="E175" i="12" s="1"/>
  <c r="K197" i="10"/>
  <c r="M197" i="10"/>
  <c r="L197" i="10"/>
  <c r="E217" i="12" s="1"/>
  <c r="L142" i="10"/>
  <c r="E162" i="12" s="1"/>
  <c r="K142" i="10"/>
  <c r="V56" i="2"/>
  <c r="F162" i="12"/>
  <c r="M142" i="10"/>
  <c r="K200" i="10"/>
  <c r="M200" i="10"/>
  <c r="L200" i="10"/>
  <c r="E220" i="12" s="1"/>
  <c r="K262" i="10"/>
  <c r="L262" i="10"/>
  <c r="E282" i="12" s="1"/>
  <c r="L568" i="10"/>
  <c r="E588" i="12" s="1"/>
  <c r="K568" i="10"/>
  <c r="F286" i="12"/>
  <c r="L266" i="10"/>
  <c r="E286" i="12" s="1"/>
  <c r="K266" i="10"/>
  <c r="L590" i="10"/>
  <c r="E610" i="12" s="1"/>
  <c r="V214" i="2"/>
  <c r="F610" i="12"/>
  <c r="L582" i="10"/>
  <c r="E602" i="12" s="1"/>
  <c r="V202" i="2"/>
  <c r="F602" i="12"/>
  <c r="M206" i="10"/>
  <c r="L206" i="10"/>
  <c r="E226" i="12" s="1"/>
  <c r="L403" i="10"/>
  <c r="E423" i="12" s="1"/>
  <c r="M549" i="10"/>
  <c r="L478" i="10"/>
  <c r="E498" i="12" s="1"/>
  <c r="F669" i="12"/>
  <c r="L600" i="10"/>
  <c r="E620" i="12" s="1"/>
  <c r="V280" i="5"/>
  <c r="M600" i="10"/>
  <c r="L741" i="10"/>
  <c r="E761" i="12" s="1"/>
  <c r="L383" i="10"/>
  <c r="E403" i="12" s="1"/>
  <c r="V297" i="4"/>
  <c r="M740" i="10"/>
  <c r="V110" i="3"/>
  <c r="M286" i="10"/>
  <c r="F616" i="12"/>
  <c r="V61" i="1"/>
  <c r="L696" i="10"/>
  <c r="E716" i="12" s="1"/>
  <c r="V114" i="1"/>
  <c r="V147" i="4"/>
  <c r="L362" i="10"/>
  <c r="E382" i="12" s="1"/>
  <c r="V136" i="5"/>
  <c r="F425" i="12"/>
  <c r="F306" i="12"/>
  <c r="F209" i="12"/>
  <c r="V73" i="5"/>
  <c r="L241" i="10"/>
  <c r="E261" i="12" s="1"/>
  <c r="F257" i="12"/>
  <c r="V99" i="4"/>
  <c r="M236" i="10"/>
  <c r="V76" i="4"/>
  <c r="F557" i="12"/>
  <c r="F304" i="12"/>
  <c r="V107" i="3"/>
  <c r="F300" i="12"/>
  <c r="V102" i="3"/>
  <c r="M278" i="10"/>
  <c r="M155" i="10"/>
  <c r="K208" i="10"/>
  <c r="V82" i="2"/>
  <c r="M208" i="10"/>
  <c r="F228" i="12"/>
  <c r="V104" i="2"/>
  <c r="M272" i="10"/>
  <c r="K135" i="10"/>
  <c r="V65" i="1"/>
  <c r="M135" i="10"/>
  <c r="F155" i="12"/>
  <c r="V233" i="2"/>
  <c r="F672" i="12"/>
  <c r="M652" i="10"/>
  <c r="K590" i="10"/>
  <c r="K658" i="10"/>
  <c r="K434" i="10"/>
  <c r="K582" i="10"/>
  <c r="K470" i="10"/>
  <c r="K742" i="10"/>
  <c r="K703" i="10"/>
  <c r="K615" i="10"/>
  <c r="K643" i="10"/>
  <c r="K382" i="10"/>
  <c r="K235" i="10"/>
  <c r="K339" i="10"/>
  <c r="K210" i="10"/>
  <c r="N304" i="10"/>
  <c r="K629" i="10"/>
  <c r="K388" i="10"/>
  <c r="N752" i="10"/>
  <c r="N466" i="10"/>
  <c r="B640" i="12"/>
  <c r="N599" i="10"/>
  <c r="K293" i="10"/>
  <c r="K216" i="10"/>
  <c r="K693" i="10"/>
  <c r="N471" i="10"/>
  <c r="K652" i="10"/>
  <c r="K606" i="10"/>
  <c r="K491" i="10"/>
  <c r="N563" i="10"/>
  <c r="K499" i="10"/>
  <c r="K744" i="10"/>
  <c r="K379" i="10"/>
  <c r="K274" i="10"/>
  <c r="K219" i="10"/>
  <c r="K288" i="10"/>
  <c r="K406" i="10"/>
  <c r="K474" i="10"/>
  <c r="K361" i="10"/>
  <c r="F381" i="12"/>
  <c r="K482" i="10"/>
  <c r="F502" i="12"/>
  <c r="V187" i="4"/>
  <c r="V241" i="1"/>
  <c r="M639" i="10"/>
  <c r="K746" i="10"/>
  <c r="F766" i="12"/>
  <c r="L746" i="10"/>
  <c r="E766" i="12" s="1"/>
  <c r="M746" i="10"/>
  <c r="K232" i="10"/>
  <c r="M232" i="10"/>
  <c r="F252" i="12"/>
  <c r="L232" i="10"/>
  <c r="E252" i="12" s="1"/>
  <c r="V252" i="4"/>
  <c r="K510" i="10"/>
  <c r="L510" i="10"/>
  <c r="E530" i="12" s="1"/>
  <c r="K376" i="10"/>
  <c r="F396" i="12"/>
  <c r="L376" i="10"/>
  <c r="E396" i="12" s="1"/>
  <c r="V143" i="5"/>
  <c r="K532" i="10"/>
  <c r="L532" i="10"/>
  <c r="E552" i="12" s="1"/>
  <c r="M532" i="10"/>
  <c r="F648" i="12"/>
  <c r="V239" i="5"/>
  <c r="K720" i="10"/>
  <c r="M720" i="10"/>
  <c r="L720" i="10"/>
  <c r="E740" i="12" s="1"/>
  <c r="K673" i="10"/>
  <c r="F693" i="12"/>
  <c r="K608" i="10"/>
  <c r="F628" i="12"/>
  <c r="L622" i="10"/>
  <c r="E642" i="12" s="1"/>
  <c r="M622" i="10"/>
  <c r="K312" i="10"/>
  <c r="L312" i="10"/>
  <c r="E332" i="12" s="1"/>
  <c r="K273" i="10"/>
  <c r="V106" i="2"/>
  <c r="M273" i="10"/>
  <c r="F293" i="12"/>
  <c r="V233" i="4"/>
  <c r="L557" i="10"/>
  <c r="E577" i="12" s="1"/>
  <c r="K497" i="10"/>
  <c r="M497" i="10"/>
  <c r="K630" i="10"/>
  <c r="F650" i="12"/>
  <c r="V243" i="5"/>
  <c r="K668" i="10"/>
  <c r="F688" i="12"/>
  <c r="M668" i="10"/>
  <c r="L668" i="10"/>
  <c r="E688" i="12" s="1"/>
  <c r="K645" i="10"/>
  <c r="V223" i="2"/>
  <c r="F665" i="12"/>
  <c r="V258" i="2"/>
  <c r="F737" i="12"/>
  <c r="F485" i="12"/>
  <c r="M465" i="10"/>
  <c r="F627" i="12"/>
  <c r="L607" i="10"/>
  <c r="E627" i="12" s="1"/>
  <c r="K401" i="10"/>
  <c r="L401" i="10"/>
  <c r="E421" i="12" s="1"/>
  <c r="K416" i="10"/>
  <c r="V160" i="3"/>
  <c r="K347" i="10"/>
  <c r="M347" i="10"/>
  <c r="V129" i="3"/>
  <c r="K353" i="10"/>
  <c r="M353" i="10"/>
  <c r="L353" i="10"/>
  <c r="E373" i="12" s="1"/>
  <c r="F373" i="12"/>
  <c r="K156" i="10"/>
  <c r="L156" i="10"/>
  <c r="E176" i="12" s="1"/>
  <c r="V61" i="3"/>
  <c r="K412" i="10"/>
  <c r="V154" i="3"/>
  <c r="K432" i="10"/>
  <c r="F452" i="12"/>
  <c r="L432" i="10"/>
  <c r="E452" i="12" s="1"/>
  <c r="V157" i="5"/>
  <c r="M432" i="10"/>
  <c r="K458" i="10"/>
  <c r="M458" i="10"/>
  <c r="K435" i="10"/>
  <c r="F455" i="12"/>
  <c r="L435" i="10"/>
  <c r="E455" i="12" s="1"/>
  <c r="K164" i="10"/>
  <c r="V72" i="3"/>
  <c r="M164" i="10"/>
  <c r="F184" i="12"/>
  <c r="K143" i="10"/>
  <c r="L143" i="10"/>
  <c r="E163" i="12" s="1"/>
  <c r="V58" i="2"/>
  <c r="M143" i="10"/>
  <c r="V308" i="4"/>
  <c r="L160" i="10"/>
  <c r="E180" i="12" s="1"/>
  <c r="M361" i="10"/>
  <c r="M435" i="10"/>
  <c r="V145" i="4"/>
  <c r="L482" i="10"/>
  <c r="E502" i="12" s="1"/>
  <c r="L165" i="10"/>
  <c r="E185" i="12" s="1"/>
  <c r="M156" i="10"/>
  <c r="F659" i="12"/>
  <c r="K234" i="10"/>
  <c r="L234" i="10"/>
  <c r="E254" i="12" s="1"/>
  <c r="M234" i="10"/>
  <c r="V92" i="4"/>
  <c r="F254" i="12"/>
  <c r="K141" i="10"/>
  <c r="L141" i="10"/>
  <c r="E161" i="12" s="1"/>
  <c r="V55" i="2"/>
  <c r="F161" i="12"/>
  <c r="K201" i="10"/>
  <c r="M201" i="10"/>
  <c r="F221" i="12"/>
  <c r="L201" i="10"/>
  <c r="E221" i="12" s="1"/>
  <c r="K245" i="10"/>
  <c r="M245" i="10"/>
  <c r="F265" i="12"/>
  <c r="L245" i="10"/>
  <c r="E265" i="12" s="1"/>
  <c r="K251" i="10"/>
  <c r="M251" i="10"/>
  <c r="K192" i="10"/>
  <c r="F212" i="12"/>
  <c r="M192" i="10"/>
  <c r="V115" i="3"/>
  <c r="L289" i="10"/>
  <c r="E309" i="12" s="1"/>
  <c r="V91" i="4"/>
  <c r="K233" i="10"/>
  <c r="M149" i="10"/>
  <c r="F169" i="12"/>
  <c r="V155" i="2"/>
  <c r="M518" i="10"/>
  <c r="M415" i="10"/>
  <c r="F569" i="12"/>
  <c r="V217" i="4"/>
  <c r="M699" i="10"/>
  <c r="V208" i="2"/>
  <c r="F719" i="12"/>
  <c r="V181" i="3"/>
  <c r="M478" i="10"/>
  <c r="V159" i="3"/>
  <c r="M403" i="10"/>
  <c r="M586" i="10"/>
  <c r="M649" i="10"/>
  <c r="F718" i="12"/>
  <c r="M749" i="10"/>
  <c r="F769" i="12"/>
  <c r="M741" i="10"/>
  <c r="F761" i="12"/>
  <c r="L225" i="10"/>
  <c r="E245" i="12" s="1"/>
  <c r="F245" i="12"/>
  <c r="L484" i="10"/>
  <c r="E504" i="12" s="1"/>
  <c r="F504" i="12"/>
  <c r="M753" i="10"/>
  <c r="M438" i="10"/>
  <c r="L369" i="10"/>
  <c r="E389" i="12" s="1"/>
  <c r="F272" i="12"/>
  <c r="V99" i="5"/>
  <c r="L187" i="10"/>
  <c r="E207" i="12" s="1"/>
  <c r="F202" i="12"/>
  <c r="M182" i="10"/>
  <c r="V256" i="4"/>
  <c r="F253" i="12"/>
  <c r="M719" i="10"/>
  <c r="V101" i="3"/>
  <c r="L217" i="10"/>
  <c r="E237" i="12" s="1"/>
  <c r="F285" i="12"/>
  <c r="M265" i="10"/>
  <c r="L193" i="10"/>
  <c r="E213" i="12" s="1"/>
  <c r="F159" i="12"/>
  <c r="M139" i="10"/>
  <c r="L137" i="10"/>
  <c r="E157" i="12" s="1"/>
  <c r="V125" i="2"/>
  <c r="F225" i="12"/>
  <c r="F309" i="12"/>
  <c r="V62" i="2"/>
  <c r="K146" i="10"/>
  <c r="M146" i="10"/>
  <c r="N592" i="10"/>
  <c r="C612" i="12"/>
  <c r="N255" i="10"/>
  <c r="K255" i="10" s="1"/>
  <c r="N242" i="10"/>
  <c r="K242" i="10" s="1"/>
  <c r="N226" i="10"/>
  <c r="N340" i="10"/>
  <c r="K340" i="10" s="1"/>
  <c r="K391" i="10"/>
  <c r="K325" i="10"/>
  <c r="N408" i="10"/>
  <c r="N612" i="10"/>
  <c r="N209" i="10"/>
  <c r="N395" i="10"/>
  <c r="K395" i="10" s="1"/>
  <c r="N522" i="10"/>
  <c r="K522" i="10" s="1"/>
  <c r="N708" i="10"/>
  <c r="N488" i="10"/>
  <c r="K488" i="10" s="1"/>
  <c r="N506" i="10"/>
  <c r="K506" i="10" s="1"/>
  <c r="N354" i="10"/>
  <c r="K149" i="10"/>
  <c r="N290" i="10"/>
  <c r="K203" i="10"/>
  <c r="K163" i="10"/>
  <c r="K224" i="10"/>
  <c r="K397" i="10"/>
  <c r="K548" i="10"/>
  <c r="K270" i="10"/>
  <c r="N295" i="10"/>
  <c r="K295" i="10"/>
  <c r="N223" i="10"/>
  <c r="K223" i="10" s="1"/>
  <c r="K269" i="10"/>
  <c r="K421" i="10"/>
  <c r="K489" i="10"/>
  <c r="K758" i="10"/>
  <c r="K202" i="10"/>
  <c r="K670" i="10"/>
  <c r="K389" i="10"/>
  <c r="K525" i="10"/>
  <c r="K662" i="10"/>
  <c r="K713" i="10"/>
  <c r="K256" i="10"/>
  <c r="K238" i="10"/>
  <c r="K243" i="10"/>
  <c r="K476" i="10"/>
  <c r="K681" i="10"/>
  <c r="K515" i="10"/>
  <c r="K463" i="10"/>
  <c r="K697" i="10"/>
  <c r="K355" i="10"/>
  <c r="K473" i="10"/>
  <c r="K538" i="10"/>
  <c r="K547" i="10"/>
  <c r="K631" i="10"/>
  <c r="K587" i="10"/>
  <c r="K715" i="10"/>
  <c r="K260" i="10"/>
  <c r="K445" i="10"/>
  <c r="K656" i="10"/>
  <c r="K721" i="10"/>
  <c r="K240" i="10"/>
  <c r="K456" i="10"/>
  <c r="K500" i="10"/>
  <c r="L500" i="10"/>
  <c r="M500" i="10"/>
  <c r="F520" i="12"/>
  <c r="M88" i="10"/>
  <c r="V50" i="2"/>
  <c r="K228" i="10"/>
  <c r="M228" i="10"/>
  <c r="F248" i="12"/>
  <c r="V45" i="4"/>
  <c r="V192" i="3"/>
  <c r="F553" i="12"/>
  <c r="M387" i="10"/>
  <c r="F505" i="12"/>
  <c r="F753" i="12"/>
  <c r="M440" i="10"/>
  <c r="L412" i="10"/>
  <c r="E432" i="12" s="1"/>
  <c r="F432" i="12"/>
  <c r="V63" i="4"/>
  <c r="V66" i="3"/>
  <c r="M160" i="10"/>
  <c r="L315" i="10"/>
  <c r="E335" i="12" s="1"/>
  <c r="F267" i="12"/>
  <c r="V75" i="5"/>
  <c r="M120" i="10"/>
  <c r="F439" i="12"/>
  <c r="V162" i="4"/>
  <c r="F192" i="12"/>
  <c r="F190" i="12"/>
  <c r="F127" i="12"/>
  <c r="L228" i="10"/>
  <c r="E248" i="12" s="1"/>
  <c r="V74" i="3"/>
  <c r="F117" i="12"/>
  <c r="F278" i="12"/>
  <c r="L207" i="10"/>
  <c r="E227" i="12" s="1"/>
  <c r="K81" i="10"/>
  <c r="V38" i="2"/>
  <c r="K87" i="10"/>
  <c r="V48" i="2"/>
  <c r="K71" i="10"/>
  <c r="L71" i="10"/>
  <c r="E91" i="12" s="1"/>
  <c r="K134" i="10"/>
  <c r="V63" i="1"/>
  <c r="K90" i="10"/>
  <c r="M90" i="10"/>
  <c r="F110" i="12"/>
  <c r="K221" i="10"/>
  <c r="L221" i="10"/>
  <c r="E241" i="12" s="1"/>
  <c r="K108" i="10"/>
  <c r="V42" i="4"/>
  <c r="L77" i="10"/>
  <c r="E97" i="12" s="1"/>
  <c r="F97" i="12"/>
  <c r="V52" i="1"/>
  <c r="V134" i="1"/>
  <c r="F346" i="12"/>
  <c r="K131" i="10"/>
  <c r="V59" i="1"/>
  <c r="L730" i="10"/>
  <c r="E750" i="12" s="1"/>
  <c r="F750" i="12"/>
  <c r="K204" i="10"/>
  <c r="M204" i="10"/>
  <c r="F224" i="12"/>
  <c r="K103" i="10"/>
  <c r="V52" i="3"/>
  <c r="K230" i="10"/>
  <c r="V87" i="4"/>
  <c r="L129" i="10"/>
  <c r="E149" i="12" s="1"/>
  <c r="F149" i="12"/>
  <c r="K129" i="10"/>
  <c r="L586" i="10"/>
  <c r="E606" i="12" s="1"/>
  <c r="M211" i="10"/>
  <c r="F231" i="12"/>
  <c r="F460" i="12"/>
  <c r="F188" i="12"/>
  <c r="M755" i="10"/>
  <c r="L503" i="10"/>
  <c r="E523" i="12" s="1"/>
  <c r="M433" i="10"/>
  <c r="F392" i="12"/>
  <c r="V137" i="5"/>
  <c r="V97" i="5"/>
  <c r="M247" i="10"/>
  <c r="V46" i="5"/>
  <c r="F140" i="12"/>
  <c r="L677" i="10"/>
  <c r="E697" i="12" s="1"/>
  <c r="F638" i="12"/>
  <c r="M104" i="10"/>
  <c r="M165" i="10"/>
  <c r="L131" i="10"/>
  <c r="E151" i="12" s="1"/>
  <c r="L398" i="10"/>
  <c r="E418" i="12" s="1"/>
  <c r="V76" i="2"/>
  <c r="F98" i="12"/>
  <c r="V56" i="5"/>
  <c r="M109" i="10"/>
  <c r="L88" i="10"/>
  <c r="E108" i="12" s="1"/>
  <c r="K247" i="10"/>
  <c r="M158" i="10"/>
  <c r="F178" i="12"/>
  <c r="K106" i="10"/>
  <c r="M106" i="10"/>
  <c r="F126" i="12"/>
  <c r="K169" i="10"/>
  <c r="L169" i="10"/>
  <c r="E189" i="12" s="1"/>
  <c r="B590" i="12"/>
  <c r="D590" i="12"/>
  <c r="N570" i="10"/>
  <c r="C590" i="12"/>
  <c r="V83" i="1"/>
  <c r="L329" i="10"/>
  <c r="E349" i="12" s="1"/>
  <c r="F435" i="12"/>
  <c r="L685" i="10"/>
  <c r="E705" i="12" s="1"/>
  <c r="M685" i="10"/>
  <c r="F606" i="12"/>
  <c r="L533" i="10"/>
  <c r="E553" i="12" s="1"/>
  <c r="L529" i="10"/>
  <c r="E549" i="12" s="1"/>
  <c r="L496" i="10"/>
  <c r="E516" i="12" s="1"/>
  <c r="V153" i="1"/>
  <c r="F421" i="12"/>
  <c r="V183" i="5"/>
  <c r="L387" i="10"/>
  <c r="E407" i="12" s="1"/>
  <c r="F407" i="12"/>
  <c r="L645" i="10"/>
  <c r="E665" i="12" s="1"/>
  <c r="F647" i="12"/>
  <c r="L752" i="10"/>
  <c r="E772" i="12" s="1"/>
  <c r="L664" i="10"/>
  <c r="E684" i="12" s="1"/>
  <c r="F549" i="12"/>
  <c r="L416" i="10"/>
  <c r="E436" i="12" s="1"/>
  <c r="L648" i="10"/>
  <c r="E668" i="12" s="1"/>
  <c r="L273" i="10"/>
  <c r="E293" i="12" s="1"/>
  <c r="V237" i="3"/>
  <c r="L660" i="10"/>
  <c r="E680" i="12" s="1"/>
  <c r="M646" i="10"/>
  <c r="L562" i="10"/>
  <c r="E582" i="12" s="1"/>
  <c r="L258" i="10"/>
  <c r="E278" i="12" s="1"/>
  <c r="V226" i="4"/>
  <c r="V163" i="2"/>
  <c r="L211" i="10"/>
  <c r="E231" i="12" s="1"/>
  <c r="L458" i="10"/>
  <c r="E478" i="12" s="1"/>
  <c r="F478" i="12"/>
  <c r="M412" i="10"/>
  <c r="F765" i="12"/>
  <c r="M212" i="10"/>
  <c r="L212" i="10"/>
  <c r="E232" i="12" s="1"/>
  <c r="V86" i="2"/>
  <c r="V248" i="3"/>
  <c r="F215" i="12"/>
  <c r="V92" i="5"/>
  <c r="L757" i="10"/>
  <c r="E777" i="12" s="1"/>
  <c r="V279" i="5"/>
  <c r="F587" i="12"/>
  <c r="V219" i="5"/>
  <c r="L565" i="10"/>
  <c r="E585" i="12" s="1"/>
  <c r="M503" i="10"/>
  <c r="V184" i="5"/>
  <c r="L375" i="10"/>
  <c r="E395" i="12" s="1"/>
  <c r="L372" i="10"/>
  <c r="E392" i="12" s="1"/>
  <c r="M315" i="10"/>
  <c r="L251" i="10"/>
  <c r="E271" i="12" s="1"/>
  <c r="V76" i="5"/>
  <c r="L189" i="10"/>
  <c r="E209" i="12" s="1"/>
  <c r="V67" i="5"/>
  <c r="L180" i="10"/>
  <c r="E200" i="12" s="1"/>
  <c r="L123" i="10"/>
  <c r="E143" i="12" s="1"/>
  <c r="V41" i="5"/>
  <c r="M677" i="10"/>
  <c r="M482" i="10"/>
  <c r="L419" i="10"/>
  <c r="E439" i="12" s="1"/>
  <c r="L230" i="10"/>
  <c r="E250" i="12" s="1"/>
  <c r="L170" i="10"/>
  <c r="E190" i="12" s="1"/>
  <c r="L168" i="10"/>
  <c r="E188" i="12" s="1"/>
  <c r="L108" i="10"/>
  <c r="E128" i="12" s="1"/>
  <c r="F124" i="12"/>
  <c r="V37" i="4"/>
  <c r="V95" i="3"/>
  <c r="M221" i="10"/>
  <c r="F185" i="12"/>
  <c r="V63" i="3"/>
  <c r="M103" i="10"/>
  <c r="M258" i="10"/>
  <c r="F154" i="12"/>
  <c r="M131" i="10"/>
  <c r="F91" i="12"/>
  <c r="V41" i="1"/>
  <c r="L148" i="10"/>
  <c r="E168" i="12" s="1"/>
  <c r="F107" i="12"/>
  <c r="M81" i="10"/>
  <c r="L78" i="10"/>
  <c r="E98" i="12" s="1"/>
  <c r="K77" i="10"/>
  <c r="L109" i="10"/>
  <c r="E129" i="12" s="1"/>
  <c r="M77" i="10"/>
  <c r="F108" i="12"/>
  <c r="C549" i="12"/>
  <c r="D720" i="12"/>
  <c r="C720" i="12"/>
  <c r="K562" i="10"/>
  <c r="K151" i="10"/>
  <c r="M151" i="10"/>
  <c r="K534" i="10"/>
  <c r="V193" i="3"/>
  <c r="F554" i="12"/>
  <c r="K165" i="10"/>
  <c r="K239" i="10"/>
  <c r="L239" i="10"/>
  <c r="E259" i="12" s="1"/>
  <c r="K170" i="10"/>
  <c r="K104" i="10"/>
  <c r="K78" i="10"/>
  <c r="K82" i="10"/>
  <c r="M82" i="10"/>
  <c r="F102" i="12"/>
  <c r="K206" i="10"/>
  <c r="V79" i="2"/>
  <c r="K272" i="10"/>
  <c r="L272" i="10"/>
  <c r="E292" i="12" s="1"/>
  <c r="K400" i="10"/>
  <c r="V149" i="2"/>
  <c r="F420" i="12"/>
  <c r="K76" i="10"/>
  <c r="M76" i="10"/>
  <c r="F96" i="12"/>
  <c r="M138" i="10"/>
  <c r="F158" i="12"/>
  <c r="K198" i="10"/>
  <c r="M198" i="10"/>
  <c r="F218" i="12"/>
  <c r="K323" i="10"/>
  <c r="V129" i="1"/>
  <c r="F343" i="12"/>
  <c r="K102" i="10"/>
  <c r="L102" i="10"/>
  <c r="E122" i="12" s="1"/>
  <c r="K157" i="10"/>
  <c r="V62" i="3"/>
  <c r="K105" i="10"/>
  <c r="V38" i="4"/>
  <c r="K178" i="10"/>
  <c r="L178" i="10"/>
  <c r="E198" i="12" s="1"/>
  <c r="K231" i="10"/>
  <c r="M231" i="10"/>
  <c r="F251" i="12"/>
  <c r="K241" i="10"/>
  <c r="V106" i="4" s="1"/>
  <c r="K733" i="10"/>
  <c r="M733" i="10"/>
  <c r="K207" i="10"/>
  <c r="M207" i="10"/>
  <c r="F227" i="12"/>
  <c r="K97" i="10"/>
  <c r="L97" i="10"/>
  <c r="E117" i="12" s="1"/>
  <c r="M166" i="10"/>
  <c r="F186" i="12"/>
  <c r="K107" i="10"/>
  <c r="L107" i="10"/>
  <c r="E127" i="12" s="1"/>
  <c r="K113" i="10"/>
  <c r="M113" i="10"/>
  <c r="F133" i="12"/>
  <c r="K172" i="10"/>
  <c r="L172" i="10"/>
  <c r="E192" i="12" s="1"/>
  <c r="D727" i="12"/>
  <c r="B727" i="12"/>
  <c r="K140" i="10"/>
  <c r="K214" i="10"/>
  <c r="K152" i="10"/>
  <c r="K246" i="10"/>
  <c r="K183" i="10"/>
  <c r="K261" i="10"/>
  <c r="K194" i="10"/>
  <c r="K213" i="10"/>
  <c r="K661" i="10"/>
  <c r="K546" i="10"/>
  <c r="K483" i="10"/>
  <c r="N625" i="10"/>
  <c r="K625" i="10" s="1"/>
  <c r="N626" i="10"/>
  <c r="F646" i="12" s="1"/>
  <c r="K222" i="10"/>
  <c r="K161" i="10"/>
  <c r="K577" i="10"/>
  <c r="K370" i="10"/>
  <c r="M205" i="9"/>
  <c r="M209" i="9"/>
  <c r="M203" i="9"/>
  <c r="M204" i="9"/>
  <c r="M207" i="9"/>
  <c r="M206" i="9"/>
  <c r="M212" i="9"/>
  <c r="M208" i="9"/>
  <c r="K519" i="10"/>
  <c r="M519" i="10"/>
  <c r="V181" i="2"/>
  <c r="K554" i="10"/>
  <c r="M554" i="10"/>
  <c r="L554" i="10"/>
  <c r="E574" i="12" s="1"/>
  <c r="K319" i="10"/>
  <c r="L319" i="10"/>
  <c r="E339" i="12" s="1"/>
  <c r="M319" i="10"/>
  <c r="F339" i="12"/>
  <c r="K686" i="10"/>
  <c r="V256" i="5"/>
  <c r="F706" i="12"/>
  <c r="M686" i="10"/>
  <c r="K688" i="10"/>
  <c r="L688" i="10"/>
  <c r="E708" i="12" s="1"/>
  <c r="M688" i="10"/>
  <c r="K430" i="10"/>
  <c r="M430" i="10"/>
  <c r="L430" i="10"/>
  <c r="E450" i="12" s="1"/>
  <c r="F450" i="12"/>
  <c r="L519" i="10"/>
  <c r="E539" i="12" s="1"/>
  <c r="F539" i="12"/>
  <c r="L625" i="10"/>
  <c r="V227" i="4"/>
  <c r="K636" i="10"/>
  <c r="V237" i="1" s="1"/>
  <c r="F656" i="12"/>
  <c r="L636" i="10"/>
  <c r="E656" i="12" s="1"/>
  <c r="K555" i="10"/>
  <c r="V229" i="4"/>
  <c r="M555" i="10"/>
  <c r="F499" i="12"/>
  <c r="M479" i="10"/>
  <c r="K495" i="10"/>
  <c r="M495" i="10"/>
  <c r="L495" i="10"/>
  <c r="E515" i="12" s="1"/>
  <c r="K663" i="10"/>
  <c r="V241" i="3"/>
  <c r="L663" i="10"/>
  <c r="E683" i="12" s="1"/>
  <c r="K690" i="10"/>
  <c r="L690" i="10"/>
  <c r="E710" i="12" s="1"/>
  <c r="K540" i="10"/>
  <c r="L540" i="10"/>
  <c r="E560" i="12" s="1"/>
  <c r="V201" i="3"/>
  <c r="F560" i="12"/>
  <c r="K717" i="10"/>
  <c r="L717" i="10"/>
  <c r="E737" i="12" s="1"/>
  <c r="M717" i="10"/>
  <c r="K465" i="10"/>
  <c r="L465" i="10"/>
  <c r="E485" i="12" s="1"/>
  <c r="V174" i="2"/>
  <c r="K610" i="10"/>
  <c r="M610" i="10"/>
  <c r="L610" i="10"/>
  <c r="E630" i="12" s="1"/>
  <c r="K613" i="10"/>
  <c r="M613" i="10"/>
  <c r="L613" i="10"/>
  <c r="E633" i="12" s="1"/>
  <c r="K678" i="10"/>
  <c r="L678" i="10"/>
  <c r="E698" i="12" s="1"/>
  <c r="V274" i="4"/>
  <c r="F698" i="12"/>
  <c r="K682" i="10"/>
  <c r="F702" i="12"/>
  <c r="L682" i="10"/>
  <c r="E702" i="12" s="1"/>
  <c r="K736" i="10"/>
  <c r="M736" i="10"/>
  <c r="L736" i="10"/>
  <c r="E756" i="12" s="1"/>
  <c r="K306" i="10"/>
  <c r="V109" i="5"/>
  <c r="F326" i="12"/>
  <c r="M306" i="10"/>
  <c r="K442" i="10"/>
  <c r="M442" i="10"/>
  <c r="L442" i="10"/>
  <c r="E462" i="12" s="1"/>
  <c r="K674" i="10"/>
  <c r="F694" i="12"/>
  <c r="M674" i="10"/>
  <c r="V266" i="4"/>
  <c r="L674" i="10"/>
  <c r="E694" i="12" s="1"/>
  <c r="K308" i="10"/>
  <c r="M308" i="10"/>
  <c r="L308" i="10"/>
  <c r="E328" i="12" s="1"/>
  <c r="K392" i="10"/>
  <c r="F412" i="12"/>
  <c r="M392" i="10"/>
  <c r="K310" i="10"/>
  <c r="V115" i="5" s="1"/>
  <c r="F330" i="12"/>
  <c r="L310" i="10"/>
  <c r="M751" i="10"/>
  <c r="F708" i="12"/>
  <c r="L686" i="10"/>
  <c r="E706" i="12" s="1"/>
  <c r="M310" i="10"/>
  <c r="V112" i="5"/>
  <c r="L392" i="10"/>
  <c r="E412" i="12" s="1"/>
  <c r="K620" i="10"/>
  <c r="L620" i="10"/>
  <c r="E640" i="12" s="1"/>
  <c r="F640" i="12"/>
  <c r="K447" i="10"/>
  <c r="M447" i="10"/>
  <c r="L447" i="10"/>
  <c r="M655" i="10"/>
  <c r="K655" i="10"/>
  <c r="K692" i="10"/>
  <c r="L692" i="10"/>
  <c r="E712" i="12" s="1"/>
  <c r="V265" i="5"/>
  <c r="F712" i="12"/>
  <c r="M692" i="10"/>
  <c r="K679" i="10"/>
  <c r="F699" i="12"/>
  <c r="V276" i="4"/>
  <c r="K589" i="10"/>
  <c r="L589" i="10"/>
  <c r="E609" i="12" s="1"/>
  <c r="F609" i="12"/>
  <c r="M589" i="10"/>
  <c r="K738" i="10"/>
  <c r="M738" i="10"/>
  <c r="F758" i="12"/>
  <c r="V292" i="4"/>
  <c r="L738" i="10"/>
  <c r="E758" i="12" s="1"/>
  <c r="K621" i="10"/>
  <c r="V229" i="5"/>
  <c r="F641" i="12"/>
  <c r="M621" i="10"/>
  <c r="K535" i="10"/>
  <c r="M535" i="10"/>
  <c r="V194" i="3"/>
  <c r="L535" i="10"/>
  <c r="E555" i="12" s="1"/>
  <c r="K728" i="10"/>
  <c r="V266" i="3"/>
  <c r="F748" i="12"/>
  <c r="M728" i="10"/>
  <c r="K303" i="10"/>
  <c r="F323" i="12"/>
  <c r="M303" i="10"/>
  <c r="K553" i="10"/>
  <c r="L553" i="10"/>
  <c r="E573" i="12" s="1"/>
  <c r="F573" i="12"/>
  <c r="M625" i="10"/>
  <c r="F645" i="12"/>
  <c r="N637" i="10"/>
  <c r="K607" i="10"/>
  <c r="M607" i="10"/>
  <c r="K583" i="10"/>
  <c r="V203" i="2"/>
  <c r="F603" i="12"/>
  <c r="K605" i="10"/>
  <c r="M605" i="10"/>
  <c r="K580" i="10"/>
  <c r="L580" i="10"/>
  <c r="E600" i="12" s="1"/>
  <c r="K349" i="10"/>
  <c r="V132" i="3"/>
  <c r="F369" i="12"/>
  <c r="K657" i="10"/>
  <c r="L657" i="10"/>
  <c r="E677" i="12" s="1"/>
  <c r="K268" i="10"/>
  <c r="M268" i="10"/>
  <c r="F288" i="12"/>
  <c r="M466" i="10"/>
  <c r="K466" i="10"/>
  <c r="N541" i="10"/>
  <c r="D561" i="12"/>
  <c r="B561" i="12"/>
  <c r="V193" i="1"/>
  <c r="B657" i="12"/>
  <c r="K404" i="10"/>
  <c r="M404" i="10"/>
  <c r="V225" i="3"/>
  <c r="V269" i="3"/>
  <c r="V194" i="1"/>
  <c r="M511" i="10"/>
  <c r="M329" i="10"/>
  <c r="F423" i="12"/>
  <c r="F530" i="12"/>
  <c r="V182" i="2"/>
  <c r="M520" i="10"/>
  <c r="F531" i="12"/>
  <c r="F631" i="12"/>
  <c r="V151" i="2"/>
  <c r="M401" i="10"/>
  <c r="M496" i="10"/>
  <c r="L627" i="10"/>
  <c r="E647" i="12" s="1"/>
  <c r="M673" i="10"/>
  <c r="M664" i="10"/>
  <c r="F684" i="12"/>
  <c r="V197" i="2"/>
  <c r="F777" i="12"/>
  <c r="M416" i="10"/>
  <c r="F516" i="12"/>
  <c r="L573" i="10"/>
  <c r="M660" i="10"/>
  <c r="F680" i="12"/>
  <c r="V224" i="2"/>
  <c r="V208" i="4"/>
  <c r="L646" i="10"/>
  <c r="E666" i="12" s="1"/>
  <c r="L596" i="10"/>
  <c r="E616" i="12" s="1"/>
  <c r="M494" i="10"/>
  <c r="L494" i="10"/>
  <c r="E514" i="12" s="1"/>
  <c r="V153" i="2"/>
  <c r="L402" i="10"/>
  <c r="E422" i="12" s="1"/>
  <c r="M326" i="10"/>
  <c r="M596" i="10"/>
  <c r="L361" i="10"/>
  <c r="E381" i="12" s="1"/>
  <c r="V161" i="5"/>
  <c r="V292" i="5"/>
  <c r="V187" i="5"/>
  <c r="L497" i="10"/>
  <c r="E517" i="12" s="1"/>
  <c r="F395" i="12"/>
  <c r="V142" i="5"/>
  <c r="F697" i="12"/>
  <c r="V272" i="4"/>
  <c r="F677" i="12"/>
  <c r="V228" i="3"/>
  <c r="L605" i="10"/>
  <c r="E625" i="12" s="1"/>
  <c r="L404" i="10"/>
  <c r="E424" i="12" s="1"/>
  <c r="L349" i="10"/>
  <c r="E369" i="12" s="1"/>
  <c r="V226" i="1"/>
  <c r="M583" i="10"/>
  <c r="B664" i="12"/>
  <c r="C657" i="12"/>
  <c r="K639" i="10"/>
  <c r="L639" i="10"/>
  <c r="E659" i="12" s="1"/>
  <c r="K633" i="10"/>
  <c r="V248" i="5"/>
  <c r="K336" i="10"/>
  <c r="V127" i="2"/>
  <c r="F356" i="12"/>
  <c r="K338" i="10"/>
  <c r="M338" i="10"/>
  <c r="K524" i="10"/>
  <c r="V188" i="2"/>
  <c r="K528" i="10"/>
  <c r="L528" i="10"/>
  <c r="E548" i="12" s="1"/>
  <c r="K531" i="10"/>
  <c r="M531" i="10"/>
  <c r="K597" i="10"/>
  <c r="V215" i="3"/>
  <c r="F617" i="12"/>
  <c r="K601" i="10"/>
  <c r="V220" i="3"/>
  <c r="F621" i="12"/>
  <c r="K727" i="10"/>
  <c r="M727" i="10"/>
  <c r="K299" i="10"/>
  <c r="V122" i="4"/>
  <c r="K301" i="10"/>
  <c r="V126" i="4"/>
  <c r="F321" i="12"/>
  <c r="K302" i="10"/>
  <c r="L302" i="10"/>
  <c r="E322" i="12" s="1"/>
  <c r="C401" i="12"/>
  <c r="N381" i="10"/>
  <c r="D401" i="12"/>
  <c r="N318" i="10"/>
  <c r="C338" i="12"/>
  <c r="D664" i="12"/>
  <c r="N644" i="10"/>
  <c r="D475" i="12"/>
  <c r="N455" i="10"/>
  <c r="C475" i="12"/>
  <c r="N444" i="10"/>
  <c r="K444" i="10" s="1"/>
  <c r="D464" i="12"/>
  <c r="B527" i="12"/>
  <c r="N436" i="10"/>
  <c r="K543" i="10"/>
  <c r="K337" i="10"/>
  <c r="L337" i="10"/>
  <c r="E357" i="12" s="1"/>
  <c r="M337" i="10"/>
  <c r="L536" i="10"/>
  <c r="E556" i="12" s="1"/>
  <c r="K536" i="10"/>
  <c r="M536" i="10"/>
  <c r="F556" i="12"/>
  <c r="V125" i="1"/>
  <c r="F340" i="12"/>
  <c r="K320" i="10"/>
  <c r="L320" i="10"/>
  <c r="E340" i="12" s="1"/>
  <c r="K327" i="10"/>
  <c r="L327" i="10"/>
  <c r="E347" i="12" s="1"/>
  <c r="M327" i="10"/>
  <c r="L322" i="10"/>
  <c r="E342" i="12" s="1"/>
  <c r="M322" i="10"/>
  <c r="K322" i="10"/>
  <c r="E467" i="12"/>
  <c r="M407" i="10"/>
  <c r="L673" i="10"/>
  <c r="E693" i="12" s="1"/>
  <c r="M298" i="10"/>
  <c r="L298" i="10"/>
  <c r="E318" i="12" s="1"/>
  <c r="F318" i="12"/>
  <c r="L665" i="10"/>
  <c r="E685" i="12" s="1"/>
  <c r="L321" i="10"/>
  <c r="E341" i="12" s="1"/>
  <c r="M579" i="10"/>
  <c r="V121" i="5"/>
  <c r="L407" i="10"/>
  <c r="E427" i="12" s="1"/>
  <c r="L405" i="10"/>
  <c r="E425" i="12" s="1"/>
  <c r="M378" i="10"/>
  <c r="F770" i="12"/>
  <c r="V281" i="5"/>
  <c r="V237" i="4"/>
  <c r="L428" i="10"/>
  <c r="E448" i="12" s="1"/>
  <c r="V129" i="4"/>
  <c r="F739" i="12"/>
  <c r="V254" i="3"/>
  <c r="V204" i="3"/>
  <c r="M695" i="10"/>
  <c r="K695" i="10"/>
  <c r="L292" i="10"/>
  <c r="E312" i="12" s="1"/>
  <c r="M292" i="10"/>
  <c r="M712" i="10"/>
  <c r="F732" i="12"/>
  <c r="K712" i="10"/>
  <c r="V250" i="2"/>
  <c r="V123" i="3"/>
  <c r="F362" i="12"/>
  <c r="K342" i="10"/>
  <c r="L342" i="10"/>
  <c r="E362" i="12" s="1"/>
  <c r="K348" i="10"/>
  <c r="L348" i="10"/>
  <c r="E368" i="12" s="1"/>
  <c r="M348" i="10"/>
  <c r="L574" i="10"/>
  <c r="E594" i="12" s="1"/>
  <c r="V216" i="1"/>
  <c r="F594" i="12"/>
  <c r="K574" i="10"/>
  <c r="M705" i="10"/>
  <c r="K705" i="10"/>
  <c r="V247" i="4"/>
  <c r="K614" i="10"/>
  <c r="L518" i="10"/>
  <c r="E538" i="12" s="1"/>
  <c r="F584" i="12"/>
  <c r="M564" i="10"/>
  <c r="V265" i="4"/>
  <c r="V120" i="4"/>
  <c r="V244" i="3"/>
  <c r="V147" i="5"/>
  <c r="V145" i="3"/>
  <c r="M405" i="10"/>
  <c r="L378" i="10"/>
  <c r="E398" i="12" s="1"/>
  <c r="F367" i="12"/>
  <c r="V128" i="2"/>
  <c r="F334" i="12"/>
  <c r="M314" i="10"/>
  <c r="F427" i="12"/>
  <c r="M542" i="10"/>
  <c r="L542" i="10"/>
  <c r="E562" i="12" s="1"/>
  <c r="F775" i="12"/>
  <c r="L750" i="10"/>
  <c r="E770" i="12" s="1"/>
  <c r="L608" i="10"/>
  <c r="E628" i="12" s="1"/>
  <c r="L303" i="10"/>
  <c r="E323" i="12" s="1"/>
  <c r="L719" i="10"/>
  <c r="E739" i="12" s="1"/>
  <c r="F495" i="12"/>
  <c r="F347" i="12"/>
  <c r="V211" i="5"/>
  <c r="M557" i="10"/>
  <c r="K557" i="10"/>
  <c r="M276" i="10"/>
  <c r="K276" i="10"/>
  <c r="V111" i="2"/>
  <c r="V112" i="3"/>
  <c r="F307" i="12"/>
  <c r="K287" i="10"/>
  <c r="L287" i="10"/>
  <c r="E307" i="12" s="1"/>
  <c r="L551" i="10"/>
  <c r="E571" i="12" s="1"/>
  <c r="K551" i="10"/>
  <c r="F612" i="12"/>
  <c r="M592" i="10"/>
  <c r="K710" i="10"/>
  <c r="L710" i="10"/>
  <c r="E730" i="12" s="1"/>
  <c r="M710" i="10"/>
  <c r="L602" i="10"/>
  <c r="E622" i="12" s="1"/>
  <c r="M602" i="10"/>
  <c r="N459" i="10"/>
  <c r="K602" i="10"/>
  <c r="K539" i="10"/>
  <c r="K289" i="10"/>
  <c r="K603" i="10"/>
  <c r="K675" i="10"/>
  <c r="M675" i="10"/>
  <c r="F695" i="12"/>
  <c r="K628" i="10"/>
  <c r="L628" i="10"/>
  <c r="E648" i="12" s="1"/>
  <c r="K676" i="10"/>
  <c r="V270" i="4"/>
  <c r="K485" i="10"/>
  <c r="M485" i="10"/>
  <c r="K297" i="10"/>
  <c r="V117" i="4"/>
  <c r="F317" i="12"/>
  <c r="K359" i="10"/>
  <c r="F379" i="12"/>
  <c r="V141" i="4"/>
  <c r="K566" i="10"/>
  <c r="V217" i="5"/>
  <c r="K653" i="10"/>
  <c r="F673" i="12"/>
  <c r="M653" i="10"/>
  <c r="K393" i="10"/>
  <c r="L393" i="10"/>
  <c r="E413" i="12" s="1"/>
  <c r="M393" i="10"/>
  <c r="K641" i="10"/>
  <c r="F661" i="12"/>
  <c r="V244" i="1"/>
  <c r="K718" i="10"/>
  <c r="L718" i="10"/>
  <c r="E738" i="12" s="1"/>
  <c r="K346" i="10"/>
  <c r="V128" i="3"/>
  <c r="K390" i="10"/>
  <c r="L390" i="10"/>
  <c r="E410" i="12" s="1"/>
  <c r="V158" i="1"/>
  <c r="F410" i="12"/>
  <c r="K300" i="10"/>
  <c r="V124" i="4"/>
  <c r="K575" i="10"/>
  <c r="L575" i="10"/>
  <c r="E595" i="12" s="1"/>
  <c r="K671" i="10"/>
  <c r="M671" i="10"/>
  <c r="F691" i="12"/>
  <c r="K426" i="10"/>
  <c r="M426" i="10"/>
  <c r="F446" i="12"/>
  <c r="K396" i="10"/>
  <c r="M396" i="10"/>
  <c r="F416" i="12"/>
  <c r="V143" i="2"/>
  <c r="K521" i="10"/>
  <c r="M521" i="10"/>
  <c r="F541" i="12"/>
  <c r="K523" i="10"/>
  <c r="V187" i="2"/>
  <c r="F543" i="12"/>
  <c r="M523" i="10"/>
  <c r="K634" i="10"/>
  <c r="L634" i="10"/>
  <c r="E654" i="12" s="1"/>
  <c r="M634" i="10"/>
  <c r="K701" i="10"/>
  <c r="M701" i="10"/>
  <c r="F721" i="12"/>
  <c r="V261" i="1"/>
  <c r="K669" i="10"/>
  <c r="M669" i="10"/>
  <c r="F689" i="12"/>
  <c r="K722" i="10"/>
  <c r="V258" i="3"/>
  <c r="K731" i="10"/>
  <c r="V270" i="3"/>
  <c r="F751" i="12"/>
  <c r="K425" i="10"/>
  <c r="L425" i="10"/>
  <c r="E445" i="12" s="1"/>
  <c r="K487" i="10"/>
  <c r="L487" i="10"/>
  <c r="E507" i="12" s="1"/>
  <c r="K311" i="10"/>
  <c r="M311" i="10"/>
  <c r="K374" i="10"/>
  <c r="M374" i="10"/>
  <c r="K626" i="10"/>
  <c r="M626" i="10"/>
  <c r="V259" i="5"/>
  <c r="K691" i="10"/>
  <c r="L691" i="10"/>
  <c r="E711" i="12" s="1"/>
  <c r="K747" i="10"/>
  <c r="M747" i="10"/>
  <c r="F767" i="12"/>
  <c r="L675" i="10"/>
  <c r="E695" i="12" s="1"/>
  <c r="F696" i="12"/>
  <c r="V188" i="5"/>
  <c r="M731" i="10"/>
  <c r="V249" i="3"/>
  <c r="L346" i="10"/>
  <c r="E366" i="12" s="1"/>
  <c r="L701" i="10"/>
  <c r="E721" i="12" s="1"/>
  <c r="V217" i="1"/>
  <c r="V235" i="2"/>
  <c r="L521" i="10"/>
  <c r="E541" i="12" s="1"/>
  <c r="K654" i="10"/>
  <c r="M654" i="10"/>
  <c r="K475" i="10"/>
  <c r="V176" i="3"/>
  <c r="K579" i="10"/>
  <c r="L579" i="10"/>
  <c r="E599" i="12" s="1"/>
  <c r="K552" i="10"/>
  <c r="V224" i="4"/>
  <c r="K572" i="10"/>
  <c r="V213" i="1"/>
  <c r="F592" i="12"/>
  <c r="L572" i="10"/>
  <c r="E592" i="12" s="1"/>
  <c r="K704" i="10"/>
  <c r="L704" i="10"/>
  <c r="E724" i="12" s="1"/>
  <c r="V266" i="1"/>
  <c r="F724" i="12"/>
  <c r="L276" i="10"/>
  <c r="E296" i="12" s="1"/>
  <c r="F296" i="12"/>
  <c r="K398" i="10"/>
  <c r="M398" i="10"/>
  <c r="F418" i="12"/>
  <c r="K328" i="10"/>
  <c r="M328" i="10"/>
  <c r="V138" i="1"/>
  <c r="K509" i="10"/>
  <c r="M509" i="10"/>
  <c r="V191" i="1"/>
  <c r="K578" i="10"/>
  <c r="V222" i="1"/>
  <c r="F598" i="12"/>
  <c r="K279" i="10"/>
  <c r="L279" i="10"/>
  <c r="E299" i="12" s="1"/>
  <c r="K351" i="10"/>
  <c r="V135" i="3"/>
  <c r="F371" i="12"/>
  <c r="K537" i="10"/>
  <c r="V197" i="3"/>
  <c r="K723" i="10"/>
  <c r="M723" i="10"/>
  <c r="K360" i="10"/>
  <c r="M360" i="10"/>
  <c r="F380" i="12"/>
  <c r="K428" i="10"/>
  <c r="M428" i="10"/>
  <c r="M617" i="10"/>
  <c r="F637" i="12"/>
  <c r="K618" i="10"/>
  <c r="L618" i="10"/>
  <c r="E638" i="12" s="1"/>
  <c r="K734" i="10"/>
  <c r="V287" i="4"/>
  <c r="F754" i="12"/>
  <c r="K737" i="10"/>
  <c r="V291" i="4"/>
  <c r="F757" i="12"/>
  <c r="K437" i="10"/>
  <c r="M437" i="10"/>
  <c r="K441" i="10"/>
  <c r="M441" i="10"/>
  <c r="F461" i="12"/>
  <c r="M754" i="10"/>
  <c r="F774" i="12"/>
  <c r="L683" i="10"/>
  <c r="E703" i="12" s="1"/>
  <c r="F703" i="12"/>
  <c r="M683" i="10"/>
  <c r="K683" i="10"/>
  <c r="M676" i="10"/>
  <c r="V267" i="4"/>
  <c r="L426" i="10"/>
  <c r="E446" i="12" s="1"/>
  <c r="L300" i="10"/>
  <c r="E320" i="12" s="1"/>
  <c r="L722" i="10"/>
  <c r="E742" i="12" s="1"/>
  <c r="F654" i="12"/>
  <c r="M390" i="10"/>
  <c r="L523" i="10"/>
  <c r="E543" i="12" s="1"/>
  <c r="L396" i="10"/>
  <c r="E416" i="12" s="1"/>
  <c r="V306" i="4"/>
  <c r="K622" i="10"/>
  <c r="F642" i="12"/>
  <c r="K623" i="10"/>
  <c r="L623" i="10"/>
  <c r="E643" i="12" s="1"/>
  <c r="K343" i="10"/>
  <c r="L343" i="10"/>
  <c r="E363" i="12" s="1"/>
  <c r="V124" i="3"/>
  <c r="K433" i="10"/>
  <c r="L433" i="10"/>
  <c r="E453" i="12" s="1"/>
  <c r="K492" i="10"/>
  <c r="M492" i="10"/>
  <c r="F512" i="12"/>
  <c r="K530" i="10"/>
  <c r="V188" i="3"/>
  <c r="F550" i="12"/>
  <c r="L530" i="10"/>
  <c r="E550" i="12" s="1"/>
  <c r="K292" i="10"/>
  <c r="V118" i="3"/>
  <c r="F312" i="12"/>
  <c r="V206" i="1"/>
  <c r="V260" i="2"/>
  <c r="V183" i="4"/>
  <c r="F538" i="12"/>
  <c r="F515" i="12"/>
  <c r="L520" i="10"/>
  <c r="E540" i="12" s="1"/>
  <c r="M644" i="10"/>
  <c r="K644" i="10"/>
  <c r="V237" i="2"/>
  <c r="M514" i="10"/>
  <c r="F577" i="12"/>
  <c r="M611" i="10"/>
  <c r="V239" i="2"/>
  <c r="L566" i="10"/>
  <c r="E586" i="12" s="1"/>
  <c r="L460" i="10"/>
  <c r="E480" i="12" s="1"/>
  <c r="V236" i="3"/>
  <c r="M659" i="10"/>
  <c r="L659" i="10"/>
  <c r="E679" i="12" s="1"/>
  <c r="F679" i="12"/>
  <c r="V257" i="1"/>
  <c r="M628" i="10"/>
  <c r="M637" i="10"/>
  <c r="F634" i="12"/>
  <c r="L749" i="10"/>
  <c r="E769" i="12" s="1"/>
  <c r="F575" i="12"/>
  <c r="M690" i="10"/>
  <c r="L556" i="10"/>
  <c r="E576" i="12" s="1"/>
  <c r="L485" i="10"/>
  <c r="E505" i="12" s="1"/>
  <c r="L555" i="10"/>
  <c r="E575" i="12" s="1"/>
  <c r="F738" i="12"/>
  <c r="L347" i="10"/>
  <c r="E367" i="12" s="1"/>
  <c r="V262" i="5"/>
  <c r="F363" i="12"/>
  <c r="V241" i="4"/>
  <c r="M552" i="10"/>
  <c r="M359" i="10"/>
  <c r="L552" i="10"/>
  <c r="E572" i="12" s="1"/>
  <c r="L359" i="10"/>
  <c r="E379" i="12" s="1"/>
  <c r="V148" i="3"/>
  <c r="V231" i="5"/>
  <c r="M350" i="10"/>
  <c r="L350" i="10"/>
  <c r="E370" i="12" s="1"/>
  <c r="V289" i="5"/>
  <c r="L755" i="10"/>
  <c r="E775" i="12" s="1"/>
  <c r="V232" i="5"/>
  <c r="V287" i="5"/>
  <c r="V277" i="5"/>
  <c r="F711" i="12"/>
  <c r="L626" i="10"/>
  <c r="E520" i="12"/>
  <c r="L437" i="10"/>
  <c r="V159" i="5"/>
  <c r="F394" i="12"/>
  <c r="L311" i="10"/>
  <c r="E331" i="12" s="1"/>
  <c r="M737" i="10"/>
  <c r="L734" i="10"/>
  <c r="E754" i="12" s="1"/>
  <c r="L671" i="10"/>
  <c r="E691" i="12" s="1"/>
  <c r="M618" i="10"/>
  <c r="L617" i="10"/>
  <c r="E637" i="12" s="1"/>
  <c r="L492" i="10"/>
  <c r="E512" i="12" s="1"/>
  <c r="F507" i="12"/>
  <c r="V195" i="4"/>
  <c r="F448" i="12"/>
  <c r="V174" i="4"/>
  <c r="V172" i="4"/>
  <c r="V156" i="4"/>
  <c r="V142" i="4"/>
  <c r="M300" i="10"/>
  <c r="L297" i="10"/>
  <c r="E317" i="12" s="1"/>
  <c r="V259" i="3"/>
  <c r="M722" i="10"/>
  <c r="L537" i="10"/>
  <c r="E557" i="12" s="1"/>
  <c r="M530" i="10"/>
  <c r="M475" i="10"/>
  <c r="F370" i="12"/>
  <c r="M346" i="10"/>
  <c r="M343" i="10"/>
  <c r="M279" i="10"/>
  <c r="M704" i="10"/>
  <c r="L641" i="10"/>
  <c r="E661" i="12" s="1"/>
  <c r="F599" i="12"/>
  <c r="M578" i="10"/>
  <c r="F595" i="12"/>
  <c r="M572" i="10"/>
  <c r="F529" i="12"/>
  <c r="F348" i="12"/>
  <c r="V184" i="2"/>
  <c r="K505" i="10"/>
  <c r="L505" i="10"/>
  <c r="E525" i="12" s="1"/>
  <c r="V196" i="5"/>
  <c r="K453" i="10"/>
  <c r="M453" i="10"/>
  <c r="V180" i="1"/>
  <c r="K410" i="10"/>
  <c r="M410" i="10"/>
  <c r="F430" i="12"/>
  <c r="V181" i="4"/>
  <c r="V281" i="4"/>
  <c r="K326" i="10"/>
  <c r="L326" i="10"/>
  <c r="E346" i="12" s="1"/>
  <c r="V149" i="1"/>
  <c r="V127" i="1"/>
  <c r="K462" i="10"/>
  <c r="K591" i="10"/>
  <c r="K468" i="10"/>
  <c r="K357" i="10"/>
  <c r="K418" i="10"/>
  <c r="K344" i="10"/>
  <c r="K592" i="10"/>
  <c r="N700" i="10"/>
  <c r="K700" i="10" s="1"/>
  <c r="K541" i="10"/>
  <c r="K581" i="10"/>
  <c r="K735" i="10"/>
  <c r="F755" i="12"/>
  <c r="K490" i="10"/>
  <c r="L490" i="10"/>
  <c r="E510" i="12" s="1"/>
  <c r="V201" i="4"/>
  <c r="K726" i="10"/>
  <c r="L726" i="10"/>
  <c r="E746" i="12" s="1"/>
  <c r="M726" i="10"/>
  <c r="K571" i="10"/>
  <c r="F591" i="12"/>
  <c r="M571" i="10"/>
  <c r="K399" i="10"/>
  <c r="L399" i="10"/>
  <c r="E419" i="12" s="1"/>
  <c r="V148" i="2"/>
  <c r="K711" i="10"/>
  <c r="F731" i="12"/>
  <c r="L711" i="10"/>
  <c r="E731" i="12" s="1"/>
  <c r="L493" i="10"/>
  <c r="E513" i="12" s="1"/>
  <c r="V259" i="1"/>
  <c r="V288" i="4"/>
  <c r="M735" i="10"/>
  <c r="F576" i="12"/>
  <c r="M517" i="10"/>
  <c r="M627" i="10"/>
  <c r="V227" i="2"/>
  <c r="M648" i="10"/>
  <c r="F746" i="12"/>
  <c r="M711" i="10"/>
  <c r="E330" i="12"/>
  <c r="E639" i="12"/>
  <c r="M493" i="10"/>
  <c r="V206" i="4" s="1"/>
  <c r="F419" i="12"/>
  <c r="K751" i="10"/>
  <c r="L751" i="10"/>
  <c r="E771" i="12" s="1"/>
  <c r="K479" i="10"/>
  <c r="V182" i="3"/>
  <c r="L479" i="10"/>
  <c r="E499" i="12" s="1"/>
  <c r="K707" i="10"/>
  <c r="F727" i="12"/>
  <c r="K689" i="10"/>
  <c r="F709" i="12"/>
  <c r="M689" i="10"/>
  <c r="L689" i="10"/>
  <c r="E709" i="12" s="1"/>
  <c r="K498" i="10"/>
  <c r="F518" i="12"/>
  <c r="V185" i="5"/>
  <c r="M498" i="10"/>
  <c r="K756" i="10"/>
  <c r="V291" i="5"/>
  <c r="K394" i="10"/>
  <c r="V140" i="2"/>
  <c r="L394" i="10"/>
  <c r="E414" i="12" s="1"/>
  <c r="F414" i="12"/>
  <c r="M394" i="10"/>
  <c r="K729" i="10"/>
  <c r="L729" i="10"/>
  <c r="E749" i="12" s="1"/>
  <c r="V267" i="3"/>
  <c r="K526" i="10"/>
  <c r="F546" i="12"/>
  <c r="L526" i="10"/>
  <c r="E546" i="12" s="1"/>
  <c r="M526" i="10"/>
  <c r="K282" i="10"/>
  <c r="M282" i="10"/>
  <c r="F302" i="12"/>
  <c r="L282" i="10"/>
  <c r="E302" i="12" s="1"/>
  <c r="K464" i="10"/>
  <c r="V172" i="2"/>
  <c r="M464" i="10"/>
  <c r="F484" i="12"/>
  <c r="K585" i="10"/>
  <c r="L585" i="10"/>
  <c r="E605" i="12" s="1"/>
  <c r="V206" i="2"/>
  <c r="K450" i="10"/>
  <c r="M450" i="10"/>
  <c r="F470" i="12"/>
  <c r="L450" i="10"/>
  <c r="E470" i="12" s="1"/>
  <c r="K725" i="10"/>
  <c r="L725" i="10"/>
  <c r="E745" i="12" s="1"/>
  <c r="V261" i="3"/>
  <c r="K294" i="10"/>
  <c r="V113" i="4"/>
  <c r="M294" i="10"/>
  <c r="F314" i="12"/>
  <c r="K365" i="10"/>
  <c r="M365" i="10"/>
  <c r="F385" i="12"/>
  <c r="L365" i="10"/>
  <c r="E385" i="12" s="1"/>
  <c r="K427" i="10"/>
  <c r="L427" i="10"/>
  <c r="E447" i="12" s="1"/>
  <c r="V176" i="4"/>
  <c r="K439" i="10"/>
  <c r="V167" i="5"/>
  <c r="M439" i="10"/>
  <c r="F459" i="12"/>
  <c r="K558" i="10"/>
  <c r="V205" i="5"/>
  <c r="M558" i="10"/>
  <c r="F578" i="12"/>
  <c r="K632" i="10"/>
  <c r="L632" i="10"/>
  <c r="E652" i="12" s="1"/>
  <c r="V246" i="5"/>
  <c r="K759" i="10"/>
  <c r="L759" i="10"/>
  <c r="E779" i="12" s="1"/>
  <c r="M759" i="10"/>
  <c r="K373" i="10"/>
  <c r="L373" i="10"/>
  <c r="E393" i="12" s="1"/>
  <c r="M373" i="10"/>
  <c r="K267" i="10"/>
  <c r="F287" i="12"/>
  <c r="M267" i="10"/>
  <c r="V296" i="5"/>
  <c r="F537" i="12"/>
  <c r="L517" i="10"/>
  <c r="E537" i="12" s="1"/>
  <c r="M556" i="10"/>
  <c r="V231" i="4" s="1"/>
  <c r="V204" i="1"/>
  <c r="V238" i="5"/>
  <c r="V263" i="3"/>
  <c r="F393" i="12"/>
  <c r="L756" i="10"/>
  <c r="E776" i="12" s="1"/>
  <c r="F776" i="12"/>
  <c r="M632" i="10"/>
  <c r="E645" i="12"/>
  <c r="L439" i="10"/>
  <c r="E459" i="12" s="1"/>
  <c r="V116" i="5"/>
  <c r="L735" i="10"/>
  <c r="E755" i="12" s="1"/>
  <c r="F510" i="12"/>
  <c r="F447" i="12"/>
  <c r="F749" i="12"/>
  <c r="M725" i="10"/>
  <c r="V211" i="1"/>
  <c r="M585" i="10"/>
  <c r="L464" i="10"/>
  <c r="E484" i="12" s="1"/>
  <c r="M399" i="10"/>
  <c r="F779" i="12"/>
  <c r="K730" i="10"/>
  <c r="M730" i="10"/>
  <c r="K431" i="10"/>
  <c r="L431" i="10"/>
  <c r="E451" i="12" s="1"/>
  <c r="K352" i="10"/>
  <c r="N420" i="10"/>
  <c r="K420" i="10" s="1"/>
  <c r="N609" i="10"/>
  <c r="K609" i="10" s="1"/>
  <c r="N672" i="10"/>
  <c r="K285" i="10"/>
  <c r="K332" i="10"/>
  <c r="K331" i="10"/>
  <c r="K423" i="10"/>
  <c r="V91" i="5" l="1"/>
  <c r="V242" i="1"/>
  <c r="F660" i="12"/>
  <c r="M640" i="10"/>
  <c r="L640" i="10"/>
  <c r="E660" i="12" s="1"/>
  <c r="K640" i="10"/>
  <c r="V272" i="1"/>
  <c r="M707" i="10"/>
  <c r="L707" i="10"/>
  <c r="E727" i="12" s="1"/>
  <c r="V140" i="5"/>
  <c r="F464" i="12"/>
  <c r="K563" i="10"/>
  <c r="F583" i="12"/>
  <c r="M563" i="10"/>
  <c r="L563" i="10"/>
  <c r="E583" i="12" s="1"/>
  <c r="L471" i="10"/>
  <c r="E491" i="12" s="1"/>
  <c r="M471" i="10"/>
  <c r="V171" i="3"/>
  <c r="F491" i="12"/>
  <c r="L466" i="10"/>
  <c r="E486" i="12" s="1"/>
  <c r="V176" i="2"/>
  <c r="F486" i="12"/>
  <c r="M599" i="10"/>
  <c r="L599" i="10"/>
  <c r="E619" i="12" s="1"/>
  <c r="F619" i="12"/>
  <c r="V217" i="3"/>
  <c r="K752" i="10"/>
  <c r="V284" i="5" s="1"/>
  <c r="F772" i="12"/>
  <c r="M752" i="10"/>
  <c r="K304" i="10"/>
  <c r="F324" i="12"/>
  <c r="L304" i="10"/>
  <c r="E324" i="12" s="1"/>
  <c r="M304" i="10"/>
  <c r="K471" i="10"/>
  <c r="K599" i="10"/>
  <c r="L444" i="10"/>
  <c r="E464" i="12" s="1"/>
  <c r="L290" i="10"/>
  <c r="E310" i="12" s="1"/>
  <c r="V116" i="3"/>
  <c r="F310" i="12"/>
  <c r="M290" i="10"/>
  <c r="V139" i="3"/>
  <c r="F374" i="12"/>
  <c r="M354" i="10"/>
  <c r="L354" i="10"/>
  <c r="E374" i="12" s="1"/>
  <c r="M708" i="10"/>
  <c r="L708" i="10"/>
  <c r="E728" i="12" s="1"/>
  <c r="V244" i="2"/>
  <c r="F728" i="12"/>
  <c r="L209" i="10"/>
  <c r="E229" i="12" s="1"/>
  <c r="V83" i="2"/>
  <c r="M209" i="10"/>
  <c r="F229" i="12"/>
  <c r="L226" i="10"/>
  <c r="E246" i="12" s="1"/>
  <c r="F246" i="12"/>
  <c r="M226" i="10"/>
  <c r="V93" i="3"/>
  <c r="K209" i="10"/>
  <c r="V235" i="5"/>
  <c r="M295" i="10"/>
  <c r="L295" i="10"/>
  <c r="E315" i="12" s="1"/>
  <c r="V115" i="4"/>
  <c r="F315" i="12"/>
  <c r="M506" i="10"/>
  <c r="F526" i="12"/>
  <c r="L506" i="10"/>
  <c r="E526" i="12" s="1"/>
  <c r="V198" i="5"/>
  <c r="L522" i="10"/>
  <c r="E542" i="12" s="1"/>
  <c r="V185" i="2"/>
  <c r="F542" i="12"/>
  <c r="M522" i="10"/>
  <c r="V242" i="4"/>
  <c r="F632" i="12"/>
  <c r="M612" i="10"/>
  <c r="L612" i="10"/>
  <c r="E632" i="12" s="1"/>
  <c r="M242" i="10"/>
  <c r="V108" i="4"/>
  <c r="L242" i="10"/>
  <c r="E262" i="12" s="1"/>
  <c r="F262" i="12"/>
  <c r="K612" i="10"/>
  <c r="L223" i="10"/>
  <c r="E243" i="12" s="1"/>
  <c r="V88" i="3"/>
  <c r="M223" i="10"/>
  <c r="F243" i="12"/>
  <c r="K290" i="10"/>
  <c r="K354" i="10"/>
  <c r="V197" i="4"/>
  <c r="F508" i="12"/>
  <c r="M488" i="10"/>
  <c r="L488" i="10"/>
  <c r="E508" i="12" s="1"/>
  <c r="M395" i="10"/>
  <c r="L395" i="10"/>
  <c r="E415" i="12" s="1"/>
  <c r="F415" i="12"/>
  <c r="V142" i="2"/>
  <c r="L408" i="10"/>
  <c r="E428" i="12" s="1"/>
  <c r="V149" i="3"/>
  <c r="F428" i="12"/>
  <c r="M408" i="10"/>
  <c r="L340" i="10"/>
  <c r="E360" i="12" s="1"/>
  <c r="M340" i="10"/>
  <c r="V134" i="2"/>
  <c r="F360" i="12"/>
  <c r="M255" i="10"/>
  <c r="F275" i="12"/>
  <c r="L255" i="10"/>
  <c r="E275" i="12" s="1"/>
  <c r="V104" i="5"/>
  <c r="K708" i="10"/>
  <c r="K408" i="10"/>
  <c r="V218" i="2"/>
  <c r="L592" i="10"/>
  <c r="E612" i="12" s="1"/>
  <c r="K226" i="10"/>
  <c r="K570" i="10"/>
  <c r="V224" i="5"/>
  <c r="M570" i="10"/>
  <c r="L570" i="10"/>
  <c r="E590" i="12" s="1"/>
  <c r="F590" i="12"/>
  <c r="V105" i="1"/>
  <c r="V97" i="2"/>
  <c r="K436" i="10"/>
  <c r="L436" i="10"/>
  <c r="E456" i="12" s="1"/>
  <c r="M436" i="10"/>
  <c r="F456" i="12"/>
  <c r="V176" i="5"/>
  <c r="M444" i="10"/>
  <c r="M455" i="10"/>
  <c r="F475" i="12"/>
  <c r="V184" i="1"/>
  <c r="L455" i="10"/>
  <c r="E475" i="12" s="1"/>
  <c r="E593" i="12"/>
  <c r="V215" i="1"/>
  <c r="K455" i="10"/>
  <c r="K381" i="10"/>
  <c r="L381" i="10"/>
  <c r="E401" i="12" s="1"/>
  <c r="M381" i="10"/>
  <c r="V152" i="5"/>
  <c r="F401" i="12"/>
  <c r="V98" i="2"/>
  <c r="K637" i="10"/>
  <c r="F657" i="12"/>
  <c r="V238" i="1"/>
  <c r="L637" i="10"/>
  <c r="E657" i="12" s="1"/>
  <c r="L644" i="10"/>
  <c r="E664" i="12" s="1"/>
  <c r="V250" i="1"/>
  <c r="F664" i="12"/>
  <c r="L318" i="10"/>
  <c r="E338" i="12" s="1"/>
  <c r="V128" i="5"/>
  <c r="F338" i="12"/>
  <c r="K318" i="10"/>
  <c r="M318" i="10"/>
  <c r="M541" i="10"/>
  <c r="F561" i="12"/>
  <c r="L541" i="10"/>
  <c r="E561" i="12" s="1"/>
  <c r="V203" i="3"/>
  <c r="V171" i="1"/>
  <c r="L459" i="10"/>
  <c r="E479" i="12" s="1"/>
  <c r="M459" i="10"/>
  <c r="F479" i="12"/>
  <c r="V164" i="2"/>
  <c r="K459" i="10"/>
  <c r="V260" i="5"/>
  <c r="V283" i="5"/>
  <c r="F720" i="12"/>
  <c r="L700" i="10"/>
  <c r="E720" i="12" s="1"/>
  <c r="M700" i="10"/>
  <c r="V260" i="1"/>
  <c r="V164" i="5"/>
  <c r="E457" i="12"/>
  <c r="V236" i="5"/>
  <c r="E646" i="12"/>
  <c r="L609" i="10"/>
  <c r="E629" i="12" s="1"/>
  <c r="V238" i="4"/>
  <c r="M609" i="10"/>
  <c r="F629" i="12"/>
  <c r="V263" i="4"/>
  <c r="M672" i="10"/>
  <c r="F692" i="12"/>
  <c r="L672" i="10"/>
  <c r="E692" i="12" s="1"/>
  <c r="L420" i="10"/>
  <c r="E440" i="12" s="1"/>
  <c r="V163" i="4"/>
  <c r="M420" i="10"/>
  <c r="F440" i="12"/>
  <c r="K672" i="10"/>
  <c r="V139" i="5"/>
  <c r="V131" i="4" l="1"/>
  <c r="V212" i="5"/>
  <c r="V163" i="5"/>
</calcChain>
</file>

<file path=xl/sharedStrings.xml><?xml version="1.0" encoding="utf-8"?>
<sst xmlns="http://schemas.openxmlformats.org/spreadsheetml/2006/main" count="4314" uniqueCount="335">
  <si>
    <t>LUNES -- EMPUJE · Pecho + Hombro + Triceps + Cuadriceps</t>
  </si>
  <si>
    <t>Ejercicio Base</t>
  </si>
  <si>
    <t>Variante</t>
  </si>
  <si>
    <t>Tipo</t>
  </si>
  <si>
    <t>Series</t>
  </si>
  <si>
    <t>Peso C.</t>
  </si>
  <si>
    <t>SERIE 1</t>
  </si>
  <si>
    <t>SERIE 2</t>
  </si>
  <si>
    <t>SERIE 3</t>
  </si>
  <si>
    <t>SERIE 4</t>
  </si>
  <si>
    <t>SERIE 5</t>
  </si>
  <si>
    <t>eRM</t>
  </si>
  <si>
    <t>Sugerencia</t>
  </si>
  <si>
    <t>Kg</t>
  </si>
  <si>
    <t>Reps</t>
  </si>
  <si>
    <t>RIR</t>
  </si>
  <si>
    <t>-- CALENTAMIENTO --</t>
  </si>
  <si>
    <t>Estiramiento gemelo tumbado -- 30 seg cada lado -- antes de empezar</t>
  </si>
  <si>
    <t>Perro</t>
  </si>
  <si>
    <t>Postura Yoga</t>
  </si>
  <si>
    <t>60 seg -- movilidad toracica</t>
  </si>
  <si>
    <t>Lagartija</t>
  </si>
  <si>
    <t>Calentamiento</t>
  </si>
  <si>
    <t>60 seg -- apertura de caderas</t>
  </si>
  <si>
    <t>Hiperextension</t>
  </si>
  <si>
    <t>Banco Romano (calent.)</t>
  </si>
  <si>
    <t>Mov. controlado -- sin carga</t>
  </si>
  <si>
    <t>SEMANA 1  HIP -- Hipertrofia</t>
  </si>
  <si>
    <t>— PECHO —</t>
  </si>
  <si>
    <t xml:space="preserve">  · Medio</t>
  </si>
  <si>
    <t>Press Plano</t>
  </si>
  <si>
    <t>Mancuernas</t>
  </si>
  <si>
    <t xml:space="preserve">  · Alto</t>
  </si>
  <si>
    <t>Aperturas Inclinado</t>
  </si>
  <si>
    <t>Mancuernas Inclinado</t>
  </si>
  <si>
    <t xml:space="preserve">  · Bajo</t>
  </si>
  <si>
    <t>Fondos</t>
  </si>
  <si>
    <t>Paralelas</t>
  </si>
  <si>
    <t>Aperturas Bajo</t>
  </si>
  <si>
    <t>Polea Baja Crossover</t>
  </si>
  <si>
    <t>Press Polea</t>
  </si>
  <si>
    <t>Barra Recta Diagonal Arriba</t>
  </si>
  <si>
    <t>— HOMBRO —</t>
  </si>
  <si>
    <t>Elevaciones Laterales</t>
  </si>
  <si>
    <t>Cable Polea Individual</t>
  </si>
  <si>
    <t>Press Militar</t>
  </si>
  <si>
    <t>Mancuernas Sentado</t>
  </si>
  <si>
    <t>— TRICEPS —</t>
  </si>
  <si>
    <t>Extension Triceps</t>
  </si>
  <si>
    <t>Katana</t>
  </si>
  <si>
    <t>— CUADRICEPS —</t>
  </si>
  <si>
    <t>Sentadilla</t>
  </si>
  <si>
    <t>Maquina</t>
  </si>
  <si>
    <t>— BICEPS —</t>
  </si>
  <si>
    <t>Curl Biceps</t>
  </si>
  <si>
    <t>Barra Recta Polea</t>
  </si>
  <si>
    <t>— CIERRE —</t>
  </si>
  <si>
    <t>Crunch</t>
  </si>
  <si>
    <t>Polea</t>
  </si>
  <si>
    <t>SEMANA 2  HIP -- Hipertrofia</t>
  </si>
  <si>
    <t>Barra</t>
  </si>
  <si>
    <t>Press Inclinado</t>
  </si>
  <si>
    <t>Aperturas</t>
  </si>
  <si>
    <t>Pec Deck Maquina</t>
  </si>
  <si>
    <t>Press Neutro Polea Individual</t>
  </si>
  <si>
    <t>Extension Cuadriceps</t>
  </si>
  <si>
    <t>Vasto Externo</t>
  </si>
  <si>
    <t>Inclinado Banco Mancuernas</t>
  </si>
  <si>
    <t>SEMANA 3  FUE -- Fuerza</t>
  </si>
  <si>
    <t>SEMANA 4  HIP -- Hipertrofia</t>
  </si>
  <si>
    <t>SEMANA 5  HIP -- Hipertrofia</t>
  </si>
  <si>
    <t>SEMANA 6  FUE -- Fuerza</t>
  </si>
  <si>
    <t>SEMANA 7  HIP -- Hipertrofia</t>
  </si>
  <si>
    <t>SEMANA 8  HIP -- Hipertrofia</t>
  </si>
  <si>
    <t>SEMANA 9  FUE -- Fuerza</t>
  </si>
  <si>
    <t>SEMANA 10  HIP -- Hipertrofia</t>
  </si>
  <si>
    <t>SEMANA 11  FUE -- Fuerza</t>
  </si>
  <si>
    <t>SEMANA 12  DEL -- Descarga</t>
  </si>
  <si>
    <t>MARTES -- TRACCION · Espalda + Biceps + Antebrazo + Triceps</t>
  </si>
  <si>
    <t>Circulos de brazos + retraccion escapular -- antes de empezar</t>
  </si>
  <si>
    <t>Rotacion</t>
  </si>
  <si>
    <t>Hombros Circulos</t>
  </si>
  <si>
    <t>30 seg cada sentido</t>
  </si>
  <si>
    <t>Band Pull-Apart</t>
  </si>
  <si>
    <t>Elastico</t>
  </si>
  <si>
    <t>60 seg -- activa escapulas</t>
  </si>
  <si>
    <t>Barra Ligera (calent.)</t>
  </si>
  <si>
    <t>Serie muy ligera -- activa biceps</t>
  </si>
  <si>
    <t>— ESPALDA —</t>
  </si>
  <si>
    <t xml:space="preserve">  · Anchura</t>
  </si>
  <si>
    <t>Dominadas</t>
  </si>
  <si>
    <t>Polea Alta Prono Ancho</t>
  </si>
  <si>
    <t>Pulldown</t>
  </si>
  <si>
    <t>Multipower</t>
  </si>
  <si>
    <t xml:space="preserve">  · Densidad</t>
  </si>
  <si>
    <t>Remo</t>
  </si>
  <si>
    <t>Maquina Hammer Neutro Unilateral</t>
  </si>
  <si>
    <t>Maquina Prono</t>
  </si>
  <si>
    <t>Polea Baja Supino</t>
  </si>
  <si>
    <t>— ANTEBRAZO —</t>
  </si>
  <si>
    <t>Curl Muneca</t>
  </si>
  <si>
    <t>Supinado</t>
  </si>
  <si>
    <t>Pronado</t>
  </si>
  <si>
    <t>— AGARRE —</t>
  </si>
  <si>
    <t>Farmer Carry</t>
  </si>
  <si>
    <t>Libre</t>
  </si>
  <si>
    <t>Skullcrusher</t>
  </si>
  <si>
    <t>Mancuerna Tumbado</t>
  </si>
  <si>
    <t>Polea Alta Brazos Rectos Prono</t>
  </si>
  <si>
    <t>Face Pull</t>
  </si>
  <si>
    <t>Polea Alta Cuerda</t>
  </si>
  <si>
    <t>Jalon</t>
  </si>
  <si>
    <t>Polea Alta Supino Estrecho</t>
  </si>
  <si>
    <t>Polea Baja Ancho Supino Trapecio</t>
  </si>
  <si>
    <t>Polea Individual</t>
  </si>
  <si>
    <t>Concentrado Maquina</t>
  </si>
  <si>
    <t>Curl Martillo</t>
  </si>
  <si>
    <t>Sulek Polea</t>
  </si>
  <si>
    <t>Extension Polea Individual</t>
  </si>
  <si>
    <t>MIERCOLES -- PIERNA · Cuadriceps + Femoral + Gemelo + Core</t>
  </si>
  <si>
    <t>Estiramiento cuadriceps de pie -- 30 seg cada lado -- antes de empezar</t>
  </si>
  <si>
    <t>Hip Circle</t>
  </si>
  <si>
    <t>En Suelo</t>
  </si>
  <si>
    <t>30 seg cada lado -- activa cadera</t>
  </si>
  <si>
    <t>Aire (calentamiento)</t>
  </si>
  <si>
    <t>60 seg -- rango completo</t>
  </si>
  <si>
    <t>Estiramiento</t>
  </si>
  <si>
    <t>Piriforme Tumbado</t>
  </si>
  <si>
    <t>30 seg cada lado</t>
  </si>
  <si>
    <t>— FEMORAL / ISQUIO —</t>
  </si>
  <si>
    <t>Curl Femoral</t>
  </si>
  <si>
    <t>Tumbado Maquina</t>
  </si>
  <si>
    <t>Sentado Maquina</t>
  </si>
  <si>
    <t>Curl Rumano</t>
  </si>
  <si>
    <t>Multipower Cuna Talones</t>
  </si>
  <si>
    <t>Prensa Pierna</t>
  </si>
  <si>
    <t>Individual Horizontal</t>
  </si>
  <si>
    <t>Vasto Interno</t>
  </si>
  <si>
    <t>— GEMELO —</t>
  </si>
  <si>
    <t>Elevacion Gemelo</t>
  </si>
  <si>
    <t>Sentado</t>
  </si>
  <si>
    <t>De Pie</t>
  </si>
  <si>
    <t>— LUMBAR —</t>
  </si>
  <si>
    <t>Banco Romano</t>
  </si>
  <si>
    <t>Peso Muerto Parcial</t>
  </si>
  <si>
    <t>— CORE / ABS —</t>
  </si>
  <si>
    <t>Plancha</t>
  </si>
  <si>
    <t>Tumbado</t>
  </si>
  <si>
    <t>Rueda Abdominal</t>
  </si>
  <si>
    <t>Ab Wheel</t>
  </si>
  <si>
    <t>Elevacion Piernas</t>
  </si>
  <si>
    <t>Colgado</t>
  </si>
  <si>
    <t>Abdominal</t>
  </si>
  <si>
    <t>JUEVES -- EMPUJE 2 · Hombro + Pecho + Triceps + Cuadriceps</t>
  </si>
  <si>
    <t>Pendulum de brazo -- 30 seg cada lado -- activa el manguito rotador</t>
  </si>
  <si>
    <t>Manguito Rotador</t>
  </si>
  <si>
    <t>30 seg -- activa hombro</t>
  </si>
  <si>
    <t>Elastico (calent.)</t>
  </si>
  <si>
    <t>60 seg -- deltoides posterior</t>
  </si>
  <si>
    <t>Drop Set Maquina</t>
  </si>
  <si>
    <t xml:space="preserve">  · Posterior</t>
  </si>
  <si>
    <t>Pajaro</t>
  </si>
  <si>
    <t>Elevacion Posterior</t>
  </si>
  <si>
    <t>Peck Deck Invertida</t>
  </si>
  <si>
    <t>Elevaciones Posteriores</t>
  </si>
  <si>
    <t xml:space="preserve">  · Amplitud</t>
  </si>
  <si>
    <t>Polea Sobre Cabeza</t>
  </si>
  <si>
    <t>SABADO -- TRACCION 2 · Espalda + Biceps + Antebrazo + Hombro</t>
  </si>
  <si>
    <t>Circulos de brazos + remo elastico ligero -- antes de empezar</t>
  </si>
  <si>
    <t>Elastico (calentamiento)</t>
  </si>
  <si>
    <t>60 seg -- activa dorsal</t>
  </si>
  <si>
    <t>Ligero (calentamiento)</t>
  </si>
  <si>
    <t>Maquina Neutro Estrecho</t>
  </si>
  <si>
    <t>Maquina Neutro Ancho</t>
  </si>
  <si>
    <t>— TRAPECIOS —</t>
  </si>
  <si>
    <t>Encogimientos</t>
  </si>
  <si>
    <t>Mancuernas Trapecio</t>
  </si>
  <si>
    <t>MEDIDAS Y PESO CORPORAL</t>
  </si>
  <si>
    <t>Fecha</t>
  </si>
  <si>
    <t>Peso (kg)</t>
  </si>
  <si>
    <t>Pecho (cm)</t>
  </si>
  <si>
    <t>Cintura (cm)</t>
  </si>
  <si>
    <t>Brazo (cm)</t>
  </si>
  <si>
    <t>Pierna (cm)</t>
  </si>
  <si>
    <t>Antebrazo (cm)</t>
  </si>
  <si>
    <t>CONFIGURACION DEL SISTEMA</t>
  </si>
  <si>
    <t>Semana Actual:</t>
  </si>
  <si>
    <t>&lt;- Introduce la semana actual (1-12)</t>
  </si>
  <si>
    <t>Tipo Semana:</t>
  </si>
  <si>
    <t>PARAMETROS POR TIPO DE SEMANA</t>
  </si>
  <si>
    <t>Tipo Semana</t>
  </si>
  <si>
    <t>Reps Min</t>
  </si>
  <si>
    <t>Reps Max</t>
  </si>
  <si>
    <t>RIR Min</t>
  </si>
  <si>
    <t>RIR Max</t>
  </si>
  <si>
    <t>HIP</t>
  </si>
  <si>
    <t>FUE</t>
  </si>
  <si>
    <t>PROGRAMACION 12 SEMANAS</t>
  </si>
  <si>
    <t>Semana</t>
  </si>
  <si>
    <t>DEL</t>
  </si>
  <si>
    <t>NIVELES DE POLEA</t>
  </si>
  <si>
    <t>Nivel</t>
  </si>
  <si>
    <t>CATALOGO DE EJERCICIOS</t>
  </si>
  <si>
    <t>ID</t>
  </si>
  <si>
    <t>Nombre</t>
  </si>
  <si>
    <t>Clave_BV</t>
  </si>
  <si>
    <t>Seccion</t>
  </si>
  <si>
    <t>Bases Seccion</t>
  </si>
  <si>
    <t>mancuerna</t>
  </si>
  <si>
    <t>Aperturas_Inclinado</t>
  </si>
  <si>
    <t>AGARRE</t>
  </si>
  <si>
    <t>Aperturas Medio</t>
  </si>
  <si>
    <t>polea</t>
  </si>
  <si>
    <t>Aperturas_Medio</t>
  </si>
  <si>
    <t>ANTEBRAZO</t>
  </si>
  <si>
    <t>Mancuernas Plano</t>
  </si>
  <si>
    <t>Aperturas_Bajo</t>
  </si>
  <si>
    <t>BICEPS</t>
  </si>
  <si>
    <t>peso_corporal</t>
  </si>
  <si>
    <t>Band_Pull_Apart</t>
  </si>
  <si>
    <t>CIERRE</t>
  </si>
  <si>
    <t>Curl_Biceps</t>
  </si>
  <si>
    <t>Bayesian Polea Individual</t>
  </si>
  <si>
    <t>CORE</t>
  </si>
  <si>
    <t>Elevacion Talones</t>
  </si>
  <si>
    <t>Mancuerna</t>
  </si>
  <si>
    <t>Curl_Femoral</t>
  </si>
  <si>
    <t>CUADRICEPS</t>
  </si>
  <si>
    <t>Curl_Martillo</t>
  </si>
  <si>
    <t>Curl_Muneca</t>
  </si>
  <si>
    <t>ESPALDA</t>
  </si>
  <si>
    <t>Curl_Rumano</t>
  </si>
  <si>
    <t>disco</t>
  </si>
  <si>
    <t>Elevacion_Gemelo</t>
  </si>
  <si>
    <t>Elevacion_Piernas</t>
  </si>
  <si>
    <t>De Pie Maquina</t>
  </si>
  <si>
    <t>Elevacion_Talones</t>
  </si>
  <si>
    <t>FEMORAL</t>
  </si>
  <si>
    <t>Elevaciones_Laterales</t>
  </si>
  <si>
    <t>HOMBRO</t>
  </si>
  <si>
    <t>Elevaciones_Posteriores</t>
  </si>
  <si>
    <t>Extension_Cuadriceps</t>
  </si>
  <si>
    <t>Press Banca Inclinado</t>
  </si>
  <si>
    <t>Maquina Individual</t>
  </si>
  <si>
    <t>Press Banca Plano</t>
  </si>
  <si>
    <t>Extension_Triceps</t>
  </si>
  <si>
    <t>Press Barra Recta</t>
  </si>
  <si>
    <t>Press Barra V</t>
  </si>
  <si>
    <t>Face_Pull</t>
  </si>
  <si>
    <t>Farmer_Carry</t>
  </si>
  <si>
    <t>Hip_Circle</t>
  </si>
  <si>
    <t>TRAPECIOS</t>
  </si>
  <si>
    <t>JM Press</t>
  </si>
  <si>
    <t>JM_Press</t>
  </si>
  <si>
    <t>TRICEPS</t>
  </si>
  <si>
    <t>Peck_Deck_Invertida</t>
  </si>
  <si>
    <t>Peso_Muerto_Parcial</t>
  </si>
  <si>
    <t>Ambos Pies</t>
  </si>
  <si>
    <t>Prensa_Pierna</t>
  </si>
  <si>
    <t>Individual</t>
  </si>
  <si>
    <t>Press_Plano</t>
  </si>
  <si>
    <t>Press_Inclinado</t>
  </si>
  <si>
    <t>Press_Militar</t>
  </si>
  <si>
    <t>Press_Polea</t>
  </si>
  <si>
    <t>Multipower Barra</t>
  </si>
  <si>
    <t>Rueda_Abdominal</t>
  </si>
  <si>
    <t>HISTORIAL DE ENTRENAMIENTO</t>
  </si>
  <si>
    <t>Dia</t>
  </si>
  <si>
    <t>Kg Ef.</t>
  </si>
  <si>
    <t>Reps Ef.</t>
  </si>
  <si>
    <t>RIR Ef.</t>
  </si>
  <si>
    <t>Tipo Serie</t>
  </si>
  <si>
    <t>P.Total</t>
  </si>
  <si>
    <t>Progreso</t>
  </si>
  <si>
    <t>Tipo Sem.</t>
  </si>
  <si>
    <t>Clave</t>
  </si>
  <si>
    <t>ef_Z</t>
  </si>
  <si>
    <t>LUNES</t>
  </si>
  <si>
    <t>MARTES</t>
  </si>
  <si>
    <t>MIERCOLES</t>
  </si>
  <si>
    <t>JUEVES</t>
  </si>
  <si>
    <t>SABADO</t>
  </si>
  <si>
    <t>SUGERENCIAS DE PROGRESION</t>
  </si>
  <si>
    <t>Cada fila = una sesion. Solo usa datos de sesiones ANTERIORES.</t>
  </si>
  <si>
    <t>Sem</t>
  </si>
  <si>
    <t>Sl</t>
  </si>
  <si>
    <t>Base</t>
  </si>
  <si>
    <t>U. Kg</t>
  </si>
  <si>
    <t>U. Reps</t>
  </si>
  <si>
    <t>U. RIR</t>
  </si>
  <si>
    <t>U. Tipo</t>
  </si>
  <si>
    <t>Kg Sug.</t>
  </si>
  <si>
    <t>Reps Obj.</t>
  </si>
  <si>
    <t>RIR Obj.</t>
  </si>
  <si>
    <t>Accion</t>
  </si>
  <si>
    <t>VOLUMEN SEMANAL POR MUSCULO</t>
  </si>
  <si>
    <t>Bajo minimo | En rango | Cerca limite (&gt;=90%) | Exceso</t>
  </si>
  <si>
    <t>Musculo / Porcion</t>
  </si>
  <si>
    <t>S1</t>
  </si>
  <si>
    <t>S2</t>
  </si>
  <si>
    <t>S3</t>
  </si>
  <si>
    <t>S4</t>
  </si>
  <si>
    <t>S5</t>
  </si>
  <si>
    <t>S6</t>
  </si>
  <si>
    <t>S7</t>
  </si>
  <si>
    <t>S8</t>
  </si>
  <si>
    <t>S9</t>
  </si>
  <si>
    <t>S10</t>
  </si>
  <si>
    <t>S11</t>
  </si>
  <si>
    <t>S12</t>
  </si>
  <si>
    <t>Min</t>
  </si>
  <si>
    <t>Max</t>
  </si>
  <si>
    <t>Pecho</t>
  </si>
  <si>
    <t xml:space="preserve">  Pecho alto</t>
  </si>
  <si>
    <t xml:space="preserve">  Pecho medio</t>
  </si>
  <si>
    <t xml:space="preserve">  Pecho bajo</t>
  </si>
  <si>
    <t>Espalda</t>
  </si>
  <si>
    <t xml:space="preserve">  Anchura</t>
  </si>
  <si>
    <t xml:space="preserve">  Densidad</t>
  </si>
  <si>
    <t>Hombro</t>
  </si>
  <si>
    <t xml:space="preserve">  Anterior</t>
  </si>
  <si>
    <t xml:space="preserve">  Lateral</t>
  </si>
  <si>
    <t xml:space="preserve">  Posterior</t>
  </si>
  <si>
    <t>Triceps</t>
  </si>
  <si>
    <t>Biceps</t>
  </si>
  <si>
    <t>Cuadriceps</t>
  </si>
  <si>
    <t>Femoral</t>
  </si>
  <si>
    <t>Gemelo</t>
  </si>
  <si>
    <t>Antebrazo</t>
  </si>
  <si>
    <t>Core</t>
  </si>
  <si>
    <t>Trapecios</t>
  </si>
  <si>
    <t>Lumbar</t>
  </si>
  <si>
    <t>DASHBOARD -- Seguimiento</t>
  </si>
  <si>
    <t>EVOLUCION MEDIDAS CORPORALES</t>
  </si>
  <si>
    <t>RESUMEN SUGERENCIAS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</si>
</sst>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4">
    <font>
      <sz val="11"/>
      <color theme="1"/>
      <name val="Calibri"/>
      <family val="2"/>
      <scheme val="minor"/>
    </font>
    <font>
      <b/>
      <sz val="13"/>
      <color rgb="FFFFFFFF"/>
      <name val="Arial"/>
    </font>
    <font>
      <b/>
      <sz val="10"/>
      <color rgb="FFFFFFFF"/>
      <name val="Arial"/>
    </font>
    <font>
      <sz val="9"/>
      <color rgb="FF1B2A4A"/>
      <name val="Arial"/>
    </font>
    <font>
      <b/>
      <sz val="10"/>
      <color rgb="FF1B2A4A"/>
      <name val="Arial"/>
    </font>
    <font>
      <sz val="10"/>
      <color rgb="FF1B2A4A"/>
      <name val="Arial"/>
    </font>
    <font>
      <sz val="8"/>
      <color rgb="FF888888"/>
      <name val="Arial"/>
    </font>
    <font>
      <b/>
      <sz val="8"/>
      <color rgb="FFFFFFFF"/>
      <name val="Arial"/>
    </font>
    <font>
      <b/>
      <sz val="8"/>
      <color rgb="FF1B2A4A"/>
      <name val="Arial"/>
    </font>
    <font>
      <b/>
      <sz val="12"/>
      <color rgb="FF1F4E79"/>
      <name val="Arial"/>
    </font>
    <font>
      <sz val="9"/>
      <color rgb="FF888888"/>
      <name val="Arial"/>
    </font>
    <font>
      <b/>
      <sz val="11"/>
      <color rgb="FF1F4E79"/>
      <name val="Arial"/>
    </font>
    <font>
      <b/>
      <sz val="11"/>
      <color rgb="FFFFFFFF"/>
      <name val="Arial"/>
    </font>
    <font>
      <b/>
      <sz val="10"/>
      <color rgb="FF1F4E79"/>
      <name val="Arial"/>
    </font>
    <font>
      <b/>
      <sz val="10"/>
      <color rgb="FF375623"/>
      <name val="Arial"/>
    </font>
    <font>
      <b/>
      <sz val="10"/>
      <color rgb="FF7F4E00"/>
      <name val="Arial"/>
    </font>
    <font>
      <b/>
      <sz val="12"/>
      <color rgb="FFFFFFFF"/>
      <name val="Arial"/>
    </font>
    <font>
      <b/>
      <sz val="9"/>
      <color rgb="FFFFFFFF"/>
      <name val="Arial"/>
    </font>
    <font>
      <sz val="8"/>
      <color rgb="FF1B2A4A"/>
      <name val="Arial"/>
    </font>
    <font>
      <sz val="8"/>
      <color rgb="FF757575"/>
      <name val="Arial"/>
    </font>
    <font>
      <sz val="9"/>
      <color rgb="FF757575"/>
      <name val="Arial"/>
    </font>
    <font>
      <sz val="8"/>
      <color rgb="FFAAAAAA"/>
      <name val="Arial"/>
    </font>
    <font>
      <sz val="8"/>
      <color rgb="FFE8F4F8"/>
      <name val="Arial"/>
    </font>
    <font>
      <sz val="10"/>
      <color rgb="FF1F4E79"/>
      <name val="Arial"/>
    </font>
    <font>
      <sz val="9"/>
      <color rgb="FF555555"/>
      <name val="Arial"/>
    </font>
    <font>
      <sz val="10"/>
      <color rgb="FF2D6A1F"/>
      <name val="Arial"/>
    </font>
    <font>
      <b/>
      <sz val="9"/>
      <color rgb="FF1F4E79"/>
      <name val="Arial"/>
    </font>
    <font>
      <sz val="9"/>
      <color rgb="FF1F4E79"/>
      <name val="Arial"/>
    </font>
    <font>
      <sz val="9"/>
      <color rgb="FF2D6A1F"/>
      <name val="Arial"/>
    </font>
    <font>
      <b/>
      <sz val="9"/>
      <color rgb="FF1B2A4A"/>
      <name val="Arial"/>
    </font>
    <font>
      <sz val="7"/>
      <color rgb="FF888888"/>
      <name val="Arial"/>
    </font>
    <font>
      <sz val="9"/>
      <color rgb="FF7F4E00"/>
      <name val="Arial"/>
    </font>
    <font>
      <sz val="10"/>
      <color rgb="FF375623"/>
      <name val="Arial"/>
    </font>
    <font>
      <b/>
      <sz val="15"/>
      <color rgb="FFFFFFFF"/>
      <name val="Arial"/>
    </font>
  </fonts>
  <fills count="35">
    <fill>
      <patternFill patternType="none"/>
    </fill>
    <fill>
      <patternFill patternType="gray125"/>
    </fill>
    <fill>
      <patternFill patternType="solid">
        <fgColor rgb="FF1B2A4A"/>
        <bgColor rgb="FF1B2A4A"/>
      </patternFill>
    </fill>
    <fill>
      <patternFill patternType="solid">
        <fgColor rgb="FF4472C4"/>
        <bgColor rgb="FF4472C4"/>
      </patternFill>
    </fill>
    <fill>
      <patternFill patternType="solid">
        <fgColor rgb="FFF2F2F2"/>
        <bgColor rgb="FFF2F2F2"/>
      </patternFill>
    </fill>
    <fill>
      <patternFill patternType="solid">
        <fgColor rgb="FFFFFFFF"/>
        <bgColor rgb="FFFFFFFF"/>
      </patternFill>
    </fill>
    <fill>
      <patternFill patternType="solid">
        <fgColor rgb="FFD6E4F7"/>
        <bgColor rgb="FFD6E4F7"/>
      </patternFill>
    </fill>
    <fill>
      <patternFill patternType="solid">
        <fgColor rgb="FFE2EFDA"/>
        <bgColor rgb="FFE2EFDA"/>
      </patternFill>
    </fill>
    <fill>
      <patternFill patternType="solid">
        <fgColor rgb="FFFFF2CC"/>
        <bgColor rgb="FFFFF2CC"/>
      </patternFill>
    </fill>
    <fill>
      <patternFill patternType="solid">
        <fgColor rgb="FF2E75B6"/>
        <bgColor rgb="FF2E75B6"/>
      </patternFill>
    </fill>
    <fill>
      <patternFill patternType="solid">
        <fgColor rgb="FF1F4E79"/>
        <bgColor rgb="FF1F4E79"/>
      </patternFill>
    </fill>
    <fill>
      <patternFill patternType="solid">
        <fgColor rgb="FF375623"/>
        <bgColor rgb="FF375623"/>
      </patternFill>
    </fill>
    <fill>
      <patternFill patternType="solid">
        <fgColor rgb="FF424242"/>
        <bgColor rgb="FF424242"/>
      </patternFill>
    </fill>
    <fill>
      <patternFill patternType="solid">
        <fgColor rgb="FFE8E8E8"/>
        <bgColor rgb="FFE8E8E8"/>
      </patternFill>
    </fill>
    <fill>
      <patternFill patternType="solid">
        <fgColor rgb="FFEEEEEE"/>
        <bgColor rgb="FFEEEEEE"/>
      </patternFill>
    </fill>
    <fill>
      <patternFill patternType="solid">
        <fgColor rgb="FFDDDDDD"/>
        <bgColor rgb="FFDDDDDD"/>
      </patternFill>
    </fill>
    <fill>
      <patternFill patternType="solid">
        <fgColor rgb="FFF5F5F5"/>
        <bgColor rgb="FFF5F5F5"/>
      </patternFill>
    </fill>
    <fill>
      <patternFill patternType="solid">
        <fgColor rgb="FFD9D9D9"/>
        <bgColor rgb="FFD9D9D9"/>
      </patternFill>
    </fill>
    <fill>
      <patternFill patternType="solid">
        <fgColor rgb="FF2C3E6B"/>
        <bgColor rgb="FF2C3E6B"/>
      </patternFill>
    </fill>
    <fill>
      <patternFill patternType="solid">
        <fgColor rgb="FF1B4F72"/>
        <bgColor rgb="FF1B4F72"/>
      </patternFill>
    </fill>
    <fill>
      <patternFill patternType="solid">
        <fgColor rgb="FF20638C"/>
        <bgColor rgb="FF20638C"/>
      </patternFill>
    </fill>
    <fill>
      <patternFill patternType="solid">
        <fgColor rgb="FFFFF9E6"/>
        <bgColor rgb="FFFFF9E6"/>
      </patternFill>
    </fill>
    <fill>
      <patternFill patternType="solid">
        <fgColor rgb="FFEBF3FB"/>
        <bgColor rgb="FFEBF3FB"/>
      </patternFill>
    </fill>
    <fill>
      <patternFill patternType="solid">
        <fgColor rgb="FF2471A3"/>
        <bgColor rgb="FF2471A3"/>
      </patternFill>
    </fill>
    <fill>
      <patternFill patternType="solid">
        <fgColor rgb="FF2980B9"/>
        <bgColor rgb="FF2980B9"/>
      </patternFill>
    </fill>
    <fill>
      <patternFill patternType="solid">
        <fgColor rgb="FF1A5276"/>
        <bgColor rgb="FF1A5276"/>
      </patternFill>
    </fill>
    <fill>
      <patternFill patternType="solid">
        <fgColor rgb="FF154360"/>
        <bgColor rgb="FF154360"/>
      </patternFill>
    </fill>
    <fill>
      <patternFill patternType="solid">
        <fgColor rgb="FF145A32"/>
        <bgColor rgb="FF145A32"/>
      </patternFill>
    </fill>
    <fill>
      <patternFill patternType="solid">
        <fgColor rgb="FF212121"/>
        <bgColor rgb="FF212121"/>
      </patternFill>
    </fill>
    <fill>
      <patternFill patternType="solid">
        <fgColor rgb="FF4A235A"/>
        <bgColor rgb="FF4A235A"/>
      </patternFill>
    </fill>
    <fill>
      <patternFill patternType="solid">
        <fgColor rgb="FF1E8449"/>
        <bgColor rgb="FF1E8449"/>
      </patternFill>
    </fill>
    <fill>
      <patternFill patternType="solid">
        <fgColor rgb="FF7E5109"/>
        <bgColor rgb="FF7E5109"/>
      </patternFill>
    </fill>
    <fill>
      <patternFill patternType="solid">
        <fgColor rgb="FF6E2F2F"/>
        <bgColor rgb="FF6E2F2F"/>
      </patternFill>
    </fill>
    <fill>
      <patternFill patternType="solid">
        <fgColor rgb="FFF0F0F0"/>
        <bgColor rgb="FFF0F0F0"/>
      </patternFill>
    </fill>
    <fill>
      <patternFill patternType="solid">
        <fgColor rgb="FFDDEEFF"/>
        <bgColor rgb="FFDDEEFF"/>
      </patternFill>
    </fill>
  </fills>
  <borders count="7">
    <border>
      <left/>
      <right/>
      <top/>
      <bottom/>
      <diagonal/>
    </border>
    <border>
      <left style="thin">
        <color rgb="FF888888"/>
      </left>
      <right style="thin">
        <color rgb="FF888888"/>
      </right>
      <top style="thin">
        <color rgb="FF888888"/>
      </top>
      <bottom style="thin">
        <color rgb="FF888888"/>
      </bottom>
      <diagonal/>
    </border>
    <border>
      <left style="thin">
        <color rgb="FFCCCCCC"/>
      </left>
      <right style="thin">
        <color rgb="FFCCCCCC"/>
      </right>
      <top style="thin">
        <color rgb="FFCCCCCC"/>
      </top>
      <bottom style="thin">
        <color rgb="FFCCCCCC"/>
      </bottom>
      <diagonal/>
    </border>
    <border>
      <left style="thin">
        <color rgb="FF4472C4"/>
      </left>
      <right style="thin">
        <color rgb="FF4472C4"/>
      </right>
      <top style="thin">
        <color rgb="FF4472C4"/>
      </top>
      <bottom style="thin">
        <color rgb="FF4472C4"/>
      </bottom>
      <diagonal/>
    </border>
    <border>
      <left style="thin">
        <color rgb="FFB8D499"/>
      </left>
      <right style="thin">
        <color rgb="FFB8D499"/>
      </right>
      <top style="thin">
        <color rgb="FFB8D499"/>
      </top>
      <bottom style="thin">
        <color rgb="FFB8D499"/>
      </bottom>
      <diagonal/>
    </border>
    <border>
      <left/>
      <right/>
      <top style="thin">
        <color rgb="FF888888"/>
      </top>
      <bottom style="thin">
        <color rgb="FF888888"/>
      </bottom>
      <diagonal/>
    </border>
    <border>
      <left/>
      <right style="thin">
        <color rgb="FF888888"/>
      </right>
      <top style="thin">
        <color rgb="FF888888"/>
      </top>
      <bottom style="thin">
        <color rgb="FF888888"/>
      </bottom>
      <diagonal/>
    </border>
  </borders>
  <cellStyleXfs count="1">
    <xf numFmtId="0" fontId="0" fillId="0" borderId="0"/>
  </cellStyleXfs>
  <cellXfs count="99">
    <xf numFmtId="0" fontId="0" fillId="0" borderId="0" xfId="0"/>
    <xf numFmtId="0" fontId="17" fillId="2" borderId="1" xfId="0" applyFont="1" applyFill="1" applyBorder="1" applyAlignment="1">
      <alignment horizontal="center" vertical="center"/>
    </xf>
    <xf numFmtId="0" fontId="17" fillId="3" borderId="1" xfId="0" applyFont="1" applyFill="1" applyBorder="1" applyAlignment="1">
      <alignment horizontal="center" vertical="center"/>
    </xf>
    <xf numFmtId="0" fontId="18" fillId="4" borderId="2" xfId="0" applyFont="1" applyFill="1" applyBorder="1" applyAlignment="1">
      <alignment horizontal="center" vertical="center"/>
    </xf>
    <xf numFmtId="0" fontId="7" fillId="9" borderId="1" xfId="0" applyFont="1" applyFill="1" applyBorder="1" applyAlignment="1">
      <alignment horizontal="center" vertical="center"/>
    </xf>
    <xf numFmtId="0" fontId="7" fillId="10" borderId="1" xfId="0" applyFont="1" applyFill="1" applyBorder="1" applyAlignment="1">
      <alignment horizontal="center" vertical="center"/>
    </xf>
    <xf numFmtId="0" fontId="7" fillId="11" borderId="1" xfId="0" applyFont="1" applyFill="1" applyBorder="1" applyAlignment="1">
      <alignment horizontal="center" vertical="center"/>
    </xf>
    <xf numFmtId="0" fontId="20" fillId="14" borderId="2" xfId="0" applyFont="1" applyFill="1" applyBorder="1" applyAlignment="1">
      <alignment horizontal="left" vertical="center"/>
    </xf>
    <xf numFmtId="0" fontId="19" fillId="14" borderId="2" xfId="0" applyFont="1" applyFill="1" applyBorder="1" applyAlignment="1">
      <alignment horizontal="left" vertical="center"/>
    </xf>
    <xf numFmtId="0" fontId="19" fillId="14" borderId="2" xfId="0" applyFont="1" applyFill="1" applyBorder="1" applyAlignment="1">
      <alignment horizontal="center" vertical="center"/>
    </xf>
    <xf numFmtId="0" fontId="20" fillId="14" borderId="2" xfId="0" applyFont="1" applyFill="1" applyBorder="1" applyAlignment="1">
      <alignment horizontal="center" vertical="center"/>
    </xf>
    <xf numFmtId="0" fontId="21" fillId="15" borderId="2" xfId="0" applyFont="1" applyFill="1" applyBorder="1" applyAlignment="1">
      <alignment horizontal="center" vertical="center"/>
    </xf>
    <xf numFmtId="0" fontId="19" fillId="16" borderId="2" xfId="0" applyFont="1" applyFill="1" applyBorder="1" applyAlignment="1">
      <alignment horizontal="left" vertical="center"/>
    </xf>
    <xf numFmtId="0" fontId="0" fillId="17" borderId="0" xfId="0" applyFill="1"/>
    <xf numFmtId="0" fontId="4" fillId="5" borderId="2" xfId="0" applyFont="1" applyFill="1" applyBorder="1" applyAlignment="1">
      <alignment horizontal="left" vertical="center"/>
    </xf>
    <xf numFmtId="0" fontId="23" fillId="6" borderId="2" xfId="0" applyFont="1" applyFill="1" applyBorder="1" applyAlignment="1">
      <alignment horizontal="left" vertical="center"/>
    </xf>
    <xf numFmtId="0" fontId="24" fillId="4" borderId="2" xfId="0" applyFont="1" applyFill="1" applyBorder="1" applyAlignment="1">
      <alignment horizontal="center" vertical="center"/>
    </xf>
    <xf numFmtId="0" fontId="13" fillId="6" borderId="2" xfId="0" applyFont="1" applyFill="1" applyBorder="1" applyAlignment="1">
      <alignment horizontal="center" vertical="center"/>
    </xf>
    <xf numFmtId="164" fontId="24" fillId="4" borderId="2" xfId="0" applyNumberFormat="1" applyFont="1" applyFill="1" applyBorder="1" applyAlignment="1">
      <alignment horizontal="center" vertical="center"/>
    </xf>
    <xf numFmtId="164" fontId="11" fillId="6" borderId="3" xfId="0" applyNumberFormat="1" applyFont="1" applyFill="1" applyBorder="1" applyAlignment="1">
      <alignment horizontal="center" vertical="center"/>
    </xf>
    <xf numFmtId="1" fontId="23" fillId="6" borderId="3" xfId="0" applyNumberFormat="1" applyFont="1" applyFill="1" applyBorder="1" applyAlignment="1">
      <alignment horizontal="center" vertical="center"/>
    </xf>
    <xf numFmtId="1" fontId="25" fillId="21" borderId="4" xfId="0" applyNumberFormat="1" applyFont="1" applyFill="1" applyBorder="1" applyAlignment="1">
      <alignment horizontal="center" vertical="center"/>
    </xf>
    <xf numFmtId="164" fontId="4" fillId="4" borderId="2" xfId="0" applyNumberFormat="1" applyFont="1" applyFill="1" applyBorder="1" applyAlignment="1">
      <alignment horizontal="center" vertical="center"/>
    </xf>
    <xf numFmtId="0" fontId="26" fillId="22" borderId="3" xfId="0" applyFont="1" applyFill="1" applyBorder="1" applyAlignment="1">
      <alignment horizontal="left" vertical="center"/>
    </xf>
    <xf numFmtId="0" fontId="2" fillId="3" borderId="1" xfId="0" applyFont="1" applyFill="1" applyBorder="1" applyAlignment="1">
      <alignment horizontal="center" vertical="center"/>
    </xf>
    <xf numFmtId="0" fontId="5" fillId="4" borderId="2" xfId="0" applyFont="1" applyFill="1" applyBorder="1" applyAlignment="1">
      <alignment horizontal="center" vertical="center"/>
    </xf>
    <xf numFmtId="0" fontId="5" fillId="5" borderId="2" xfId="0" applyFont="1" applyFill="1" applyBorder="1" applyAlignment="1">
      <alignment horizontal="center" vertical="center"/>
    </xf>
    <xf numFmtId="0" fontId="2" fillId="3" borderId="1" xfId="0" applyFont="1" applyFill="1" applyBorder="1" applyAlignment="1">
      <alignment horizontal="left" vertical="center"/>
    </xf>
    <xf numFmtId="0" fontId="9" fillId="6" borderId="3" xfId="0" applyFont="1" applyFill="1" applyBorder="1" applyAlignment="1">
      <alignment horizontal="center" vertical="center"/>
    </xf>
    <xf numFmtId="0" fontId="10" fillId="5" borderId="0" xfId="0" applyFont="1" applyFill="1" applyAlignment="1">
      <alignment horizontal="left" vertical="center"/>
    </xf>
    <xf numFmtId="0" fontId="11" fillId="4" borderId="2" xfId="0" applyFont="1" applyFill="1" applyBorder="1" applyAlignment="1">
      <alignment horizontal="center" vertical="center"/>
    </xf>
    <xf numFmtId="0" fontId="2" fillId="2" borderId="1" xfId="0" applyFont="1" applyFill="1" applyBorder="1" applyAlignment="1">
      <alignment horizontal="center" vertical="center"/>
    </xf>
    <xf numFmtId="0" fontId="4" fillId="4" borderId="2" xfId="0" applyFont="1" applyFill="1" applyBorder="1" applyAlignment="1">
      <alignment horizontal="center" vertical="center"/>
    </xf>
    <xf numFmtId="0" fontId="14" fillId="7" borderId="2" xfId="0" applyFont="1" applyFill="1" applyBorder="1" applyAlignment="1">
      <alignment horizontal="center" vertical="center"/>
    </xf>
    <xf numFmtId="0" fontId="15" fillId="8" borderId="2" xfId="0" applyFont="1" applyFill="1" applyBorder="1" applyAlignment="1">
      <alignment horizontal="center" vertical="center"/>
    </xf>
    <xf numFmtId="0" fontId="2" fillId="4" borderId="1" xfId="0" applyFont="1" applyFill="1" applyBorder="1" applyAlignment="1">
      <alignment horizontal="center" vertical="center"/>
    </xf>
    <xf numFmtId="0" fontId="7" fillId="3" borderId="1" xfId="0" applyFont="1" applyFill="1" applyBorder="1" applyAlignment="1">
      <alignment horizontal="center" vertical="center"/>
    </xf>
    <xf numFmtId="0" fontId="3" fillId="4" borderId="2" xfId="0" applyFont="1" applyFill="1" applyBorder="1" applyAlignment="1">
      <alignment horizontal="center" vertical="center"/>
    </xf>
    <xf numFmtId="0" fontId="5" fillId="5" borderId="2" xfId="0" applyFont="1" applyFill="1" applyBorder="1" applyAlignment="1">
      <alignment horizontal="left" vertical="center"/>
    </xf>
    <xf numFmtId="0" fontId="6" fillId="4" borderId="2" xfId="0" applyFont="1" applyFill="1" applyBorder="1" applyAlignment="1">
      <alignment horizontal="center" vertical="center"/>
    </xf>
    <xf numFmtId="0" fontId="0" fillId="4" borderId="0" xfId="0" applyFill="1"/>
    <xf numFmtId="0" fontId="6" fillId="4" borderId="2" xfId="0" applyFont="1" applyFill="1" applyBorder="1" applyAlignment="1">
      <alignment horizontal="left" vertical="center"/>
    </xf>
    <xf numFmtId="0" fontId="8" fillId="4" borderId="2" xfId="0" applyFont="1" applyFill="1" applyBorder="1" applyAlignment="1">
      <alignment horizontal="center" vertical="center"/>
    </xf>
    <xf numFmtId="0" fontId="3" fillId="0" borderId="2" xfId="0" applyFont="1" applyBorder="1"/>
    <xf numFmtId="0" fontId="3" fillId="5" borderId="2" xfId="0" applyFont="1" applyFill="1" applyBorder="1" applyAlignment="1">
      <alignment horizontal="left" vertical="center"/>
    </xf>
    <xf numFmtId="0" fontId="26" fillId="5" borderId="2" xfId="0" applyFont="1" applyFill="1" applyBorder="1" applyAlignment="1">
      <alignment horizontal="left" vertical="center"/>
    </xf>
    <xf numFmtId="164" fontId="27" fillId="6" borderId="2" xfId="0" applyNumberFormat="1" applyFont="1" applyFill="1" applyBorder="1" applyAlignment="1">
      <alignment horizontal="center" vertical="center"/>
    </xf>
    <xf numFmtId="0" fontId="27" fillId="6" borderId="2" xfId="0" applyFont="1" applyFill="1" applyBorder="1" applyAlignment="1">
      <alignment horizontal="center" vertical="center"/>
    </xf>
    <xf numFmtId="0" fontId="28" fillId="21" borderId="2" xfId="0" applyFont="1" applyFill="1" applyBorder="1" applyAlignment="1">
      <alignment horizontal="center" vertical="center"/>
    </xf>
    <xf numFmtId="0" fontId="29" fillId="4" borderId="2" xfId="0" applyFont="1" applyFill="1" applyBorder="1" applyAlignment="1">
      <alignment horizontal="center" vertical="center"/>
    </xf>
    <xf numFmtId="1" fontId="0" fillId="4" borderId="2" xfId="0" applyNumberFormat="1" applyFill="1" applyBorder="1" applyAlignment="1">
      <alignment horizontal="center" vertical="center"/>
    </xf>
    <xf numFmtId="164" fontId="0" fillId="5" borderId="2" xfId="0" applyNumberFormat="1" applyFill="1" applyBorder="1" applyAlignment="1">
      <alignment horizontal="center" vertical="center"/>
    </xf>
    <xf numFmtId="164" fontId="0" fillId="4" borderId="2" xfId="0" applyNumberFormat="1" applyFill="1" applyBorder="1" applyAlignment="1">
      <alignment horizontal="center" vertical="center"/>
    </xf>
    <xf numFmtId="0" fontId="4" fillId="5" borderId="2" xfId="0" applyFont="1" applyFill="1" applyBorder="1" applyAlignment="1">
      <alignment horizontal="center" vertical="center"/>
    </xf>
    <xf numFmtId="0" fontId="0" fillId="4" borderId="2" xfId="0" applyFill="1" applyBorder="1" applyAlignment="1">
      <alignment horizontal="center" vertical="center"/>
    </xf>
    <xf numFmtId="0" fontId="30" fillId="0" borderId="0" xfId="0" applyFont="1"/>
    <xf numFmtId="0" fontId="29" fillId="5" borderId="2" xfId="0" applyFont="1" applyFill="1" applyBorder="1" applyAlignment="1">
      <alignment horizontal="left" vertical="center"/>
    </xf>
    <xf numFmtId="0" fontId="27" fillId="5" borderId="2" xfId="0" applyFont="1" applyFill="1" applyBorder="1" applyAlignment="1">
      <alignment horizontal="left" vertical="center"/>
    </xf>
    <xf numFmtId="164" fontId="14" fillId="7" borderId="2" xfId="0" applyNumberFormat="1" applyFont="1" applyFill="1" applyBorder="1" applyAlignment="1">
      <alignment horizontal="center" vertical="center"/>
    </xf>
    <xf numFmtId="1" fontId="32" fillId="7" borderId="2" xfId="0" applyNumberFormat="1" applyFont="1" applyFill="1" applyBorder="1" applyAlignment="1">
      <alignment horizontal="center" vertical="center"/>
    </xf>
    <xf numFmtId="0" fontId="17" fillId="2" borderId="1" xfId="0" applyFont="1" applyFill="1" applyBorder="1" applyAlignment="1">
      <alignment horizontal="left" vertical="center"/>
    </xf>
    <xf numFmtId="0" fontId="27" fillId="22" borderId="2" xfId="0" applyFont="1" applyFill="1" applyBorder="1" applyAlignment="1">
      <alignment horizontal="left" vertical="center"/>
    </xf>
    <xf numFmtId="0" fontId="0" fillId="22" borderId="2" xfId="0" applyFill="1" applyBorder="1"/>
    <xf numFmtId="0" fontId="27" fillId="22" borderId="2" xfId="0" applyFont="1" applyFill="1" applyBorder="1" applyAlignment="1">
      <alignment horizontal="center" vertical="center"/>
    </xf>
    <xf numFmtId="0" fontId="10" fillId="34" borderId="2" xfId="0" applyFont="1" applyFill="1" applyBorder="1" applyAlignment="1">
      <alignment horizontal="center" vertical="center"/>
    </xf>
    <xf numFmtId="164" fontId="3" fillId="4" borderId="2" xfId="0" applyNumberFormat="1" applyFont="1" applyFill="1" applyBorder="1" applyAlignment="1">
      <alignment horizontal="center" vertical="center"/>
    </xf>
    <xf numFmtId="1" fontId="29" fillId="5" borderId="2" xfId="0" applyNumberFormat="1" applyFont="1" applyFill="1" applyBorder="1" applyAlignment="1">
      <alignment horizontal="center" vertical="center"/>
    </xf>
    <xf numFmtId="0" fontId="29" fillId="5" borderId="2" xfId="0" applyFont="1" applyFill="1" applyBorder="1" applyAlignment="1">
      <alignment horizontal="center" vertical="center"/>
    </xf>
    <xf numFmtId="0" fontId="0" fillId="0" borderId="0" xfId="0"/>
    <xf numFmtId="0" fontId="0" fillId="0" borderId="0" xfId="0"/>
    <xf numFmtId="14" fontId="5" fillId="4" borderId="2" xfId="0" applyNumberFormat="1" applyFont="1" applyFill="1" applyBorder="1" applyAlignment="1">
      <alignment horizontal="center" vertical="center"/>
    </xf>
    <xf numFmtId="0" fontId="23" fillId="6" borderId="2" xfId="0" applyFont="1" applyFill="1" applyBorder="1" applyAlignment="1">
      <alignment horizontal="left" vertical="center" wrapText="1"/>
    </xf>
    <xf numFmtId="0" fontId="17" fillId="28" borderId="0" xfId="0" applyFont="1" applyFill="1" applyAlignment="1">
      <alignment horizontal="left" vertical="center"/>
    </xf>
    <xf numFmtId="0" fontId="0" fillId="0" borderId="0" xfId="0" applyAlignment="1"/>
    <xf numFmtId="0" fontId="19" fillId="13" borderId="0" xfId="0" applyFont="1" applyFill="1" applyAlignment="1">
      <alignment horizontal="left" vertical="center"/>
    </xf>
    <xf numFmtId="0" fontId="17" fillId="19" borderId="0" xfId="0" applyFont="1" applyFill="1" applyAlignment="1">
      <alignment horizontal="left" vertical="center"/>
    </xf>
    <xf numFmtId="0" fontId="22" fillId="20" borderId="0" xfId="0" applyFont="1" applyFill="1" applyAlignment="1">
      <alignment horizontal="left" vertical="center"/>
    </xf>
    <xf numFmtId="0" fontId="17" fillId="9" borderId="1" xfId="0" applyFont="1" applyFill="1" applyBorder="1" applyAlignment="1">
      <alignment horizontal="center" vertical="center"/>
    </xf>
    <xf numFmtId="0" fontId="0" fillId="0" borderId="5" xfId="0" applyBorder="1" applyAlignment="1"/>
    <xf numFmtId="0" fontId="0" fillId="0" borderId="6" xfId="0" applyBorder="1" applyAlignment="1"/>
    <xf numFmtId="0" fontId="2" fillId="12" borderId="0" xfId="0" applyFont="1" applyFill="1" applyAlignment="1">
      <alignment horizontal="left" vertical="center"/>
    </xf>
    <xf numFmtId="0" fontId="17" fillId="25" borderId="0" xfId="0" applyFont="1" applyFill="1" applyAlignment="1">
      <alignment horizontal="left" vertical="center"/>
    </xf>
    <xf numFmtId="0" fontId="17" fillId="26" borderId="0" xfId="0" applyFont="1" applyFill="1" applyAlignment="1">
      <alignment horizontal="left" vertical="center"/>
    </xf>
    <xf numFmtId="0" fontId="17" fillId="29" borderId="0" xfId="0" applyFont="1" applyFill="1" applyAlignment="1">
      <alignment horizontal="left" vertical="center"/>
    </xf>
    <xf numFmtId="0" fontId="22" fillId="23" borderId="0" xfId="0" applyFont="1" applyFill="1" applyAlignment="1">
      <alignment horizontal="left" vertical="center"/>
    </xf>
    <xf numFmtId="0" fontId="2" fillId="18" borderId="0" xfId="0" applyFont="1" applyFill="1" applyAlignment="1">
      <alignment horizontal="left" vertical="center"/>
    </xf>
    <xf numFmtId="0" fontId="16" fillId="2" borderId="1" xfId="0" applyFont="1" applyFill="1" applyBorder="1" applyAlignment="1">
      <alignment horizontal="center" vertical="center"/>
    </xf>
    <xf numFmtId="0" fontId="22" fillId="24" borderId="0" xfId="0" applyFont="1" applyFill="1" applyAlignment="1">
      <alignment horizontal="left" vertical="center"/>
    </xf>
    <xf numFmtId="0" fontId="17" fillId="27" borderId="0" xfId="0" applyFont="1" applyFill="1" applyAlignment="1">
      <alignment horizontal="left" vertical="center"/>
    </xf>
    <xf numFmtId="0" fontId="17" fillId="30" borderId="0" xfId="0" applyFont="1" applyFill="1" applyAlignment="1">
      <alignment horizontal="left" vertical="center"/>
    </xf>
    <xf numFmtId="0" fontId="17" fillId="31" borderId="0" xfId="0" applyFont="1" applyFill="1" applyAlignment="1">
      <alignment horizontal="left" vertical="center"/>
    </xf>
    <xf numFmtId="0" fontId="17" fillId="32" borderId="0" xfId="0" applyFont="1" applyFill="1" applyAlignment="1">
      <alignment horizontal="left" vertical="center"/>
    </xf>
    <xf numFmtId="0" fontId="22" fillId="25" borderId="0" xfId="0" applyFont="1" applyFill="1" applyAlignment="1">
      <alignment horizontal="left" vertical="center"/>
    </xf>
    <xf numFmtId="0" fontId="1" fillId="2" borderId="1" xfId="0" applyFont="1" applyFill="1" applyBorder="1" applyAlignment="1">
      <alignment horizontal="center" vertical="center"/>
    </xf>
    <xf numFmtId="0" fontId="12" fillId="3" borderId="1" xfId="0" applyFont="1" applyFill="1" applyBorder="1" applyAlignment="1">
      <alignment horizontal="center" vertical="center"/>
    </xf>
    <xf numFmtId="0" fontId="31" fillId="8" borderId="0" xfId="0" applyFont="1" applyFill="1" applyAlignment="1">
      <alignment horizontal="left" vertical="center"/>
    </xf>
    <xf numFmtId="0" fontId="2" fillId="2" borderId="1" xfId="0" applyFont="1" applyFill="1" applyBorder="1" applyAlignment="1">
      <alignment horizontal="left" vertical="center"/>
    </xf>
    <xf numFmtId="0" fontId="6" fillId="33" borderId="0" xfId="0" applyFont="1" applyFill="1" applyAlignment="1">
      <alignment horizontal="left" vertical="center"/>
    </xf>
    <xf numFmtId="0" fontId="33" fillId="2" borderId="1" xfId="0" applyFont="1" applyFill="1" applyBorder="1" applyAlignment="1">
      <alignment horizontal="center" vertical="center"/>
    </xf>
  </cellXfs>
  <cellStyles count="1">
    <cellStyle name="Normal" xfId="0" builtinId="0"/>
  </cellStyles>
  <dxfs count="4575">
    <dxf>
      <font>
        <b/>
        <color rgb="FF9C0006"/>
        <name val="Arial"/>
      </font>
      <fill>
        <patternFill patternType="solid">
          <fgColor rgb="FFFCE4D6"/>
          <bgColor rgb="FFFCE4D6"/>
        </patternFill>
      </fill>
    </dxf>
    <dxf>
      <font>
        <b/>
        <color rgb="FF375623"/>
        <name val="Arial"/>
      </font>
      <fill>
        <patternFill patternType="solid">
          <fgColor rgb="FFE2EFDA"/>
          <bgColor rgb="FFE2EFDA"/>
        </patternFill>
      </fill>
    </dxf>
    <dxf>
      <font>
        <b/>
        <color rgb="FF7F4E00"/>
        <name val="Arial"/>
      </font>
      <fill>
        <patternFill patternType="solid">
          <fgColor rgb="FFFFF2CC"/>
          <bgColor rgb="FFFFF2CC"/>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b/>
        <color rgb="FF9C0006"/>
        <name val="Arial"/>
      </font>
      <fill>
        <patternFill patternType="solid">
          <fgColor rgb="FFFCE4D6"/>
          <bgColor rgb="FFFCE4D6"/>
        </patternFill>
      </fill>
    </dxf>
    <dxf>
      <font>
        <b/>
        <color rgb="FF375623"/>
        <name val="Arial"/>
      </font>
      <fill>
        <patternFill patternType="solid">
          <fgColor rgb="FFE2EFDA"/>
          <bgColor rgb="FFE2EFDA"/>
        </patternFill>
      </fill>
    </dxf>
    <dxf>
      <font>
        <b/>
        <color rgb="FF7F4E00"/>
        <name val="Arial"/>
      </font>
      <fill>
        <patternFill patternType="solid">
          <fgColor rgb="FFFFF2CC"/>
          <bgColor rgb="FFFFF2CC"/>
        </patternFill>
      </fill>
    </dxf>
    <dxf>
      <font>
        <b/>
        <color rgb="FF9C0006"/>
        <name val="Arial"/>
      </font>
      <fill>
        <patternFill patternType="solid">
          <fgColor rgb="FFFCE4D6"/>
          <bgColor rgb="FFFCE4D6"/>
        </patternFill>
      </fill>
    </dxf>
    <dxf>
      <font>
        <b/>
        <color rgb="FF375623"/>
        <name val="Arial"/>
      </font>
      <fill>
        <patternFill patternType="solid">
          <fgColor rgb="FFE2EFDA"/>
          <bgColor rgb="FFE2EFDA"/>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rPr lang="en-US"/>
              <a:t>Medidas</a:t>
            </a:r>
          </a:p>
        </c:rich>
      </c:tx>
      <c:overlay val="1"/>
    </c:title>
    <c:autoTitleDeleted val="0"/>
    <c:plotArea>
      <c:layout/>
      <c:lineChart>
        <c:grouping val="standard"/>
        <c:varyColors val="1"/>
        <c:ser>
          <c:idx val="0"/>
          <c:order val="0"/>
          <c:tx>
            <c:strRef>
              <c:f>MEDIDAS_Y_PESO!$B$2</c:f>
              <c:strCache>
                <c:ptCount val="1"/>
                <c:pt idx="0">
                  <c:v>Peso (kg)</c:v>
                </c:pt>
              </c:strCache>
            </c:strRef>
          </c:tx>
          <c:marker>
            <c:symbol val="none"/>
          </c:marker>
          <c:val>
            <c:numRef>
              <c:f>MEDIDAS_Y_PESO!$B$3:$B$14</c:f>
              <c:numCache>
                <c:formatCode>General</c:formatCode>
                <c:ptCount val="12"/>
                <c:pt idx="0">
                  <c:v>80</c:v>
                </c:pt>
              </c:numCache>
            </c:numRef>
          </c:val>
          <c:smooth val="0"/>
          <c:extLst>
            <c:ext xmlns:c16="http://schemas.microsoft.com/office/drawing/2014/chart" uri="{C3380CC4-5D6E-409C-BE32-E72D297353CC}">
              <c16:uniqueId val="{0000000E-C064-40AC-A06F-B6EA580DF914}"/>
            </c:ext>
          </c:extLst>
        </c:ser>
        <c:ser>
          <c:idx val="1"/>
          <c:order val="1"/>
          <c:tx>
            <c:strRef>
              <c:f>MEDIDAS_Y_PESO!$C$2</c:f>
              <c:strCache>
                <c:ptCount val="1"/>
                <c:pt idx="0">
                  <c:v>Pecho (cm)</c:v>
                </c:pt>
              </c:strCache>
            </c:strRef>
          </c:tx>
          <c:marker>
            <c:symbol val="none"/>
          </c:marker>
          <c:val>
            <c:numRef>
              <c:f>MEDIDAS_Y_PESO!$C$3:$C$14</c:f>
              <c:numCache>
                <c:formatCode>General</c:formatCode>
                <c:ptCount val="12"/>
              </c:numCache>
            </c:numRef>
          </c:val>
          <c:smooth val="0"/>
          <c:extLst>
            <c:ext xmlns:c16="http://schemas.microsoft.com/office/drawing/2014/chart" uri="{C3380CC4-5D6E-409C-BE32-E72D297353CC}">
              <c16:uniqueId val="{0000000F-C064-40AC-A06F-B6EA580DF914}"/>
            </c:ext>
          </c:extLst>
        </c:ser>
        <c:ser>
          <c:idx val="2"/>
          <c:order val="2"/>
          <c:tx>
            <c:strRef>
              <c:f>MEDIDAS_Y_PESO!$D$2</c:f>
              <c:strCache>
                <c:ptCount val="1"/>
                <c:pt idx="0">
                  <c:v>Cintura (cm)</c:v>
                </c:pt>
              </c:strCache>
            </c:strRef>
          </c:tx>
          <c:marker>
            <c:symbol val="none"/>
          </c:marker>
          <c:val>
            <c:numRef>
              <c:f>MEDIDAS_Y_PESO!$D$3:$D$14</c:f>
              <c:numCache>
                <c:formatCode>General</c:formatCode>
                <c:ptCount val="12"/>
              </c:numCache>
            </c:numRef>
          </c:val>
          <c:smooth val="0"/>
          <c:extLst>
            <c:ext xmlns:c16="http://schemas.microsoft.com/office/drawing/2014/chart" uri="{C3380CC4-5D6E-409C-BE32-E72D297353CC}">
              <c16:uniqueId val="{00000010-C064-40AC-A06F-B6EA580DF914}"/>
            </c:ext>
          </c:extLst>
        </c:ser>
        <c:ser>
          <c:idx val="3"/>
          <c:order val="3"/>
          <c:tx>
            <c:strRef>
              <c:f>MEDIDAS_Y_PESO!$E$2</c:f>
              <c:strCache>
                <c:ptCount val="1"/>
                <c:pt idx="0">
                  <c:v>Brazo (cm)</c:v>
                </c:pt>
              </c:strCache>
            </c:strRef>
          </c:tx>
          <c:marker>
            <c:symbol val="none"/>
          </c:marker>
          <c:val>
            <c:numRef>
              <c:f>MEDIDAS_Y_PESO!$E$3:$E$14</c:f>
              <c:numCache>
                <c:formatCode>General</c:formatCode>
                <c:ptCount val="12"/>
              </c:numCache>
            </c:numRef>
          </c:val>
          <c:smooth val="0"/>
          <c:extLst>
            <c:ext xmlns:c16="http://schemas.microsoft.com/office/drawing/2014/chart" uri="{C3380CC4-5D6E-409C-BE32-E72D297353CC}">
              <c16:uniqueId val="{00000011-C064-40AC-A06F-B6EA580DF914}"/>
            </c:ext>
          </c:extLst>
        </c:ser>
        <c:ser>
          <c:idx val="4"/>
          <c:order val="4"/>
          <c:tx>
            <c:strRef>
              <c:f>MEDIDAS_Y_PESO!$F$2</c:f>
              <c:strCache>
                <c:ptCount val="1"/>
                <c:pt idx="0">
                  <c:v>Pierna (cm)</c:v>
                </c:pt>
              </c:strCache>
            </c:strRef>
          </c:tx>
          <c:marker>
            <c:symbol val="none"/>
          </c:marker>
          <c:val>
            <c:numRef>
              <c:f>MEDIDAS_Y_PESO!$F$3:$F$14</c:f>
              <c:numCache>
                <c:formatCode>General</c:formatCode>
                <c:ptCount val="12"/>
              </c:numCache>
            </c:numRef>
          </c:val>
          <c:smooth val="0"/>
          <c:extLst>
            <c:ext xmlns:c16="http://schemas.microsoft.com/office/drawing/2014/chart" uri="{C3380CC4-5D6E-409C-BE32-E72D297353CC}">
              <c16:uniqueId val="{00000012-C064-40AC-A06F-B6EA580DF914}"/>
            </c:ext>
          </c:extLst>
        </c:ser>
        <c:ser>
          <c:idx val="5"/>
          <c:order val="5"/>
          <c:tx>
            <c:strRef>
              <c:f>MEDIDAS_Y_PESO!$G$2</c:f>
              <c:strCache>
                <c:ptCount val="1"/>
                <c:pt idx="0">
                  <c:v>Antebrazo (cm)</c:v>
                </c:pt>
              </c:strCache>
            </c:strRef>
          </c:tx>
          <c:spPr>
            <a:ln>
              <a:prstDash val="solid"/>
            </a:ln>
          </c:spPr>
          <c:marker>
            <c:symbol val="none"/>
          </c:marker>
          <c:val>
            <c:numRef>
              <c:f>MEDIDAS_Y_PESO!$G$3:$G$14</c:f>
              <c:numCache>
                <c:formatCode>General</c:formatCode>
                <c:ptCount val="12"/>
              </c:numCache>
            </c:numRef>
          </c:val>
          <c:smooth val="0"/>
          <c:extLst>
            <c:ext xmlns:c16="http://schemas.microsoft.com/office/drawing/2014/chart" uri="{C3380CC4-5D6E-409C-BE32-E72D297353CC}">
              <c16:uniqueId val="{00000013-C064-40AC-A06F-B6EA580DF914}"/>
            </c:ext>
          </c:extLst>
        </c:ser>
        <c:dLbls>
          <c:showLegendKey val="0"/>
          <c:showVal val="0"/>
          <c:showCatName val="0"/>
          <c:showSerName val="0"/>
          <c:showPercent val="0"/>
          <c:showBubbleSize val="0"/>
        </c:dLbls>
        <c:smooth val="0"/>
        <c:axId val="10"/>
        <c:axId val="100"/>
      </c:lineChart>
      <c:catAx>
        <c:axId val="10"/>
        <c:scaling>
          <c:orientation val="minMax"/>
        </c:scaling>
        <c:delete val="1"/>
        <c:axPos val="b"/>
        <c:numFmt formatCode="m/d/yyyy"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US"/>
                  <a:t>cm/kg</a:t>
                </a:r>
              </a:p>
            </c:rich>
          </c:tx>
          <c:overlay val="1"/>
        </c:title>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0</xdr:colOff>
      <xdr:row>1</xdr:row>
      <xdr:rowOff>142875</xdr:rowOff>
    </xdr:from>
    <xdr:ext cx="6486525" cy="3667125"/>
    <xdr:graphicFrame macro="">
      <xdr:nvGraphicFramePr>
        <xdr:cNvPr id="2" name="Chart 1">
          <a:extLst>
            <a:ext uri="{FF2B5EF4-FFF2-40B4-BE49-F238E27FC236}">
              <a16:creationId xmlns:a16="http://schemas.microsoft.com/office/drawing/2014/main" id="{00000000-0008-0000-0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FAF48F9-CA64-4C20-80D8-7A7F44119C55}">
  <we:reference id="wa200009404" version="1.0.0.8" store="en-US" storeType="OMEX"/>
  <we:alternateReferences>
    <we:reference id="wa200009404" version="1.0.0.8" store="en-US" storeType="OMEX"/>
  </we:alternateReferences>
  <we:properties>
    <we:property name="claude.fileId" value="&quot;2971c715-783e-4262-b9e8-43525bd17ed0&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B2A4A"/>
  </sheetPr>
  <dimension ref="A1:AC273"/>
  <sheetViews>
    <sheetView showGridLines="0" workbookViewId="0">
      <pane ySplit="3" topLeftCell="A16" activePane="bottomLeft" state="frozen"/>
      <selection pane="bottomLeft" activeCell="B30" sqref="B30"/>
    </sheetView>
  </sheetViews>
  <sheetFormatPr defaultColWidth="8.85546875" defaultRowHeight="15"/>
  <cols>
    <col min="1" max="1" width="28" style="68" customWidth="1"/>
    <col min="2" max="2" width="24" style="68" customWidth="1"/>
    <col min="3" max="3" width="10" style="68" customWidth="1"/>
    <col min="4" max="4" width="7" style="68" customWidth="1"/>
    <col min="5" max="5" width="8" style="68" customWidth="1"/>
    <col min="6" max="6" width="7" style="68" customWidth="1"/>
    <col min="7" max="7" width="6" style="68" customWidth="1"/>
    <col min="8" max="8" width="5" style="68" customWidth="1"/>
    <col min="9" max="9" width="7" style="68" customWidth="1"/>
    <col min="10" max="10" width="6" style="68" customWidth="1"/>
    <col min="11" max="11" width="5" style="68" customWidth="1"/>
    <col min="12" max="12" width="7" style="68" customWidth="1"/>
    <col min="13" max="13" width="6" style="68" customWidth="1"/>
    <col min="14" max="14" width="5" style="68" customWidth="1"/>
    <col min="15" max="15" width="7" style="68" customWidth="1"/>
    <col min="16" max="16" width="6" style="68" customWidth="1"/>
    <col min="17" max="17" width="5" style="68" customWidth="1"/>
    <col min="18" max="18" width="7" style="68" customWidth="1"/>
    <col min="19" max="19" width="6" style="68" customWidth="1"/>
    <col min="20" max="20" width="5" style="68" customWidth="1"/>
    <col min="21" max="21" width="9" style="68" customWidth="1"/>
    <col min="22" max="22" width="44" style="68" customWidth="1"/>
    <col min="23" max="29" width="13" style="68" hidden="1" customWidth="1"/>
  </cols>
  <sheetData>
    <row r="1" spans="1:29" ht="30" customHeight="1">
      <c r="A1" s="86" t="s">
        <v>0</v>
      </c>
      <c r="B1" s="78"/>
      <c r="C1" s="78"/>
      <c r="D1" s="78"/>
      <c r="E1" s="78"/>
      <c r="F1" s="78"/>
      <c r="G1" s="78"/>
      <c r="H1" s="78"/>
      <c r="I1" s="78"/>
      <c r="J1" s="78"/>
      <c r="K1" s="78"/>
      <c r="L1" s="78"/>
      <c r="M1" s="78"/>
      <c r="N1" s="78"/>
      <c r="O1" s="78"/>
      <c r="P1" s="78"/>
      <c r="Q1" s="78"/>
      <c r="R1" s="78"/>
      <c r="S1" s="78"/>
      <c r="T1" s="78"/>
      <c r="U1" s="78"/>
      <c r="V1" s="79"/>
      <c r="W1" s="69"/>
      <c r="X1" s="69"/>
      <c r="Y1" s="69"/>
      <c r="Z1" s="69"/>
      <c r="AA1" s="69"/>
      <c r="AB1" s="69"/>
      <c r="AC1" s="69"/>
    </row>
    <row r="2" spans="1:29" ht="20.100000000000001" customHeight="1">
      <c r="A2" s="1" t="s">
        <v>1</v>
      </c>
      <c r="B2" s="1" t="s">
        <v>2</v>
      </c>
      <c r="C2" s="1" t="s">
        <v>3</v>
      </c>
      <c r="D2" s="1" t="s">
        <v>4</v>
      </c>
      <c r="E2" s="1" t="s">
        <v>5</v>
      </c>
      <c r="F2" s="77" t="s">
        <v>6</v>
      </c>
      <c r="G2" s="78"/>
      <c r="H2" s="79"/>
      <c r="I2" s="77" t="s">
        <v>7</v>
      </c>
      <c r="J2" s="78"/>
      <c r="K2" s="79"/>
      <c r="L2" s="77" t="s">
        <v>8</v>
      </c>
      <c r="M2" s="78"/>
      <c r="N2" s="79"/>
      <c r="O2" s="77" t="s">
        <v>9</v>
      </c>
      <c r="P2" s="78"/>
      <c r="Q2" s="79"/>
      <c r="R2" s="77" t="s">
        <v>10</v>
      </c>
      <c r="S2" s="78"/>
      <c r="T2" s="79"/>
      <c r="U2" s="2" t="s">
        <v>11</v>
      </c>
      <c r="V2" s="1" t="s">
        <v>12</v>
      </c>
      <c r="W2" s="69"/>
      <c r="X2" s="69"/>
      <c r="Y2" s="69"/>
      <c r="Z2" s="69"/>
      <c r="AA2" s="69"/>
      <c r="AB2" s="69"/>
      <c r="AC2" s="69"/>
    </row>
    <row r="3" spans="1:29" ht="15.95" customHeight="1">
      <c r="A3" s="3"/>
      <c r="B3" s="3"/>
      <c r="C3" s="3"/>
      <c r="D3" s="3"/>
      <c r="E3" s="3"/>
      <c r="F3" s="4" t="s">
        <v>13</v>
      </c>
      <c r="G3" s="5" t="s">
        <v>14</v>
      </c>
      <c r="H3" s="6" t="s">
        <v>15</v>
      </c>
      <c r="I3" s="4" t="s">
        <v>13</v>
      </c>
      <c r="J3" s="5" t="s">
        <v>14</v>
      </c>
      <c r="K3" s="6" t="s">
        <v>15</v>
      </c>
      <c r="L3" s="4" t="s">
        <v>13</v>
      </c>
      <c r="M3" s="5" t="s">
        <v>14</v>
      </c>
      <c r="N3" s="6" t="s">
        <v>15</v>
      </c>
      <c r="O3" s="4" t="s">
        <v>13</v>
      </c>
      <c r="P3" s="5" t="s">
        <v>14</v>
      </c>
      <c r="Q3" s="6" t="s">
        <v>15</v>
      </c>
      <c r="R3" s="4" t="s">
        <v>13</v>
      </c>
      <c r="S3" s="5" t="s">
        <v>14</v>
      </c>
      <c r="T3" s="6" t="s">
        <v>15</v>
      </c>
      <c r="U3" s="3"/>
      <c r="V3" s="3"/>
      <c r="W3" s="69"/>
      <c r="X3" s="69"/>
      <c r="Y3" s="69"/>
      <c r="Z3" s="69"/>
      <c r="AA3" s="69"/>
      <c r="AB3" s="69"/>
      <c r="AC3" s="69"/>
    </row>
    <row r="4" spans="1:29" ht="15.95" customHeight="1">
      <c r="A4" s="80" t="s">
        <v>16</v>
      </c>
      <c r="B4" s="73"/>
      <c r="C4" s="73"/>
      <c r="D4" s="73"/>
      <c r="E4" s="73"/>
      <c r="F4" s="73"/>
      <c r="G4" s="73"/>
      <c r="H4" s="73"/>
      <c r="I4" s="73"/>
      <c r="J4" s="73"/>
      <c r="K4" s="73"/>
      <c r="L4" s="73"/>
      <c r="M4" s="73"/>
      <c r="N4" s="73"/>
      <c r="O4" s="73"/>
      <c r="P4" s="73"/>
      <c r="Q4" s="73"/>
      <c r="R4" s="73"/>
      <c r="S4" s="73"/>
      <c r="T4" s="73"/>
      <c r="U4" s="73"/>
      <c r="V4" s="73"/>
      <c r="W4" s="69"/>
      <c r="X4" s="69"/>
      <c r="Y4" s="69"/>
      <c r="Z4" s="69"/>
      <c r="AA4" s="69"/>
      <c r="AB4" s="69"/>
      <c r="AC4" s="69"/>
    </row>
    <row r="5" spans="1:29" ht="15.95" customHeight="1">
      <c r="A5" s="74" t="s">
        <v>17</v>
      </c>
      <c r="B5" s="73"/>
      <c r="C5" s="73"/>
      <c r="D5" s="73"/>
      <c r="E5" s="73"/>
      <c r="F5" s="73"/>
      <c r="G5" s="73"/>
      <c r="H5" s="73"/>
      <c r="I5" s="73"/>
      <c r="J5" s="73"/>
      <c r="K5" s="73"/>
      <c r="L5" s="73"/>
      <c r="M5" s="73"/>
      <c r="N5" s="73"/>
      <c r="O5" s="73"/>
      <c r="P5" s="73"/>
      <c r="Q5" s="73"/>
      <c r="R5" s="73"/>
      <c r="S5" s="73"/>
      <c r="T5" s="73"/>
      <c r="U5" s="73"/>
      <c r="V5" s="73"/>
      <c r="W5" s="69"/>
      <c r="X5" s="69"/>
      <c r="Y5" s="69"/>
      <c r="Z5" s="69"/>
      <c r="AA5" s="69"/>
      <c r="AB5" s="69"/>
      <c r="AC5" s="69"/>
    </row>
    <row r="6" spans="1:29" ht="18" customHeight="1">
      <c r="A6" s="7" t="s">
        <v>18</v>
      </c>
      <c r="B6" s="8" t="s">
        <v>19</v>
      </c>
      <c r="C6" s="9"/>
      <c r="D6" s="10">
        <v>2</v>
      </c>
      <c r="E6" s="11"/>
      <c r="F6" s="11"/>
      <c r="G6" s="11"/>
      <c r="H6" s="11"/>
      <c r="I6" s="11"/>
      <c r="J6" s="11"/>
      <c r="K6" s="11"/>
      <c r="L6" s="11"/>
      <c r="M6" s="11"/>
      <c r="N6" s="11"/>
      <c r="O6" s="11"/>
      <c r="P6" s="11"/>
      <c r="Q6" s="11"/>
      <c r="R6" s="11"/>
      <c r="S6" s="11"/>
      <c r="T6" s="11"/>
      <c r="U6" s="11"/>
      <c r="V6" s="12" t="s">
        <v>20</v>
      </c>
      <c r="W6" s="69"/>
      <c r="X6" s="69"/>
      <c r="Y6" s="69"/>
      <c r="Z6" s="69"/>
      <c r="AA6" s="69"/>
      <c r="AB6" s="69"/>
      <c r="AC6" s="69"/>
    </row>
    <row r="7" spans="1:29" ht="18" customHeight="1">
      <c r="A7" s="7" t="s">
        <v>21</v>
      </c>
      <c r="B7" s="8" t="s">
        <v>22</v>
      </c>
      <c r="C7" s="9"/>
      <c r="D7" s="10">
        <v>2</v>
      </c>
      <c r="E7" s="11"/>
      <c r="F7" s="11"/>
      <c r="G7" s="11"/>
      <c r="H7" s="11"/>
      <c r="I7" s="11"/>
      <c r="J7" s="11"/>
      <c r="K7" s="11"/>
      <c r="L7" s="11"/>
      <c r="M7" s="11"/>
      <c r="N7" s="11"/>
      <c r="O7" s="11"/>
      <c r="P7" s="11"/>
      <c r="Q7" s="11"/>
      <c r="R7" s="11"/>
      <c r="S7" s="11"/>
      <c r="T7" s="11"/>
      <c r="U7" s="11"/>
      <c r="V7" s="12" t="s">
        <v>23</v>
      </c>
      <c r="W7" s="69"/>
      <c r="X7" s="69"/>
      <c r="Y7" s="69"/>
      <c r="Z7" s="69"/>
      <c r="AA7" s="69"/>
      <c r="AB7" s="69"/>
      <c r="AC7" s="69"/>
    </row>
    <row r="8" spans="1:29" ht="18" customHeight="1">
      <c r="A8" s="7" t="s">
        <v>24</v>
      </c>
      <c r="B8" s="8" t="s">
        <v>25</v>
      </c>
      <c r="C8" s="9"/>
      <c r="D8" s="10">
        <v>2</v>
      </c>
      <c r="E8" s="11"/>
      <c r="F8" s="11"/>
      <c r="G8" s="11"/>
      <c r="H8" s="11"/>
      <c r="I8" s="11"/>
      <c r="J8" s="11"/>
      <c r="K8" s="11"/>
      <c r="L8" s="11"/>
      <c r="M8" s="11"/>
      <c r="N8" s="11"/>
      <c r="O8" s="11"/>
      <c r="P8" s="11"/>
      <c r="Q8" s="11"/>
      <c r="R8" s="11"/>
      <c r="S8" s="11"/>
      <c r="T8" s="11"/>
      <c r="U8" s="11"/>
      <c r="V8" s="12" t="s">
        <v>26</v>
      </c>
      <c r="W8" s="69"/>
      <c r="X8" s="69"/>
      <c r="Y8" s="69"/>
      <c r="Z8" s="69"/>
      <c r="AA8" s="69"/>
      <c r="AB8" s="69"/>
      <c r="AC8" s="69"/>
    </row>
    <row r="9" spans="1:29" ht="5.0999999999999996" customHeight="1">
      <c r="A9" s="13"/>
      <c r="B9" s="13"/>
      <c r="C9" s="13"/>
      <c r="D9" s="13"/>
      <c r="E9" s="13"/>
      <c r="F9" s="13"/>
      <c r="G9" s="13"/>
      <c r="H9" s="13"/>
      <c r="I9" s="13"/>
      <c r="J9" s="13"/>
      <c r="K9" s="13"/>
      <c r="L9" s="13"/>
      <c r="M9" s="13"/>
      <c r="N9" s="13"/>
      <c r="O9" s="13"/>
      <c r="P9" s="13"/>
      <c r="Q9" s="13"/>
      <c r="R9" s="13"/>
      <c r="S9" s="13"/>
      <c r="T9" s="13"/>
      <c r="U9" s="13"/>
      <c r="V9" s="13"/>
      <c r="W9" s="69"/>
      <c r="X9" s="69"/>
      <c r="Y9" s="69"/>
      <c r="Z9" s="69"/>
      <c r="AA9" s="69"/>
      <c r="AB9" s="69"/>
      <c r="AC9" s="69"/>
    </row>
    <row r="10" spans="1:29" ht="18" customHeight="1">
      <c r="A10" s="85" t="s">
        <v>27</v>
      </c>
      <c r="B10" s="73"/>
      <c r="C10" s="73"/>
      <c r="D10" s="73"/>
      <c r="E10" s="73"/>
      <c r="F10" s="73"/>
      <c r="G10" s="73"/>
      <c r="H10" s="73"/>
      <c r="I10" s="73"/>
      <c r="J10" s="73"/>
      <c r="K10" s="73"/>
      <c r="L10" s="73"/>
      <c r="M10" s="73"/>
      <c r="N10" s="73"/>
      <c r="O10" s="73"/>
      <c r="P10" s="73"/>
      <c r="Q10" s="73"/>
      <c r="R10" s="73"/>
      <c r="S10" s="73"/>
      <c r="T10" s="73"/>
      <c r="U10" s="73"/>
      <c r="V10" s="73"/>
      <c r="W10" s="69"/>
      <c r="X10" s="69"/>
      <c r="Y10" s="69"/>
      <c r="Z10" s="69"/>
      <c r="AA10" s="69"/>
      <c r="AB10" s="69"/>
      <c r="AC10" s="69"/>
    </row>
    <row r="11" spans="1:29" ht="15" customHeight="1">
      <c r="A11" s="75" t="s">
        <v>28</v>
      </c>
      <c r="B11" s="73"/>
      <c r="C11" s="73"/>
      <c r="D11" s="73"/>
      <c r="E11" s="73"/>
      <c r="F11" s="73"/>
      <c r="G11" s="73"/>
      <c r="H11" s="73"/>
      <c r="I11" s="73"/>
      <c r="J11" s="73"/>
      <c r="K11" s="73"/>
      <c r="L11" s="73"/>
      <c r="M11" s="73"/>
      <c r="N11" s="73"/>
      <c r="O11" s="73"/>
      <c r="P11" s="73"/>
      <c r="Q11" s="73"/>
      <c r="R11" s="73"/>
      <c r="S11" s="73"/>
      <c r="T11" s="73"/>
      <c r="U11" s="73"/>
      <c r="V11" s="73"/>
      <c r="W11" s="69"/>
      <c r="X11" s="69"/>
      <c r="Y11" s="69"/>
      <c r="Z11" s="69"/>
      <c r="AA11" s="69"/>
      <c r="AB11" s="69"/>
      <c r="AC11" s="69"/>
    </row>
    <row r="12" spans="1:29" ht="11.1" customHeight="1">
      <c r="A12" s="76" t="s">
        <v>29</v>
      </c>
      <c r="B12" s="73"/>
      <c r="C12" s="73"/>
      <c r="D12" s="73"/>
      <c r="E12" s="73"/>
      <c r="F12" s="73"/>
      <c r="G12" s="73"/>
      <c r="H12" s="73"/>
      <c r="I12" s="73"/>
      <c r="J12" s="73"/>
      <c r="K12" s="73"/>
      <c r="L12" s="73"/>
      <c r="M12" s="73"/>
      <c r="N12" s="73"/>
      <c r="O12" s="73"/>
      <c r="P12" s="73"/>
      <c r="Q12" s="73"/>
      <c r="R12" s="73"/>
      <c r="S12" s="73"/>
      <c r="T12" s="73"/>
      <c r="U12" s="73"/>
      <c r="V12" s="73"/>
      <c r="W12" s="69"/>
      <c r="X12" s="69"/>
      <c r="Y12" s="69"/>
      <c r="Z12" s="69"/>
      <c r="AA12" s="69"/>
      <c r="AB12" s="69"/>
      <c r="AC12" s="69"/>
    </row>
    <row r="13" spans="1:29" ht="20.100000000000001" customHeight="1">
      <c r="A13" s="14" t="s">
        <v>30</v>
      </c>
      <c r="B13" s="15" t="s">
        <v>31</v>
      </c>
      <c r="C13" s="16" t="str">
        <f>IFERROR(INDEX(EJERCICIOS!$D$3:$D$75,MATCH(A13&amp;"|"&amp;B13,EJERCICIOS!$G$3:$G$75,0)),"--")</f>
        <v>mancuerna</v>
      </c>
      <c r="D13" s="17">
        <v>3</v>
      </c>
      <c r="E13" s="18">
        <f>IFERROR(LOOKUP(2,1/(MEDIDAS_Y_PESO!$B$3:$B$3&lt;&gt;""),MEDIDAS_Y_PESO!$B$3:$B$3),"--")</f>
        <v>80</v>
      </c>
      <c r="F13" s="19"/>
      <c r="G13" s="20"/>
      <c r="H13" s="21"/>
      <c r="I13" s="19"/>
      <c r="J13" s="20"/>
      <c r="K13" s="21"/>
      <c r="L13" s="19"/>
      <c r="M13" s="20"/>
      <c r="N13" s="21"/>
      <c r="O13" s="19"/>
      <c r="P13" s="20"/>
      <c r="Q13" s="21"/>
      <c r="R13" s="19"/>
      <c r="S13" s="20"/>
      <c r="T13" s="21"/>
      <c r="U13" s="22" t="str">
        <f>IFERROR(IF(IF(X13&gt;0,X13,IF(Z13&gt;0,Z13,IF(AB13&gt;0,AB13,0)))=0,"--",ROUND(CHOOSE(IF(X13&gt;0,X13,IF(Z13&gt;0,Z13,IF(AB13&gt;0,AB13,0))),IF(C13="peso_corporal",IF(ISNUMBER(E13),E13,0)+F13,F13)*(1+G13/30),IF(C13="peso_corporal",IF(ISNUMBER(E13),E13,0)+I13,I13)*(1+J13/30),IF(C13="peso_corporal",IF(ISNUMBER(E13),E13,0)+L13,L13)*(1+M13/30),IF(C13="peso_corporal",IF(ISNUMBER(E13),E13,0)+O13,O13)*(1+P13/30),IF(C13="peso_corporal",IF(ISNUMBER(E13),E13,0)+R13,R13)*(1+S13/30)),1)),"--")</f>
        <v>--</v>
      </c>
      <c r="V13" s="23" t="str">
        <f>IF(SUGERENCIAS!N4="SIN","Sin datos anteriores",IF(SUGERENCIAS!N4="SUBIR_F","^ SUBIR FUERTE | Kg:"&amp;ROUND(SUGERENCIAS!K4,1)&amp;" R:"&amp;ROUND(SUGERENCIAS!L4,0)&amp;" RIR:"&amp;ROUND(SUGERENCIAS!M4,0),IF(SUGERENCIAS!N4="SUBIR_E","^ SUBIR (Est.) | Kg:"&amp;ROUND(SUGERENCIAS!K4,1)&amp;" R:"&amp;ROUND(SUGERENCIAS!L4,0)&amp;" RIR:"&amp;ROUND(SUGERENCIAS!M4,0),IF(SUGERENCIAS!N4="SUBIR","^ SUBIR | Kg:"&amp;ROUND(SUGERENCIAS!K4,1)&amp;" R:"&amp;ROUND(SUGERENCIAS!L4,0)&amp;" RIR:"&amp;ROUND(SUGERENCIAS!M4,0),IF(SUGERENCIAS!N4="BAJAR","v BAJAR | Kg:"&amp;ROUND(SUGERENCIAS!K4,1)&amp;" R:"&amp;ROUND(SUGERENCIAS!L4,0)&amp;" RIR:"&amp;ROUND(SUGERENCIAS!M4,0),"= MANT | Kg:"&amp;ROUND(SUGERENCIAS!K4,1)&amp;" R:"&amp;ROUND(SUGERENCIAS!L4,0)&amp;" RIR:"&amp;ROUND(SUGERENCIAS!M4,0))))))</f>
        <v>Sin datos anteriores</v>
      </c>
      <c r="W13" s="69">
        <f>MAX(IF((G13&gt;0)*(IF(H13="",-1,H13)&gt;=1)*(IF(H13="",-1,H13)&lt;=3),IF(C13="peso_corporal",IF(ISNUMBER(E13),E13,0)+F13,F13)*G13*1000+F13,0),IF((J13&gt;0)*(IF(K13="",-1,K13)&gt;=1)*(IF(K13="",-1,K13)&lt;=3),IF(C13="peso_corporal",IF(ISNUMBER(E13),E13,0)+I13,I13)*J13*1000+I13,0),IF((M13&gt;0)*(IF(N13="",-1,N13)&gt;=1)*(IF(N13="",-1,N13)&lt;=3),IF(C13="peso_corporal",IF(ISNUMBER(E13),E13,0)+L13,L13)*M13*1000+L13,0),IF((P13&gt;0)*(IF(Q13="",-1,Q13)&gt;=1)*(IF(Q13="",-1,Q13)&lt;=3),IF(C13="peso_corporal",IF(ISNUMBER(E13),E13,0)+O13,O13)*P13*1000+O13,0),IF((S13&gt;0)*(IF(T13="",-1,T13)&gt;=1)*(IF(T13="",-1,T13)&lt;=3),IF(C13="peso_corporal",IF(ISNUMBER(E13),E13,0)+R13,R13)*S13*1000+R13,0))</f>
        <v>0</v>
      </c>
      <c r="X13" s="69">
        <f>IF(W13=0,0,IF(IF((S13&gt;0)*(IF(T13="",-1,T13)&gt;=1)*(IF(T13="",-1,T13)&lt;=3),IF(C13="peso_corporal",IF(ISNUMBER(E13),E13,0)+R13,R13)*S13*1000+R13,0)=W13,5,IF(IF((P13&gt;0)*(IF(Q13="",-1,Q13)&gt;=1)*(IF(Q13="",-1,Q13)&lt;=3),IF(C13="peso_corporal",IF(ISNUMBER(E13),E13,0)+O13,O13)*P13*1000+O13,0)=W13,4,IF(IF((M13&gt;0)*(IF(N13="",-1,N13)&gt;=1)*(IF(N13="",-1,N13)&lt;=3),IF(C13="peso_corporal",IF(ISNUMBER(E13),E13,0)+L13,L13)*M13*1000+L13,0)=W13,3,IF(IF((J13&gt;0)*(IF(K13="",-1,K13)&gt;=1)*(IF(K13="",-1,K13)&lt;=3),IF(C13="peso_corporal",IF(ISNUMBER(E13),E13,0)+I13,I13)*J13*1000+I13,0)=W13,2,IF(IF((G13&gt;0)*(IF(H13="",-1,H13)&gt;=1)*(IF(H13="",-1,H13)&lt;=3),IF(C13="peso_corporal",IF(ISNUMBER(E13),E13,0)+F13,F13)*G13*1000+F13,0)=W13,1,0))))))</f>
        <v>0</v>
      </c>
      <c r="Y13" s="69">
        <f>MAX(IF((G13&gt;0)*(IF(H13="",-1,H13)=0)*(1-(IF(H13="",-1,H13)&gt;=1)*(IF(H13="",-1,H13)&lt;=3)),IF(C13="peso_corporal",IF(ISNUMBER(E13),E13,0)+F13,F13)*G13*1000+F13,0),IF((J13&gt;0)*(IF(K13="",-1,K13)=0)*(1-(IF(K13="",-1,K13)&gt;=1)*(IF(K13="",-1,K13)&lt;=3)),IF(C13="peso_corporal",IF(ISNUMBER(E13),E13,0)+I13,I13)*J13*1000+I13,0),IF((M13&gt;0)*(IF(N13="",-1,N13)=0)*(1-(IF(N13="",-1,N13)&gt;=1)*(IF(N13="",-1,N13)&lt;=3)),IF(C13="peso_corporal",IF(ISNUMBER(E13),E13,0)+L13,L13)*M13*1000+L13,0),IF((P13&gt;0)*(IF(Q13="",-1,Q13)=0)*(1-(IF(Q13="",-1,Q13)&gt;=1)*(IF(Q13="",-1,Q13)&lt;=3)),IF(C13="peso_corporal",IF(ISNUMBER(E13),E13,0)+O13,O13)*P13*1000+O13,0),IF((S13&gt;0)*(IF(T13="",-1,T13)=0)*(1-(IF(T13="",-1,T13)&gt;=1)*(IF(T13="",-1,T13)&lt;=3)),IF(C13="peso_corporal",IF(ISNUMBER(E13),E13,0)+R13,R13)*S13*1000+R13,0))</f>
        <v>0</v>
      </c>
      <c r="Z13" s="69">
        <f>IF(Y13=0,0,IF(IF((S13&gt;0)*(IF(T13="",-1,T13)=0)*(1-(IF(T13="",-1,T13)&gt;=1)*(IF(T13="",-1,T13)&lt;=3)),IF(C13="peso_corporal",IF(ISNUMBER(E13),E13,0)+R13,R13)*S13*1000+R13,0)=Y13,5,IF(IF((P13&gt;0)*(IF(Q13="",-1,Q13)=0)*(1-(IF(Q13="",-1,Q13)&gt;=1)*(IF(Q13="",-1,Q13)&lt;=3)),IF(C13="peso_corporal",IF(ISNUMBER(E13),E13,0)+O13,O13)*P13*1000+O13,0)=Y13,4,IF(IF((M13&gt;0)*(IF(N13="",-1,N13)=0)*(1-(IF(N13="",-1,N13)&gt;=1)*(IF(N13="",-1,N13)&lt;=3)),IF(C13="peso_corporal",IF(ISNUMBER(E13),E13,0)+L13,L13)*M13*1000+L13,0)=Y13,3,IF(IF((J13&gt;0)*(IF(K13="",-1,K13)=0)*(1-(IF(K13="",-1,K13)&gt;=1)*(IF(K13="",-1,K13)&lt;=3)),IF(C13="peso_corporal",IF(ISNUMBER(E13),E13,0)+I13,I13)*J13*1000+I13,0)=Y13,2,IF(IF((G13&gt;0)*(IF(H13="",-1,H13)=0)*(1-(IF(H13="",-1,H13)&gt;=1)*(IF(H13="",-1,H13)&lt;=3)),IF(C13="peso_corporal",IF(ISNUMBER(E13),E13,0)+F13,F13)*G13*1000+F13,0)=Y13,1,0))))))</f>
        <v>0</v>
      </c>
      <c r="AA13" s="69">
        <f>MAX(IF((G13&gt;=6)*(1-(IF(H13="",-1,H13)&gt;=1)*(IF(H13="",-1,H13)&lt;=3))*(1-(IF(H13="",-1,H13)=0)),IF(C13="peso_corporal",IF(ISNUMBER(E13),E13,0)+F13,F13)*(30+G13)*100+F13,0),IF((J13&gt;=6)*(1-(IF(K13="",-1,K13)&gt;=1)*(IF(K13="",-1,K13)&lt;=3))*(1-(IF(K13="",-1,K13)=0)),IF(C13="peso_corporal",IF(ISNUMBER(E13),E13,0)+I13,I13)*(30+J13)*100+I13,0),IF((M13&gt;=6)*(1-(IF(N13="",-1,N13)&gt;=1)*(IF(N13="",-1,N13)&lt;=3))*(1-(IF(N13="",-1,N13)=0)),IF(C13="peso_corporal",IF(ISNUMBER(E13),E13,0)+L13,L13)*(30+M13)*100+L13,0),IF((P13&gt;=6)*(1-(IF(Q13="",-1,Q13)&gt;=1)*(IF(Q13="",-1,Q13)&lt;=3))*(1-(IF(Q13="",-1,Q13)=0)),IF(C13="peso_corporal",IF(ISNUMBER(E13),E13,0)+O13,O13)*(30+P13)*100+O13,0),IF((S13&gt;=6)*(1-(IF(T13="",-1,T13)&gt;=1)*(IF(T13="",-1,T13)&lt;=3))*(1-(IF(T13="",-1,T13)=0)),IF(C13="peso_corporal",IF(ISNUMBER(E13),E13,0)+R13,R13)*(30+S13)*100+R13,0))</f>
        <v>0</v>
      </c>
      <c r="AB13" s="69">
        <f>IF(AA13=0,0,IF(IF((S13&gt;=6)*(1-(IF(T13="",-1,T13)&gt;=1)*(IF(T13="",-1,T13)&lt;=3))*(1-(IF(T13="",-1,T13)=0)),IF(C13="peso_corporal",IF(ISNUMBER(E13),E13,0)+R13,R13)*(30+S13)*100+R13,0)=AA13,5,IF(IF((P13&gt;=6)*(1-(IF(Q13="",-1,Q13)&gt;=1)*(IF(Q13="",-1,Q13)&lt;=3))*(1-(IF(Q13="",-1,Q13)=0)),IF(C13="peso_corporal",IF(ISNUMBER(E13),E13,0)+O13,O13)*(30+P13)*100+O13,0)=AA13,4,IF(IF((M13&gt;=6)*(1-(IF(N13="",-1,N13)&gt;=1)*(IF(N13="",-1,N13)&lt;=3))*(1-(IF(N13="",-1,N13)=0)),IF(C13="peso_corporal",IF(ISNUMBER(E13),E13,0)+L13,L13)*(30+M13)*100+L13,0)=AA13,3,IF(IF((J13&gt;=6)*(1-(IF(K13="",-1,K13)&gt;=1)*(IF(K13="",-1,K13)&lt;=3))*(1-(IF(K13="",-1,K13)=0)),IF(C13="peso_corporal",IF(ISNUMBER(E13),E13,0)+I13,I13)*(30+J13)*100+I13,0)=AA13,2,IF(IF((G13&gt;=6)*(1-(IF(H13="",-1,H13)&gt;=1)*(IF(H13="",-1,H13)&lt;=3))*(1-(IF(H13="",-1,H13)=0)),IF(C13="peso_corporal",IF(ISNUMBER(E13),E13,0)+F13,F13)*(30+G13)*100+F13,0)=AA13,1,0))))))</f>
        <v>0</v>
      </c>
      <c r="AC13" s="69" t="str">
        <f>IF(X13&gt;0,"A"&amp;X13,IF(Z13&gt;0,"B"&amp;Z13,IF(AB13&gt;0,"C"&amp;AB13,"")))</f>
        <v/>
      </c>
    </row>
    <row r="14" spans="1:29" ht="11.1" customHeight="1">
      <c r="A14" s="84" t="s">
        <v>32</v>
      </c>
      <c r="B14" s="73"/>
      <c r="C14" s="73"/>
      <c r="D14" s="73"/>
      <c r="E14" s="73"/>
      <c r="F14" s="73"/>
      <c r="G14" s="73"/>
      <c r="H14" s="73"/>
      <c r="I14" s="73"/>
      <c r="J14" s="73"/>
      <c r="K14" s="73"/>
      <c r="L14" s="73"/>
      <c r="M14" s="73"/>
      <c r="N14" s="73"/>
      <c r="O14" s="73"/>
      <c r="P14" s="73"/>
      <c r="Q14" s="73"/>
      <c r="R14" s="73"/>
      <c r="S14" s="73"/>
      <c r="T14" s="73"/>
      <c r="U14" s="73"/>
      <c r="V14" s="73"/>
      <c r="W14" s="69"/>
      <c r="X14" s="69"/>
      <c r="Y14" s="69"/>
      <c r="Z14" s="69"/>
      <c r="AA14" s="69"/>
      <c r="AB14" s="69"/>
      <c r="AC14" s="69"/>
    </row>
    <row r="15" spans="1:29" ht="20.100000000000001" customHeight="1">
      <c r="A15" s="14" t="s">
        <v>33</v>
      </c>
      <c r="B15" s="15" t="s">
        <v>34</v>
      </c>
      <c r="C15" s="16" t="str">
        <f>IFERROR(INDEX(EJERCICIOS!$D$3:$D$75,MATCH(A15&amp;"|"&amp;B15,EJERCICIOS!$G$3:$G$75,0)),"--")</f>
        <v>mancuerna</v>
      </c>
      <c r="D15" s="17">
        <v>3</v>
      </c>
      <c r="E15" s="18">
        <f>IFERROR(LOOKUP(2,1/(MEDIDAS_Y_PESO!$B$3:$B$3&lt;&gt;""),MEDIDAS_Y_PESO!$B$3:$B$3),"--")</f>
        <v>80</v>
      </c>
      <c r="F15" s="19"/>
      <c r="G15" s="20"/>
      <c r="H15" s="21"/>
      <c r="I15" s="19"/>
      <c r="J15" s="20"/>
      <c r="K15" s="21"/>
      <c r="L15" s="19"/>
      <c r="M15" s="20"/>
      <c r="N15" s="21"/>
      <c r="O15" s="19"/>
      <c r="P15" s="20"/>
      <c r="Q15" s="21"/>
      <c r="R15" s="19"/>
      <c r="S15" s="20"/>
      <c r="T15" s="21"/>
      <c r="U15" s="22" t="str">
        <f>IFERROR(IF(IF(X15&gt;0,X15,IF(Z15&gt;0,Z15,IF(AB15&gt;0,AB15,0)))=0,"--",ROUND(CHOOSE(IF(X15&gt;0,X15,IF(Z15&gt;0,Z15,IF(AB15&gt;0,AB15,0))),IF(C15="peso_corporal",IF(ISNUMBER(E15),E15,0)+F15,F15)*(1+G15/30),IF(C15="peso_corporal",IF(ISNUMBER(E15),E15,0)+I15,I15)*(1+J15/30),IF(C15="peso_corporal",IF(ISNUMBER(E15),E15,0)+L15,L15)*(1+M15/30),IF(C15="peso_corporal",IF(ISNUMBER(E15),E15,0)+O15,O15)*(1+P15/30),IF(C15="peso_corporal",IF(ISNUMBER(E15),E15,0)+R15,R15)*(1+S15/30)),1)),"--")</f>
        <v>--</v>
      </c>
      <c r="V15" s="23" t="str">
        <f>IF(SUGERENCIAS!N5="SIN","Sin datos anteriores",IF(SUGERENCIAS!N5="SUBIR_F","^ SUBIR FUERTE | Kg:"&amp;ROUND(SUGERENCIAS!K5,1)&amp;" R:"&amp;ROUND(SUGERENCIAS!L5,0)&amp;" RIR:"&amp;ROUND(SUGERENCIAS!M5,0),IF(SUGERENCIAS!N5="SUBIR_E","^ SUBIR (Est.) | Kg:"&amp;ROUND(SUGERENCIAS!K5,1)&amp;" R:"&amp;ROUND(SUGERENCIAS!L5,0)&amp;" RIR:"&amp;ROUND(SUGERENCIAS!M5,0),IF(SUGERENCIAS!N5="SUBIR","^ SUBIR | Kg:"&amp;ROUND(SUGERENCIAS!K5,1)&amp;" R:"&amp;ROUND(SUGERENCIAS!L5,0)&amp;" RIR:"&amp;ROUND(SUGERENCIAS!M5,0),IF(SUGERENCIAS!N5="BAJAR","v BAJAR | Kg:"&amp;ROUND(SUGERENCIAS!K5,1)&amp;" R:"&amp;ROUND(SUGERENCIAS!L5,0)&amp;" RIR:"&amp;ROUND(SUGERENCIAS!M5,0),"= MANT | Kg:"&amp;ROUND(SUGERENCIAS!K5,1)&amp;" R:"&amp;ROUND(SUGERENCIAS!L5,0)&amp;" RIR:"&amp;ROUND(SUGERENCIAS!M5,0))))))</f>
        <v>Sin datos anteriores</v>
      </c>
      <c r="W15" s="69">
        <f>MAX(IF((G15&gt;0)*(IF(H15="",-1,H15)&gt;=1)*(IF(H15="",-1,H15)&lt;=3),IF(C15="peso_corporal",IF(ISNUMBER(E15),E15,0)+F15,F15)*G15*1000+F15,0),IF((J15&gt;0)*(IF(K15="",-1,K15)&gt;=1)*(IF(K15="",-1,K15)&lt;=3),IF(C15="peso_corporal",IF(ISNUMBER(E15),E15,0)+I15,I15)*J15*1000+I15,0),IF((M15&gt;0)*(IF(N15="",-1,N15)&gt;=1)*(IF(N15="",-1,N15)&lt;=3),IF(C15="peso_corporal",IF(ISNUMBER(E15),E15,0)+L15,L15)*M15*1000+L15,0),IF((P15&gt;0)*(IF(Q15="",-1,Q15)&gt;=1)*(IF(Q15="",-1,Q15)&lt;=3),IF(C15="peso_corporal",IF(ISNUMBER(E15),E15,0)+O15,O15)*P15*1000+O15,0),IF((S15&gt;0)*(IF(T15="",-1,T15)&gt;=1)*(IF(T15="",-1,T15)&lt;=3),IF(C15="peso_corporal",IF(ISNUMBER(E15),E15,0)+R15,R15)*S15*1000+R15,0))</f>
        <v>0</v>
      </c>
      <c r="X15" s="69">
        <f>IF(W15=0,0,IF(IF((S15&gt;0)*(IF(T15="",-1,T15)&gt;=1)*(IF(T15="",-1,T15)&lt;=3),IF(C15="peso_corporal",IF(ISNUMBER(E15),E15,0)+R15,R15)*S15*1000+R15,0)=W15,5,IF(IF((P15&gt;0)*(IF(Q15="",-1,Q15)&gt;=1)*(IF(Q15="",-1,Q15)&lt;=3),IF(C15="peso_corporal",IF(ISNUMBER(E15),E15,0)+O15,O15)*P15*1000+O15,0)=W15,4,IF(IF((M15&gt;0)*(IF(N15="",-1,N15)&gt;=1)*(IF(N15="",-1,N15)&lt;=3),IF(C15="peso_corporal",IF(ISNUMBER(E15),E15,0)+L15,L15)*M15*1000+L15,0)=W15,3,IF(IF((J15&gt;0)*(IF(K15="",-1,K15)&gt;=1)*(IF(K15="",-1,K15)&lt;=3),IF(C15="peso_corporal",IF(ISNUMBER(E15),E15,0)+I15,I15)*J15*1000+I15,0)=W15,2,IF(IF((G15&gt;0)*(IF(H15="",-1,H15)&gt;=1)*(IF(H15="",-1,H15)&lt;=3),IF(C15="peso_corporal",IF(ISNUMBER(E15),E15,0)+F15,F15)*G15*1000+F15,0)=W15,1,0))))))</f>
        <v>0</v>
      </c>
      <c r="Y15" s="69">
        <f>MAX(IF((G15&gt;0)*(IF(H15="",-1,H15)=0)*(1-(IF(H15="",-1,H15)&gt;=1)*(IF(H15="",-1,H15)&lt;=3)),IF(C15="peso_corporal",IF(ISNUMBER(E15),E15,0)+F15,F15)*G15*1000+F15,0),IF((J15&gt;0)*(IF(K15="",-1,K15)=0)*(1-(IF(K15="",-1,K15)&gt;=1)*(IF(K15="",-1,K15)&lt;=3)),IF(C15="peso_corporal",IF(ISNUMBER(E15),E15,0)+I15,I15)*J15*1000+I15,0),IF((M15&gt;0)*(IF(N15="",-1,N15)=0)*(1-(IF(N15="",-1,N15)&gt;=1)*(IF(N15="",-1,N15)&lt;=3)),IF(C15="peso_corporal",IF(ISNUMBER(E15),E15,0)+L15,L15)*M15*1000+L15,0),IF((P15&gt;0)*(IF(Q15="",-1,Q15)=0)*(1-(IF(Q15="",-1,Q15)&gt;=1)*(IF(Q15="",-1,Q15)&lt;=3)),IF(C15="peso_corporal",IF(ISNUMBER(E15),E15,0)+O15,O15)*P15*1000+O15,0),IF((S15&gt;0)*(IF(T15="",-1,T15)=0)*(1-(IF(T15="",-1,T15)&gt;=1)*(IF(T15="",-1,T15)&lt;=3)),IF(C15="peso_corporal",IF(ISNUMBER(E15),E15,0)+R15,R15)*S15*1000+R15,0))</f>
        <v>0</v>
      </c>
      <c r="Z15" s="69">
        <f>IF(Y15=0,0,IF(IF((S15&gt;0)*(IF(T15="",-1,T15)=0)*(1-(IF(T15="",-1,T15)&gt;=1)*(IF(T15="",-1,T15)&lt;=3)),IF(C15="peso_corporal",IF(ISNUMBER(E15),E15,0)+R15,R15)*S15*1000+R15,0)=Y15,5,IF(IF((P15&gt;0)*(IF(Q15="",-1,Q15)=0)*(1-(IF(Q15="",-1,Q15)&gt;=1)*(IF(Q15="",-1,Q15)&lt;=3)),IF(C15="peso_corporal",IF(ISNUMBER(E15),E15,0)+O15,O15)*P15*1000+O15,0)=Y15,4,IF(IF((M15&gt;0)*(IF(N15="",-1,N15)=0)*(1-(IF(N15="",-1,N15)&gt;=1)*(IF(N15="",-1,N15)&lt;=3)),IF(C15="peso_corporal",IF(ISNUMBER(E15),E15,0)+L15,L15)*M15*1000+L15,0)=Y15,3,IF(IF((J15&gt;0)*(IF(K15="",-1,K15)=0)*(1-(IF(K15="",-1,K15)&gt;=1)*(IF(K15="",-1,K15)&lt;=3)),IF(C15="peso_corporal",IF(ISNUMBER(E15),E15,0)+I15,I15)*J15*1000+I15,0)=Y15,2,IF(IF((G15&gt;0)*(IF(H15="",-1,H15)=0)*(1-(IF(H15="",-1,H15)&gt;=1)*(IF(H15="",-1,H15)&lt;=3)),IF(C15="peso_corporal",IF(ISNUMBER(E15),E15,0)+F15,F15)*G15*1000+F15,0)=Y15,1,0))))))</f>
        <v>0</v>
      </c>
      <c r="AA15" s="69">
        <f>MAX(IF((G15&gt;=6)*(1-(IF(H15="",-1,H15)&gt;=1)*(IF(H15="",-1,H15)&lt;=3))*(1-(IF(H15="",-1,H15)=0)),IF(C15="peso_corporal",IF(ISNUMBER(E15),E15,0)+F15,F15)*(30+G15)*100+F15,0),IF((J15&gt;=6)*(1-(IF(K15="",-1,K15)&gt;=1)*(IF(K15="",-1,K15)&lt;=3))*(1-(IF(K15="",-1,K15)=0)),IF(C15="peso_corporal",IF(ISNUMBER(E15),E15,0)+I15,I15)*(30+J15)*100+I15,0),IF((M15&gt;=6)*(1-(IF(N15="",-1,N15)&gt;=1)*(IF(N15="",-1,N15)&lt;=3))*(1-(IF(N15="",-1,N15)=0)),IF(C15="peso_corporal",IF(ISNUMBER(E15),E15,0)+L15,L15)*(30+M15)*100+L15,0),IF((P15&gt;=6)*(1-(IF(Q15="",-1,Q15)&gt;=1)*(IF(Q15="",-1,Q15)&lt;=3))*(1-(IF(Q15="",-1,Q15)=0)),IF(C15="peso_corporal",IF(ISNUMBER(E15),E15,0)+O15,O15)*(30+P15)*100+O15,0),IF((S15&gt;=6)*(1-(IF(T15="",-1,T15)&gt;=1)*(IF(T15="",-1,T15)&lt;=3))*(1-(IF(T15="",-1,T15)=0)),IF(C15="peso_corporal",IF(ISNUMBER(E15),E15,0)+R15,R15)*(30+S15)*100+R15,0))</f>
        <v>0</v>
      </c>
      <c r="AB15" s="69">
        <f>IF(AA15=0,0,IF(IF((S15&gt;=6)*(1-(IF(T15="",-1,T15)&gt;=1)*(IF(T15="",-1,T15)&lt;=3))*(1-(IF(T15="",-1,T15)=0)),IF(C15="peso_corporal",IF(ISNUMBER(E15),E15,0)+R15,R15)*(30+S15)*100+R15,0)=AA15,5,IF(IF((P15&gt;=6)*(1-(IF(Q15="",-1,Q15)&gt;=1)*(IF(Q15="",-1,Q15)&lt;=3))*(1-(IF(Q15="",-1,Q15)=0)),IF(C15="peso_corporal",IF(ISNUMBER(E15),E15,0)+O15,O15)*(30+P15)*100+O15,0)=AA15,4,IF(IF((M15&gt;=6)*(1-(IF(N15="",-1,N15)&gt;=1)*(IF(N15="",-1,N15)&lt;=3))*(1-(IF(N15="",-1,N15)=0)),IF(C15="peso_corporal",IF(ISNUMBER(E15),E15,0)+L15,L15)*(30+M15)*100+L15,0)=AA15,3,IF(IF((J15&gt;=6)*(1-(IF(K15="",-1,K15)&gt;=1)*(IF(K15="",-1,K15)&lt;=3))*(1-(IF(K15="",-1,K15)=0)),IF(C15="peso_corporal",IF(ISNUMBER(E15),E15,0)+I15,I15)*(30+J15)*100+I15,0)=AA15,2,IF(IF((G15&gt;=6)*(1-(IF(H15="",-1,H15)&gt;=1)*(IF(H15="",-1,H15)&lt;=3))*(1-(IF(H15="",-1,H15)=0)),IF(C15="peso_corporal",IF(ISNUMBER(E15),E15,0)+F15,F15)*(30+G15)*100+F15,0)=AA15,1,0))))))</f>
        <v>0</v>
      </c>
      <c r="AC15" s="69" t="str">
        <f>IF(X15&gt;0,"A"&amp;X15,IF(Z15&gt;0,"B"&amp;Z15,IF(AB15&gt;0,"C"&amp;AB15,"")))</f>
        <v/>
      </c>
    </row>
    <row r="16" spans="1:29" ht="11.1" customHeight="1">
      <c r="A16" s="87" t="s">
        <v>35</v>
      </c>
      <c r="B16" s="73"/>
      <c r="C16" s="73"/>
      <c r="D16" s="73"/>
      <c r="E16" s="73"/>
      <c r="F16" s="73"/>
      <c r="G16" s="73"/>
      <c r="H16" s="73"/>
      <c r="I16" s="73"/>
      <c r="J16" s="73"/>
      <c r="K16" s="73"/>
      <c r="L16" s="73"/>
      <c r="M16" s="73"/>
      <c r="N16" s="73"/>
      <c r="O16" s="73"/>
      <c r="P16" s="73"/>
      <c r="Q16" s="73"/>
      <c r="R16" s="73"/>
      <c r="S16" s="73"/>
      <c r="T16" s="73"/>
      <c r="U16" s="73"/>
      <c r="V16" s="73"/>
      <c r="W16" s="69"/>
      <c r="X16" s="69"/>
      <c r="Y16" s="69"/>
      <c r="Z16" s="69"/>
      <c r="AA16" s="69"/>
      <c r="AB16" s="69"/>
      <c r="AC16" s="69"/>
    </row>
    <row r="17" spans="1:29" ht="20.100000000000001" customHeight="1">
      <c r="A17" s="14" t="s">
        <v>36</v>
      </c>
      <c r="B17" s="15" t="s">
        <v>37</v>
      </c>
      <c r="C17" s="16" t="str">
        <f>IFERROR(INDEX(EJERCICIOS!$D$3:$D$75,MATCH(A17&amp;"|"&amp;B17,EJERCICIOS!$G$3:$G$75,0)),"--")</f>
        <v>peso_corporal</v>
      </c>
      <c r="D17" s="17">
        <v>3</v>
      </c>
      <c r="E17" s="18">
        <f>IFERROR(LOOKUP(2,1/(MEDIDAS_Y_PESO!$B$3:$B$3&lt;&gt;""),MEDIDAS_Y_PESO!$B$3:$B$3),"--")</f>
        <v>80</v>
      </c>
      <c r="F17" s="19"/>
      <c r="G17" s="20">
        <v>12</v>
      </c>
      <c r="H17" s="21">
        <v>0</v>
      </c>
      <c r="I17" s="19"/>
      <c r="J17" s="20"/>
      <c r="K17" s="21"/>
      <c r="L17" s="19"/>
      <c r="M17" s="20"/>
      <c r="N17" s="21"/>
      <c r="O17" s="19"/>
      <c r="P17" s="20"/>
      <c r="Q17" s="21"/>
      <c r="R17" s="19"/>
      <c r="S17" s="20"/>
      <c r="T17" s="21"/>
      <c r="U17" s="22">
        <f>IFERROR(IF(IF(X17&gt;0,X17,IF(Z17&gt;0,Z17,IF(AB17&gt;0,AB17,0)))=0,"--",ROUND(CHOOSE(IF(X17&gt;0,X17,IF(Z17&gt;0,Z17,IF(AB17&gt;0,AB17,0))),IF(C17="peso_corporal",IF(ISNUMBER(E17),E17,0)+F17,F17)*(1+G17/30),IF(C17="peso_corporal",IF(ISNUMBER(E17),E17,0)+I17,I17)*(1+J17/30),IF(C17="peso_corporal",IF(ISNUMBER(E17),E17,0)+L17,L17)*(1+M17/30),IF(C17="peso_corporal",IF(ISNUMBER(E17),E17,0)+O17,O17)*(1+P17/30),IF(C17="peso_corporal",IF(ISNUMBER(E17),E17,0)+R17,R17)*(1+S17/30)),1)),"--")</f>
        <v>112</v>
      </c>
      <c r="V17" s="23" t="str">
        <f>IF(SUGERENCIAS!N6="SIN","Sin datos anteriores",IF(SUGERENCIAS!N6="SUBIR_F","^ SUBIR FUERTE | Kg:"&amp;ROUND(SUGERENCIAS!K6,1)&amp;" R:"&amp;ROUND(SUGERENCIAS!L6,0)&amp;" RIR:"&amp;ROUND(SUGERENCIAS!M6,0),IF(SUGERENCIAS!N6="SUBIR_E","^ SUBIR (Est.) | Kg:"&amp;ROUND(SUGERENCIAS!K6,1)&amp;" R:"&amp;ROUND(SUGERENCIAS!L6,0)&amp;" RIR:"&amp;ROUND(SUGERENCIAS!M6,0),IF(SUGERENCIAS!N6="SUBIR","^ SUBIR | Kg:"&amp;ROUND(SUGERENCIAS!K6,1)&amp;" R:"&amp;ROUND(SUGERENCIAS!L6,0)&amp;" RIR:"&amp;ROUND(SUGERENCIAS!M6,0),IF(SUGERENCIAS!N6="BAJAR","v BAJAR | Kg:"&amp;ROUND(SUGERENCIAS!K6,1)&amp;" R:"&amp;ROUND(SUGERENCIAS!L6,0)&amp;" RIR:"&amp;ROUND(SUGERENCIAS!M6,0),"= MANT | Kg:"&amp;ROUND(SUGERENCIAS!K6,1)&amp;" R:"&amp;ROUND(SUGERENCIAS!L6,0)&amp;" RIR:"&amp;ROUND(SUGERENCIAS!M6,0))))))</f>
        <v>Sin datos anteriores</v>
      </c>
      <c r="W17" s="69">
        <f>MAX(IF((G17&gt;0)*(IF(H17="",-1,H17)&gt;=1)*(IF(H17="",-1,H17)&lt;=3),IF(C17="peso_corporal",IF(ISNUMBER(E17),E17,0)+F17,F17)*G17*1000+F17,0),IF((J17&gt;0)*(IF(K17="",-1,K17)&gt;=1)*(IF(K17="",-1,K17)&lt;=3),IF(C17="peso_corporal",IF(ISNUMBER(E17),E17,0)+I17,I17)*J17*1000+I17,0),IF((M17&gt;0)*(IF(N17="",-1,N17)&gt;=1)*(IF(N17="",-1,N17)&lt;=3),IF(C17="peso_corporal",IF(ISNUMBER(E17),E17,0)+L17,L17)*M17*1000+L17,0),IF((P17&gt;0)*(IF(Q17="",-1,Q17)&gt;=1)*(IF(Q17="",-1,Q17)&lt;=3),IF(C17="peso_corporal",IF(ISNUMBER(E17),E17,0)+O17,O17)*P17*1000+O17,0),IF((S17&gt;0)*(IF(T17="",-1,T17)&gt;=1)*(IF(T17="",-1,T17)&lt;=3),IF(C17="peso_corporal",IF(ISNUMBER(E17),E17,0)+R17,R17)*S17*1000+R17,0))</f>
        <v>0</v>
      </c>
      <c r="X17" s="69">
        <f>IF(W17=0,0,IF(IF((S17&gt;0)*(IF(T17="",-1,T17)&gt;=1)*(IF(T17="",-1,T17)&lt;=3),IF(C17="peso_corporal",IF(ISNUMBER(E17),E17,0)+R17,R17)*S17*1000+R17,0)=W17,5,IF(IF((P17&gt;0)*(IF(Q17="",-1,Q17)&gt;=1)*(IF(Q17="",-1,Q17)&lt;=3),IF(C17="peso_corporal",IF(ISNUMBER(E17),E17,0)+O17,O17)*P17*1000+O17,0)=W17,4,IF(IF((M17&gt;0)*(IF(N17="",-1,N17)&gt;=1)*(IF(N17="",-1,N17)&lt;=3),IF(C17="peso_corporal",IF(ISNUMBER(E17),E17,0)+L17,L17)*M17*1000+L17,0)=W17,3,IF(IF((J17&gt;0)*(IF(K17="",-1,K17)&gt;=1)*(IF(K17="",-1,K17)&lt;=3),IF(C17="peso_corporal",IF(ISNUMBER(E17),E17,0)+I17,I17)*J17*1000+I17,0)=W17,2,IF(IF((G17&gt;0)*(IF(H17="",-1,H17)&gt;=1)*(IF(H17="",-1,H17)&lt;=3),IF(C17="peso_corporal",IF(ISNUMBER(E17),E17,0)+F17,F17)*G17*1000+F17,0)=W17,1,0))))))</f>
        <v>0</v>
      </c>
      <c r="Y17" s="69">
        <f>MAX(IF((G17&gt;0)*(IF(H17="",-1,H17)=0)*(1-(IF(H17="",-1,H17)&gt;=1)*(IF(H17="",-1,H17)&lt;=3)),IF(C17="peso_corporal",IF(ISNUMBER(E17),E17,0)+F17,F17)*G17*1000+F17,0),IF((J17&gt;0)*(IF(K17="",-1,K17)=0)*(1-(IF(K17="",-1,K17)&gt;=1)*(IF(K17="",-1,K17)&lt;=3)),IF(C17="peso_corporal",IF(ISNUMBER(E17),E17,0)+I17,I17)*J17*1000+I17,0),IF((M17&gt;0)*(IF(N17="",-1,N17)=0)*(1-(IF(N17="",-1,N17)&gt;=1)*(IF(N17="",-1,N17)&lt;=3)),IF(C17="peso_corporal",IF(ISNUMBER(E17),E17,0)+L17,L17)*M17*1000+L17,0),IF((P17&gt;0)*(IF(Q17="",-1,Q17)=0)*(1-(IF(Q17="",-1,Q17)&gt;=1)*(IF(Q17="",-1,Q17)&lt;=3)),IF(C17="peso_corporal",IF(ISNUMBER(E17),E17,0)+O17,O17)*P17*1000+O17,0),IF((S17&gt;0)*(IF(T17="",-1,T17)=0)*(1-(IF(T17="",-1,T17)&gt;=1)*(IF(T17="",-1,T17)&lt;=3)),IF(C17="peso_corporal",IF(ISNUMBER(E17),E17,0)+R17,R17)*S17*1000+R17,0))</f>
        <v>960000</v>
      </c>
      <c r="Z17" s="69">
        <f>IF(Y17=0,0,IF(IF((S17&gt;0)*(IF(T17="",-1,T17)=0)*(1-(IF(T17="",-1,T17)&gt;=1)*(IF(T17="",-1,T17)&lt;=3)),IF(C17="peso_corporal",IF(ISNUMBER(E17),E17,0)+R17,R17)*S17*1000+R17,0)=Y17,5,IF(IF((P17&gt;0)*(IF(Q17="",-1,Q17)=0)*(1-(IF(Q17="",-1,Q17)&gt;=1)*(IF(Q17="",-1,Q17)&lt;=3)),IF(C17="peso_corporal",IF(ISNUMBER(E17),E17,0)+O17,O17)*P17*1000+O17,0)=Y17,4,IF(IF((M17&gt;0)*(IF(N17="",-1,N17)=0)*(1-(IF(N17="",-1,N17)&gt;=1)*(IF(N17="",-1,N17)&lt;=3)),IF(C17="peso_corporal",IF(ISNUMBER(E17),E17,0)+L17,L17)*M17*1000+L17,0)=Y17,3,IF(IF((J17&gt;0)*(IF(K17="",-1,K17)=0)*(1-(IF(K17="",-1,K17)&gt;=1)*(IF(K17="",-1,K17)&lt;=3)),IF(C17="peso_corporal",IF(ISNUMBER(E17),E17,0)+I17,I17)*J17*1000+I17,0)=Y17,2,IF(IF((G17&gt;0)*(IF(H17="",-1,H17)=0)*(1-(IF(H17="",-1,H17)&gt;=1)*(IF(H17="",-1,H17)&lt;=3)),IF(C17="peso_corporal",IF(ISNUMBER(E17),E17,0)+F17,F17)*G17*1000+F17,0)=Y17,1,0))))))</f>
        <v>1</v>
      </c>
      <c r="AA17" s="69">
        <f>MAX(IF((G17&gt;=6)*(1-(IF(H17="",-1,H17)&gt;=1)*(IF(H17="",-1,H17)&lt;=3))*(1-(IF(H17="",-1,H17)=0)),IF(C17="peso_corporal",IF(ISNUMBER(E17),E17,0)+F17,F17)*(30+G17)*100+F17,0),IF((J17&gt;=6)*(1-(IF(K17="",-1,K17)&gt;=1)*(IF(K17="",-1,K17)&lt;=3))*(1-(IF(K17="",-1,K17)=0)),IF(C17="peso_corporal",IF(ISNUMBER(E17),E17,0)+I17,I17)*(30+J17)*100+I17,0),IF((M17&gt;=6)*(1-(IF(N17="",-1,N17)&gt;=1)*(IF(N17="",-1,N17)&lt;=3))*(1-(IF(N17="",-1,N17)=0)),IF(C17="peso_corporal",IF(ISNUMBER(E17),E17,0)+L17,L17)*(30+M17)*100+L17,0),IF((P17&gt;=6)*(1-(IF(Q17="",-1,Q17)&gt;=1)*(IF(Q17="",-1,Q17)&lt;=3))*(1-(IF(Q17="",-1,Q17)=0)),IF(C17="peso_corporal",IF(ISNUMBER(E17),E17,0)+O17,O17)*(30+P17)*100+O17,0),IF((S17&gt;=6)*(1-(IF(T17="",-1,T17)&gt;=1)*(IF(T17="",-1,T17)&lt;=3))*(1-(IF(T17="",-1,T17)=0)),IF(C17="peso_corporal",IF(ISNUMBER(E17),E17,0)+R17,R17)*(30+S17)*100+R17,0))</f>
        <v>0</v>
      </c>
      <c r="AB17" s="69">
        <f>IF(AA17=0,0,IF(IF((S17&gt;=6)*(1-(IF(T17="",-1,T17)&gt;=1)*(IF(T17="",-1,T17)&lt;=3))*(1-(IF(T17="",-1,T17)=0)),IF(C17="peso_corporal",IF(ISNUMBER(E17),E17,0)+R17,R17)*(30+S17)*100+R17,0)=AA17,5,IF(IF((P17&gt;=6)*(1-(IF(Q17="",-1,Q17)&gt;=1)*(IF(Q17="",-1,Q17)&lt;=3))*(1-(IF(Q17="",-1,Q17)=0)),IF(C17="peso_corporal",IF(ISNUMBER(E17),E17,0)+O17,O17)*(30+P17)*100+O17,0)=AA17,4,IF(IF((M17&gt;=6)*(1-(IF(N17="",-1,N17)&gt;=1)*(IF(N17="",-1,N17)&lt;=3))*(1-(IF(N17="",-1,N17)=0)),IF(C17="peso_corporal",IF(ISNUMBER(E17),E17,0)+L17,L17)*(30+M17)*100+L17,0)=AA17,3,IF(IF((J17&gt;=6)*(1-(IF(K17="",-1,K17)&gt;=1)*(IF(K17="",-1,K17)&lt;=3))*(1-(IF(K17="",-1,K17)=0)),IF(C17="peso_corporal",IF(ISNUMBER(E17),E17,0)+I17,I17)*(30+J17)*100+I17,0)=AA17,2,IF(IF((G17&gt;=6)*(1-(IF(H17="",-1,H17)&gt;=1)*(IF(H17="",-1,H17)&lt;=3))*(1-(IF(H17="",-1,H17)=0)),IF(C17="peso_corporal",IF(ISNUMBER(E17),E17,0)+F17,F17)*(30+G17)*100+F17,0)=AA17,1,0))))))</f>
        <v>0</v>
      </c>
      <c r="AC17" s="69" t="str">
        <f>IF(X17&gt;0,"A"&amp;X17,IF(Z17&gt;0,"B"&amp;Z17,IF(AB17&gt;0,"C"&amp;AB17,"")))</f>
        <v>B1</v>
      </c>
    </row>
    <row r="18" spans="1:29" ht="20.100000000000001" customHeight="1">
      <c r="A18" s="14" t="s">
        <v>38</v>
      </c>
      <c r="B18" s="15" t="s">
        <v>39</v>
      </c>
      <c r="C18" s="16" t="str">
        <f>IFERROR(INDEX(EJERCICIOS!$D$3:$D$75,MATCH(A18&amp;"|"&amp;B18,EJERCICIOS!$G$3:$G$75,0)),"--")</f>
        <v>polea</v>
      </c>
      <c r="D18" s="17">
        <v>3</v>
      </c>
      <c r="E18" s="18">
        <f>IFERROR(LOOKUP(2,1/(MEDIDAS_Y_PESO!$B$3:$B$3&lt;&gt;""),MEDIDAS_Y_PESO!$B$3:$B$3),"--")</f>
        <v>80</v>
      </c>
      <c r="F18" s="19"/>
      <c r="G18" s="20"/>
      <c r="H18" s="21"/>
      <c r="I18" s="19"/>
      <c r="J18" s="20"/>
      <c r="K18" s="21"/>
      <c r="L18" s="19"/>
      <c r="M18" s="20"/>
      <c r="N18" s="21"/>
      <c r="O18" s="19"/>
      <c r="P18" s="20"/>
      <c r="Q18" s="21"/>
      <c r="R18" s="19"/>
      <c r="S18" s="20"/>
      <c r="T18" s="21"/>
      <c r="U18" s="22" t="str">
        <f>IFERROR(IF(IF(X18&gt;0,X18,IF(Z18&gt;0,Z18,IF(AB18&gt;0,AB18,0)))=0,"--",ROUND(CHOOSE(IF(X18&gt;0,X18,IF(Z18&gt;0,Z18,IF(AB18&gt;0,AB18,0))),IF(C18="peso_corporal",IF(ISNUMBER(E18),E18,0)+F18,F18)*(1+G18/30),IF(C18="peso_corporal",IF(ISNUMBER(E18),E18,0)+I18,I18)*(1+J18/30),IF(C18="peso_corporal",IF(ISNUMBER(E18),E18,0)+L18,L18)*(1+M18/30),IF(C18="peso_corporal",IF(ISNUMBER(E18),E18,0)+O18,O18)*(1+P18/30),IF(C18="peso_corporal",IF(ISNUMBER(E18),E18,0)+R18,R18)*(1+S18/30)),1)),"--")</f>
        <v>--</v>
      </c>
      <c r="V18" s="23" t="str">
        <f>IF(SUGERENCIAS!N7="SIN","Sin datos anteriores",IF(SUGERENCIAS!N7="SUBIR_F","^ SUBIR FUERTE | Kg:"&amp;ROUND(SUGERENCIAS!K7,1)&amp;" R:"&amp;ROUND(SUGERENCIAS!L7,0)&amp;" RIR:"&amp;ROUND(SUGERENCIAS!M7,0),IF(SUGERENCIAS!N7="SUBIR_E","^ SUBIR (Est.) | Kg:"&amp;ROUND(SUGERENCIAS!K7,1)&amp;" R:"&amp;ROUND(SUGERENCIAS!L7,0)&amp;" RIR:"&amp;ROUND(SUGERENCIAS!M7,0),IF(SUGERENCIAS!N7="SUBIR","^ SUBIR | Kg:"&amp;ROUND(SUGERENCIAS!K7,1)&amp;" R:"&amp;ROUND(SUGERENCIAS!L7,0)&amp;" RIR:"&amp;ROUND(SUGERENCIAS!M7,0),IF(SUGERENCIAS!N7="BAJAR","v BAJAR | Kg:"&amp;ROUND(SUGERENCIAS!K7,1)&amp;" R:"&amp;ROUND(SUGERENCIAS!L7,0)&amp;" RIR:"&amp;ROUND(SUGERENCIAS!M7,0),"= MANT | Kg:"&amp;ROUND(SUGERENCIAS!K7,1)&amp;" R:"&amp;ROUND(SUGERENCIAS!L7,0)&amp;" RIR:"&amp;ROUND(SUGERENCIAS!M7,0))))))</f>
        <v>Sin datos anteriores</v>
      </c>
      <c r="W18" s="69">
        <f>MAX(IF((G18&gt;0)*(IF(H18="",-1,H18)&gt;=1)*(IF(H18="",-1,H18)&lt;=3),IF(C18="peso_corporal",IF(ISNUMBER(E18),E18,0)+F18,F18)*G18*1000+F18,0),IF((J18&gt;0)*(IF(K18="",-1,K18)&gt;=1)*(IF(K18="",-1,K18)&lt;=3),IF(C18="peso_corporal",IF(ISNUMBER(E18),E18,0)+I18,I18)*J18*1000+I18,0),IF((M18&gt;0)*(IF(N18="",-1,N18)&gt;=1)*(IF(N18="",-1,N18)&lt;=3),IF(C18="peso_corporal",IF(ISNUMBER(E18),E18,0)+L18,L18)*M18*1000+L18,0),IF((P18&gt;0)*(IF(Q18="",-1,Q18)&gt;=1)*(IF(Q18="",-1,Q18)&lt;=3),IF(C18="peso_corporal",IF(ISNUMBER(E18),E18,0)+O18,O18)*P18*1000+O18,0),IF((S18&gt;0)*(IF(T18="",-1,T18)&gt;=1)*(IF(T18="",-1,T18)&lt;=3),IF(C18="peso_corporal",IF(ISNUMBER(E18),E18,0)+R18,R18)*S18*1000+R18,0))</f>
        <v>0</v>
      </c>
      <c r="X18" s="69">
        <f>IF(W18=0,0,IF(IF((S18&gt;0)*(IF(T18="",-1,T18)&gt;=1)*(IF(T18="",-1,T18)&lt;=3),IF(C18="peso_corporal",IF(ISNUMBER(E18),E18,0)+R18,R18)*S18*1000+R18,0)=W18,5,IF(IF((P18&gt;0)*(IF(Q18="",-1,Q18)&gt;=1)*(IF(Q18="",-1,Q18)&lt;=3),IF(C18="peso_corporal",IF(ISNUMBER(E18),E18,0)+O18,O18)*P18*1000+O18,0)=W18,4,IF(IF((M18&gt;0)*(IF(N18="",-1,N18)&gt;=1)*(IF(N18="",-1,N18)&lt;=3),IF(C18="peso_corporal",IF(ISNUMBER(E18),E18,0)+L18,L18)*M18*1000+L18,0)=W18,3,IF(IF((J18&gt;0)*(IF(K18="",-1,K18)&gt;=1)*(IF(K18="",-1,K18)&lt;=3),IF(C18="peso_corporal",IF(ISNUMBER(E18),E18,0)+I18,I18)*J18*1000+I18,0)=W18,2,IF(IF((G18&gt;0)*(IF(H18="",-1,H18)&gt;=1)*(IF(H18="",-1,H18)&lt;=3),IF(C18="peso_corporal",IF(ISNUMBER(E18),E18,0)+F18,F18)*G18*1000+F18,0)=W18,1,0))))))</f>
        <v>0</v>
      </c>
      <c r="Y18" s="69">
        <f>MAX(IF((G18&gt;0)*(IF(H18="",-1,H18)=0)*(1-(IF(H18="",-1,H18)&gt;=1)*(IF(H18="",-1,H18)&lt;=3)),IF(C18="peso_corporal",IF(ISNUMBER(E18),E18,0)+F18,F18)*G18*1000+F18,0),IF((J18&gt;0)*(IF(K18="",-1,K18)=0)*(1-(IF(K18="",-1,K18)&gt;=1)*(IF(K18="",-1,K18)&lt;=3)),IF(C18="peso_corporal",IF(ISNUMBER(E18),E18,0)+I18,I18)*J18*1000+I18,0),IF((M18&gt;0)*(IF(N18="",-1,N18)=0)*(1-(IF(N18="",-1,N18)&gt;=1)*(IF(N18="",-1,N18)&lt;=3)),IF(C18="peso_corporal",IF(ISNUMBER(E18),E18,0)+L18,L18)*M18*1000+L18,0),IF((P18&gt;0)*(IF(Q18="",-1,Q18)=0)*(1-(IF(Q18="",-1,Q18)&gt;=1)*(IF(Q18="",-1,Q18)&lt;=3)),IF(C18="peso_corporal",IF(ISNUMBER(E18),E18,0)+O18,O18)*P18*1000+O18,0),IF((S18&gt;0)*(IF(T18="",-1,T18)=0)*(1-(IF(T18="",-1,T18)&gt;=1)*(IF(T18="",-1,T18)&lt;=3)),IF(C18="peso_corporal",IF(ISNUMBER(E18),E18,0)+R18,R18)*S18*1000+R18,0))</f>
        <v>0</v>
      </c>
      <c r="Z18" s="69">
        <f>IF(Y18=0,0,IF(IF((S18&gt;0)*(IF(T18="",-1,T18)=0)*(1-(IF(T18="",-1,T18)&gt;=1)*(IF(T18="",-1,T18)&lt;=3)),IF(C18="peso_corporal",IF(ISNUMBER(E18),E18,0)+R18,R18)*S18*1000+R18,0)=Y18,5,IF(IF((P18&gt;0)*(IF(Q18="",-1,Q18)=0)*(1-(IF(Q18="",-1,Q18)&gt;=1)*(IF(Q18="",-1,Q18)&lt;=3)),IF(C18="peso_corporal",IF(ISNUMBER(E18),E18,0)+O18,O18)*P18*1000+O18,0)=Y18,4,IF(IF((M18&gt;0)*(IF(N18="",-1,N18)=0)*(1-(IF(N18="",-1,N18)&gt;=1)*(IF(N18="",-1,N18)&lt;=3)),IF(C18="peso_corporal",IF(ISNUMBER(E18),E18,0)+L18,L18)*M18*1000+L18,0)=Y18,3,IF(IF((J18&gt;0)*(IF(K18="",-1,K18)=0)*(1-(IF(K18="",-1,K18)&gt;=1)*(IF(K18="",-1,K18)&lt;=3)),IF(C18="peso_corporal",IF(ISNUMBER(E18),E18,0)+I18,I18)*J18*1000+I18,0)=Y18,2,IF(IF((G18&gt;0)*(IF(H18="",-1,H18)=0)*(1-(IF(H18="",-1,H18)&gt;=1)*(IF(H18="",-1,H18)&lt;=3)),IF(C18="peso_corporal",IF(ISNUMBER(E18),E18,0)+F18,F18)*G18*1000+F18,0)=Y18,1,0))))))</f>
        <v>0</v>
      </c>
      <c r="AA18" s="69">
        <f>MAX(IF((G18&gt;=6)*(1-(IF(H18="",-1,H18)&gt;=1)*(IF(H18="",-1,H18)&lt;=3))*(1-(IF(H18="",-1,H18)=0)),IF(C18="peso_corporal",IF(ISNUMBER(E18),E18,0)+F18,F18)*(30+G18)*100+F18,0),IF((J18&gt;=6)*(1-(IF(K18="",-1,K18)&gt;=1)*(IF(K18="",-1,K18)&lt;=3))*(1-(IF(K18="",-1,K18)=0)),IF(C18="peso_corporal",IF(ISNUMBER(E18),E18,0)+I18,I18)*(30+J18)*100+I18,0),IF((M18&gt;=6)*(1-(IF(N18="",-1,N18)&gt;=1)*(IF(N18="",-1,N18)&lt;=3))*(1-(IF(N18="",-1,N18)=0)),IF(C18="peso_corporal",IF(ISNUMBER(E18),E18,0)+L18,L18)*(30+M18)*100+L18,0),IF((P18&gt;=6)*(1-(IF(Q18="",-1,Q18)&gt;=1)*(IF(Q18="",-1,Q18)&lt;=3))*(1-(IF(Q18="",-1,Q18)=0)),IF(C18="peso_corporal",IF(ISNUMBER(E18),E18,0)+O18,O18)*(30+P18)*100+O18,0),IF((S18&gt;=6)*(1-(IF(T18="",-1,T18)&gt;=1)*(IF(T18="",-1,T18)&lt;=3))*(1-(IF(T18="",-1,T18)=0)),IF(C18="peso_corporal",IF(ISNUMBER(E18),E18,0)+R18,R18)*(30+S18)*100+R18,0))</f>
        <v>0</v>
      </c>
      <c r="AB18" s="69">
        <f>IF(AA18=0,0,IF(IF((S18&gt;=6)*(1-(IF(T18="",-1,T18)&gt;=1)*(IF(T18="",-1,T18)&lt;=3))*(1-(IF(T18="",-1,T18)=0)),IF(C18="peso_corporal",IF(ISNUMBER(E18),E18,0)+R18,R18)*(30+S18)*100+R18,0)=AA18,5,IF(IF((P18&gt;=6)*(1-(IF(Q18="",-1,Q18)&gt;=1)*(IF(Q18="",-1,Q18)&lt;=3))*(1-(IF(Q18="",-1,Q18)=0)),IF(C18="peso_corporal",IF(ISNUMBER(E18),E18,0)+O18,O18)*(30+P18)*100+O18,0)=AA18,4,IF(IF((M18&gt;=6)*(1-(IF(N18="",-1,N18)&gt;=1)*(IF(N18="",-1,N18)&lt;=3))*(1-(IF(N18="",-1,N18)=0)),IF(C18="peso_corporal",IF(ISNUMBER(E18),E18,0)+L18,L18)*(30+M18)*100+L18,0)=AA18,3,IF(IF((J18&gt;=6)*(1-(IF(K18="",-1,K18)&gt;=1)*(IF(K18="",-1,K18)&lt;=3))*(1-(IF(K18="",-1,K18)=0)),IF(C18="peso_corporal",IF(ISNUMBER(E18),E18,0)+I18,I18)*(30+J18)*100+I18,0)=AA18,2,IF(IF((G18&gt;=6)*(1-(IF(H18="",-1,H18)&gt;=1)*(IF(H18="",-1,H18)&lt;=3))*(1-(IF(H18="",-1,H18)=0)),IF(C18="peso_corporal",IF(ISNUMBER(E18),E18,0)+F18,F18)*(30+G18)*100+F18,0)=AA18,1,0))))))</f>
        <v>0</v>
      </c>
      <c r="AC18" s="69" t="str">
        <f>IF(X18&gt;0,"A"&amp;X18,IF(Z18&gt;0,"B"&amp;Z18,IF(AB18&gt;0,"C"&amp;AB18,"")))</f>
        <v/>
      </c>
    </row>
    <row r="19" spans="1:29" ht="20.100000000000001" customHeight="1">
      <c r="A19" s="14" t="s">
        <v>40</v>
      </c>
      <c r="B19" s="71" t="s">
        <v>41</v>
      </c>
      <c r="C19" s="16" t="str">
        <f>IFERROR(INDEX(EJERCICIOS!$D$3:$D$75,MATCH(A19&amp;"|"&amp;B19,EJERCICIOS!$G$3:$G$75,0)),"--")</f>
        <v>polea</v>
      </c>
      <c r="D19" s="17">
        <v>3</v>
      </c>
      <c r="E19" s="18">
        <f>IFERROR(LOOKUP(2,1/(MEDIDAS_Y_PESO!$B$3:$B$3&lt;&gt;""),MEDIDAS_Y_PESO!$B$3:$B$3),"--")</f>
        <v>80</v>
      </c>
      <c r="F19" s="19"/>
      <c r="G19" s="20"/>
      <c r="H19" s="21"/>
      <c r="I19" s="19"/>
      <c r="J19" s="20"/>
      <c r="K19" s="21"/>
      <c r="L19" s="19"/>
      <c r="M19" s="20"/>
      <c r="N19" s="21"/>
      <c r="O19" s="19"/>
      <c r="P19" s="20"/>
      <c r="Q19" s="21"/>
      <c r="R19" s="19"/>
      <c r="S19" s="20"/>
      <c r="T19" s="21"/>
      <c r="U19" s="22" t="str">
        <f>IFERROR(IF(IF(X19&gt;0,X19,IF(Z19&gt;0,Z19,IF(AB19&gt;0,AB19,0)))=0,"--",ROUND(CHOOSE(IF(X19&gt;0,X19,IF(Z19&gt;0,Z19,IF(AB19&gt;0,AB19,0))),IF(C19="peso_corporal",IF(ISNUMBER(E19),E19,0)+F19,F19)*(1+G19/30),IF(C19="peso_corporal",IF(ISNUMBER(E19),E19,0)+I19,I19)*(1+J19/30),IF(C19="peso_corporal",IF(ISNUMBER(E19),E19,0)+L19,L19)*(1+M19/30),IF(C19="peso_corporal",IF(ISNUMBER(E19),E19,0)+O19,O19)*(1+P19/30),IF(C19="peso_corporal",IF(ISNUMBER(E19),E19,0)+R19,R19)*(1+S19/30)),1)),"--")</f>
        <v>--</v>
      </c>
      <c r="V19" s="23" t="str">
        <f>IF(SUGERENCIAS!N8="SIN","Sin datos anteriores",IF(SUGERENCIAS!N8="SUBIR_F","^ SUBIR FUERTE | Kg:"&amp;ROUND(SUGERENCIAS!K8,1)&amp;" R:"&amp;ROUND(SUGERENCIAS!L8,0)&amp;" RIR:"&amp;ROUND(SUGERENCIAS!M8,0),IF(SUGERENCIAS!N8="SUBIR_E","^ SUBIR (Est.) | Kg:"&amp;ROUND(SUGERENCIAS!K8,1)&amp;" R:"&amp;ROUND(SUGERENCIAS!L8,0)&amp;" RIR:"&amp;ROUND(SUGERENCIAS!M8,0),IF(SUGERENCIAS!N8="SUBIR","^ SUBIR | Kg:"&amp;ROUND(SUGERENCIAS!K8,1)&amp;" R:"&amp;ROUND(SUGERENCIAS!L8,0)&amp;" RIR:"&amp;ROUND(SUGERENCIAS!M8,0),IF(SUGERENCIAS!N8="BAJAR","v BAJAR | Kg:"&amp;ROUND(SUGERENCIAS!K8,1)&amp;" R:"&amp;ROUND(SUGERENCIAS!L8,0)&amp;" RIR:"&amp;ROUND(SUGERENCIAS!M8,0),"= MANT | Kg:"&amp;ROUND(SUGERENCIAS!K8,1)&amp;" R:"&amp;ROUND(SUGERENCIAS!L8,0)&amp;" RIR:"&amp;ROUND(SUGERENCIAS!M8,0))))))</f>
        <v>Sin datos anteriores</v>
      </c>
      <c r="W19" s="69">
        <f>MAX(IF((G19&gt;0)*(IF(H19="",-1,H19)&gt;=1)*(IF(H19="",-1,H19)&lt;=3),IF(C19="peso_corporal",IF(ISNUMBER(E19),E19,0)+F19,F19)*G19*1000+F19,0),IF((J19&gt;0)*(IF(K19="",-1,K19)&gt;=1)*(IF(K19="",-1,K19)&lt;=3),IF(C19="peso_corporal",IF(ISNUMBER(E19),E19,0)+I19,I19)*J19*1000+I19,0),IF((M19&gt;0)*(IF(N19="",-1,N19)&gt;=1)*(IF(N19="",-1,N19)&lt;=3),IF(C19="peso_corporal",IF(ISNUMBER(E19),E19,0)+L19,L19)*M19*1000+L19,0),IF((P19&gt;0)*(IF(Q19="",-1,Q19)&gt;=1)*(IF(Q19="",-1,Q19)&lt;=3),IF(C19="peso_corporal",IF(ISNUMBER(E19),E19,0)+O19,O19)*P19*1000+O19,0),IF((S19&gt;0)*(IF(T19="",-1,T19)&gt;=1)*(IF(T19="",-1,T19)&lt;=3),IF(C19="peso_corporal",IF(ISNUMBER(E19),E19,0)+R19,R19)*S19*1000+R19,0))</f>
        <v>0</v>
      </c>
      <c r="X19" s="69">
        <f>IF(W19=0,0,IF(IF((S19&gt;0)*(IF(T19="",-1,T19)&gt;=1)*(IF(T19="",-1,T19)&lt;=3),IF(C19="peso_corporal",IF(ISNUMBER(E19),E19,0)+R19,R19)*S19*1000+R19,0)=W19,5,IF(IF((P19&gt;0)*(IF(Q19="",-1,Q19)&gt;=1)*(IF(Q19="",-1,Q19)&lt;=3),IF(C19="peso_corporal",IF(ISNUMBER(E19),E19,0)+O19,O19)*P19*1000+O19,0)=W19,4,IF(IF((M19&gt;0)*(IF(N19="",-1,N19)&gt;=1)*(IF(N19="",-1,N19)&lt;=3),IF(C19="peso_corporal",IF(ISNUMBER(E19),E19,0)+L19,L19)*M19*1000+L19,0)=W19,3,IF(IF((J19&gt;0)*(IF(K19="",-1,K19)&gt;=1)*(IF(K19="",-1,K19)&lt;=3),IF(C19="peso_corporal",IF(ISNUMBER(E19),E19,0)+I19,I19)*J19*1000+I19,0)=W19,2,IF(IF((G19&gt;0)*(IF(H19="",-1,H19)&gt;=1)*(IF(H19="",-1,H19)&lt;=3),IF(C19="peso_corporal",IF(ISNUMBER(E19),E19,0)+F19,F19)*G19*1000+F19,0)=W19,1,0))))))</f>
        <v>0</v>
      </c>
      <c r="Y19" s="69">
        <f>MAX(IF((G19&gt;0)*(IF(H19="",-1,H19)=0)*(1-(IF(H19="",-1,H19)&gt;=1)*(IF(H19="",-1,H19)&lt;=3)),IF(C19="peso_corporal",IF(ISNUMBER(E19),E19,0)+F19,F19)*G19*1000+F19,0),IF((J19&gt;0)*(IF(K19="",-1,K19)=0)*(1-(IF(K19="",-1,K19)&gt;=1)*(IF(K19="",-1,K19)&lt;=3)),IF(C19="peso_corporal",IF(ISNUMBER(E19),E19,0)+I19,I19)*J19*1000+I19,0),IF((M19&gt;0)*(IF(N19="",-1,N19)=0)*(1-(IF(N19="",-1,N19)&gt;=1)*(IF(N19="",-1,N19)&lt;=3)),IF(C19="peso_corporal",IF(ISNUMBER(E19),E19,0)+L19,L19)*M19*1000+L19,0),IF((P19&gt;0)*(IF(Q19="",-1,Q19)=0)*(1-(IF(Q19="",-1,Q19)&gt;=1)*(IF(Q19="",-1,Q19)&lt;=3)),IF(C19="peso_corporal",IF(ISNUMBER(E19),E19,0)+O19,O19)*P19*1000+O19,0),IF((S19&gt;0)*(IF(T19="",-1,T19)=0)*(1-(IF(T19="",-1,T19)&gt;=1)*(IF(T19="",-1,T19)&lt;=3)),IF(C19="peso_corporal",IF(ISNUMBER(E19),E19,0)+R19,R19)*S19*1000+R19,0))</f>
        <v>0</v>
      </c>
      <c r="Z19" s="69">
        <f>IF(Y19=0,0,IF(IF((S19&gt;0)*(IF(T19="",-1,T19)=0)*(1-(IF(T19="",-1,T19)&gt;=1)*(IF(T19="",-1,T19)&lt;=3)),IF(C19="peso_corporal",IF(ISNUMBER(E19),E19,0)+R19,R19)*S19*1000+R19,0)=Y19,5,IF(IF((P19&gt;0)*(IF(Q19="",-1,Q19)=0)*(1-(IF(Q19="",-1,Q19)&gt;=1)*(IF(Q19="",-1,Q19)&lt;=3)),IF(C19="peso_corporal",IF(ISNUMBER(E19),E19,0)+O19,O19)*P19*1000+O19,0)=Y19,4,IF(IF((M19&gt;0)*(IF(N19="",-1,N19)=0)*(1-(IF(N19="",-1,N19)&gt;=1)*(IF(N19="",-1,N19)&lt;=3)),IF(C19="peso_corporal",IF(ISNUMBER(E19),E19,0)+L19,L19)*M19*1000+L19,0)=Y19,3,IF(IF((J19&gt;0)*(IF(K19="",-1,K19)=0)*(1-(IF(K19="",-1,K19)&gt;=1)*(IF(K19="",-1,K19)&lt;=3)),IF(C19="peso_corporal",IF(ISNUMBER(E19),E19,0)+I19,I19)*J19*1000+I19,0)=Y19,2,IF(IF((G19&gt;0)*(IF(H19="",-1,H19)=0)*(1-(IF(H19="",-1,H19)&gt;=1)*(IF(H19="",-1,H19)&lt;=3)),IF(C19="peso_corporal",IF(ISNUMBER(E19),E19,0)+F19,F19)*G19*1000+F19,0)=Y19,1,0))))))</f>
        <v>0</v>
      </c>
      <c r="AA19" s="69">
        <f>MAX(IF((G19&gt;=6)*(1-(IF(H19="",-1,H19)&gt;=1)*(IF(H19="",-1,H19)&lt;=3))*(1-(IF(H19="",-1,H19)=0)),IF(C19="peso_corporal",IF(ISNUMBER(E19),E19,0)+F19,F19)*(30+G19)*100+F19,0),IF((J19&gt;=6)*(1-(IF(K19="",-1,K19)&gt;=1)*(IF(K19="",-1,K19)&lt;=3))*(1-(IF(K19="",-1,K19)=0)),IF(C19="peso_corporal",IF(ISNUMBER(E19),E19,0)+I19,I19)*(30+J19)*100+I19,0),IF((M19&gt;=6)*(1-(IF(N19="",-1,N19)&gt;=1)*(IF(N19="",-1,N19)&lt;=3))*(1-(IF(N19="",-1,N19)=0)),IF(C19="peso_corporal",IF(ISNUMBER(E19),E19,0)+L19,L19)*(30+M19)*100+L19,0),IF((P19&gt;=6)*(1-(IF(Q19="",-1,Q19)&gt;=1)*(IF(Q19="",-1,Q19)&lt;=3))*(1-(IF(Q19="",-1,Q19)=0)),IF(C19="peso_corporal",IF(ISNUMBER(E19),E19,0)+O19,O19)*(30+P19)*100+O19,0),IF((S19&gt;=6)*(1-(IF(T19="",-1,T19)&gt;=1)*(IF(T19="",-1,T19)&lt;=3))*(1-(IF(T19="",-1,T19)=0)),IF(C19="peso_corporal",IF(ISNUMBER(E19),E19,0)+R19,R19)*(30+S19)*100+R19,0))</f>
        <v>0</v>
      </c>
      <c r="AB19" s="69">
        <f>IF(AA19=0,0,IF(IF((S19&gt;=6)*(1-(IF(T19="",-1,T19)&gt;=1)*(IF(T19="",-1,T19)&lt;=3))*(1-(IF(T19="",-1,T19)=0)),IF(C19="peso_corporal",IF(ISNUMBER(E19),E19,0)+R19,R19)*(30+S19)*100+R19,0)=AA19,5,IF(IF((P19&gt;=6)*(1-(IF(Q19="",-1,Q19)&gt;=1)*(IF(Q19="",-1,Q19)&lt;=3))*(1-(IF(Q19="",-1,Q19)=0)),IF(C19="peso_corporal",IF(ISNUMBER(E19),E19,0)+O19,O19)*(30+P19)*100+O19,0)=AA19,4,IF(IF((M19&gt;=6)*(1-(IF(N19="",-1,N19)&gt;=1)*(IF(N19="",-1,N19)&lt;=3))*(1-(IF(N19="",-1,N19)=0)),IF(C19="peso_corporal",IF(ISNUMBER(E19),E19,0)+L19,L19)*(30+M19)*100+L19,0)=AA19,3,IF(IF((J19&gt;=6)*(1-(IF(K19="",-1,K19)&gt;=1)*(IF(K19="",-1,K19)&lt;=3))*(1-(IF(K19="",-1,K19)=0)),IF(C19="peso_corporal",IF(ISNUMBER(E19),E19,0)+I19,I19)*(30+J19)*100+I19,0)=AA19,2,IF(IF((G19&gt;=6)*(1-(IF(H19="",-1,H19)&gt;=1)*(IF(H19="",-1,H19)&lt;=3))*(1-(IF(H19="",-1,H19)=0)),IF(C19="peso_corporal",IF(ISNUMBER(E19),E19,0)+F19,F19)*(30+G19)*100+F19,0)=AA19,1,0))))))</f>
        <v>0</v>
      </c>
      <c r="AC19" s="69" t="str">
        <f>IF(X19&gt;0,"A"&amp;X19,IF(Z19&gt;0,"B"&amp;Z19,IF(AB19&gt;0,"C"&amp;AB19,"")))</f>
        <v/>
      </c>
    </row>
    <row r="20" spans="1:29" ht="15" customHeight="1">
      <c r="A20" s="81" t="s">
        <v>42</v>
      </c>
      <c r="B20" s="73"/>
      <c r="C20" s="73"/>
      <c r="D20" s="73"/>
      <c r="E20" s="73"/>
      <c r="F20" s="73"/>
      <c r="G20" s="73"/>
      <c r="H20" s="73"/>
      <c r="I20" s="73"/>
      <c r="J20" s="73"/>
      <c r="K20" s="73"/>
      <c r="L20" s="73"/>
      <c r="M20" s="73"/>
      <c r="N20" s="73"/>
      <c r="O20" s="73"/>
      <c r="P20" s="73"/>
      <c r="Q20" s="73"/>
      <c r="R20" s="73"/>
      <c r="S20" s="73"/>
      <c r="T20" s="73"/>
      <c r="U20" s="73"/>
      <c r="V20" s="73"/>
      <c r="W20" s="69"/>
      <c r="X20" s="69"/>
      <c r="Y20" s="69"/>
      <c r="Z20" s="69"/>
      <c r="AA20" s="69"/>
      <c r="AB20" s="69"/>
      <c r="AC20" s="69"/>
    </row>
    <row r="21" spans="1:29" ht="20.100000000000001" customHeight="1">
      <c r="A21" s="14" t="s">
        <v>43</v>
      </c>
      <c r="B21" s="15" t="s">
        <v>44</v>
      </c>
      <c r="C21" s="16" t="str">
        <f>IFERROR(INDEX(EJERCICIOS!$D$3:$D$75,MATCH(A21&amp;"|"&amp;B21,EJERCICIOS!$G$3:$G$75,0)),"--")</f>
        <v>polea</v>
      </c>
      <c r="D21" s="17">
        <v>3</v>
      </c>
      <c r="E21" s="18">
        <f>IFERROR(LOOKUP(2,1/(MEDIDAS_Y_PESO!$B$3:$B$3&lt;&gt;""),MEDIDAS_Y_PESO!$B$3:$B$3),"--")</f>
        <v>80</v>
      </c>
      <c r="F21" s="19"/>
      <c r="G21" s="20"/>
      <c r="H21" s="21"/>
      <c r="I21" s="19"/>
      <c r="J21" s="20"/>
      <c r="K21" s="21"/>
      <c r="L21" s="19"/>
      <c r="M21" s="20"/>
      <c r="N21" s="21"/>
      <c r="O21" s="19"/>
      <c r="P21" s="20"/>
      <c r="Q21" s="21"/>
      <c r="R21" s="19"/>
      <c r="S21" s="20"/>
      <c r="T21" s="21"/>
      <c r="U21" s="22" t="str">
        <f>IFERROR(IF(IF(X21&gt;0,X21,IF(Z21&gt;0,Z21,IF(AB21&gt;0,AB21,0)))=0,"--",ROUND(CHOOSE(IF(X21&gt;0,X21,IF(Z21&gt;0,Z21,IF(AB21&gt;0,AB21,0))),IF(C21="peso_corporal",IF(ISNUMBER(E21),E21,0)+F21,F21)*(1+G21/30),IF(C21="peso_corporal",IF(ISNUMBER(E21),E21,0)+I21,I21)*(1+J21/30),IF(C21="peso_corporal",IF(ISNUMBER(E21),E21,0)+L21,L21)*(1+M21/30),IF(C21="peso_corporal",IF(ISNUMBER(E21),E21,0)+O21,O21)*(1+P21/30),IF(C21="peso_corporal",IF(ISNUMBER(E21),E21,0)+R21,R21)*(1+S21/30)),1)),"--")</f>
        <v>--</v>
      </c>
      <c r="V21" s="23" t="str">
        <f>IF(SUGERENCIAS!N9="SIN","Sin datos anteriores",IF(SUGERENCIAS!N9="SUBIR_F","^ SUBIR FUERTE | Kg:"&amp;ROUND(SUGERENCIAS!K9,1)&amp;" R:"&amp;ROUND(SUGERENCIAS!L9,0)&amp;" RIR:"&amp;ROUND(SUGERENCIAS!M9,0),IF(SUGERENCIAS!N9="SUBIR_E","^ SUBIR (Est.) | Kg:"&amp;ROUND(SUGERENCIAS!K9,1)&amp;" R:"&amp;ROUND(SUGERENCIAS!L9,0)&amp;" RIR:"&amp;ROUND(SUGERENCIAS!M9,0),IF(SUGERENCIAS!N9="SUBIR","^ SUBIR | Kg:"&amp;ROUND(SUGERENCIAS!K9,1)&amp;" R:"&amp;ROUND(SUGERENCIAS!L9,0)&amp;" RIR:"&amp;ROUND(SUGERENCIAS!M9,0),IF(SUGERENCIAS!N9="BAJAR","v BAJAR | Kg:"&amp;ROUND(SUGERENCIAS!K9,1)&amp;" R:"&amp;ROUND(SUGERENCIAS!L9,0)&amp;" RIR:"&amp;ROUND(SUGERENCIAS!M9,0),"= MANT | Kg:"&amp;ROUND(SUGERENCIAS!K9,1)&amp;" R:"&amp;ROUND(SUGERENCIAS!L9,0)&amp;" RIR:"&amp;ROUND(SUGERENCIAS!M9,0))))))</f>
        <v>Sin datos anteriores</v>
      </c>
      <c r="W21" s="69">
        <f>MAX(IF((G21&gt;0)*(IF(H21="",-1,H21)&gt;=1)*(IF(H21="",-1,H21)&lt;=3),IF(C21="peso_corporal",IF(ISNUMBER(E21),E21,0)+F21,F21)*G21*1000+F21,0),IF((J21&gt;0)*(IF(K21="",-1,K21)&gt;=1)*(IF(K21="",-1,K21)&lt;=3),IF(C21="peso_corporal",IF(ISNUMBER(E21),E21,0)+I21,I21)*J21*1000+I21,0),IF((M21&gt;0)*(IF(N21="",-1,N21)&gt;=1)*(IF(N21="",-1,N21)&lt;=3),IF(C21="peso_corporal",IF(ISNUMBER(E21),E21,0)+L21,L21)*M21*1000+L21,0),IF((P21&gt;0)*(IF(Q21="",-1,Q21)&gt;=1)*(IF(Q21="",-1,Q21)&lt;=3),IF(C21="peso_corporal",IF(ISNUMBER(E21),E21,0)+O21,O21)*P21*1000+O21,0),IF((S21&gt;0)*(IF(T21="",-1,T21)&gt;=1)*(IF(T21="",-1,T21)&lt;=3),IF(C21="peso_corporal",IF(ISNUMBER(E21),E21,0)+R21,R21)*S21*1000+R21,0))</f>
        <v>0</v>
      </c>
      <c r="X21" s="69">
        <f>IF(W21=0,0,IF(IF((S21&gt;0)*(IF(T21="",-1,T21)&gt;=1)*(IF(T21="",-1,T21)&lt;=3),IF(C21="peso_corporal",IF(ISNUMBER(E21),E21,0)+R21,R21)*S21*1000+R21,0)=W21,5,IF(IF((P21&gt;0)*(IF(Q21="",-1,Q21)&gt;=1)*(IF(Q21="",-1,Q21)&lt;=3),IF(C21="peso_corporal",IF(ISNUMBER(E21),E21,0)+O21,O21)*P21*1000+O21,0)=W21,4,IF(IF((M21&gt;0)*(IF(N21="",-1,N21)&gt;=1)*(IF(N21="",-1,N21)&lt;=3),IF(C21="peso_corporal",IF(ISNUMBER(E21),E21,0)+L21,L21)*M21*1000+L21,0)=W21,3,IF(IF((J21&gt;0)*(IF(K21="",-1,K21)&gt;=1)*(IF(K21="",-1,K21)&lt;=3),IF(C21="peso_corporal",IF(ISNUMBER(E21),E21,0)+I21,I21)*J21*1000+I21,0)=W21,2,IF(IF((G21&gt;0)*(IF(H21="",-1,H21)&gt;=1)*(IF(H21="",-1,H21)&lt;=3),IF(C21="peso_corporal",IF(ISNUMBER(E21),E21,0)+F21,F21)*G21*1000+F21,0)=W21,1,0))))))</f>
        <v>0</v>
      </c>
      <c r="Y21" s="69">
        <f>MAX(IF((G21&gt;0)*(IF(H21="",-1,H21)=0)*(1-(IF(H21="",-1,H21)&gt;=1)*(IF(H21="",-1,H21)&lt;=3)),IF(C21="peso_corporal",IF(ISNUMBER(E21),E21,0)+F21,F21)*G21*1000+F21,0),IF((J21&gt;0)*(IF(K21="",-1,K21)=0)*(1-(IF(K21="",-1,K21)&gt;=1)*(IF(K21="",-1,K21)&lt;=3)),IF(C21="peso_corporal",IF(ISNUMBER(E21),E21,0)+I21,I21)*J21*1000+I21,0),IF((M21&gt;0)*(IF(N21="",-1,N21)=0)*(1-(IF(N21="",-1,N21)&gt;=1)*(IF(N21="",-1,N21)&lt;=3)),IF(C21="peso_corporal",IF(ISNUMBER(E21),E21,0)+L21,L21)*M21*1000+L21,0),IF((P21&gt;0)*(IF(Q21="",-1,Q21)=0)*(1-(IF(Q21="",-1,Q21)&gt;=1)*(IF(Q21="",-1,Q21)&lt;=3)),IF(C21="peso_corporal",IF(ISNUMBER(E21),E21,0)+O21,O21)*P21*1000+O21,0),IF((S21&gt;0)*(IF(T21="",-1,T21)=0)*(1-(IF(T21="",-1,T21)&gt;=1)*(IF(T21="",-1,T21)&lt;=3)),IF(C21="peso_corporal",IF(ISNUMBER(E21),E21,0)+R21,R21)*S21*1000+R21,0))</f>
        <v>0</v>
      </c>
      <c r="Z21" s="69">
        <f>IF(Y21=0,0,IF(IF((S21&gt;0)*(IF(T21="",-1,T21)=0)*(1-(IF(T21="",-1,T21)&gt;=1)*(IF(T21="",-1,T21)&lt;=3)),IF(C21="peso_corporal",IF(ISNUMBER(E21),E21,0)+R21,R21)*S21*1000+R21,0)=Y21,5,IF(IF((P21&gt;0)*(IF(Q21="",-1,Q21)=0)*(1-(IF(Q21="",-1,Q21)&gt;=1)*(IF(Q21="",-1,Q21)&lt;=3)),IF(C21="peso_corporal",IF(ISNUMBER(E21),E21,0)+O21,O21)*P21*1000+O21,0)=Y21,4,IF(IF((M21&gt;0)*(IF(N21="",-1,N21)=0)*(1-(IF(N21="",-1,N21)&gt;=1)*(IF(N21="",-1,N21)&lt;=3)),IF(C21="peso_corporal",IF(ISNUMBER(E21),E21,0)+L21,L21)*M21*1000+L21,0)=Y21,3,IF(IF((J21&gt;0)*(IF(K21="",-1,K21)=0)*(1-(IF(K21="",-1,K21)&gt;=1)*(IF(K21="",-1,K21)&lt;=3)),IF(C21="peso_corporal",IF(ISNUMBER(E21),E21,0)+I21,I21)*J21*1000+I21,0)=Y21,2,IF(IF((G21&gt;0)*(IF(H21="",-1,H21)=0)*(1-(IF(H21="",-1,H21)&gt;=1)*(IF(H21="",-1,H21)&lt;=3)),IF(C21="peso_corporal",IF(ISNUMBER(E21),E21,0)+F21,F21)*G21*1000+F21,0)=Y21,1,0))))))</f>
        <v>0</v>
      </c>
      <c r="AA21" s="69">
        <f>MAX(IF((G21&gt;=6)*(1-(IF(H21="",-1,H21)&gt;=1)*(IF(H21="",-1,H21)&lt;=3))*(1-(IF(H21="",-1,H21)=0)),IF(C21="peso_corporal",IF(ISNUMBER(E21),E21,0)+F21,F21)*(30+G21)*100+F21,0),IF((J21&gt;=6)*(1-(IF(K21="",-1,K21)&gt;=1)*(IF(K21="",-1,K21)&lt;=3))*(1-(IF(K21="",-1,K21)=0)),IF(C21="peso_corporal",IF(ISNUMBER(E21),E21,0)+I21,I21)*(30+J21)*100+I21,0),IF((M21&gt;=6)*(1-(IF(N21="",-1,N21)&gt;=1)*(IF(N21="",-1,N21)&lt;=3))*(1-(IF(N21="",-1,N21)=0)),IF(C21="peso_corporal",IF(ISNUMBER(E21),E21,0)+L21,L21)*(30+M21)*100+L21,0),IF((P21&gt;=6)*(1-(IF(Q21="",-1,Q21)&gt;=1)*(IF(Q21="",-1,Q21)&lt;=3))*(1-(IF(Q21="",-1,Q21)=0)),IF(C21="peso_corporal",IF(ISNUMBER(E21),E21,0)+O21,O21)*(30+P21)*100+O21,0),IF((S21&gt;=6)*(1-(IF(T21="",-1,T21)&gt;=1)*(IF(T21="",-1,T21)&lt;=3))*(1-(IF(T21="",-1,T21)=0)),IF(C21="peso_corporal",IF(ISNUMBER(E21),E21,0)+R21,R21)*(30+S21)*100+R21,0))</f>
        <v>0</v>
      </c>
      <c r="AB21" s="69">
        <f>IF(AA21=0,0,IF(IF((S21&gt;=6)*(1-(IF(T21="",-1,T21)&gt;=1)*(IF(T21="",-1,T21)&lt;=3))*(1-(IF(T21="",-1,T21)=0)),IF(C21="peso_corporal",IF(ISNUMBER(E21),E21,0)+R21,R21)*(30+S21)*100+R21,0)=AA21,5,IF(IF((P21&gt;=6)*(1-(IF(Q21="",-1,Q21)&gt;=1)*(IF(Q21="",-1,Q21)&lt;=3))*(1-(IF(Q21="",-1,Q21)=0)),IF(C21="peso_corporal",IF(ISNUMBER(E21),E21,0)+O21,O21)*(30+P21)*100+O21,0)=AA21,4,IF(IF((M21&gt;=6)*(1-(IF(N21="",-1,N21)&gt;=1)*(IF(N21="",-1,N21)&lt;=3))*(1-(IF(N21="",-1,N21)=0)),IF(C21="peso_corporal",IF(ISNUMBER(E21),E21,0)+L21,L21)*(30+M21)*100+L21,0)=AA21,3,IF(IF((J21&gt;=6)*(1-(IF(K21="",-1,K21)&gt;=1)*(IF(K21="",-1,K21)&lt;=3))*(1-(IF(K21="",-1,K21)=0)),IF(C21="peso_corporal",IF(ISNUMBER(E21),E21,0)+I21,I21)*(30+J21)*100+I21,0)=AA21,2,IF(IF((G21&gt;=6)*(1-(IF(H21="",-1,H21)&gt;=1)*(IF(H21="",-1,H21)&lt;=3))*(1-(IF(H21="",-1,H21)=0)),IF(C21="peso_corporal",IF(ISNUMBER(E21),E21,0)+F21,F21)*(30+G21)*100+F21,0)=AA21,1,0))))))</f>
        <v>0</v>
      </c>
      <c r="AC21" s="69" t="str">
        <f>IF(X21&gt;0,"A"&amp;X21,IF(Z21&gt;0,"B"&amp;Z21,IF(AB21&gt;0,"C"&amp;AB21,"")))</f>
        <v/>
      </c>
    </row>
    <row r="22" spans="1:29" ht="20.100000000000001" customHeight="1">
      <c r="A22" s="14" t="s">
        <v>45</v>
      </c>
      <c r="B22" s="15" t="s">
        <v>46</v>
      </c>
      <c r="C22" s="16" t="str">
        <f>IFERROR(INDEX(EJERCICIOS!$D$3:$D$75,MATCH(A22&amp;"|"&amp;B22,EJERCICIOS!$G$3:$G$75,0)),"--")</f>
        <v>mancuerna</v>
      </c>
      <c r="D22" s="17">
        <v>3</v>
      </c>
      <c r="E22" s="18">
        <f>IFERROR(LOOKUP(2,1/(MEDIDAS_Y_PESO!$B$3:$B$3&lt;&gt;""),MEDIDAS_Y_PESO!$B$3:$B$3),"--")</f>
        <v>80</v>
      </c>
      <c r="F22" s="19"/>
      <c r="G22" s="20"/>
      <c r="H22" s="21"/>
      <c r="I22" s="19"/>
      <c r="J22" s="20"/>
      <c r="K22" s="21"/>
      <c r="L22" s="19"/>
      <c r="M22" s="20"/>
      <c r="N22" s="21"/>
      <c r="O22" s="19"/>
      <c r="P22" s="20"/>
      <c r="Q22" s="21"/>
      <c r="R22" s="19"/>
      <c r="S22" s="20"/>
      <c r="T22" s="21"/>
      <c r="U22" s="22" t="str">
        <f>IFERROR(IF(IF(X22&gt;0,X22,IF(Z22&gt;0,Z22,IF(AB22&gt;0,AB22,0)))=0,"--",ROUND(CHOOSE(IF(X22&gt;0,X22,IF(Z22&gt;0,Z22,IF(AB22&gt;0,AB22,0))),IF(C22="peso_corporal",IF(ISNUMBER(E22),E22,0)+F22,F22)*(1+G22/30),IF(C22="peso_corporal",IF(ISNUMBER(E22),E22,0)+I22,I22)*(1+J22/30),IF(C22="peso_corporal",IF(ISNUMBER(E22),E22,0)+L22,L22)*(1+M22/30),IF(C22="peso_corporal",IF(ISNUMBER(E22),E22,0)+O22,O22)*(1+P22/30),IF(C22="peso_corporal",IF(ISNUMBER(E22),E22,0)+R22,R22)*(1+S22/30)),1)),"--")</f>
        <v>--</v>
      </c>
      <c r="V22" s="23" t="str">
        <f>IF(SUGERENCIAS!N10="SIN","Sin datos anteriores",IF(SUGERENCIAS!N10="SUBIR_F","^ SUBIR FUERTE | Kg:"&amp;ROUND(SUGERENCIAS!K10,1)&amp;" R:"&amp;ROUND(SUGERENCIAS!L10,0)&amp;" RIR:"&amp;ROUND(SUGERENCIAS!M10,0),IF(SUGERENCIAS!N10="SUBIR_E","^ SUBIR (Est.) | Kg:"&amp;ROUND(SUGERENCIAS!K10,1)&amp;" R:"&amp;ROUND(SUGERENCIAS!L10,0)&amp;" RIR:"&amp;ROUND(SUGERENCIAS!M10,0),IF(SUGERENCIAS!N10="SUBIR","^ SUBIR | Kg:"&amp;ROUND(SUGERENCIAS!K10,1)&amp;" R:"&amp;ROUND(SUGERENCIAS!L10,0)&amp;" RIR:"&amp;ROUND(SUGERENCIAS!M10,0),IF(SUGERENCIAS!N10="BAJAR","v BAJAR | Kg:"&amp;ROUND(SUGERENCIAS!K10,1)&amp;" R:"&amp;ROUND(SUGERENCIAS!L10,0)&amp;" RIR:"&amp;ROUND(SUGERENCIAS!M10,0),"= MANT | Kg:"&amp;ROUND(SUGERENCIAS!K10,1)&amp;" R:"&amp;ROUND(SUGERENCIAS!L10,0)&amp;" RIR:"&amp;ROUND(SUGERENCIAS!M10,0))))))</f>
        <v>Sin datos anteriores</v>
      </c>
      <c r="W22" s="69">
        <f>MAX(IF((G22&gt;0)*(IF(H22="",-1,H22)&gt;=1)*(IF(H22="",-1,H22)&lt;=3),IF(C22="peso_corporal",IF(ISNUMBER(E22),E22,0)+F22,F22)*G22*1000+F22,0),IF((J22&gt;0)*(IF(K22="",-1,K22)&gt;=1)*(IF(K22="",-1,K22)&lt;=3),IF(C22="peso_corporal",IF(ISNUMBER(E22),E22,0)+I22,I22)*J22*1000+I22,0),IF((M22&gt;0)*(IF(N22="",-1,N22)&gt;=1)*(IF(N22="",-1,N22)&lt;=3),IF(C22="peso_corporal",IF(ISNUMBER(E22),E22,0)+L22,L22)*M22*1000+L22,0),IF((P22&gt;0)*(IF(Q22="",-1,Q22)&gt;=1)*(IF(Q22="",-1,Q22)&lt;=3),IF(C22="peso_corporal",IF(ISNUMBER(E22),E22,0)+O22,O22)*P22*1000+O22,0),IF((S22&gt;0)*(IF(T22="",-1,T22)&gt;=1)*(IF(T22="",-1,T22)&lt;=3),IF(C22="peso_corporal",IF(ISNUMBER(E22),E22,0)+R22,R22)*S22*1000+R22,0))</f>
        <v>0</v>
      </c>
      <c r="X22" s="69">
        <f>IF(W22=0,0,IF(IF((S22&gt;0)*(IF(T22="",-1,T22)&gt;=1)*(IF(T22="",-1,T22)&lt;=3),IF(C22="peso_corporal",IF(ISNUMBER(E22),E22,0)+R22,R22)*S22*1000+R22,0)=W22,5,IF(IF((P22&gt;0)*(IF(Q22="",-1,Q22)&gt;=1)*(IF(Q22="",-1,Q22)&lt;=3),IF(C22="peso_corporal",IF(ISNUMBER(E22),E22,0)+O22,O22)*P22*1000+O22,0)=W22,4,IF(IF((M22&gt;0)*(IF(N22="",-1,N22)&gt;=1)*(IF(N22="",-1,N22)&lt;=3),IF(C22="peso_corporal",IF(ISNUMBER(E22),E22,0)+L22,L22)*M22*1000+L22,0)=W22,3,IF(IF((J22&gt;0)*(IF(K22="",-1,K22)&gt;=1)*(IF(K22="",-1,K22)&lt;=3),IF(C22="peso_corporal",IF(ISNUMBER(E22),E22,0)+I22,I22)*J22*1000+I22,0)=W22,2,IF(IF((G22&gt;0)*(IF(H22="",-1,H22)&gt;=1)*(IF(H22="",-1,H22)&lt;=3),IF(C22="peso_corporal",IF(ISNUMBER(E22),E22,0)+F22,F22)*G22*1000+F22,0)=W22,1,0))))))</f>
        <v>0</v>
      </c>
      <c r="Y22" s="69">
        <f>MAX(IF((G22&gt;0)*(IF(H22="",-1,H22)=0)*(1-(IF(H22="",-1,H22)&gt;=1)*(IF(H22="",-1,H22)&lt;=3)),IF(C22="peso_corporal",IF(ISNUMBER(E22),E22,0)+F22,F22)*G22*1000+F22,0),IF((J22&gt;0)*(IF(K22="",-1,K22)=0)*(1-(IF(K22="",-1,K22)&gt;=1)*(IF(K22="",-1,K22)&lt;=3)),IF(C22="peso_corporal",IF(ISNUMBER(E22),E22,0)+I22,I22)*J22*1000+I22,0),IF((M22&gt;0)*(IF(N22="",-1,N22)=0)*(1-(IF(N22="",-1,N22)&gt;=1)*(IF(N22="",-1,N22)&lt;=3)),IF(C22="peso_corporal",IF(ISNUMBER(E22),E22,0)+L22,L22)*M22*1000+L22,0),IF((P22&gt;0)*(IF(Q22="",-1,Q22)=0)*(1-(IF(Q22="",-1,Q22)&gt;=1)*(IF(Q22="",-1,Q22)&lt;=3)),IF(C22="peso_corporal",IF(ISNUMBER(E22),E22,0)+O22,O22)*P22*1000+O22,0),IF((S22&gt;0)*(IF(T22="",-1,T22)=0)*(1-(IF(T22="",-1,T22)&gt;=1)*(IF(T22="",-1,T22)&lt;=3)),IF(C22="peso_corporal",IF(ISNUMBER(E22),E22,0)+R22,R22)*S22*1000+R22,0))</f>
        <v>0</v>
      </c>
      <c r="Z22" s="69">
        <f>IF(Y22=0,0,IF(IF((S22&gt;0)*(IF(T22="",-1,T22)=0)*(1-(IF(T22="",-1,T22)&gt;=1)*(IF(T22="",-1,T22)&lt;=3)),IF(C22="peso_corporal",IF(ISNUMBER(E22),E22,0)+R22,R22)*S22*1000+R22,0)=Y22,5,IF(IF((P22&gt;0)*(IF(Q22="",-1,Q22)=0)*(1-(IF(Q22="",-1,Q22)&gt;=1)*(IF(Q22="",-1,Q22)&lt;=3)),IF(C22="peso_corporal",IF(ISNUMBER(E22),E22,0)+O22,O22)*P22*1000+O22,0)=Y22,4,IF(IF((M22&gt;0)*(IF(N22="",-1,N22)=0)*(1-(IF(N22="",-1,N22)&gt;=1)*(IF(N22="",-1,N22)&lt;=3)),IF(C22="peso_corporal",IF(ISNUMBER(E22),E22,0)+L22,L22)*M22*1000+L22,0)=Y22,3,IF(IF((J22&gt;0)*(IF(K22="",-1,K22)=0)*(1-(IF(K22="",-1,K22)&gt;=1)*(IF(K22="",-1,K22)&lt;=3)),IF(C22="peso_corporal",IF(ISNUMBER(E22),E22,0)+I22,I22)*J22*1000+I22,0)=Y22,2,IF(IF((G22&gt;0)*(IF(H22="",-1,H22)=0)*(1-(IF(H22="",-1,H22)&gt;=1)*(IF(H22="",-1,H22)&lt;=3)),IF(C22="peso_corporal",IF(ISNUMBER(E22),E22,0)+F22,F22)*G22*1000+F22,0)=Y22,1,0))))))</f>
        <v>0</v>
      </c>
      <c r="AA22" s="69">
        <f>MAX(IF((G22&gt;=6)*(1-(IF(H22="",-1,H22)&gt;=1)*(IF(H22="",-1,H22)&lt;=3))*(1-(IF(H22="",-1,H22)=0)),IF(C22="peso_corporal",IF(ISNUMBER(E22),E22,0)+F22,F22)*(30+G22)*100+F22,0),IF((J22&gt;=6)*(1-(IF(K22="",-1,K22)&gt;=1)*(IF(K22="",-1,K22)&lt;=3))*(1-(IF(K22="",-1,K22)=0)),IF(C22="peso_corporal",IF(ISNUMBER(E22),E22,0)+I22,I22)*(30+J22)*100+I22,0),IF((M22&gt;=6)*(1-(IF(N22="",-1,N22)&gt;=1)*(IF(N22="",-1,N22)&lt;=3))*(1-(IF(N22="",-1,N22)=0)),IF(C22="peso_corporal",IF(ISNUMBER(E22),E22,0)+L22,L22)*(30+M22)*100+L22,0),IF((P22&gt;=6)*(1-(IF(Q22="",-1,Q22)&gt;=1)*(IF(Q22="",-1,Q22)&lt;=3))*(1-(IF(Q22="",-1,Q22)=0)),IF(C22="peso_corporal",IF(ISNUMBER(E22),E22,0)+O22,O22)*(30+P22)*100+O22,0),IF((S22&gt;=6)*(1-(IF(T22="",-1,T22)&gt;=1)*(IF(T22="",-1,T22)&lt;=3))*(1-(IF(T22="",-1,T22)=0)),IF(C22="peso_corporal",IF(ISNUMBER(E22),E22,0)+R22,R22)*(30+S22)*100+R22,0))</f>
        <v>0</v>
      </c>
      <c r="AB22" s="69">
        <f>IF(AA22=0,0,IF(IF((S22&gt;=6)*(1-(IF(T22="",-1,T22)&gt;=1)*(IF(T22="",-1,T22)&lt;=3))*(1-(IF(T22="",-1,T22)=0)),IF(C22="peso_corporal",IF(ISNUMBER(E22),E22,0)+R22,R22)*(30+S22)*100+R22,0)=AA22,5,IF(IF((P22&gt;=6)*(1-(IF(Q22="",-1,Q22)&gt;=1)*(IF(Q22="",-1,Q22)&lt;=3))*(1-(IF(Q22="",-1,Q22)=0)),IF(C22="peso_corporal",IF(ISNUMBER(E22),E22,0)+O22,O22)*(30+P22)*100+O22,0)=AA22,4,IF(IF((M22&gt;=6)*(1-(IF(N22="",-1,N22)&gt;=1)*(IF(N22="",-1,N22)&lt;=3))*(1-(IF(N22="",-1,N22)=0)),IF(C22="peso_corporal",IF(ISNUMBER(E22),E22,0)+L22,L22)*(30+M22)*100+L22,0)=AA22,3,IF(IF((J22&gt;=6)*(1-(IF(K22="",-1,K22)&gt;=1)*(IF(K22="",-1,K22)&lt;=3))*(1-(IF(K22="",-1,K22)=0)),IF(C22="peso_corporal",IF(ISNUMBER(E22),E22,0)+I22,I22)*(30+J22)*100+I22,0)=AA22,2,IF(IF((G22&gt;=6)*(1-(IF(H22="",-1,H22)&gt;=1)*(IF(H22="",-1,H22)&lt;=3))*(1-(IF(H22="",-1,H22)=0)),IF(C22="peso_corporal",IF(ISNUMBER(E22),E22,0)+F22,F22)*(30+G22)*100+F22,0)=AA22,1,0))))))</f>
        <v>0</v>
      </c>
      <c r="AC22" s="69" t="str">
        <f>IF(X22&gt;0,"A"&amp;X22,IF(Z22&gt;0,"B"&amp;Z22,IF(AB22&gt;0,"C"&amp;AB22,"")))</f>
        <v/>
      </c>
    </row>
    <row r="23" spans="1:29" ht="15" customHeight="1">
      <c r="A23" s="82" t="s">
        <v>47</v>
      </c>
      <c r="B23" s="73"/>
      <c r="C23" s="73"/>
      <c r="D23" s="73"/>
      <c r="E23" s="73"/>
      <c r="F23" s="73"/>
      <c r="G23" s="73"/>
      <c r="H23" s="73"/>
      <c r="I23" s="73"/>
      <c r="J23" s="73"/>
      <c r="K23" s="73"/>
      <c r="L23" s="73"/>
      <c r="M23" s="73"/>
      <c r="N23" s="73"/>
      <c r="O23" s="73"/>
      <c r="P23" s="73"/>
      <c r="Q23" s="73"/>
      <c r="R23" s="73"/>
      <c r="S23" s="73"/>
      <c r="T23" s="73"/>
      <c r="U23" s="73"/>
      <c r="V23" s="73"/>
      <c r="W23" s="69"/>
      <c r="X23" s="69"/>
      <c r="Y23" s="69"/>
      <c r="Z23" s="69"/>
      <c r="AA23" s="69"/>
      <c r="AB23" s="69"/>
      <c r="AC23" s="69"/>
    </row>
    <row r="24" spans="1:29" ht="20.100000000000001" customHeight="1">
      <c r="A24" s="14" t="s">
        <v>48</v>
      </c>
      <c r="B24" s="15" t="s">
        <v>49</v>
      </c>
      <c r="C24" s="16" t="str">
        <f>IFERROR(INDEX(EJERCICIOS!$D$3:$D$75,MATCH(A24&amp;"|"&amp;B24,EJERCICIOS!$G$3:$G$75,0)),"--")</f>
        <v>polea</v>
      </c>
      <c r="D24" s="17">
        <v>3</v>
      </c>
      <c r="E24" s="18">
        <f>IFERROR(LOOKUP(2,1/(MEDIDAS_Y_PESO!$B$3:$B$3&lt;&gt;""),MEDIDAS_Y_PESO!$B$3:$B$3),"--")</f>
        <v>80</v>
      </c>
      <c r="F24" s="19"/>
      <c r="G24" s="20"/>
      <c r="H24" s="21"/>
      <c r="I24" s="19"/>
      <c r="J24" s="20"/>
      <c r="K24" s="21"/>
      <c r="L24" s="19"/>
      <c r="M24" s="20"/>
      <c r="N24" s="21"/>
      <c r="O24" s="19"/>
      <c r="P24" s="20"/>
      <c r="Q24" s="21"/>
      <c r="R24" s="19"/>
      <c r="S24" s="20"/>
      <c r="T24" s="21"/>
      <c r="U24" s="22" t="str">
        <f>IFERROR(IF(IF(X24&gt;0,X24,IF(Z24&gt;0,Z24,IF(AB24&gt;0,AB24,0)))=0,"--",ROUND(CHOOSE(IF(X24&gt;0,X24,IF(Z24&gt;0,Z24,IF(AB24&gt;0,AB24,0))),IF(C24="peso_corporal",IF(ISNUMBER(E24),E24,0)+F24,F24)*(1+G24/30),IF(C24="peso_corporal",IF(ISNUMBER(E24),E24,0)+I24,I24)*(1+J24/30),IF(C24="peso_corporal",IF(ISNUMBER(E24),E24,0)+L24,L24)*(1+M24/30),IF(C24="peso_corporal",IF(ISNUMBER(E24),E24,0)+O24,O24)*(1+P24/30),IF(C24="peso_corporal",IF(ISNUMBER(E24),E24,0)+R24,R24)*(1+S24/30)),1)),"--")</f>
        <v>--</v>
      </c>
      <c r="V24" s="23" t="str">
        <f>IF(SUGERENCIAS!N11="SIN","Sin datos anteriores",IF(SUGERENCIAS!N11="SUBIR_F","^ SUBIR FUERTE | Kg:"&amp;ROUND(SUGERENCIAS!K11,1)&amp;" R:"&amp;ROUND(SUGERENCIAS!L11,0)&amp;" RIR:"&amp;ROUND(SUGERENCIAS!M11,0),IF(SUGERENCIAS!N11="SUBIR_E","^ SUBIR (Est.) | Kg:"&amp;ROUND(SUGERENCIAS!K11,1)&amp;" R:"&amp;ROUND(SUGERENCIAS!L11,0)&amp;" RIR:"&amp;ROUND(SUGERENCIAS!M11,0),IF(SUGERENCIAS!N11="SUBIR","^ SUBIR | Kg:"&amp;ROUND(SUGERENCIAS!K11,1)&amp;" R:"&amp;ROUND(SUGERENCIAS!L11,0)&amp;" RIR:"&amp;ROUND(SUGERENCIAS!M11,0),IF(SUGERENCIAS!N11="BAJAR","v BAJAR | Kg:"&amp;ROUND(SUGERENCIAS!K11,1)&amp;" R:"&amp;ROUND(SUGERENCIAS!L11,0)&amp;" RIR:"&amp;ROUND(SUGERENCIAS!M11,0),"= MANT | Kg:"&amp;ROUND(SUGERENCIAS!K11,1)&amp;" R:"&amp;ROUND(SUGERENCIAS!L11,0)&amp;" RIR:"&amp;ROUND(SUGERENCIAS!M11,0))))))</f>
        <v>Sin datos anteriores</v>
      </c>
      <c r="W24" s="69">
        <f>MAX(IF((G24&gt;0)*(IF(H24="",-1,H24)&gt;=1)*(IF(H24="",-1,H24)&lt;=3),IF(C24="peso_corporal",IF(ISNUMBER(E24),E24,0)+F24,F24)*G24*1000+F24,0),IF((J24&gt;0)*(IF(K24="",-1,K24)&gt;=1)*(IF(K24="",-1,K24)&lt;=3),IF(C24="peso_corporal",IF(ISNUMBER(E24),E24,0)+I24,I24)*J24*1000+I24,0),IF((M24&gt;0)*(IF(N24="",-1,N24)&gt;=1)*(IF(N24="",-1,N24)&lt;=3),IF(C24="peso_corporal",IF(ISNUMBER(E24),E24,0)+L24,L24)*M24*1000+L24,0),IF((P24&gt;0)*(IF(Q24="",-1,Q24)&gt;=1)*(IF(Q24="",-1,Q24)&lt;=3),IF(C24="peso_corporal",IF(ISNUMBER(E24),E24,0)+O24,O24)*P24*1000+O24,0),IF((S24&gt;0)*(IF(T24="",-1,T24)&gt;=1)*(IF(T24="",-1,T24)&lt;=3),IF(C24="peso_corporal",IF(ISNUMBER(E24),E24,0)+R24,R24)*S24*1000+R24,0))</f>
        <v>0</v>
      </c>
      <c r="X24" s="69">
        <f>IF(W24=0,0,IF(IF((S24&gt;0)*(IF(T24="",-1,T24)&gt;=1)*(IF(T24="",-1,T24)&lt;=3),IF(C24="peso_corporal",IF(ISNUMBER(E24),E24,0)+R24,R24)*S24*1000+R24,0)=W24,5,IF(IF((P24&gt;0)*(IF(Q24="",-1,Q24)&gt;=1)*(IF(Q24="",-1,Q24)&lt;=3),IF(C24="peso_corporal",IF(ISNUMBER(E24),E24,0)+O24,O24)*P24*1000+O24,0)=W24,4,IF(IF((M24&gt;0)*(IF(N24="",-1,N24)&gt;=1)*(IF(N24="",-1,N24)&lt;=3),IF(C24="peso_corporal",IF(ISNUMBER(E24),E24,0)+L24,L24)*M24*1000+L24,0)=W24,3,IF(IF((J24&gt;0)*(IF(K24="",-1,K24)&gt;=1)*(IF(K24="",-1,K24)&lt;=3),IF(C24="peso_corporal",IF(ISNUMBER(E24),E24,0)+I24,I24)*J24*1000+I24,0)=W24,2,IF(IF((G24&gt;0)*(IF(H24="",-1,H24)&gt;=1)*(IF(H24="",-1,H24)&lt;=3),IF(C24="peso_corporal",IF(ISNUMBER(E24),E24,0)+F24,F24)*G24*1000+F24,0)=W24,1,0))))))</f>
        <v>0</v>
      </c>
      <c r="Y24" s="69">
        <f>MAX(IF((G24&gt;0)*(IF(H24="",-1,H24)=0)*(1-(IF(H24="",-1,H24)&gt;=1)*(IF(H24="",-1,H24)&lt;=3)),IF(C24="peso_corporal",IF(ISNUMBER(E24),E24,0)+F24,F24)*G24*1000+F24,0),IF((J24&gt;0)*(IF(K24="",-1,K24)=0)*(1-(IF(K24="",-1,K24)&gt;=1)*(IF(K24="",-1,K24)&lt;=3)),IF(C24="peso_corporal",IF(ISNUMBER(E24),E24,0)+I24,I24)*J24*1000+I24,0),IF((M24&gt;0)*(IF(N24="",-1,N24)=0)*(1-(IF(N24="",-1,N24)&gt;=1)*(IF(N24="",-1,N24)&lt;=3)),IF(C24="peso_corporal",IF(ISNUMBER(E24),E24,0)+L24,L24)*M24*1000+L24,0),IF((P24&gt;0)*(IF(Q24="",-1,Q24)=0)*(1-(IF(Q24="",-1,Q24)&gt;=1)*(IF(Q24="",-1,Q24)&lt;=3)),IF(C24="peso_corporal",IF(ISNUMBER(E24),E24,0)+O24,O24)*P24*1000+O24,0),IF((S24&gt;0)*(IF(T24="",-1,T24)=0)*(1-(IF(T24="",-1,T24)&gt;=1)*(IF(T24="",-1,T24)&lt;=3)),IF(C24="peso_corporal",IF(ISNUMBER(E24),E24,0)+R24,R24)*S24*1000+R24,0))</f>
        <v>0</v>
      </c>
      <c r="Z24" s="69">
        <f>IF(Y24=0,0,IF(IF((S24&gt;0)*(IF(T24="",-1,T24)=0)*(1-(IF(T24="",-1,T24)&gt;=1)*(IF(T24="",-1,T24)&lt;=3)),IF(C24="peso_corporal",IF(ISNUMBER(E24),E24,0)+R24,R24)*S24*1000+R24,0)=Y24,5,IF(IF((P24&gt;0)*(IF(Q24="",-1,Q24)=0)*(1-(IF(Q24="",-1,Q24)&gt;=1)*(IF(Q24="",-1,Q24)&lt;=3)),IF(C24="peso_corporal",IF(ISNUMBER(E24),E24,0)+O24,O24)*P24*1000+O24,0)=Y24,4,IF(IF((M24&gt;0)*(IF(N24="",-1,N24)=0)*(1-(IF(N24="",-1,N24)&gt;=1)*(IF(N24="",-1,N24)&lt;=3)),IF(C24="peso_corporal",IF(ISNUMBER(E24),E24,0)+L24,L24)*M24*1000+L24,0)=Y24,3,IF(IF((J24&gt;0)*(IF(K24="",-1,K24)=0)*(1-(IF(K24="",-1,K24)&gt;=1)*(IF(K24="",-1,K24)&lt;=3)),IF(C24="peso_corporal",IF(ISNUMBER(E24),E24,0)+I24,I24)*J24*1000+I24,0)=Y24,2,IF(IF((G24&gt;0)*(IF(H24="",-1,H24)=0)*(1-(IF(H24="",-1,H24)&gt;=1)*(IF(H24="",-1,H24)&lt;=3)),IF(C24="peso_corporal",IF(ISNUMBER(E24),E24,0)+F24,F24)*G24*1000+F24,0)=Y24,1,0))))))</f>
        <v>0</v>
      </c>
      <c r="AA24" s="69">
        <f>MAX(IF((G24&gt;=6)*(1-(IF(H24="",-1,H24)&gt;=1)*(IF(H24="",-1,H24)&lt;=3))*(1-(IF(H24="",-1,H24)=0)),IF(C24="peso_corporal",IF(ISNUMBER(E24),E24,0)+F24,F24)*(30+G24)*100+F24,0),IF((J24&gt;=6)*(1-(IF(K24="",-1,K24)&gt;=1)*(IF(K24="",-1,K24)&lt;=3))*(1-(IF(K24="",-1,K24)=0)),IF(C24="peso_corporal",IF(ISNUMBER(E24),E24,0)+I24,I24)*(30+J24)*100+I24,0),IF((M24&gt;=6)*(1-(IF(N24="",-1,N24)&gt;=1)*(IF(N24="",-1,N24)&lt;=3))*(1-(IF(N24="",-1,N24)=0)),IF(C24="peso_corporal",IF(ISNUMBER(E24),E24,0)+L24,L24)*(30+M24)*100+L24,0),IF((P24&gt;=6)*(1-(IF(Q24="",-1,Q24)&gt;=1)*(IF(Q24="",-1,Q24)&lt;=3))*(1-(IF(Q24="",-1,Q24)=0)),IF(C24="peso_corporal",IF(ISNUMBER(E24),E24,0)+O24,O24)*(30+P24)*100+O24,0),IF((S24&gt;=6)*(1-(IF(T24="",-1,T24)&gt;=1)*(IF(T24="",-1,T24)&lt;=3))*(1-(IF(T24="",-1,T24)=0)),IF(C24="peso_corporal",IF(ISNUMBER(E24),E24,0)+R24,R24)*(30+S24)*100+R24,0))</f>
        <v>0</v>
      </c>
      <c r="AB24" s="69">
        <f>IF(AA24=0,0,IF(IF((S24&gt;=6)*(1-(IF(T24="",-1,T24)&gt;=1)*(IF(T24="",-1,T24)&lt;=3))*(1-(IF(T24="",-1,T24)=0)),IF(C24="peso_corporal",IF(ISNUMBER(E24),E24,0)+R24,R24)*(30+S24)*100+R24,0)=AA24,5,IF(IF((P24&gt;=6)*(1-(IF(Q24="",-1,Q24)&gt;=1)*(IF(Q24="",-1,Q24)&lt;=3))*(1-(IF(Q24="",-1,Q24)=0)),IF(C24="peso_corporal",IF(ISNUMBER(E24),E24,0)+O24,O24)*(30+P24)*100+O24,0)=AA24,4,IF(IF((M24&gt;=6)*(1-(IF(N24="",-1,N24)&gt;=1)*(IF(N24="",-1,N24)&lt;=3))*(1-(IF(N24="",-1,N24)=0)),IF(C24="peso_corporal",IF(ISNUMBER(E24),E24,0)+L24,L24)*(30+M24)*100+L24,0)=AA24,3,IF(IF((J24&gt;=6)*(1-(IF(K24="",-1,K24)&gt;=1)*(IF(K24="",-1,K24)&lt;=3))*(1-(IF(K24="",-1,K24)=0)),IF(C24="peso_corporal",IF(ISNUMBER(E24),E24,0)+I24,I24)*(30+J24)*100+I24,0)=AA24,2,IF(IF((G24&gt;=6)*(1-(IF(H24="",-1,H24)&gt;=1)*(IF(H24="",-1,H24)&lt;=3))*(1-(IF(H24="",-1,H24)=0)),IF(C24="peso_corporal",IF(ISNUMBER(E24),E24,0)+F24,F24)*(30+G24)*100+F24,0)=AA24,1,0))))))</f>
        <v>0</v>
      </c>
      <c r="AC24" s="69" t="str">
        <f>IF(X24&gt;0,"A"&amp;X24,IF(Z24&gt;0,"B"&amp;Z24,IF(AB24&gt;0,"C"&amp;AB24,"")))</f>
        <v/>
      </c>
    </row>
    <row r="25" spans="1:29" ht="15" customHeight="1">
      <c r="A25" s="88" t="s">
        <v>50</v>
      </c>
      <c r="B25" s="73"/>
      <c r="C25" s="73"/>
      <c r="D25" s="73"/>
      <c r="E25" s="73"/>
      <c r="F25" s="73"/>
      <c r="G25" s="73"/>
      <c r="H25" s="73"/>
      <c r="I25" s="73"/>
      <c r="J25" s="73"/>
      <c r="K25" s="73"/>
      <c r="L25" s="73"/>
      <c r="M25" s="73"/>
      <c r="N25" s="73"/>
      <c r="O25" s="73"/>
      <c r="P25" s="73"/>
      <c r="Q25" s="73"/>
      <c r="R25" s="73"/>
      <c r="S25" s="73"/>
      <c r="T25" s="73"/>
      <c r="U25" s="73"/>
      <c r="V25" s="73"/>
      <c r="W25" s="69"/>
      <c r="X25" s="69"/>
      <c r="Y25" s="69"/>
      <c r="Z25" s="69"/>
      <c r="AA25" s="69"/>
      <c r="AB25" s="69"/>
      <c r="AC25" s="69"/>
    </row>
    <row r="26" spans="1:29" ht="20.100000000000001" customHeight="1">
      <c r="A26" s="14" t="s">
        <v>51</v>
      </c>
      <c r="B26" s="15" t="s">
        <v>52</v>
      </c>
      <c r="C26" s="16" t="str">
        <f>IFERROR(INDEX(EJERCICIOS!$D$3:$D$75,MATCH(A26&amp;"|"&amp;B26,EJERCICIOS!$G$3:$G$75,0)),"--")</f>
        <v>--</v>
      </c>
      <c r="D26" s="17">
        <v>3</v>
      </c>
      <c r="E26" s="18">
        <f>IFERROR(LOOKUP(2,1/(MEDIDAS_Y_PESO!$B$3:$B$3&lt;&gt;""),MEDIDAS_Y_PESO!$B$3:$B$3),"--")</f>
        <v>80</v>
      </c>
      <c r="F26" s="19"/>
      <c r="G26" s="20"/>
      <c r="H26" s="21"/>
      <c r="I26" s="19"/>
      <c r="J26" s="20"/>
      <c r="K26" s="21"/>
      <c r="L26" s="19"/>
      <c r="M26" s="20"/>
      <c r="N26" s="21"/>
      <c r="O26" s="19"/>
      <c r="P26" s="20"/>
      <c r="Q26" s="21"/>
      <c r="R26" s="19"/>
      <c r="S26" s="20"/>
      <c r="T26" s="21"/>
      <c r="U26" s="22" t="str">
        <f>IFERROR(IF(IF(X26&gt;0,X26,IF(Z26&gt;0,Z26,IF(AB26&gt;0,AB26,0)))=0,"--",ROUND(CHOOSE(IF(X26&gt;0,X26,IF(Z26&gt;0,Z26,IF(AB26&gt;0,AB26,0))),IF(C26="peso_corporal",IF(ISNUMBER(E26),E26,0)+F26,F26)*(1+G26/30),IF(C26="peso_corporal",IF(ISNUMBER(E26),E26,0)+I26,I26)*(1+J26/30),IF(C26="peso_corporal",IF(ISNUMBER(E26),E26,0)+L26,L26)*(1+M26/30),IF(C26="peso_corporal",IF(ISNUMBER(E26),E26,0)+O26,O26)*(1+P26/30),IF(C26="peso_corporal",IF(ISNUMBER(E26),E26,0)+R26,R26)*(1+S26/30)),1)),"--")</f>
        <v>--</v>
      </c>
      <c r="V26" s="23" t="str">
        <f>IF(SUGERENCIAS!N12="SIN","Sin datos anteriores",IF(SUGERENCIAS!N12="SUBIR_F","^ SUBIR FUERTE | Kg:"&amp;ROUND(SUGERENCIAS!K12,1)&amp;" R:"&amp;ROUND(SUGERENCIAS!L12,0)&amp;" RIR:"&amp;ROUND(SUGERENCIAS!M12,0),IF(SUGERENCIAS!N12="SUBIR_E","^ SUBIR (Est.) | Kg:"&amp;ROUND(SUGERENCIAS!K12,1)&amp;" R:"&amp;ROUND(SUGERENCIAS!L12,0)&amp;" RIR:"&amp;ROUND(SUGERENCIAS!M12,0),IF(SUGERENCIAS!N12="SUBIR","^ SUBIR | Kg:"&amp;ROUND(SUGERENCIAS!K12,1)&amp;" R:"&amp;ROUND(SUGERENCIAS!L12,0)&amp;" RIR:"&amp;ROUND(SUGERENCIAS!M12,0),IF(SUGERENCIAS!N12="BAJAR","v BAJAR | Kg:"&amp;ROUND(SUGERENCIAS!K12,1)&amp;" R:"&amp;ROUND(SUGERENCIAS!L12,0)&amp;" RIR:"&amp;ROUND(SUGERENCIAS!M12,0),"= MANT | Kg:"&amp;ROUND(SUGERENCIAS!K12,1)&amp;" R:"&amp;ROUND(SUGERENCIAS!L12,0)&amp;" RIR:"&amp;ROUND(SUGERENCIAS!M12,0))))))</f>
        <v>Sin datos anteriores</v>
      </c>
      <c r="W26" s="69">
        <f>MAX(IF((G26&gt;0)*(IF(H26="",-1,H26)&gt;=1)*(IF(H26="",-1,H26)&lt;=3),IF(C26="peso_corporal",IF(ISNUMBER(E26),E26,0)+F26,F26)*G26*1000+F26,0),IF((J26&gt;0)*(IF(K26="",-1,K26)&gt;=1)*(IF(K26="",-1,K26)&lt;=3),IF(C26="peso_corporal",IF(ISNUMBER(E26),E26,0)+I26,I26)*J26*1000+I26,0),IF((M26&gt;0)*(IF(N26="",-1,N26)&gt;=1)*(IF(N26="",-1,N26)&lt;=3),IF(C26="peso_corporal",IF(ISNUMBER(E26),E26,0)+L26,L26)*M26*1000+L26,0),IF((P26&gt;0)*(IF(Q26="",-1,Q26)&gt;=1)*(IF(Q26="",-1,Q26)&lt;=3),IF(C26="peso_corporal",IF(ISNUMBER(E26),E26,0)+O26,O26)*P26*1000+O26,0),IF((S26&gt;0)*(IF(T26="",-1,T26)&gt;=1)*(IF(T26="",-1,T26)&lt;=3),IF(C26="peso_corporal",IF(ISNUMBER(E26),E26,0)+R26,R26)*S26*1000+R26,0))</f>
        <v>0</v>
      </c>
      <c r="X26" s="69">
        <f>IF(W26=0,0,IF(IF((S26&gt;0)*(IF(T26="",-1,T26)&gt;=1)*(IF(T26="",-1,T26)&lt;=3),IF(C26="peso_corporal",IF(ISNUMBER(E26),E26,0)+R26,R26)*S26*1000+R26,0)=W26,5,IF(IF((P26&gt;0)*(IF(Q26="",-1,Q26)&gt;=1)*(IF(Q26="",-1,Q26)&lt;=3),IF(C26="peso_corporal",IF(ISNUMBER(E26),E26,0)+O26,O26)*P26*1000+O26,0)=W26,4,IF(IF((M26&gt;0)*(IF(N26="",-1,N26)&gt;=1)*(IF(N26="",-1,N26)&lt;=3),IF(C26="peso_corporal",IF(ISNUMBER(E26),E26,0)+L26,L26)*M26*1000+L26,0)=W26,3,IF(IF((J26&gt;0)*(IF(K26="",-1,K26)&gt;=1)*(IF(K26="",-1,K26)&lt;=3),IF(C26="peso_corporal",IF(ISNUMBER(E26),E26,0)+I26,I26)*J26*1000+I26,0)=W26,2,IF(IF((G26&gt;0)*(IF(H26="",-1,H26)&gt;=1)*(IF(H26="",-1,H26)&lt;=3),IF(C26="peso_corporal",IF(ISNUMBER(E26),E26,0)+F26,F26)*G26*1000+F26,0)=W26,1,0))))))</f>
        <v>0</v>
      </c>
      <c r="Y26" s="69">
        <f>MAX(IF((G26&gt;0)*(IF(H26="",-1,H26)=0)*(1-(IF(H26="",-1,H26)&gt;=1)*(IF(H26="",-1,H26)&lt;=3)),IF(C26="peso_corporal",IF(ISNUMBER(E26),E26,0)+F26,F26)*G26*1000+F26,0),IF((J26&gt;0)*(IF(K26="",-1,K26)=0)*(1-(IF(K26="",-1,K26)&gt;=1)*(IF(K26="",-1,K26)&lt;=3)),IF(C26="peso_corporal",IF(ISNUMBER(E26),E26,0)+I26,I26)*J26*1000+I26,0),IF((M26&gt;0)*(IF(N26="",-1,N26)=0)*(1-(IF(N26="",-1,N26)&gt;=1)*(IF(N26="",-1,N26)&lt;=3)),IF(C26="peso_corporal",IF(ISNUMBER(E26),E26,0)+L26,L26)*M26*1000+L26,0),IF((P26&gt;0)*(IF(Q26="",-1,Q26)=0)*(1-(IF(Q26="",-1,Q26)&gt;=1)*(IF(Q26="",-1,Q26)&lt;=3)),IF(C26="peso_corporal",IF(ISNUMBER(E26),E26,0)+O26,O26)*P26*1000+O26,0),IF((S26&gt;0)*(IF(T26="",-1,T26)=0)*(1-(IF(T26="",-1,T26)&gt;=1)*(IF(T26="",-1,T26)&lt;=3)),IF(C26="peso_corporal",IF(ISNUMBER(E26),E26,0)+R26,R26)*S26*1000+R26,0))</f>
        <v>0</v>
      </c>
      <c r="Z26" s="69">
        <f>IF(Y26=0,0,IF(IF((S26&gt;0)*(IF(T26="",-1,T26)=0)*(1-(IF(T26="",-1,T26)&gt;=1)*(IF(T26="",-1,T26)&lt;=3)),IF(C26="peso_corporal",IF(ISNUMBER(E26),E26,0)+R26,R26)*S26*1000+R26,0)=Y26,5,IF(IF((P26&gt;0)*(IF(Q26="",-1,Q26)=0)*(1-(IF(Q26="",-1,Q26)&gt;=1)*(IF(Q26="",-1,Q26)&lt;=3)),IF(C26="peso_corporal",IF(ISNUMBER(E26),E26,0)+O26,O26)*P26*1000+O26,0)=Y26,4,IF(IF((M26&gt;0)*(IF(N26="",-1,N26)=0)*(1-(IF(N26="",-1,N26)&gt;=1)*(IF(N26="",-1,N26)&lt;=3)),IF(C26="peso_corporal",IF(ISNUMBER(E26),E26,0)+L26,L26)*M26*1000+L26,0)=Y26,3,IF(IF((J26&gt;0)*(IF(K26="",-1,K26)=0)*(1-(IF(K26="",-1,K26)&gt;=1)*(IF(K26="",-1,K26)&lt;=3)),IF(C26="peso_corporal",IF(ISNUMBER(E26),E26,0)+I26,I26)*J26*1000+I26,0)=Y26,2,IF(IF((G26&gt;0)*(IF(H26="",-1,H26)=0)*(1-(IF(H26="",-1,H26)&gt;=1)*(IF(H26="",-1,H26)&lt;=3)),IF(C26="peso_corporal",IF(ISNUMBER(E26),E26,0)+F26,F26)*G26*1000+F26,0)=Y26,1,0))))))</f>
        <v>0</v>
      </c>
      <c r="AA26" s="69">
        <f>MAX(IF((G26&gt;=6)*(1-(IF(H26="",-1,H26)&gt;=1)*(IF(H26="",-1,H26)&lt;=3))*(1-(IF(H26="",-1,H26)=0)),IF(C26="peso_corporal",IF(ISNUMBER(E26),E26,0)+F26,F26)*(30+G26)*100+F26,0),IF((J26&gt;=6)*(1-(IF(K26="",-1,K26)&gt;=1)*(IF(K26="",-1,K26)&lt;=3))*(1-(IF(K26="",-1,K26)=0)),IF(C26="peso_corporal",IF(ISNUMBER(E26),E26,0)+I26,I26)*(30+J26)*100+I26,0),IF((M26&gt;=6)*(1-(IF(N26="",-1,N26)&gt;=1)*(IF(N26="",-1,N26)&lt;=3))*(1-(IF(N26="",-1,N26)=0)),IF(C26="peso_corporal",IF(ISNUMBER(E26),E26,0)+L26,L26)*(30+M26)*100+L26,0),IF((P26&gt;=6)*(1-(IF(Q26="",-1,Q26)&gt;=1)*(IF(Q26="",-1,Q26)&lt;=3))*(1-(IF(Q26="",-1,Q26)=0)),IF(C26="peso_corporal",IF(ISNUMBER(E26),E26,0)+O26,O26)*(30+P26)*100+O26,0),IF((S26&gt;=6)*(1-(IF(T26="",-1,T26)&gt;=1)*(IF(T26="",-1,T26)&lt;=3))*(1-(IF(T26="",-1,T26)=0)),IF(C26="peso_corporal",IF(ISNUMBER(E26),E26,0)+R26,R26)*(30+S26)*100+R26,0))</f>
        <v>0</v>
      </c>
      <c r="AB26" s="69">
        <f>IF(AA26=0,0,IF(IF((S26&gt;=6)*(1-(IF(T26="",-1,T26)&gt;=1)*(IF(T26="",-1,T26)&lt;=3))*(1-(IF(T26="",-1,T26)=0)),IF(C26="peso_corporal",IF(ISNUMBER(E26),E26,0)+R26,R26)*(30+S26)*100+R26,0)=AA26,5,IF(IF((P26&gt;=6)*(1-(IF(Q26="",-1,Q26)&gt;=1)*(IF(Q26="",-1,Q26)&lt;=3))*(1-(IF(Q26="",-1,Q26)=0)),IF(C26="peso_corporal",IF(ISNUMBER(E26),E26,0)+O26,O26)*(30+P26)*100+O26,0)=AA26,4,IF(IF((M26&gt;=6)*(1-(IF(N26="",-1,N26)&gt;=1)*(IF(N26="",-1,N26)&lt;=3))*(1-(IF(N26="",-1,N26)=0)),IF(C26="peso_corporal",IF(ISNUMBER(E26),E26,0)+L26,L26)*(30+M26)*100+L26,0)=AA26,3,IF(IF((J26&gt;=6)*(1-(IF(K26="",-1,K26)&gt;=1)*(IF(K26="",-1,K26)&lt;=3))*(1-(IF(K26="",-1,K26)=0)),IF(C26="peso_corporal",IF(ISNUMBER(E26),E26,0)+I26,I26)*(30+J26)*100+I26,0)=AA26,2,IF(IF((G26&gt;=6)*(1-(IF(H26="",-1,H26)&gt;=1)*(IF(H26="",-1,H26)&lt;=3))*(1-(IF(H26="",-1,H26)=0)),IF(C26="peso_corporal",IF(ISNUMBER(E26),E26,0)+F26,F26)*(30+G26)*100+F26,0)=AA26,1,0))))))</f>
        <v>0</v>
      </c>
      <c r="AC26" s="69" t="str">
        <f>IF(X26&gt;0,"A"&amp;X26,IF(Z26&gt;0,"B"&amp;Z26,IF(AB26&gt;0,"C"&amp;AB26,"")))</f>
        <v/>
      </c>
    </row>
    <row r="27" spans="1:29" ht="15" customHeight="1">
      <c r="A27" s="81" t="s">
        <v>53</v>
      </c>
      <c r="B27" s="73"/>
      <c r="C27" s="73"/>
      <c r="D27" s="73"/>
      <c r="E27" s="73"/>
      <c r="F27" s="73"/>
      <c r="G27" s="73"/>
      <c r="H27" s="73"/>
      <c r="I27" s="73"/>
      <c r="J27" s="73"/>
      <c r="K27" s="73"/>
      <c r="L27" s="73"/>
      <c r="M27" s="73"/>
      <c r="N27" s="73"/>
      <c r="O27" s="73"/>
      <c r="P27" s="73"/>
      <c r="Q27" s="73"/>
      <c r="R27" s="73"/>
      <c r="S27" s="73"/>
      <c r="T27" s="73"/>
      <c r="U27" s="73"/>
      <c r="V27" s="73"/>
      <c r="W27" s="69"/>
      <c r="X27" s="69"/>
      <c r="Y27" s="69"/>
      <c r="Z27" s="69"/>
      <c r="AA27" s="69"/>
      <c r="AB27" s="69"/>
      <c r="AC27" s="69"/>
    </row>
    <row r="28" spans="1:29" ht="20.100000000000001" customHeight="1">
      <c r="A28" s="14" t="s">
        <v>54</v>
      </c>
      <c r="B28" s="15" t="s">
        <v>55</v>
      </c>
      <c r="C28" s="16" t="str">
        <f>IFERROR(INDEX(EJERCICIOS!$D$3:$D$75,MATCH(A28&amp;"|"&amp;B28,EJERCICIOS!$G$3:$G$75,0)),"--")</f>
        <v>polea</v>
      </c>
      <c r="D28" s="17">
        <v>3</v>
      </c>
      <c r="E28" s="18">
        <f>IFERROR(LOOKUP(2,1/(MEDIDAS_Y_PESO!$B$3:$B$3&lt;&gt;""),MEDIDAS_Y_PESO!$B$3:$B$3),"--")</f>
        <v>80</v>
      </c>
      <c r="F28" s="19"/>
      <c r="G28" s="20"/>
      <c r="H28" s="21"/>
      <c r="I28" s="19"/>
      <c r="J28" s="20"/>
      <c r="K28" s="21"/>
      <c r="L28" s="19"/>
      <c r="M28" s="20"/>
      <c r="N28" s="21"/>
      <c r="O28" s="19"/>
      <c r="P28" s="20"/>
      <c r="Q28" s="21"/>
      <c r="R28" s="19"/>
      <c r="S28" s="20"/>
      <c r="T28" s="21"/>
      <c r="U28" s="22" t="str">
        <f>IFERROR(IF(IF(X28&gt;0,X28,IF(Z28&gt;0,Z28,IF(AB28&gt;0,AB28,0)))=0,"--",ROUND(CHOOSE(IF(X28&gt;0,X28,IF(Z28&gt;0,Z28,IF(AB28&gt;0,AB28,0))),IF(C28="peso_corporal",IF(ISNUMBER(E28),E28,0)+F28,F28)*(1+G28/30),IF(C28="peso_corporal",IF(ISNUMBER(E28),E28,0)+I28,I28)*(1+J28/30),IF(C28="peso_corporal",IF(ISNUMBER(E28),E28,0)+L28,L28)*(1+M28/30),IF(C28="peso_corporal",IF(ISNUMBER(E28),E28,0)+O28,O28)*(1+P28/30),IF(C28="peso_corporal",IF(ISNUMBER(E28),E28,0)+R28,R28)*(1+S28/30)),1)),"--")</f>
        <v>--</v>
      </c>
      <c r="V28" s="23" t="str">
        <f>IF(SUGERENCIAS!N13="SIN","Sin datos anteriores",IF(SUGERENCIAS!N13="SUBIR_F","^ SUBIR FUERTE | Kg:"&amp;ROUND(SUGERENCIAS!K13,1)&amp;" R:"&amp;ROUND(SUGERENCIAS!L13,0)&amp;" RIR:"&amp;ROUND(SUGERENCIAS!M13,0),IF(SUGERENCIAS!N13="SUBIR_E","^ SUBIR (Est.) | Kg:"&amp;ROUND(SUGERENCIAS!K13,1)&amp;" R:"&amp;ROUND(SUGERENCIAS!L13,0)&amp;" RIR:"&amp;ROUND(SUGERENCIAS!M13,0),IF(SUGERENCIAS!N13="SUBIR","^ SUBIR | Kg:"&amp;ROUND(SUGERENCIAS!K13,1)&amp;" R:"&amp;ROUND(SUGERENCIAS!L13,0)&amp;" RIR:"&amp;ROUND(SUGERENCIAS!M13,0),IF(SUGERENCIAS!N13="BAJAR","v BAJAR | Kg:"&amp;ROUND(SUGERENCIAS!K13,1)&amp;" R:"&amp;ROUND(SUGERENCIAS!L13,0)&amp;" RIR:"&amp;ROUND(SUGERENCIAS!M13,0),"= MANT | Kg:"&amp;ROUND(SUGERENCIAS!K13,1)&amp;" R:"&amp;ROUND(SUGERENCIAS!L13,0)&amp;" RIR:"&amp;ROUND(SUGERENCIAS!M13,0))))))</f>
        <v>Sin datos anteriores</v>
      </c>
      <c r="W28" s="69">
        <f>MAX(IF((G28&gt;0)*(IF(H28="",-1,H28)&gt;=1)*(IF(H28="",-1,H28)&lt;=3),IF(C28="peso_corporal",IF(ISNUMBER(E28),E28,0)+F28,F28)*G28*1000+F28,0),IF((J28&gt;0)*(IF(K28="",-1,K28)&gt;=1)*(IF(K28="",-1,K28)&lt;=3),IF(C28="peso_corporal",IF(ISNUMBER(E28),E28,0)+I28,I28)*J28*1000+I28,0),IF((M28&gt;0)*(IF(N28="",-1,N28)&gt;=1)*(IF(N28="",-1,N28)&lt;=3),IF(C28="peso_corporal",IF(ISNUMBER(E28),E28,0)+L28,L28)*M28*1000+L28,0),IF((P28&gt;0)*(IF(Q28="",-1,Q28)&gt;=1)*(IF(Q28="",-1,Q28)&lt;=3),IF(C28="peso_corporal",IF(ISNUMBER(E28),E28,0)+O28,O28)*P28*1000+O28,0),IF((S28&gt;0)*(IF(T28="",-1,T28)&gt;=1)*(IF(T28="",-1,T28)&lt;=3),IF(C28="peso_corporal",IF(ISNUMBER(E28),E28,0)+R28,R28)*S28*1000+R28,0))</f>
        <v>0</v>
      </c>
      <c r="X28" s="69">
        <f>IF(W28=0,0,IF(IF((S28&gt;0)*(IF(T28="",-1,T28)&gt;=1)*(IF(T28="",-1,T28)&lt;=3),IF(C28="peso_corporal",IF(ISNUMBER(E28),E28,0)+R28,R28)*S28*1000+R28,0)=W28,5,IF(IF((P28&gt;0)*(IF(Q28="",-1,Q28)&gt;=1)*(IF(Q28="",-1,Q28)&lt;=3),IF(C28="peso_corporal",IF(ISNUMBER(E28),E28,0)+O28,O28)*P28*1000+O28,0)=W28,4,IF(IF((M28&gt;0)*(IF(N28="",-1,N28)&gt;=1)*(IF(N28="",-1,N28)&lt;=3),IF(C28="peso_corporal",IF(ISNUMBER(E28),E28,0)+L28,L28)*M28*1000+L28,0)=W28,3,IF(IF((J28&gt;0)*(IF(K28="",-1,K28)&gt;=1)*(IF(K28="",-1,K28)&lt;=3),IF(C28="peso_corporal",IF(ISNUMBER(E28),E28,0)+I28,I28)*J28*1000+I28,0)=W28,2,IF(IF((G28&gt;0)*(IF(H28="",-1,H28)&gt;=1)*(IF(H28="",-1,H28)&lt;=3),IF(C28="peso_corporal",IF(ISNUMBER(E28),E28,0)+F28,F28)*G28*1000+F28,0)=W28,1,0))))))</f>
        <v>0</v>
      </c>
      <c r="Y28" s="69">
        <f>MAX(IF((G28&gt;0)*(IF(H28="",-1,H28)=0)*(1-(IF(H28="",-1,H28)&gt;=1)*(IF(H28="",-1,H28)&lt;=3)),IF(C28="peso_corporal",IF(ISNUMBER(E28),E28,0)+F28,F28)*G28*1000+F28,0),IF((J28&gt;0)*(IF(K28="",-1,K28)=0)*(1-(IF(K28="",-1,K28)&gt;=1)*(IF(K28="",-1,K28)&lt;=3)),IF(C28="peso_corporal",IF(ISNUMBER(E28),E28,0)+I28,I28)*J28*1000+I28,0),IF((M28&gt;0)*(IF(N28="",-1,N28)=0)*(1-(IF(N28="",-1,N28)&gt;=1)*(IF(N28="",-1,N28)&lt;=3)),IF(C28="peso_corporal",IF(ISNUMBER(E28),E28,0)+L28,L28)*M28*1000+L28,0),IF((P28&gt;0)*(IF(Q28="",-1,Q28)=0)*(1-(IF(Q28="",-1,Q28)&gt;=1)*(IF(Q28="",-1,Q28)&lt;=3)),IF(C28="peso_corporal",IF(ISNUMBER(E28),E28,0)+O28,O28)*P28*1000+O28,0),IF((S28&gt;0)*(IF(T28="",-1,T28)=0)*(1-(IF(T28="",-1,T28)&gt;=1)*(IF(T28="",-1,T28)&lt;=3)),IF(C28="peso_corporal",IF(ISNUMBER(E28),E28,0)+R28,R28)*S28*1000+R28,0))</f>
        <v>0</v>
      </c>
      <c r="Z28" s="69">
        <f>IF(Y28=0,0,IF(IF((S28&gt;0)*(IF(T28="",-1,T28)=0)*(1-(IF(T28="",-1,T28)&gt;=1)*(IF(T28="",-1,T28)&lt;=3)),IF(C28="peso_corporal",IF(ISNUMBER(E28),E28,0)+R28,R28)*S28*1000+R28,0)=Y28,5,IF(IF((P28&gt;0)*(IF(Q28="",-1,Q28)=0)*(1-(IF(Q28="",-1,Q28)&gt;=1)*(IF(Q28="",-1,Q28)&lt;=3)),IF(C28="peso_corporal",IF(ISNUMBER(E28),E28,0)+O28,O28)*P28*1000+O28,0)=Y28,4,IF(IF((M28&gt;0)*(IF(N28="",-1,N28)=0)*(1-(IF(N28="",-1,N28)&gt;=1)*(IF(N28="",-1,N28)&lt;=3)),IF(C28="peso_corporal",IF(ISNUMBER(E28),E28,0)+L28,L28)*M28*1000+L28,0)=Y28,3,IF(IF((J28&gt;0)*(IF(K28="",-1,K28)=0)*(1-(IF(K28="",-1,K28)&gt;=1)*(IF(K28="",-1,K28)&lt;=3)),IF(C28="peso_corporal",IF(ISNUMBER(E28),E28,0)+I28,I28)*J28*1000+I28,0)=Y28,2,IF(IF((G28&gt;0)*(IF(H28="",-1,H28)=0)*(1-(IF(H28="",-1,H28)&gt;=1)*(IF(H28="",-1,H28)&lt;=3)),IF(C28="peso_corporal",IF(ISNUMBER(E28),E28,0)+F28,F28)*G28*1000+F28,0)=Y28,1,0))))))</f>
        <v>0</v>
      </c>
      <c r="AA28" s="69">
        <f>MAX(IF((G28&gt;=6)*(1-(IF(H28="",-1,H28)&gt;=1)*(IF(H28="",-1,H28)&lt;=3))*(1-(IF(H28="",-1,H28)=0)),IF(C28="peso_corporal",IF(ISNUMBER(E28),E28,0)+F28,F28)*(30+G28)*100+F28,0),IF((J28&gt;=6)*(1-(IF(K28="",-1,K28)&gt;=1)*(IF(K28="",-1,K28)&lt;=3))*(1-(IF(K28="",-1,K28)=0)),IF(C28="peso_corporal",IF(ISNUMBER(E28),E28,0)+I28,I28)*(30+J28)*100+I28,0),IF((M28&gt;=6)*(1-(IF(N28="",-1,N28)&gt;=1)*(IF(N28="",-1,N28)&lt;=3))*(1-(IF(N28="",-1,N28)=0)),IF(C28="peso_corporal",IF(ISNUMBER(E28),E28,0)+L28,L28)*(30+M28)*100+L28,0),IF((P28&gt;=6)*(1-(IF(Q28="",-1,Q28)&gt;=1)*(IF(Q28="",-1,Q28)&lt;=3))*(1-(IF(Q28="",-1,Q28)=0)),IF(C28="peso_corporal",IF(ISNUMBER(E28),E28,0)+O28,O28)*(30+P28)*100+O28,0),IF((S28&gt;=6)*(1-(IF(T28="",-1,T28)&gt;=1)*(IF(T28="",-1,T28)&lt;=3))*(1-(IF(T28="",-1,T28)=0)),IF(C28="peso_corporal",IF(ISNUMBER(E28),E28,0)+R28,R28)*(30+S28)*100+R28,0))</f>
        <v>0</v>
      </c>
      <c r="AB28" s="69">
        <f>IF(AA28=0,0,IF(IF((S28&gt;=6)*(1-(IF(T28="",-1,T28)&gt;=1)*(IF(T28="",-1,T28)&lt;=3))*(1-(IF(T28="",-1,T28)=0)),IF(C28="peso_corporal",IF(ISNUMBER(E28),E28,0)+R28,R28)*(30+S28)*100+R28,0)=AA28,5,IF(IF((P28&gt;=6)*(1-(IF(Q28="",-1,Q28)&gt;=1)*(IF(Q28="",-1,Q28)&lt;=3))*(1-(IF(Q28="",-1,Q28)=0)),IF(C28="peso_corporal",IF(ISNUMBER(E28),E28,0)+O28,O28)*(30+P28)*100+O28,0)=AA28,4,IF(IF((M28&gt;=6)*(1-(IF(N28="",-1,N28)&gt;=1)*(IF(N28="",-1,N28)&lt;=3))*(1-(IF(N28="",-1,N28)=0)),IF(C28="peso_corporal",IF(ISNUMBER(E28),E28,0)+L28,L28)*(30+M28)*100+L28,0)=AA28,3,IF(IF((J28&gt;=6)*(1-(IF(K28="",-1,K28)&gt;=1)*(IF(K28="",-1,K28)&lt;=3))*(1-(IF(K28="",-1,K28)=0)),IF(C28="peso_corporal",IF(ISNUMBER(E28),E28,0)+I28,I28)*(30+J28)*100+I28,0)=AA28,2,IF(IF((G28&gt;=6)*(1-(IF(H28="",-1,H28)&gt;=1)*(IF(H28="",-1,H28)&lt;=3))*(1-(IF(H28="",-1,H28)=0)),IF(C28="peso_corporal",IF(ISNUMBER(E28),E28,0)+F28,F28)*(30+G28)*100+F28,0)=AA28,1,0))))))</f>
        <v>0</v>
      </c>
      <c r="AC28" s="69" t="str">
        <f>IF(X28&gt;0,"A"&amp;X28,IF(Z28&gt;0,"B"&amp;Z28,IF(AB28&gt;0,"C"&amp;AB28,"")))</f>
        <v/>
      </c>
    </row>
    <row r="29" spans="1:29" ht="15" customHeight="1">
      <c r="A29" s="72" t="s">
        <v>56</v>
      </c>
      <c r="B29" s="73"/>
      <c r="C29" s="73"/>
      <c r="D29" s="73"/>
      <c r="E29" s="73"/>
      <c r="F29" s="73"/>
      <c r="G29" s="73"/>
      <c r="H29" s="73"/>
      <c r="I29" s="73"/>
      <c r="J29" s="73"/>
      <c r="K29" s="73"/>
      <c r="L29" s="73"/>
      <c r="M29" s="73"/>
      <c r="N29" s="73"/>
      <c r="O29" s="73"/>
      <c r="P29" s="73"/>
      <c r="Q29" s="73"/>
      <c r="R29" s="73"/>
      <c r="S29" s="73"/>
      <c r="T29" s="73"/>
      <c r="U29" s="73"/>
      <c r="V29" s="73"/>
      <c r="W29" s="69"/>
      <c r="X29" s="69"/>
      <c r="Y29" s="69"/>
      <c r="Z29" s="69"/>
      <c r="AA29" s="69"/>
      <c r="AB29" s="69"/>
      <c r="AC29" s="69"/>
    </row>
    <row r="30" spans="1:29" ht="20.100000000000001" customHeight="1">
      <c r="A30" s="14" t="s">
        <v>57</v>
      </c>
      <c r="B30" s="15" t="s">
        <v>58</v>
      </c>
      <c r="C30" s="16" t="str">
        <f>IFERROR(INDEX(EJERCICIOS!$D$3:$D$75,MATCH(A30&amp;"|"&amp;B30,EJERCICIOS!$G$3:$G$75,0)),"--")</f>
        <v>polea</v>
      </c>
      <c r="D30" s="17">
        <v>3</v>
      </c>
      <c r="E30" s="18">
        <f>IFERROR(LOOKUP(2,1/(MEDIDAS_Y_PESO!$B$3:$B$3&lt;&gt;""),MEDIDAS_Y_PESO!$B$3:$B$3),"--")</f>
        <v>80</v>
      </c>
      <c r="F30" s="19"/>
      <c r="G30" s="20"/>
      <c r="H30" s="21"/>
      <c r="I30" s="19"/>
      <c r="J30" s="20"/>
      <c r="K30" s="21"/>
      <c r="L30" s="19"/>
      <c r="M30" s="20"/>
      <c r="N30" s="21"/>
      <c r="O30" s="19"/>
      <c r="P30" s="20"/>
      <c r="Q30" s="21"/>
      <c r="R30" s="19"/>
      <c r="S30" s="20"/>
      <c r="T30" s="21"/>
      <c r="U30" s="22" t="str">
        <f>IFERROR(IF(IF(X30&gt;0,X30,IF(Z30&gt;0,Z30,IF(AB30&gt;0,AB30,0)))=0,"--",ROUND(CHOOSE(IF(X30&gt;0,X30,IF(Z30&gt;0,Z30,IF(AB30&gt;0,AB30,0))),IF(C30="peso_corporal",IF(ISNUMBER(E30),E30,0)+F30,F30)*(1+G30/30),IF(C30="peso_corporal",IF(ISNUMBER(E30),E30,0)+I30,I30)*(1+J30/30),IF(C30="peso_corporal",IF(ISNUMBER(E30),E30,0)+L30,L30)*(1+M30/30),IF(C30="peso_corporal",IF(ISNUMBER(E30),E30,0)+O30,O30)*(1+P30/30),IF(C30="peso_corporal",IF(ISNUMBER(E30),E30,0)+R30,R30)*(1+S30/30)),1)),"--")</f>
        <v>--</v>
      </c>
      <c r="V30" s="23" t="str">
        <f>IF(SUGERENCIAS!N14="SIN","Sin datos anteriores",IF(SUGERENCIAS!N14="SUBIR_F","^ SUBIR FUERTE | Kg:"&amp;ROUND(SUGERENCIAS!K14,1)&amp;" R:"&amp;ROUND(SUGERENCIAS!L14,0)&amp;" RIR:"&amp;ROUND(SUGERENCIAS!M14,0),IF(SUGERENCIAS!N14="SUBIR_E","^ SUBIR (Est.) | Kg:"&amp;ROUND(SUGERENCIAS!K14,1)&amp;" R:"&amp;ROUND(SUGERENCIAS!L14,0)&amp;" RIR:"&amp;ROUND(SUGERENCIAS!M14,0),IF(SUGERENCIAS!N14="SUBIR","^ SUBIR | Kg:"&amp;ROUND(SUGERENCIAS!K14,1)&amp;" R:"&amp;ROUND(SUGERENCIAS!L14,0)&amp;" RIR:"&amp;ROUND(SUGERENCIAS!M14,0),IF(SUGERENCIAS!N14="BAJAR","v BAJAR | Kg:"&amp;ROUND(SUGERENCIAS!K14,1)&amp;" R:"&amp;ROUND(SUGERENCIAS!L14,0)&amp;" RIR:"&amp;ROUND(SUGERENCIAS!M14,0),"= MANT | Kg:"&amp;ROUND(SUGERENCIAS!K14,1)&amp;" R:"&amp;ROUND(SUGERENCIAS!L14,0)&amp;" RIR:"&amp;ROUND(SUGERENCIAS!M14,0))))))</f>
        <v>Sin datos anteriores</v>
      </c>
      <c r="W30" s="69">
        <f>MAX(IF((G30&gt;0)*(IF(H30="",-1,H30)&gt;=1)*(IF(H30="",-1,H30)&lt;=3),IF(C30="peso_corporal",IF(ISNUMBER(E30),E30,0)+F30,F30)*G30*1000+F30,0),IF((J30&gt;0)*(IF(K30="",-1,K30)&gt;=1)*(IF(K30="",-1,K30)&lt;=3),IF(C30="peso_corporal",IF(ISNUMBER(E30),E30,0)+I30,I30)*J30*1000+I30,0),IF((M30&gt;0)*(IF(N30="",-1,N30)&gt;=1)*(IF(N30="",-1,N30)&lt;=3),IF(C30="peso_corporal",IF(ISNUMBER(E30),E30,0)+L30,L30)*M30*1000+L30,0),IF((P30&gt;0)*(IF(Q30="",-1,Q30)&gt;=1)*(IF(Q30="",-1,Q30)&lt;=3),IF(C30="peso_corporal",IF(ISNUMBER(E30),E30,0)+O30,O30)*P30*1000+O30,0),IF((S30&gt;0)*(IF(T30="",-1,T30)&gt;=1)*(IF(T30="",-1,T30)&lt;=3),IF(C30="peso_corporal",IF(ISNUMBER(E30),E30,0)+R30,R30)*S30*1000+R30,0))</f>
        <v>0</v>
      </c>
      <c r="X30" s="69">
        <f>IF(W30=0,0,IF(IF((S30&gt;0)*(IF(T30="",-1,T30)&gt;=1)*(IF(T30="",-1,T30)&lt;=3),IF(C30="peso_corporal",IF(ISNUMBER(E30),E30,0)+R30,R30)*S30*1000+R30,0)=W30,5,IF(IF((P30&gt;0)*(IF(Q30="",-1,Q30)&gt;=1)*(IF(Q30="",-1,Q30)&lt;=3),IF(C30="peso_corporal",IF(ISNUMBER(E30),E30,0)+O30,O30)*P30*1000+O30,0)=W30,4,IF(IF((M30&gt;0)*(IF(N30="",-1,N30)&gt;=1)*(IF(N30="",-1,N30)&lt;=3),IF(C30="peso_corporal",IF(ISNUMBER(E30),E30,0)+L30,L30)*M30*1000+L30,0)=W30,3,IF(IF((J30&gt;0)*(IF(K30="",-1,K30)&gt;=1)*(IF(K30="",-1,K30)&lt;=3),IF(C30="peso_corporal",IF(ISNUMBER(E30),E30,0)+I30,I30)*J30*1000+I30,0)=W30,2,IF(IF((G30&gt;0)*(IF(H30="",-1,H30)&gt;=1)*(IF(H30="",-1,H30)&lt;=3),IF(C30="peso_corporal",IF(ISNUMBER(E30),E30,0)+F30,F30)*G30*1000+F30,0)=W30,1,0))))))</f>
        <v>0</v>
      </c>
      <c r="Y30" s="69">
        <f>MAX(IF((G30&gt;0)*(IF(H30="",-1,H30)=0)*(1-(IF(H30="",-1,H30)&gt;=1)*(IF(H30="",-1,H30)&lt;=3)),IF(C30="peso_corporal",IF(ISNUMBER(E30),E30,0)+F30,F30)*G30*1000+F30,0),IF((J30&gt;0)*(IF(K30="",-1,K30)=0)*(1-(IF(K30="",-1,K30)&gt;=1)*(IF(K30="",-1,K30)&lt;=3)),IF(C30="peso_corporal",IF(ISNUMBER(E30),E30,0)+I30,I30)*J30*1000+I30,0),IF((M30&gt;0)*(IF(N30="",-1,N30)=0)*(1-(IF(N30="",-1,N30)&gt;=1)*(IF(N30="",-1,N30)&lt;=3)),IF(C30="peso_corporal",IF(ISNUMBER(E30),E30,0)+L30,L30)*M30*1000+L30,0),IF((P30&gt;0)*(IF(Q30="",-1,Q30)=0)*(1-(IF(Q30="",-1,Q30)&gt;=1)*(IF(Q30="",-1,Q30)&lt;=3)),IF(C30="peso_corporal",IF(ISNUMBER(E30),E30,0)+O30,O30)*P30*1000+O30,0),IF((S30&gt;0)*(IF(T30="",-1,T30)=0)*(1-(IF(T30="",-1,T30)&gt;=1)*(IF(T30="",-1,T30)&lt;=3)),IF(C30="peso_corporal",IF(ISNUMBER(E30),E30,0)+R30,R30)*S30*1000+R30,0))</f>
        <v>0</v>
      </c>
      <c r="Z30" s="69">
        <f>IF(Y30=0,0,IF(IF((S30&gt;0)*(IF(T30="",-1,T30)=0)*(1-(IF(T30="",-1,T30)&gt;=1)*(IF(T30="",-1,T30)&lt;=3)),IF(C30="peso_corporal",IF(ISNUMBER(E30),E30,0)+R30,R30)*S30*1000+R30,0)=Y30,5,IF(IF((P30&gt;0)*(IF(Q30="",-1,Q30)=0)*(1-(IF(Q30="",-1,Q30)&gt;=1)*(IF(Q30="",-1,Q30)&lt;=3)),IF(C30="peso_corporal",IF(ISNUMBER(E30),E30,0)+O30,O30)*P30*1000+O30,0)=Y30,4,IF(IF((M30&gt;0)*(IF(N30="",-1,N30)=0)*(1-(IF(N30="",-1,N30)&gt;=1)*(IF(N30="",-1,N30)&lt;=3)),IF(C30="peso_corporal",IF(ISNUMBER(E30),E30,0)+L30,L30)*M30*1000+L30,0)=Y30,3,IF(IF((J30&gt;0)*(IF(K30="",-1,K30)=0)*(1-(IF(K30="",-1,K30)&gt;=1)*(IF(K30="",-1,K30)&lt;=3)),IF(C30="peso_corporal",IF(ISNUMBER(E30),E30,0)+I30,I30)*J30*1000+I30,0)=Y30,2,IF(IF((G30&gt;0)*(IF(H30="",-1,H30)=0)*(1-(IF(H30="",-1,H30)&gt;=1)*(IF(H30="",-1,H30)&lt;=3)),IF(C30="peso_corporal",IF(ISNUMBER(E30),E30,0)+F30,F30)*G30*1000+F30,0)=Y30,1,0))))))</f>
        <v>0</v>
      </c>
      <c r="AA30" s="69">
        <f>MAX(IF((G30&gt;=6)*(1-(IF(H30="",-1,H30)&gt;=1)*(IF(H30="",-1,H30)&lt;=3))*(1-(IF(H30="",-1,H30)=0)),IF(C30="peso_corporal",IF(ISNUMBER(E30),E30,0)+F30,F30)*(30+G30)*100+F30,0),IF((J30&gt;=6)*(1-(IF(K30="",-1,K30)&gt;=1)*(IF(K30="",-1,K30)&lt;=3))*(1-(IF(K30="",-1,K30)=0)),IF(C30="peso_corporal",IF(ISNUMBER(E30),E30,0)+I30,I30)*(30+J30)*100+I30,0),IF((M30&gt;=6)*(1-(IF(N30="",-1,N30)&gt;=1)*(IF(N30="",-1,N30)&lt;=3))*(1-(IF(N30="",-1,N30)=0)),IF(C30="peso_corporal",IF(ISNUMBER(E30),E30,0)+L30,L30)*(30+M30)*100+L30,0),IF((P30&gt;=6)*(1-(IF(Q30="",-1,Q30)&gt;=1)*(IF(Q30="",-1,Q30)&lt;=3))*(1-(IF(Q30="",-1,Q30)=0)),IF(C30="peso_corporal",IF(ISNUMBER(E30),E30,0)+O30,O30)*(30+P30)*100+O30,0),IF((S30&gt;=6)*(1-(IF(T30="",-1,T30)&gt;=1)*(IF(T30="",-1,T30)&lt;=3))*(1-(IF(T30="",-1,T30)=0)),IF(C30="peso_corporal",IF(ISNUMBER(E30),E30,0)+R30,R30)*(30+S30)*100+R30,0))</f>
        <v>0</v>
      </c>
      <c r="AB30" s="69">
        <f>IF(AA30=0,0,IF(IF((S30&gt;=6)*(1-(IF(T30="",-1,T30)&gt;=1)*(IF(T30="",-1,T30)&lt;=3))*(1-(IF(T30="",-1,T30)=0)),IF(C30="peso_corporal",IF(ISNUMBER(E30),E30,0)+R30,R30)*(30+S30)*100+R30,0)=AA30,5,IF(IF((P30&gt;=6)*(1-(IF(Q30="",-1,Q30)&gt;=1)*(IF(Q30="",-1,Q30)&lt;=3))*(1-(IF(Q30="",-1,Q30)=0)),IF(C30="peso_corporal",IF(ISNUMBER(E30),E30,0)+O30,O30)*(30+P30)*100+O30,0)=AA30,4,IF(IF((M30&gt;=6)*(1-(IF(N30="",-1,N30)&gt;=1)*(IF(N30="",-1,N30)&lt;=3))*(1-(IF(N30="",-1,N30)=0)),IF(C30="peso_corporal",IF(ISNUMBER(E30),E30,0)+L30,L30)*(30+M30)*100+L30,0)=AA30,3,IF(IF((J30&gt;=6)*(1-(IF(K30="",-1,K30)&gt;=1)*(IF(K30="",-1,K30)&lt;=3))*(1-(IF(K30="",-1,K30)=0)),IF(C30="peso_corporal",IF(ISNUMBER(E30),E30,0)+I30,I30)*(30+J30)*100+I30,0)=AA30,2,IF(IF((G30&gt;=6)*(1-(IF(H30="",-1,H30)&gt;=1)*(IF(H30="",-1,H30)&lt;=3))*(1-(IF(H30="",-1,H30)=0)),IF(C30="peso_corporal",IF(ISNUMBER(E30),E30,0)+F30,F30)*(30+G30)*100+F30,0)=AA30,1,0))))))</f>
        <v>0</v>
      </c>
      <c r="AC30" s="69" t="str">
        <f>IF(X30&gt;0,"A"&amp;X30,IF(Z30&gt;0,"B"&amp;Z30,IF(AB30&gt;0,"C"&amp;AB30,"")))</f>
        <v/>
      </c>
    </row>
    <row r="31" spans="1:29" ht="6" customHeight="1">
      <c r="A31" s="13"/>
      <c r="B31" s="13"/>
      <c r="C31" s="13"/>
      <c r="D31" s="13"/>
      <c r="E31" s="13"/>
      <c r="F31" s="13"/>
      <c r="G31" s="13"/>
      <c r="H31" s="13"/>
      <c r="I31" s="13"/>
      <c r="J31" s="13"/>
      <c r="K31" s="13"/>
      <c r="L31" s="13"/>
      <c r="M31" s="13"/>
      <c r="N31" s="13"/>
      <c r="O31" s="13"/>
      <c r="P31" s="13"/>
      <c r="Q31" s="13"/>
      <c r="R31" s="13"/>
      <c r="S31" s="13"/>
      <c r="T31" s="13"/>
      <c r="U31" s="13"/>
      <c r="V31" s="13"/>
      <c r="W31" s="69"/>
      <c r="X31" s="69"/>
      <c r="Y31" s="69"/>
      <c r="Z31" s="69"/>
      <c r="AA31" s="69"/>
      <c r="AB31" s="69"/>
      <c r="AC31" s="69"/>
    </row>
    <row r="32" spans="1:29" ht="18" customHeight="1">
      <c r="A32" s="85" t="s">
        <v>59</v>
      </c>
      <c r="B32" s="73"/>
      <c r="C32" s="73"/>
      <c r="D32" s="73"/>
      <c r="E32" s="73"/>
      <c r="F32" s="73"/>
      <c r="G32" s="73"/>
      <c r="H32" s="73"/>
      <c r="I32" s="73"/>
      <c r="J32" s="73"/>
      <c r="K32" s="73"/>
      <c r="L32" s="73"/>
      <c r="M32" s="73"/>
      <c r="N32" s="73"/>
      <c r="O32" s="73"/>
      <c r="P32" s="73"/>
      <c r="Q32" s="73"/>
      <c r="R32" s="73"/>
      <c r="S32" s="73"/>
      <c r="T32" s="73"/>
      <c r="U32" s="73"/>
      <c r="V32" s="73"/>
      <c r="W32" s="69"/>
      <c r="X32" s="69"/>
      <c r="Y32" s="69"/>
      <c r="Z32" s="69"/>
      <c r="AA32" s="69"/>
      <c r="AB32" s="69"/>
      <c r="AC32" s="69"/>
    </row>
    <row r="33" spans="1:29" ht="15" customHeight="1">
      <c r="A33" s="75" t="s">
        <v>28</v>
      </c>
      <c r="B33" s="73"/>
      <c r="C33" s="73"/>
      <c r="D33" s="73"/>
      <c r="E33" s="73"/>
      <c r="F33" s="73"/>
      <c r="G33" s="73"/>
      <c r="H33" s="73"/>
      <c r="I33" s="73"/>
      <c r="J33" s="73"/>
      <c r="K33" s="73"/>
      <c r="L33" s="73"/>
      <c r="M33" s="73"/>
      <c r="N33" s="73"/>
      <c r="O33" s="73"/>
      <c r="P33" s="73"/>
      <c r="Q33" s="73"/>
      <c r="R33" s="73"/>
      <c r="S33" s="73"/>
      <c r="T33" s="73"/>
      <c r="U33" s="73"/>
      <c r="V33" s="73"/>
      <c r="W33" s="69"/>
      <c r="X33" s="69"/>
      <c r="Y33" s="69"/>
      <c r="Z33" s="69"/>
      <c r="AA33" s="69"/>
      <c r="AB33" s="69"/>
      <c r="AC33" s="69"/>
    </row>
    <row r="34" spans="1:29" ht="11.1" customHeight="1">
      <c r="A34" s="76" t="s">
        <v>29</v>
      </c>
      <c r="B34" s="73"/>
      <c r="C34" s="73"/>
      <c r="D34" s="73"/>
      <c r="E34" s="73"/>
      <c r="F34" s="73"/>
      <c r="G34" s="73"/>
      <c r="H34" s="73"/>
      <c r="I34" s="73"/>
      <c r="J34" s="73"/>
      <c r="K34" s="73"/>
      <c r="L34" s="73"/>
      <c r="M34" s="73"/>
      <c r="N34" s="73"/>
      <c r="O34" s="73"/>
      <c r="P34" s="73"/>
      <c r="Q34" s="73"/>
      <c r="R34" s="73"/>
      <c r="S34" s="73"/>
      <c r="T34" s="73"/>
      <c r="U34" s="73"/>
      <c r="V34" s="73"/>
      <c r="W34" s="69"/>
      <c r="X34" s="69"/>
      <c r="Y34" s="69"/>
      <c r="Z34" s="69"/>
      <c r="AA34" s="69"/>
      <c r="AB34" s="69"/>
      <c r="AC34" s="69"/>
    </row>
    <row r="35" spans="1:29" ht="20.100000000000001" customHeight="1">
      <c r="A35" s="14" t="s">
        <v>30</v>
      </c>
      <c r="B35" s="15" t="s">
        <v>60</v>
      </c>
      <c r="C35" s="16" t="str">
        <f>IFERROR(INDEX(EJERCICIOS!$D$3:$D$75,MATCH(A35&amp;"|"&amp;B35,EJERCICIOS!$G$3:$G$75,0)),"--")</f>
        <v>disco</v>
      </c>
      <c r="D35" s="17">
        <v>3</v>
      </c>
      <c r="E35" s="18">
        <f>IFERROR(LOOKUP(2,1/(MEDIDAS_Y_PESO!$B$3:$B$4&lt;&gt;""),MEDIDAS_Y_PESO!$B$3:$B$4),"--")</f>
        <v>80</v>
      </c>
      <c r="F35" s="19"/>
      <c r="G35" s="20"/>
      <c r="H35" s="21"/>
      <c r="I35" s="19"/>
      <c r="J35" s="20"/>
      <c r="K35" s="21"/>
      <c r="L35" s="19"/>
      <c r="M35" s="20"/>
      <c r="N35" s="21"/>
      <c r="O35" s="19"/>
      <c r="P35" s="20"/>
      <c r="Q35" s="21"/>
      <c r="R35" s="19"/>
      <c r="S35" s="20"/>
      <c r="T35" s="21"/>
      <c r="U35" s="22" t="str">
        <f>IFERROR(IF(IF(X35&gt;0,X35,IF(Z35&gt;0,Z35,IF(AB35&gt;0,AB35,0)))=0,"--",ROUND(CHOOSE(IF(X35&gt;0,X35,IF(Z35&gt;0,Z35,IF(AB35&gt;0,AB35,0))),IF(C35="peso_corporal",IF(ISNUMBER(E35),E35,0)+F35,F35)*(1+G35/30),IF(C35="peso_corporal",IF(ISNUMBER(E35),E35,0)+I35,I35)*(1+J35/30),IF(C35="peso_corporal",IF(ISNUMBER(E35),E35,0)+L35,L35)*(1+M35/30),IF(C35="peso_corporal",IF(ISNUMBER(E35),E35,0)+O35,O35)*(1+P35/30),IF(C35="peso_corporal",IF(ISNUMBER(E35),E35,0)+R35,R35)*(1+S35/30)),1)),"--")</f>
        <v>--</v>
      </c>
      <c r="V35" s="23" t="str">
        <f>IF(SUGERENCIAS!N67="SIN","Sin datos anteriores",IF(SUGERENCIAS!N67="SUBIR_F","^ SUBIR FUERTE | Kg:"&amp;ROUND(SUGERENCIAS!K67,1)&amp;" R:"&amp;ROUND(SUGERENCIAS!L67,0)&amp;" RIR:"&amp;ROUND(SUGERENCIAS!M67,0),IF(SUGERENCIAS!N67="SUBIR_E","^ SUBIR (Est.) | Kg:"&amp;ROUND(SUGERENCIAS!K67,1)&amp;" R:"&amp;ROUND(SUGERENCIAS!L67,0)&amp;" RIR:"&amp;ROUND(SUGERENCIAS!M67,0),IF(SUGERENCIAS!N67="SUBIR","^ SUBIR | Kg:"&amp;ROUND(SUGERENCIAS!K67,1)&amp;" R:"&amp;ROUND(SUGERENCIAS!L67,0)&amp;" RIR:"&amp;ROUND(SUGERENCIAS!M67,0),IF(SUGERENCIAS!N67="BAJAR","v BAJAR | Kg:"&amp;ROUND(SUGERENCIAS!K67,1)&amp;" R:"&amp;ROUND(SUGERENCIAS!L67,0)&amp;" RIR:"&amp;ROUND(SUGERENCIAS!M67,0),"= MANT | Kg:"&amp;ROUND(SUGERENCIAS!K67,1)&amp;" R:"&amp;ROUND(SUGERENCIAS!L67,0)&amp;" RIR:"&amp;ROUND(SUGERENCIAS!M67,0))))))</f>
        <v>Sin datos anteriores</v>
      </c>
      <c r="W35" s="69">
        <f>MAX(IF((G35&gt;0)*(IF(H35="",-1,H35)&gt;=1)*(IF(H35="",-1,H35)&lt;=3),IF(C35="peso_corporal",IF(ISNUMBER(E35),E35,0)+F35,F35)*G35*1000+F35,0),IF((J35&gt;0)*(IF(K35="",-1,K35)&gt;=1)*(IF(K35="",-1,K35)&lt;=3),IF(C35="peso_corporal",IF(ISNUMBER(E35),E35,0)+I35,I35)*J35*1000+I35,0),IF((M35&gt;0)*(IF(N35="",-1,N35)&gt;=1)*(IF(N35="",-1,N35)&lt;=3),IF(C35="peso_corporal",IF(ISNUMBER(E35),E35,0)+L35,L35)*M35*1000+L35,0),IF((P35&gt;0)*(IF(Q35="",-1,Q35)&gt;=1)*(IF(Q35="",-1,Q35)&lt;=3),IF(C35="peso_corporal",IF(ISNUMBER(E35),E35,0)+O35,O35)*P35*1000+O35,0),IF((S35&gt;0)*(IF(T35="",-1,T35)&gt;=1)*(IF(T35="",-1,T35)&lt;=3),IF(C35="peso_corporal",IF(ISNUMBER(E35),E35,0)+R35,R35)*S35*1000+R35,0))</f>
        <v>0</v>
      </c>
      <c r="X35" s="69">
        <f>IF(W35=0,0,IF(IF((S35&gt;0)*(IF(T35="",-1,T35)&gt;=1)*(IF(T35="",-1,T35)&lt;=3),IF(C35="peso_corporal",IF(ISNUMBER(E35),E35,0)+R35,R35)*S35*1000+R35,0)=W35,5,IF(IF((P35&gt;0)*(IF(Q35="",-1,Q35)&gt;=1)*(IF(Q35="",-1,Q35)&lt;=3),IF(C35="peso_corporal",IF(ISNUMBER(E35),E35,0)+O35,O35)*P35*1000+O35,0)=W35,4,IF(IF((M35&gt;0)*(IF(N35="",-1,N35)&gt;=1)*(IF(N35="",-1,N35)&lt;=3),IF(C35="peso_corporal",IF(ISNUMBER(E35),E35,0)+L35,L35)*M35*1000+L35,0)=W35,3,IF(IF((J35&gt;0)*(IF(K35="",-1,K35)&gt;=1)*(IF(K35="",-1,K35)&lt;=3),IF(C35="peso_corporal",IF(ISNUMBER(E35),E35,0)+I35,I35)*J35*1000+I35,0)=W35,2,IF(IF((G35&gt;0)*(IF(H35="",-1,H35)&gt;=1)*(IF(H35="",-1,H35)&lt;=3),IF(C35="peso_corporal",IF(ISNUMBER(E35),E35,0)+F35,F35)*G35*1000+F35,0)=W35,1,0))))))</f>
        <v>0</v>
      </c>
      <c r="Y35" s="69">
        <f>MAX(IF((G35&gt;0)*(IF(H35="",-1,H35)=0)*(1-(IF(H35="",-1,H35)&gt;=1)*(IF(H35="",-1,H35)&lt;=3)),IF(C35="peso_corporal",IF(ISNUMBER(E35),E35,0)+F35,F35)*G35*1000+F35,0),IF((J35&gt;0)*(IF(K35="",-1,K35)=0)*(1-(IF(K35="",-1,K35)&gt;=1)*(IF(K35="",-1,K35)&lt;=3)),IF(C35="peso_corporal",IF(ISNUMBER(E35),E35,0)+I35,I35)*J35*1000+I35,0),IF((M35&gt;0)*(IF(N35="",-1,N35)=0)*(1-(IF(N35="",-1,N35)&gt;=1)*(IF(N35="",-1,N35)&lt;=3)),IF(C35="peso_corporal",IF(ISNUMBER(E35),E35,0)+L35,L35)*M35*1000+L35,0),IF((P35&gt;0)*(IF(Q35="",-1,Q35)=0)*(1-(IF(Q35="",-1,Q35)&gt;=1)*(IF(Q35="",-1,Q35)&lt;=3)),IF(C35="peso_corporal",IF(ISNUMBER(E35),E35,0)+O35,O35)*P35*1000+O35,0),IF((S35&gt;0)*(IF(T35="",-1,T35)=0)*(1-(IF(T35="",-1,T35)&gt;=1)*(IF(T35="",-1,T35)&lt;=3)),IF(C35="peso_corporal",IF(ISNUMBER(E35),E35,0)+R35,R35)*S35*1000+R35,0))</f>
        <v>0</v>
      </c>
      <c r="Z35" s="69">
        <f>IF(Y35=0,0,IF(IF((S35&gt;0)*(IF(T35="",-1,T35)=0)*(1-(IF(T35="",-1,T35)&gt;=1)*(IF(T35="",-1,T35)&lt;=3)),IF(C35="peso_corporal",IF(ISNUMBER(E35),E35,0)+R35,R35)*S35*1000+R35,0)=Y35,5,IF(IF((P35&gt;0)*(IF(Q35="",-1,Q35)=0)*(1-(IF(Q35="",-1,Q35)&gt;=1)*(IF(Q35="",-1,Q35)&lt;=3)),IF(C35="peso_corporal",IF(ISNUMBER(E35),E35,0)+O35,O35)*P35*1000+O35,0)=Y35,4,IF(IF((M35&gt;0)*(IF(N35="",-1,N35)=0)*(1-(IF(N35="",-1,N35)&gt;=1)*(IF(N35="",-1,N35)&lt;=3)),IF(C35="peso_corporal",IF(ISNUMBER(E35),E35,0)+L35,L35)*M35*1000+L35,0)=Y35,3,IF(IF((J35&gt;0)*(IF(K35="",-1,K35)=0)*(1-(IF(K35="",-1,K35)&gt;=1)*(IF(K35="",-1,K35)&lt;=3)),IF(C35="peso_corporal",IF(ISNUMBER(E35),E35,0)+I35,I35)*J35*1000+I35,0)=Y35,2,IF(IF((G35&gt;0)*(IF(H35="",-1,H35)=0)*(1-(IF(H35="",-1,H35)&gt;=1)*(IF(H35="",-1,H35)&lt;=3)),IF(C35="peso_corporal",IF(ISNUMBER(E35),E35,0)+F35,F35)*G35*1000+F35,0)=Y35,1,0))))))</f>
        <v>0</v>
      </c>
      <c r="AA35" s="69">
        <f>MAX(IF((G35&gt;=6)*(1-(IF(H35="",-1,H35)&gt;=1)*(IF(H35="",-1,H35)&lt;=3))*(1-(IF(H35="",-1,H35)=0)),IF(C35="peso_corporal",IF(ISNUMBER(E35),E35,0)+F35,F35)*(30+G35)*100+F35,0),IF((J35&gt;=6)*(1-(IF(K35="",-1,K35)&gt;=1)*(IF(K35="",-1,K35)&lt;=3))*(1-(IF(K35="",-1,K35)=0)),IF(C35="peso_corporal",IF(ISNUMBER(E35),E35,0)+I35,I35)*(30+J35)*100+I35,0),IF((M35&gt;=6)*(1-(IF(N35="",-1,N35)&gt;=1)*(IF(N35="",-1,N35)&lt;=3))*(1-(IF(N35="",-1,N35)=0)),IF(C35="peso_corporal",IF(ISNUMBER(E35),E35,0)+L35,L35)*(30+M35)*100+L35,0),IF((P35&gt;=6)*(1-(IF(Q35="",-1,Q35)&gt;=1)*(IF(Q35="",-1,Q35)&lt;=3))*(1-(IF(Q35="",-1,Q35)=0)),IF(C35="peso_corporal",IF(ISNUMBER(E35),E35,0)+O35,O35)*(30+P35)*100+O35,0),IF((S35&gt;=6)*(1-(IF(T35="",-1,T35)&gt;=1)*(IF(T35="",-1,T35)&lt;=3))*(1-(IF(T35="",-1,T35)=0)),IF(C35="peso_corporal",IF(ISNUMBER(E35),E35,0)+R35,R35)*(30+S35)*100+R35,0))</f>
        <v>0</v>
      </c>
      <c r="AB35" s="69">
        <f>IF(AA35=0,0,IF(IF((S35&gt;=6)*(1-(IF(T35="",-1,T35)&gt;=1)*(IF(T35="",-1,T35)&lt;=3))*(1-(IF(T35="",-1,T35)=0)),IF(C35="peso_corporal",IF(ISNUMBER(E35),E35,0)+R35,R35)*(30+S35)*100+R35,0)=AA35,5,IF(IF((P35&gt;=6)*(1-(IF(Q35="",-1,Q35)&gt;=1)*(IF(Q35="",-1,Q35)&lt;=3))*(1-(IF(Q35="",-1,Q35)=0)),IF(C35="peso_corporal",IF(ISNUMBER(E35),E35,0)+O35,O35)*(30+P35)*100+O35,0)=AA35,4,IF(IF((M35&gt;=6)*(1-(IF(N35="",-1,N35)&gt;=1)*(IF(N35="",-1,N35)&lt;=3))*(1-(IF(N35="",-1,N35)=0)),IF(C35="peso_corporal",IF(ISNUMBER(E35),E35,0)+L35,L35)*(30+M35)*100+L35,0)=AA35,3,IF(IF((J35&gt;=6)*(1-(IF(K35="",-1,K35)&gt;=1)*(IF(K35="",-1,K35)&lt;=3))*(1-(IF(K35="",-1,K35)=0)),IF(C35="peso_corporal",IF(ISNUMBER(E35),E35,0)+I35,I35)*(30+J35)*100+I35,0)=AA35,2,IF(IF((G35&gt;=6)*(1-(IF(H35="",-1,H35)&gt;=1)*(IF(H35="",-1,H35)&lt;=3))*(1-(IF(H35="",-1,H35)=0)),IF(C35="peso_corporal",IF(ISNUMBER(E35),E35,0)+F35,F35)*(30+G35)*100+F35,0)=AA35,1,0))))))</f>
        <v>0</v>
      </c>
      <c r="AC35" s="69" t="str">
        <f>IF(X35&gt;0,"A"&amp;X35,IF(Z35&gt;0,"B"&amp;Z35,IF(AB35&gt;0,"C"&amp;AB35,"")))</f>
        <v/>
      </c>
    </row>
    <row r="36" spans="1:29" ht="11.1" customHeight="1">
      <c r="A36" s="84" t="s">
        <v>32</v>
      </c>
      <c r="B36" s="73"/>
      <c r="C36" s="73"/>
      <c r="D36" s="73"/>
      <c r="E36" s="73"/>
      <c r="F36" s="73"/>
      <c r="G36" s="73"/>
      <c r="H36" s="73"/>
      <c r="I36" s="73"/>
      <c r="J36" s="73"/>
      <c r="K36" s="73"/>
      <c r="L36" s="73"/>
      <c r="M36" s="73"/>
      <c r="N36" s="73"/>
      <c r="O36" s="73"/>
      <c r="P36" s="73"/>
      <c r="Q36" s="73"/>
      <c r="R36" s="73"/>
      <c r="S36" s="73"/>
      <c r="T36" s="73"/>
      <c r="U36" s="73"/>
      <c r="V36" s="73"/>
      <c r="W36" s="69"/>
      <c r="X36" s="69"/>
      <c r="Y36" s="69"/>
      <c r="Z36" s="69"/>
      <c r="AA36" s="69"/>
      <c r="AB36" s="69"/>
      <c r="AC36" s="69"/>
    </row>
    <row r="37" spans="1:29" ht="20.100000000000001" customHeight="1">
      <c r="A37" s="14" t="s">
        <v>61</v>
      </c>
      <c r="B37" s="15" t="s">
        <v>31</v>
      </c>
      <c r="C37" s="16" t="str">
        <f>IFERROR(INDEX(EJERCICIOS!$D$3:$D$75,MATCH(A37&amp;"|"&amp;B37,EJERCICIOS!$G$3:$G$75,0)),"--")</f>
        <v>mancuerna</v>
      </c>
      <c r="D37" s="17">
        <v>3</v>
      </c>
      <c r="E37" s="18">
        <f>IFERROR(LOOKUP(2,1/(MEDIDAS_Y_PESO!$B$3:$B$4&lt;&gt;""),MEDIDAS_Y_PESO!$B$3:$B$4),"--")</f>
        <v>80</v>
      </c>
      <c r="F37" s="19"/>
      <c r="G37" s="20"/>
      <c r="H37" s="21"/>
      <c r="I37" s="19"/>
      <c r="J37" s="20"/>
      <c r="K37" s="21"/>
      <c r="L37" s="19"/>
      <c r="M37" s="20"/>
      <c r="N37" s="21"/>
      <c r="O37" s="19"/>
      <c r="P37" s="20"/>
      <c r="Q37" s="21"/>
      <c r="R37" s="19"/>
      <c r="S37" s="20"/>
      <c r="T37" s="21"/>
      <c r="U37" s="22" t="str">
        <f>IFERROR(IF(IF(X37&gt;0,X37,IF(Z37&gt;0,Z37,IF(AB37&gt;0,AB37,0)))=0,"--",ROUND(CHOOSE(IF(X37&gt;0,X37,IF(Z37&gt;0,Z37,IF(AB37&gt;0,AB37,0))),IF(C37="peso_corporal",IF(ISNUMBER(E37),E37,0)+F37,F37)*(1+G37/30),IF(C37="peso_corporal",IF(ISNUMBER(E37),E37,0)+I37,I37)*(1+J37/30),IF(C37="peso_corporal",IF(ISNUMBER(E37),E37,0)+L37,L37)*(1+M37/30),IF(C37="peso_corporal",IF(ISNUMBER(E37),E37,0)+O37,O37)*(1+P37/30),IF(C37="peso_corporal",IF(ISNUMBER(E37),E37,0)+R37,R37)*(1+S37/30)),1)),"--")</f>
        <v>--</v>
      </c>
      <c r="V37" s="23" t="str">
        <f>IF(SUGERENCIAS!N68="SIN","Sin datos anteriores",IF(SUGERENCIAS!N68="SUBIR_F","^ SUBIR FUERTE | Kg:"&amp;ROUND(SUGERENCIAS!K68,1)&amp;" R:"&amp;ROUND(SUGERENCIAS!L68,0)&amp;" RIR:"&amp;ROUND(SUGERENCIAS!M68,0),IF(SUGERENCIAS!N68="SUBIR_E","^ SUBIR (Est.) | Kg:"&amp;ROUND(SUGERENCIAS!K68,1)&amp;" R:"&amp;ROUND(SUGERENCIAS!L68,0)&amp;" RIR:"&amp;ROUND(SUGERENCIAS!M68,0),IF(SUGERENCIAS!N68="SUBIR","^ SUBIR | Kg:"&amp;ROUND(SUGERENCIAS!K68,1)&amp;" R:"&amp;ROUND(SUGERENCIAS!L68,0)&amp;" RIR:"&amp;ROUND(SUGERENCIAS!M68,0),IF(SUGERENCIAS!N68="BAJAR","v BAJAR | Kg:"&amp;ROUND(SUGERENCIAS!K68,1)&amp;" R:"&amp;ROUND(SUGERENCIAS!L68,0)&amp;" RIR:"&amp;ROUND(SUGERENCIAS!M68,0),"= MANT | Kg:"&amp;ROUND(SUGERENCIAS!K68,1)&amp;" R:"&amp;ROUND(SUGERENCIAS!L68,0)&amp;" RIR:"&amp;ROUND(SUGERENCIAS!M68,0))))))</f>
        <v>Sin datos anteriores</v>
      </c>
      <c r="W37" s="69">
        <f>MAX(IF((G37&gt;0)*(IF(H37="",-1,H37)&gt;=1)*(IF(H37="",-1,H37)&lt;=3),IF(C37="peso_corporal",IF(ISNUMBER(E37),E37,0)+F37,F37)*G37*1000+F37,0),IF((J37&gt;0)*(IF(K37="",-1,K37)&gt;=1)*(IF(K37="",-1,K37)&lt;=3),IF(C37="peso_corporal",IF(ISNUMBER(E37),E37,0)+I37,I37)*J37*1000+I37,0),IF((M37&gt;0)*(IF(N37="",-1,N37)&gt;=1)*(IF(N37="",-1,N37)&lt;=3),IF(C37="peso_corporal",IF(ISNUMBER(E37),E37,0)+L37,L37)*M37*1000+L37,0),IF((P37&gt;0)*(IF(Q37="",-1,Q37)&gt;=1)*(IF(Q37="",-1,Q37)&lt;=3),IF(C37="peso_corporal",IF(ISNUMBER(E37),E37,0)+O37,O37)*P37*1000+O37,0),IF((S37&gt;0)*(IF(T37="",-1,T37)&gt;=1)*(IF(T37="",-1,T37)&lt;=3),IF(C37="peso_corporal",IF(ISNUMBER(E37),E37,0)+R37,R37)*S37*1000+R37,0))</f>
        <v>0</v>
      </c>
      <c r="X37" s="69">
        <f>IF(W37=0,0,IF(IF((S37&gt;0)*(IF(T37="",-1,T37)&gt;=1)*(IF(T37="",-1,T37)&lt;=3),IF(C37="peso_corporal",IF(ISNUMBER(E37),E37,0)+R37,R37)*S37*1000+R37,0)=W37,5,IF(IF((P37&gt;0)*(IF(Q37="",-1,Q37)&gt;=1)*(IF(Q37="",-1,Q37)&lt;=3),IF(C37="peso_corporal",IF(ISNUMBER(E37),E37,0)+O37,O37)*P37*1000+O37,0)=W37,4,IF(IF((M37&gt;0)*(IF(N37="",-1,N37)&gt;=1)*(IF(N37="",-1,N37)&lt;=3),IF(C37="peso_corporal",IF(ISNUMBER(E37),E37,0)+L37,L37)*M37*1000+L37,0)=W37,3,IF(IF((J37&gt;0)*(IF(K37="",-1,K37)&gt;=1)*(IF(K37="",-1,K37)&lt;=3),IF(C37="peso_corporal",IF(ISNUMBER(E37),E37,0)+I37,I37)*J37*1000+I37,0)=W37,2,IF(IF((G37&gt;0)*(IF(H37="",-1,H37)&gt;=1)*(IF(H37="",-1,H37)&lt;=3),IF(C37="peso_corporal",IF(ISNUMBER(E37),E37,0)+F37,F37)*G37*1000+F37,0)=W37,1,0))))))</f>
        <v>0</v>
      </c>
      <c r="Y37" s="69">
        <f>MAX(IF((G37&gt;0)*(IF(H37="",-1,H37)=0)*(1-(IF(H37="",-1,H37)&gt;=1)*(IF(H37="",-1,H37)&lt;=3)),IF(C37="peso_corporal",IF(ISNUMBER(E37),E37,0)+F37,F37)*G37*1000+F37,0),IF((J37&gt;0)*(IF(K37="",-1,K37)=0)*(1-(IF(K37="",-1,K37)&gt;=1)*(IF(K37="",-1,K37)&lt;=3)),IF(C37="peso_corporal",IF(ISNUMBER(E37),E37,0)+I37,I37)*J37*1000+I37,0),IF((M37&gt;0)*(IF(N37="",-1,N37)=0)*(1-(IF(N37="",-1,N37)&gt;=1)*(IF(N37="",-1,N37)&lt;=3)),IF(C37="peso_corporal",IF(ISNUMBER(E37),E37,0)+L37,L37)*M37*1000+L37,0),IF((P37&gt;0)*(IF(Q37="",-1,Q37)=0)*(1-(IF(Q37="",-1,Q37)&gt;=1)*(IF(Q37="",-1,Q37)&lt;=3)),IF(C37="peso_corporal",IF(ISNUMBER(E37),E37,0)+O37,O37)*P37*1000+O37,0),IF((S37&gt;0)*(IF(T37="",-1,T37)=0)*(1-(IF(T37="",-1,T37)&gt;=1)*(IF(T37="",-1,T37)&lt;=3)),IF(C37="peso_corporal",IF(ISNUMBER(E37),E37,0)+R37,R37)*S37*1000+R37,0))</f>
        <v>0</v>
      </c>
      <c r="Z37" s="69">
        <f>IF(Y37=0,0,IF(IF((S37&gt;0)*(IF(T37="",-1,T37)=0)*(1-(IF(T37="",-1,T37)&gt;=1)*(IF(T37="",-1,T37)&lt;=3)),IF(C37="peso_corporal",IF(ISNUMBER(E37),E37,0)+R37,R37)*S37*1000+R37,0)=Y37,5,IF(IF((P37&gt;0)*(IF(Q37="",-1,Q37)=0)*(1-(IF(Q37="",-1,Q37)&gt;=1)*(IF(Q37="",-1,Q37)&lt;=3)),IF(C37="peso_corporal",IF(ISNUMBER(E37),E37,0)+O37,O37)*P37*1000+O37,0)=Y37,4,IF(IF((M37&gt;0)*(IF(N37="",-1,N37)=0)*(1-(IF(N37="",-1,N37)&gt;=1)*(IF(N37="",-1,N37)&lt;=3)),IF(C37="peso_corporal",IF(ISNUMBER(E37),E37,0)+L37,L37)*M37*1000+L37,0)=Y37,3,IF(IF((J37&gt;0)*(IF(K37="",-1,K37)=0)*(1-(IF(K37="",-1,K37)&gt;=1)*(IF(K37="",-1,K37)&lt;=3)),IF(C37="peso_corporal",IF(ISNUMBER(E37),E37,0)+I37,I37)*J37*1000+I37,0)=Y37,2,IF(IF((G37&gt;0)*(IF(H37="",-1,H37)=0)*(1-(IF(H37="",-1,H37)&gt;=1)*(IF(H37="",-1,H37)&lt;=3)),IF(C37="peso_corporal",IF(ISNUMBER(E37),E37,0)+F37,F37)*G37*1000+F37,0)=Y37,1,0))))))</f>
        <v>0</v>
      </c>
      <c r="AA37" s="69">
        <f>MAX(IF((G37&gt;=6)*(1-(IF(H37="",-1,H37)&gt;=1)*(IF(H37="",-1,H37)&lt;=3))*(1-(IF(H37="",-1,H37)=0)),IF(C37="peso_corporal",IF(ISNUMBER(E37),E37,0)+F37,F37)*(30+G37)*100+F37,0),IF((J37&gt;=6)*(1-(IF(K37="",-1,K37)&gt;=1)*(IF(K37="",-1,K37)&lt;=3))*(1-(IF(K37="",-1,K37)=0)),IF(C37="peso_corporal",IF(ISNUMBER(E37),E37,0)+I37,I37)*(30+J37)*100+I37,0),IF((M37&gt;=6)*(1-(IF(N37="",-1,N37)&gt;=1)*(IF(N37="",-1,N37)&lt;=3))*(1-(IF(N37="",-1,N37)=0)),IF(C37="peso_corporal",IF(ISNUMBER(E37),E37,0)+L37,L37)*(30+M37)*100+L37,0),IF((P37&gt;=6)*(1-(IF(Q37="",-1,Q37)&gt;=1)*(IF(Q37="",-1,Q37)&lt;=3))*(1-(IF(Q37="",-1,Q37)=0)),IF(C37="peso_corporal",IF(ISNUMBER(E37),E37,0)+O37,O37)*(30+P37)*100+O37,0),IF((S37&gt;=6)*(1-(IF(T37="",-1,T37)&gt;=1)*(IF(T37="",-1,T37)&lt;=3))*(1-(IF(T37="",-1,T37)=0)),IF(C37="peso_corporal",IF(ISNUMBER(E37),E37,0)+R37,R37)*(30+S37)*100+R37,0))</f>
        <v>0</v>
      </c>
      <c r="AB37" s="69">
        <f>IF(AA37=0,0,IF(IF((S37&gt;=6)*(1-(IF(T37="",-1,T37)&gt;=1)*(IF(T37="",-1,T37)&lt;=3))*(1-(IF(T37="",-1,T37)=0)),IF(C37="peso_corporal",IF(ISNUMBER(E37),E37,0)+R37,R37)*(30+S37)*100+R37,0)=AA37,5,IF(IF((P37&gt;=6)*(1-(IF(Q37="",-1,Q37)&gt;=1)*(IF(Q37="",-1,Q37)&lt;=3))*(1-(IF(Q37="",-1,Q37)=0)),IF(C37="peso_corporal",IF(ISNUMBER(E37),E37,0)+O37,O37)*(30+P37)*100+O37,0)=AA37,4,IF(IF((M37&gt;=6)*(1-(IF(N37="",-1,N37)&gt;=1)*(IF(N37="",-1,N37)&lt;=3))*(1-(IF(N37="",-1,N37)=0)),IF(C37="peso_corporal",IF(ISNUMBER(E37),E37,0)+L37,L37)*(30+M37)*100+L37,0)=AA37,3,IF(IF((J37&gt;=6)*(1-(IF(K37="",-1,K37)&gt;=1)*(IF(K37="",-1,K37)&lt;=3))*(1-(IF(K37="",-1,K37)=0)),IF(C37="peso_corporal",IF(ISNUMBER(E37),E37,0)+I37,I37)*(30+J37)*100+I37,0)=AA37,2,IF(IF((G37&gt;=6)*(1-(IF(H37="",-1,H37)&gt;=1)*(IF(H37="",-1,H37)&lt;=3))*(1-(IF(H37="",-1,H37)=0)),IF(C37="peso_corporal",IF(ISNUMBER(E37),E37,0)+F37,F37)*(30+G37)*100+F37,0)=AA37,1,0))))))</f>
        <v>0</v>
      </c>
      <c r="AC37" s="69" t="str">
        <f>IF(X37&gt;0,"A"&amp;X37,IF(Z37&gt;0,"B"&amp;Z37,IF(AB37&gt;0,"C"&amp;AB37,"")))</f>
        <v/>
      </c>
    </row>
    <row r="38" spans="1:29" ht="11.1" customHeight="1">
      <c r="A38" s="87" t="s">
        <v>35</v>
      </c>
      <c r="B38" s="73"/>
      <c r="C38" s="73"/>
      <c r="D38" s="73"/>
      <c r="E38" s="73"/>
      <c r="F38" s="73"/>
      <c r="G38" s="73"/>
      <c r="H38" s="73"/>
      <c r="I38" s="73"/>
      <c r="J38" s="73"/>
      <c r="K38" s="73"/>
      <c r="L38" s="73"/>
      <c r="M38" s="73"/>
      <c r="N38" s="73"/>
      <c r="O38" s="73"/>
      <c r="P38" s="73"/>
      <c r="Q38" s="73"/>
      <c r="R38" s="73"/>
      <c r="S38" s="73"/>
      <c r="T38" s="73"/>
      <c r="U38" s="73"/>
      <c r="V38" s="73"/>
      <c r="W38" s="69"/>
      <c r="X38" s="69"/>
      <c r="Y38" s="69"/>
      <c r="Z38" s="69"/>
      <c r="AA38" s="69"/>
      <c r="AB38" s="69"/>
      <c r="AC38" s="69"/>
    </row>
    <row r="39" spans="1:29" ht="20.100000000000001" customHeight="1">
      <c r="A39" s="14" t="s">
        <v>36</v>
      </c>
      <c r="B39" s="15" t="s">
        <v>37</v>
      </c>
      <c r="C39" s="16" t="str">
        <f>IFERROR(INDEX(EJERCICIOS!$D$3:$D$75,MATCH(A39&amp;"|"&amp;B39,EJERCICIOS!$G$3:$G$75,0)),"--")</f>
        <v>peso_corporal</v>
      </c>
      <c r="D39" s="17">
        <v>3</v>
      </c>
      <c r="E39" s="18">
        <f>IFERROR(LOOKUP(2,1/(MEDIDAS_Y_PESO!$B$3:$B$4&lt;&gt;""),MEDIDAS_Y_PESO!$B$3:$B$4),"--")</f>
        <v>80</v>
      </c>
      <c r="F39" s="19"/>
      <c r="G39" s="20"/>
      <c r="H39" s="21"/>
      <c r="I39" s="19"/>
      <c r="J39" s="20"/>
      <c r="K39" s="21"/>
      <c r="L39" s="19"/>
      <c r="M39" s="20"/>
      <c r="N39" s="21"/>
      <c r="O39" s="19"/>
      <c r="P39" s="20"/>
      <c r="Q39" s="21"/>
      <c r="R39" s="19"/>
      <c r="S39" s="20"/>
      <c r="T39" s="21"/>
      <c r="U39" s="22" t="str">
        <f>IFERROR(IF(IF(X39&gt;0,X39,IF(Z39&gt;0,Z39,IF(AB39&gt;0,AB39,0)))=0,"--",ROUND(CHOOSE(IF(X39&gt;0,X39,IF(Z39&gt;0,Z39,IF(AB39&gt;0,AB39,0))),IF(C39="peso_corporal",IF(ISNUMBER(E39),E39,0)+F39,F39)*(1+G39/30),IF(C39="peso_corporal",IF(ISNUMBER(E39),E39,0)+I39,I39)*(1+J39/30),IF(C39="peso_corporal",IF(ISNUMBER(E39),E39,0)+L39,L39)*(1+M39/30),IF(C39="peso_corporal",IF(ISNUMBER(E39),E39,0)+O39,O39)*(1+P39/30),IF(C39="peso_corporal",IF(ISNUMBER(E39),E39,0)+R39,R39)*(1+S39/30)),1)),"--")</f>
        <v>--</v>
      </c>
      <c r="V39" s="23" t="str">
        <f>IF(SUGERENCIAS!N69="SIN","Sin datos anteriores",IF(SUGERENCIAS!N69="SUBIR_F","^ SUBIR FUERTE | Kg:"&amp;ROUND(SUGERENCIAS!K69,1)&amp;" R:"&amp;ROUND(SUGERENCIAS!L69,0)&amp;" RIR:"&amp;ROUND(SUGERENCIAS!M69,0),IF(SUGERENCIAS!N69="SUBIR_E","^ SUBIR (Est.) | Kg:"&amp;ROUND(SUGERENCIAS!K69,1)&amp;" R:"&amp;ROUND(SUGERENCIAS!L69,0)&amp;" RIR:"&amp;ROUND(SUGERENCIAS!M69,0),IF(SUGERENCIAS!N69="SUBIR","^ SUBIR | Kg:"&amp;ROUND(SUGERENCIAS!K69,1)&amp;" R:"&amp;ROUND(SUGERENCIAS!L69,0)&amp;" RIR:"&amp;ROUND(SUGERENCIAS!M69,0),IF(SUGERENCIAS!N69="BAJAR","v BAJAR | Kg:"&amp;ROUND(SUGERENCIAS!K69,1)&amp;" R:"&amp;ROUND(SUGERENCIAS!L69,0)&amp;" RIR:"&amp;ROUND(SUGERENCIAS!M69,0),"= MANT | Kg:"&amp;ROUND(SUGERENCIAS!K69,1)&amp;" R:"&amp;ROUND(SUGERENCIAS!L69,0)&amp;" RIR:"&amp;ROUND(SUGERENCIAS!M69,0))))))</f>
        <v>^ SUBIR FUERTE | Kg:5 R:6 RIR:2</v>
      </c>
      <c r="W39" s="69">
        <f>MAX(IF((G39&gt;0)*(IF(H39="",-1,H39)&gt;=1)*(IF(H39="",-1,H39)&lt;=3),IF(C39="peso_corporal",IF(ISNUMBER(E39),E39,0)+F39,F39)*G39*1000+F39,0),IF((J39&gt;0)*(IF(K39="",-1,K39)&gt;=1)*(IF(K39="",-1,K39)&lt;=3),IF(C39="peso_corporal",IF(ISNUMBER(E39),E39,0)+I39,I39)*J39*1000+I39,0),IF((M39&gt;0)*(IF(N39="",-1,N39)&gt;=1)*(IF(N39="",-1,N39)&lt;=3),IF(C39="peso_corporal",IF(ISNUMBER(E39),E39,0)+L39,L39)*M39*1000+L39,0),IF((P39&gt;0)*(IF(Q39="",-1,Q39)&gt;=1)*(IF(Q39="",-1,Q39)&lt;=3),IF(C39="peso_corporal",IF(ISNUMBER(E39),E39,0)+O39,O39)*P39*1000+O39,0),IF((S39&gt;0)*(IF(T39="",-1,T39)&gt;=1)*(IF(T39="",-1,T39)&lt;=3),IF(C39="peso_corporal",IF(ISNUMBER(E39),E39,0)+R39,R39)*S39*1000+R39,0))</f>
        <v>0</v>
      </c>
      <c r="X39" s="69">
        <f>IF(W39=0,0,IF(IF((S39&gt;0)*(IF(T39="",-1,T39)&gt;=1)*(IF(T39="",-1,T39)&lt;=3),IF(C39="peso_corporal",IF(ISNUMBER(E39),E39,0)+R39,R39)*S39*1000+R39,0)=W39,5,IF(IF((P39&gt;0)*(IF(Q39="",-1,Q39)&gt;=1)*(IF(Q39="",-1,Q39)&lt;=3),IF(C39="peso_corporal",IF(ISNUMBER(E39),E39,0)+O39,O39)*P39*1000+O39,0)=W39,4,IF(IF((M39&gt;0)*(IF(N39="",-1,N39)&gt;=1)*(IF(N39="",-1,N39)&lt;=3),IF(C39="peso_corporal",IF(ISNUMBER(E39),E39,0)+L39,L39)*M39*1000+L39,0)=W39,3,IF(IF((J39&gt;0)*(IF(K39="",-1,K39)&gt;=1)*(IF(K39="",-1,K39)&lt;=3),IF(C39="peso_corporal",IF(ISNUMBER(E39),E39,0)+I39,I39)*J39*1000+I39,0)=W39,2,IF(IF((G39&gt;0)*(IF(H39="",-1,H39)&gt;=1)*(IF(H39="",-1,H39)&lt;=3),IF(C39="peso_corporal",IF(ISNUMBER(E39),E39,0)+F39,F39)*G39*1000+F39,0)=W39,1,0))))))</f>
        <v>0</v>
      </c>
      <c r="Y39" s="69">
        <f>MAX(IF((G39&gt;0)*(IF(H39="",-1,H39)=0)*(1-(IF(H39="",-1,H39)&gt;=1)*(IF(H39="",-1,H39)&lt;=3)),IF(C39="peso_corporal",IF(ISNUMBER(E39),E39,0)+F39,F39)*G39*1000+F39,0),IF((J39&gt;0)*(IF(K39="",-1,K39)=0)*(1-(IF(K39="",-1,K39)&gt;=1)*(IF(K39="",-1,K39)&lt;=3)),IF(C39="peso_corporal",IF(ISNUMBER(E39),E39,0)+I39,I39)*J39*1000+I39,0),IF((M39&gt;0)*(IF(N39="",-1,N39)=0)*(1-(IF(N39="",-1,N39)&gt;=1)*(IF(N39="",-1,N39)&lt;=3)),IF(C39="peso_corporal",IF(ISNUMBER(E39),E39,0)+L39,L39)*M39*1000+L39,0),IF((P39&gt;0)*(IF(Q39="",-1,Q39)=0)*(1-(IF(Q39="",-1,Q39)&gt;=1)*(IF(Q39="",-1,Q39)&lt;=3)),IF(C39="peso_corporal",IF(ISNUMBER(E39),E39,0)+O39,O39)*P39*1000+O39,0),IF((S39&gt;0)*(IF(T39="",-1,T39)=0)*(1-(IF(T39="",-1,T39)&gt;=1)*(IF(T39="",-1,T39)&lt;=3)),IF(C39="peso_corporal",IF(ISNUMBER(E39),E39,0)+R39,R39)*S39*1000+R39,0))</f>
        <v>0</v>
      </c>
      <c r="Z39" s="69">
        <f>IF(Y39=0,0,IF(IF((S39&gt;0)*(IF(T39="",-1,T39)=0)*(1-(IF(T39="",-1,T39)&gt;=1)*(IF(T39="",-1,T39)&lt;=3)),IF(C39="peso_corporal",IF(ISNUMBER(E39),E39,0)+R39,R39)*S39*1000+R39,0)=Y39,5,IF(IF((P39&gt;0)*(IF(Q39="",-1,Q39)=0)*(1-(IF(Q39="",-1,Q39)&gt;=1)*(IF(Q39="",-1,Q39)&lt;=3)),IF(C39="peso_corporal",IF(ISNUMBER(E39),E39,0)+O39,O39)*P39*1000+O39,0)=Y39,4,IF(IF((M39&gt;0)*(IF(N39="",-1,N39)=0)*(1-(IF(N39="",-1,N39)&gt;=1)*(IF(N39="",-1,N39)&lt;=3)),IF(C39="peso_corporal",IF(ISNUMBER(E39),E39,0)+L39,L39)*M39*1000+L39,0)=Y39,3,IF(IF((J39&gt;0)*(IF(K39="",-1,K39)=0)*(1-(IF(K39="",-1,K39)&gt;=1)*(IF(K39="",-1,K39)&lt;=3)),IF(C39="peso_corporal",IF(ISNUMBER(E39),E39,0)+I39,I39)*J39*1000+I39,0)=Y39,2,IF(IF((G39&gt;0)*(IF(H39="",-1,H39)=0)*(1-(IF(H39="",-1,H39)&gt;=1)*(IF(H39="",-1,H39)&lt;=3)),IF(C39="peso_corporal",IF(ISNUMBER(E39),E39,0)+F39,F39)*G39*1000+F39,0)=Y39,1,0))))))</f>
        <v>0</v>
      </c>
      <c r="AA39" s="69">
        <f>MAX(IF((G39&gt;=6)*(1-(IF(H39="",-1,H39)&gt;=1)*(IF(H39="",-1,H39)&lt;=3))*(1-(IF(H39="",-1,H39)=0)),IF(C39="peso_corporal",IF(ISNUMBER(E39),E39,0)+F39,F39)*(30+G39)*100+F39,0),IF((J39&gt;=6)*(1-(IF(K39="",-1,K39)&gt;=1)*(IF(K39="",-1,K39)&lt;=3))*(1-(IF(K39="",-1,K39)=0)),IF(C39="peso_corporal",IF(ISNUMBER(E39),E39,0)+I39,I39)*(30+J39)*100+I39,0),IF((M39&gt;=6)*(1-(IF(N39="",-1,N39)&gt;=1)*(IF(N39="",-1,N39)&lt;=3))*(1-(IF(N39="",-1,N39)=0)),IF(C39="peso_corporal",IF(ISNUMBER(E39),E39,0)+L39,L39)*(30+M39)*100+L39,0),IF((P39&gt;=6)*(1-(IF(Q39="",-1,Q39)&gt;=1)*(IF(Q39="",-1,Q39)&lt;=3))*(1-(IF(Q39="",-1,Q39)=0)),IF(C39="peso_corporal",IF(ISNUMBER(E39),E39,0)+O39,O39)*(30+P39)*100+O39,0),IF((S39&gt;=6)*(1-(IF(T39="",-1,T39)&gt;=1)*(IF(T39="",-1,T39)&lt;=3))*(1-(IF(T39="",-1,T39)=0)),IF(C39="peso_corporal",IF(ISNUMBER(E39),E39,0)+R39,R39)*(30+S39)*100+R39,0))</f>
        <v>0</v>
      </c>
      <c r="AB39" s="69">
        <f>IF(AA39=0,0,IF(IF((S39&gt;=6)*(1-(IF(T39="",-1,T39)&gt;=1)*(IF(T39="",-1,T39)&lt;=3))*(1-(IF(T39="",-1,T39)=0)),IF(C39="peso_corporal",IF(ISNUMBER(E39),E39,0)+R39,R39)*(30+S39)*100+R39,0)=AA39,5,IF(IF((P39&gt;=6)*(1-(IF(Q39="",-1,Q39)&gt;=1)*(IF(Q39="",-1,Q39)&lt;=3))*(1-(IF(Q39="",-1,Q39)=0)),IF(C39="peso_corporal",IF(ISNUMBER(E39),E39,0)+O39,O39)*(30+P39)*100+O39,0)=AA39,4,IF(IF((M39&gt;=6)*(1-(IF(N39="",-1,N39)&gt;=1)*(IF(N39="",-1,N39)&lt;=3))*(1-(IF(N39="",-1,N39)=0)),IF(C39="peso_corporal",IF(ISNUMBER(E39),E39,0)+L39,L39)*(30+M39)*100+L39,0)=AA39,3,IF(IF((J39&gt;=6)*(1-(IF(K39="",-1,K39)&gt;=1)*(IF(K39="",-1,K39)&lt;=3))*(1-(IF(K39="",-1,K39)=0)),IF(C39="peso_corporal",IF(ISNUMBER(E39),E39,0)+I39,I39)*(30+J39)*100+I39,0)=AA39,2,IF(IF((G39&gt;=6)*(1-(IF(H39="",-1,H39)&gt;=1)*(IF(H39="",-1,H39)&lt;=3))*(1-(IF(H39="",-1,H39)=0)),IF(C39="peso_corporal",IF(ISNUMBER(E39),E39,0)+F39,F39)*(30+G39)*100+F39,0)=AA39,1,0))))))</f>
        <v>0</v>
      </c>
      <c r="AC39" s="69" t="str">
        <f>IF(X39&gt;0,"A"&amp;X39,IF(Z39&gt;0,"B"&amp;Z39,IF(AB39&gt;0,"C"&amp;AB39,"")))</f>
        <v/>
      </c>
    </row>
    <row r="40" spans="1:29" ht="20.100000000000001" customHeight="1">
      <c r="A40" s="14" t="s">
        <v>62</v>
      </c>
      <c r="B40" s="15" t="s">
        <v>39</v>
      </c>
      <c r="C40" s="16" t="str">
        <f>IFERROR(INDEX(EJERCICIOS!$D$3:$D$75,MATCH(A40&amp;"|"&amp;B40,EJERCICIOS!$G$3:$G$75,0)),"--")</f>
        <v>--</v>
      </c>
      <c r="D40" s="17">
        <v>3</v>
      </c>
      <c r="E40" s="18">
        <f>IFERROR(LOOKUP(2,1/(MEDIDAS_Y_PESO!$B$3:$B$4&lt;&gt;""),MEDIDAS_Y_PESO!$B$3:$B$4),"--")</f>
        <v>80</v>
      </c>
      <c r="F40" s="19"/>
      <c r="G40" s="20"/>
      <c r="H40" s="21"/>
      <c r="I40" s="19"/>
      <c r="J40" s="20"/>
      <c r="K40" s="21"/>
      <c r="L40" s="19"/>
      <c r="M40" s="20"/>
      <c r="N40" s="21"/>
      <c r="O40" s="19"/>
      <c r="P40" s="20"/>
      <c r="Q40" s="21"/>
      <c r="R40" s="19"/>
      <c r="S40" s="20"/>
      <c r="T40" s="21"/>
      <c r="U40" s="22" t="str">
        <f>IFERROR(IF(IF(X40&gt;0,X40,IF(Z40&gt;0,Z40,IF(AB40&gt;0,AB40,0)))=0,"--",ROUND(CHOOSE(IF(X40&gt;0,X40,IF(Z40&gt;0,Z40,IF(AB40&gt;0,AB40,0))),IF(C40="peso_corporal",IF(ISNUMBER(E40),E40,0)+F40,F40)*(1+G40/30),IF(C40="peso_corporal",IF(ISNUMBER(E40),E40,0)+I40,I40)*(1+J40/30),IF(C40="peso_corporal",IF(ISNUMBER(E40),E40,0)+L40,L40)*(1+M40/30),IF(C40="peso_corporal",IF(ISNUMBER(E40),E40,0)+O40,O40)*(1+P40/30),IF(C40="peso_corporal",IF(ISNUMBER(E40),E40,0)+R40,R40)*(1+S40/30)),1)),"--")</f>
        <v>--</v>
      </c>
      <c r="V40" s="23" t="str">
        <f>IF(SUGERENCIAS!N70="SIN","Sin datos anteriores",IF(SUGERENCIAS!N70="SUBIR_F","^ SUBIR FUERTE | Kg:"&amp;ROUND(SUGERENCIAS!K70,1)&amp;" R:"&amp;ROUND(SUGERENCIAS!L70,0)&amp;" RIR:"&amp;ROUND(SUGERENCIAS!M70,0),IF(SUGERENCIAS!N70="SUBIR_E","^ SUBIR (Est.) | Kg:"&amp;ROUND(SUGERENCIAS!K70,1)&amp;" R:"&amp;ROUND(SUGERENCIAS!L70,0)&amp;" RIR:"&amp;ROUND(SUGERENCIAS!M70,0),IF(SUGERENCIAS!N70="SUBIR","^ SUBIR | Kg:"&amp;ROUND(SUGERENCIAS!K70,1)&amp;" R:"&amp;ROUND(SUGERENCIAS!L70,0)&amp;" RIR:"&amp;ROUND(SUGERENCIAS!M70,0),IF(SUGERENCIAS!N70="BAJAR","v BAJAR | Kg:"&amp;ROUND(SUGERENCIAS!K70,1)&amp;" R:"&amp;ROUND(SUGERENCIAS!L70,0)&amp;" RIR:"&amp;ROUND(SUGERENCIAS!M70,0),"= MANT | Kg:"&amp;ROUND(SUGERENCIAS!K70,1)&amp;" R:"&amp;ROUND(SUGERENCIAS!L70,0)&amp;" RIR:"&amp;ROUND(SUGERENCIAS!M70,0))))))</f>
        <v>Sin datos anteriores</v>
      </c>
      <c r="W40" s="69">
        <f>MAX(IF((G40&gt;0)*(IF(H40="",-1,H40)&gt;=1)*(IF(H40="",-1,H40)&lt;=3),IF(C40="peso_corporal",IF(ISNUMBER(E40),E40,0)+F40,F40)*G40*1000+F40,0),IF((J40&gt;0)*(IF(K40="",-1,K40)&gt;=1)*(IF(K40="",-1,K40)&lt;=3),IF(C40="peso_corporal",IF(ISNUMBER(E40),E40,0)+I40,I40)*J40*1000+I40,0),IF((M40&gt;0)*(IF(N40="",-1,N40)&gt;=1)*(IF(N40="",-1,N40)&lt;=3),IF(C40="peso_corporal",IF(ISNUMBER(E40),E40,0)+L40,L40)*M40*1000+L40,0),IF((P40&gt;0)*(IF(Q40="",-1,Q40)&gt;=1)*(IF(Q40="",-1,Q40)&lt;=3),IF(C40="peso_corporal",IF(ISNUMBER(E40),E40,0)+O40,O40)*P40*1000+O40,0),IF((S40&gt;0)*(IF(T40="",-1,T40)&gt;=1)*(IF(T40="",-1,T40)&lt;=3),IF(C40="peso_corporal",IF(ISNUMBER(E40),E40,0)+R40,R40)*S40*1000+R40,0))</f>
        <v>0</v>
      </c>
      <c r="X40" s="69">
        <f>IF(W40=0,0,IF(IF((S40&gt;0)*(IF(T40="",-1,T40)&gt;=1)*(IF(T40="",-1,T40)&lt;=3),IF(C40="peso_corporal",IF(ISNUMBER(E40),E40,0)+R40,R40)*S40*1000+R40,0)=W40,5,IF(IF((P40&gt;0)*(IF(Q40="",-1,Q40)&gt;=1)*(IF(Q40="",-1,Q40)&lt;=3),IF(C40="peso_corporal",IF(ISNUMBER(E40),E40,0)+O40,O40)*P40*1000+O40,0)=W40,4,IF(IF((M40&gt;0)*(IF(N40="",-1,N40)&gt;=1)*(IF(N40="",-1,N40)&lt;=3),IF(C40="peso_corporal",IF(ISNUMBER(E40),E40,0)+L40,L40)*M40*1000+L40,0)=W40,3,IF(IF((J40&gt;0)*(IF(K40="",-1,K40)&gt;=1)*(IF(K40="",-1,K40)&lt;=3),IF(C40="peso_corporal",IF(ISNUMBER(E40),E40,0)+I40,I40)*J40*1000+I40,0)=W40,2,IF(IF((G40&gt;0)*(IF(H40="",-1,H40)&gt;=1)*(IF(H40="",-1,H40)&lt;=3),IF(C40="peso_corporal",IF(ISNUMBER(E40),E40,0)+F40,F40)*G40*1000+F40,0)=W40,1,0))))))</f>
        <v>0</v>
      </c>
      <c r="Y40" s="69">
        <f>MAX(IF((G40&gt;0)*(IF(H40="",-1,H40)=0)*(1-(IF(H40="",-1,H40)&gt;=1)*(IF(H40="",-1,H40)&lt;=3)),IF(C40="peso_corporal",IF(ISNUMBER(E40),E40,0)+F40,F40)*G40*1000+F40,0),IF((J40&gt;0)*(IF(K40="",-1,K40)=0)*(1-(IF(K40="",-1,K40)&gt;=1)*(IF(K40="",-1,K40)&lt;=3)),IF(C40="peso_corporal",IF(ISNUMBER(E40),E40,0)+I40,I40)*J40*1000+I40,0),IF((M40&gt;0)*(IF(N40="",-1,N40)=0)*(1-(IF(N40="",-1,N40)&gt;=1)*(IF(N40="",-1,N40)&lt;=3)),IF(C40="peso_corporal",IF(ISNUMBER(E40),E40,0)+L40,L40)*M40*1000+L40,0),IF((P40&gt;0)*(IF(Q40="",-1,Q40)=0)*(1-(IF(Q40="",-1,Q40)&gt;=1)*(IF(Q40="",-1,Q40)&lt;=3)),IF(C40="peso_corporal",IF(ISNUMBER(E40),E40,0)+O40,O40)*P40*1000+O40,0),IF((S40&gt;0)*(IF(T40="",-1,T40)=0)*(1-(IF(T40="",-1,T40)&gt;=1)*(IF(T40="",-1,T40)&lt;=3)),IF(C40="peso_corporal",IF(ISNUMBER(E40),E40,0)+R40,R40)*S40*1000+R40,0))</f>
        <v>0</v>
      </c>
      <c r="Z40" s="69">
        <f>IF(Y40=0,0,IF(IF((S40&gt;0)*(IF(T40="",-1,T40)=0)*(1-(IF(T40="",-1,T40)&gt;=1)*(IF(T40="",-1,T40)&lt;=3)),IF(C40="peso_corporal",IF(ISNUMBER(E40),E40,0)+R40,R40)*S40*1000+R40,0)=Y40,5,IF(IF((P40&gt;0)*(IF(Q40="",-1,Q40)=0)*(1-(IF(Q40="",-1,Q40)&gt;=1)*(IF(Q40="",-1,Q40)&lt;=3)),IF(C40="peso_corporal",IF(ISNUMBER(E40),E40,0)+O40,O40)*P40*1000+O40,0)=Y40,4,IF(IF((M40&gt;0)*(IF(N40="",-1,N40)=0)*(1-(IF(N40="",-1,N40)&gt;=1)*(IF(N40="",-1,N40)&lt;=3)),IF(C40="peso_corporal",IF(ISNUMBER(E40),E40,0)+L40,L40)*M40*1000+L40,0)=Y40,3,IF(IF((J40&gt;0)*(IF(K40="",-1,K40)=0)*(1-(IF(K40="",-1,K40)&gt;=1)*(IF(K40="",-1,K40)&lt;=3)),IF(C40="peso_corporal",IF(ISNUMBER(E40),E40,0)+I40,I40)*J40*1000+I40,0)=Y40,2,IF(IF((G40&gt;0)*(IF(H40="",-1,H40)=0)*(1-(IF(H40="",-1,H40)&gt;=1)*(IF(H40="",-1,H40)&lt;=3)),IF(C40="peso_corporal",IF(ISNUMBER(E40),E40,0)+F40,F40)*G40*1000+F40,0)=Y40,1,0))))))</f>
        <v>0</v>
      </c>
      <c r="AA40" s="69">
        <f>MAX(IF((G40&gt;=6)*(1-(IF(H40="",-1,H40)&gt;=1)*(IF(H40="",-1,H40)&lt;=3))*(1-(IF(H40="",-1,H40)=0)),IF(C40="peso_corporal",IF(ISNUMBER(E40),E40,0)+F40,F40)*(30+G40)*100+F40,0),IF((J40&gt;=6)*(1-(IF(K40="",-1,K40)&gt;=1)*(IF(K40="",-1,K40)&lt;=3))*(1-(IF(K40="",-1,K40)=0)),IF(C40="peso_corporal",IF(ISNUMBER(E40),E40,0)+I40,I40)*(30+J40)*100+I40,0),IF((M40&gt;=6)*(1-(IF(N40="",-1,N40)&gt;=1)*(IF(N40="",-1,N40)&lt;=3))*(1-(IF(N40="",-1,N40)=0)),IF(C40="peso_corporal",IF(ISNUMBER(E40),E40,0)+L40,L40)*(30+M40)*100+L40,0),IF((P40&gt;=6)*(1-(IF(Q40="",-1,Q40)&gt;=1)*(IF(Q40="",-1,Q40)&lt;=3))*(1-(IF(Q40="",-1,Q40)=0)),IF(C40="peso_corporal",IF(ISNUMBER(E40),E40,0)+O40,O40)*(30+P40)*100+O40,0),IF((S40&gt;=6)*(1-(IF(T40="",-1,T40)&gt;=1)*(IF(T40="",-1,T40)&lt;=3))*(1-(IF(T40="",-1,T40)=0)),IF(C40="peso_corporal",IF(ISNUMBER(E40),E40,0)+R40,R40)*(30+S40)*100+R40,0))</f>
        <v>0</v>
      </c>
      <c r="AB40" s="69">
        <f>IF(AA40=0,0,IF(IF((S40&gt;=6)*(1-(IF(T40="",-1,T40)&gt;=1)*(IF(T40="",-1,T40)&lt;=3))*(1-(IF(T40="",-1,T40)=0)),IF(C40="peso_corporal",IF(ISNUMBER(E40),E40,0)+R40,R40)*(30+S40)*100+R40,0)=AA40,5,IF(IF((P40&gt;=6)*(1-(IF(Q40="",-1,Q40)&gt;=1)*(IF(Q40="",-1,Q40)&lt;=3))*(1-(IF(Q40="",-1,Q40)=0)),IF(C40="peso_corporal",IF(ISNUMBER(E40),E40,0)+O40,O40)*(30+P40)*100+O40,0)=AA40,4,IF(IF((M40&gt;=6)*(1-(IF(N40="",-1,N40)&gt;=1)*(IF(N40="",-1,N40)&lt;=3))*(1-(IF(N40="",-1,N40)=0)),IF(C40="peso_corporal",IF(ISNUMBER(E40),E40,0)+L40,L40)*(30+M40)*100+L40,0)=AA40,3,IF(IF((J40&gt;=6)*(1-(IF(K40="",-1,K40)&gt;=1)*(IF(K40="",-1,K40)&lt;=3))*(1-(IF(K40="",-1,K40)=0)),IF(C40="peso_corporal",IF(ISNUMBER(E40),E40,0)+I40,I40)*(30+J40)*100+I40,0)=AA40,2,IF(IF((G40&gt;=6)*(1-(IF(H40="",-1,H40)&gt;=1)*(IF(H40="",-1,H40)&lt;=3))*(1-(IF(H40="",-1,H40)=0)),IF(C40="peso_corporal",IF(ISNUMBER(E40),E40,0)+F40,F40)*(30+G40)*100+F40,0)=AA40,1,0))))))</f>
        <v>0</v>
      </c>
      <c r="AC40" s="69" t="str">
        <f>IF(X40&gt;0,"A"&amp;X40,IF(Z40&gt;0,"B"&amp;Z40,IF(AB40&gt;0,"C"&amp;AB40,"")))</f>
        <v/>
      </c>
    </row>
    <row r="41" spans="1:29" ht="20.100000000000001" customHeight="1">
      <c r="A41" s="14" t="s">
        <v>62</v>
      </c>
      <c r="B41" s="15" t="s">
        <v>63</v>
      </c>
      <c r="C41" s="16" t="str">
        <f>IFERROR(INDEX(EJERCICIOS!$D$3:$D$75,MATCH(A41&amp;"|"&amp;B41,EJERCICIOS!$G$3:$G$75,0)),"--")</f>
        <v>--</v>
      </c>
      <c r="D41" s="17">
        <v>3</v>
      </c>
      <c r="E41" s="18">
        <f>IFERROR(LOOKUP(2,1/(MEDIDAS_Y_PESO!$B$3:$B$4&lt;&gt;""),MEDIDAS_Y_PESO!$B$3:$B$4),"--")</f>
        <v>80</v>
      </c>
      <c r="F41" s="19"/>
      <c r="G41" s="20"/>
      <c r="H41" s="21"/>
      <c r="I41" s="19"/>
      <c r="J41" s="20"/>
      <c r="K41" s="21"/>
      <c r="L41" s="19"/>
      <c r="M41" s="20"/>
      <c r="N41" s="21"/>
      <c r="O41" s="19"/>
      <c r="P41" s="20"/>
      <c r="Q41" s="21"/>
      <c r="R41" s="19"/>
      <c r="S41" s="20"/>
      <c r="T41" s="21"/>
      <c r="U41" s="22" t="str">
        <f>IFERROR(IF(IF(X41&gt;0,X41,IF(Z41&gt;0,Z41,IF(AB41&gt;0,AB41,0)))=0,"--",ROUND(CHOOSE(IF(X41&gt;0,X41,IF(Z41&gt;0,Z41,IF(AB41&gt;0,AB41,0))),IF(C41="peso_corporal",IF(ISNUMBER(E41),E41,0)+F41,F41)*(1+G41/30),IF(C41="peso_corporal",IF(ISNUMBER(E41),E41,0)+I41,I41)*(1+J41/30),IF(C41="peso_corporal",IF(ISNUMBER(E41),E41,0)+L41,L41)*(1+M41/30),IF(C41="peso_corporal",IF(ISNUMBER(E41),E41,0)+O41,O41)*(1+P41/30),IF(C41="peso_corporal",IF(ISNUMBER(E41),E41,0)+R41,R41)*(1+S41/30)),1)),"--")</f>
        <v>--</v>
      </c>
      <c r="V41" s="23" t="str">
        <f>IF(SUGERENCIAS!N71="SIN","Sin datos anteriores",IF(SUGERENCIAS!N71="SUBIR_F","^ SUBIR FUERTE | Kg:"&amp;ROUND(SUGERENCIAS!K71,1)&amp;" R:"&amp;ROUND(SUGERENCIAS!L71,0)&amp;" RIR:"&amp;ROUND(SUGERENCIAS!M71,0),IF(SUGERENCIAS!N71="SUBIR_E","^ SUBIR (Est.) | Kg:"&amp;ROUND(SUGERENCIAS!K71,1)&amp;" R:"&amp;ROUND(SUGERENCIAS!L71,0)&amp;" RIR:"&amp;ROUND(SUGERENCIAS!M71,0),IF(SUGERENCIAS!N71="SUBIR","^ SUBIR | Kg:"&amp;ROUND(SUGERENCIAS!K71,1)&amp;" R:"&amp;ROUND(SUGERENCIAS!L71,0)&amp;" RIR:"&amp;ROUND(SUGERENCIAS!M71,0),IF(SUGERENCIAS!N71="BAJAR","v BAJAR | Kg:"&amp;ROUND(SUGERENCIAS!K71,1)&amp;" R:"&amp;ROUND(SUGERENCIAS!L71,0)&amp;" RIR:"&amp;ROUND(SUGERENCIAS!M71,0),"= MANT | Kg:"&amp;ROUND(SUGERENCIAS!K71,1)&amp;" R:"&amp;ROUND(SUGERENCIAS!L71,0)&amp;" RIR:"&amp;ROUND(SUGERENCIAS!M71,0))))))</f>
        <v>Sin datos anteriores</v>
      </c>
      <c r="W41" s="69">
        <f>MAX(IF((G41&gt;0)*(IF(H41="",-1,H41)&gt;=1)*(IF(H41="",-1,H41)&lt;=3),IF(C41="peso_corporal",IF(ISNUMBER(E41),E41,0)+F41,F41)*G41*1000+F41,0),IF((J41&gt;0)*(IF(K41="",-1,K41)&gt;=1)*(IF(K41="",-1,K41)&lt;=3),IF(C41="peso_corporal",IF(ISNUMBER(E41),E41,0)+I41,I41)*J41*1000+I41,0),IF((M41&gt;0)*(IF(N41="",-1,N41)&gt;=1)*(IF(N41="",-1,N41)&lt;=3),IF(C41="peso_corporal",IF(ISNUMBER(E41),E41,0)+L41,L41)*M41*1000+L41,0),IF((P41&gt;0)*(IF(Q41="",-1,Q41)&gt;=1)*(IF(Q41="",-1,Q41)&lt;=3),IF(C41="peso_corporal",IF(ISNUMBER(E41),E41,0)+O41,O41)*P41*1000+O41,0),IF((S41&gt;0)*(IF(T41="",-1,T41)&gt;=1)*(IF(T41="",-1,T41)&lt;=3),IF(C41="peso_corporal",IF(ISNUMBER(E41),E41,0)+R41,R41)*S41*1000+R41,0))</f>
        <v>0</v>
      </c>
      <c r="X41" s="69">
        <f>IF(W41=0,0,IF(IF((S41&gt;0)*(IF(T41="",-1,T41)&gt;=1)*(IF(T41="",-1,T41)&lt;=3),IF(C41="peso_corporal",IF(ISNUMBER(E41),E41,0)+R41,R41)*S41*1000+R41,0)=W41,5,IF(IF((P41&gt;0)*(IF(Q41="",-1,Q41)&gt;=1)*(IF(Q41="",-1,Q41)&lt;=3),IF(C41="peso_corporal",IF(ISNUMBER(E41),E41,0)+O41,O41)*P41*1000+O41,0)=W41,4,IF(IF((M41&gt;0)*(IF(N41="",-1,N41)&gt;=1)*(IF(N41="",-1,N41)&lt;=3),IF(C41="peso_corporal",IF(ISNUMBER(E41),E41,0)+L41,L41)*M41*1000+L41,0)=W41,3,IF(IF((J41&gt;0)*(IF(K41="",-1,K41)&gt;=1)*(IF(K41="",-1,K41)&lt;=3),IF(C41="peso_corporal",IF(ISNUMBER(E41),E41,0)+I41,I41)*J41*1000+I41,0)=W41,2,IF(IF((G41&gt;0)*(IF(H41="",-1,H41)&gt;=1)*(IF(H41="",-1,H41)&lt;=3),IF(C41="peso_corporal",IF(ISNUMBER(E41),E41,0)+F41,F41)*G41*1000+F41,0)=W41,1,0))))))</f>
        <v>0</v>
      </c>
      <c r="Y41" s="69">
        <f>MAX(IF((G41&gt;0)*(IF(H41="",-1,H41)=0)*(1-(IF(H41="",-1,H41)&gt;=1)*(IF(H41="",-1,H41)&lt;=3)),IF(C41="peso_corporal",IF(ISNUMBER(E41),E41,0)+F41,F41)*G41*1000+F41,0),IF((J41&gt;0)*(IF(K41="",-1,K41)=0)*(1-(IF(K41="",-1,K41)&gt;=1)*(IF(K41="",-1,K41)&lt;=3)),IF(C41="peso_corporal",IF(ISNUMBER(E41),E41,0)+I41,I41)*J41*1000+I41,0),IF((M41&gt;0)*(IF(N41="",-1,N41)=0)*(1-(IF(N41="",-1,N41)&gt;=1)*(IF(N41="",-1,N41)&lt;=3)),IF(C41="peso_corporal",IF(ISNUMBER(E41),E41,0)+L41,L41)*M41*1000+L41,0),IF((P41&gt;0)*(IF(Q41="",-1,Q41)=0)*(1-(IF(Q41="",-1,Q41)&gt;=1)*(IF(Q41="",-1,Q41)&lt;=3)),IF(C41="peso_corporal",IF(ISNUMBER(E41),E41,0)+O41,O41)*P41*1000+O41,0),IF((S41&gt;0)*(IF(T41="",-1,T41)=0)*(1-(IF(T41="",-1,T41)&gt;=1)*(IF(T41="",-1,T41)&lt;=3)),IF(C41="peso_corporal",IF(ISNUMBER(E41),E41,0)+R41,R41)*S41*1000+R41,0))</f>
        <v>0</v>
      </c>
      <c r="Z41" s="69">
        <f>IF(Y41=0,0,IF(IF((S41&gt;0)*(IF(T41="",-1,T41)=0)*(1-(IF(T41="",-1,T41)&gt;=1)*(IF(T41="",-1,T41)&lt;=3)),IF(C41="peso_corporal",IF(ISNUMBER(E41),E41,0)+R41,R41)*S41*1000+R41,0)=Y41,5,IF(IF((P41&gt;0)*(IF(Q41="",-1,Q41)=0)*(1-(IF(Q41="",-1,Q41)&gt;=1)*(IF(Q41="",-1,Q41)&lt;=3)),IF(C41="peso_corporal",IF(ISNUMBER(E41),E41,0)+O41,O41)*P41*1000+O41,0)=Y41,4,IF(IF((M41&gt;0)*(IF(N41="",-1,N41)=0)*(1-(IF(N41="",-1,N41)&gt;=1)*(IF(N41="",-1,N41)&lt;=3)),IF(C41="peso_corporal",IF(ISNUMBER(E41),E41,0)+L41,L41)*M41*1000+L41,0)=Y41,3,IF(IF((J41&gt;0)*(IF(K41="",-1,K41)=0)*(1-(IF(K41="",-1,K41)&gt;=1)*(IF(K41="",-1,K41)&lt;=3)),IF(C41="peso_corporal",IF(ISNUMBER(E41),E41,0)+I41,I41)*J41*1000+I41,0)=Y41,2,IF(IF((G41&gt;0)*(IF(H41="",-1,H41)=0)*(1-(IF(H41="",-1,H41)&gt;=1)*(IF(H41="",-1,H41)&lt;=3)),IF(C41="peso_corporal",IF(ISNUMBER(E41),E41,0)+F41,F41)*G41*1000+F41,0)=Y41,1,0))))))</f>
        <v>0</v>
      </c>
      <c r="AA41" s="69">
        <f>MAX(IF((G41&gt;=6)*(1-(IF(H41="",-1,H41)&gt;=1)*(IF(H41="",-1,H41)&lt;=3))*(1-(IF(H41="",-1,H41)=0)),IF(C41="peso_corporal",IF(ISNUMBER(E41),E41,0)+F41,F41)*(30+G41)*100+F41,0),IF((J41&gt;=6)*(1-(IF(K41="",-1,K41)&gt;=1)*(IF(K41="",-1,K41)&lt;=3))*(1-(IF(K41="",-1,K41)=0)),IF(C41="peso_corporal",IF(ISNUMBER(E41),E41,0)+I41,I41)*(30+J41)*100+I41,0),IF((M41&gt;=6)*(1-(IF(N41="",-1,N41)&gt;=1)*(IF(N41="",-1,N41)&lt;=3))*(1-(IF(N41="",-1,N41)=0)),IF(C41="peso_corporal",IF(ISNUMBER(E41),E41,0)+L41,L41)*(30+M41)*100+L41,0),IF((P41&gt;=6)*(1-(IF(Q41="",-1,Q41)&gt;=1)*(IF(Q41="",-1,Q41)&lt;=3))*(1-(IF(Q41="",-1,Q41)=0)),IF(C41="peso_corporal",IF(ISNUMBER(E41),E41,0)+O41,O41)*(30+P41)*100+O41,0),IF((S41&gt;=6)*(1-(IF(T41="",-1,T41)&gt;=1)*(IF(T41="",-1,T41)&lt;=3))*(1-(IF(T41="",-1,T41)=0)),IF(C41="peso_corporal",IF(ISNUMBER(E41),E41,0)+R41,R41)*(30+S41)*100+R41,0))</f>
        <v>0</v>
      </c>
      <c r="AB41" s="69">
        <f>IF(AA41=0,0,IF(IF((S41&gt;=6)*(1-(IF(T41="",-1,T41)&gt;=1)*(IF(T41="",-1,T41)&lt;=3))*(1-(IF(T41="",-1,T41)=0)),IF(C41="peso_corporal",IF(ISNUMBER(E41),E41,0)+R41,R41)*(30+S41)*100+R41,0)=AA41,5,IF(IF((P41&gt;=6)*(1-(IF(Q41="",-1,Q41)&gt;=1)*(IF(Q41="",-1,Q41)&lt;=3))*(1-(IF(Q41="",-1,Q41)=0)),IF(C41="peso_corporal",IF(ISNUMBER(E41),E41,0)+O41,O41)*(30+P41)*100+O41,0)=AA41,4,IF(IF((M41&gt;=6)*(1-(IF(N41="",-1,N41)&gt;=1)*(IF(N41="",-1,N41)&lt;=3))*(1-(IF(N41="",-1,N41)=0)),IF(C41="peso_corporal",IF(ISNUMBER(E41),E41,0)+L41,L41)*(30+M41)*100+L41,0)=AA41,3,IF(IF((J41&gt;=6)*(1-(IF(K41="",-1,K41)&gt;=1)*(IF(K41="",-1,K41)&lt;=3))*(1-(IF(K41="",-1,K41)=0)),IF(C41="peso_corporal",IF(ISNUMBER(E41),E41,0)+I41,I41)*(30+J41)*100+I41,0)=AA41,2,IF(IF((G41&gt;=6)*(1-(IF(H41="",-1,H41)&gt;=1)*(IF(H41="",-1,H41)&lt;=3))*(1-(IF(H41="",-1,H41)=0)),IF(C41="peso_corporal",IF(ISNUMBER(E41),E41,0)+F41,F41)*(30+G41)*100+F41,0)=AA41,1,0))))))</f>
        <v>0</v>
      </c>
      <c r="AC41" s="69" t="str">
        <f>IF(X41&gt;0,"A"&amp;X41,IF(Z41&gt;0,"B"&amp;Z41,IF(AB41&gt;0,"C"&amp;AB41,"")))</f>
        <v/>
      </c>
    </row>
    <row r="42" spans="1:29" ht="15" customHeight="1">
      <c r="A42" s="81" t="s">
        <v>42</v>
      </c>
      <c r="B42" s="73"/>
      <c r="C42" s="73"/>
      <c r="D42" s="73"/>
      <c r="E42" s="73"/>
      <c r="F42" s="73"/>
      <c r="G42" s="73"/>
      <c r="H42" s="73"/>
      <c r="I42" s="73"/>
      <c r="J42" s="73"/>
      <c r="K42" s="73"/>
      <c r="L42" s="73"/>
      <c r="M42" s="73"/>
      <c r="N42" s="73"/>
      <c r="O42" s="73"/>
      <c r="P42" s="73"/>
      <c r="Q42" s="73"/>
      <c r="R42" s="73"/>
      <c r="S42" s="73"/>
      <c r="T42" s="73"/>
      <c r="U42" s="73"/>
      <c r="V42" s="73"/>
      <c r="W42" s="69"/>
      <c r="X42" s="69"/>
      <c r="Y42" s="69"/>
      <c r="Z42" s="69"/>
      <c r="AA42" s="69"/>
      <c r="AB42" s="69"/>
      <c r="AC42" s="69"/>
    </row>
    <row r="43" spans="1:29" ht="20.100000000000001" customHeight="1">
      <c r="A43" s="14" t="s">
        <v>43</v>
      </c>
      <c r="B43" s="15" t="s">
        <v>44</v>
      </c>
      <c r="C43" s="16" t="str">
        <f>IFERROR(INDEX(EJERCICIOS!$D$3:$D$75,MATCH(A43&amp;"|"&amp;B43,EJERCICIOS!$G$3:$G$75,0)),"--")</f>
        <v>polea</v>
      </c>
      <c r="D43" s="17">
        <v>3</v>
      </c>
      <c r="E43" s="18">
        <f>IFERROR(LOOKUP(2,1/(MEDIDAS_Y_PESO!$B$3:$B$4&lt;&gt;""),MEDIDAS_Y_PESO!$B$3:$B$4),"--")</f>
        <v>80</v>
      </c>
      <c r="F43" s="19"/>
      <c r="G43" s="20"/>
      <c r="H43" s="21"/>
      <c r="I43" s="19"/>
      <c r="J43" s="20"/>
      <c r="K43" s="21"/>
      <c r="L43" s="19"/>
      <c r="M43" s="20"/>
      <c r="N43" s="21"/>
      <c r="O43" s="19"/>
      <c r="P43" s="20"/>
      <c r="Q43" s="21"/>
      <c r="R43" s="19"/>
      <c r="S43" s="20"/>
      <c r="T43" s="21"/>
      <c r="U43" s="22" t="str">
        <f>IFERROR(IF(IF(X43&gt;0,X43,IF(Z43&gt;0,Z43,IF(AB43&gt;0,AB43,0)))=0,"--",ROUND(CHOOSE(IF(X43&gt;0,X43,IF(Z43&gt;0,Z43,IF(AB43&gt;0,AB43,0))),IF(C43="peso_corporal",IF(ISNUMBER(E43),E43,0)+F43,F43)*(1+G43/30),IF(C43="peso_corporal",IF(ISNUMBER(E43),E43,0)+I43,I43)*(1+J43/30),IF(C43="peso_corporal",IF(ISNUMBER(E43),E43,0)+L43,L43)*(1+M43/30),IF(C43="peso_corporal",IF(ISNUMBER(E43),E43,0)+O43,O43)*(1+P43/30),IF(C43="peso_corporal",IF(ISNUMBER(E43),E43,0)+R43,R43)*(1+S43/30)),1)),"--")</f>
        <v>--</v>
      </c>
      <c r="V43" s="23" t="str">
        <f>IF(SUGERENCIAS!N72="SIN","Sin datos anteriores",IF(SUGERENCIAS!N72="SUBIR_F","^ SUBIR FUERTE | Kg:"&amp;ROUND(SUGERENCIAS!K72,1)&amp;" R:"&amp;ROUND(SUGERENCIAS!L72,0)&amp;" RIR:"&amp;ROUND(SUGERENCIAS!M72,0),IF(SUGERENCIAS!N72="SUBIR_E","^ SUBIR (Est.) | Kg:"&amp;ROUND(SUGERENCIAS!K72,1)&amp;" R:"&amp;ROUND(SUGERENCIAS!L72,0)&amp;" RIR:"&amp;ROUND(SUGERENCIAS!M72,0),IF(SUGERENCIAS!N72="SUBIR","^ SUBIR | Kg:"&amp;ROUND(SUGERENCIAS!K72,1)&amp;" R:"&amp;ROUND(SUGERENCIAS!L72,0)&amp;" RIR:"&amp;ROUND(SUGERENCIAS!M72,0),IF(SUGERENCIAS!N72="BAJAR","v BAJAR | Kg:"&amp;ROUND(SUGERENCIAS!K72,1)&amp;" R:"&amp;ROUND(SUGERENCIAS!L72,0)&amp;" RIR:"&amp;ROUND(SUGERENCIAS!M72,0),"= MANT | Kg:"&amp;ROUND(SUGERENCIAS!K72,1)&amp;" R:"&amp;ROUND(SUGERENCIAS!L72,0)&amp;" RIR:"&amp;ROUND(SUGERENCIAS!M72,0))))))</f>
        <v>Sin datos anteriores</v>
      </c>
      <c r="W43" s="69">
        <f>MAX(IF((G43&gt;0)*(IF(H43="",-1,H43)&gt;=1)*(IF(H43="",-1,H43)&lt;=3),IF(C43="peso_corporal",IF(ISNUMBER(E43),E43,0)+F43,F43)*G43*1000+F43,0),IF((J43&gt;0)*(IF(K43="",-1,K43)&gt;=1)*(IF(K43="",-1,K43)&lt;=3),IF(C43="peso_corporal",IF(ISNUMBER(E43),E43,0)+I43,I43)*J43*1000+I43,0),IF((M43&gt;0)*(IF(N43="",-1,N43)&gt;=1)*(IF(N43="",-1,N43)&lt;=3),IF(C43="peso_corporal",IF(ISNUMBER(E43),E43,0)+L43,L43)*M43*1000+L43,0),IF((P43&gt;0)*(IF(Q43="",-1,Q43)&gt;=1)*(IF(Q43="",-1,Q43)&lt;=3),IF(C43="peso_corporal",IF(ISNUMBER(E43),E43,0)+O43,O43)*P43*1000+O43,0),IF((S43&gt;0)*(IF(T43="",-1,T43)&gt;=1)*(IF(T43="",-1,T43)&lt;=3),IF(C43="peso_corporal",IF(ISNUMBER(E43),E43,0)+R43,R43)*S43*1000+R43,0))</f>
        <v>0</v>
      </c>
      <c r="X43" s="69">
        <f>IF(W43=0,0,IF(IF((S43&gt;0)*(IF(T43="",-1,T43)&gt;=1)*(IF(T43="",-1,T43)&lt;=3),IF(C43="peso_corporal",IF(ISNUMBER(E43),E43,0)+R43,R43)*S43*1000+R43,0)=W43,5,IF(IF((P43&gt;0)*(IF(Q43="",-1,Q43)&gt;=1)*(IF(Q43="",-1,Q43)&lt;=3),IF(C43="peso_corporal",IF(ISNUMBER(E43),E43,0)+O43,O43)*P43*1000+O43,0)=W43,4,IF(IF((M43&gt;0)*(IF(N43="",-1,N43)&gt;=1)*(IF(N43="",-1,N43)&lt;=3),IF(C43="peso_corporal",IF(ISNUMBER(E43),E43,0)+L43,L43)*M43*1000+L43,0)=W43,3,IF(IF((J43&gt;0)*(IF(K43="",-1,K43)&gt;=1)*(IF(K43="",-1,K43)&lt;=3),IF(C43="peso_corporal",IF(ISNUMBER(E43),E43,0)+I43,I43)*J43*1000+I43,0)=W43,2,IF(IF((G43&gt;0)*(IF(H43="",-1,H43)&gt;=1)*(IF(H43="",-1,H43)&lt;=3),IF(C43="peso_corporal",IF(ISNUMBER(E43),E43,0)+F43,F43)*G43*1000+F43,0)=W43,1,0))))))</f>
        <v>0</v>
      </c>
      <c r="Y43" s="69">
        <f>MAX(IF((G43&gt;0)*(IF(H43="",-1,H43)=0)*(1-(IF(H43="",-1,H43)&gt;=1)*(IF(H43="",-1,H43)&lt;=3)),IF(C43="peso_corporal",IF(ISNUMBER(E43),E43,0)+F43,F43)*G43*1000+F43,0),IF((J43&gt;0)*(IF(K43="",-1,K43)=0)*(1-(IF(K43="",-1,K43)&gt;=1)*(IF(K43="",-1,K43)&lt;=3)),IF(C43="peso_corporal",IF(ISNUMBER(E43),E43,0)+I43,I43)*J43*1000+I43,0),IF((M43&gt;0)*(IF(N43="",-1,N43)=0)*(1-(IF(N43="",-1,N43)&gt;=1)*(IF(N43="",-1,N43)&lt;=3)),IF(C43="peso_corporal",IF(ISNUMBER(E43),E43,0)+L43,L43)*M43*1000+L43,0),IF((P43&gt;0)*(IF(Q43="",-1,Q43)=0)*(1-(IF(Q43="",-1,Q43)&gt;=1)*(IF(Q43="",-1,Q43)&lt;=3)),IF(C43="peso_corporal",IF(ISNUMBER(E43),E43,0)+O43,O43)*P43*1000+O43,0),IF((S43&gt;0)*(IF(T43="",-1,T43)=0)*(1-(IF(T43="",-1,T43)&gt;=1)*(IF(T43="",-1,T43)&lt;=3)),IF(C43="peso_corporal",IF(ISNUMBER(E43),E43,0)+R43,R43)*S43*1000+R43,0))</f>
        <v>0</v>
      </c>
      <c r="Z43" s="69">
        <f>IF(Y43=0,0,IF(IF((S43&gt;0)*(IF(T43="",-1,T43)=0)*(1-(IF(T43="",-1,T43)&gt;=1)*(IF(T43="",-1,T43)&lt;=3)),IF(C43="peso_corporal",IF(ISNUMBER(E43),E43,0)+R43,R43)*S43*1000+R43,0)=Y43,5,IF(IF((P43&gt;0)*(IF(Q43="",-1,Q43)=0)*(1-(IF(Q43="",-1,Q43)&gt;=1)*(IF(Q43="",-1,Q43)&lt;=3)),IF(C43="peso_corporal",IF(ISNUMBER(E43),E43,0)+O43,O43)*P43*1000+O43,0)=Y43,4,IF(IF((M43&gt;0)*(IF(N43="",-1,N43)=0)*(1-(IF(N43="",-1,N43)&gt;=1)*(IF(N43="",-1,N43)&lt;=3)),IF(C43="peso_corporal",IF(ISNUMBER(E43),E43,0)+L43,L43)*M43*1000+L43,0)=Y43,3,IF(IF((J43&gt;0)*(IF(K43="",-1,K43)=0)*(1-(IF(K43="",-1,K43)&gt;=1)*(IF(K43="",-1,K43)&lt;=3)),IF(C43="peso_corporal",IF(ISNUMBER(E43),E43,0)+I43,I43)*J43*1000+I43,0)=Y43,2,IF(IF((G43&gt;0)*(IF(H43="",-1,H43)=0)*(1-(IF(H43="",-1,H43)&gt;=1)*(IF(H43="",-1,H43)&lt;=3)),IF(C43="peso_corporal",IF(ISNUMBER(E43),E43,0)+F43,F43)*G43*1000+F43,0)=Y43,1,0))))))</f>
        <v>0</v>
      </c>
      <c r="AA43" s="69">
        <f>MAX(IF((G43&gt;=6)*(1-(IF(H43="",-1,H43)&gt;=1)*(IF(H43="",-1,H43)&lt;=3))*(1-(IF(H43="",-1,H43)=0)),IF(C43="peso_corporal",IF(ISNUMBER(E43),E43,0)+F43,F43)*(30+G43)*100+F43,0),IF((J43&gt;=6)*(1-(IF(K43="",-1,K43)&gt;=1)*(IF(K43="",-1,K43)&lt;=3))*(1-(IF(K43="",-1,K43)=0)),IF(C43="peso_corporal",IF(ISNUMBER(E43),E43,0)+I43,I43)*(30+J43)*100+I43,0),IF((M43&gt;=6)*(1-(IF(N43="",-1,N43)&gt;=1)*(IF(N43="",-1,N43)&lt;=3))*(1-(IF(N43="",-1,N43)=0)),IF(C43="peso_corporal",IF(ISNUMBER(E43),E43,0)+L43,L43)*(30+M43)*100+L43,0),IF((P43&gt;=6)*(1-(IF(Q43="",-1,Q43)&gt;=1)*(IF(Q43="",-1,Q43)&lt;=3))*(1-(IF(Q43="",-1,Q43)=0)),IF(C43="peso_corporal",IF(ISNUMBER(E43),E43,0)+O43,O43)*(30+P43)*100+O43,0),IF((S43&gt;=6)*(1-(IF(T43="",-1,T43)&gt;=1)*(IF(T43="",-1,T43)&lt;=3))*(1-(IF(T43="",-1,T43)=0)),IF(C43="peso_corporal",IF(ISNUMBER(E43),E43,0)+R43,R43)*(30+S43)*100+R43,0))</f>
        <v>0</v>
      </c>
      <c r="AB43" s="69">
        <f>IF(AA43=0,0,IF(IF((S43&gt;=6)*(1-(IF(T43="",-1,T43)&gt;=1)*(IF(T43="",-1,T43)&lt;=3))*(1-(IF(T43="",-1,T43)=0)),IF(C43="peso_corporal",IF(ISNUMBER(E43),E43,0)+R43,R43)*(30+S43)*100+R43,0)=AA43,5,IF(IF((P43&gt;=6)*(1-(IF(Q43="",-1,Q43)&gt;=1)*(IF(Q43="",-1,Q43)&lt;=3))*(1-(IF(Q43="",-1,Q43)=0)),IF(C43="peso_corporal",IF(ISNUMBER(E43),E43,0)+O43,O43)*(30+P43)*100+O43,0)=AA43,4,IF(IF((M43&gt;=6)*(1-(IF(N43="",-1,N43)&gt;=1)*(IF(N43="",-1,N43)&lt;=3))*(1-(IF(N43="",-1,N43)=0)),IF(C43="peso_corporal",IF(ISNUMBER(E43),E43,0)+L43,L43)*(30+M43)*100+L43,0)=AA43,3,IF(IF((J43&gt;=6)*(1-(IF(K43="",-1,K43)&gt;=1)*(IF(K43="",-1,K43)&lt;=3))*(1-(IF(K43="",-1,K43)=0)),IF(C43="peso_corporal",IF(ISNUMBER(E43),E43,0)+I43,I43)*(30+J43)*100+I43,0)=AA43,2,IF(IF((G43&gt;=6)*(1-(IF(H43="",-1,H43)&gt;=1)*(IF(H43="",-1,H43)&lt;=3))*(1-(IF(H43="",-1,H43)=0)),IF(C43="peso_corporal",IF(ISNUMBER(E43),E43,0)+F43,F43)*(30+G43)*100+F43,0)=AA43,1,0))))))</f>
        <v>0</v>
      </c>
      <c r="AC43" s="69" t="str">
        <f>IF(X43&gt;0,"A"&amp;X43,IF(Z43&gt;0,"B"&amp;Z43,IF(AB43&gt;0,"C"&amp;AB43,"")))</f>
        <v/>
      </c>
    </row>
    <row r="44" spans="1:29" ht="20.100000000000001" customHeight="1">
      <c r="A44" s="14" t="s">
        <v>45</v>
      </c>
      <c r="B44" s="15" t="s">
        <v>46</v>
      </c>
      <c r="C44" s="16" t="str">
        <f>IFERROR(INDEX(EJERCICIOS!$D$3:$D$75,MATCH(A44&amp;"|"&amp;B44,EJERCICIOS!$G$3:$G$75,0)),"--")</f>
        <v>mancuerna</v>
      </c>
      <c r="D44" s="17">
        <v>3</v>
      </c>
      <c r="E44" s="18">
        <f>IFERROR(LOOKUP(2,1/(MEDIDAS_Y_PESO!$B$3:$B$4&lt;&gt;""),MEDIDAS_Y_PESO!$B$3:$B$4),"--")</f>
        <v>80</v>
      </c>
      <c r="F44" s="19"/>
      <c r="G44" s="20"/>
      <c r="H44" s="21"/>
      <c r="I44" s="19"/>
      <c r="J44" s="20"/>
      <c r="K44" s="21"/>
      <c r="L44" s="19"/>
      <c r="M44" s="20"/>
      <c r="N44" s="21"/>
      <c r="O44" s="19"/>
      <c r="P44" s="20"/>
      <c r="Q44" s="21"/>
      <c r="R44" s="19"/>
      <c r="S44" s="20"/>
      <c r="T44" s="21"/>
      <c r="U44" s="22" t="str">
        <f>IFERROR(IF(IF(X44&gt;0,X44,IF(Z44&gt;0,Z44,IF(AB44&gt;0,AB44,0)))=0,"--",ROUND(CHOOSE(IF(X44&gt;0,X44,IF(Z44&gt;0,Z44,IF(AB44&gt;0,AB44,0))),IF(C44="peso_corporal",IF(ISNUMBER(E44),E44,0)+F44,F44)*(1+G44/30),IF(C44="peso_corporal",IF(ISNUMBER(E44),E44,0)+I44,I44)*(1+J44/30),IF(C44="peso_corporal",IF(ISNUMBER(E44),E44,0)+L44,L44)*(1+M44/30),IF(C44="peso_corporal",IF(ISNUMBER(E44),E44,0)+O44,O44)*(1+P44/30),IF(C44="peso_corporal",IF(ISNUMBER(E44),E44,0)+R44,R44)*(1+S44/30)),1)),"--")</f>
        <v>--</v>
      </c>
      <c r="V44" s="23" t="str">
        <f>IF(SUGERENCIAS!N73="SIN","Sin datos anteriores",IF(SUGERENCIAS!N73="SUBIR_F","^ SUBIR FUERTE | Kg:"&amp;ROUND(SUGERENCIAS!K73,1)&amp;" R:"&amp;ROUND(SUGERENCIAS!L73,0)&amp;" RIR:"&amp;ROUND(SUGERENCIAS!M73,0),IF(SUGERENCIAS!N73="SUBIR_E","^ SUBIR (Est.) | Kg:"&amp;ROUND(SUGERENCIAS!K73,1)&amp;" R:"&amp;ROUND(SUGERENCIAS!L73,0)&amp;" RIR:"&amp;ROUND(SUGERENCIAS!M73,0),IF(SUGERENCIAS!N73="SUBIR","^ SUBIR | Kg:"&amp;ROUND(SUGERENCIAS!K73,1)&amp;" R:"&amp;ROUND(SUGERENCIAS!L73,0)&amp;" RIR:"&amp;ROUND(SUGERENCIAS!M73,0),IF(SUGERENCIAS!N73="BAJAR","v BAJAR | Kg:"&amp;ROUND(SUGERENCIAS!K73,1)&amp;" R:"&amp;ROUND(SUGERENCIAS!L73,0)&amp;" RIR:"&amp;ROUND(SUGERENCIAS!M73,0),"= MANT | Kg:"&amp;ROUND(SUGERENCIAS!K73,1)&amp;" R:"&amp;ROUND(SUGERENCIAS!L73,0)&amp;" RIR:"&amp;ROUND(SUGERENCIAS!M73,0))))))</f>
        <v>Sin datos anteriores</v>
      </c>
      <c r="W44" s="69">
        <f>MAX(IF((G44&gt;0)*(IF(H44="",-1,H44)&gt;=1)*(IF(H44="",-1,H44)&lt;=3),IF(C44="peso_corporal",IF(ISNUMBER(E44),E44,0)+F44,F44)*G44*1000+F44,0),IF((J44&gt;0)*(IF(K44="",-1,K44)&gt;=1)*(IF(K44="",-1,K44)&lt;=3),IF(C44="peso_corporal",IF(ISNUMBER(E44),E44,0)+I44,I44)*J44*1000+I44,0),IF((M44&gt;0)*(IF(N44="",-1,N44)&gt;=1)*(IF(N44="",-1,N44)&lt;=3),IF(C44="peso_corporal",IF(ISNUMBER(E44),E44,0)+L44,L44)*M44*1000+L44,0),IF((P44&gt;0)*(IF(Q44="",-1,Q44)&gt;=1)*(IF(Q44="",-1,Q44)&lt;=3),IF(C44="peso_corporal",IF(ISNUMBER(E44),E44,0)+O44,O44)*P44*1000+O44,0),IF((S44&gt;0)*(IF(T44="",-1,T44)&gt;=1)*(IF(T44="",-1,T44)&lt;=3),IF(C44="peso_corporal",IF(ISNUMBER(E44),E44,0)+R44,R44)*S44*1000+R44,0))</f>
        <v>0</v>
      </c>
      <c r="X44" s="69">
        <f>IF(W44=0,0,IF(IF((S44&gt;0)*(IF(T44="",-1,T44)&gt;=1)*(IF(T44="",-1,T44)&lt;=3),IF(C44="peso_corporal",IF(ISNUMBER(E44),E44,0)+R44,R44)*S44*1000+R44,0)=W44,5,IF(IF((P44&gt;0)*(IF(Q44="",-1,Q44)&gt;=1)*(IF(Q44="",-1,Q44)&lt;=3),IF(C44="peso_corporal",IF(ISNUMBER(E44),E44,0)+O44,O44)*P44*1000+O44,0)=W44,4,IF(IF((M44&gt;0)*(IF(N44="",-1,N44)&gt;=1)*(IF(N44="",-1,N44)&lt;=3),IF(C44="peso_corporal",IF(ISNUMBER(E44),E44,0)+L44,L44)*M44*1000+L44,0)=W44,3,IF(IF((J44&gt;0)*(IF(K44="",-1,K44)&gt;=1)*(IF(K44="",-1,K44)&lt;=3),IF(C44="peso_corporal",IF(ISNUMBER(E44),E44,0)+I44,I44)*J44*1000+I44,0)=W44,2,IF(IF((G44&gt;0)*(IF(H44="",-1,H44)&gt;=1)*(IF(H44="",-1,H44)&lt;=3),IF(C44="peso_corporal",IF(ISNUMBER(E44),E44,0)+F44,F44)*G44*1000+F44,0)=W44,1,0))))))</f>
        <v>0</v>
      </c>
      <c r="Y44" s="69">
        <f>MAX(IF((G44&gt;0)*(IF(H44="",-1,H44)=0)*(1-(IF(H44="",-1,H44)&gt;=1)*(IF(H44="",-1,H44)&lt;=3)),IF(C44="peso_corporal",IF(ISNUMBER(E44),E44,0)+F44,F44)*G44*1000+F44,0),IF((J44&gt;0)*(IF(K44="",-1,K44)=0)*(1-(IF(K44="",-1,K44)&gt;=1)*(IF(K44="",-1,K44)&lt;=3)),IF(C44="peso_corporal",IF(ISNUMBER(E44),E44,0)+I44,I44)*J44*1000+I44,0),IF((M44&gt;0)*(IF(N44="",-1,N44)=0)*(1-(IF(N44="",-1,N44)&gt;=1)*(IF(N44="",-1,N44)&lt;=3)),IF(C44="peso_corporal",IF(ISNUMBER(E44),E44,0)+L44,L44)*M44*1000+L44,0),IF((P44&gt;0)*(IF(Q44="",-1,Q44)=0)*(1-(IF(Q44="",-1,Q44)&gt;=1)*(IF(Q44="",-1,Q44)&lt;=3)),IF(C44="peso_corporal",IF(ISNUMBER(E44),E44,0)+O44,O44)*P44*1000+O44,0),IF((S44&gt;0)*(IF(T44="",-1,T44)=0)*(1-(IF(T44="",-1,T44)&gt;=1)*(IF(T44="",-1,T44)&lt;=3)),IF(C44="peso_corporal",IF(ISNUMBER(E44),E44,0)+R44,R44)*S44*1000+R44,0))</f>
        <v>0</v>
      </c>
      <c r="Z44" s="69">
        <f>IF(Y44=0,0,IF(IF((S44&gt;0)*(IF(T44="",-1,T44)=0)*(1-(IF(T44="",-1,T44)&gt;=1)*(IF(T44="",-1,T44)&lt;=3)),IF(C44="peso_corporal",IF(ISNUMBER(E44),E44,0)+R44,R44)*S44*1000+R44,0)=Y44,5,IF(IF((P44&gt;0)*(IF(Q44="",-1,Q44)=0)*(1-(IF(Q44="",-1,Q44)&gt;=1)*(IF(Q44="",-1,Q44)&lt;=3)),IF(C44="peso_corporal",IF(ISNUMBER(E44),E44,0)+O44,O44)*P44*1000+O44,0)=Y44,4,IF(IF((M44&gt;0)*(IF(N44="",-1,N44)=0)*(1-(IF(N44="",-1,N44)&gt;=1)*(IF(N44="",-1,N44)&lt;=3)),IF(C44="peso_corporal",IF(ISNUMBER(E44),E44,0)+L44,L44)*M44*1000+L44,0)=Y44,3,IF(IF((J44&gt;0)*(IF(K44="",-1,K44)=0)*(1-(IF(K44="",-1,K44)&gt;=1)*(IF(K44="",-1,K44)&lt;=3)),IF(C44="peso_corporal",IF(ISNUMBER(E44),E44,0)+I44,I44)*J44*1000+I44,0)=Y44,2,IF(IF((G44&gt;0)*(IF(H44="",-1,H44)=0)*(1-(IF(H44="",-1,H44)&gt;=1)*(IF(H44="",-1,H44)&lt;=3)),IF(C44="peso_corporal",IF(ISNUMBER(E44),E44,0)+F44,F44)*G44*1000+F44,0)=Y44,1,0))))))</f>
        <v>0</v>
      </c>
      <c r="AA44" s="69">
        <f>MAX(IF((G44&gt;=6)*(1-(IF(H44="",-1,H44)&gt;=1)*(IF(H44="",-1,H44)&lt;=3))*(1-(IF(H44="",-1,H44)=0)),IF(C44="peso_corporal",IF(ISNUMBER(E44),E44,0)+F44,F44)*(30+G44)*100+F44,0),IF((J44&gt;=6)*(1-(IF(K44="",-1,K44)&gt;=1)*(IF(K44="",-1,K44)&lt;=3))*(1-(IF(K44="",-1,K44)=0)),IF(C44="peso_corporal",IF(ISNUMBER(E44),E44,0)+I44,I44)*(30+J44)*100+I44,0),IF((M44&gt;=6)*(1-(IF(N44="",-1,N44)&gt;=1)*(IF(N44="",-1,N44)&lt;=3))*(1-(IF(N44="",-1,N44)=0)),IF(C44="peso_corporal",IF(ISNUMBER(E44),E44,0)+L44,L44)*(30+M44)*100+L44,0),IF((P44&gt;=6)*(1-(IF(Q44="",-1,Q44)&gt;=1)*(IF(Q44="",-1,Q44)&lt;=3))*(1-(IF(Q44="",-1,Q44)=0)),IF(C44="peso_corporal",IF(ISNUMBER(E44),E44,0)+O44,O44)*(30+P44)*100+O44,0),IF((S44&gt;=6)*(1-(IF(T44="",-1,T44)&gt;=1)*(IF(T44="",-1,T44)&lt;=3))*(1-(IF(T44="",-1,T44)=0)),IF(C44="peso_corporal",IF(ISNUMBER(E44),E44,0)+R44,R44)*(30+S44)*100+R44,0))</f>
        <v>0</v>
      </c>
      <c r="AB44" s="69">
        <f>IF(AA44=0,0,IF(IF((S44&gt;=6)*(1-(IF(T44="",-1,T44)&gt;=1)*(IF(T44="",-1,T44)&lt;=3))*(1-(IF(T44="",-1,T44)=0)),IF(C44="peso_corporal",IF(ISNUMBER(E44),E44,0)+R44,R44)*(30+S44)*100+R44,0)=AA44,5,IF(IF((P44&gt;=6)*(1-(IF(Q44="",-1,Q44)&gt;=1)*(IF(Q44="",-1,Q44)&lt;=3))*(1-(IF(Q44="",-1,Q44)=0)),IF(C44="peso_corporal",IF(ISNUMBER(E44),E44,0)+O44,O44)*(30+P44)*100+O44,0)=AA44,4,IF(IF((M44&gt;=6)*(1-(IF(N44="",-1,N44)&gt;=1)*(IF(N44="",-1,N44)&lt;=3))*(1-(IF(N44="",-1,N44)=0)),IF(C44="peso_corporal",IF(ISNUMBER(E44),E44,0)+L44,L44)*(30+M44)*100+L44,0)=AA44,3,IF(IF((J44&gt;=6)*(1-(IF(K44="",-1,K44)&gt;=1)*(IF(K44="",-1,K44)&lt;=3))*(1-(IF(K44="",-1,K44)=0)),IF(C44="peso_corporal",IF(ISNUMBER(E44),E44,0)+I44,I44)*(30+J44)*100+I44,0)=AA44,2,IF(IF((G44&gt;=6)*(1-(IF(H44="",-1,H44)&gt;=1)*(IF(H44="",-1,H44)&lt;=3))*(1-(IF(H44="",-1,H44)=0)),IF(C44="peso_corporal",IF(ISNUMBER(E44),E44,0)+F44,F44)*(30+G44)*100+F44,0)=AA44,1,0))))))</f>
        <v>0</v>
      </c>
      <c r="AC44" s="69" t="str">
        <f>IF(X44&gt;0,"A"&amp;X44,IF(Z44&gt;0,"B"&amp;Z44,IF(AB44&gt;0,"C"&amp;AB44,"")))</f>
        <v/>
      </c>
    </row>
    <row r="45" spans="1:29" ht="15" customHeight="1">
      <c r="A45" s="82" t="s">
        <v>47</v>
      </c>
      <c r="B45" s="73"/>
      <c r="C45" s="73"/>
      <c r="D45" s="73"/>
      <c r="E45" s="73"/>
      <c r="F45" s="73"/>
      <c r="G45" s="73"/>
      <c r="H45" s="73"/>
      <c r="I45" s="73"/>
      <c r="J45" s="73"/>
      <c r="K45" s="73"/>
      <c r="L45" s="73"/>
      <c r="M45" s="73"/>
      <c r="N45" s="73"/>
      <c r="O45" s="73"/>
      <c r="P45" s="73"/>
      <c r="Q45" s="73"/>
      <c r="R45" s="73"/>
      <c r="S45" s="73"/>
      <c r="T45" s="73"/>
      <c r="U45" s="73"/>
      <c r="V45" s="73"/>
      <c r="W45" s="69"/>
      <c r="X45" s="69"/>
      <c r="Y45" s="69"/>
      <c r="Z45" s="69"/>
      <c r="AA45" s="69"/>
      <c r="AB45" s="69"/>
      <c r="AC45" s="69"/>
    </row>
    <row r="46" spans="1:29" ht="20.100000000000001" customHeight="1">
      <c r="A46" s="14" t="s">
        <v>48</v>
      </c>
      <c r="B46" s="15" t="s">
        <v>64</v>
      </c>
      <c r="C46" s="16" t="str">
        <f>IFERROR(INDEX(EJERCICIOS!$D$3:$D$75,MATCH(A46&amp;"|"&amp;B46,EJERCICIOS!$G$3:$G$75,0)),"--")</f>
        <v>--</v>
      </c>
      <c r="D46" s="17">
        <v>3</v>
      </c>
      <c r="E46" s="18">
        <f>IFERROR(LOOKUP(2,1/(MEDIDAS_Y_PESO!$B$3:$B$4&lt;&gt;""),MEDIDAS_Y_PESO!$B$3:$B$4),"--")</f>
        <v>80</v>
      </c>
      <c r="F46" s="19"/>
      <c r="G46" s="20"/>
      <c r="H46" s="21"/>
      <c r="I46" s="19"/>
      <c r="J46" s="20"/>
      <c r="K46" s="21"/>
      <c r="L46" s="19"/>
      <c r="M46" s="20"/>
      <c r="N46" s="21"/>
      <c r="O46" s="19"/>
      <c r="P46" s="20"/>
      <c r="Q46" s="21"/>
      <c r="R46" s="19"/>
      <c r="S46" s="20"/>
      <c r="T46" s="21"/>
      <c r="U46" s="22" t="str">
        <f>IFERROR(IF(IF(X46&gt;0,X46,IF(Z46&gt;0,Z46,IF(AB46&gt;0,AB46,0)))=0,"--",ROUND(CHOOSE(IF(X46&gt;0,X46,IF(Z46&gt;0,Z46,IF(AB46&gt;0,AB46,0))),IF(C46="peso_corporal",IF(ISNUMBER(E46),E46,0)+F46,F46)*(1+G46/30),IF(C46="peso_corporal",IF(ISNUMBER(E46),E46,0)+I46,I46)*(1+J46/30),IF(C46="peso_corporal",IF(ISNUMBER(E46),E46,0)+L46,L46)*(1+M46/30),IF(C46="peso_corporal",IF(ISNUMBER(E46),E46,0)+O46,O46)*(1+P46/30),IF(C46="peso_corporal",IF(ISNUMBER(E46),E46,0)+R46,R46)*(1+S46/30)),1)),"--")</f>
        <v>--</v>
      </c>
      <c r="V46" s="23" t="str">
        <f>IF(SUGERENCIAS!N74="SIN","Sin datos anteriores",IF(SUGERENCIAS!N74="SUBIR_F","^ SUBIR FUERTE | Kg:"&amp;ROUND(SUGERENCIAS!K74,1)&amp;" R:"&amp;ROUND(SUGERENCIAS!L74,0)&amp;" RIR:"&amp;ROUND(SUGERENCIAS!M74,0),IF(SUGERENCIAS!N74="SUBIR_E","^ SUBIR (Est.) | Kg:"&amp;ROUND(SUGERENCIAS!K74,1)&amp;" R:"&amp;ROUND(SUGERENCIAS!L74,0)&amp;" RIR:"&amp;ROUND(SUGERENCIAS!M74,0),IF(SUGERENCIAS!N74="SUBIR","^ SUBIR | Kg:"&amp;ROUND(SUGERENCIAS!K74,1)&amp;" R:"&amp;ROUND(SUGERENCIAS!L74,0)&amp;" RIR:"&amp;ROUND(SUGERENCIAS!M74,0),IF(SUGERENCIAS!N74="BAJAR","v BAJAR | Kg:"&amp;ROUND(SUGERENCIAS!K74,1)&amp;" R:"&amp;ROUND(SUGERENCIAS!L74,0)&amp;" RIR:"&amp;ROUND(SUGERENCIAS!M74,0),"= MANT | Kg:"&amp;ROUND(SUGERENCIAS!K74,1)&amp;" R:"&amp;ROUND(SUGERENCIAS!L74,0)&amp;" RIR:"&amp;ROUND(SUGERENCIAS!M74,0))))))</f>
        <v>Sin datos anteriores</v>
      </c>
      <c r="W46" s="69">
        <f>MAX(IF((G46&gt;0)*(IF(H46="",-1,H46)&gt;=1)*(IF(H46="",-1,H46)&lt;=3),IF(C46="peso_corporal",IF(ISNUMBER(E46),E46,0)+F46,F46)*G46*1000+F46,0),IF((J46&gt;0)*(IF(K46="",-1,K46)&gt;=1)*(IF(K46="",-1,K46)&lt;=3),IF(C46="peso_corporal",IF(ISNUMBER(E46),E46,0)+I46,I46)*J46*1000+I46,0),IF((M46&gt;0)*(IF(N46="",-1,N46)&gt;=1)*(IF(N46="",-1,N46)&lt;=3),IF(C46="peso_corporal",IF(ISNUMBER(E46),E46,0)+L46,L46)*M46*1000+L46,0),IF((P46&gt;0)*(IF(Q46="",-1,Q46)&gt;=1)*(IF(Q46="",-1,Q46)&lt;=3),IF(C46="peso_corporal",IF(ISNUMBER(E46),E46,0)+O46,O46)*P46*1000+O46,0),IF((S46&gt;0)*(IF(T46="",-1,T46)&gt;=1)*(IF(T46="",-1,T46)&lt;=3),IF(C46="peso_corporal",IF(ISNUMBER(E46),E46,0)+R46,R46)*S46*1000+R46,0))</f>
        <v>0</v>
      </c>
      <c r="X46" s="69">
        <f>IF(W46=0,0,IF(IF((S46&gt;0)*(IF(T46="",-1,T46)&gt;=1)*(IF(T46="",-1,T46)&lt;=3),IF(C46="peso_corporal",IF(ISNUMBER(E46),E46,0)+R46,R46)*S46*1000+R46,0)=W46,5,IF(IF((P46&gt;0)*(IF(Q46="",-1,Q46)&gt;=1)*(IF(Q46="",-1,Q46)&lt;=3),IF(C46="peso_corporal",IF(ISNUMBER(E46),E46,0)+O46,O46)*P46*1000+O46,0)=W46,4,IF(IF((M46&gt;0)*(IF(N46="",-1,N46)&gt;=1)*(IF(N46="",-1,N46)&lt;=3),IF(C46="peso_corporal",IF(ISNUMBER(E46),E46,0)+L46,L46)*M46*1000+L46,0)=W46,3,IF(IF((J46&gt;0)*(IF(K46="",-1,K46)&gt;=1)*(IF(K46="",-1,K46)&lt;=3),IF(C46="peso_corporal",IF(ISNUMBER(E46),E46,0)+I46,I46)*J46*1000+I46,0)=W46,2,IF(IF((G46&gt;0)*(IF(H46="",-1,H46)&gt;=1)*(IF(H46="",-1,H46)&lt;=3),IF(C46="peso_corporal",IF(ISNUMBER(E46),E46,0)+F46,F46)*G46*1000+F46,0)=W46,1,0))))))</f>
        <v>0</v>
      </c>
      <c r="Y46" s="69">
        <f>MAX(IF((G46&gt;0)*(IF(H46="",-1,H46)=0)*(1-(IF(H46="",-1,H46)&gt;=1)*(IF(H46="",-1,H46)&lt;=3)),IF(C46="peso_corporal",IF(ISNUMBER(E46),E46,0)+F46,F46)*G46*1000+F46,0),IF((J46&gt;0)*(IF(K46="",-1,K46)=0)*(1-(IF(K46="",-1,K46)&gt;=1)*(IF(K46="",-1,K46)&lt;=3)),IF(C46="peso_corporal",IF(ISNUMBER(E46),E46,0)+I46,I46)*J46*1000+I46,0),IF((M46&gt;0)*(IF(N46="",-1,N46)=0)*(1-(IF(N46="",-1,N46)&gt;=1)*(IF(N46="",-1,N46)&lt;=3)),IF(C46="peso_corporal",IF(ISNUMBER(E46),E46,0)+L46,L46)*M46*1000+L46,0),IF((P46&gt;0)*(IF(Q46="",-1,Q46)=0)*(1-(IF(Q46="",-1,Q46)&gt;=1)*(IF(Q46="",-1,Q46)&lt;=3)),IF(C46="peso_corporal",IF(ISNUMBER(E46),E46,0)+O46,O46)*P46*1000+O46,0),IF((S46&gt;0)*(IF(T46="",-1,T46)=0)*(1-(IF(T46="",-1,T46)&gt;=1)*(IF(T46="",-1,T46)&lt;=3)),IF(C46="peso_corporal",IF(ISNUMBER(E46),E46,0)+R46,R46)*S46*1000+R46,0))</f>
        <v>0</v>
      </c>
      <c r="Z46" s="69">
        <f>IF(Y46=0,0,IF(IF((S46&gt;0)*(IF(T46="",-1,T46)=0)*(1-(IF(T46="",-1,T46)&gt;=1)*(IF(T46="",-1,T46)&lt;=3)),IF(C46="peso_corporal",IF(ISNUMBER(E46),E46,0)+R46,R46)*S46*1000+R46,0)=Y46,5,IF(IF((P46&gt;0)*(IF(Q46="",-1,Q46)=0)*(1-(IF(Q46="",-1,Q46)&gt;=1)*(IF(Q46="",-1,Q46)&lt;=3)),IF(C46="peso_corporal",IF(ISNUMBER(E46),E46,0)+O46,O46)*P46*1000+O46,0)=Y46,4,IF(IF((M46&gt;0)*(IF(N46="",-1,N46)=0)*(1-(IF(N46="",-1,N46)&gt;=1)*(IF(N46="",-1,N46)&lt;=3)),IF(C46="peso_corporal",IF(ISNUMBER(E46),E46,0)+L46,L46)*M46*1000+L46,0)=Y46,3,IF(IF((J46&gt;0)*(IF(K46="",-1,K46)=0)*(1-(IF(K46="",-1,K46)&gt;=1)*(IF(K46="",-1,K46)&lt;=3)),IF(C46="peso_corporal",IF(ISNUMBER(E46),E46,0)+I46,I46)*J46*1000+I46,0)=Y46,2,IF(IF((G46&gt;0)*(IF(H46="",-1,H46)=0)*(1-(IF(H46="",-1,H46)&gt;=1)*(IF(H46="",-1,H46)&lt;=3)),IF(C46="peso_corporal",IF(ISNUMBER(E46),E46,0)+F46,F46)*G46*1000+F46,0)=Y46,1,0))))))</f>
        <v>0</v>
      </c>
      <c r="AA46" s="69">
        <f>MAX(IF((G46&gt;=6)*(1-(IF(H46="",-1,H46)&gt;=1)*(IF(H46="",-1,H46)&lt;=3))*(1-(IF(H46="",-1,H46)=0)),IF(C46="peso_corporal",IF(ISNUMBER(E46),E46,0)+F46,F46)*(30+G46)*100+F46,0),IF((J46&gt;=6)*(1-(IF(K46="",-1,K46)&gt;=1)*(IF(K46="",-1,K46)&lt;=3))*(1-(IF(K46="",-1,K46)=0)),IF(C46="peso_corporal",IF(ISNUMBER(E46),E46,0)+I46,I46)*(30+J46)*100+I46,0),IF((M46&gt;=6)*(1-(IF(N46="",-1,N46)&gt;=1)*(IF(N46="",-1,N46)&lt;=3))*(1-(IF(N46="",-1,N46)=0)),IF(C46="peso_corporal",IF(ISNUMBER(E46),E46,0)+L46,L46)*(30+M46)*100+L46,0),IF((P46&gt;=6)*(1-(IF(Q46="",-1,Q46)&gt;=1)*(IF(Q46="",-1,Q46)&lt;=3))*(1-(IF(Q46="",-1,Q46)=0)),IF(C46="peso_corporal",IF(ISNUMBER(E46),E46,0)+O46,O46)*(30+P46)*100+O46,0),IF((S46&gt;=6)*(1-(IF(T46="",-1,T46)&gt;=1)*(IF(T46="",-1,T46)&lt;=3))*(1-(IF(T46="",-1,T46)=0)),IF(C46="peso_corporal",IF(ISNUMBER(E46),E46,0)+R46,R46)*(30+S46)*100+R46,0))</f>
        <v>0</v>
      </c>
      <c r="AB46" s="69">
        <f>IF(AA46=0,0,IF(IF((S46&gt;=6)*(1-(IF(T46="",-1,T46)&gt;=1)*(IF(T46="",-1,T46)&lt;=3))*(1-(IF(T46="",-1,T46)=0)),IF(C46="peso_corporal",IF(ISNUMBER(E46),E46,0)+R46,R46)*(30+S46)*100+R46,0)=AA46,5,IF(IF((P46&gt;=6)*(1-(IF(Q46="",-1,Q46)&gt;=1)*(IF(Q46="",-1,Q46)&lt;=3))*(1-(IF(Q46="",-1,Q46)=0)),IF(C46="peso_corporal",IF(ISNUMBER(E46),E46,0)+O46,O46)*(30+P46)*100+O46,0)=AA46,4,IF(IF((M46&gt;=6)*(1-(IF(N46="",-1,N46)&gt;=1)*(IF(N46="",-1,N46)&lt;=3))*(1-(IF(N46="",-1,N46)=0)),IF(C46="peso_corporal",IF(ISNUMBER(E46),E46,0)+L46,L46)*(30+M46)*100+L46,0)=AA46,3,IF(IF((J46&gt;=6)*(1-(IF(K46="",-1,K46)&gt;=1)*(IF(K46="",-1,K46)&lt;=3))*(1-(IF(K46="",-1,K46)=0)),IF(C46="peso_corporal",IF(ISNUMBER(E46),E46,0)+I46,I46)*(30+J46)*100+I46,0)=AA46,2,IF(IF((G46&gt;=6)*(1-(IF(H46="",-1,H46)&gt;=1)*(IF(H46="",-1,H46)&lt;=3))*(1-(IF(H46="",-1,H46)=0)),IF(C46="peso_corporal",IF(ISNUMBER(E46),E46,0)+F46,F46)*(30+G46)*100+F46,0)=AA46,1,0))))))</f>
        <v>0</v>
      </c>
      <c r="AC46" s="69" t="str">
        <f>IF(X46&gt;0,"A"&amp;X46,IF(Z46&gt;0,"B"&amp;Z46,IF(AB46&gt;0,"C"&amp;AB46,"")))</f>
        <v/>
      </c>
    </row>
    <row r="47" spans="1:29" ht="15" customHeight="1">
      <c r="A47" s="88" t="s">
        <v>50</v>
      </c>
      <c r="B47" s="73"/>
      <c r="C47" s="73"/>
      <c r="D47" s="73"/>
      <c r="E47" s="73"/>
      <c r="F47" s="73"/>
      <c r="G47" s="73"/>
      <c r="H47" s="73"/>
      <c r="I47" s="73"/>
      <c r="J47" s="73"/>
      <c r="K47" s="73"/>
      <c r="L47" s="73"/>
      <c r="M47" s="73"/>
      <c r="N47" s="73"/>
      <c r="O47" s="73"/>
      <c r="P47" s="73"/>
      <c r="Q47" s="73"/>
      <c r="R47" s="73"/>
      <c r="S47" s="73"/>
      <c r="T47" s="73"/>
      <c r="U47" s="73"/>
      <c r="V47" s="73"/>
      <c r="W47" s="69"/>
      <c r="X47" s="69"/>
      <c r="Y47" s="69"/>
      <c r="Z47" s="69"/>
      <c r="AA47" s="69"/>
      <c r="AB47" s="69"/>
      <c r="AC47" s="69"/>
    </row>
    <row r="48" spans="1:29" ht="20.100000000000001" customHeight="1">
      <c r="A48" s="14" t="s">
        <v>65</v>
      </c>
      <c r="B48" s="15" t="s">
        <v>66</v>
      </c>
      <c r="C48" s="16" t="str">
        <f>IFERROR(INDEX(EJERCICIOS!$D$3:$D$75,MATCH(A48&amp;"|"&amp;B48,EJERCICIOS!$G$3:$G$75,0)),"--")</f>
        <v>--</v>
      </c>
      <c r="D48" s="17">
        <v>3</v>
      </c>
      <c r="E48" s="18">
        <f>IFERROR(LOOKUP(2,1/(MEDIDAS_Y_PESO!$B$3:$B$4&lt;&gt;""),MEDIDAS_Y_PESO!$B$3:$B$4),"--")</f>
        <v>80</v>
      </c>
      <c r="F48" s="19"/>
      <c r="G48" s="20"/>
      <c r="H48" s="21"/>
      <c r="I48" s="19"/>
      <c r="J48" s="20"/>
      <c r="K48" s="21"/>
      <c r="L48" s="19"/>
      <c r="M48" s="20"/>
      <c r="N48" s="21"/>
      <c r="O48" s="19"/>
      <c r="P48" s="20"/>
      <c r="Q48" s="21"/>
      <c r="R48" s="19"/>
      <c r="S48" s="20"/>
      <c r="T48" s="21"/>
      <c r="U48" s="22" t="str">
        <f>IFERROR(IF(IF(X48&gt;0,X48,IF(Z48&gt;0,Z48,IF(AB48&gt;0,AB48,0)))=0,"--",ROUND(CHOOSE(IF(X48&gt;0,X48,IF(Z48&gt;0,Z48,IF(AB48&gt;0,AB48,0))),IF(C48="peso_corporal",IF(ISNUMBER(E48),E48,0)+F48,F48)*(1+G48/30),IF(C48="peso_corporal",IF(ISNUMBER(E48),E48,0)+I48,I48)*(1+J48/30),IF(C48="peso_corporal",IF(ISNUMBER(E48),E48,0)+L48,L48)*(1+M48/30),IF(C48="peso_corporal",IF(ISNUMBER(E48),E48,0)+O48,O48)*(1+P48/30),IF(C48="peso_corporal",IF(ISNUMBER(E48),E48,0)+R48,R48)*(1+S48/30)),1)),"--")</f>
        <v>--</v>
      </c>
      <c r="V48" s="23" t="str">
        <f>IF(SUGERENCIAS!N75="SIN","Sin datos anteriores",IF(SUGERENCIAS!N75="SUBIR_F","^ SUBIR FUERTE | Kg:"&amp;ROUND(SUGERENCIAS!K75,1)&amp;" R:"&amp;ROUND(SUGERENCIAS!L75,0)&amp;" RIR:"&amp;ROUND(SUGERENCIAS!M75,0),IF(SUGERENCIAS!N75="SUBIR_E","^ SUBIR (Est.) | Kg:"&amp;ROUND(SUGERENCIAS!K75,1)&amp;" R:"&amp;ROUND(SUGERENCIAS!L75,0)&amp;" RIR:"&amp;ROUND(SUGERENCIAS!M75,0),IF(SUGERENCIAS!N75="SUBIR","^ SUBIR | Kg:"&amp;ROUND(SUGERENCIAS!K75,1)&amp;" R:"&amp;ROUND(SUGERENCIAS!L75,0)&amp;" RIR:"&amp;ROUND(SUGERENCIAS!M75,0),IF(SUGERENCIAS!N75="BAJAR","v BAJAR | Kg:"&amp;ROUND(SUGERENCIAS!K75,1)&amp;" R:"&amp;ROUND(SUGERENCIAS!L75,0)&amp;" RIR:"&amp;ROUND(SUGERENCIAS!M75,0),"= MANT | Kg:"&amp;ROUND(SUGERENCIAS!K75,1)&amp;" R:"&amp;ROUND(SUGERENCIAS!L75,0)&amp;" RIR:"&amp;ROUND(SUGERENCIAS!M75,0))))))</f>
        <v>Sin datos anteriores</v>
      </c>
      <c r="W48" s="69">
        <f>MAX(IF((G48&gt;0)*(IF(H48="",-1,H48)&gt;=1)*(IF(H48="",-1,H48)&lt;=3),IF(C48="peso_corporal",IF(ISNUMBER(E48),E48,0)+F48,F48)*G48*1000+F48,0),IF((J48&gt;0)*(IF(K48="",-1,K48)&gt;=1)*(IF(K48="",-1,K48)&lt;=3),IF(C48="peso_corporal",IF(ISNUMBER(E48),E48,0)+I48,I48)*J48*1000+I48,0),IF((M48&gt;0)*(IF(N48="",-1,N48)&gt;=1)*(IF(N48="",-1,N48)&lt;=3),IF(C48="peso_corporal",IF(ISNUMBER(E48),E48,0)+L48,L48)*M48*1000+L48,0),IF((P48&gt;0)*(IF(Q48="",-1,Q48)&gt;=1)*(IF(Q48="",-1,Q48)&lt;=3),IF(C48="peso_corporal",IF(ISNUMBER(E48),E48,0)+O48,O48)*P48*1000+O48,0),IF((S48&gt;0)*(IF(T48="",-1,T48)&gt;=1)*(IF(T48="",-1,T48)&lt;=3),IF(C48="peso_corporal",IF(ISNUMBER(E48),E48,0)+R48,R48)*S48*1000+R48,0))</f>
        <v>0</v>
      </c>
      <c r="X48" s="69">
        <f>IF(W48=0,0,IF(IF((S48&gt;0)*(IF(T48="",-1,T48)&gt;=1)*(IF(T48="",-1,T48)&lt;=3),IF(C48="peso_corporal",IF(ISNUMBER(E48),E48,0)+R48,R48)*S48*1000+R48,0)=W48,5,IF(IF((P48&gt;0)*(IF(Q48="",-1,Q48)&gt;=1)*(IF(Q48="",-1,Q48)&lt;=3),IF(C48="peso_corporal",IF(ISNUMBER(E48),E48,0)+O48,O48)*P48*1000+O48,0)=W48,4,IF(IF((M48&gt;0)*(IF(N48="",-1,N48)&gt;=1)*(IF(N48="",-1,N48)&lt;=3),IF(C48="peso_corporal",IF(ISNUMBER(E48),E48,0)+L48,L48)*M48*1000+L48,0)=W48,3,IF(IF((J48&gt;0)*(IF(K48="",-1,K48)&gt;=1)*(IF(K48="",-1,K48)&lt;=3),IF(C48="peso_corporal",IF(ISNUMBER(E48),E48,0)+I48,I48)*J48*1000+I48,0)=W48,2,IF(IF((G48&gt;0)*(IF(H48="",-1,H48)&gt;=1)*(IF(H48="",-1,H48)&lt;=3),IF(C48="peso_corporal",IF(ISNUMBER(E48),E48,0)+F48,F48)*G48*1000+F48,0)=W48,1,0))))))</f>
        <v>0</v>
      </c>
      <c r="Y48" s="69">
        <f>MAX(IF((G48&gt;0)*(IF(H48="",-1,H48)=0)*(1-(IF(H48="",-1,H48)&gt;=1)*(IF(H48="",-1,H48)&lt;=3)),IF(C48="peso_corporal",IF(ISNUMBER(E48),E48,0)+F48,F48)*G48*1000+F48,0),IF((J48&gt;0)*(IF(K48="",-1,K48)=0)*(1-(IF(K48="",-1,K48)&gt;=1)*(IF(K48="",-1,K48)&lt;=3)),IF(C48="peso_corporal",IF(ISNUMBER(E48),E48,0)+I48,I48)*J48*1000+I48,0),IF((M48&gt;0)*(IF(N48="",-1,N48)=0)*(1-(IF(N48="",-1,N48)&gt;=1)*(IF(N48="",-1,N48)&lt;=3)),IF(C48="peso_corporal",IF(ISNUMBER(E48),E48,0)+L48,L48)*M48*1000+L48,0),IF((P48&gt;0)*(IF(Q48="",-1,Q48)=0)*(1-(IF(Q48="",-1,Q48)&gt;=1)*(IF(Q48="",-1,Q48)&lt;=3)),IF(C48="peso_corporal",IF(ISNUMBER(E48),E48,0)+O48,O48)*P48*1000+O48,0),IF((S48&gt;0)*(IF(T48="",-1,T48)=0)*(1-(IF(T48="",-1,T48)&gt;=1)*(IF(T48="",-1,T48)&lt;=3)),IF(C48="peso_corporal",IF(ISNUMBER(E48),E48,0)+R48,R48)*S48*1000+R48,0))</f>
        <v>0</v>
      </c>
      <c r="Z48" s="69">
        <f>IF(Y48=0,0,IF(IF((S48&gt;0)*(IF(T48="",-1,T48)=0)*(1-(IF(T48="",-1,T48)&gt;=1)*(IF(T48="",-1,T48)&lt;=3)),IF(C48="peso_corporal",IF(ISNUMBER(E48),E48,0)+R48,R48)*S48*1000+R48,0)=Y48,5,IF(IF((P48&gt;0)*(IF(Q48="",-1,Q48)=0)*(1-(IF(Q48="",-1,Q48)&gt;=1)*(IF(Q48="",-1,Q48)&lt;=3)),IF(C48="peso_corporal",IF(ISNUMBER(E48),E48,0)+O48,O48)*P48*1000+O48,0)=Y48,4,IF(IF((M48&gt;0)*(IF(N48="",-1,N48)=0)*(1-(IF(N48="",-1,N48)&gt;=1)*(IF(N48="",-1,N48)&lt;=3)),IF(C48="peso_corporal",IF(ISNUMBER(E48),E48,0)+L48,L48)*M48*1000+L48,0)=Y48,3,IF(IF((J48&gt;0)*(IF(K48="",-1,K48)=0)*(1-(IF(K48="",-1,K48)&gt;=1)*(IF(K48="",-1,K48)&lt;=3)),IF(C48="peso_corporal",IF(ISNUMBER(E48),E48,0)+I48,I48)*J48*1000+I48,0)=Y48,2,IF(IF((G48&gt;0)*(IF(H48="",-1,H48)=0)*(1-(IF(H48="",-1,H48)&gt;=1)*(IF(H48="",-1,H48)&lt;=3)),IF(C48="peso_corporal",IF(ISNUMBER(E48),E48,0)+F48,F48)*G48*1000+F48,0)=Y48,1,0))))))</f>
        <v>0</v>
      </c>
      <c r="AA48" s="69">
        <f>MAX(IF((G48&gt;=6)*(1-(IF(H48="",-1,H48)&gt;=1)*(IF(H48="",-1,H48)&lt;=3))*(1-(IF(H48="",-1,H48)=0)),IF(C48="peso_corporal",IF(ISNUMBER(E48),E48,0)+F48,F48)*(30+G48)*100+F48,0),IF((J48&gt;=6)*(1-(IF(K48="",-1,K48)&gt;=1)*(IF(K48="",-1,K48)&lt;=3))*(1-(IF(K48="",-1,K48)=0)),IF(C48="peso_corporal",IF(ISNUMBER(E48),E48,0)+I48,I48)*(30+J48)*100+I48,0),IF((M48&gt;=6)*(1-(IF(N48="",-1,N48)&gt;=1)*(IF(N48="",-1,N48)&lt;=3))*(1-(IF(N48="",-1,N48)=0)),IF(C48="peso_corporal",IF(ISNUMBER(E48),E48,0)+L48,L48)*(30+M48)*100+L48,0),IF((P48&gt;=6)*(1-(IF(Q48="",-1,Q48)&gt;=1)*(IF(Q48="",-1,Q48)&lt;=3))*(1-(IF(Q48="",-1,Q48)=0)),IF(C48="peso_corporal",IF(ISNUMBER(E48),E48,0)+O48,O48)*(30+P48)*100+O48,0),IF((S48&gt;=6)*(1-(IF(T48="",-1,T48)&gt;=1)*(IF(T48="",-1,T48)&lt;=3))*(1-(IF(T48="",-1,T48)=0)),IF(C48="peso_corporal",IF(ISNUMBER(E48),E48,0)+R48,R48)*(30+S48)*100+R48,0))</f>
        <v>0</v>
      </c>
      <c r="AB48" s="69">
        <f>IF(AA48=0,0,IF(IF((S48&gt;=6)*(1-(IF(T48="",-1,T48)&gt;=1)*(IF(T48="",-1,T48)&lt;=3))*(1-(IF(T48="",-1,T48)=0)),IF(C48="peso_corporal",IF(ISNUMBER(E48),E48,0)+R48,R48)*(30+S48)*100+R48,0)=AA48,5,IF(IF((P48&gt;=6)*(1-(IF(Q48="",-1,Q48)&gt;=1)*(IF(Q48="",-1,Q48)&lt;=3))*(1-(IF(Q48="",-1,Q48)=0)),IF(C48="peso_corporal",IF(ISNUMBER(E48),E48,0)+O48,O48)*(30+P48)*100+O48,0)=AA48,4,IF(IF((M48&gt;=6)*(1-(IF(N48="",-1,N48)&gt;=1)*(IF(N48="",-1,N48)&lt;=3))*(1-(IF(N48="",-1,N48)=0)),IF(C48="peso_corporal",IF(ISNUMBER(E48),E48,0)+L48,L48)*(30+M48)*100+L48,0)=AA48,3,IF(IF((J48&gt;=6)*(1-(IF(K48="",-1,K48)&gt;=1)*(IF(K48="",-1,K48)&lt;=3))*(1-(IF(K48="",-1,K48)=0)),IF(C48="peso_corporal",IF(ISNUMBER(E48),E48,0)+I48,I48)*(30+J48)*100+I48,0)=AA48,2,IF(IF((G48&gt;=6)*(1-(IF(H48="",-1,H48)&gt;=1)*(IF(H48="",-1,H48)&lt;=3))*(1-(IF(H48="",-1,H48)=0)),IF(C48="peso_corporal",IF(ISNUMBER(E48),E48,0)+F48,F48)*(30+G48)*100+F48,0)=AA48,1,0))))))</f>
        <v>0</v>
      </c>
      <c r="AC48" s="69" t="str">
        <f>IF(X48&gt;0,"A"&amp;X48,IF(Z48&gt;0,"B"&amp;Z48,IF(AB48&gt;0,"C"&amp;AB48,"")))</f>
        <v/>
      </c>
    </row>
    <row r="49" spans="1:29" ht="15" customHeight="1">
      <c r="A49" s="81" t="s">
        <v>53</v>
      </c>
      <c r="B49" s="73"/>
      <c r="C49" s="73"/>
      <c r="D49" s="73"/>
      <c r="E49" s="73"/>
      <c r="F49" s="73"/>
      <c r="G49" s="73"/>
      <c r="H49" s="73"/>
      <c r="I49" s="73"/>
      <c r="J49" s="73"/>
      <c r="K49" s="73"/>
      <c r="L49" s="73"/>
      <c r="M49" s="73"/>
      <c r="N49" s="73"/>
      <c r="O49" s="73"/>
      <c r="P49" s="73"/>
      <c r="Q49" s="73"/>
      <c r="R49" s="73"/>
      <c r="S49" s="73"/>
      <c r="T49" s="73"/>
      <c r="U49" s="73"/>
      <c r="V49" s="73"/>
      <c r="W49" s="69"/>
      <c r="X49" s="69"/>
      <c r="Y49" s="69"/>
      <c r="Z49" s="69"/>
      <c r="AA49" s="69"/>
      <c r="AB49" s="69"/>
      <c r="AC49" s="69"/>
    </row>
    <row r="50" spans="1:29" ht="20.100000000000001" customHeight="1">
      <c r="A50" s="14" t="s">
        <v>54</v>
      </c>
      <c r="B50" s="15" t="s">
        <v>67</v>
      </c>
      <c r="C50" s="16" t="str">
        <f>IFERROR(INDEX(EJERCICIOS!$D$3:$D$75,MATCH(A50&amp;"|"&amp;B50,EJERCICIOS!$G$3:$G$75,0)),"--")</f>
        <v>mancuerna</v>
      </c>
      <c r="D50" s="17">
        <v>3</v>
      </c>
      <c r="E50" s="18">
        <f>IFERROR(LOOKUP(2,1/(MEDIDAS_Y_PESO!$B$3:$B$4&lt;&gt;""),MEDIDAS_Y_PESO!$B$3:$B$4),"--")</f>
        <v>80</v>
      </c>
      <c r="F50" s="19"/>
      <c r="G50" s="20"/>
      <c r="H50" s="21"/>
      <c r="I50" s="19"/>
      <c r="J50" s="20"/>
      <c r="K50" s="21"/>
      <c r="L50" s="19"/>
      <c r="M50" s="20"/>
      <c r="N50" s="21"/>
      <c r="O50" s="19"/>
      <c r="P50" s="20"/>
      <c r="Q50" s="21"/>
      <c r="R50" s="19"/>
      <c r="S50" s="20"/>
      <c r="T50" s="21"/>
      <c r="U50" s="22" t="str">
        <f>IFERROR(IF(IF(X50&gt;0,X50,IF(Z50&gt;0,Z50,IF(AB50&gt;0,AB50,0)))=0,"--",ROUND(CHOOSE(IF(X50&gt;0,X50,IF(Z50&gt;0,Z50,IF(AB50&gt;0,AB50,0))),IF(C50="peso_corporal",IF(ISNUMBER(E50),E50,0)+F50,F50)*(1+G50/30),IF(C50="peso_corporal",IF(ISNUMBER(E50),E50,0)+I50,I50)*(1+J50/30),IF(C50="peso_corporal",IF(ISNUMBER(E50),E50,0)+L50,L50)*(1+M50/30),IF(C50="peso_corporal",IF(ISNUMBER(E50),E50,0)+O50,O50)*(1+P50/30),IF(C50="peso_corporal",IF(ISNUMBER(E50),E50,0)+R50,R50)*(1+S50/30)),1)),"--")</f>
        <v>--</v>
      </c>
      <c r="V50" s="23" t="str">
        <f>IF(SUGERENCIAS!N76="SIN","Sin datos anteriores",IF(SUGERENCIAS!N76="SUBIR_F","^ SUBIR FUERTE | Kg:"&amp;ROUND(SUGERENCIAS!K76,1)&amp;" R:"&amp;ROUND(SUGERENCIAS!L76,0)&amp;" RIR:"&amp;ROUND(SUGERENCIAS!M76,0),IF(SUGERENCIAS!N76="SUBIR_E","^ SUBIR (Est.) | Kg:"&amp;ROUND(SUGERENCIAS!K76,1)&amp;" R:"&amp;ROUND(SUGERENCIAS!L76,0)&amp;" RIR:"&amp;ROUND(SUGERENCIAS!M76,0),IF(SUGERENCIAS!N76="SUBIR","^ SUBIR | Kg:"&amp;ROUND(SUGERENCIAS!K76,1)&amp;" R:"&amp;ROUND(SUGERENCIAS!L76,0)&amp;" RIR:"&amp;ROUND(SUGERENCIAS!M76,0),IF(SUGERENCIAS!N76="BAJAR","v BAJAR | Kg:"&amp;ROUND(SUGERENCIAS!K76,1)&amp;" R:"&amp;ROUND(SUGERENCIAS!L76,0)&amp;" RIR:"&amp;ROUND(SUGERENCIAS!M76,0),"= MANT | Kg:"&amp;ROUND(SUGERENCIAS!K76,1)&amp;" R:"&amp;ROUND(SUGERENCIAS!L76,0)&amp;" RIR:"&amp;ROUND(SUGERENCIAS!M76,0))))))</f>
        <v>Sin datos anteriores</v>
      </c>
      <c r="W50" s="69">
        <f>MAX(IF((G50&gt;0)*(IF(H50="",-1,H50)&gt;=1)*(IF(H50="",-1,H50)&lt;=3),IF(C50="peso_corporal",IF(ISNUMBER(E50),E50,0)+F50,F50)*G50*1000+F50,0),IF((J50&gt;0)*(IF(K50="",-1,K50)&gt;=1)*(IF(K50="",-1,K50)&lt;=3),IF(C50="peso_corporal",IF(ISNUMBER(E50),E50,0)+I50,I50)*J50*1000+I50,0),IF((M50&gt;0)*(IF(N50="",-1,N50)&gt;=1)*(IF(N50="",-1,N50)&lt;=3),IF(C50="peso_corporal",IF(ISNUMBER(E50),E50,0)+L50,L50)*M50*1000+L50,0),IF((P50&gt;0)*(IF(Q50="",-1,Q50)&gt;=1)*(IF(Q50="",-1,Q50)&lt;=3),IF(C50="peso_corporal",IF(ISNUMBER(E50),E50,0)+O50,O50)*P50*1000+O50,0),IF((S50&gt;0)*(IF(T50="",-1,T50)&gt;=1)*(IF(T50="",-1,T50)&lt;=3),IF(C50="peso_corporal",IF(ISNUMBER(E50),E50,0)+R50,R50)*S50*1000+R50,0))</f>
        <v>0</v>
      </c>
      <c r="X50" s="69">
        <f>IF(W50=0,0,IF(IF((S50&gt;0)*(IF(T50="",-1,T50)&gt;=1)*(IF(T50="",-1,T50)&lt;=3),IF(C50="peso_corporal",IF(ISNUMBER(E50),E50,0)+R50,R50)*S50*1000+R50,0)=W50,5,IF(IF((P50&gt;0)*(IF(Q50="",-1,Q50)&gt;=1)*(IF(Q50="",-1,Q50)&lt;=3),IF(C50="peso_corporal",IF(ISNUMBER(E50),E50,0)+O50,O50)*P50*1000+O50,0)=W50,4,IF(IF((M50&gt;0)*(IF(N50="",-1,N50)&gt;=1)*(IF(N50="",-1,N50)&lt;=3),IF(C50="peso_corporal",IF(ISNUMBER(E50),E50,0)+L50,L50)*M50*1000+L50,0)=W50,3,IF(IF((J50&gt;0)*(IF(K50="",-1,K50)&gt;=1)*(IF(K50="",-1,K50)&lt;=3),IF(C50="peso_corporal",IF(ISNUMBER(E50),E50,0)+I50,I50)*J50*1000+I50,0)=W50,2,IF(IF((G50&gt;0)*(IF(H50="",-1,H50)&gt;=1)*(IF(H50="",-1,H50)&lt;=3),IF(C50="peso_corporal",IF(ISNUMBER(E50),E50,0)+F50,F50)*G50*1000+F50,0)=W50,1,0))))))</f>
        <v>0</v>
      </c>
      <c r="Y50" s="69">
        <f>MAX(IF((G50&gt;0)*(IF(H50="",-1,H50)=0)*(1-(IF(H50="",-1,H50)&gt;=1)*(IF(H50="",-1,H50)&lt;=3)),IF(C50="peso_corporal",IF(ISNUMBER(E50),E50,0)+F50,F50)*G50*1000+F50,0),IF((J50&gt;0)*(IF(K50="",-1,K50)=0)*(1-(IF(K50="",-1,K50)&gt;=1)*(IF(K50="",-1,K50)&lt;=3)),IF(C50="peso_corporal",IF(ISNUMBER(E50),E50,0)+I50,I50)*J50*1000+I50,0),IF((M50&gt;0)*(IF(N50="",-1,N50)=0)*(1-(IF(N50="",-1,N50)&gt;=1)*(IF(N50="",-1,N50)&lt;=3)),IF(C50="peso_corporal",IF(ISNUMBER(E50),E50,0)+L50,L50)*M50*1000+L50,0),IF((P50&gt;0)*(IF(Q50="",-1,Q50)=0)*(1-(IF(Q50="",-1,Q50)&gt;=1)*(IF(Q50="",-1,Q50)&lt;=3)),IF(C50="peso_corporal",IF(ISNUMBER(E50),E50,0)+O50,O50)*P50*1000+O50,0),IF((S50&gt;0)*(IF(T50="",-1,T50)=0)*(1-(IF(T50="",-1,T50)&gt;=1)*(IF(T50="",-1,T50)&lt;=3)),IF(C50="peso_corporal",IF(ISNUMBER(E50),E50,0)+R50,R50)*S50*1000+R50,0))</f>
        <v>0</v>
      </c>
      <c r="Z50" s="69">
        <f>IF(Y50=0,0,IF(IF((S50&gt;0)*(IF(T50="",-1,T50)=0)*(1-(IF(T50="",-1,T50)&gt;=1)*(IF(T50="",-1,T50)&lt;=3)),IF(C50="peso_corporal",IF(ISNUMBER(E50),E50,0)+R50,R50)*S50*1000+R50,0)=Y50,5,IF(IF((P50&gt;0)*(IF(Q50="",-1,Q50)=0)*(1-(IF(Q50="",-1,Q50)&gt;=1)*(IF(Q50="",-1,Q50)&lt;=3)),IF(C50="peso_corporal",IF(ISNUMBER(E50),E50,0)+O50,O50)*P50*1000+O50,0)=Y50,4,IF(IF((M50&gt;0)*(IF(N50="",-1,N50)=0)*(1-(IF(N50="",-1,N50)&gt;=1)*(IF(N50="",-1,N50)&lt;=3)),IF(C50="peso_corporal",IF(ISNUMBER(E50),E50,0)+L50,L50)*M50*1000+L50,0)=Y50,3,IF(IF((J50&gt;0)*(IF(K50="",-1,K50)=0)*(1-(IF(K50="",-1,K50)&gt;=1)*(IF(K50="",-1,K50)&lt;=3)),IF(C50="peso_corporal",IF(ISNUMBER(E50),E50,0)+I50,I50)*J50*1000+I50,0)=Y50,2,IF(IF((G50&gt;0)*(IF(H50="",-1,H50)=0)*(1-(IF(H50="",-1,H50)&gt;=1)*(IF(H50="",-1,H50)&lt;=3)),IF(C50="peso_corporal",IF(ISNUMBER(E50),E50,0)+F50,F50)*G50*1000+F50,0)=Y50,1,0))))))</f>
        <v>0</v>
      </c>
      <c r="AA50" s="69">
        <f>MAX(IF((G50&gt;=6)*(1-(IF(H50="",-1,H50)&gt;=1)*(IF(H50="",-1,H50)&lt;=3))*(1-(IF(H50="",-1,H50)=0)),IF(C50="peso_corporal",IF(ISNUMBER(E50),E50,0)+F50,F50)*(30+G50)*100+F50,0),IF((J50&gt;=6)*(1-(IF(K50="",-1,K50)&gt;=1)*(IF(K50="",-1,K50)&lt;=3))*(1-(IF(K50="",-1,K50)=0)),IF(C50="peso_corporal",IF(ISNUMBER(E50),E50,0)+I50,I50)*(30+J50)*100+I50,0),IF((M50&gt;=6)*(1-(IF(N50="",-1,N50)&gt;=1)*(IF(N50="",-1,N50)&lt;=3))*(1-(IF(N50="",-1,N50)=0)),IF(C50="peso_corporal",IF(ISNUMBER(E50),E50,0)+L50,L50)*(30+M50)*100+L50,0),IF((P50&gt;=6)*(1-(IF(Q50="",-1,Q50)&gt;=1)*(IF(Q50="",-1,Q50)&lt;=3))*(1-(IF(Q50="",-1,Q50)=0)),IF(C50="peso_corporal",IF(ISNUMBER(E50),E50,0)+O50,O50)*(30+P50)*100+O50,0),IF((S50&gt;=6)*(1-(IF(T50="",-1,T50)&gt;=1)*(IF(T50="",-1,T50)&lt;=3))*(1-(IF(T50="",-1,T50)=0)),IF(C50="peso_corporal",IF(ISNUMBER(E50),E50,0)+R50,R50)*(30+S50)*100+R50,0))</f>
        <v>0</v>
      </c>
      <c r="AB50" s="69">
        <f>IF(AA50=0,0,IF(IF((S50&gt;=6)*(1-(IF(T50="",-1,T50)&gt;=1)*(IF(T50="",-1,T50)&lt;=3))*(1-(IF(T50="",-1,T50)=0)),IF(C50="peso_corporal",IF(ISNUMBER(E50),E50,0)+R50,R50)*(30+S50)*100+R50,0)=AA50,5,IF(IF((P50&gt;=6)*(1-(IF(Q50="",-1,Q50)&gt;=1)*(IF(Q50="",-1,Q50)&lt;=3))*(1-(IF(Q50="",-1,Q50)=0)),IF(C50="peso_corporal",IF(ISNUMBER(E50),E50,0)+O50,O50)*(30+P50)*100+O50,0)=AA50,4,IF(IF((M50&gt;=6)*(1-(IF(N50="",-1,N50)&gt;=1)*(IF(N50="",-1,N50)&lt;=3))*(1-(IF(N50="",-1,N50)=0)),IF(C50="peso_corporal",IF(ISNUMBER(E50),E50,0)+L50,L50)*(30+M50)*100+L50,0)=AA50,3,IF(IF((J50&gt;=6)*(1-(IF(K50="",-1,K50)&gt;=1)*(IF(K50="",-1,K50)&lt;=3))*(1-(IF(K50="",-1,K50)=0)),IF(C50="peso_corporal",IF(ISNUMBER(E50),E50,0)+I50,I50)*(30+J50)*100+I50,0)=AA50,2,IF(IF((G50&gt;=6)*(1-(IF(H50="",-1,H50)&gt;=1)*(IF(H50="",-1,H50)&lt;=3))*(1-(IF(H50="",-1,H50)=0)),IF(C50="peso_corporal",IF(ISNUMBER(E50),E50,0)+F50,F50)*(30+G50)*100+F50,0)=AA50,1,0))))))</f>
        <v>0</v>
      </c>
      <c r="AC50" s="69" t="str">
        <f>IF(X50&gt;0,"A"&amp;X50,IF(Z50&gt;0,"B"&amp;Z50,IF(AB50&gt;0,"C"&amp;AB50,"")))</f>
        <v/>
      </c>
    </row>
    <row r="51" spans="1:29" ht="15" customHeight="1">
      <c r="A51" s="72" t="s">
        <v>56</v>
      </c>
      <c r="B51" s="73"/>
      <c r="C51" s="73"/>
      <c r="D51" s="73"/>
      <c r="E51" s="73"/>
      <c r="F51" s="73"/>
      <c r="G51" s="73"/>
      <c r="H51" s="73"/>
      <c r="I51" s="73"/>
      <c r="J51" s="73"/>
      <c r="K51" s="73"/>
      <c r="L51" s="73"/>
      <c r="M51" s="73"/>
      <c r="N51" s="73"/>
      <c r="O51" s="73"/>
      <c r="P51" s="73"/>
      <c r="Q51" s="73"/>
      <c r="R51" s="73"/>
      <c r="S51" s="73"/>
      <c r="T51" s="73"/>
      <c r="U51" s="73"/>
      <c r="V51" s="73"/>
      <c r="W51" s="69"/>
      <c r="X51" s="69"/>
      <c r="Y51" s="69"/>
      <c r="Z51" s="69"/>
      <c r="AA51" s="69"/>
      <c r="AB51" s="69"/>
      <c r="AC51" s="69"/>
    </row>
    <row r="52" spans="1:29" ht="20.100000000000001" customHeight="1">
      <c r="A52" s="14" t="s">
        <v>57</v>
      </c>
      <c r="B52" s="15" t="s">
        <v>58</v>
      </c>
      <c r="C52" s="16" t="str">
        <f>IFERROR(INDEX(EJERCICIOS!$D$3:$D$75,MATCH(A52&amp;"|"&amp;B52,EJERCICIOS!$G$3:$G$75,0)),"--")</f>
        <v>polea</v>
      </c>
      <c r="D52" s="17">
        <v>3</v>
      </c>
      <c r="E52" s="18">
        <f>IFERROR(LOOKUP(2,1/(MEDIDAS_Y_PESO!$B$3:$B$4&lt;&gt;""),MEDIDAS_Y_PESO!$B$3:$B$4),"--")</f>
        <v>80</v>
      </c>
      <c r="F52" s="19"/>
      <c r="G52" s="20"/>
      <c r="H52" s="21"/>
      <c r="I52" s="19"/>
      <c r="J52" s="20"/>
      <c r="K52" s="21"/>
      <c r="L52" s="19"/>
      <c r="M52" s="20"/>
      <c r="N52" s="21"/>
      <c r="O52" s="19"/>
      <c r="P52" s="20"/>
      <c r="Q52" s="21"/>
      <c r="R52" s="19"/>
      <c r="S52" s="20"/>
      <c r="T52" s="21"/>
      <c r="U52" s="22" t="str">
        <f>IFERROR(IF(IF(X52&gt;0,X52,IF(Z52&gt;0,Z52,IF(AB52&gt;0,AB52,0)))=0,"--",ROUND(CHOOSE(IF(X52&gt;0,X52,IF(Z52&gt;0,Z52,IF(AB52&gt;0,AB52,0))),IF(C52="peso_corporal",IF(ISNUMBER(E52),E52,0)+F52,F52)*(1+G52/30),IF(C52="peso_corporal",IF(ISNUMBER(E52),E52,0)+I52,I52)*(1+J52/30),IF(C52="peso_corporal",IF(ISNUMBER(E52),E52,0)+L52,L52)*(1+M52/30),IF(C52="peso_corporal",IF(ISNUMBER(E52),E52,0)+O52,O52)*(1+P52/30),IF(C52="peso_corporal",IF(ISNUMBER(E52),E52,0)+R52,R52)*(1+S52/30)),1)),"--")</f>
        <v>--</v>
      </c>
      <c r="V52" s="23" t="str">
        <f>IF(SUGERENCIAS!N77="SIN","Sin datos anteriores",IF(SUGERENCIAS!N77="SUBIR_F","^ SUBIR FUERTE | Kg:"&amp;ROUND(SUGERENCIAS!K77,1)&amp;" R:"&amp;ROUND(SUGERENCIAS!L77,0)&amp;" RIR:"&amp;ROUND(SUGERENCIAS!M77,0),IF(SUGERENCIAS!N77="SUBIR_E","^ SUBIR (Est.) | Kg:"&amp;ROUND(SUGERENCIAS!K77,1)&amp;" R:"&amp;ROUND(SUGERENCIAS!L77,0)&amp;" RIR:"&amp;ROUND(SUGERENCIAS!M77,0),IF(SUGERENCIAS!N77="SUBIR","^ SUBIR | Kg:"&amp;ROUND(SUGERENCIAS!K77,1)&amp;" R:"&amp;ROUND(SUGERENCIAS!L77,0)&amp;" RIR:"&amp;ROUND(SUGERENCIAS!M77,0),IF(SUGERENCIAS!N77="BAJAR","v BAJAR | Kg:"&amp;ROUND(SUGERENCIAS!K77,1)&amp;" R:"&amp;ROUND(SUGERENCIAS!L77,0)&amp;" RIR:"&amp;ROUND(SUGERENCIAS!M77,0),"= MANT | Kg:"&amp;ROUND(SUGERENCIAS!K77,1)&amp;" R:"&amp;ROUND(SUGERENCIAS!L77,0)&amp;" RIR:"&amp;ROUND(SUGERENCIAS!M77,0))))))</f>
        <v>Sin datos anteriores</v>
      </c>
      <c r="W52" s="69">
        <f>MAX(IF((G52&gt;0)*(IF(H52="",-1,H52)&gt;=1)*(IF(H52="",-1,H52)&lt;=3),IF(C52="peso_corporal",IF(ISNUMBER(E52),E52,0)+F52,F52)*G52*1000+F52,0),IF((J52&gt;0)*(IF(K52="",-1,K52)&gt;=1)*(IF(K52="",-1,K52)&lt;=3),IF(C52="peso_corporal",IF(ISNUMBER(E52),E52,0)+I52,I52)*J52*1000+I52,0),IF((M52&gt;0)*(IF(N52="",-1,N52)&gt;=1)*(IF(N52="",-1,N52)&lt;=3),IF(C52="peso_corporal",IF(ISNUMBER(E52),E52,0)+L52,L52)*M52*1000+L52,0),IF((P52&gt;0)*(IF(Q52="",-1,Q52)&gt;=1)*(IF(Q52="",-1,Q52)&lt;=3),IF(C52="peso_corporal",IF(ISNUMBER(E52),E52,0)+O52,O52)*P52*1000+O52,0),IF((S52&gt;0)*(IF(T52="",-1,T52)&gt;=1)*(IF(T52="",-1,T52)&lt;=3),IF(C52="peso_corporal",IF(ISNUMBER(E52),E52,0)+R52,R52)*S52*1000+R52,0))</f>
        <v>0</v>
      </c>
      <c r="X52" s="69">
        <f>IF(W52=0,0,IF(IF((S52&gt;0)*(IF(T52="",-1,T52)&gt;=1)*(IF(T52="",-1,T52)&lt;=3),IF(C52="peso_corporal",IF(ISNUMBER(E52),E52,0)+R52,R52)*S52*1000+R52,0)=W52,5,IF(IF((P52&gt;0)*(IF(Q52="",-1,Q52)&gt;=1)*(IF(Q52="",-1,Q52)&lt;=3),IF(C52="peso_corporal",IF(ISNUMBER(E52),E52,0)+O52,O52)*P52*1000+O52,0)=W52,4,IF(IF((M52&gt;0)*(IF(N52="",-1,N52)&gt;=1)*(IF(N52="",-1,N52)&lt;=3),IF(C52="peso_corporal",IF(ISNUMBER(E52),E52,0)+L52,L52)*M52*1000+L52,0)=W52,3,IF(IF((J52&gt;0)*(IF(K52="",-1,K52)&gt;=1)*(IF(K52="",-1,K52)&lt;=3),IF(C52="peso_corporal",IF(ISNUMBER(E52),E52,0)+I52,I52)*J52*1000+I52,0)=W52,2,IF(IF((G52&gt;0)*(IF(H52="",-1,H52)&gt;=1)*(IF(H52="",-1,H52)&lt;=3),IF(C52="peso_corporal",IF(ISNUMBER(E52),E52,0)+F52,F52)*G52*1000+F52,0)=W52,1,0))))))</f>
        <v>0</v>
      </c>
      <c r="Y52" s="69">
        <f>MAX(IF((G52&gt;0)*(IF(H52="",-1,H52)=0)*(1-(IF(H52="",-1,H52)&gt;=1)*(IF(H52="",-1,H52)&lt;=3)),IF(C52="peso_corporal",IF(ISNUMBER(E52),E52,0)+F52,F52)*G52*1000+F52,0),IF((J52&gt;0)*(IF(K52="",-1,K52)=0)*(1-(IF(K52="",-1,K52)&gt;=1)*(IF(K52="",-1,K52)&lt;=3)),IF(C52="peso_corporal",IF(ISNUMBER(E52),E52,0)+I52,I52)*J52*1000+I52,0),IF((M52&gt;0)*(IF(N52="",-1,N52)=0)*(1-(IF(N52="",-1,N52)&gt;=1)*(IF(N52="",-1,N52)&lt;=3)),IF(C52="peso_corporal",IF(ISNUMBER(E52),E52,0)+L52,L52)*M52*1000+L52,0),IF((P52&gt;0)*(IF(Q52="",-1,Q52)=0)*(1-(IF(Q52="",-1,Q52)&gt;=1)*(IF(Q52="",-1,Q52)&lt;=3)),IF(C52="peso_corporal",IF(ISNUMBER(E52),E52,0)+O52,O52)*P52*1000+O52,0),IF((S52&gt;0)*(IF(T52="",-1,T52)=0)*(1-(IF(T52="",-1,T52)&gt;=1)*(IF(T52="",-1,T52)&lt;=3)),IF(C52="peso_corporal",IF(ISNUMBER(E52),E52,0)+R52,R52)*S52*1000+R52,0))</f>
        <v>0</v>
      </c>
      <c r="Z52" s="69">
        <f>IF(Y52=0,0,IF(IF((S52&gt;0)*(IF(T52="",-1,T52)=0)*(1-(IF(T52="",-1,T52)&gt;=1)*(IF(T52="",-1,T52)&lt;=3)),IF(C52="peso_corporal",IF(ISNUMBER(E52),E52,0)+R52,R52)*S52*1000+R52,0)=Y52,5,IF(IF((P52&gt;0)*(IF(Q52="",-1,Q52)=0)*(1-(IF(Q52="",-1,Q52)&gt;=1)*(IF(Q52="",-1,Q52)&lt;=3)),IF(C52="peso_corporal",IF(ISNUMBER(E52),E52,0)+O52,O52)*P52*1000+O52,0)=Y52,4,IF(IF((M52&gt;0)*(IF(N52="",-1,N52)=0)*(1-(IF(N52="",-1,N52)&gt;=1)*(IF(N52="",-1,N52)&lt;=3)),IF(C52="peso_corporal",IF(ISNUMBER(E52),E52,0)+L52,L52)*M52*1000+L52,0)=Y52,3,IF(IF((J52&gt;0)*(IF(K52="",-1,K52)=0)*(1-(IF(K52="",-1,K52)&gt;=1)*(IF(K52="",-1,K52)&lt;=3)),IF(C52="peso_corporal",IF(ISNUMBER(E52),E52,0)+I52,I52)*J52*1000+I52,0)=Y52,2,IF(IF((G52&gt;0)*(IF(H52="",-1,H52)=0)*(1-(IF(H52="",-1,H52)&gt;=1)*(IF(H52="",-1,H52)&lt;=3)),IF(C52="peso_corporal",IF(ISNUMBER(E52),E52,0)+F52,F52)*G52*1000+F52,0)=Y52,1,0))))))</f>
        <v>0</v>
      </c>
      <c r="AA52" s="69">
        <f>MAX(IF((G52&gt;=6)*(1-(IF(H52="",-1,H52)&gt;=1)*(IF(H52="",-1,H52)&lt;=3))*(1-(IF(H52="",-1,H52)=0)),IF(C52="peso_corporal",IF(ISNUMBER(E52),E52,0)+F52,F52)*(30+G52)*100+F52,0),IF((J52&gt;=6)*(1-(IF(K52="",-1,K52)&gt;=1)*(IF(K52="",-1,K52)&lt;=3))*(1-(IF(K52="",-1,K52)=0)),IF(C52="peso_corporal",IF(ISNUMBER(E52),E52,0)+I52,I52)*(30+J52)*100+I52,0),IF((M52&gt;=6)*(1-(IF(N52="",-1,N52)&gt;=1)*(IF(N52="",-1,N52)&lt;=3))*(1-(IF(N52="",-1,N52)=0)),IF(C52="peso_corporal",IF(ISNUMBER(E52),E52,0)+L52,L52)*(30+M52)*100+L52,0),IF((P52&gt;=6)*(1-(IF(Q52="",-1,Q52)&gt;=1)*(IF(Q52="",-1,Q52)&lt;=3))*(1-(IF(Q52="",-1,Q52)=0)),IF(C52="peso_corporal",IF(ISNUMBER(E52),E52,0)+O52,O52)*(30+P52)*100+O52,0),IF((S52&gt;=6)*(1-(IF(T52="",-1,T52)&gt;=1)*(IF(T52="",-1,T52)&lt;=3))*(1-(IF(T52="",-1,T52)=0)),IF(C52="peso_corporal",IF(ISNUMBER(E52),E52,0)+R52,R52)*(30+S52)*100+R52,0))</f>
        <v>0</v>
      </c>
      <c r="AB52" s="69">
        <f>IF(AA52=0,0,IF(IF((S52&gt;=6)*(1-(IF(T52="",-1,T52)&gt;=1)*(IF(T52="",-1,T52)&lt;=3))*(1-(IF(T52="",-1,T52)=0)),IF(C52="peso_corporal",IF(ISNUMBER(E52),E52,0)+R52,R52)*(30+S52)*100+R52,0)=AA52,5,IF(IF((P52&gt;=6)*(1-(IF(Q52="",-1,Q52)&gt;=1)*(IF(Q52="",-1,Q52)&lt;=3))*(1-(IF(Q52="",-1,Q52)=0)),IF(C52="peso_corporal",IF(ISNUMBER(E52),E52,0)+O52,O52)*(30+P52)*100+O52,0)=AA52,4,IF(IF((M52&gt;=6)*(1-(IF(N52="",-1,N52)&gt;=1)*(IF(N52="",-1,N52)&lt;=3))*(1-(IF(N52="",-1,N52)=0)),IF(C52="peso_corporal",IF(ISNUMBER(E52),E52,0)+L52,L52)*(30+M52)*100+L52,0)=AA52,3,IF(IF((J52&gt;=6)*(1-(IF(K52="",-1,K52)&gt;=1)*(IF(K52="",-1,K52)&lt;=3))*(1-(IF(K52="",-1,K52)=0)),IF(C52="peso_corporal",IF(ISNUMBER(E52),E52,0)+I52,I52)*(30+J52)*100+I52,0)=AA52,2,IF(IF((G52&gt;=6)*(1-(IF(H52="",-1,H52)&gt;=1)*(IF(H52="",-1,H52)&lt;=3))*(1-(IF(H52="",-1,H52)=0)),IF(C52="peso_corporal",IF(ISNUMBER(E52),E52,0)+F52,F52)*(30+G52)*100+F52,0)=AA52,1,0))))))</f>
        <v>0</v>
      </c>
      <c r="AC52" s="69" t="str">
        <f>IF(X52&gt;0,"A"&amp;X52,IF(Z52&gt;0,"B"&amp;Z52,IF(AB52&gt;0,"C"&amp;AB52,"")))</f>
        <v/>
      </c>
    </row>
    <row r="53" spans="1:29" ht="6" customHeight="1">
      <c r="A53" s="13"/>
      <c r="B53" s="13"/>
      <c r="C53" s="13"/>
      <c r="D53" s="13"/>
      <c r="E53" s="13"/>
      <c r="F53" s="13"/>
      <c r="G53" s="13"/>
      <c r="H53" s="13"/>
      <c r="I53" s="13"/>
      <c r="J53" s="13"/>
      <c r="K53" s="13"/>
      <c r="L53" s="13"/>
      <c r="M53" s="13"/>
      <c r="N53" s="13"/>
      <c r="O53" s="13"/>
      <c r="P53" s="13"/>
      <c r="Q53" s="13"/>
      <c r="R53" s="13"/>
      <c r="S53" s="13"/>
      <c r="T53" s="13"/>
      <c r="U53" s="13"/>
      <c r="V53" s="13"/>
      <c r="W53" s="69"/>
      <c r="X53" s="69"/>
      <c r="Y53" s="69"/>
      <c r="Z53" s="69"/>
      <c r="AA53" s="69"/>
      <c r="AB53" s="69"/>
      <c r="AC53" s="69"/>
    </row>
    <row r="54" spans="1:29" ht="18" customHeight="1">
      <c r="A54" s="85" t="s">
        <v>68</v>
      </c>
      <c r="B54" s="73"/>
      <c r="C54" s="73"/>
      <c r="D54" s="73"/>
      <c r="E54" s="73"/>
      <c r="F54" s="73"/>
      <c r="G54" s="73"/>
      <c r="H54" s="73"/>
      <c r="I54" s="73"/>
      <c r="J54" s="73"/>
      <c r="K54" s="73"/>
      <c r="L54" s="73"/>
      <c r="M54" s="73"/>
      <c r="N54" s="73"/>
      <c r="O54" s="73"/>
      <c r="P54" s="73"/>
      <c r="Q54" s="73"/>
      <c r="R54" s="73"/>
      <c r="S54" s="73"/>
      <c r="T54" s="73"/>
      <c r="U54" s="73"/>
      <c r="V54" s="73"/>
      <c r="W54" s="69"/>
      <c r="X54" s="69"/>
      <c r="Y54" s="69"/>
      <c r="Z54" s="69"/>
      <c r="AA54" s="69"/>
      <c r="AB54" s="69"/>
      <c r="AC54" s="69"/>
    </row>
    <row r="55" spans="1:29" ht="15" customHeight="1">
      <c r="A55" s="75" t="s">
        <v>28</v>
      </c>
      <c r="B55" s="73"/>
      <c r="C55" s="73"/>
      <c r="D55" s="73"/>
      <c r="E55" s="73"/>
      <c r="F55" s="73"/>
      <c r="G55" s="73"/>
      <c r="H55" s="73"/>
      <c r="I55" s="73"/>
      <c r="J55" s="73"/>
      <c r="K55" s="73"/>
      <c r="L55" s="73"/>
      <c r="M55" s="73"/>
      <c r="N55" s="73"/>
      <c r="O55" s="73"/>
      <c r="P55" s="73"/>
      <c r="Q55" s="73"/>
      <c r="R55" s="73"/>
      <c r="S55" s="73"/>
      <c r="T55" s="73"/>
      <c r="U55" s="73"/>
      <c r="V55" s="73"/>
      <c r="W55" s="69"/>
      <c r="X55" s="69"/>
      <c r="Y55" s="69"/>
      <c r="Z55" s="69"/>
      <c r="AA55" s="69"/>
      <c r="AB55" s="69"/>
      <c r="AC55" s="69"/>
    </row>
    <row r="56" spans="1:29" ht="11.1" customHeight="1">
      <c r="A56" s="76" t="s">
        <v>29</v>
      </c>
      <c r="B56" s="73"/>
      <c r="C56" s="73"/>
      <c r="D56" s="73"/>
      <c r="E56" s="73"/>
      <c r="F56" s="73"/>
      <c r="G56" s="73"/>
      <c r="H56" s="73"/>
      <c r="I56" s="73"/>
      <c r="J56" s="73"/>
      <c r="K56" s="73"/>
      <c r="L56" s="73"/>
      <c r="M56" s="73"/>
      <c r="N56" s="73"/>
      <c r="O56" s="73"/>
      <c r="P56" s="73"/>
      <c r="Q56" s="73"/>
      <c r="R56" s="73"/>
      <c r="S56" s="73"/>
      <c r="T56" s="73"/>
      <c r="U56" s="73"/>
      <c r="V56" s="73"/>
      <c r="W56" s="69"/>
      <c r="X56" s="69"/>
      <c r="Y56" s="69"/>
      <c r="Z56" s="69"/>
      <c r="AA56" s="69"/>
      <c r="AB56" s="69"/>
      <c r="AC56" s="69"/>
    </row>
    <row r="57" spans="1:29" ht="20.100000000000001" customHeight="1">
      <c r="A57" s="14" t="s">
        <v>30</v>
      </c>
      <c r="B57" s="15" t="s">
        <v>60</v>
      </c>
      <c r="C57" s="16" t="str">
        <f>IFERROR(INDEX(EJERCICIOS!$D$3:$D$75,MATCH(A57&amp;"|"&amp;B57,EJERCICIOS!$G$3:$G$75,0)),"--")</f>
        <v>disco</v>
      </c>
      <c r="D57" s="17">
        <v>3</v>
      </c>
      <c r="E57" s="18">
        <f>IFERROR(LOOKUP(2,1/(MEDIDAS_Y_PESO!$B$3:$B$5&lt;&gt;""),MEDIDAS_Y_PESO!$B$3:$B$5),"--")</f>
        <v>80</v>
      </c>
      <c r="F57" s="19"/>
      <c r="G57" s="20"/>
      <c r="H57" s="21"/>
      <c r="I57" s="19"/>
      <c r="J57" s="20"/>
      <c r="K57" s="21"/>
      <c r="L57" s="19"/>
      <c r="M57" s="20"/>
      <c r="N57" s="21"/>
      <c r="O57" s="19"/>
      <c r="P57" s="20"/>
      <c r="Q57" s="21"/>
      <c r="R57" s="19"/>
      <c r="S57" s="20"/>
      <c r="T57" s="21"/>
      <c r="U57" s="22" t="str">
        <f>IFERROR(IF(IF(X57&gt;0,X57,IF(Z57&gt;0,Z57,IF(AB57&gt;0,AB57,0)))=0,"--",ROUND(CHOOSE(IF(X57&gt;0,X57,IF(Z57&gt;0,Z57,IF(AB57&gt;0,AB57,0))),IF(C57="peso_corporal",IF(ISNUMBER(E57),E57,0)+F57,F57)*(1+G57/30),IF(C57="peso_corporal",IF(ISNUMBER(E57),E57,0)+I57,I57)*(1+J57/30),IF(C57="peso_corporal",IF(ISNUMBER(E57),E57,0)+L57,L57)*(1+M57/30),IF(C57="peso_corporal",IF(ISNUMBER(E57),E57,0)+O57,O57)*(1+P57/30),IF(C57="peso_corporal",IF(ISNUMBER(E57),E57,0)+R57,R57)*(1+S57/30)),1)),"--")</f>
        <v>--</v>
      </c>
      <c r="V57" s="23" t="str">
        <f>IF(SUGERENCIAS!N130="SIN","Sin datos anteriores",IF(SUGERENCIAS!N130="SUBIR_F","^ SUBIR FUERTE | Kg:"&amp;ROUND(SUGERENCIAS!K130,1)&amp;" R:"&amp;ROUND(SUGERENCIAS!L130,0)&amp;" RIR:"&amp;ROUND(SUGERENCIAS!M130,0),IF(SUGERENCIAS!N130="SUBIR_E","^ SUBIR (Est.) | Kg:"&amp;ROUND(SUGERENCIAS!K130,1)&amp;" R:"&amp;ROUND(SUGERENCIAS!L130,0)&amp;" RIR:"&amp;ROUND(SUGERENCIAS!M130,0),IF(SUGERENCIAS!N130="SUBIR","^ SUBIR | Kg:"&amp;ROUND(SUGERENCIAS!K130,1)&amp;" R:"&amp;ROUND(SUGERENCIAS!L130,0)&amp;" RIR:"&amp;ROUND(SUGERENCIAS!M130,0),IF(SUGERENCIAS!N130="BAJAR","v BAJAR | Kg:"&amp;ROUND(SUGERENCIAS!K130,1)&amp;" R:"&amp;ROUND(SUGERENCIAS!L130,0)&amp;" RIR:"&amp;ROUND(SUGERENCIAS!M130,0),"= MANT | Kg:"&amp;ROUND(SUGERENCIAS!K130,1)&amp;" R:"&amp;ROUND(SUGERENCIAS!L130,0)&amp;" RIR:"&amp;ROUND(SUGERENCIAS!M130,0))))))</f>
        <v>Sin datos anteriores</v>
      </c>
      <c r="W57" s="69">
        <f>MAX(IF((G57&gt;0)*(IF(H57="",-1,H57)&gt;=0)*(IF(H57="",-1,H57)&lt;=1),IF(C57="peso_corporal",IF(ISNUMBER(E57),E57,0)+F57,F57)*G57*1000+F57,0),IF((J57&gt;0)*(IF(K57="",-1,K57)&gt;=0)*(IF(K57="",-1,K57)&lt;=1),IF(C57="peso_corporal",IF(ISNUMBER(E57),E57,0)+I57,I57)*J57*1000+I57,0),IF((M57&gt;0)*(IF(N57="",-1,N57)&gt;=0)*(IF(N57="",-1,N57)&lt;=1),IF(C57="peso_corporal",IF(ISNUMBER(E57),E57,0)+L57,L57)*M57*1000+L57,0),IF((P57&gt;0)*(IF(Q57="",-1,Q57)&gt;=0)*(IF(Q57="",-1,Q57)&lt;=1),IF(C57="peso_corporal",IF(ISNUMBER(E57),E57,0)+O57,O57)*P57*1000+O57,0),IF((S57&gt;0)*(IF(T57="",-1,T57)&gt;=0)*(IF(T57="",-1,T57)&lt;=1),IF(C57="peso_corporal",IF(ISNUMBER(E57),E57,0)+R57,R57)*S57*1000+R57,0))</f>
        <v>0</v>
      </c>
      <c r="X57" s="69">
        <f>IF(W57=0,0,IF(IF((S57&gt;0)*(IF(T57="",-1,T57)&gt;=0)*(IF(T57="",-1,T57)&lt;=1),IF(C57="peso_corporal",IF(ISNUMBER(E57),E57,0)+R57,R57)*S57*1000+R57,0)=W57,5,IF(IF((P57&gt;0)*(IF(Q57="",-1,Q57)&gt;=0)*(IF(Q57="",-1,Q57)&lt;=1),IF(C57="peso_corporal",IF(ISNUMBER(E57),E57,0)+O57,O57)*P57*1000+O57,0)=W57,4,IF(IF((M57&gt;0)*(IF(N57="",-1,N57)&gt;=0)*(IF(N57="",-1,N57)&lt;=1),IF(C57="peso_corporal",IF(ISNUMBER(E57),E57,0)+L57,L57)*M57*1000+L57,0)=W57,3,IF(IF((J57&gt;0)*(IF(K57="",-1,K57)&gt;=0)*(IF(K57="",-1,K57)&lt;=1),IF(C57="peso_corporal",IF(ISNUMBER(E57),E57,0)+I57,I57)*J57*1000+I57,0)=W57,2,IF(IF((G57&gt;0)*(IF(H57="",-1,H57)&gt;=0)*(IF(H57="",-1,H57)&lt;=1),IF(C57="peso_corporal",IF(ISNUMBER(E57),E57,0)+F57,F57)*G57*1000+F57,0)=W57,1,0))))))</f>
        <v>0</v>
      </c>
      <c r="Y57" s="69">
        <f>MAX(IF((G57&gt;0)*(IF(H57="",-1,H57)=0)*(1-(IF(H57="",-1,H57)&gt;=0)*(IF(H57="",-1,H57)&lt;=1)),IF(C57="peso_corporal",IF(ISNUMBER(E57),E57,0)+F57,F57)*G57*1000+F57,0),IF((J57&gt;0)*(IF(K57="",-1,K57)=0)*(1-(IF(K57="",-1,K57)&gt;=0)*(IF(K57="",-1,K57)&lt;=1)),IF(C57="peso_corporal",IF(ISNUMBER(E57),E57,0)+I57,I57)*J57*1000+I57,0),IF((M57&gt;0)*(IF(N57="",-1,N57)=0)*(1-(IF(N57="",-1,N57)&gt;=0)*(IF(N57="",-1,N57)&lt;=1)),IF(C57="peso_corporal",IF(ISNUMBER(E57),E57,0)+L57,L57)*M57*1000+L57,0),IF((P57&gt;0)*(IF(Q57="",-1,Q57)=0)*(1-(IF(Q57="",-1,Q57)&gt;=0)*(IF(Q57="",-1,Q57)&lt;=1)),IF(C57="peso_corporal",IF(ISNUMBER(E57),E57,0)+O57,O57)*P57*1000+O57,0),IF((S57&gt;0)*(IF(T57="",-1,T57)=0)*(1-(IF(T57="",-1,T57)&gt;=0)*(IF(T57="",-1,T57)&lt;=1)),IF(C57="peso_corporal",IF(ISNUMBER(E57),E57,0)+R57,R57)*S57*1000+R57,0))</f>
        <v>0</v>
      </c>
      <c r="Z57" s="69">
        <f>IF(Y57=0,0,IF(IF((S57&gt;0)*(IF(T57="",-1,T57)=0)*(1-(IF(T57="",-1,T57)&gt;=0)*(IF(T57="",-1,T57)&lt;=1)),IF(C57="peso_corporal",IF(ISNUMBER(E57),E57,0)+R57,R57)*S57*1000+R57,0)=Y57,5,IF(IF((P57&gt;0)*(IF(Q57="",-1,Q57)=0)*(1-(IF(Q57="",-1,Q57)&gt;=0)*(IF(Q57="",-1,Q57)&lt;=1)),IF(C57="peso_corporal",IF(ISNUMBER(E57),E57,0)+O57,O57)*P57*1000+O57,0)=Y57,4,IF(IF((M57&gt;0)*(IF(N57="",-1,N57)=0)*(1-(IF(N57="",-1,N57)&gt;=0)*(IF(N57="",-1,N57)&lt;=1)),IF(C57="peso_corporal",IF(ISNUMBER(E57),E57,0)+L57,L57)*M57*1000+L57,0)=Y57,3,IF(IF((J57&gt;0)*(IF(K57="",-1,K57)=0)*(1-(IF(K57="",-1,K57)&gt;=0)*(IF(K57="",-1,K57)&lt;=1)),IF(C57="peso_corporal",IF(ISNUMBER(E57),E57,0)+I57,I57)*J57*1000+I57,0)=Y57,2,IF(IF((G57&gt;0)*(IF(H57="",-1,H57)=0)*(1-(IF(H57="",-1,H57)&gt;=0)*(IF(H57="",-1,H57)&lt;=1)),IF(C57="peso_corporal",IF(ISNUMBER(E57),E57,0)+F57,F57)*G57*1000+F57,0)=Y57,1,0))))))</f>
        <v>0</v>
      </c>
      <c r="AA57" s="69">
        <f>MAX(IF((G57&gt;=3)*(1-(IF(H57="",-1,H57)&gt;=0)*(IF(H57="",-1,H57)&lt;=1))*(1-(IF(H57="",-1,H57)=0)),IF(C57="peso_corporal",IF(ISNUMBER(E57),E57,0)+F57,F57)*(30+G57)*100+F57,0),IF((J57&gt;=3)*(1-(IF(K57="",-1,K57)&gt;=0)*(IF(K57="",-1,K57)&lt;=1))*(1-(IF(K57="",-1,K57)=0)),IF(C57="peso_corporal",IF(ISNUMBER(E57),E57,0)+I57,I57)*(30+J57)*100+I57,0),IF((M57&gt;=3)*(1-(IF(N57="",-1,N57)&gt;=0)*(IF(N57="",-1,N57)&lt;=1))*(1-(IF(N57="",-1,N57)=0)),IF(C57="peso_corporal",IF(ISNUMBER(E57),E57,0)+L57,L57)*(30+M57)*100+L57,0),IF((P57&gt;=3)*(1-(IF(Q57="",-1,Q57)&gt;=0)*(IF(Q57="",-1,Q57)&lt;=1))*(1-(IF(Q57="",-1,Q57)=0)),IF(C57="peso_corporal",IF(ISNUMBER(E57),E57,0)+O57,O57)*(30+P57)*100+O57,0),IF((S57&gt;=3)*(1-(IF(T57="",-1,T57)&gt;=0)*(IF(T57="",-1,T57)&lt;=1))*(1-(IF(T57="",-1,T57)=0)),IF(C57="peso_corporal",IF(ISNUMBER(E57),E57,0)+R57,R57)*(30+S57)*100+R57,0))</f>
        <v>0</v>
      </c>
      <c r="AB57" s="69">
        <f>IF(AA57=0,0,IF(IF((S57&gt;=3)*(1-(IF(T57="",-1,T57)&gt;=0)*(IF(T57="",-1,T57)&lt;=1))*(1-(IF(T57="",-1,T57)=0)),IF(C57="peso_corporal",IF(ISNUMBER(E57),E57,0)+R57,R57)*(30+S57)*100+R57,0)=AA57,5,IF(IF((P57&gt;=3)*(1-(IF(Q57="",-1,Q57)&gt;=0)*(IF(Q57="",-1,Q57)&lt;=1))*(1-(IF(Q57="",-1,Q57)=0)),IF(C57="peso_corporal",IF(ISNUMBER(E57),E57,0)+O57,O57)*(30+P57)*100+O57,0)=AA57,4,IF(IF((M57&gt;=3)*(1-(IF(N57="",-1,N57)&gt;=0)*(IF(N57="",-1,N57)&lt;=1))*(1-(IF(N57="",-1,N57)=0)),IF(C57="peso_corporal",IF(ISNUMBER(E57),E57,0)+L57,L57)*(30+M57)*100+L57,0)=AA57,3,IF(IF((J57&gt;=3)*(1-(IF(K57="",-1,K57)&gt;=0)*(IF(K57="",-1,K57)&lt;=1))*(1-(IF(K57="",-1,K57)=0)),IF(C57="peso_corporal",IF(ISNUMBER(E57),E57,0)+I57,I57)*(30+J57)*100+I57,0)=AA57,2,IF(IF((G57&gt;=3)*(1-(IF(H57="",-1,H57)&gt;=0)*(IF(H57="",-1,H57)&lt;=1))*(1-(IF(H57="",-1,H57)=0)),IF(C57="peso_corporal",IF(ISNUMBER(E57),E57,0)+F57,F57)*(30+G57)*100+F57,0)=AA57,1,0))))))</f>
        <v>0</v>
      </c>
      <c r="AC57" s="69" t="str">
        <f>IF(X57&gt;0,"A"&amp;X57,IF(Z57&gt;0,"B"&amp;Z57,IF(AB57&gt;0,"C"&amp;AB57,"")))</f>
        <v/>
      </c>
    </row>
    <row r="58" spans="1:29" ht="11.1" customHeight="1">
      <c r="A58" s="84" t="s">
        <v>32</v>
      </c>
      <c r="B58" s="73"/>
      <c r="C58" s="73"/>
      <c r="D58" s="73"/>
      <c r="E58" s="73"/>
      <c r="F58" s="73"/>
      <c r="G58" s="73"/>
      <c r="H58" s="73"/>
      <c r="I58" s="73"/>
      <c r="J58" s="73"/>
      <c r="K58" s="73"/>
      <c r="L58" s="73"/>
      <c r="M58" s="73"/>
      <c r="N58" s="73"/>
      <c r="O58" s="73"/>
      <c r="P58" s="73"/>
      <c r="Q58" s="73"/>
      <c r="R58" s="73"/>
      <c r="S58" s="73"/>
      <c r="T58" s="73"/>
      <c r="U58" s="73"/>
      <c r="V58" s="73"/>
      <c r="W58" s="69"/>
      <c r="X58" s="69"/>
      <c r="Y58" s="69"/>
      <c r="Z58" s="69"/>
      <c r="AA58" s="69"/>
      <c r="AB58" s="69"/>
      <c r="AC58" s="69"/>
    </row>
    <row r="59" spans="1:29" ht="20.100000000000001" customHeight="1">
      <c r="A59" s="14" t="s">
        <v>61</v>
      </c>
      <c r="B59" s="15" t="s">
        <v>31</v>
      </c>
      <c r="C59" s="16" t="str">
        <f>IFERROR(INDEX(EJERCICIOS!$D$3:$D$75,MATCH(A59&amp;"|"&amp;B59,EJERCICIOS!$G$3:$G$75,0)),"--")</f>
        <v>mancuerna</v>
      </c>
      <c r="D59" s="17">
        <v>3</v>
      </c>
      <c r="E59" s="18">
        <f>IFERROR(LOOKUP(2,1/(MEDIDAS_Y_PESO!$B$3:$B$5&lt;&gt;""),MEDIDAS_Y_PESO!$B$3:$B$5),"--")</f>
        <v>80</v>
      </c>
      <c r="F59" s="19"/>
      <c r="G59" s="20"/>
      <c r="H59" s="21"/>
      <c r="I59" s="19"/>
      <c r="J59" s="20"/>
      <c r="K59" s="21"/>
      <c r="L59" s="19"/>
      <c r="M59" s="20"/>
      <c r="N59" s="21"/>
      <c r="O59" s="19"/>
      <c r="P59" s="20"/>
      <c r="Q59" s="21"/>
      <c r="R59" s="19"/>
      <c r="S59" s="20"/>
      <c r="T59" s="21"/>
      <c r="U59" s="22" t="str">
        <f>IFERROR(IF(IF(X59&gt;0,X59,IF(Z59&gt;0,Z59,IF(AB59&gt;0,AB59,0)))=0,"--",ROUND(CHOOSE(IF(X59&gt;0,X59,IF(Z59&gt;0,Z59,IF(AB59&gt;0,AB59,0))),IF(C59="peso_corporal",IF(ISNUMBER(E59),E59,0)+F59,F59)*(1+G59/30),IF(C59="peso_corporal",IF(ISNUMBER(E59),E59,0)+I59,I59)*(1+J59/30),IF(C59="peso_corporal",IF(ISNUMBER(E59),E59,0)+L59,L59)*(1+M59/30),IF(C59="peso_corporal",IF(ISNUMBER(E59),E59,0)+O59,O59)*(1+P59/30),IF(C59="peso_corporal",IF(ISNUMBER(E59),E59,0)+R59,R59)*(1+S59/30)),1)),"--")</f>
        <v>--</v>
      </c>
      <c r="V59" s="23" t="str">
        <f>IF(SUGERENCIAS!N131="SIN","Sin datos anteriores",IF(SUGERENCIAS!N131="SUBIR_F","^ SUBIR FUERTE | Kg:"&amp;ROUND(SUGERENCIAS!K131,1)&amp;" R:"&amp;ROUND(SUGERENCIAS!L131,0)&amp;" RIR:"&amp;ROUND(SUGERENCIAS!M131,0),IF(SUGERENCIAS!N131="SUBIR_E","^ SUBIR (Est.) | Kg:"&amp;ROUND(SUGERENCIAS!K131,1)&amp;" R:"&amp;ROUND(SUGERENCIAS!L131,0)&amp;" RIR:"&amp;ROUND(SUGERENCIAS!M131,0),IF(SUGERENCIAS!N131="SUBIR","^ SUBIR | Kg:"&amp;ROUND(SUGERENCIAS!K131,1)&amp;" R:"&amp;ROUND(SUGERENCIAS!L131,0)&amp;" RIR:"&amp;ROUND(SUGERENCIAS!M131,0),IF(SUGERENCIAS!N131="BAJAR","v BAJAR | Kg:"&amp;ROUND(SUGERENCIAS!K131,1)&amp;" R:"&amp;ROUND(SUGERENCIAS!L131,0)&amp;" RIR:"&amp;ROUND(SUGERENCIAS!M131,0),"= MANT | Kg:"&amp;ROUND(SUGERENCIAS!K131,1)&amp;" R:"&amp;ROUND(SUGERENCIAS!L131,0)&amp;" RIR:"&amp;ROUND(SUGERENCIAS!M131,0))))))</f>
        <v>Sin datos anteriores</v>
      </c>
      <c r="W59" s="69">
        <f>MAX(IF((G59&gt;0)*(IF(H59="",-1,H59)&gt;=0)*(IF(H59="",-1,H59)&lt;=1),IF(C59="peso_corporal",IF(ISNUMBER(E59),E59,0)+F59,F59)*G59*1000+F59,0),IF((J59&gt;0)*(IF(K59="",-1,K59)&gt;=0)*(IF(K59="",-1,K59)&lt;=1),IF(C59="peso_corporal",IF(ISNUMBER(E59),E59,0)+I59,I59)*J59*1000+I59,0),IF((M59&gt;0)*(IF(N59="",-1,N59)&gt;=0)*(IF(N59="",-1,N59)&lt;=1),IF(C59="peso_corporal",IF(ISNUMBER(E59),E59,0)+L59,L59)*M59*1000+L59,0),IF((P59&gt;0)*(IF(Q59="",-1,Q59)&gt;=0)*(IF(Q59="",-1,Q59)&lt;=1),IF(C59="peso_corporal",IF(ISNUMBER(E59),E59,0)+O59,O59)*P59*1000+O59,0),IF((S59&gt;0)*(IF(T59="",-1,T59)&gt;=0)*(IF(T59="",-1,T59)&lt;=1),IF(C59="peso_corporal",IF(ISNUMBER(E59),E59,0)+R59,R59)*S59*1000+R59,0))</f>
        <v>0</v>
      </c>
      <c r="X59" s="69">
        <f>IF(W59=0,0,IF(IF((S59&gt;0)*(IF(T59="",-1,T59)&gt;=0)*(IF(T59="",-1,T59)&lt;=1),IF(C59="peso_corporal",IF(ISNUMBER(E59),E59,0)+R59,R59)*S59*1000+R59,0)=W59,5,IF(IF((P59&gt;0)*(IF(Q59="",-1,Q59)&gt;=0)*(IF(Q59="",-1,Q59)&lt;=1),IF(C59="peso_corporal",IF(ISNUMBER(E59),E59,0)+O59,O59)*P59*1000+O59,0)=W59,4,IF(IF((M59&gt;0)*(IF(N59="",-1,N59)&gt;=0)*(IF(N59="",-1,N59)&lt;=1),IF(C59="peso_corporal",IF(ISNUMBER(E59),E59,0)+L59,L59)*M59*1000+L59,0)=W59,3,IF(IF((J59&gt;0)*(IF(K59="",-1,K59)&gt;=0)*(IF(K59="",-1,K59)&lt;=1),IF(C59="peso_corporal",IF(ISNUMBER(E59),E59,0)+I59,I59)*J59*1000+I59,0)=W59,2,IF(IF((G59&gt;0)*(IF(H59="",-1,H59)&gt;=0)*(IF(H59="",-1,H59)&lt;=1),IF(C59="peso_corporal",IF(ISNUMBER(E59),E59,0)+F59,F59)*G59*1000+F59,0)=W59,1,0))))))</f>
        <v>0</v>
      </c>
      <c r="Y59" s="69">
        <f>MAX(IF((G59&gt;0)*(IF(H59="",-1,H59)=0)*(1-(IF(H59="",-1,H59)&gt;=0)*(IF(H59="",-1,H59)&lt;=1)),IF(C59="peso_corporal",IF(ISNUMBER(E59),E59,0)+F59,F59)*G59*1000+F59,0),IF((J59&gt;0)*(IF(K59="",-1,K59)=0)*(1-(IF(K59="",-1,K59)&gt;=0)*(IF(K59="",-1,K59)&lt;=1)),IF(C59="peso_corporal",IF(ISNUMBER(E59),E59,0)+I59,I59)*J59*1000+I59,0),IF((M59&gt;0)*(IF(N59="",-1,N59)=0)*(1-(IF(N59="",-1,N59)&gt;=0)*(IF(N59="",-1,N59)&lt;=1)),IF(C59="peso_corporal",IF(ISNUMBER(E59),E59,0)+L59,L59)*M59*1000+L59,0),IF((P59&gt;0)*(IF(Q59="",-1,Q59)=0)*(1-(IF(Q59="",-1,Q59)&gt;=0)*(IF(Q59="",-1,Q59)&lt;=1)),IF(C59="peso_corporal",IF(ISNUMBER(E59),E59,0)+O59,O59)*P59*1000+O59,0),IF((S59&gt;0)*(IF(T59="",-1,T59)=0)*(1-(IF(T59="",-1,T59)&gt;=0)*(IF(T59="",-1,T59)&lt;=1)),IF(C59="peso_corporal",IF(ISNUMBER(E59),E59,0)+R59,R59)*S59*1000+R59,0))</f>
        <v>0</v>
      </c>
      <c r="Z59" s="69">
        <f>IF(Y59=0,0,IF(IF((S59&gt;0)*(IF(T59="",-1,T59)=0)*(1-(IF(T59="",-1,T59)&gt;=0)*(IF(T59="",-1,T59)&lt;=1)),IF(C59="peso_corporal",IF(ISNUMBER(E59),E59,0)+R59,R59)*S59*1000+R59,0)=Y59,5,IF(IF((P59&gt;0)*(IF(Q59="",-1,Q59)=0)*(1-(IF(Q59="",-1,Q59)&gt;=0)*(IF(Q59="",-1,Q59)&lt;=1)),IF(C59="peso_corporal",IF(ISNUMBER(E59),E59,0)+O59,O59)*P59*1000+O59,0)=Y59,4,IF(IF((M59&gt;0)*(IF(N59="",-1,N59)=0)*(1-(IF(N59="",-1,N59)&gt;=0)*(IF(N59="",-1,N59)&lt;=1)),IF(C59="peso_corporal",IF(ISNUMBER(E59),E59,0)+L59,L59)*M59*1000+L59,0)=Y59,3,IF(IF((J59&gt;0)*(IF(K59="",-1,K59)=0)*(1-(IF(K59="",-1,K59)&gt;=0)*(IF(K59="",-1,K59)&lt;=1)),IF(C59="peso_corporal",IF(ISNUMBER(E59),E59,0)+I59,I59)*J59*1000+I59,0)=Y59,2,IF(IF((G59&gt;0)*(IF(H59="",-1,H59)=0)*(1-(IF(H59="",-1,H59)&gt;=0)*(IF(H59="",-1,H59)&lt;=1)),IF(C59="peso_corporal",IF(ISNUMBER(E59),E59,0)+F59,F59)*G59*1000+F59,0)=Y59,1,0))))))</f>
        <v>0</v>
      </c>
      <c r="AA59" s="69">
        <f>MAX(IF((G59&gt;=3)*(1-(IF(H59="",-1,H59)&gt;=0)*(IF(H59="",-1,H59)&lt;=1))*(1-(IF(H59="",-1,H59)=0)),IF(C59="peso_corporal",IF(ISNUMBER(E59),E59,0)+F59,F59)*(30+G59)*100+F59,0),IF((J59&gt;=3)*(1-(IF(K59="",-1,K59)&gt;=0)*(IF(K59="",-1,K59)&lt;=1))*(1-(IF(K59="",-1,K59)=0)),IF(C59="peso_corporal",IF(ISNUMBER(E59),E59,0)+I59,I59)*(30+J59)*100+I59,0),IF((M59&gt;=3)*(1-(IF(N59="",-1,N59)&gt;=0)*(IF(N59="",-1,N59)&lt;=1))*(1-(IF(N59="",-1,N59)=0)),IF(C59="peso_corporal",IF(ISNUMBER(E59),E59,0)+L59,L59)*(30+M59)*100+L59,0),IF((P59&gt;=3)*(1-(IF(Q59="",-1,Q59)&gt;=0)*(IF(Q59="",-1,Q59)&lt;=1))*(1-(IF(Q59="",-1,Q59)=0)),IF(C59="peso_corporal",IF(ISNUMBER(E59),E59,0)+O59,O59)*(30+P59)*100+O59,0),IF((S59&gt;=3)*(1-(IF(T59="",-1,T59)&gt;=0)*(IF(T59="",-1,T59)&lt;=1))*(1-(IF(T59="",-1,T59)=0)),IF(C59="peso_corporal",IF(ISNUMBER(E59),E59,0)+R59,R59)*(30+S59)*100+R59,0))</f>
        <v>0</v>
      </c>
      <c r="AB59" s="69">
        <f>IF(AA59=0,0,IF(IF((S59&gt;=3)*(1-(IF(T59="",-1,T59)&gt;=0)*(IF(T59="",-1,T59)&lt;=1))*(1-(IF(T59="",-1,T59)=0)),IF(C59="peso_corporal",IF(ISNUMBER(E59),E59,0)+R59,R59)*(30+S59)*100+R59,0)=AA59,5,IF(IF((P59&gt;=3)*(1-(IF(Q59="",-1,Q59)&gt;=0)*(IF(Q59="",-1,Q59)&lt;=1))*(1-(IF(Q59="",-1,Q59)=0)),IF(C59="peso_corporal",IF(ISNUMBER(E59),E59,0)+O59,O59)*(30+P59)*100+O59,0)=AA59,4,IF(IF((M59&gt;=3)*(1-(IF(N59="",-1,N59)&gt;=0)*(IF(N59="",-1,N59)&lt;=1))*(1-(IF(N59="",-1,N59)=0)),IF(C59="peso_corporal",IF(ISNUMBER(E59),E59,0)+L59,L59)*(30+M59)*100+L59,0)=AA59,3,IF(IF((J59&gt;=3)*(1-(IF(K59="",-1,K59)&gt;=0)*(IF(K59="",-1,K59)&lt;=1))*(1-(IF(K59="",-1,K59)=0)),IF(C59="peso_corporal",IF(ISNUMBER(E59),E59,0)+I59,I59)*(30+J59)*100+I59,0)=AA59,2,IF(IF((G59&gt;=3)*(1-(IF(H59="",-1,H59)&gt;=0)*(IF(H59="",-1,H59)&lt;=1))*(1-(IF(H59="",-1,H59)=0)),IF(C59="peso_corporal",IF(ISNUMBER(E59),E59,0)+F59,F59)*(30+G59)*100+F59,0)=AA59,1,0))))))</f>
        <v>0</v>
      </c>
      <c r="AC59" s="69" t="str">
        <f>IF(X59&gt;0,"A"&amp;X59,IF(Z59&gt;0,"B"&amp;Z59,IF(AB59&gt;0,"C"&amp;AB59,"")))</f>
        <v/>
      </c>
    </row>
    <row r="60" spans="1:29" ht="11.1" customHeight="1">
      <c r="A60" s="87" t="s">
        <v>35</v>
      </c>
      <c r="B60" s="73"/>
      <c r="C60" s="73"/>
      <c r="D60" s="73"/>
      <c r="E60" s="73"/>
      <c r="F60" s="73"/>
      <c r="G60" s="73"/>
      <c r="H60" s="73"/>
      <c r="I60" s="73"/>
      <c r="J60" s="73"/>
      <c r="K60" s="73"/>
      <c r="L60" s="73"/>
      <c r="M60" s="73"/>
      <c r="N60" s="73"/>
      <c r="O60" s="73"/>
      <c r="P60" s="73"/>
      <c r="Q60" s="73"/>
      <c r="R60" s="73"/>
      <c r="S60" s="73"/>
      <c r="T60" s="73"/>
      <c r="U60" s="73"/>
      <c r="V60" s="73"/>
      <c r="W60" s="69"/>
      <c r="X60" s="69"/>
      <c r="Y60" s="69"/>
      <c r="Z60" s="69"/>
      <c r="AA60" s="69"/>
      <c r="AB60" s="69"/>
      <c r="AC60" s="69"/>
    </row>
    <row r="61" spans="1:29" ht="20.100000000000001" customHeight="1">
      <c r="A61" s="14" t="s">
        <v>36</v>
      </c>
      <c r="B61" s="15" t="s">
        <v>37</v>
      </c>
      <c r="C61" s="16" t="str">
        <f>IFERROR(INDEX(EJERCICIOS!$D$3:$D$75,MATCH(A61&amp;"|"&amp;B61,EJERCICIOS!$G$3:$G$75,0)),"--")</f>
        <v>peso_corporal</v>
      </c>
      <c r="D61" s="17">
        <v>3</v>
      </c>
      <c r="E61" s="18">
        <f>IFERROR(LOOKUP(2,1/(MEDIDAS_Y_PESO!$B$3:$B$5&lt;&gt;""),MEDIDAS_Y_PESO!$B$3:$B$5),"--")</f>
        <v>80</v>
      </c>
      <c r="F61" s="19"/>
      <c r="G61" s="20"/>
      <c r="H61" s="21"/>
      <c r="I61" s="19"/>
      <c r="J61" s="20"/>
      <c r="K61" s="21"/>
      <c r="L61" s="19"/>
      <c r="M61" s="20"/>
      <c r="N61" s="21"/>
      <c r="O61" s="19"/>
      <c r="P61" s="20"/>
      <c r="Q61" s="21"/>
      <c r="R61" s="19"/>
      <c r="S61" s="20"/>
      <c r="T61" s="21"/>
      <c r="U61" s="22" t="str">
        <f>IFERROR(IF(IF(X61&gt;0,X61,IF(Z61&gt;0,Z61,IF(AB61&gt;0,AB61,0)))=0,"--",ROUND(CHOOSE(IF(X61&gt;0,X61,IF(Z61&gt;0,Z61,IF(AB61&gt;0,AB61,0))),IF(C61="peso_corporal",IF(ISNUMBER(E61),E61,0)+F61,F61)*(1+G61/30),IF(C61="peso_corporal",IF(ISNUMBER(E61),E61,0)+I61,I61)*(1+J61/30),IF(C61="peso_corporal",IF(ISNUMBER(E61),E61,0)+L61,L61)*(1+M61/30),IF(C61="peso_corporal",IF(ISNUMBER(E61),E61,0)+O61,O61)*(1+P61/30),IF(C61="peso_corporal",IF(ISNUMBER(E61),E61,0)+R61,R61)*(1+S61/30)),1)),"--")</f>
        <v>--</v>
      </c>
      <c r="V61" s="23" t="str">
        <f>IF(SUGERENCIAS!N132="SIN","Sin datos anteriores",IF(SUGERENCIAS!N132="SUBIR_F","^ SUBIR FUERTE | Kg:"&amp;ROUND(SUGERENCIAS!K132,1)&amp;" R:"&amp;ROUND(SUGERENCIAS!L132,0)&amp;" RIR:"&amp;ROUND(SUGERENCIAS!M132,0),IF(SUGERENCIAS!N132="SUBIR_E","^ SUBIR (Est.) | Kg:"&amp;ROUND(SUGERENCIAS!K132,1)&amp;" R:"&amp;ROUND(SUGERENCIAS!L132,0)&amp;" RIR:"&amp;ROUND(SUGERENCIAS!M132,0),IF(SUGERENCIAS!N132="SUBIR","^ SUBIR | Kg:"&amp;ROUND(SUGERENCIAS!K132,1)&amp;" R:"&amp;ROUND(SUGERENCIAS!L132,0)&amp;" RIR:"&amp;ROUND(SUGERENCIAS!M132,0),IF(SUGERENCIAS!N132="BAJAR","v BAJAR | Kg:"&amp;ROUND(SUGERENCIAS!K132,1)&amp;" R:"&amp;ROUND(SUGERENCIAS!L132,0)&amp;" RIR:"&amp;ROUND(SUGERENCIAS!M132,0),"= MANT | Kg:"&amp;ROUND(SUGERENCIAS!K132,1)&amp;" R:"&amp;ROUND(SUGERENCIAS!L132,0)&amp;" RIR:"&amp;ROUND(SUGERENCIAS!M132,0))))))</f>
        <v>^ SUBIR FUERTE | Kg:5 R:6 RIR:2</v>
      </c>
      <c r="W61" s="69">
        <f>MAX(IF((G61&gt;0)*(IF(H61="",-1,H61)&gt;=0)*(IF(H61="",-1,H61)&lt;=1),IF(C61="peso_corporal",IF(ISNUMBER(E61),E61,0)+F61,F61)*G61*1000+F61,0),IF((J61&gt;0)*(IF(K61="",-1,K61)&gt;=0)*(IF(K61="",-1,K61)&lt;=1),IF(C61="peso_corporal",IF(ISNUMBER(E61),E61,0)+I61,I61)*J61*1000+I61,0),IF((M61&gt;0)*(IF(N61="",-1,N61)&gt;=0)*(IF(N61="",-1,N61)&lt;=1),IF(C61="peso_corporal",IF(ISNUMBER(E61),E61,0)+L61,L61)*M61*1000+L61,0),IF((P61&gt;0)*(IF(Q61="",-1,Q61)&gt;=0)*(IF(Q61="",-1,Q61)&lt;=1),IF(C61="peso_corporal",IF(ISNUMBER(E61),E61,0)+O61,O61)*P61*1000+O61,0),IF((S61&gt;0)*(IF(T61="",-1,T61)&gt;=0)*(IF(T61="",-1,T61)&lt;=1),IF(C61="peso_corporal",IF(ISNUMBER(E61),E61,0)+R61,R61)*S61*1000+R61,0))</f>
        <v>0</v>
      </c>
      <c r="X61" s="69">
        <f>IF(W61=0,0,IF(IF((S61&gt;0)*(IF(T61="",-1,T61)&gt;=0)*(IF(T61="",-1,T61)&lt;=1),IF(C61="peso_corporal",IF(ISNUMBER(E61),E61,0)+R61,R61)*S61*1000+R61,0)=W61,5,IF(IF((P61&gt;0)*(IF(Q61="",-1,Q61)&gt;=0)*(IF(Q61="",-1,Q61)&lt;=1),IF(C61="peso_corporal",IF(ISNUMBER(E61),E61,0)+O61,O61)*P61*1000+O61,0)=W61,4,IF(IF((M61&gt;0)*(IF(N61="",-1,N61)&gt;=0)*(IF(N61="",-1,N61)&lt;=1),IF(C61="peso_corporal",IF(ISNUMBER(E61),E61,0)+L61,L61)*M61*1000+L61,0)=W61,3,IF(IF((J61&gt;0)*(IF(K61="",-1,K61)&gt;=0)*(IF(K61="",-1,K61)&lt;=1),IF(C61="peso_corporal",IF(ISNUMBER(E61),E61,0)+I61,I61)*J61*1000+I61,0)=W61,2,IF(IF((G61&gt;0)*(IF(H61="",-1,H61)&gt;=0)*(IF(H61="",-1,H61)&lt;=1),IF(C61="peso_corporal",IF(ISNUMBER(E61),E61,0)+F61,F61)*G61*1000+F61,0)=W61,1,0))))))</f>
        <v>0</v>
      </c>
      <c r="Y61" s="69">
        <f>MAX(IF((G61&gt;0)*(IF(H61="",-1,H61)=0)*(1-(IF(H61="",-1,H61)&gt;=0)*(IF(H61="",-1,H61)&lt;=1)),IF(C61="peso_corporal",IF(ISNUMBER(E61),E61,0)+F61,F61)*G61*1000+F61,0),IF((J61&gt;0)*(IF(K61="",-1,K61)=0)*(1-(IF(K61="",-1,K61)&gt;=0)*(IF(K61="",-1,K61)&lt;=1)),IF(C61="peso_corporal",IF(ISNUMBER(E61),E61,0)+I61,I61)*J61*1000+I61,0),IF((M61&gt;0)*(IF(N61="",-1,N61)=0)*(1-(IF(N61="",-1,N61)&gt;=0)*(IF(N61="",-1,N61)&lt;=1)),IF(C61="peso_corporal",IF(ISNUMBER(E61),E61,0)+L61,L61)*M61*1000+L61,0),IF((P61&gt;0)*(IF(Q61="",-1,Q61)=0)*(1-(IF(Q61="",-1,Q61)&gt;=0)*(IF(Q61="",-1,Q61)&lt;=1)),IF(C61="peso_corporal",IF(ISNUMBER(E61),E61,0)+O61,O61)*P61*1000+O61,0),IF((S61&gt;0)*(IF(T61="",-1,T61)=0)*(1-(IF(T61="",-1,T61)&gt;=0)*(IF(T61="",-1,T61)&lt;=1)),IF(C61="peso_corporal",IF(ISNUMBER(E61),E61,0)+R61,R61)*S61*1000+R61,0))</f>
        <v>0</v>
      </c>
      <c r="Z61" s="69">
        <f>IF(Y61=0,0,IF(IF((S61&gt;0)*(IF(T61="",-1,T61)=0)*(1-(IF(T61="",-1,T61)&gt;=0)*(IF(T61="",-1,T61)&lt;=1)),IF(C61="peso_corporal",IF(ISNUMBER(E61),E61,0)+R61,R61)*S61*1000+R61,0)=Y61,5,IF(IF((P61&gt;0)*(IF(Q61="",-1,Q61)=0)*(1-(IF(Q61="",-1,Q61)&gt;=0)*(IF(Q61="",-1,Q61)&lt;=1)),IF(C61="peso_corporal",IF(ISNUMBER(E61),E61,0)+O61,O61)*P61*1000+O61,0)=Y61,4,IF(IF((M61&gt;0)*(IF(N61="",-1,N61)=0)*(1-(IF(N61="",-1,N61)&gt;=0)*(IF(N61="",-1,N61)&lt;=1)),IF(C61="peso_corporal",IF(ISNUMBER(E61),E61,0)+L61,L61)*M61*1000+L61,0)=Y61,3,IF(IF((J61&gt;0)*(IF(K61="",-1,K61)=0)*(1-(IF(K61="",-1,K61)&gt;=0)*(IF(K61="",-1,K61)&lt;=1)),IF(C61="peso_corporal",IF(ISNUMBER(E61),E61,0)+I61,I61)*J61*1000+I61,0)=Y61,2,IF(IF((G61&gt;0)*(IF(H61="",-1,H61)=0)*(1-(IF(H61="",-1,H61)&gt;=0)*(IF(H61="",-1,H61)&lt;=1)),IF(C61="peso_corporal",IF(ISNUMBER(E61),E61,0)+F61,F61)*G61*1000+F61,0)=Y61,1,0))))))</f>
        <v>0</v>
      </c>
      <c r="AA61" s="69">
        <f>MAX(IF((G61&gt;=3)*(1-(IF(H61="",-1,H61)&gt;=0)*(IF(H61="",-1,H61)&lt;=1))*(1-(IF(H61="",-1,H61)=0)),IF(C61="peso_corporal",IF(ISNUMBER(E61),E61,0)+F61,F61)*(30+G61)*100+F61,0),IF((J61&gt;=3)*(1-(IF(K61="",-1,K61)&gt;=0)*(IF(K61="",-1,K61)&lt;=1))*(1-(IF(K61="",-1,K61)=0)),IF(C61="peso_corporal",IF(ISNUMBER(E61),E61,0)+I61,I61)*(30+J61)*100+I61,0),IF((M61&gt;=3)*(1-(IF(N61="",-1,N61)&gt;=0)*(IF(N61="",-1,N61)&lt;=1))*(1-(IF(N61="",-1,N61)=0)),IF(C61="peso_corporal",IF(ISNUMBER(E61),E61,0)+L61,L61)*(30+M61)*100+L61,0),IF((P61&gt;=3)*(1-(IF(Q61="",-1,Q61)&gt;=0)*(IF(Q61="",-1,Q61)&lt;=1))*(1-(IF(Q61="",-1,Q61)=0)),IF(C61="peso_corporal",IF(ISNUMBER(E61),E61,0)+O61,O61)*(30+P61)*100+O61,0),IF((S61&gt;=3)*(1-(IF(T61="",-1,T61)&gt;=0)*(IF(T61="",-1,T61)&lt;=1))*(1-(IF(T61="",-1,T61)=0)),IF(C61="peso_corporal",IF(ISNUMBER(E61),E61,0)+R61,R61)*(30+S61)*100+R61,0))</f>
        <v>0</v>
      </c>
      <c r="AB61" s="69">
        <f>IF(AA61=0,0,IF(IF((S61&gt;=3)*(1-(IF(T61="",-1,T61)&gt;=0)*(IF(T61="",-1,T61)&lt;=1))*(1-(IF(T61="",-1,T61)=0)),IF(C61="peso_corporal",IF(ISNUMBER(E61),E61,0)+R61,R61)*(30+S61)*100+R61,0)=AA61,5,IF(IF((P61&gt;=3)*(1-(IF(Q61="",-1,Q61)&gt;=0)*(IF(Q61="",-1,Q61)&lt;=1))*(1-(IF(Q61="",-1,Q61)=0)),IF(C61="peso_corporal",IF(ISNUMBER(E61),E61,0)+O61,O61)*(30+P61)*100+O61,0)=AA61,4,IF(IF((M61&gt;=3)*(1-(IF(N61="",-1,N61)&gt;=0)*(IF(N61="",-1,N61)&lt;=1))*(1-(IF(N61="",-1,N61)=0)),IF(C61="peso_corporal",IF(ISNUMBER(E61),E61,0)+L61,L61)*(30+M61)*100+L61,0)=AA61,3,IF(IF((J61&gt;=3)*(1-(IF(K61="",-1,K61)&gt;=0)*(IF(K61="",-1,K61)&lt;=1))*(1-(IF(K61="",-1,K61)=0)),IF(C61="peso_corporal",IF(ISNUMBER(E61),E61,0)+I61,I61)*(30+J61)*100+I61,0)=AA61,2,IF(IF((G61&gt;=3)*(1-(IF(H61="",-1,H61)&gt;=0)*(IF(H61="",-1,H61)&lt;=1))*(1-(IF(H61="",-1,H61)=0)),IF(C61="peso_corporal",IF(ISNUMBER(E61),E61,0)+F61,F61)*(30+G61)*100+F61,0)=AA61,1,0))))))</f>
        <v>0</v>
      </c>
      <c r="AC61" s="69" t="str">
        <f>IF(X61&gt;0,"A"&amp;X61,IF(Z61&gt;0,"B"&amp;Z61,IF(AB61&gt;0,"C"&amp;AB61,"")))</f>
        <v/>
      </c>
    </row>
    <row r="62" spans="1:29" ht="20.100000000000001" customHeight="1">
      <c r="A62" s="14" t="s">
        <v>62</v>
      </c>
      <c r="B62" s="15" t="s">
        <v>39</v>
      </c>
      <c r="C62" s="16" t="str">
        <f>IFERROR(INDEX(EJERCICIOS!$D$3:$D$75,MATCH(A62&amp;"|"&amp;B62,EJERCICIOS!$G$3:$G$75,0)),"--")</f>
        <v>--</v>
      </c>
      <c r="D62" s="17">
        <v>3</v>
      </c>
      <c r="E62" s="18">
        <f>IFERROR(LOOKUP(2,1/(MEDIDAS_Y_PESO!$B$3:$B$5&lt;&gt;""),MEDIDAS_Y_PESO!$B$3:$B$5),"--")</f>
        <v>80</v>
      </c>
      <c r="F62" s="19"/>
      <c r="G62" s="20"/>
      <c r="H62" s="21"/>
      <c r="I62" s="19"/>
      <c r="J62" s="20"/>
      <c r="K62" s="21"/>
      <c r="L62" s="19"/>
      <c r="M62" s="20"/>
      <c r="N62" s="21"/>
      <c r="O62" s="19"/>
      <c r="P62" s="20"/>
      <c r="Q62" s="21"/>
      <c r="R62" s="19"/>
      <c r="S62" s="20"/>
      <c r="T62" s="21"/>
      <c r="U62" s="22" t="str">
        <f>IFERROR(IF(IF(X62&gt;0,X62,IF(Z62&gt;0,Z62,IF(AB62&gt;0,AB62,0)))=0,"--",ROUND(CHOOSE(IF(X62&gt;0,X62,IF(Z62&gt;0,Z62,IF(AB62&gt;0,AB62,0))),IF(C62="peso_corporal",IF(ISNUMBER(E62),E62,0)+F62,F62)*(1+G62/30),IF(C62="peso_corporal",IF(ISNUMBER(E62),E62,0)+I62,I62)*(1+J62/30),IF(C62="peso_corporal",IF(ISNUMBER(E62),E62,0)+L62,L62)*(1+M62/30),IF(C62="peso_corporal",IF(ISNUMBER(E62),E62,0)+O62,O62)*(1+P62/30),IF(C62="peso_corporal",IF(ISNUMBER(E62),E62,0)+R62,R62)*(1+S62/30)),1)),"--")</f>
        <v>--</v>
      </c>
      <c r="V62" s="23" t="str">
        <f>IF(SUGERENCIAS!N133="SIN","Sin datos anteriores",IF(SUGERENCIAS!N133="SUBIR_F","^ SUBIR FUERTE | Kg:"&amp;ROUND(SUGERENCIAS!K133,1)&amp;" R:"&amp;ROUND(SUGERENCIAS!L133,0)&amp;" RIR:"&amp;ROUND(SUGERENCIAS!M133,0),IF(SUGERENCIAS!N133="SUBIR_E","^ SUBIR (Est.) | Kg:"&amp;ROUND(SUGERENCIAS!K133,1)&amp;" R:"&amp;ROUND(SUGERENCIAS!L133,0)&amp;" RIR:"&amp;ROUND(SUGERENCIAS!M133,0),IF(SUGERENCIAS!N133="SUBIR","^ SUBIR | Kg:"&amp;ROUND(SUGERENCIAS!K133,1)&amp;" R:"&amp;ROUND(SUGERENCIAS!L133,0)&amp;" RIR:"&amp;ROUND(SUGERENCIAS!M133,0),IF(SUGERENCIAS!N133="BAJAR","v BAJAR | Kg:"&amp;ROUND(SUGERENCIAS!K133,1)&amp;" R:"&amp;ROUND(SUGERENCIAS!L133,0)&amp;" RIR:"&amp;ROUND(SUGERENCIAS!M133,0),"= MANT | Kg:"&amp;ROUND(SUGERENCIAS!K133,1)&amp;" R:"&amp;ROUND(SUGERENCIAS!L133,0)&amp;" RIR:"&amp;ROUND(SUGERENCIAS!M133,0))))))</f>
        <v>Sin datos anteriores</v>
      </c>
      <c r="W62" s="69">
        <f>MAX(IF((G62&gt;0)*(IF(H62="",-1,H62)&gt;=0)*(IF(H62="",-1,H62)&lt;=1),IF(C62="peso_corporal",IF(ISNUMBER(E62),E62,0)+F62,F62)*G62*1000+F62,0),IF((J62&gt;0)*(IF(K62="",-1,K62)&gt;=0)*(IF(K62="",-1,K62)&lt;=1),IF(C62="peso_corporal",IF(ISNUMBER(E62),E62,0)+I62,I62)*J62*1000+I62,0),IF((M62&gt;0)*(IF(N62="",-1,N62)&gt;=0)*(IF(N62="",-1,N62)&lt;=1),IF(C62="peso_corporal",IF(ISNUMBER(E62),E62,0)+L62,L62)*M62*1000+L62,0),IF((P62&gt;0)*(IF(Q62="",-1,Q62)&gt;=0)*(IF(Q62="",-1,Q62)&lt;=1),IF(C62="peso_corporal",IF(ISNUMBER(E62),E62,0)+O62,O62)*P62*1000+O62,0),IF((S62&gt;0)*(IF(T62="",-1,T62)&gt;=0)*(IF(T62="",-1,T62)&lt;=1),IF(C62="peso_corporal",IF(ISNUMBER(E62),E62,0)+R62,R62)*S62*1000+R62,0))</f>
        <v>0</v>
      </c>
      <c r="X62" s="69">
        <f>IF(W62=0,0,IF(IF((S62&gt;0)*(IF(T62="",-1,T62)&gt;=0)*(IF(T62="",-1,T62)&lt;=1),IF(C62="peso_corporal",IF(ISNUMBER(E62),E62,0)+R62,R62)*S62*1000+R62,0)=W62,5,IF(IF((P62&gt;0)*(IF(Q62="",-1,Q62)&gt;=0)*(IF(Q62="",-1,Q62)&lt;=1),IF(C62="peso_corporal",IF(ISNUMBER(E62),E62,0)+O62,O62)*P62*1000+O62,0)=W62,4,IF(IF((M62&gt;0)*(IF(N62="",-1,N62)&gt;=0)*(IF(N62="",-1,N62)&lt;=1),IF(C62="peso_corporal",IF(ISNUMBER(E62),E62,0)+L62,L62)*M62*1000+L62,0)=W62,3,IF(IF((J62&gt;0)*(IF(K62="",-1,K62)&gt;=0)*(IF(K62="",-1,K62)&lt;=1),IF(C62="peso_corporal",IF(ISNUMBER(E62),E62,0)+I62,I62)*J62*1000+I62,0)=W62,2,IF(IF((G62&gt;0)*(IF(H62="",-1,H62)&gt;=0)*(IF(H62="",-1,H62)&lt;=1),IF(C62="peso_corporal",IF(ISNUMBER(E62),E62,0)+F62,F62)*G62*1000+F62,0)=W62,1,0))))))</f>
        <v>0</v>
      </c>
      <c r="Y62" s="69">
        <f>MAX(IF((G62&gt;0)*(IF(H62="",-1,H62)=0)*(1-(IF(H62="",-1,H62)&gt;=0)*(IF(H62="",-1,H62)&lt;=1)),IF(C62="peso_corporal",IF(ISNUMBER(E62),E62,0)+F62,F62)*G62*1000+F62,0),IF((J62&gt;0)*(IF(K62="",-1,K62)=0)*(1-(IF(K62="",-1,K62)&gt;=0)*(IF(K62="",-1,K62)&lt;=1)),IF(C62="peso_corporal",IF(ISNUMBER(E62),E62,0)+I62,I62)*J62*1000+I62,0),IF((M62&gt;0)*(IF(N62="",-1,N62)=0)*(1-(IF(N62="",-1,N62)&gt;=0)*(IF(N62="",-1,N62)&lt;=1)),IF(C62="peso_corporal",IF(ISNUMBER(E62),E62,0)+L62,L62)*M62*1000+L62,0),IF((P62&gt;0)*(IF(Q62="",-1,Q62)=0)*(1-(IF(Q62="",-1,Q62)&gt;=0)*(IF(Q62="",-1,Q62)&lt;=1)),IF(C62="peso_corporal",IF(ISNUMBER(E62),E62,0)+O62,O62)*P62*1000+O62,0),IF((S62&gt;0)*(IF(T62="",-1,T62)=0)*(1-(IF(T62="",-1,T62)&gt;=0)*(IF(T62="",-1,T62)&lt;=1)),IF(C62="peso_corporal",IF(ISNUMBER(E62),E62,0)+R62,R62)*S62*1000+R62,0))</f>
        <v>0</v>
      </c>
      <c r="Z62" s="69">
        <f>IF(Y62=0,0,IF(IF((S62&gt;0)*(IF(T62="",-1,T62)=0)*(1-(IF(T62="",-1,T62)&gt;=0)*(IF(T62="",-1,T62)&lt;=1)),IF(C62="peso_corporal",IF(ISNUMBER(E62),E62,0)+R62,R62)*S62*1000+R62,0)=Y62,5,IF(IF((P62&gt;0)*(IF(Q62="",-1,Q62)=0)*(1-(IF(Q62="",-1,Q62)&gt;=0)*(IF(Q62="",-1,Q62)&lt;=1)),IF(C62="peso_corporal",IF(ISNUMBER(E62),E62,0)+O62,O62)*P62*1000+O62,0)=Y62,4,IF(IF((M62&gt;0)*(IF(N62="",-1,N62)=0)*(1-(IF(N62="",-1,N62)&gt;=0)*(IF(N62="",-1,N62)&lt;=1)),IF(C62="peso_corporal",IF(ISNUMBER(E62),E62,0)+L62,L62)*M62*1000+L62,0)=Y62,3,IF(IF((J62&gt;0)*(IF(K62="",-1,K62)=0)*(1-(IF(K62="",-1,K62)&gt;=0)*(IF(K62="",-1,K62)&lt;=1)),IF(C62="peso_corporal",IF(ISNUMBER(E62),E62,0)+I62,I62)*J62*1000+I62,0)=Y62,2,IF(IF((G62&gt;0)*(IF(H62="",-1,H62)=0)*(1-(IF(H62="",-1,H62)&gt;=0)*(IF(H62="",-1,H62)&lt;=1)),IF(C62="peso_corporal",IF(ISNUMBER(E62),E62,0)+F62,F62)*G62*1000+F62,0)=Y62,1,0))))))</f>
        <v>0</v>
      </c>
      <c r="AA62" s="69">
        <f>MAX(IF((G62&gt;=3)*(1-(IF(H62="",-1,H62)&gt;=0)*(IF(H62="",-1,H62)&lt;=1))*(1-(IF(H62="",-1,H62)=0)),IF(C62="peso_corporal",IF(ISNUMBER(E62),E62,0)+F62,F62)*(30+G62)*100+F62,0),IF((J62&gt;=3)*(1-(IF(K62="",-1,K62)&gt;=0)*(IF(K62="",-1,K62)&lt;=1))*(1-(IF(K62="",-1,K62)=0)),IF(C62="peso_corporal",IF(ISNUMBER(E62),E62,0)+I62,I62)*(30+J62)*100+I62,0),IF((M62&gt;=3)*(1-(IF(N62="",-1,N62)&gt;=0)*(IF(N62="",-1,N62)&lt;=1))*(1-(IF(N62="",-1,N62)=0)),IF(C62="peso_corporal",IF(ISNUMBER(E62),E62,0)+L62,L62)*(30+M62)*100+L62,0),IF((P62&gt;=3)*(1-(IF(Q62="",-1,Q62)&gt;=0)*(IF(Q62="",-1,Q62)&lt;=1))*(1-(IF(Q62="",-1,Q62)=0)),IF(C62="peso_corporal",IF(ISNUMBER(E62),E62,0)+O62,O62)*(30+P62)*100+O62,0),IF((S62&gt;=3)*(1-(IF(T62="",-1,T62)&gt;=0)*(IF(T62="",-1,T62)&lt;=1))*(1-(IF(T62="",-1,T62)=0)),IF(C62="peso_corporal",IF(ISNUMBER(E62),E62,0)+R62,R62)*(30+S62)*100+R62,0))</f>
        <v>0</v>
      </c>
      <c r="AB62" s="69">
        <f>IF(AA62=0,0,IF(IF((S62&gt;=3)*(1-(IF(T62="",-1,T62)&gt;=0)*(IF(T62="",-1,T62)&lt;=1))*(1-(IF(T62="",-1,T62)=0)),IF(C62="peso_corporal",IF(ISNUMBER(E62),E62,0)+R62,R62)*(30+S62)*100+R62,0)=AA62,5,IF(IF((P62&gt;=3)*(1-(IF(Q62="",-1,Q62)&gt;=0)*(IF(Q62="",-1,Q62)&lt;=1))*(1-(IF(Q62="",-1,Q62)=0)),IF(C62="peso_corporal",IF(ISNUMBER(E62),E62,0)+O62,O62)*(30+P62)*100+O62,0)=AA62,4,IF(IF((M62&gt;=3)*(1-(IF(N62="",-1,N62)&gt;=0)*(IF(N62="",-1,N62)&lt;=1))*(1-(IF(N62="",-1,N62)=0)),IF(C62="peso_corporal",IF(ISNUMBER(E62),E62,0)+L62,L62)*(30+M62)*100+L62,0)=AA62,3,IF(IF((J62&gt;=3)*(1-(IF(K62="",-1,K62)&gt;=0)*(IF(K62="",-1,K62)&lt;=1))*(1-(IF(K62="",-1,K62)=0)),IF(C62="peso_corporal",IF(ISNUMBER(E62),E62,0)+I62,I62)*(30+J62)*100+I62,0)=AA62,2,IF(IF((G62&gt;=3)*(1-(IF(H62="",-1,H62)&gt;=0)*(IF(H62="",-1,H62)&lt;=1))*(1-(IF(H62="",-1,H62)=0)),IF(C62="peso_corporal",IF(ISNUMBER(E62),E62,0)+F62,F62)*(30+G62)*100+F62,0)=AA62,1,0))))))</f>
        <v>0</v>
      </c>
      <c r="AC62" s="69" t="str">
        <f>IF(X62&gt;0,"A"&amp;X62,IF(Z62&gt;0,"B"&amp;Z62,IF(AB62&gt;0,"C"&amp;AB62,"")))</f>
        <v/>
      </c>
    </row>
    <row r="63" spans="1:29" ht="20.100000000000001" customHeight="1">
      <c r="A63" s="14" t="s">
        <v>62</v>
      </c>
      <c r="B63" s="15" t="s">
        <v>63</v>
      </c>
      <c r="C63" s="16" t="str">
        <f>IFERROR(INDEX(EJERCICIOS!$D$3:$D$75,MATCH(A63&amp;"|"&amp;B63,EJERCICIOS!$G$3:$G$75,0)),"--")</f>
        <v>--</v>
      </c>
      <c r="D63" s="17">
        <v>3</v>
      </c>
      <c r="E63" s="18">
        <f>IFERROR(LOOKUP(2,1/(MEDIDAS_Y_PESO!$B$3:$B$5&lt;&gt;""),MEDIDAS_Y_PESO!$B$3:$B$5),"--")</f>
        <v>80</v>
      </c>
      <c r="F63" s="19"/>
      <c r="G63" s="20"/>
      <c r="H63" s="21"/>
      <c r="I63" s="19"/>
      <c r="J63" s="20"/>
      <c r="K63" s="21"/>
      <c r="L63" s="19"/>
      <c r="M63" s="20"/>
      <c r="N63" s="21"/>
      <c r="O63" s="19"/>
      <c r="P63" s="20"/>
      <c r="Q63" s="21"/>
      <c r="R63" s="19"/>
      <c r="S63" s="20"/>
      <c r="T63" s="21"/>
      <c r="U63" s="22" t="str">
        <f>IFERROR(IF(IF(X63&gt;0,X63,IF(Z63&gt;0,Z63,IF(AB63&gt;0,AB63,0)))=0,"--",ROUND(CHOOSE(IF(X63&gt;0,X63,IF(Z63&gt;0,Z63,IF(AB63&gt;0,AB63,0))),IF(C63="peso_corporal",IF(ISNUMBER(E63),E63,0)+F63,F63)*(1+G63/30),IF(C63="peso_corporal",IF(ISNUMBER(E63),E63,0)+I63,I63)*(1+J63/30),IF(C63="peso_corporal",IF(ISNUMBER(E63),E63,0)+L63,L63)*(1+M63/30),IF(C63="peso_corporal",IF(ISNUMBER(E63),E63,0)+O63,O63)*(1+P63/30),IF(C63="peso_corporal",IF(ISNUMBER(E63),E63,0)+R63,R63)*(1+S63/30)),1)),"--")</f>
        <v>--</v>
      </c>
      <c r="V63" s="23" t="str">
        <f>IF(SUGERENCIAS!N134="SIN","Sin datos anteriores",IF(SUGERENCIAS!N134="SUBIR_F","^ SUBIR FUERTE | Kg:"&amp;ROUND(SUGERENCIAS!K134,1)&amp;" R:"&amp;ROUND(SUGERENCIAS!L134,0)&amp;" RIR:"&amp;ROUND(SUGERENCIAS!M134,0),IF(SUGERENCIAS!N134="SUBIR_E","^ SUBIR (Est.) | Kg:"&amp;ROUND(SUGERENCIAS!K134,1)&amp;" R:"&amp;ROUND(SUGERENCIAS!L134,0)&amp;" RIR:"&amp;ROUND(SUGERENCIAS!M134,0),IF(SUGERENCIAS!N134="SUBIR","^ SUBIR | Kg:"&amp;ROUND(SUGERENCIAS!K134,1)&amp;" R:"&amp;ROUND(SUGERENCIAS!L134,0)&amp;" RIR:"&amp;ROUND(SUGERENCIAS!M134,0),IF(SUGERENCIAS!N134="BAJAR","v BAJAR | Kg:"&amp;ROUND(SUGERENCIAS!K134,1)&amp;" R:"&amp;ROUND(SUGERENCIAS!L134,0)&amp;" RIR:"&amp;ROUND(SUGERENCIAS!M134,0),"= MANT | Kg:"&amp;ROUND(SUGERENCIAS!K134,1)&amp;" R:"&amp;ROUND(SUGERENCIAS!L134,0)&amp;" RIR:"&amp;ROUND(SUGERENCIAS!M134,0))))))</f>
        <v>Sin datos anteriores</v>
      </c>
      <c r="W63" s="69">
        <f>MAX(IF((G63&gt;0)*(IF(H63="",-1,H63)&gt;=0)*(IF(H63="",-1,H63)&lt;=1),IF(C63="peso_corporal",IF(ISNUMBER(E63),E63,0)+F63,F63)*G63*1000+F63,0),IF((J63&gt;0)*(IF(K63="",-1,K63)&gt;=0)*(IF(K63="",-1,K63)&lt;=1),IF(C63="peso_corporal",IF(ISNUMBER(E63),E63,0)+I63,I63)*J63*1000+I63,0),IF((M63&gt;0)*(IF(N63="",-1,N63)&gt;=0)*(IF(N63="",-1,N63)&lt;=1),IF(C63="peso_corporal",IF(ISNUMBER(E63),E63,0)+L63,L63)*M63*1000+L63,0),IF((P63&gt;0)*(IF(Q63="",-1,Q63)&gt;=0)*(IF(Q63="",-1,Q63)&lt;=1),IF(C63="peso_corporal",IF(ISNUMBER(E63),E63,0)+O63,O63)*P63*1000+O63,0),IF((S63&gt;0)*(IF(T63="",-1,T63)&gt;=0)*(IF(T63="",-1,T63)&lt;=1),IF(C63="peso_corporal",IF(ISNUMBER(E63),E63,0)+R63,R63)*S63*1000+R63,0))</f>
        <v>0</v>
      </c>
      <c r="X63" s="69">
        <f>IF(W63=0,0,IF(IF((S63&gt;0)*(IF(T63="",-1,T63)&gt;=0)*(IF(T63="",-1,T63)&lt;=1),IF(C63="peso_corporal",IF(ISNUMBER(E63),E63,0)+R63,R63)*S63*1000+R63,0)=W63,5,IF(IF((P63&gt;0)*(IF(Q63="",-1,Q63)&gt;=0)*(IF(Q63="",-1,Q63)&lt;=1),IF(C63="peso_corporal",IF(ISNUMBER(E63),E63,0)+O63,O63)*P63*1000+O63,0)=W63,4,IF(IF((M63&gt;0)*(IF(N63="",-1,N63)&gt;=0)*(IF(N63="",-1,N63)&lt;=1),IF(C63="peso_corporal",IF(ISNUMBER(E63),E63,0)+L63,L63)*M63*1000+L63,0)=W63,3,IF(IF((J63&gt;0)*(IF(K63="",-1,K63)&gt;=0)*(IF(K63="",-1,K63)&lt;=1),IF(C63="peso_corporal",IF(ISNUMBER(E63),E63,0)+I63,I63)*J63*1000+I63,0)=W63,2,IF(IF((G63&gt;0)*(IF(H63="",-1,H63)&gt;=0)*(IF(H63="",-1,H63)&lt;=1),IF(C63="peso_corporal",IF(ISNUMBER(E63),E63,0)+F63,F63)*G63*1000+F63,0)=W63,1,0))))))</f>
        <v>0</v>
      </c>
      <c r="Y63" s="69">
        <f>MAX(IF((G63&gt;0)*(IF(H63="",-1,H63)=0)*(1-(IF(H63="",-1,H63)&gt;=0)*(IF(H63="",-1,H63)&lt;=1)),IF(C63="peso_corporal",IF(ISNUMBER(E63),E63,0)+F63,F63)*G63*1000+F63,0),IF((J63&gt;0)*(IF(K63="",-1,K63)=0)*(1-(IF(K63="",-1,K63)&gt;=0)*(IF(K63="",-1,K63)&lt;=1)),IF(C63="peso_corporal",IF(ISNUMBER(E63),E63,0)+I63,I63)*J63*1000+I63,0),IF((M63&gt;0)*(IF(N63="",-1,N63)=0)*(1-(IF(N63="",-1,N63)&gt;=0)*(IF(N63="",-1,N63)&lt;=1)),IF(C63="peso_corporal",IF(ISNUMBER(E63),E63,0)+L63,L63)*M63*1000+L63,0),IF((P63&gt;0)*(IF(Q63="",-1,Q63)=0)*(1-(IF(Q63="",-1,Q63)&gt;=0)*(IF(Q63="",-1,Q63)&lt;=1)),IF(C63="peso_corporal",IF(ISNUMBER(E63),E63,0)+O63,O63)*P63*1000+O63,0),IF((S63&gt;0)*(IF(T63="",-1,T63)=0)*(1-(IF(T63="",-1,T63)&gt;=0)*(IF(T63="",-1,T63)&lt;=1)),IF(C63="peso_corporal",IF(ISNUMBER(E63),E63,0)+R63,R63)*S63*1000+R63,0))</f>
        <v>0</v>
      </c>
      <c r="Z63" s="69">
        <f>IF(Y63=0,0,IF(IF((S63&gt;0)*(IF(T63="",-1,T63)=0)*(1-(IF(T63="",-1,T63)&gt;=0)*(IF(T63="",-1,T63)&lt;=1)),IF(C63="peso_corporal",IF(ISNUMBER(E63),E63,0)+R63,R63)*S63*1000+R63,0)=Y63,5,IF(IF((P63&gt;0)*(IF(Q63="",-1,Q63)=0)*(1-(IF(Q63="",-1,Q63)&gt;=0)*(IF(Q63="",-1,Q63)&lt;=1)),IF(C63="peso_corporal",IF(ISNUMBER(E63),E63,0)+O63,O63)*P63*1000+O63,0)=Y63,4,IF(IF((M63&gt;0)*(IF(N63="",-1,N63)=0)*(1-(IF(N63="",-1,N63)&gt;=0)*(IF(N63="",-1,N63)&lt;=1)),IF(C63="peso_corporal",IF(ISNUMBER(E63),E63,0)+L63,L63)*M63*1000+L63,0)=Y63,3,IF(IF((J63&gt;0)*(IF(K63="",-1,K63)=0)*(1-(IF(K63="",-1,K63)&gt;=0)*(IF(K63="",-1,K63)&lt;=1)),IF(C63="peso_corporal",IF(ISNUMBER(E63),E63,0)+I63,I63)*J63*1000+I63,0)=Y63,2,IF(IF((G63&gt;0)*(IF(H63="",-1,H63)=0)*(1-(IF(H63="",-1,H63)&gt;=0)*(IF(H63="",-1,H63)&lt;=1)),IF(C63="peso_corporal",IF(ISNUMBER(E63),E63,0)+F63,F63)*G63*1000+F63,0)=Y63,1,0))))))</f>
        <v>0</v>
      </c>
      <c r="AA63" s="69">
        <f>MAX(IF((G63&gt;=3)*(1-(IF(H63="",-1,H63)&gt;=0)*(IF(H63="",-1,H63)&lt;=1))*(1-(IF(H63="",-1,H63)=0)),IF(C63="peso_corporal",IF(ISNUMBER(E63),E63,0)+F63,F63)*(30+G63)*100+F63,0),IF((J63&gt;=3)*(1-(IF(K63="",-1,K63)&gt;=0)*(IF(K63="",-1,K63)&lt;=1))*(1-(IF(K63="",-1,K63)=0)),IF(C63="peso_corporal",IF(ISNUMBER(E63),E63,0)+I63,I63)*(30+J63)*100+I63,0),IF((M63&gt;=3)*(1-(IF(N63="",-1,N63)&gt;=0)*(IF(N63="",-1,N63)&lt;=1))*(1-(IF(N63="",-1,N63)=0)),IF(C63="peso_corporal",IF(ISNUMBER(E63),E63,0)+L63,L63)*(30+M63)*100+L63,0),IF((P63&gt;=3)*(1-(IF(Q63="",-1,Q63)&gt;=0)*(IF(Q63="",-1,Q63)&lt;=1))*(1-(IF(Q63="",-1,Q63)=0)),IF(C63="peso_corporal",IF(ISNUMBER(E63),E63,0)+O63,O63)*(30+P63)*100+O63,0),IF((S63&gt;=3)*(1-(IF(T63="",-1,T63)&gt;=0)*(IF(T63="",-1,T63)&lt;=1))*(1-(IF(T63="",-1,T63)=0)),IF(C63="peso_corporal",IF(ISNUMBER(E63),E63,0)+R63,R63)*(30+S63)*100+R63,0))</f>
        <v>0</v>
      </c>
      <c r="AB63" s="69">
        <f>IF(AA63=0,0,IF(IF((S63&gt;=3)*(1-(IF(T63="",-1,T63)&gt;=0)*(IF(T63="",-1,T63)&lt;=1))*(1-(IF(T63="",-1,T63)=0)),IF(C63="peso_corporal",IF(ISNUMBER(E63),E63,0)+R63,R63)*(30+S63)*100+R63,0)=AA63,5,IF(IF((P63&gt;=3)*(1-(IF(Q63="",-1,Q63)&gt;=0)*(IF(Q63="",-1,Q63)&lt;=1))*(1-(IF(Q63="",-1,Q63)=0)),IF(C63="peso_corporal",IF(ISNUMBER(E63),E63,0)+O63,O63)*(30+P63)*100+O63,0)=AA63,4,IF(IF((M63&gt;=3)*(1-(IF(N63="",-1,N63)&gt;=0)*(IF(N63="",-1,N63)&lt;=1))*(1-(IF(N63="",-1,N63)=0)),IF(C63="peso_corporal",IF(ISNUMBER(E63),E63,0)+L63,L63)*(30+M63)*100+L63,0)=AA63,3,IF(IF((J63&gt;=3)*(1-(IF(K63="",-1,K63)&gt;=0)*(IF(K63="",-1,K63)&lt;=1))*(1-(IF(K63="",-1,K63)=0)),IF(C63="peso_corporal",IF(ISNUMBER(E63),E63,0)+I63,I63)*(30+J63)*100+I63,0)=AA63,2,IF(IF((G63&gt;=3)*(1-(IF(H63="",-1,H63)&gt;=0)*(IF(H63="",-1,H63)&lt;=1))*(1-(IF(H63="",-1,H63)=0)),IF(C63="peso_corporal",IF(ISNUMBER(E63),E63,0)+F63,F63)*(30+G63)*100+F63,0)=AA63,1,0))))))</f>
        <v>0</v>
      </c>
      <c r="AC63" s="69" t="str">
        <f>IF(X63&gt;0,"A"&amp;X63,IF(Z63&gt;0,"B"&amp;Z63,IF(AB63&gt;0,"C"&amp;AB63,"")))</f>
        <v/>
      </c>
    </row>
    <row r="64" spans="1:29" ht="15" customHeight="1">
      <c r="A64" s="81" t="s">
        <v>42</v>
      </c>
      <c r="B64" s="73"/>
      <c r="C64" s="73"/>
      <c r="D64" s="73"/>
      <c r="E64" s="73"/>
      <c r="F64" s="73"/>
      <c r="G64" s="73"/>
      <c r="H64" s="73"/>
      <c r="I64" s="73"/>
      <c r="J64" s="73"/>
      <c r="K64" s="73"/>
      <c r="L64" s="73"/>
      <c r="M64" s="73"/>
      <c r="N64" s="73"/>
      <c r="O64" s="73"/>
      <c r="P64" s="73"/>
      <c r="Q64" s="73"/>
      <c r="R64" s="73"/>
      <c r="S64" s="73"/>
      <c r="T64" s="73"/>
      <c r="U64" s="73"/>
      <c r="V64" s="73"/>
      <c r="W64" s="69"/>
      <c r="X64" s="69"/>
      <c r="Y64" s="69"/>
      <c r="Z64" s="69"/>
      <c r="AA64" s="69"/>
      <c r="AB64" s="69"/>
      <c r="AC64" s="69"/>
    </row>
    <row r="65" spans="1:29" ht="20.100000000000001" customHeight="1">
      <c r="A65" s="14" t="s">
        <v>43</v>
      </c>
      <c r="B65" s="15" t="s">
        <v>44</v>
      </c>
      <c r="C65" s="16" t="str">
        <f>IFERROR(INDEX(EJERCICIOS!$D$3:$D$75,MATCH(A65&amp;"|"&amp;B65,EJERCICIOS!$G$3:$G$75,0)),"--")</f>
        <v>polea</v>
      </c>
      <c r="D65" s="17">
        <v>3</v>
      </c>
      <c r="E65" s="18">
        <f>IFERROR(LOOKUP(2,1/(MEDIDAS_Y_PESO!$B$3:$B$5&lt;&gt;""),MEDIDAS_Y_PESO!$B$3:$B$5),"--")</f>
        <v>80</v>
      </c>
      <c r="F65" s="19"/>
      <c r="G65" s="20"/>
      <c r="H65" s="21"/>
      <c r="I65" s="19"/>
      <c r="J65" s="20"/>
      <c r="K65" s="21"/>
      <c r="L65" s="19"/>
      <c r="M65" s="20"/>
      <c r="N65" s="21"/>
      <c r="O65" s="19"/>
      <c r="P65" s="20"/>
      <c r="Q65" s="21"/>
      <c r="R65" s="19"/>
      <c r="S65" s="20"/>
      <c r="T65" s="21"/>
      <c r="U65" s="22" t="str">
        <f>IFERROR(IF(IF(X65&gt;0,X65,IF(Z65&gt;0,Z65,IF(AB65&gt;0,AB65,0)))=0,"--",ROUND(CHOOSE(IF(X65&gt;0,X65,IF(Z65&gt;0,Z65,IF(AB65&gt;0,AB65,0))),IF(C65="peso_corporal",IF(ISNUMBER(E65),E65,0)+F65,F65)*(1+G65/30),IF(C65="peso_corporal",IF(ISNUMBER(E65),E65,0)+I65,I65)*(1+J65/30),IF(C65="peso_corporal",IF(ISNUMBER(E65),E65,0)+L65,L65)*(1+M65/30),IF(C65="peso_corporal",IF(ISNUMBER(E65),E65,0)+O65,O65)*(1+P65/30),IF(C65="peso_corporal",IF(ISNUMBER(E65),E65,0)+R65,R65)*(1+S65/30)),1)),"--")</f>
        <v>--</v>
      </c>
      <c r="V65" s="23" t="str">
        <f>IF(SUGERENCIAS!N135="SIN","Sin datos anteriores",IF(SUGERENCIAS!N135="SUBIR_F","^ SUBIR FUERTE | Kg:"&amp;ROUND(SUGERENCIAS!K135,1)&amp;" R:"&amp;ROUND(SUGERENCIAS!L135,0)&amp;" RIR:"&amp;ROUND(SUGERENCIAS!M135,0),IF(SUGERENCIAS!N135="SUBIR_E","^ SUBIR (Est.) | Kg:"&amp;ROUND(SUGERENCIAS!K135,1)&amp;" R:"&amp;ROUND(SUGERENCIAS!L135,0)&amp;" RIR:"&amp;ROUND(SUGERENCIAS!M135,0),IF(SUGERENCIAS!N135="SUBIR","^ SUBIR | Kg:"&amp;ROUND(SUGERENCIAS!K135,1)&amp;" R:"&amp;ROUND(SUGERENCIAS!L135,0)&amp;" RIR:"&amp;ROUND(SUGERENCIAS!M135,0),IF(SUGERENCIAS!N135="BAJAR","v BAJAR | Kg:"&amp;ROUND(SUGERENCIAS!K135,1)&amp;" R:"&amp;ROUND(SUGERENCIAS!L135,0)&amp;" RIR:"&amp;ROUND(SUGERENCIAS!M135,0),"= MANT | Kg:"&amp;ROUND(SUGERENCIAS!K135,1)&amp;" R:"&amp;ROUND(SUGERENCIAS!L135,0)&amp;" RIR:"&amp;ROUND(SUGERENCIAS!M135,0))))))</f>
        <v>Sin datos anteriores</v>
      </c>
      <c r="W65" s="69">
        <f>MAX(IF((G65&gt;0)*(IF(H65="",-1,H65)&gt;=0)*(IF(H65="",-1,H65)&lt;=1),IF(C65="peso_corporal",IF(ISNUMBER(E65),E65,0)+F65,F65)*G65*1000+F65,0),IF((J65&gt;0)*(IF(K65="",-1,K65)&gt;=0)*(IF(K65="",-1,K65)&lt;=1),IF(C65="peso_corporal",IF(ISNUMBER(E65),E65,0)+I65,I65)*J65*1000+I65,0),IF((M65&gt;0)*(IF(N65="",-1,N65)&gt;=0)*(IF(N65="",-1,N65)&lt;=1),IF(C65="peso_corporal",IF(ISNUMBER(E65),E65,0)+L65,L65)*M65*1000+L65,0),IF((P65&gt;0)*(IF(Q65="",-1,Q65)&gt;=0)*(IF(Q65="",-1,Q65)&lt;=1),IF(C65="peso_corporal",IF(ISNUMBER(E65),E65,0)+O65,O65)*P65*1000+O65,0),IF((S65&gt;0)*(IF(T65="",-1,T65)&gt;=0)*(IF(T65="",-1,T65)&lt;=1),IF(C65="peso_corporal",IF(ISNUMBER(E65),E65,0)+R65,R65)*S65*1000+R65,0))</f>
        <v>0</v>
      </c>
      <c r="X65" s="69">
        <f>IF(W65=0,0,IF(IF((S65&gt;0)*(IF(T65="",-1,T65)&gt;=0)*(IF(T65="",-1,T65)&lt;=1),IF(C65="peso_corporal",IF(ISNUMBER(E65),E65,0)+R65,R65)*S65*1000+R65,0)=W65,5,IF(IF((P65&gt;0)*(IF(Q65="",-1,Q65)&gt;=0)*(IF(Q65="",-1,Q65)&lt;=1),IF(C65="peso_corporal",IF(ISNUMBER(E65),E65,0)+O65,O65)*P65*1000+O65,0)=W65,4,IF(IF((M65&gt;0)*(IF(N65="",-1,N65)&gt;=0)*(IF(N65="",-1,N65)&lt;=1),IF(C65="peso_corporal",IF(ISNUMBER(E65),E65,0)+L65,L65)*M65*1000+L65,0)=W65,3,IF(IF((J65&gt;0)*(IF(K65="",-1,K65)&gt;=0)*(IF(K65="",-1,K65)&lt;=1),IF(C65="peso_corporal",IF(ISNUMBER(E65),E65,0)+I65,I65)*J65*1000+I65,0)=W65,2,IF(IF((G65&gt;0)*(IF(H65="",-1,H65)&gt;=0)*(IF(H65="",-1,H65)&lt;=1),IF(C65="peso_corporal",IF(ISNUMBER(E65),E65,0)+F65,F65)*G65*1000+F65,0)=W65,1,0))))))</f>
        <v>0</v>
      </c>
      <c r="Y65" s="69">
        <f>MAX(IF((G65&gt;0)*(IF(H65="",-1,H65)=0)*(1-(IF(H65="",-1,H65)&gt;=0)*(IF(H65="",-1,H65)&lt;=1)),IF(C65="peso_corporal",IF(ISNUMBER(E65),E65,0)+F65,F65)*G65*1000+F65,0),IF((J65&gt;0)*(IF(K65="",-1,K65)=0)*(1-(IF(K65="",-1,K65)&gt;=0)*(IF(K65="",-1,K65)&lt;=1)),IF(C65="peso_corporal",IF(ISNUMBER(E65),E65,0)+I65,I65)*J65*1000+I65,0),IF((M65&gt;0)*(IF(N65="",-1,N65)=0)*(1-(IF(N65="",-1,N65)&gt;=0)*(IF(N65="",-1,N65)&lt;=1)),IF(C65="peso_corporal",IF(ISNUMBER(E65),E65,0)+L65,L65)*M65*1000+L65,0),IF((P65&gt;0)*(IF(Q65="",-1,Q65)=0)*(1-(IF(Q65="",-1,Q65)&gt;=0)*(IF(Q65="",-1,Q65)&lt;=1)),IF(C65="peso_corporal",IF(ISNUMBER(E65),E65,0)+O65,O65)*P65*1000+O65,0),IF((S65&gt;0)*(IF(T65="",-1,T65)=0)*(1-(IF(T65="",-1,T65)&gt;=0)*(IF(T65="",-1,T65)&lt;=1)),IF(C65="peso_corporal",IF(ISNUMBER(E65),E65,0)+R65,R65)*S65*1000+R65,0))</f>
        <v>0</v>
      </c>
      <c r="Z65" s="69">
        <f>IF(Y65=0,0,IF(IF((S65&gt;0)*(IF(T65="",-1,T65)=0)*(1-(IF(T65="",-1,T65)&gt;=0)*(IF(T65="",-1,T65)&lt;=1)),IF(C65="peso_corporal",IF(ISNUMBER(E65),E65,0)+R65,R65)*S65*1000+R65,0)=Y65,5,IF(IF((P65&gt;0)*(IF(Q65="",-1,Q65)=0)*(1-(IF(Q65="",-1,Q65)&gt;=0)*(IF(Q65="",-1,Q65)&lt;=1)),IF(C65="peso_corporal",IF(ISNUMBER(E65),E65,0)+O65,O65)*P65*1000+O65,0)=Y65,4,IF(IF((M65&gt;0)*(IF(N65="",-1,N65)=0)*(1-(IF(N65="",-1,N65)&gt;=0)*(IF(N65="",-1,N65)&lt;=1)),IF(C65="peso_corporal",IF(ISNUMBER(E65),E65,0)+L65,L65)*M65*1000+L65,0)=Y65,3,IF(IF((J65&gt;0)*(IF(K65="",-1,K65)=0)*(1-(IF(K65="",-1,K65)&gt;=0)*(IF(K65="",-1,K65)&lt;=1)),IF(C65="peso_corporal",IF(ISNUMBER(E65),E65,0)+I65,I65)*J65*1000+I65,0)=Y65,2,IF(IF((G65&gt;0)*(IF(H65="",-1,H65)=0)*(1-(IF(H65="",-1,H65)&gt;=0)*(IF(H65="",-1,H65)&lt;=1)),IF(C65="peso_corporal",IF(ISNUMBER(E65),E65,0)+F65,F65)*G65*1000+F65,0)=Y65,1,0))))))</f>
        <v>0</v>
      </c>
      <c r="AA65" s="69">
        <f>MAX(IF((G65&gt;=3)*(1-(IF(H65="",-1,H65)&gt;=0)*(IF(H65="",-1,H65)&lt;=1))*(1-(IF(H65="",-1,H65)=0)),IF(C65="peso_corporal",IF(ISNUMBER(E65),E65,0)+F65,F65)*(30+G65)*100+F65,0),IF((J65&gt;=3)*(1-(IF(K65="",-1,K65)&gt;=0)*(IF(K65="",-1,K65)&lt;=1))*(1-(IF(K65="",-1,K65)=0)),IF(C65="peso_corporal",IF(ISNUMBER(E65),E65,0)+I65,I65)*(30+J65)*100+I65,0),IF((M65&gt;=3)*(1-(IF(N65="",-1,N65)&gt;=0)*(IF(N65="",-1,N65)&lt;=1))*(1-(IF(N65="",-1,N65)=0)),IF(C65="peso_corporal",IF(ISNUMBER(E65),E65,0)+L65,L65)*(30+M65)*100+L65,0),IF((P65&gt;=3)*(1-(IF(Q65="",-1,Q65)&gt;=0)*(IF(Q65="",-1,Q65)&lt;=1))*(1-(IF(Q65="",-1,Q65)=0)),IF(C65="peso_corporal",IF(ISNUMBER(E65),E65,0)+O65,O65)*(30+P65)*100+O65,0),IF((S65&gt;=3)*(1-(IF(T65="",-1,T65)&gt;=0)*(IF(T65="",-1,T65)&lt;=1))*(1-(IF(T65="",-1,T65)=0)),IF(C65="peso_corporal",IF(ISNUMBER(E65),E65,0)+R65,R65)*(30+S65)*100+R65,0))</f>
        <v>0</v>
      </c>
      <c r="AB65" s="69">
        <f>IF(AA65=0,0,IF(IF((S65&gt;=3)*(1-(IF(T65="",-1,T65)&gt;=0)*(IF(T65="",-1,T65)&lt;=1))*(1-(IF(T65="",-1,T65)=0)),IF(C65="peso_corporal",IF(ISNUMBER(E65),E65,0)+R65,R65)*(30+S65)*100+R65,0)=AA65,5,IF(IF((P65&gt;=3)*(1-(IF(Q65="",-1,Q65)&gt;=0)*(IF(Q65="",-1,Q65)&lt;=1))*(1-(IF(Q65="",-1,Q65)=0)),IF(C65="peso_corporal",IF(ISNUMBER(E65),E65,0)+O65,O65)*(30+P65)*100+O65,0)=AA65,4,IF(IF((M65&gt;=3)*(1-(IF(N65="",-1,N65)&gt;=0)*(IF(N65="",-1,N65)&lt;=1))*(1-(IF(N65="",-1,N65)=0)),IF(C65="peso_corporal",IF(ISNUMBER(E65),E65,0)+L65,L65)*(30+M65)*100+L65,0)=AA65,3,IF(IF((J65&gt;=3)*(1-(IF(K65="",-1,K65)&gt;=0)*(IF(K65="",-1,K65)&lt;=1))*(1-(IF(K65="",-1,K65)=0)),IF(C65="peso_corporal",IF(ISNUMBER(E65),E65,0)+I65,I65)*(30+J65)*100+I65,0)=AA65,2,IF(IF((G65&gt;=3)*(1-(IF(H65="",-1,H65)&gt;=0)*(IF(H65="",-1,H65)&lt;=1))*(1-(IF(H65="",-1,H65)=0)),IF(C65="peso_corporal",IF(ISNUMBER(E65),E65,0)+F65,F65)*(30+G65)*100+F65,0)=AA65,1,0))))))</f>
        <v>0</v>
      </c>
      <c r="AC65" s="69" t="str">
        <f>IF(X65&gt;0,"A"&amp;X65,IF(Z65&gt;0,"B"&amp;Z65,IF(AB65&gt;0,"C"&amp;AB65,"")))</f>
        <v/>
      </c>
    </row>
    <row r="66" spans="1:29" ht="20.100000000000001" customHeight="1">
      <c r="A66" s="14" t="s">
        <v>45</v>
      </c>
      <c r="B66" s="15" t="s">
        <v>46</v>
      </c>
      <c r="C66" s="16" t="str">
        <f>IFERROR(INDEX(EJERCICIOS!$D$3:$D$75,MATCH(A66&amp;"|"&amp;B66,EJERCICIOS!$G$3:$G$75,0)),"--")</f>
        <v>mancuerna</v>
      </c>
      <c r="D66" s="17">
        <v>3</v>
      </c>
      <c r="E66" s="18">
        <f>IFERROR(LOOKUP(2,1/(MEDIDAS_Y_PESO!$B$3:$B$5&lt;&gt;""),MEDIDAS_Y_PESO!$B$3:$B$5),"--")</f>
        <v>80</v>
      </c>
      <c r="F66" s="19"/>
      <c r="G66" s="20"/>
      <c r="H66" s="21"/>
      <c r="I66" s="19"/>
      <c r="J66" s="20"/>
      <c r="K66" s="21"/>
      <c r="L66" s="19"/>
      <c r="M66" s="20"/>
      <c r="N66" s="21"/>
      <c r="O66" s="19"/>
      <c r="P66" s="20"/>
      <c r="Q66" s="21"/>
      <c r="R66" s="19"/>
      <c r="S66" s="20"/>
      <c r="T66" s="21"/>
      <c r="U66" s="22" t="str">
        <f>IFERROR(IF(IF(X66&gt;0,X66,IF(Z66&gt;0,Z66,IF(AB66&gt;0,AB66,0)))=0,"--",ROUND(CHOOSE(IF(X66&gt;0,X66,IF(Z66&gt;0,Z66,IF(AB66&gt;0,AB66,0))),IF(C66="peso_corporal",IF(ISNUMBER(E66),E66,0)+F66,F66)*(1+G66/30),IF(C66="peso_corporal",IF(ISNUMBER(E66),E66,0)+I66,I66)*(1+J66/30),IF(C66="peso_corporal",IF(ISNUMBER(E66),E66,0)+L66,L66)*(1+M66/30),IF(C66="peso_corporal",IF(ISNUMBER(E66),E66,0)+O66,O66)*(1+P66/30),IF(C66="peso_corporal",IF(ISNUMBER(E66),E66,0)+R66,R66)*(1+S66/30)),1)),"--")</f>
        <v>--</v>
      </c>
      <c r="V66" s="23" t="str">
        <f>IF(SUGERENCIAS!N136="SIN","Sin datos anteriores",IF(SUGERENCIAS!N136="SUBIR_F","^ SUBIR FUERTE | Kg:"&amp;ROUND(SUGERENCIAS!K136,1)&amp;" R:"&amp;ROUND(SUGERENCIAS!L136,0)&amp;" RIR:"&amp;ROUND(SUGERENCIAS!M136,0),IF(SUGERENCIAS!N136="SUBIR_E","^ SUBIR (Est.) | Kg:"&amp;ROUND(SUGERENCIAS!K136,1)&amp;" R:"&amp;ROUND(SUGERENCIAS!L136,0)&amp;" RIR:"&amp;ROUND(SUGERENCIAS!M136,0),IF(SUGERENCIAS!N136="SUBIR","^ SUBIR | Kg:"&amp;ROUND(SUGERENCIAS!K136,1)&amp;" R:"&amp;ROUND(SUGERENCIAS!L136,0)&amp;" RIR:"&amp;ROUND(SUGERENCIAS!M136,0),IF(SUGERENCIAS!N136="BAJAR","v BAJAR | Kg:"&amp;ROUND(SUGERENCIAS!K136,1)&amp;" R:"&amp;ROUND(SUGERENCIAS!L136,0)&amp;" RIR:"&amp;ROUND(SUGERENCIAS!M136,0),"= MANT | Kg:"&amp;ROUND(SUGERENCIAS!K136,1)&amp;" R:"&amp;ROUND(SUGERENCIAS!L136,0)&amp;" RIR:"&amp;ROUND(SUGERENCIAS!M136,0))))))</f>
        <v>Sin datos anteriores</v>
      </c>
      <c r="W66" s="69">
        <f>MAX(IF((G66&gt;0)*(IF(H66="",-1,H66)&gt;=0)*(IF(H66="",-1,H66)&lt;=1),IF(C66="peso_corporal",IF(ISNUMBER(E66),E66,0)+F66,F66)*G66*1000+F66,0),IF((J66&gt;0)*(IF(K66="",-1,K66)&gt;=0)*(IF(K66="",-1,K66)&lt;=1),IF(C66="peso_corporal",IF(ISNUMBER(E66),E66,0)+I66,I66)*J66*1000+I66,0),IF((M66&gt;0)*(IF(N66="",-1,N66)&gt;=0)*(IF(N66="",-1,N66)&lt;=1),IF(C66="peso_corporal",IF(ISNUMBER(E66),E66,0)+L66,L66)*M66*1000+L66,0),IF((P66&gt;0)*(IF(Q66="",-1,Q66)&gt;=0)*(IF(Q66="",-1,Q66)&lt;=1),IF(C66="peso_corporal",IF(ISNUMBER(E66),E66,0)+O66,O66)*P66*1000+O66,0),IF((S66&gt;0)*(IF(T66="",-1,T66)&gt;=0)*(IF(T66="",-1,T66)&lt;=1),IF(C66="peso_corporal",IF(ISNUMBER(E66),E66,0)+R66,R66)*S66*1000+R66,0))</f>
        <v>0</v>
      </c>
      <c r="X66" s="69">
        <f>IF(W66=0,0,IF(IF((S66&gt;0)*(IF(T66="",-1,T66)&gt;=0)*(IF(T66="",-1,T66)&lt;=1),IF(C66="peso_corporal",IF(ISNUMBER(E66),E66,0)+R66,R66)*S66*1000+R66,0)=W66,5,IF(IF((P66&gt;0)*(IF(Q66="",-1,Q66)&gt;=0)*(IF(Q66="",-1,Q66)&lt;=1),IF(C66="peso_corporal",IF(ISNUMBER(E66),E66,0)+O66,O66)*P66*1000+O66,0)=W66,4,IF(IF((M66&gt;0)*(IF(N66="",-1,N66)&gt;=0)*(IF(N66="",-1,N66)&lt;=1),IF(C66="peso_corporal",IF(ISNUMBER(E66),E66,0)+L66,L66)*M66*1000+L66,0)=W66,3,IF(IF((J66&gt;0)*(IF(K66="",-1,K66)&gt;=0)*(IF(K66="",-1,K66)&lt;=1),IF(C66="peso_corporal",IF(ISNUMBER(E66),E66,0)+I66,I66)*J66*1000+I66,0)=W66,2,IF(IF((G66&gt;0)*(IF(H66="",-1,H66)&gt;=0)*(IF(H66="",-1,H66)&lt;=1),IF(C66="peso_corporal",IF(ISNUMBER(E66),E66,0)+F66,F66)*G66*1000+F66,0)=W66,1,0))))))</f>
        <v>0</v>
      </c>
      <c r="Y66" s="69">
        <f>MAX(IF((G66&gt;0)*(IF(H66="",-1,H66)=0)*(1-(IF(H66="",-1,H66)&gt;=0)*(IF(H66="",-1,H66)&lt;=1)),IF(C66="peso_corporal",IF(ISNUMBER(E66),E66,0)+F66,F66)*G66*1000+F66,0),IF((J66&gt;0)*(IF(K66="",-1,K66)=0)*(1-(IF(K66="",-1,K66)&gt;=0)*(IF(K66="",-1,K66)&lt;=1)),IF(C66="peso_corporal",IF(ISNUMBER(E66),E66,0)+I66,I66)*J66*1000+I66,0),IF((M66&gt;0)*(IF(N66="",-1,N66)=0)*(1-(IF(N66="",-1,N66)&gt;=0)*(IF(N66="",-1,N66)&lt;=1)),IF(C66="peso_corporal",IF(ISNUMBER(E66),E66,0)+L66,L66)*M66*1000+L66,0),IF((P66&gt;0)*(IF(Q66="",-1,Q66)=0)*(1-(IF(Q66="",-1,Q66)&gt;=0)*(IF(Q66="",-1,Q66)&lt;=1)),IF(C66="peso_corporal",IF(ISNUMBER(E66),E66,0)+O66,O66)*P66*1000+O66,0),IF((S66&gt;0)*(IF(T66="",-1,T66)=0)*(1-(IF(T66="",-1,T66)&gt;=0)*(IF(T66="",-1,T66)&lt;=1)),IF(C66="peso_corporal",IF(ISNUMBER(E66),E66,0)+R66,R66)*S66*1000+R66,0))</f>
        <v>0</v>
      </c>
      <c r="Z66" s="69">
        <f>IF(Y66=0,0,IF(IF((S66&gt;0)*(IF(T66="",-1,T66)=0)*(1-(IF(T66="",-1,T66)&gt;=0)*(IF(T66="",-1,T66)&lt;=1)),IF(C66="peso_corporal",IF(ISNUMBER(E66),E66,0)+R66,R66)*S66*1000+R66,0)=Y66,5,IF(IF((P66&gt;0)*(IF(Q66="",-1,Q66)=0)*(1-(IF(Q66="",-1,Q66)&gt;=0)*(IF(Q66="",-1,Q66)&lt;=1)),IF(C66="peso_corporal",IF(ISNUMBER(E66),E66,0)+O66,O66)*P66*1000+O66,0)=Y66,4,IF(IF((M66&gt;0)*(IF(N66="",-1,N66)=0)*(1-(IF(N66="",-1,N66)&gt;=0)*(IF(N66="",-1,N66)&lt;=1)),IF(C66="peso_corporal",IF(ISNUMBER(E66),E66,0)+L66,L66)*M66*1000+L66,0)=Y66,3,IF(IF((J66&gt;0)*(IF(K66="",-1,K66)=0)*(1-(IF(K66="",-1,K66)&gt;=0)*(IF(K66="",-1,K66)&lt;=1)),IF(C66="peso_corporal",IF(ISNUMBER(E66),E66,0)+I66,I66)*J66*1000+I66,0)=Y66,2,IF(IF((G66&gt;0)*(IF(H66="",-1,H66)=0)*(1-(IF(H66="",-1,H66)&gt;=0)*(IF(H66="",-1,H66)&lt;=1)),IF(C66="peso_corporal",IF(ISNUMBER(E66),E66,0)+F66,F66)*G66*1000+F66,0)=Y66,1,0))))))</f>
        <v>0</v>
      </c>
      <c r="AA66" s="69">
        <f>MAX(IF((G66&gt;=3)*(1-(IF(H66="",-1,H66)&gt;=0)*(IF(H66="",-1,H66)&lt;=1))*(1-(IF(H66="",-1,H66)=0)),IF(C66="peso_corporal",IF(ISNUMBER(E66),E66,0)+F66,F66)*(30+G66)*100+F66,0),IF((J66&gt;=3)*(1-(IF(K66="",-1,K66)&gt;=0)*(IF(K66="",-1,K66)&lt;=1))*(1-(IF(K66="",-1,K66)=0)),IF(C66="peso_corporal",IF(ISNUMBER(E66),E66,0)+I66,I66)*(30+J66)*100+I66,0),IF((M66&gt;=3)*(1-(IF(N66="",-1,N66)&gt;=0)*(IF(N66="",-1,N66)&lt;=1))*(1-(IF(N66="",-1,N66)=0)),IF(C66="peso_corporal",IF(ISNUMBER(E66),E66,0)+L66,L66)*(30+M66)*100+L66,0),IF((P66&gt;=3)*(1-(IF(Q66="",-1,Q66)&gt;=0)*(IF(Q66="",-1,Q66)&lt;=1))*(1-(IF(Q66="",-1,Q66)=0)),IF(C66="peso_corporal",IF(ISNUMBER(E66),E66,0)+O66,O66)*(30+P66)*100+O66,0),IF((S66&gt;=3)*(1-(IF(T66="",-1,T66)&gt;=0)*(IF(T66="",-1,T66)&lt;=1))*(1-(IF(T66="",-1,T66)=0)),IF(C66="peso_corporal",IF(ISNUMBER(E66),E66,0)+R66,R66)*(30+S66)*100+R66,0))</f>
        <v>0</v>
      </c>
      <c r="AB66" s="69">
        <f>IF(AA66=0,0,IF(IF((S66&gt;=3)*(1-(IF(T66="",-1,T66)&gt;=0)*(IF(T66="",-1,T66)&lt;=1))*(1-(IF(T66="",-1,T66)=0)),IF(C66="peso_corporal",IF(ISNUMBER(E66),E66,0)+R66,R66)*(30+S66)*100+R66,0)=AA66,5,IF(IF((P66&gt;=3)*(1-(IF(Q66="",-1,Q66)&gt;=0)*(IF(Q66="",-1,Q66)&lt;=1))*(1-(IF(Q66="",-1,Q66)=0)),IF(C66="peso_corporal",IF(ISNUMBER(E66),E66,0)+O66,O66)*(30+P66)*100+O66,0)=AA66,4,IF(IF((M66&gt;=3)*(1-(IF(N66="",-1,N66)&gt;=0)*(IF(N66="",-1,N66)&lt;=1))*(1-(IF(N66="",-1,N66)=0)),IF(C66="peso_corporal",IF(ISNUMBER(E66),E66,0)+L66,L66)*(30+M66)*100+L66,0)=AA66,3,IF(IF((J66&gt;=3)*(1-(IF(K66="",-1,K66)&gt;=0)*(IF(K66="",-1,K66)&lt;=1))*(1-(IF(K66="",-1,K66)=0)),IF(C66="peso_corporal",IF(ISNUMBER(E66),E66,0)+I66,I66)*(30+J66)*100+I66,0)=AA66,2,IF(IF((G66&gt;=3)*(1-(IF(H66="",-1,H66)&gt;=0)*(IF(H66="",-1,H66)&lt;=1))*(1-(IF(H66="",-1,H66)=0)),IF(C66="peso_corporal",IF(ISNUMBER(E66),E66,0)+F66,F66)*(30+G66)*100+F66,0)=AA66,1,0))))))</f>
        <v>0</v>
      </c>
      <c r="AC66" s="69" t="str">
        <f>IF(X66&gt;0,"A"&amp;X66,IF(Z66&gt;0,"B"&amp;Z66,IF(AB66&gt;0,"C"&amp;AB66,"")))</f>
        <v/>
      </c>
    </row>
    <row r="67" spans="1:29" ht="15" customHeight="1">
      <c r="A67" s="82" t="s">
        <v>47</v>
      </c>
      <c r="B67" s="73"/>
      <c r="C67" s="73"/>
      <c r="D67" s="73"/>
      <c r="E67" s="73"/>
      <c r="F67" s="73"/>
      <c r="G67" s="73"/>
      <c r="H67" s="73"/>
      <c r="I67" s="73"/>
      <c r="J67" s="73"/>
      <c r="K67" s="73"/>
      <c r="L67" s="73"/>
      <c r="M67" s="73"/>
      <c r="N67" s="73"/>
      <c r="O67" s="73"/>
      <c r="P67" s="73"/>
      <c r="Q67" s="73"/>
      <c r="R67" s="73"/>
      <c r="S67" s="73"/>
      <c r="T67" s="73"/>
      <c r="U67" s="73"/>
      <c r="V67" s="73"/>
      <c r="W67" s="69"/>
      <c r="X67" s="69"/>
      <c r="Y67" s="69"/>
      <c r="Z67" s="69"/>
      <c r="AA67" s="69"/>
      <c r="AB67" s="69"/>
      <c r="AC67" s="69"/>
    </row>
    <row r="68" spans="1:29" ht="20.100000000000001" customHeight="1">
      <c r="A68" s="14" t="s">
        <v>48</v>
      </c>
      <c r="B68" s="15" t="s">
        <v>64</v>
      </c>
      <c r="C68" s="16" t="str">
        <f>IFERROR(INDEX(EJERCICIOS!$D$3:$D$75,MATCH(A68&amp;"|"&amp;B68,EJERCICIOS!$G$3:$G$75,0)),"--")</f>
        <v>--</v>
      </c>
      <c r="D68" s="17">
        <v>3</v>
      </c>
      <c r="E68" s="18">
        <f>IFERROR(LOOKUP(2,1/(MEDIDAS_Y_PESO!$B$3:$B$5&lt;&gt;""),MEDIDAS_Y_PESO!$B$3:$B$5),"--")</f>
        <v>80</v>
      </c>
      <c r="F68" s="19"/>
      <c r="G68" s="20"/>
      <c r="H68" s="21"/>
      <c r="I68" s="19"/>
      <c r="J68" s="20"/>
      <c r="K68" s="21"/>
      <c r="L68" s="19"/>
      <c r="M68" s="20"/>
      <c r="N68" s="21"/>
      <c r="O68" s="19"/>
      <c r="P68" s="20"/>
      <c r="Q68" s="21"/>
      <c r="R68" s="19"/>
      <c r="S68" s="20"/>
      <c r="T68" s="21"/>
      <c r="U68" s="22" t="str">
        <f>IFERROR(IF(IF(X68&gt;0,X68,IF(Z68&gt;0,Z68,IF(AB68&gt;0,AB68,0)))=0,"--",ROUND(CHOOSE(IF(X68&gt;0,X68,IF(Z68&gt;0,Z68,IF(AB68&gt;0,AB68,0))),IF(C68="peso_corporal",IF(ISNUMBER(E68),E68,0)+F68,F68)*(1+G68/30),IF(C68="peso_corporal",IF(ISNUMBER(E68),E68,0)+I68,I68)*(1+J68/30),IF(C68="peso_corporal",IF(ISNUMBER(E68),E68,0)+L68,L68)*(1+M68/30),IF(C68="peso_corporal",IF(ISNUMBER(E68),E68,0)+O68,O68)*(1+P68/30),IF(C68="peso_corporal",IF(ISNUMBER(E68),E68,0)+R68,R68)*(1+S68/30)),1)),"--")</f>
        <v>--</v>
      </c>
      <c r="V68" s="23" t="str">
        <f>IF(SUGERENCIAS!N137="SIN","Sin datos anteriores",IF(SUGERENCIAS!N137="SUBIR_F","^ SUBIR FUERTE | Kg:"&amp;ROUND(SUGERENCIAS!K137,1)&amp;" R:"&amp;ROUND(SUGERENCIAS!L137,0)&amp;" RIR:"&amp;ROUND(SUGERENCIAS!M137,0),IF(SUGERENCIAS!N137="SUBIR_E","^ SUBIR (Est.) | Kg:"&amp;ROUND(SUGERENCIAS!K137,1)&amp;" R:"&amp;ROUND(SUGERENCIAS!L137,0)&amp;" RIR:"&amp;ROUND(SUGERENCIAS!M137,0),IF(SUGERENCIAS!N137="SUBIR","^ SUBIR | Kg:"&amp;ROUND(SUGERENCIAS!K137,1)&amp;" R:"&amp;ROUND(SUGERENCIAS!L137,0)&amp;" RIR:"&amp;ROUND(SUGERENCIAS!M137,0),IF(SUGERENCIAS!N137="BAJAR","v BAJAR | Kg:"&amp;ROUND(SUGERENCIAS!K137,1)&amp;" R:"&amp;ROUND(SUGERENCIAS!L137,0)&amp;" RIR:"&amp;ROUND(SUGERENCIAS!M137,0),"= MANT | Kg:"&amp;ROUND(SUGERENCIAS!K137,1)&amp;" R:"&amp;ROUND(SUGERENCIAS!L137,0)&amp;" RIR:"&amp;ROUND(SUGERENCIAS!M137,0))))))</f>
        <v>Sin datos anteriores</v>
      </c>
      <c r="W68" s="69">
        <f>MAX(IF((G68&gt;0)*(IF(H68="",-1,H68)&gt;=0)*(IF(H68="",-1,H68)&lt;=1),IF(C68="peso_corporal",IF(ISNUMBER(E68),E68,0)+F68,F68)*G68*1000+F68,0),IF((J68&gt;0)*(IF(K68="",-1,K68)&gt;=0)*(IF(K68="",-1,K68)&lt;=1),IF(C68="peso_corporal",IF(ISNUMBER(E68),E68,0)+I68,I68)*J68*1000+I68,0),IF((M68&gt;0)*(IF(N68="",-1,N68)&gt;=0)*(IF(N68="",-1,N68)&lt;=1),IF(C68="peso_corporal",IF(ISNUMBER(E68),E68,0)+L68,L68)*M68*1000+L68,0),IF((P68&gt;0)*(IF(Q68="",-1,Q68)&gt;=0)*(IF(Q68="",-1,Q68)&lt;=1),IF(C68="peso_corporal",IF(ISNUMBER(E68),E68,0)+O68,O68)*P68*1000+O68,0),IF((S68&gt;0)*(IF(T68="",-1,T68)&gt;=0)*(IF(T68="",-1,T68)&lt;=1),IF(C68="peso_corporal",IF(ISNUMBER(E68),E68,0)+R68,R68)*S68*1000+R68,0))</f>
        <v>0</v>
      </c>
      <c r="X68" s="69">
        <f>IF(W68=0,0,IF(IF((S68&gt;0)*(IF(T68="",-1,T68)&gt;=0)*(IF(T68="",-1,T68)&lt;=1),IF(C68="peso_corporal",IF(ISNUMBER(E68),E68,0)+R68,R68)*S68*1000+R68,0)=W68,5,IF(IF((P68&gt;0)*(IF(Q68="",-1,Q68)&gt;=0)*(IF(Q68="",-1,Q68)&lt;=1),IF(C68="peso_corporal",IF(ISNUMBER(E68),E68,0)+O68,O68)*P68*1000+O68,0)=W68,4,IF(IF((M68&gt;0)*(IF(N68="",-1,N68)&gt;=0)*(IF(N68="",-1,N68)&lt;=1),IF(C68="peso_corporal",IF(ISNUMBER(E68),E68,0)+L68,L68)*M68*1000+L68,0)=W68,3,IF(IF((J68&gt;0)*(IF(K68="",-1,K68)&gt;=0)*(IF(K68="",-1,K68)&lt;=1),IF(C68="peso_corporal",IF(ISNUMBER(E68),E68,0)+I68,I68)*J68*1000+I68,0)=W68,2,IF(IF((G68&gt;0)*(IF(H68="",-1,H68)&gt;=0)*(IF(H68="",-1,H68)&lt;=1),IF(C68="peso_corporal",IF(ISNUMBER(E68),E68,0)+F68,F68)*G68*1000+F68,0)=W68,1,0))))))</f>
        <v>0</v>
      </c>
      <c r="Y68" s="69">
        <f>MAX(IF((G68&gt;0)*(IF(H68="",-1,H68)=0)*(1-(IF(H68="",-1,H68)&gt;=0)*(IF(H68="",-1,H68)&lt;=1)),IF(C68="peso_corporal",IF(ISNUMBER(E68),E68,0)+F68,F68)*G68*1000+F68,0),IF((J68&gt;0)*(IF(K68="",-1,K68)=0)*(1-(IF(K68="",-1,K68)&gt;=0)*(IF(K68="",-1,K68)&lt;=1)),IF(C68="peso_corporal",IF(ISNUMBER(E68),E68,0)+I68,I68)*J68*1000+I68,0),IF((M68&gt;0)*(IF(N68="",-1,N68)=0)*(1-(IF(N68="",-1,N68)&gt;=0)*(IF(N68="",-1,N68)&lt;=1)),IF(C68="peso_corporal",IF(ISNUMBER(E68),E68,0)+L68,L68)*M68*1000+L68,0),IF((P68&gt;0)*(IF(Q68="",-1,Q68)=0)*(1-(IF(Q68="",-1,Q68)&gt;=0)*(IF(Q68="",-1,Q68)&lt;=1)),IF(C68="peso_corporal",IF(ISNUMBER(E68),E68,0)+O68,O68)*P68*1000+O68,0),IF((S68&gt;0)*(IF(T68="",-1,T68)=0)*(1-(IF(T68="",-1,T68)&gt;=0)*(IF(T68="",-1,T68)&lt;=1)),IF(C68="peso_corporal",IF(ISNUMBER(E68),E68,0)+R68,R68)*S68*1000+R68,0))</f>
        <v>0</v>
      </c>
      <c r="Z68" s="69">
        <f>IF(Y68=0,0,IF(IF((S68&gt;0)*(IF(T68="",-1,T68)=0)*(1-(IF(T68="",-1,T68)&gt;=0)*(IF(T68="",-1,T68)&lt;=1)),IF(C68="peso_corporal",IF(ISNUMBER(E68),E68,0)+R68,R68)*S68*1000+R68,0)=Y68,5,IF(IF((P68&gt;0)*(IF(Q68="",-1,Q68)=0)*(1-(IF(Q68="",-1,Q68)&gt;=0)*(IF(Q68="",-1,Q68)&lt;=1)),IF(C68="peso_corporal",IF(ISNUMBER(E68),E68,0)+O68,O68)*P68*1000+O68,0)=Y68,4,IF(IF((M68&gt;0)*(IF(N68="",-1,N68)=0)*(1-(IF(N68="",-1,N68)&gt;=0)*(IF(N68="",-1,N68)&lt;=1)),IF(C68="peso_corporal",IF(ISNUMBER(E68),E68,0)+L68,L68)*M68*1000+L68,0)=Y68,3,IF(IF((J68&gt;0)*(IF(K68="",-1,K68)=0)*(1-(IF(K68="",-1,K68)&gt;=0)*(IF(K68="",-1,K68)&lt;=1)),IF(C68="peso_corporal",IF(ISNUMBER(E68),E68,0)+I68,I68)*J68*1000+I68,0)=Y68,2,IF(IF((G68&gt;0)*(IF(H68="",-1,H68)=0)*(1-(IF(H68="",-1,H68)&gt;=0)*(IF(H68="",-1,H68)&lt;=1)),IF(C68="peso_corporal",IF(ISNUMBER(E68),E68,0)+F68,F68)*G68*1000+F68,0)=Y68,1,0))))))</f>
        <v>0</v>
      </c>
      <c r="AA68" s="69">
        <f>MAX(IF((G68&gt;=3)*(1-(IF(H68="",-1,H68)&gt;=0)*(IF(H68="",-1,H68)&lt;=1))*(1-(IF(H68="",-1,H68)=0)),IF(C68="peso_corporal",IF(ISNUMBER(E68),E68,0)+F68,F68)*(30+G68)*100+F68,0),IF((J68&gt;=3)*(1-(IF(K68="",-1,K68)&gt;=0)*(IF(K68="",-1,K68)&lt;=1))*(1-(IF(K68="",-1,K68)=0)),IF(C68="peso_corporal",IF(ISNUMBER(E68),E68,0)+I68,I68)*(30+J68)*100+I68,0),IF((M68&gt;=3)*(1-(IF(N68="",-1,N68)&gt;=0)*(IF(N68="",-1,N68)&lt;=1))*(1-(IF(N68="",-1,N68)=0)),IF(C68="peso_corporal",IF(ISNUMBER(E68),E68,0)+L68,L68)*(30+M68)*100+L68,0),IF((P68&gt;=3)*(1-(IF(Q68="",-1,Q68)&gt;=0)*(IF(Q68="",-1,Q68)&lt;=1))*(1-(IF(Q68="",-1,Q68)=0)),IF(C68="peso_corporal",IF(ISNUMBER(E68),E68,0)+O68,O68)*(30+P68)*100+O68,0),IF((S68&gt;=3)*(1-(IF(T68="",-1,T68)&gt;=0)*(IF(T68="",-1,T68)&lt;=1))*(1-(IF(T68="",-1,T68)=0)),IF(C68="peso_corporal",IF(ISNUMBER(E68),E68,0)+R68,R68)*(30+S68)*100+R68,0))</f>
        <v>0</v>
      </c>
      <c r="AB68" s="69">
        <f>IF(AA68=0,0,IF(IF((S68&gt;=3)*(1-(IF(T68="",-1,T68)&gt;=0)*(IF(T68="",-1,T68)&lt;=1))*(1-(IF(T68="",-1,T68)=0)),IF(C68="peso_corporal",IF(ISNUMBER(E68),E68,0)+R68,R68)*(30+S68)*100+R68,0)=AA68,5,IF(IF((P68&gt;=3)*(1-(IF(Q68="",-1,Q68)&gt;=0)*(IF(Q68="",-1,Q68)&lt;=1))*(1-(IF(Q68="",-1,Q68)=0)),IF(C68="peso_corporal",IF(ISNUMBER(E68),E68,0)+O68,O68)*(30+P68)*100+O68,0)=AA68,4,IF(IF((M68&gt;=3)*(1-(IF(N68="",-1,N68)&gt;=0)*(IF(N68="",-1,N68)&lt;=1))*(1-(IF(N68="",-1,N68)=0)),IF(C68="peso_corporal",IF(ISNUMBER(E68),E68,0)+L68,L68)*(30+M68)*100+L68,0)=AA68,3,IF(IF((J68&gt;=3)*(1-(IF(K68="",-1,K68)&gt;=0)*(IF(K68="",-1,K68)&lt;=1))*(1-(IF(K68="",-1,K68)=0)),IF(C68="peso_corporal",IF(ISNUMBER(E68),E68,0)+I68,I68)*(30+J68)*100+I68,0)=AA68,2,IF(IF((G68&gt;=3)*(1-(IF(H68="",-1,H68)&gt;=0)*(IF(H68="",-1,H68)&lt;=1))*(1-(IF(H68="",-1,H68)=0)),IF(C68="peso_corporal",IF(ISNUMBER(E68),E68,0)+F68,F68)*(30+G68)*100+F68,0)=AA68,1,0))))))</f>
        <v>0</v>
      </c>
      <c r="AC68" s="69" t="str">
        <f>IF(X68&gt;0,"A"&amp;X68,IF(Z68&gt;0,"B"&amp;Z68,IF(AB68&gt;0,"C"&amp;AB68,"")))</f>
        <v/>
      </c>
    </row>
    <row r="69" spans="1:29" ht="15" customHeight="1">
      <c r="A69" s="88" t="s">
        <v>50</v>
      </c>
      <c r="B69" s="73"/>
      <c r="C69" s="73"/>
      <c r="D69" s="73"/>
      <c r="E69" s="73"/>
      <c r="F69" s="73"/>
      <c r="G69" s="73"/>
      <c r="H69" s="73"/>
      <c r="I69" s="73"/>
      <c r="J69" s="73"/>
      <c r="K69" s="73"/>
      <c r="L69" s="73"/>
      <c r="M69" s="73"/>
      <c r="N69" s="73"/>
      <c r="O69" s="73"/>
      <c r="P69" s="73"/>
      <c r="Q69" s="73"/>
      <c r="R69" s="73"/>
      <c r="S69" s="73"/>
      <c r="T69" s="73"/>
      <c r="U69" s="73"/>
      <c r="V69" s="73"/>
      <c r="W69" s="69"/>
      <c r="X69" s="69"/>
      <c r="Y69" s="69"/>
      <c r="Z69" s="69"/>
      <c r="AA69" s="69"/>
      <c r="AB69" s="69"/>
      <c r="AC69" s="69"/>
    </row>
    <row r="70" spans="1:29" ht="20.100000000000001" customHeight="1">
      <c r="A70" s="14" t="s">
        <v>65</v>
      </c>
      <c r="B70" s="15" t="s">
        <v>66</v>
      </c>
      <c r="C70" s="16" t="str">
        <f>IFERROR(INDEX(EJERCICIOS!$D$3:$D$75,MATCH(A70&amp;"|"&amp;B70,EJERCICIOS!$G$3:$G$75,0)),"--")</f>
        <v>--</v>
      </c>
      <c r="D70" s="17">
        <v>3</v>
      </c>
      <c r="E70" s="18">
        <f>IFERROR(LOOKUP(2,1/(MEDIDAS_Y_PESO!$B$3:$B$5&lt;&gt;""),MEDIDAS_Y_PESO!$B$3:$B$5),"--")</f>
        <v>80</v>
      </c>
      <c r="F70" s="19"/>
      <c r="G70" s="20"/>
      <c r="H70" s="21"/>
      <c r="I70" s="19"/>
      <c r="J70" s="20"/>
      <c r="K70" s="21"/>
      <c r="L70" s="19"/>
      <c r="M70" s="20"/>
      <c r="N70" s="21"/>
      <c r="O70" s="19"/>
      <c r="P70" s="20"/>
      <c r="Q70" s="21"/>
      <c r="R70" s="19"/>
      <c r="S70" s="20"/>
      <c r="T70" s="21"/>
      <c r="U70" s="22" t="str">
        <f>IFERROR(IF(IF(X70&gt;0,X70,IF(Z70&gt;0,Z70,IF(AB70&gt;0,AB70,0)))=0,"--",ROUND(CHOOSE(IF(X70&gt;0,X70,IF(Z70&gt;0,Z70,IF(AB70&gt;0,AB70,0))),IF(C70="peso_corporal",IF(ISNUMBER(E70),E70,0)+F70,F70)*(1+G70/30),IF(C70="peso_corporal",IF(ISNUMBER(E70),E70,0)+I70,I70)*(1+J70/30),IF(C70="peso_corporal",IF(ISNUMBER(E70),E70,0)+L70,L70)*(1+M70/30),IF(C70="peso_corporal",IF(ISNUMBER(E70),E70,0)+O70,O70)*(1+P70/30),IF(C70="peso_corporal",IF(ISNUMBER(E70),E70,0)+R70,R70)*(1+S70/30)),1)),"--")</f>
        <v>--</v>
      </c>
      <c r="V70" s="23" t="str">
        <f>IF(SUGERENCIAS!N138="SIN","Sin datos anteriores",IF(SUGERENCIAS!N138="SUBIR_F","^ SUBIR FUERTE | Kg:"&amp;ROUND(SUGERENCIAS!K138,1)&amp;" R:"&amp;ROUND(SUGERENCIAS!L138,0)&amp;" RIR:"&amp;ROUND(SUGERENCIAS!M138,0),IF(SUGERENCIAS!N138="SUBIR_E","^ SUBIR (Est.) | Kg:"&amp;ROUND(SUGERENCIAS!K138,1)&amp;" R:"&amp;ROUND(SUGERENCIAS!L138,0)&amp;" RIR:"&amp;ROUND(SUGERENCIAS!M138,0),IF(SUGERENCIAS!N138="SUBIR","^ SUBIR | Kg:"&amp;ROUND(SUGERENCIAS!K138,1)&amp;" R:"&amp;ROUND(SUGERENCIAS!L138,0)&amp;" RIR:"&amp;ROUND(SUGERENCIAS!M138,0),IF(SUGERENCIAS!N138="BAJAR","v BAJAR | Kg:"&amp;ROUND(SUGERENCIAS!K138,1)&amp;" R:"&amp;ROUND(SUGERENCIAS!L138,0)&amp;" RIR:"&amp;ROUND(SUGERENCIAS!M138,0),"= MANT | Kg:"&amp;ROUND(SUGERENCIAS!K138,1)&amp;" R:"&amp;ROUND(SUGERENCIAS!L138,0)&amp;" RIR:"&amp;ROUND(SUGERENCIAS!M138,0))))))</f>
        <v>Sin datos anteriores</v>
      </c>
      <c r="W70" s="69">
        <f>MAX(IF((G70&gt;0)*(IF(H70="",-1,H70)&gt;=0)*(IF(H70="",-1,H70)&lt;=1),IF(C70="peso_corporal",IF(ISNUMBER(E70),E70,0)+F70,F70)*G70*1000+F70,0),IF((J70&gt;0)*(IF(K70="",-1,K70)&gt;=0)*(IF(K70="",-1,K70)&lt;=1),IF(C70="peso_corporal",IF(ISNUMBER(E70),E70,0)+I70,I70)*J70*1000+I70,0),IF((M70&gt;0)*(IF(N70="",-1,N70)&gt;=0)*(IF(N70="",-1,N70)&lt;=1),IF(C70="peso_corporal",IF(ISNUMBER(E70),E70,0)+L70,L70)*M70*1000+L70,0),IF((P70&gt;0)*(IF(Q70="",-1,Q70)&gt;=0)*(IF(Q70="",-1,Q70)&lt;=1),IF(C70="peso_corporal",IF(ISNUMBER(E70),E70,0)+O70,O70)*P70*1000+O70,0),IF((S70&gt;0)*(IF(T70="",-1,T70)&gt;=0)*(IF(T70="",-1,T70)&lt;=1),IF(C70="peso_corporal",IF(ISNUMBER(E70),E70,0)+R70,R70)*S70*1000+R70,0))</f>
        <v>0</v>
      </c>
      <c r="X70" s="69">
        <f>IF(W70=0,0,IF(IF((S70&gt;0)*(IF(T70="",-1,T70)&gt;=0)*(IF(T70="",-1,T70)&lt;=1),IF(C70="peso_corporal",IF(ISNUMBER(E70),E70,0)+R70,R70)*S70*1000+R70,0)=W70,5,IF(IF((P70&gt;0)*(IF(Q70="",-1,Q70)&gt;=0)*(IF(Q70="",-1,Q70)&lt;=1),IF(C70="peso_corporal",IF(ISNUMBER(E70),E70,0)+O70,O70)*P70*1000+O70,0)=W70,4,IF(IF((M70&gt;0)*(IF(N70="",-1,N70)&gt;=0)*(IF(N70="",-1,N70)&lt;=1),IF(C70="peso_corporal",IF(ISNUMBER(E70),E70,0)+L70,L70)*M70*1000+L70,0)=W70,3,IF(IF((J70&gt;0)*(IF(K70="",-1,K70)&gt;=0)*(IF(K70="",-1,K70)&lt;=1),IF(C70="peso_corporal",IF(ISNUMBER(E70),E70,0)+I70,I70)*J70*1000+I70,0)=W70,2,IF(IF((G70&gt;0)*(IF(H70="",-1,H70)&gt;=0)*(IF(H70="",-1,H70)&lt;=1),IF(C70="peso_corporal",IF(ISNUMBER(E70),E70,0)+F70,F70)*G70*1000+F70,0)=W70,1,0))))))</f>
        <v>0</v>
      </c>
      <c r="Y70" s="69">
        <f>MAX(IF((G70&gt;0)*(IF(H70="",-1,H70)=0)*(1-(IF(H70="",-1,H70)&gt;=0)*(IF(H70="",-1,H70)&lt;=1)),IF(C70="peso_corporal",IF(ISNUMBER(E70),E70,0)+F70,F70)*G70*1000+F70,0),IF((J70&gt;0)*(IF(K70="",-1,K70)=0)*(1-(IF(K70="",-1,K70)&gt;=0)*(IF(K70="",-1,K70)&lt;=1)),IF(C70="peso_corporal",IF(ISNUMBER(E70),E70,0)+I70,I70)*J70*1000+I70,0),IF((M70&gt;0)*(IF(N70="",-1,N70)=0)*(1-(IF(N70="",-1,N70)&gt;=0)*(IF(N70="",-1,N70)&lt;=1)),IF(C70="peso_corporal",IF(ISNUMBER(E70),E70,0)+L70,L70)*M70*1000+L70,0),IF((P70&gt;0)*(IF(Q70="",-1,Q70)=0)*(1-(IF(Q70="",-1,Q70)&gt;=0)*(IF(Q70="",-1,Q70)&lt;=1)),IF(C70="peso_corporal",IF(ISNUMBER(E70),E70,0)+O70,O70)*P70*1000+O70,0),IF((S70&gt;0)*(IF(T70="",-1,T70)=0)*(1-(IF(T70="",-1,T70)&gt;=0)*(IF(T70="",-1,T70)&lt;=1)),IF(C70="peso_corporal",IF(ISNUMBER(E70),E70,0)+R70,R70)*S70*1000+R70,0))</f>
        <v>0</v>
      </c>
      <c r="Z70" s="69">
        <f>IF(Y70=0,0,IF(IF((S70&gt;0)*(IF(T70="",-1,T70)=0)*(1-(IF(T70="",-1,T70)&gt;=0)*(IF(T70="",-1,T70)&lt;=1)),IF(C70="peso_corporal",IF(ISNUMBER(E70),E70,0)+R70,R70)*S70*1000+R70,0)=Y70,5,IF(IF((P70&gt;0)*(IF(Q70="",-1,Q70)=0)*(1-(IF(Q70="",-1,Q70)&gt;=0)*(IF(Q70="",-1,Q70)&lt;=1)),IF(C70="peso_corporal",IF(ISNUMBER(E70),E70,0)+O70,O70)*P70*1000+O70,0)=Y70,4,IF(IF((M70&gt;0)*(IF(N70="",-1,N70)=0)*(1-(IF(N70="",-1,N70)&gt;=0)*(IF(N70="",-1,N70)&lt;=1)),IF(C70="peso_corporal",IF(ISNUMBER(E70),E70,0)+L70,L70)*M70*1000+L70,0)=Y70,3,IF(IF((J70&gt;0)*(IF(K70="",-1,K70)=0)*(1-(IF(K70="",-1,K70)&gt;=0)*(IF(K70="",-1,K70)&lt;=1)),IF(C70="peso_corporal",IF(ISNUMBER(E70),E70,0)+I70,I70)*J70*1000+I70,0)=Y70,2,IF(IF((G70&gt;0)*(IF(H70="",-1,H70)=0)*(1-(IF(H70="",-1,H70)&gt;=0)*(IF(H70="",-1,H70)&lt;=1)),IF(C70="peso_corporal",IF(ISNUMBER(E70),E70,0)+F70,F70)*G70*1000+F70,0)=Y70,1,0))))))</f>
        <v>0</v>
      </c>
      <c r="AA70" s="69">
        <f>MAX(IF((G70&gt;=3)*(1-(IF(H70="",-1,H70)&gt;=0)*(IF(H70="",-1,H70)&lt;=1))*(1-(IF(H70="",-1,H70)=0)),IF(C70="peso_corporal",IF(ISNUMBER(E70),E70,0)+F70,F70)*(30+G70)*100+F70,0),IF((J70&gt;=3)*(1-(IF(K70="",-1,K70)&gt;=0)*(IF(K70="",-1,K70)&lt;=1))*(1-(IF(K70="",-1,K70)=0)),IF(C70="peso_corporal",IF(ISNUMBER(E70),E70,0)+I70,I70)*(30+J70)*100+I70,0),IF((M70&gt;=3)*(1-(IF(N70="",-1,N70)&gt;=0)*(IF(N70="",-1,N70)&lt;=1))*(1-(IF(N70="",-1,N70)=0)),IF(C70="peso_corporal",IF(ISNUMBER(E70),E70,0)+L70,L70)*(30+M70)*100+L70,0),IF((P70&gt;=3)*(1-(IF(Q70="",-1,Q70)&gt;=0)*(IF(Q70="",-1,Q70)&lt;=1))*(1-(IF(Q70="",-1,Q70)=0)),IF(C70="peso_corporal",IF(ISNUMBER(E70),E70,0)+O70,O70)*(30+P70)*100+O70,0),IF((S70&gt;=3)*(1-(IF(T70="",-1,T70)&gt;=0)*(IF(T70="",-1,T70)&lt;=1))*(1-(IF(T70="",-1,T70)=0)),IF(C70="peso_corporal",IF(ISNUMBER(E70),E70,0)+R70,R70)*(30+S70)*100+R70,0))</f>
        <v>0</v>
      </c>
      <c r="AB70" s="69">
        <f>IF(AA70=0,0,IF(IF((S70&gt;=3)*(1-(IF(T70="",-1,T70)&gt;=0)*(IF(T70="",-1,T70)&lt;=1))*(1-(IF(T70="",-1,T70)=0)),IF(C70="peso_corporal",IF(ISNUMBER(E70),E70,0)+R70,R70)*(30+S70)*100+R70,0)=AA70,5,IF(IF((P70&gt;=3)*(1-(IF(Q70="",-1,Q70)&gt;=0)*(IF(Q70="",-1,Q70)&lt;=1))*(1-(IF(Q70="",-1,Q70)=0)),IF(C70="peso_corporal",IF(ISNUMBER(E70),E70,0)+O70,O70)*(30+P70)*100+O70,0)=AA70,4,IF(IF((M70&gt;=3)*(1-(IF(N70="",-1,N70)&gt;=0)*(IF(N70="",-1,N70)&lt;=1))*(1-(IF(N70="",-1,N70)=0)),IF(C70="peso_corporal",IF(ISNUMBER(E70),E70,0)+L70,L70)*(30+M70)*100+L70,0)=AA70,3,IF(IF((J70&gt;=3)*(1-(IF(K70="",-1,K70)&gt;=0)*(IF(K70="",-1,K70)&lt;=1))*(1-(IF(K70="",-1,K70)=0)),IF(C70="peso_corporal",IF(ISNUMBER(E70),E70,0)+I70,I70)*(30+J70)*100+I70,0)=AA70,2,IF(IF((G70&gt;=3)*(1-(IF(H70="",-1,H70)&gt;=0)*(IF(H70="",-1,H70)&lt;=1))*(1-(IF(H70="",-1,H70)=0)),IF(C70="peso_corporal",IF(ISNUMBER(E70),E70,0)+F70,F70)*(30+G70)*100+F70,0)=AA70,1,0))))))</f>
        <v>0</v>
      </c>
      <c r="AC70" s="69" t="str">
        <f>IF(X70&gt;0,"A"&amp;X70,IF(Z70&gt;0,"B"&amp;Z70,IF(AB70&gt;0,"C"&amp;AB70,"")))</f>
        <v/>
      </c>
    </row>
    <row r="71" spans="1:29" ht="15" customHeight="1">
      <c r="A71" s="81" t="s">
        <v>53</v>
      </c>
      <c r="B71" s="73"/>
      <c r="C71" s="73"/>
      <c r="D71" s="73"/>
      <c r="E71" s="73"/>
      <c r="F71" s="73"/>
      <c r="G71" s="73"/>
      <c r="H71" s="73"/>
      <c r="I71" s="73"/>
      <c r="J71" s="73"/>
      <c r="K71" s="73"/>
      <c r="L71" s="73"/>
      <c r="M71" s="73"/>
      <c r="N71" s="73"/>
      <c r="O71" s="73"/>
      <c r="P71" s="73"/>
      <c r="Q71" s="73"/>
      <c r="R71" s="73"/>
      <c r="S71" s="73"/>
      <c r="T71" s="73"/>
      <c r="U71" s="73"/>
      <c r="V71" s="73"/>
      <c r="W71" s="69"/>
      <c r="X71" s="69"/>
      <c r="Y71" s="69"/>
      <c r="Z71" s="69"/>
      <c r="AA71" s="69"/>
      <c r="AB71" s="69"/>
      <c r="AC71" s="69"/>
    </row>
    <row r="72" spans="1:29" ht="20.100000000000001" customHeight="1">
      <c r="A72" s="14" t="s">
        <v>54</v>
      </c>
      <c r="B72" s="15" t="s">
        <v>67</v>
      </c>
      <c r="C72" s="16" t="str">
        <f>IFERROR(INDEX(EJERCICIOS!$D$3:$D$75,MATCH(A72&amp;"|"&amp;B72,EJERCICIOS!$G$3:$G$75,0)),"--")</f>
        <v>mancuerna</v>
      </c>
      <c r="D72" s="17">
        <v>3</v>
      </c>
      <c r="E72" s="18">
        <f>IFERROR(LOOKUP(2,1/(MEDIDAS_Y_PESO!$B$3:$B$5&lt;&gt;""),MEDIDAS_Y_PESO!$B$3:$B$5),"--")</f>
        <v>80</v>
      </c>
      <c r="F72" s="19"/>
      <c r="G72" s="20"/>
      <c r="H72" s="21"/>
      <c r="I72" s="19"/>
      <c r="J72" s="20"/>
      <c r="K72" s="21"/>
      <c r="L72" s="19"/>
      <c r="M72" s="20"/>
      <c r="N72" s="21"/>
      <c r="O72" s="19"/>
      <c r="P72" s="20"/>
      <c r="Q72" s="21"/>
      <c r="R72" s="19"/>
      <c r="S72" s="20"/>
      <c r="T72" s="21"/>
      <c r="U72" s="22" t="str">
        <f>IFERROR(IF(IF(X72&gt;0,X72,IF(Z72&gt;0,Z72,IF(AB72&gt;0,AB72,0)))=0,"--",ROUND(CHOOSE(IF(X72&gt;0,X72,IF(Z72&gt;0,Z72,IF(AB72&gt;0,AB72,0))),IF(C72="peso_corporal",IF(ISNUMBER(E72),E72,0)+F72,F72)*(1+G72/30),IF(C72="peso_corporal",IF(ISNUMBER(E72),E72,0)+I72,I72)*(1+J72/30),IF(C72="peso_corporal",IF(ISNUMBER(E72),E72,0)+L72,L72)*(1+M72/30),IF(C72="peso_corporal",IF(ISNUMBER(E72),E72,0)+O72,O72)*(1+P72/30),IF(C72="peso_corporal",IF(ISNUMBER(E72),E72,0)+R72,R72)*(1+S72/30)),1)),"--")</f>
        <v>--</v>
      </c>
      <c r="V72" s="23" t="str">
        <f>IF(SUGERENCIAS!N139="SIN","Sin datos anteriores",IF(SUGERENCIAS!N139="SUBIR_F","^ SUBIR FUERTE | Kg:"&amp;ROUND(SUGERENCIAS!K139,1)&amp;" R:"&amp;ROUND(SUGERENCIAS!L139,0)&amp;" RIR:"&amp;ROUND(SUGERENCIAS!M139,0),IF(SUGERENCIAS!N139="SUBIR_E","^ SUBIR (Est.) | Kg:"&amp;ROUND(SUGERENCIAS!K139,1)&amp;" R:"&amp;ROUND(SUGERENCIAS!L139,0)&amp;" RIR:"&amp;ROUND(SUGERENCIAS!M139,0),IF(SUGERENCIAS!N139="SUBIR","^ SUBIR | Kg:"&amp;ROUND(SUGERENCIAS!K139,1)&amp;" R:"&amp;ROUND(SUGERENCIAS!L139,0)&amp;" RIR:"&amp;ROUND(SUGERENCIAS!M139,0),IF(SUGERENCIAS!N139="BAJAR","v BAJAR | Kg:"&amp;ROUND(SUGERENCIAS!K139,1)&amp;" R:"&amp;ROUND(SUGERENCIAS!L139,0)&amp;" RIR:"&amp;ROUND(SUGERENCIAS!M139,0),"= MANT | Kg:"&amp;ROUND(SUGERENCIAS!K139,1)&amp;" R:"&amp;ROUND(SUGERENCIAS!L139,0)&amp;" RIR:"&amp;ROUND(SUGERENCIAS!M139,0))))))</f>
        <v>Sin datos anteriores</v>
      </c>
      <c r="W72" s="69">
        <f>MAX(IF((G72&gt;0)*(IF(H72="",-1,H72)&gt;=0)*(IF(H72="",-1,H72)&lt;=1),IF(C72="peso_corporal",IF(ISNUMBER(E72),E72,0)+F72,F72)*G72*1000+F72,0),IF((J72&gt;0)*(IF(K72="",-1,K72)&gt;=0)*(IF(K72="",-1,K72)&lt;=1),IF(C72="peso_corporal",IF(ISNUMBER(E72),E72,0)+I72,I72)*J72*1000+I72,0),IF((M72&gt;0)*(IF(N72="",-1,N72)&gt;=0)*(IF(N72="",-1,N72)&lt;=1),IF(C72="peso_corporal",IF(ISNUMBER(E72),E72,0)+L72,L72)*M72*1000+L72,0),IF((P72&gt;0)*(IF(Q72="",-1,Q72)&gt;=0)*(IF(Q72="",-1,Q72)&lt;=1),IF(C72="peso_corporal",IF(ISNUMBER(E72),E72,0)+O72,O72)*P72*1000+O72,0),IF((S72&gt;0)*(IF(T72="",-1,T72)&gt;=0)*(IF(T72="",-1,T72)&lt;=1),IF(C72="peso_corporal",IF(ISNUMBER(E72),E72,0)+R72,R72)*S72*1000+R72,0))</f>
        <v>0</v>
      </c>
      <c r="X72" s="69">
        <f>IF(W72=0,0,IF(IF((S72&gt;0)*(IF(T72="",-1,T72)&gt;=0)*(IF(T72="",-1,T72)&lt;=1),IF(C72="peso_corporal",IF(ISNUMBER(E72),E72,0)+R72,R72)*S72*1000+R72,0)=W72,5,IF(IF((P72&gt;0)*(IF(Q72="",-1,Q72)&gt;=0)*(IF(Q72="",-1,Q72)&lt;=1),IF(C72="peso_corporal",IF(ISNUMBER(E72),E72,0)+O72,O72)*P72*1000+O72,0)=W72,4,IF(IF((M72&gt;0)*(IF(N72="",-1,N72)&gt;=0)*(IF(N72="",-1,N72)&lt;=1),IF(C72="peso_corporal",IF(ISNUMBER(E72),E72,0)+L72,L72)*M72*1000+L72,0)=W72,3,IF(IF((J72&gt;0)*(IF(K72="",-1,K72)&gt;=0)*(IF(K72="",-1,K72)&lt;=1),IF(C72="peso_corporal",IF(ISNUMBER(E72),E72,0)+I72,I72)*J72*1000+I72,0)=W72,2,IF(IF((G72&gt;0)*(IF(H72="",-1,H72)&gt;=0)*(IF(H72="",-1,H72)&lt;=1),IF(C72="peso_corporal",IF(ISNUMBER(E72),E72,0)+F72,F72)*G72*1000+F72,0)=W72,1,0))))))</f>
        <v>0</v>
      </c>
      <c r="Y72" s="69">
        <f>MAX(IF((G72&gt;0)*(IF(H72="",-1,H72)=0)*(1-(IF(H72="",-1,H72)&gt;=0)*(IF(H72="",-1,H72)&lt;=1)),IF(C72="peso_corporal",IF(ISNUMBER(E72),E72,0)+F72,F72)*G72*1000+F72,0),IF((J72&gt;0)*(IF(K72="",-1,K72)=0)*(1-(IF(K72="",-1,K72)&gt;=0)*(IF(K72="",-1,K72)&lt;=1)),IF(C72="peso_corporal",IF(ISNUMBER(E72),E72,0)+I72,I72)*J72*1000+I72,0),IF((M72&gt;0)*(IF(N72="",-1,N72)=0)*(1-(IF(N72="",-1,N72)&gt;=0)*(IF(N72="",-1,N72)&lt;=1)),IF(C72="peso_corporal",IF(ISNUMBER(E72),E72,0)+L72,L72)*M72*1000+L72,0),IF((P72&gt;0)*(IF(Q72="",-1,Q72)=0)*(1-(IF(Q72="",-1,Q72)&gt;=0)*(IF(Q72="",-1,Q72)&lt;=1)),IF(C72="peso_corporal",IF(ISNUMBER(E72),E72,0)+O72,O72)*P72*1000+O72,0),IF((S72&gt;0)*(IF(T72="",-1,T72)=0)*(1-(IF(T72="",-1,T72)&gt;=0)*(IF(T72="",-1,T72)&lt;=1)),IF(C72="peso_corporal",IF(ISNUMBER(E72),E72,0)+R72,R72)*S72*1000+R72,0))</f>
        <v>0</v>
      </c>
      <c r="Z72" s="69">
        <f>IF(Y72=0,0,IF(IF((S72&gt;0)*(IF(T72="",-1,T72)=0)*(1-(IF(T72="",-1,T72)&gt;=0)*(IF(T72="",-1,T72)&lt;=1)),IF(C72="peso_corporal",IF(ISNUMBER(E72),E72,0)+R72,R72)*S72*1000+R72,0)=Y72,5,IF(IF((P72&gt;0)*(IF(Q72="",-1,Q72)=0)*(1-(IF(Q72="",-1,Q72)&gt;=0)*(IF(Q72="",-1,Q72)&lt;=1)),IF(C72="peso_corporal",IF(ISNUMBER(E72),E72,0)+O72,O72)*P72*1000+O72,0)=Y72,4,IF(IF((M72&gt;0)*(IF(N72="",-1,N72)=0)*(1-(IF(N72="",-1,N72)&gt;=0)*(IF(N72="",-1,N72)&lt;=1)),IF(C72="peso_corporal",IF(ISNUMBER(E72),E72,0)+L72,L72)*M72*1000+L72,0)=Y72,3,IF(IF((J72&gt;0)*(IF(K72="",-1,K72)=0)*(1-(IF(K72="",-1,K72)&gt;=0)*(IF(K72="",-1,K72)&lt;=1)),IF(C72="peso_corporal",IF(ISNUMBER(E72),E72,0)+I72,I72)*J72*1000+I72,0)=Y72,2,IF(IF((G72&gt;0)*(IF(H72="",-1,H72)=0)*(1-(IF(H72="",-1,H72)&gt;=0)*(IF(H72="",-1,H72)&lt;=1)),IF(C72="peso_corporal",IF(ISNUMBER(E72),E72,0)+F72,F72)*G72*1000+F72,0)=Y72,1,0))))))</f>
        <v>0</v>
      </c>
      <c r="AA72" s="69">
        <f>MAX(IF((G72&gt;=3)*(1-(IF(H72="",-1,H72)&gt;=0)*(IF(H72="",-1,H72)&lt;=1))*(1-(IF(H72="",-1,H72)=0)),IF(C72="peso_corporal",IF(ISNUMBER(E72),E72,0)+F72,F72)*(30+G72)*100+F72,0),IF((J72&gt;=3)*(1-(IF(K72="",-1,K72)&gt;=0)*(IF(K72="",-1,K72)&lt;=1))*(1-(IF(K72="",-1,K72)=0)),IF(C72="peso_corporal",IF(ISNUMBER(E72),E72,0)+I72,I72)*(30+J72)*100+I72,0),IF((M72&gt;=3)*(1-(IF(N72="",-1,N72)&gt;=0)*(IF(N72="",-1,N72)&lt;=1))*(1-(IF(N72="",-1,N72)=0)),IF(C72="peso_corporal",IF(ISNUMBER(E72),E72,0)+L72,L72)*(30+M72)*100+L72,0),IF((P72&gt;=3)*(1-(IF(Q72="",-1,Q72)&gt;=0)*(IF(Q72="",-1,Q72)&lt;=1))*(1-(IF(Q72="",-1,Q72)=0)),IF(C72="peso_corporal",IF(ISNUMBER(E72),E72,0)+O72,O72)*(30+P72)*100+O72,0),IF((S72&gt;=3)*(1-(IF(T72="",-1,T72)&gt;=0)*(IF(T72="",-1,T72)&lt;=1))*(1-(IF(T72="",-1,T72)=0)),IF(C72="peso_corporal",IF(ISNUMBER(E72),E72,0)+R72,R72)*(30+S72)*100+R72,0))</f>
        <v>0</v>
      </c>
      <c r="AB72" s="69">
        <f>IF(AA72=0,0,IF(IF((S72&gt;=3)*(1-(IF(T72="",-1,T72)&gt;=0)*(IF(T72="",-1,T72)&lt;=1))*(1-(IF(T72="",-1,T72)=0)),IF(C72="peso_corporal",IF(ISNUMBER(E72),E72,0)+R72,R72)*(30+S72)*100+R72,0)=AA72,5,IF(IF((P72&gt;=3)*(1-(IF(Q72="",-1,Q72)&gt;=0)*(IF(Q72="",-1,Q72)&lt;=1))*(1-(IF(Q72="",-1,Q72)=0)),IF(C72="peso_corporal",IF(ISNUMBER(E72),E72,0)+O72,O72)*(30+P72)*100+O72,0)=AA72,4,IF(IF((M72&gt;=3)*(1-(IF(N72="",-1,N72)&gt;=0)*(IF(N72="",-1,N72)&lt;=1))*(1-(IF(N72="",-1,N72)=0)),IF(C72="peso_corporal",IF(ISNUMBER(E72),E72,0)+L72,L72)*(30+M72)*100+L72,0)=AA72,3,IF(IF((J72&gt;=3)*(1-(IF(K72="",-1,K72)&gt;=0)*(IF(K72="",-1,K72)&lt;=1))*(1-(IF(K72="",-1,K72)=0)),IF(C72="peso_corporal",IF(ISNUMBER(E72),E72,0)+I72,I72)*(30+J72)*100+I72,0)=AA72,2,IF(IF((G72&gt;=3)*(1-(IF(H72="",-1,H72)&gt;=0)*(IF(H72="",-1,H72)&lt;=1))*(1-(IF(H72="",-1,H72)=0)),IF(C72="peso_corporal",IF(ISNUMBER(E72),E72,0)+F72,F72)*(30+G72)*100+F72,0)=AA72,1,0))))))</f>
        <v>0</v>
      </c>
      <c r="AC72" s="69" t="str">
        <f>IF(X72&gt;0,"A"&amp;X72,IF(Z72&gt;0,"B"&amp;Z72,IF(AB72&gt;0,"C"&amp;AB72,"")))</f>
        <v/>
      </c>
    </row>
    <row r="73" spans="1:29" ht="15" customHeight="1">
      <c r="A73" s="72" t="s">
        <v>56</v>
      </c>
      <c r="B73" s="73"/>
      <c r="C73" s="73"/>
      <c r="D73" s="73"/>
      <c r="E73" s="73"/>
      <c r="F73" s="73"/>
      <c r="G73" s="73"/>
      <c r="H73" s="73"/>
      <c r="I73" s="73"/>
      <c r="J73" s="73"/>
      <c r="K73" s="73"/>
      <c r="L73" s="73"/>
      <c r="M73" s="73"/>
      <c r="N73" s="73"/>
      <c r="O73" s="73"/>
      <c r="P73" s="73"/>
      <c r="Q73" s="73"/>
      <c r="R73" s="73"/>
      <c r="S73" s="73"/>
      <c r="T73" s="73"/>
      <c r="U73" s="73"/>
      <c r="V73" s="73"/>
      <c r="W73" s="69"/>
      <c r="X73" s="69"/>
      <c r="Y73" s="69"/>
      <c r="Z73" s="69"/>
      <c r="AA73" s="69"/>
      <c r="AB73" s="69"/>
      <c r="AC73" s="69"/>
    </row>
    <row r="74" spans="1:29" ht="20.100000000000001" customHeight="1">
      <c r="A74" s="14" t="s">
        <v>57</v>
      </c>
      <c r="B74" s="15" t="s">
        <v>58</v>
      </c>
      <c r="C74" s="16" t="str">
        <f>IFERROR(INDEX(EJERCICIOS!$D$3:$D$75,MATCH(A74&amp;"|"&amp;B74,EJERCICIOS!$G$3:$G$75,0)),"--")</f>
        <v>polea</v>
      </c>
      <c r="D74" s="17">
        <v>3</v>
      </c>
      <c r="E74" s="18">
        <f>IFERROR(LOOKUP(2,1/(MEDIDAS_Y_PESO!$B$3:$B$5&lt;&gt;""),MEDIDAS_Y_PESO!$B$3:$B$5),"--")</f>
        <v>80</v>
      </c>
      <c r="F74" s="19"/>
      <c r="G74" s="20"/>
      <c r="H74" s="21"/>
      <c r="I74" s="19"/>
      <c r="J74" s="20"/>
      <c r="K74" s="21"/>
      <c r="L74" s="19"/>
      <c r="M74" s="20"/>
      <c r="N74" s="21"/>
      <c r="O74" s="19"/>
      <c r="P74" s="20"/>
      <c r="Q74" s="21"/>
      <c r="R74" s="19"/>
      <c r="S74" s="20"/>
      <c r="T74" s="21"/>
      <c r="U74" s="22" t="str">
        <f>IFERROR(IF(IF(X74&gt;0,X74,IF(Z74&gt;0,Z74,IF(AB74&gt;0,AB74,0)))=0,"--",ROUND(CHOOSE(IF(X74&gt;0,X74,IF(Z74&gt;0,Z74,IF(AB74&gt;0,AB74,0))),IF(C74="peso_corporal",IF(ISNUMBER(E74),E74,0)+F74,F74)*(1+G74/30),IF(C74="peso_corporal",IF(ISNUMBER(E74),E74,0)+I74,I74)*(1+J74/30),IF(C74="peso_corporal",IF(ISNUMBER(E74),E74,0)+L74,L74)*(1+M74/30),IF(C74="peso_corporal",IF(ISNUMBER(E74),E74,0)+O74,O74)*(1+P74/30),IF(C74="peso_corporal",IF(ISNUMBER(E74),E74,0)+R74,R74)*(1+S74/30)),1)),"--")</f>
        <v>--</v>
      </c>
      <c r="V74" s="23" t="str">
        <f>IF(SUGERENCIAS!N140="SIN","Sin datos anteriores",IF(SUGERENCIAS!N140="SUBIR_F","^ SUBIR FUERTE | Kg:"&amp;ROUND(SUGERENCIAS!K140,1)&amp;" R:"&amp;ROUND(SUGERENCIAS!L140,0)&amp;" RIR:"&amp;ROUND(SUGERENCIAS!M140,0),IF(SUGERENCIAS!N140="SUBIR_E","^ SUBIR (Est.) | Kg:"&amp;ROUND(SUGERENCIAS!K140,1)&amp;" R:"&amp;ROUND(SUGERENCIAS!L140,0)&amp;" RIR:"&amp;ROUND(SUGERENCIAS!M140,0),IF(SUGERENCIAS!N140="SUBIR","^ SUBIR | Kg:"&amp;ROUND(SUGERENCIAS!K140,1)&amp;" R:"&amp;ROUND(SUGERENCIAS!L140,0)&amp;" RIR:"&amp;ROUND(SUGERENCIAS!M140,0),IF(SUGERENCIAS!N140="BAJAR","v BAJAR | Kg:"&amp;ROUND(SUGERENCIAS!K140,1)&amp;" R:"&amp;ROUND(SUGERENCIAS!L140,0)&amp;" RIR:"&amp;ROUND(SUGERENCIAS!M140,0),"= MANT | Kg:"&amp;ROUND(SUGERENCIAS!K140,1)&amp;" R:"&amp;ROUND(SUGERENCIAS!L140,0)&amp;" RIR:"&amp;ROUND(SUGERENCIAS!M140,0))))))</f>
        <v>Sin datos anteriores</v>
      </c>
      <c r="W74" s="69">
        <f>MAX(IF((G74&gt;0)*(IF(H74="",-1,H74)&gt;=0)*(IF(H74="",-1,H74)&lt;=1),IF(C74="peso_corporal",IF(ISNUMBER(E74),E74,0)+F74,F74)*G74*1000+F74,0),IF((J74&gt;0)*(IF(K74="",-1,K74)&gt;=0)*(IF(K74="",-1,K74)&lt;=1),IF(C74="peso_corporal",IF(ISNUMBER(E74),E74,0)+I74,I74)*J74*1000+I74,0),IF((M74&gt;0)*(IF(N74="",-1,N74)&gt;=0)*(IF(N74="",-1,N74)&lt;=1),IF(C74="peso_corporal",IF(ISNUMBER(E74),E74,0)+L74,L74)*M74*1000+L74,0),IF((P74&gt;0)*(IF(Q74="",-1,Q74)&gt;=0)*(IF(Q74="",-1,Q74)&lt;=1),IF(C74="peso_corporal",IF(ISNUMBER(E74),E74,0)+O74,O74)*P74*1000+O74,0),IF((S74&gt;0)*(IF(T74="",-1,T74)&gt;=0)*(IF(T74="",-1,T74)&lt;=1),IF(C74="peso_corporal",IF(ISNUMBER(E74),E74,0)+R74,R74)*S74*1000+R74,0))</f>
        <v>0</v>
      </c>
      <c r="X74" s="69">
        <f>IF(W74=0,0,IF(IF((S74&gt;0)*(IF(T74="",-1,T74)&gt;=0)*(IF(T74="",-1,T74)&lt;=1),IF(C74="peso_corporal",IF(ISNUMBER(E74),E74,0)+R74,R74)*S74*1000+R74,0)=W74,5,IF(IF((P74&gt;0)*(IF(Q74="",-1,Q74)&gt;=0)*(IF(Q74="",-1,Q74)&lt;=1),IF(C74="peso_corporal",IF(ISNUMBER(E74),E74,0)+O74,O74)*P74*1000+O74,0)=W74,4,IF(IF((M74&gt;0)*(IF(N74="",-1,N74)&gt;=0)*(IF(N74="",-1,N74)&lt;=1),IF(C74="peso_corporal",IF(ISNUMBER(E74),E74,0)+L74,L74)*M74*1000+L74,0)=W74,3,IF(IF((J74&gt;0)*(IF(K74="",-1,K74)&gt;=0)*(IF(K74="",-1,K74)&lt;=1),IF(C74="peso_corporal",IF(ISNUMBER(E74),E74,0)+I74,I74)*J74*1000+I74,0)=W74,2,IF(IF((G74&gt;0)*(IF(H74="",-1,H74)&gt;=0)*(IF(H74="",-1,H74)&lt;=1),IF(C74="peso_corporal",IF(ISNUMBER(E74),E74,0)+F74,F74)*G74*1000+F74,0)=W74,1,0))))))</f>
        <v>0</v>
      </c>
      <c r="Y74" s="69">
        <f>MAX(IF((G74&gt;0)*(IF(H74="",-1,H74)=0)*(1-(IF(H74="",-1,H74)&gt;=0)*(IF(H74="",-1,H74)&lt;=1)),IF(C74="peso_corporal",IF(ISNUMBER(E74),E74,0)+F74,F74)*G74*1000+F74,0),IF((J74&gt;0)*(IF(K74="",-1,K74)=0)*(1-(IF(K74="",-1,K74)&gt;=0)*(IF(K74="",-1,K74)&lt;=1)),IF(C74="peso_corporal",IF(ISNUMBER(E74),E74,0)+I74,I74)*J74*1000+I74,0),IF((M74&gt;0)*(IF(N74="",-1,N74)=0)*(1-(IF(N74="",-1,N74)&gt;=0)*(IF(N74="",-1,N74)&lt;=1)),IF(C74="peso_corporal",IF(ISNUMBER(E74),E74,0)+L74,L74)*M74*1000+L74,0),IF((P74&gt;0)*(IF(Q74="",-1,Q74)=0)*(1-(IF(Q74="",-1,Q74)&gt;=0)*(IF(Q74="",-1,Q74)&lt;=1)),IF(C74="peso_corporal",IF(ISNUMBER(E74),E74,0)+O74,O74)*P74*1000+O74,0),IF((S74&gt;0)*(IF(T74="",-1,T74)=0)*(1-(IF(T74="",-1,T74)&gt;=0)*(IF(T74="",-1,T74)&lt;=1)),IF(C74="peso_corporal",IF(ISNUMBER(E74),E74,0)+R74,R74)*S74*1000+R74,0))</f>
        <v>0</v>
      </c>
      <c r="Z74" s="69">
        <f>IF(Y74=0,0,IF(IF((S74&gt;0)*(IF(T74="",-1,T74)=0)*(1-(IF(T74="",-1,T74)&gt;=0)*(IF(T74="",-1,T74)&lt;=1)),IF(C74="peso_corporal",IF(ISNUMBER(E74),E74,0)+R74,R74)*S74*1000+R74,0)=Y74,5,IF(IF((P74&gt;0)*(IF(Q74="",-1,Q74)=0)*(1-(IF(Q74="",-1,Q74)&gt;=0)*(IF(Q74="",-1,Q74)&lt;=1)),IF(C74="peso_corporal",IF(ISNUMBER(E74),E74,0)+O74,O74)*P74*1000+O74,0)=Y74,4,IF(IF((M74&gt;0)*(IF(N74="",-1,N74)=0)*(1-(IF(N74="",-1,N74)&gt;=0)*(IF(N74="",-1,N74)&lt;=1)),IF(C74="peso_corporal",IF(ISNUMBER(E74),E74,0)+L74,L74)*M74*1000+L74,0)=Y74,3,IF(IF((J74&gt;0)*(IF(K74="",-1,K74)=0)*(1-(IF(K74="",-1,K74)&gt;=0)*(IF(K74="",-1,K74)&lt;=1)),IF(C74="peso_corporal",IF(ISNUMBER(E74),E74,0)+I74,I74)*J74*1000+I74,0)=Y74,2,IF(IF((G74&gt;0)*(IF(H74="",-1,H74)=0)*(1-(IF(H74="",-1,H74)&gt;=0)*(IF(H74="",-1,H74)&lt;=1)),IF(C74="peso_corporal",IF(ISNUMBER(E74),E74,0)+F74,F74)*G74*1000+F74,0)=Y74,1,0))))))</f>
        <v>0</v>
      </c>
      <c r="AA74" s="69">
        <f>MAX(IF((G74&gt;=3)*(1-(IF(H74="",-1,H74)&gt;=0)*(IF(H74="",-1,H74)&lt;=1))*(1-(IF(H74="",-1,H74)=0)),IF(C74="peso_corporal",IF(ISNUMBER(E74),E74,0)+F74,F74)*(30+G74)*100+F74,0),IF((J74&gt;=3)*(1-(IF(K74="",-1,K74)&gt;=0)*(IF(K74="",-1,K74)&lt;=1))*(1-(IF(K74="",-1,K74)=0)),IF(C74="peso_corporal",IF(ISNUMBER(E74),E74,0)+I74,I74)*(30+J74)*100+I74,0),IF((M74&gt;=3)*(1-(IF(N74="",-1,N74)&gt;=0)*(IF(N74="",-1,N74)&lt;=1))*(1-(IF(N74="",-1,N74)=0)),IF(C74="peso_corporal",IF(ISNUMBER(E74),E74,0)+L74,L74)*(30+M74)*100+L74,0),IF((P74&gt;=3)*(1-(IF(Q74="",-1,Q74)&gt;=0)*(IF(Q74="",-1,Q74)&lt;=1))*(1-(IF(Q74="",-1,Q74)=0)),IF(C74="peso_corporal",IF(ISNUMBER(E74),E74,0)+O74,O74)*(30+P74)*100+O74,0),IF((S74&gt;=3)*(1-(IF(T74="",-1,T74)&gt;=0)*(IF(T74="",-1,T74)&lt;=1))*(1-(IF(T74="",-1,T74)=0)),IF(C74="peso_corporal",IF(ISNUMBER(E74),E74,0)+R74,R74)*(30+S74)*100+R74,0))</f>
        <v>0</v>
      </c>
      <c r="AB74" s="69">
        <f>IF(AA74=0,0,IF(IF((S74&gt;=3)*(1-(IF(T74="",-1,T74)&gt;=0)*(IF(T74="",-1,T74)&lt;=1))*(1-(IF(T74="",-1,T74)=0)),IF(C74="peso_corporal",IF(ISNUMBER(E74),E74,0)+R74,R74)*(30+S74)*100+R74,0)=AA74,5,IF(IF((P74&gt;=3)*(1-(IF(Q74="",-1,Q74)&gt;=0)*(IF(Q74="",-1,Q74)&lt;=1))*(1-(IF(Q74="",-1,Q74)=0)),IF(C74="peso_corporal",IF(ISNUMBER(E74),E74,0)+O74,O74)*(30+P74)*100+O74,0)=AA74,4,IF(IF((M74&gt;=3)*(1-(IF(N74="",-1,N74)&gt;=0)*(IF(N74="",-1,N74)&lt;=1))*(1-(IF(N74="",-1,N74)=0)),IF(C74="peso_corporal",IF(ISNUMBER(E74),E74,0)+L74,L74)*(30+M74)*100+L74,0)=AA74,3,IF(IF((J74&gt;=3)*(1-(IF(K74="",-1,K74)&gt;=0)*(IF(K74="",-1,K74)&lt;=1))*(1-(IF(K74="",-1,K74)=0)),IF(C74="peso_corporal",IF(ISNUMBER(E74),E74,0)+I74,I74)*(30+J74)*100+I74,0)=AA74,2,IF(IF((G74&gt;=3)*(1-(IF(H74="",-1,H74)&gt;=0)*(IF(H74="",-1,H74)&lt;=1))*(1-(IF(H74="",-1,H74)=0)),IF(C74="peso_corporal",IF(ISNUMBER(E74),E74,0)+F74,F74)*(30+G74)*100+F74,0)=AA74,1,0))))))</f>
        <v>0</v>
      </c>
      <c r="AC74" s="69" t="str">
        <f>IF(X74&gt;0,"A"&amp;X74,IF(Z74&gt;0,"B"&amp;Z74,IF(AB74&gt;0,"C"&amp;AB74,"")))</f>
        <v/>
      </c>
    </row>
    <row r="75" spans="1:29" ht="6" customHeight="1">
      <c r="A75" s="13"/>
      <c r="B75" s="13"/>
      <c r="C75" s="13"/>
      <c r="D75" s="13"/>
      <c r="E75" s="13"/>
      <c r="F75" s="13"/>
      <c r="G75" s="13"/>
      <c r="H75" s="13"/>
      <c r="I75" s="13"/>
      <c r="J75" s="13"/>
      <c r="K75" s="13"/>
      <c r="L75" s="13"/>
      <c r="M75" s="13"/>
      <c r="N75" s="13"/>
      <c r="O75" s="13"/>
      <c r="P75" s="13"/>
      <c r="Q75" s="13"/>
      <c r="R75" s="13"/>
      <c r="S75" s="13"/>
      <c r="T75" s="13"/>
      <c r="U75" s="13"/>
      <c r="V75" s="13"/>
      <c r="W75" s="69"/>
      <c r="X75" s="69"/>
      <c r="Y75" s="69"/>
      <c r="Z75" s="69"/>
      <c r="AA75" s="69"/>
      <c r="AB75" s="69"/>
      <c r="AC75" s="69"/>
    </row>
    <row r="76" spans="1:29" ht="18" customHeight="1">
      <c r="A76" s="85" t="s">
        <v>69</v>
      </c>
      <c r="B76" s="73"/>
      <c r="C76" s="73"/>
      <c r="D76" s="73"/>
      <c r="E76" s="73"/>
      <c r="F76" s="73"/>
      <c r="G76" s="73"/>
      <c r="H76" s="73"/>
      <c r="I76" s="73"/>
      <c r="J76" s="73"/>
      <c r="K76" s="73"/>
      <c r="L76" s="73"/>
      <c r="M76" s="73"/>
      <c r="N76" s="73"/>
      <c r="O76" s="73"/>
      <c r="P76" s="73"/>
      <c r="Q76" s="73"/>
      <c r="R76" s="73"/>
      <c r="S76" s="73"/>
      <c r="T76" s="73"/>
      <c r="U76" s="73"/>
      <c r="V76" s="73"/>
      <c r="W76" s="69"/>
      <c r="X76" s="69"/>
      <c r="Y76" s="69"/>
      <c r="Z76" s="69"/>
      <c r="AA76" s="69"/>
      <c r="AB76" s="69"/>
      <c r="AC76" s="69"/>
    </row>
    <row r="77" spans="1:29" ht="15" customHeight="1">
      <c r="A77" s="75" t="s">
        <v>28</v>
      </c>
      <c r="B77" s="73"/>
      <c r="C77" s="73"/>
      <c r="D77" s="73"/>
      <c r="E77" s="73"/>
      <c r="F77" s="73"/>
      <c r="G77" s="73"/>
      <c r="H77" s="73"/>
      <c r="I77" s="73"/>
      <c r="J77" s="73"/>
      <c r="K77" s="73"/>
      <c r="L77" s="73"/>
      <c r="M77" s="73"/>
      <c r="N77" s="73"/>
      <c r="O77" s="73"/>
      <c r="P77" s="73"/>
      <c r="Q77" s="73"/>
      <c r="R77" s="73"/>
      <c r="S77" s="73"/>
      <c r="T77" s="73"/>
      <c r="U77" s="73"/>
      <c r="V77" s="73"/>
      <c r="W77" s="69"/>
      <c r="X77" s="69"/>
      <c r="Y77" s="69"/>
      <c r="Z77" s="69"/>
      <c r="AA77" s="69"/>
      <c r="AB77" s="69"/>
      <c r="AC77" s="69"/>
    </row>
    <row r="78" spans="1:29" ht="11.1" customHeight="1">
      <c r="A78" s="76" t="s">
        <v>29</v>
      </c>
      <c r="B78" s="73"/>
      <c r="C78" s="73"/>
      <c r="D78" s="73"/>
      <c r="E78" s="73"/>
      <c r="F78" s="73"/>
      <c r="G78" s="73"/>
      <c r="H78" s="73"/>
      <c r="I78" s="73"/>
      <c r="J78" s="73"/>
      <c r="K78" s="73"/>
      <c r="L78" s="73"/>
      <c r="M78" s="73"/>
      <c r="N78" s="73"/>
      <c r="O78" s="73"/>
      <c r="P78" s="73"/>
      <c r="Q78" s="73"/>
      <c r="R78" s="73"/>
      <c r="S78" s="73"/>
      <c r="T78" s="73"/>
      <c r="U78" s="73"/>
      <c r="V78" s="73"/>
      <c r="W78" s="69"/>
      <c r="X78" s="69"/>
      <c r="Y78" s="69"/>
      <c r="Z78" s="69"/>
      <c r="AA78" s="69"/>
      <c r="AB78" s="69"/>
      <c r="AC78" s="69"/>
    </row>
    <row r="79" spans="1:29" ht="20.100000000000001" customHeight="1">
      <c r="A79" s="14" t="s">
        <v>30</v>
      </c>
      <c r="B79" s="15" t="s">
        <v>60</v>
      </c>
      <c r="C79" s="16" t="str">
        <f>IFERROR(INDEX(EJERCICIOS!$D$3:$D$75,MATCH(A79&amp;"|"&amp;B79,EJERCICIOS!$G$3:$G$75,0)),"--")</f>
        <v>disco</v>
      </c>
      <c r="D79" s="17">
        <v>3</v>
      </c>
      <c r="E79" s="18">
        <f>IFERROR(LOOKUP(2,1/(MEDIDAS_Y_PESO!$B$3:$B$6&lt;&gt;""),MEDIDAS_Y_PESO!$B$3:$B$6),"--")</f>
        <v>80</v>
      </c>
      <c r="F79" s="19"/>
      <c r="G79" s="20"/>
      <c r="H79" s="21"/>
      <c r="I79" s="19"/>
      <c r="J79" s="20"/>
      <c r="K79" s="21"/>
      <c r="L79" s="19"/>
      <c r="M79" s="20"/>
      <c r="N79" s="21"/>
      <c r="O79" s="19"/>
      <c r="P79" s="20"/>
      <c r="Q79" s="21"/>
      <c r="R79" s="19"/>
      <c r="S79" s="20"/>
      <c r="T79" s="21"/>
      <c r="U79" s="22" t="str">
        <f>IFERROR(IF(IF(X79&gt;0,X79,IF(Z79&gt;0,Z79,IF(AB79&gt;0,AB79,0)))=0,"--",ROUND(CHOOSE(IF(X79&gt;0,X79,IF(Z79&gt;0,Z79,IF(AB79&gt;0,AB79,0))),IF(C79="peso_corporal",IF(ISNUMBER(E79),E79,0)+F79,F79)*(1+G79/30),IF(C79="peso_corporal",IF(ISNUMBER(E79),E79,0)+I79,I79)*(1+J79/30),IF(C79="peso_corporal",IF(ISNUMBER(E79),E79,0)+L79,L79)*(1+M79/30),IF(C79="peso_corporal",IF(ISNUMBER(E79),E79,0)+O79,O79)*(1+P79/30),IF(C79="peso_corporal",IF(ISNUMBER(E79),E79,0)+R79,R79)*(1+S79/30)),1)),"--")</f>
        <v>--</v>
      </c>
      <c r="V79" s="23" t="str">
        <f>IF(SUGERENCIAS!N193="SIN","Sin datos anteriores",IF(SUGERENCIAS!N193="SUBIR_F","^ SUBIR FUERTE | Kg:"&amp;ROUND(SUGERENCIAS!K193,1)&amp;" R:"&amp;ROUND(SUGERENCIAS!L193,0)&amp;" RIR:"&amp;ROUND(SUGERENCIAS!M193,0),IF(SUGERENCIAS!N193="SUBIR_E","^ SUBIR (Est.) | Kg:"&amp;ROUND(SUGERENCIAS!K193,1)&amp;" R:"&amp;ROUND(SUGERENCIAS!L193,0)&amp;" RIR:"&amp;ROUND(SUGERENCIAS!M193,0),IF(SUGERENCIAS!N193="SUBIR","^ SUBIR | Kg:"&amp;ROUND(SUGERENCIAS!K193,1)&amp;" R:"&amp;ROUND(SUGERENCIAS!L193,0)&amp;" RIR:"&amp;ROUND(SUGERENCIAS!M193,0),IF(SUGERENCIAS!N193="BAJAR","v BAJAR | Kg:"&amp;ROUND(SUGERENCIAS!K193,1)&amp;" R:"&amp;ROUND(SUGERENCIAS!L193,0)&amp;" RIR:"&amp;ROUND(SUGERENCIAS!M193,0),"= MANT | Kg:"&amp;ROUND(SUGERENCIAS!K193,1)&amp;" R:"&amp;ROUND(SUGERENCIAS!L193,0)&amp;" RIR:"&amp;ROUND(SUGERENCIAS!M193,0))))))</f>
        <v>Sin datos anteriores</v>
      </c>
      <c r="W79" s="69">
        <f>MAX(IF((G79&gt;0)*(IF(H79="",-1,H79)&gt;=1)*(IF(H79="",-1,H79)&lt;=3),IF(C79="peso_corporal",IF(ISNUMBER(E79),E79,0)+F79,F79)*G79*1000+F79,0),IF((J79&gt;0)*(IF(K79="",-1,K79)&gt;=1)*(IF(K79="",-1,K79)&lt;=3),IF(C79="peso_corporal",IF(ISNUMBER(E79),E79,0)+I79,I79)*J79*1000+I79,0),IF((M79&gt;0)*(IF(N79="",-1,N79)&gt;=1)*(IF(N79="",-1,N79)&lt;=3),IF(C79="peso_corporal",IF(ISNUMBER(E79),E79,0)+L79,L79)*M79*1000+L79,0),IF((P79&gt;0)*(IF(Q79="",-1,Q79)&gt;=1)*(IF(Q79="",-1,Q79)&lt;=3),IF(C79="peso_corporal",IF(ISNUMBER(E79),E79,0)+O79,O79)*P79*1000+O79,0),IF((S79&gt;0)*(IF(T79="",-1,T79)&gt;=1)*(IF(T79="",-1,T79)&lt;=3),IF(C79="peso_corporal",IF(ISNUMBER(E79),E79,0)+R79,R79)*S79*1000+R79,0))</f>
        <v>0</v>
      </c>
      <c r="X79" s="69">
        <f>IF(W79=0,0,IF(IF((S79&gt;0)*(IF(T79="",-1,T79)&gt;=1)*(IF(T79="",-1,T79)&lt;=3),IF(C79="peso_corporal",IF(ISNUMBER(E79),E79,0)+R79,R79)*S79*1000+R79,0)=W79,5,IF(IF((P79&gt;0)*(IF(Q79="",-1,Q79)&gt;=1)*(IF(Q79="",-1,Q79)&lt;=3),IF(C79="peso_corporal",IF(ISNUMBER(E79),E79,0)+O79,O79)*P79*1000+O79,0)=W79,4,IF(IF((M79&gt;0)*(IF(N79="",-1,N79)&gt;=1)*(IF(N79="",-1,N79)&lt;=3),IF(C79="peso_corporal",IF(ISNUMBER(E79),E79,0)+L79,L79)*M79*1000+L79,0)=W79,3,IF(IF((J79&gt;0)*(IF(K79="",-1,K79)&gt;=1)*(IF(K79="",-1,K79)&lt;=3),IF(C79="peso_corporal",IF(ISNUMBER(E79),E79,0)+I79,I79)*J79*1000+I79,0)=W79,2,IF(IF((G79&gt;0)*(IF(H79="",-1,H79)&gt;=1)*(IF(H79="",-1,H79)&lt;=3),IF(C79="peso_corporal",IF(ISNUMBER(E79),E79,0)+F79,F79)*G79*1000+F79,0)=W79,1,0))))))</f>
        <v>0</v>
      </c>
      <c r="Y79" s="69">
        <f>MAX(IF((G79&gt;0)*(IF(H79="",-1,H79)=0)*(1-(IF(H79="",-1,H79)&gt;=1)*(IF(H79="",-1,H79)&lt;=3)),IF(C79="peso_corporal",IF(ISNUMBER(E79),E79,0)+F79,F79)*G79*1000+F79,0),IF((J79&gt;0)*(IF(K79="",-1,K79)=0)*(1-(IF(K79="",-1,K79)&gt;=1)*(IF(K79="",-1,K79)&lt;=3)),IF(C79="peso_corporal",IF(ISNUMBER(E79),E79,0)+I79,I79)*J79*1000+I79,0),IF((M79&gt;0)*(IF(N79="",-1,N79)=0)*(1-(IF(N79="",-1,N79)&gt;=1)*(IF(N79="",-1,N79)&lt;=3)),IF(C79="peso_corporal",IF(ISNUMBER(E79),E79,0)+L79,L79)*M79*1000+L79,0),IF((P79&gt;0)*(IF(Q79="",-1,Q79)=0)*(1-(IF(Q79="",-1,Q79)&gt;=1)*(IF(Q79="",-1,Q79)&lt;=3)),IF(C79="peso_corporal",IF(ISNUMBER(E79),E79,0)+O79,O79)*P79*1000+O79,0),IF((S79&gt;0)*(IF(T79="",-1,T79)=0)*(1-(IF(T79="",-1,T79)&gt;=1)*(IF(T79="",-1,T79)&lt;=3)),IF(C79="peso_corporal",IF(ISNUMBER(E79),E79,0)+R79,R79)*S79*1000+R79,0))</f>
        <v>0</v>
      </c>
      <c r="Z79" s="69">
        <f>IF(Y79=0,0,IF(IF((S79&gt;0)*(IF(T79="",-1,T79)=0)*(1-(IF(T79="",-1,T79)&gt;=1)*(IF(T79="",-1,T79)&lt;=3)),IF(C79="peso_corporal",IF(ISNUMBER(E79),E79,0)+R79,R79)*S79*1000+R79,0)=Y79,5,IF(IF((P79&gt;0)*(IF(Q79="",-1,Q79)=0)*(1-(IF(Q79="",-1,Q79)&gt;=1)*(IF(Q79="",-1,Q79)&lt;=3)),IF(C79="peso_corporal",IF(ISNUMBER(E79),E79,0)+O79,O79)*P79*1000+O79,0)=Y79,4,IF(IF((M79&gt;0)*(IF(N79="",-1,N79)=0)*(1-(IF(N79="",-1,N79)&gt;=1)*(IF(N79="",-1,N79)&lt;=3)),IF(C79="peso_corporal",IF(ISNUMBER(E79),E79,0)+L79,L79)*M79*1000+L79,0)=Y79,3,IF(IF((J79&gt;0)*(IF(K79="",-1,K79)=0)*(1-(IF(K79="",-1,K79)&gt;=1)*(IF(K79="",-1,K79)&lt;=3)),IF(C79="peso_corporal",IF(ISNUMBER(E79),E79,0)+I79,I79)*J79*1000+I79,0)=Y79,2,IF(IF((G79&gt;0)*(IF(H79="",-1,H79)=0)*(1-(IF(H79="",-1,H79)&gt;=1)*(IF(H79="",-1,H79)&lt;=3)),IF(C79="peso_corporal",IF(ISNUMBER(E79),E79,0)+F79,F79)*G79*1000+F79,0)=Y79,1,0))))))</f>
        <v>0</v>
      </c>
      <c r="AA79" s="69">
        <f>MAX(IF((G79&gt;=6)*(1-(IF(H79="",-1,H79)&gt;=1)*(IF(H79="",-1,H79)&lt;=3))*(1-(IF(H79="",-1,H79)=0)),IF(C79="peso_corporal",IF(ISNUMBER(E79),E79,0)+F79,F79)*(30+G79)*100+F79,0),IF((J79&gt;=6)*(1-(IF(K79="",-1,K79)&gt;=1)*(IF(K79="",-1,K79)&lt;=3))*(1-(IF(K79="",-1,K79)=0)),IF(C79="peso_corporal",IF(ISNUMBER(E79),E79,0)+I79,I79)*(30+J79)*100+I79,0),IF((M79&gt;=6)*(1-(IF(N79="",-1,N79)&gt;=1)*(IF(N79="",-1,N79)&lt;=3))*(1-(IF(N79="",-1,N79)=0)),IF(C79="peso_corporal",IF(ISNUMBER(E79),E79,0)+L79,L79)*(30+M79)*100+L79,0),IF((P79&gt;=6)*(1-(IF(Q79="",-1,Q79)&gt;=1)*(IF(Q79="",-1,Q79)&lt;=3))*(1-(IF(Q79="",-1,Q79)=0)),IF(C79="peso_corporal",IF(ISNUMBER(E79),E79,0)+O79,O79)*(30+P79)*100+O79,0),IF((S79&gt;=6)*(1-(IF(T79="",-1,T79)&gt;=1)*(IF(T79="",-1,T79)&lt;=3))*(1-(IF(T79="",-1,T79)=0)),IF(C79="peso_corporal",IF(ISNUMBER(E79),E79,0)+R79,R79)*(30+S79)*100+R79,0))</f>
        <v>0</v>
      </c>
      <c r="AB79" s="69">
        <f>IF(AA79=0,0,IF(IF((S79&gt;=6)*(1-(IF(T79="",-1,T79)&gt;=1)*(IF(T79="",-1,T79)&lt;=3))*(1-(IF(T79="",-1,T79)=0)),IF(C79="peso_corporal",IF(ISNUMBER(E79),E79,0)+R79,R79)*(30+S79)*100+R79,0)=AA79,5,IF(IF((P79&gt;=6)*(1-(IF(Q79="",-1,Q79)&gt;=1)*(IF(Q79="",-1,Q79)&lt;=3))*(1-(IF(Q79="",-1,Q79)=0)),IF(C79="peso_corporal",IF(ISNUMBER(E79),E79,0)+O79,O79)*(30+P79)*100+O79,0)=AA79,4,IF(IF((M79&gt;=6)*(1-(IF(N79="",-1,N79)&gt;=1)*(IF(N79="",-1,N79)&lt;=3))*(1-(IF(N79="",-1,N79)=0)),IF(C79="peso_corporal",IF(ISNUMBER(E79),E79,0)+L79,L79)*(30+M79)*100+L79,0)=AA79,3,IF(IF((J79&gt;=6)*(1-(IF(K79="",-1,K79)&gt;=1)*(IF(K79="",-1,K79)&lt;=3))*(1-(IF(K79="",-1,K79)=0)),IF(C79="peso_corporal",IF(ISNUMBER(E79),E79,0)+I79,I79)*(30+J79)*100+I79,0)=AA79,2,IF(IF((G79&gt;=6)*(1-(IF(H79="",-1,H79)&gt;=1)*(IF(H79="",-1,H79)&lt;=3))*(1-(IF(H79="",-1,H79)=0)),IF(C79="peso_corporal",IF(ISNUMBER(E79),E79,0)+F79,F79)*(30+G79)*100+F79,0)=AA79,1,0))))))</f>
        <v>0</v>
      </c>
      <c r="AC79" s="69" t="str">
        <f>IF(X79&gt;0,"A"&amp;X79,IF(Z79&gt;0,"B"&amp;Z79,IF(AB79&gt;0,"C"&amp;AB79,"")))</f>
        <v/>
      </c>
    </row>
    <row r="80" spans="1:29" ht="11.1" customHeight="1">
      <c r="A80" s="84" t="s">
        <v>32</v>
      </c>
      <c r="B80" s="73"/>
      <c r="C80" s="73"/>
      <c r="D80" s="73"/>
      <c r="E80" s="73"/>
      <c r="F80" s="73"/>
      <c r="G80" s="73"/>
      <c r="H80" s="73"/>
      <c r="I80" s="73"/>
      <c r="J80" s="73"/>
      <c r="K80" s="73"/>
      <c r="L80" s="73"/>
      <c r="M80" s="73"/>
      <c r="N80" s="73"/>
      <c r="O80" s="73"/>
      <c r="P80" s="73"/>
      <c r="Q80" s="73"/>
      <c r="R80" s="73"/>
      <c r="S80" s="73"/>
      <c r="T80" s="73"/>
      <c r="U80" s="73"/>
      <c r="V80" s="73"/>
      <c r="W80" s="69"/>
      <c r="X80" s="69"/>
      <c r="Y80" s="69"/>
      <c r="Z80" s="69"/>
      <c r="AA80" s="69"/>
      <c r="AB80" s="69"/>
      <c r="AC80" s="69"/>
    </row>
    <row r="81" spans="1:29" ht="20.100000000000001" customHeight="1">
      <c r="A81" s="14" t="s">
        <v>61</v>
      </c>
      <c r="B81" s="15" t="s">
        <v>31</v>
      </c>
      <c r="C81" s="16" t="str">
        <f>IFERROR(INDEX(EJERCICIOS!$D$3:$D$75,MATCH(A81&amp;"|"&amp;B81,EJERCICIOS!$G$3:$G$75,0)),"--")</f>
        <v>mancuerna</v>
      </c>
      <c r="D81" s="17">
        <v>3</v>
      </c>
      <c r="E81" s="18">
        <f>IFERROR(LOOKUP(2,1/(MEDIDAS_Y_PESO!$B$3:$B$6&lt;&gt;""),MEDIDAS_Y_PESO!$B$3:$B$6),"--")</f>
        <v>80</v>
      </c>
      <c r="F81" s="19"/>
      <c r="G81" s="20"/>
      <c r="H81" s="21"/>
      <c r="I81" s="19"/>
      <c r="J81" s="20"/>
      <c r="K81" s="21"/>
      <c r="L81" s="19"/>
      <c r="M81" s="20"/>
      <c r="N81" s="21"/>
      <c r="O81" s="19"/>
      <c r="P81" s="20"/>
      <c r="Q81" s="21"/>
      <c r="R81" s="19"/>
      <c r="S81" s="20"/>
      <c r="T81" s="21"/>
      <c r="U81" s="22" t="str">
        <f>IFERROR(IF(IF(X81&gt;0,X81,IF(Z81&gt;0,Z81,IF(AB81&gt;0,AB81,0)))=0,"--",ROUND(CHOOSE(IF(X81&gt;0,X81,IF(Z81&gt;0,Z81,IF(AB81&gt;0,AB81,0))),IF(C81="peso_corporal",IF(ISNUMBER(E81),E81,0)+F81,F81)*(1+G81/30),IF(C81="peso_corporal",IF(ISNUMBER(E81),E81,0)+I81,I81)*(1+J81/30),IF(C81="peso_corporal",IF(ISNUMBER(E81),E81,0)+L81,L81)*(1+M81/30),IF(C81="peso_corporal",IF(ISNUMBER(E81),E81,0)+O81,O81)*(1+P81/30),IF(C81="peso_corporal",IF(ISNUMBER(E81),E81,0)+R81,R81)*(1+S81/30)),1)),"--")</f>
        <v>--</v>
      </c>
      <c r="V81" s="23" t="str">
        <f>IF(SUGERENCIAS!N194="SIN","Sin datos anteriores",IF(SUGERENCIAS!N194="SUBIR_F","^ SUBIR FUERTE | Kg:"&amp;ROUND(SUGERENCIAS!K194,1)&amp;" R:"&amp;ROUND(SUGERENCIAS!L194,0)&amp;" RIR:"&amp;ROUND(SUGERENCIAS!M194,0),IF(SUGERENCIAS!N194="SUBIR_E","^ SUBIR (Est.) | Kg:"&amp;ROUND(SUGERENCIAS!K194,1)&amp;" R:"&amp;ROUND(SUGERENCIAS!L194,0)&amp;" RIR:"&amp;ROUND(SUGERENCIAS!M194,0),IF(SUGERENCIAS!N194="SUBIR","^ SUBIR | Kg:"&amp;ROUND(SUGERENCIAS!K194,1)&amp;" R:"&amp;ROUND(SUGERENCIAS!L194,0)&amp;" RIR:"&amp;ROUND(SUGERENCIAS!M194,0),IF(SUGERENCIAS!N194="BAJAR","v BAJAR | Kg:"&amp;ROUND(SUGERENCIAS!K194,1)&amp;" R:"&amp;ROUND(SUGERENCIAS!L194,0)&amp;" RIR:"&amp;ROUND(SUGERENCIAS!M194,0),"= MANT | Kg:"&amp;ROUND(SUGERENCIAS!K194,1)&amp;" R:"&amp;ROUND(SUGERENCIAS!L194,0)&amp;" RIR:"&amp;ROUND(SUGERENCIAS!M194,0))))))</f>
        <v>Sin datos anteriores</v>
      </c>
      <c r="W81" s="69">
        <f>MAX(IF((G81&gt;0)*(IF(H81="",-1,H81)&gt;=1)*(IF(H81="",-1,H81)&lt;=3),IF(C81="peso_corporal",IF(ISNUMBER(E81),E81,0)+F81,F81)*G81*1000+F81,0),IF((J81&gt;0)*(IF(K81="",-1,K81)&gt;=1)*(IF(K81="",-1,K81)&lt;=3),IF(C81="peso_corporal",IF(ISNUMBER(E81),E81,0)+I81,I81)*J81*1000+I81,0),IF((M81&gt;0)*(IF(N81="",-1,N81)&gt;=1)*(IF(N81="",-1,N81)&lt;=3),IF(C81="peso_corporal",IF(ISNUMBER(E81),E81,0)+L81,L81)*M81*1000+L81,0),IF((P81&gt;0)*(IF(Q81="",-1,Q81)&gt;=1)*(IF(Q81="",-1,Q81)&lt;=3),IF(C81="peso_corporal",IF(ISNUMBER(E81),E81,0)+O81,O81)*P81*1000+O81,0),IF((S81&gt;0)*(IF(T81="",-1,T81)&gt;=1)*(IF(T81="",-1,T81)&lt;=3),IF(C81="peso_corporal",IF(ISNUMBER(E81),E81,0)+R81,R81)*S81*1000+R81,0))</f>
        <v>0</v>
      </c>
      <c r="X81" s="69">
        <f>IF(W81=0,0,IF(IF((S81&gt;0)*(IF(T81="",-1,T81)&gt;=1)*(IF(T81="",-1,T81)&lt;=3),IF(C81="peso_corporal",IF(ISNUMBER(E81),E81,0)+R81,R81)*S81*1000+R81,0)=W81,5,IF(IF((P81&gt;0)*(IF(Q81="",-1,Q81)&gt;=1)*(IF(Q81="",-1,Q81)&lt;=3),IF(C81="peso_corporal",IF(ISNUMBER(E81),E81,0)+O81,O81)*P81*1000+O81,0)=W81,4,IF(IF((M81&gt;0)*(IF(N81="",-1,N81)&gt;=1)*(IF(N81="",-1,N81)&lt;=3),IF(C81="peso_corporal",IF(ISNUMBER(E81),E81,0)+L81,L81)*M81*1000+L81,0)=W81,3,IF(IF((J81&gt;0)*(IF(K81="",-1,K81)&gt;=1)*(IF(K81="",-1,K81)&lt;=3),IF(C81="peso_corporal",IF(ISNUMBER(E81),E81,0)+I81,I81)*J81*1000+I81,0)=W81,2,IF(IF((G81&gt;0)*(IF(H81="",-1,H81)&gt;=1)*(IF(H81="",-1,H81)&lt;=3),IF(C81="peso_corporal",IF(ISNUMBER(E81),E81,0)+F81,F81)*G81*1000+F81,0)=W81,1,0))))))</f>
        <v>0</v>
      </c>
      <c r="Y81" s="69">
        <f>MAX(IF((G81&gt;0)*(IF(H81="",-1,H81)=0)*(1-(IF(H81="",-1,H81)&gt;=1)*(IF(H81="",-1,H81)&lt;=3)),IF(C81="peso_corporal",IF(ISNUMBER(E81),E81,0)+F81,F81)*G81*1000+F81,0),IF((J81&gt;0)*(IF(K81="",-1,K81)=0)*(1-(IF(K81="",-1,K81)&gt;=1)*(IF(K81="",-1,K81)&lt;=3)),IF(C81="peso_corporal",IF(ISNUMBER(E81),E81,0)+I81,I81)*J81*1000+I81,0),IF((M81&gt;0)*(IF(N81="",-1,N81)=0)*(1-(IF(N81="",-1,N81)&gt;=1)*(IF(N81="",-1,N81)&lt;=3)),IF(C81="peso_corporal",IF(ISNUMBER(E81),E81,0)+L81,L81)*M81*1000+L81,0),IF((P81&gt;0)*(IF(Q81="",-1,Q81)=0)*(1-(IF(Q81="",-1,Q81)&gt;=1)*(IF(Q81="",-1,Q81)&lt;=3)),IF(C81="peso_corporal",IF(ISNUMBER(E81),E81,0)+O81,O81)*P81*1000+O81,0),IF((S81&gt;0)*(IF(T81="",-1,T81)=0)*(1-(IF(T81="",-1,T81)&gt;=1)*(IF(T81="",-1,T81)&lt;=3)),IF(C81="peso_corporal",IF(ISNUMBER(E81),E81,0)+R81,R81)*S81*1000+R81,0))</f>
        <v>0</v>
      </c>
      <c r="Z81" s="69">
        <f>IF(Y81=0,0,IF(IF((S81&gt;0)*(IF(T81="",-1,T81)=0)*(1-(IF(T81="",-1,T81)&gt;=1)*(IF(T81="",-1,T81)&lt;=3)),IF(C81="peso_corporal",IF(ISNUMBER(E81),E81,0)+R81,R81)*S81*1000+R81,0)=Y81,5,IF(IF((P81&gt;0)*(IF(Q81="",-1,Q81)=0)*(1-(IF(Q81="",-1,Q81)&gt;=1)*(IF(Q81="",-1,Q81)&lt;=3)),IF(C81="peso_corporal",IF(ISNUMBER(E81),E81,0)+O81,O81)*P81*1000+O81,0)=Y81,4,IF(IF((M81&gt;0)*(IF(N81="",-1,N81)=0)*(1-(IF(N81="",-1,N81)&gt;=1)*(IF(N81="",-1,N81)&lt;=3)),IF(C81="peso_corporal",IF(ISNUMBER(E81),E81,0)+L81,L81)*M81*1000+L81,0)=Y81,3,IF(IF((J81&gt;0)*(IF(K81="",-1,K81)=0)*(1-(IF(K81="",-1,K81)&gt;=1)*(IF(K81="",-1,K81)&lt;=3)),IF(C81="peso_corporal",IF(ISNUMBER(E81),E81,0)+I81,I81)*J81*1000+I81,0)=Y81,2,IF(IF((G81&gt;0)*(IF(H81="",-1,H81)=0)*(1-(IF(H81="",-1,H81)&gt;=1)*(IF(H81="",-1,H81)&lt;=3)),IF(C81="peso_corporal",IF(ISNUMBER(E81),E81,0)+F81,F81)*G81*1000+F81,0)=Y81,1,0))))))</f>
        <v>0</v>
      </c>
      <c r="AA81" s="69">
        <f>MAX(IF((G81&gt;=6)*(1-(IF(H81="",-1,H81)&gt;=1)*(IF(H81="",-1,H81)&lt;=3))*(1-(IF(H81="",-1,H81)=0)),IF(C81="peso_corporal",IF(ISNUMBER(E81),E81,0)+F81,F81)*(30+G81)*100+F81,0),IF((J81&gt;=6)*(1-(IF(K81="",-1,K81)&gt;=1)*(IF(K81="",-1,K81)&lt;=3))*(1-(IF(K81="",-1,K81)=0)),IF(C81="peso_corporal",IF(ISNUMBER(E81),E81,0)+I81,I81)*(30+J81)*100+I81,0),IF((M81&gt;=6)*(1-(IF(N81="",-1,N81)&gt;=1)*(IF(N81="",-1,N81)&lt;=3))*(1-(IF(N81="",-1,N81)=0)),IF(C81="peso_corporal",IF(ISNUMBER(E81),E81,0)+L81,L81)*(30+M81)*100+L81,0),IF((P81&gt;=6)*(1-(IF(Q81="",-1,Q81)&gt;=1)*(IF(Q81="",-1,Q81)&lt;=3))*(1-(IF(Q81="",-1,Q81)=0)),IF(C81="peso_corporal",IF(ISNUMBER(E81),E81,0)+O81,O81)*(30+P81)*100+O81,0),IF((S81&gt;=6)*(1-(IF(T81="",-1,T81)&gt;=1)*(IF(T81="",-1,T81)&lt;=3))*(1-(IF(T81="",-1,T81)=0)),IF(C81="peso_corporal",IF(ISNUMBER(E81),E81,0)+R81,R81)*(30+S81)*100+R81,0))</f>
        <v>0</v>
      </c>
      <c r="AB81" s="69">
        <f>IF(AA81=0,0,IF(IF((S81&gt;=6)*(1-(IF(T81="",-1,T81)&gt;=1)*(IF(T81="",-1,T81)&lt;=3))*(1-(IF(T81="",-1,T81)=0)),IF(C81="peso_corporal",IF(ISNUMBER(E81),E81,0)+R81,R81)*(30+S81)*100+R81,0)=AA81,5,IF(IF((P81&gt;=6)*(1-(IF(Q81="",-1,Q81)&gt;=1)*(IF(Q81="",-1,Q81)&lt;=3))*(1-(IF(Q81="",-1,Q81)=0)),IF(C81="peso_corporal",IF(ISNUMBER(E81),E81,0)+O81,O81)*(30+P81)*100+O81,0)=AA81,4,IF(IF((M81&gt;=6)*(1-(IF(N81="",-1,N81)&gt;=1)*(IF(N81="",-1,N81)&lt;=3))*(1-(IF(N81="",-1,N81)=0)),IF(C81="peso_corporal",IF(ISNUMBER(E81),E81,0)+L81,L81)*(30+M81)*100+L81,0)=AA81,3,IF(IF((J81&gt;=6)*(1-(IF(K81="",-1,K81)&gt;=1)*(IF(K81="",-1,K81)&lt;=3))*(1-(IF(K81="",-1,K81)=0)),IF(C81="peso_corporal",IF(ISNUMBER(E81),E81,0)+I81,I81)*(30+J81)*100+I81,0)=AA81,2,IF(IF((G81&gt;=6)*(1-(IF(H81="",-1,H81)&gt;=1)*(IF(H81="",-1,H81)&lt;=3))*(1-(IF(H81="",-1,H81)=0)),IF(C81="peso_corporal",IF(ISNUMBER(E81),E81,0)+F81,F81)*(30+G81)*100+F81,0)=AA81,1,0))))))</f>
        <v>0</v>
      </c>
      <c r="AC81" s="69" t="str">
        <f>IF(X81&gt;0,"A"&amp;X81,IF(Z81&gt;0,"B"&amp;Z81,IF(AB81&gt;0,"C"&amp;AB81,"")))</f>
        <v/>
      </c>
    </row>
    <row r="82" spans="1:29" ht="11.1" customHeight="1">
      <c r="A82" s="87" t="s">
        <v>35</v>
      </c>
      <c r="B82" s="73"/>
      <c r="C82" s="73"/>
      <c r="D82" s="73"/>
      <c r="E82" s="73"/>
      <c r="F82" s="73"/>
      <c r="G82" s="73"/>
      <c r="H82" s="73"/>
      <c r="I82" s="73"/>
      <c r="J82" s="73"/>
      <c r="K82" s="73"/>
      <c r="L82" s="73"/>
      <c r="M82" s="73"/>
      <c r="N82" s="73"/>
      <c r="O82" s="73"/>
      <c r="P82" s="73"/>
      <c r="Q82" s="73"/>
      <c r="R82" s="73"/>
      <c r="S82" s="73"/>
      <c r="T82" s="73"/>
      <c r="U82" s="73"/>
      <c r="V82" s="73"/>
      <c r="W82" s="69"/>
      <c r="X82" s="69"/>
      <c r="Y82" s="69"/>
      <c r="Z82" s="69"/>
      <c r="AA82" s="69"/>
      <c r="AB82" s="69"/>
      <c r="AC82" s="69"/>
    </row>
    <row r="83" spans="1:29" ht="20.100000000000001" customHeight="1">
      <c r="A83" s="14" t="s">
        <v>36</v>
      </c>
      <c r="B83" s="15" t="s">
        <v>37</v>
      </c>
      <c r="C83" s="16" t="str">
        <f>IFERROR(INDEX(EJERCICIOS!$D$3:$D$75,MATCH(A83&amp;"|"&amp;B83,EJERCICIOS!$G$3:$G$75,0)),"--")</f>
        <v>peso_corporal</v>
      </c>
      <c r="D83" s="17">
        <v>3</v>
      </c>
      <c r="E83" s="18">
        <f>IFERROR(LOOKUP(2,1/(MEDIDAS_Y_PESO!$B$3:$B$6&lt;&gt;""),MEDIDAS_Y_PESO!$B$3:$B$6),"--")</f>
        <v>80</v>
      </c>
      <c r="F83" s="19"/>
      <c r="G83" s="20"/>
      <c r="H83" s="21"/>
      <c r="I83" s="19"/>
      <c r="J83" s="20"/>
      <c r="K83" s="21"/>
      <c r="L83" s="19"/>
      <c r="M83" s="20"/>
      <c r="N83" s="21"/>
      <c r="O83" s="19"/>
      <c r="P83" s="20"/>
      <c r="Q83" s="21"/>
      <c r="R83" s="19"/>
      <c r="S83" s="20"/>
      <c r="T83" s="21"/>
      <c r="U83" s="22" t="str">
        <f>IFERROR(IF(IF(X83&gt;0,X83,IF(Z83&gt;0,Z83,IF(AB83&gt;0,AB83,0)))=0,"--",ROUND(CHOOSE(IF(X83&gt;0,X83,IF(Z83&gt;0,Z83,IF(AB83&gt;0,AB83,0))),IF(C83="peso_corporal",IF(ISNUMBER(E83),E83,0)+F83,F83)*(1+G83/30),IF(C83="peso_corporal",IF(ISNUMBER(E83),E83,0)+I83,I83)*(1+J83/30),IF(C83="peso_corporal",IF(ISNUMBER(E83),E83,0)+L83,L83)*(1+M83/30),IF(C83="peso_corporal",IF(ISNUMBER(E83),E83,0)+O83,O83)*(1+P83/30),IF(C83="peso_corporal",IF(ISNUMBER(E83),E83,0)+R83,R83)*(1+S83/30)),1)),"--")</f>
        <v>--</v>
      </c>
      <c r="V83" s="23" t="str">
        <f>IF(SUGERENCIAS!N195="SIN","Sin datos anteriores",IF(SUGERENCIAS!N195="SUBIR_F","^ SUBIR FUERTE | Kg:"&amp;ROUND(SUGERENCIAS!K195,1)&amp;" R:"&amp;ROUND(SUGERENCIAS!L195,0)&amp;" RIR:"&amp;ROUND(SUGERENCIAS!M195,0),IF(SUGERENCIAS!N195="SUBIR_E","^ SUBIR (Est.) | Kg:"&amp;ROUND(SUGERENCIAS!K195,1)&amp;" R:"&amp;ROUND(SUGERENCIAS!L195,0)&amp;" RIR:"&amp;ROUND(SUGERENCIAS!M195,0),IF(SUGERENCIAS!N195="SUBIR","^ SUBIR | Kg:"&amp;ROUND(SUGERENCIAS!K195,1)&amp;" R:"&amp;ROUND(SUGERENCIAS!L195,0)&amp;" RIR:"&amp;ROUND(SUGERENCIAS!M195,0),IF(SUGERENCIAS!N195="BAJAR","v BAJAR | Kg:"&amp;ROUND(SUGERENCIAS!K195,1)&amp;" R:"&amp;ROUND(SUGERENCIAS!L195,0)&amp;" RIR:"&amp;ROUND(SUGERENCIAS!M195,0),"= MANT | Kg:"&amp;ROUND(SUGERENCIAS!K195,1)&amp;" R:"&amp;ROUND(SUGERENCIAS!L195,0)&amp;" RIR:"&amp;ROUND(SUGERENCIAS!M195,0))))))</f>
        <v>^ SUBIR FUERTE | Kg:5 R:6 RIR:2</v>
      </c>
      <c r="W83" s="69">
        <f>MAX(IF((G83&gt;0)*(IF(H83="",-1,H83)&gt;=1)*(IF(H83="",-1,H83)&lt;=3),IF(C83="peso_corporal",IF(ISNUMBER(E83),E83,0)+F83,F83)*G83*1000+F83,0),IF((J83&gt;0)*(IF(K83="",-1,K83)&gt;=1)*(IF(K83="",-1,K83)&lt;=3),IF(C83="peso_corporal",IF(ISNUMBER(E83),E83,0)+I83,I83)*J83*1000+I83,0),IF((M83&gt;0)*(IF(N83="",-1,N83)&gt;=1)*(IF(N83="",-1,N83)&lt;=3),IF(C83="peso_corporal",IF(ISNUMBER(E83),E83,0)+L83,L83)*M83*1000+L83,0),IF((P83&gt;0)*(IF(Q83="",-1,Q83)&gt;=1)*(IF(Q83="",-1,Q83)&lt;=3),IF(C83="peso_corporal",IF(ISNUMBER(E83),E83,0)+O83,O83)*P83*1000+O83,0),IF((S83&gt;0)*(IF(T83="",-1,T83)&gt;=1)*(IF(T83="",-1,T83)&lt;=3),IF(C83="peso_corporal",IF(ISNUMBER(E83),E83,0)+R83,R83)*S83*1000+R83,0))</f>
        <v>0</v>
      </c>
      <c r="X83" s="69">
        <f>IF(W83=0,0,IF(IF((S83&gt;0)*(IF(T83="",-1,T83)&gt;=1)*(IF(T83="",-1,T83)&lt;=3),IF(C83="peso_corporal",IF(ISNUMBER(E83),E83,0)+R83,R83)*S83*1000+R83,0)=W83,5,IF(IF((P83&gt;0)*(IF(Q83="",-1,Q83)&gt;=1)*(IF(Q83="",-1,Q83)&lt;=3),IF(C83="peso_corporal",IF(ISNUMBER(E83),E83,0)+O83,O83)*P83*1000+O83,0)=W83,4,IF(IF((M83&gt;0)*(IF(N83="",-1,N83)&gt;=1)*(IF(N83="",-1,N83)&lt;=3),IF(C83="peso_corporal",IF(ISNUMBER(E83),E83,0)+L83,L83)*M83*1000+L83,0)=W83,3,IF(IF((J83&gt;0)*(IF(K83="",-1,K83)&gt;=1)*(IF(K83="",-1,K83)&lt;=3),IF(C83="peso_corporal",IF(ISNUMBER(E83),E83,0)+I83,I83)*J83*1000+I83,0)=W83,2,IF(IF((G83&gt;0)*(IF(H83="",-1,H83)&gt;=1)*(IF(H83="",-1,H83)&lt;=3),IF(C83="peso_corporal",IF(ISNUMBER(E83),E83,0)+F83,F83)*G83*1000+F83,0)=W83,1,0))))))</f>
        <v>0</v>
      </c>
      <c r="Y83" s="69">
        <f>MAX(IF((G83&gt;0)*(IF(H83="",-1,H83)=0)*(1-(IF(H83="",-1,H83)&gt;=1)*(IF(H83="",-1,H83)&lt;=3)),IF(C83="peso_corporal",IF(ISNUMBER(E83),E83,0)+F83,F83)*G83*1000+F83,0),IF((J83&gt;0)*(IF(K83="",-1,K83)=0)*(1-(IF(K83="",-1,K83)&gt;=1)*(IF(K83="",-1,K83)&lt;=3)),IF(C83="peso_corporal",IF(ISNUMBER(E83),E83,0)+I83,I83)*J83*1000+I83,0),IF((M83&gt;0)*(IF(N83="",-1,N83)=0)*(1-(IF(N83="",-1,N83)&gt;=1)*(IF(N83="",-1,N83)&lt;=3)),IF(C83="peso_corporal",IF(ISNUMBER(E83),E83,0)+L83,L83)*M83*1000+L83,0),IF((P83&gt;0)*(IF(Q83="",-1,Q83)=0)*(1-(IF(Q83="",-1,Q83)&gt;=1)*(IF(Q83="",-1,Q83)&lt;=3)),IF(C83="peso_corporal",IF(ISNUMBER(E83),E83,0)+O83,O83)*P83*1000+O83,0),IF((S83&gt;0)*(IF(T83="",-1,T83)=0)*(1-(IF(T83="",-1,T83)&gt;=1)*(IF(T83="",-1,T83)&lt;=3)),IF(C83="peso_corporal",IF(ISNUMBER(E83),E83,0)+R83,R83)*S83*1000+R83,0))</f>
        <v>0</v>
      </c>
      <c r="Z83" s="69">
        <f>IF(Y83=0,0,IF(IF((S83&gt;0)*(IF(T83="",-1,T83)=0)*(1-(IF(T83="",-1,T83)&gt;=1)*(IF(T83="",-1,T83)&lt;=3)),IF(C83="peso_corporal",IF(ISNUMBER(E83),E83,0)+R83,R83)*S83*1000+R83,0)=Y83,5,IF(IF((P83&gt;0)*(IF(Q83="",-1,Q83)=0)*(1-(IF(Q83="",-1,Q83)&gt;=1)*(IF(Q83="",-1,Q83)&lt;=3)),IF(C83="peso_corporal",IF(ISNUMBER(E83),E83,0)+O83,O83)*P83*1000+O83,0)=Y83,4,IF(IF((M83&gt;0)*(IF(N83="",-1,N83)=0)*(1-(IF(N83="",-1,N83)&gt;=1)*(IF(N83="",-1,N83)&lt;=3)),IF(C83="peso_corporal",IF(ISNUMBER(E83),E83,0)+L83,L83)*M83*1000+L83,0)=Y83,3,IF(IF((J83&gt;0)*(IF(K83="",-1,K83)=0)*(1-(IF(K83="",-1,K83)&gt;=1)*(IF(K83="",-1,K83)&lt;=3)),IF(C83="peso_corporal",IF(ISNUMBER(E83),E83,0)+I83,I83)*J83*1000+I83,0)=Y83,2,IF(IF((G83&gt;0)*(IF(H83="",-1,H83)=0)*(1-(IF(H83="",-1,H83)&gt;=1)*(IF(H83="",-1,H83)&lt;=3)),IF(C83="peso_corporal",IF(ISNUMBER(E83),E83,0)+F83,F83)*G83*1000+F83,0)=Y83,1,0))))))</f>
        <v>0</v>
      </c>
      <c r="AA83" s="69">
        <f>MAX(IF((G83&gt;=6)*(1-(IF(H83="",-1,H83)&gt;=1)*(IF(H83="",-1,H83)&lt;=3))*(1-(IF(H83="",-1,H83)=0)),IF(C83="peso_corporal",IF(ISNUMBER(E83),E83,0)+F83,F83)*(30+G83)*100+F83,0),IF((J83&gt;=6)*(1-(IF(K83="",-1,K83)&gt;=1)*(IF(K83="",-1,K83)&lt;=3))*(1-(IF(K83="",-1,K83)=0)),IF(C83="peso_corporal",IF(ISNUMBER(E83),E83,0)+I83,I83)*(30+J83)*100+I83,0),IF((M83&gt;=6)*(1-(IF(N83="",-1,N83)&gt;=1)*(IF(N83="",-1,N83)&lt;=3))*(1-(IF(N83="",-1,N83)=0)),IF(C83="peso_corporal",IF(ISNUMBER(E83),E83,0)+L83,L83)*(30+M83)*100+L83,0),IF((P83&gt;=6)*(1-(IF(Q83="",-1,Q83)&gt;=1)*(IF(Q83="",-1,Q83)&lt;=3))*(1-(IF(Q83="",-1,Q83)=0)),IF(C83="peso_corporal",IF(ISNUMBER(E83),E83,0)+O83,O83)*(30+P83)*100+O83,0),IF((S83&gt;=6)*(1-(IF(T83="",-1,T83)&gt;=1)*(IF(T83="",-1,T83)&lt;=3))*(1-(IF(T83="",-1,T83)=0)),IF(C83="peso_corporal",IF(ISNUMBER(E83),E83,0)+R83,R83)*(30+S83)*100+R83,0))</f>
        <v>0</v>
      </c>
      <c r="AB83" s="69">
        <f>IF(AA83=0,0,IF(IF((S83&gt;=6)*(1-(IF(T83="",-1,T83)&gt;=1)*(IF(T83="",-1,T83)&lt;=3))*(1-(IF(T83="",-1,T83)=0)),IF(C83="peso_corporal",IF(ISNUMBER(E83),E83,0)+R83,R83)*(30+S83)*100+R83,0)=AA83,5,IF(IF((P83&gt;=6)*(1-(IF(Q83="",-1,Q83)&gt;=1)*(IF(Q83="",-1,Q83)&lt;=3))*(1-(IF(Q83="",-1,Q83)=0)),IF(C83="peso_corporal",IF(ISNUMBER(E83),E83,0)+O83,O83)*(30+P83)*100+O83,0)=AA83,4,IF(IF((M83&gt;=6)*(1-(IF(N83="",-1,N83)&gt;=1)*(IF(N83="",-1,N83)&lt;=3))*(1-(IF(N83="",-1,N83)=0)),IF(C83="peso_corporal",IF(ISNUMBER(E83),E83,0)+L83,L83)*(30+M83)*100+L83,0)=AA83,3,IF(IF((J83&gt;=6)*(1-(IF(K83="",-1,K83)&gt;=1)*(IF(K83="",-1,K83)&lt;=3))*(1-(IF(K83="",-1,K83)=0)),IF(C83="peso_corporal",IF(ISNUMBER(E83),E83,0)+I83,I83)*(30+J83)*100+I83,0)=AA83,2,IF(IF((G83&gt;=6)*(1-(IF(H83="",-1,H83)&gt;=1)*(IF(H83="",-1,H83)&lt;=3))*(1-(IF(H83="",-1,H83)=0)),IF(C83="peso_corporal",IF(ISNUMBER(E83),E83,0)+F83,F83)*(30+G83)*100+F83,0)=AA83,1,0))))))</f>
        <v>0</v>
      </c>
      <c r="AC83" s="69" t="str">
        <f>IF(X83&gt;0,"A"&amp;X83,IF(Z83&gt;0,"B"&amp;Z83,IF(AB83&gt;0,"C"&amp;AB83,"")))</f>
        <v/>
      </c>
    </row>
    <row r="84" spans="1:29" ht="20.100000000000001" customHeight="1">
      <c r="A84" s="14" t="s">
        <v>62</v>
      </c>
      <c r="B84" s="15" t="s">
        <v>39</v>
      </c>
      <c r="C84" s="16" t="str">
        <f>IFERROR(INDEX(EJERCICIOS!$D$3:$D$75,MATCH(A84&amp;"|"&amp;B84,EJERCICIOS!$G$3:$G$75,0)),"--")</f>
        <v>--</v>
      </c>
      <c r="D84" s="17">
        <v>3</v>
      </c>
      <c r="E84" s="18">
        <f>IFERROR(LOOKUP(2,1/(MEDIDAS_Y_PESO!$B$3:$B$6&lt;&gt;""),MEDIDAS_Y_PESO!$B$3:$B$6),"--")</f>
        <v>80</v>
      </c>
      <c r="F84" s="19"/>
      <c r="G84" s="20"/>
      <c r="H84" s="21"/>
      <c r="I84" s="19"/>
      <c r="J84" s="20"/>
      <c r="K84" s="21"/>
      <c r="L84" s="19"/>
      <c r="M84" s="20"/>
      <c r="N84" s="21"/>
      <c r="O84" s="19"/>
      <c r="P84" s="20"/>
      <c r="Q84" s="21"/>
      <c r="R84" s="19"/>
      <c r="S84" s="20"/>
      <c r="T84" s="21"/>
      <c r="U84" s="22" t="str">
        <f>IFERROR(IF(IF(X84&gt;0,X84,IF(Z84&gt;0,Z84,IF(AB84&gt;0,AB84,0)))=0,"--",ROUND(CHOOSE(IF(X84&gt;0,X84,IF(Z84&gt;0,Z84,IF(AB84&gt;0,AB84,0))),IF(C84="peso_corporal",IF(ISNUMBER(E84),E84,0)+F84,F84)*(1+G84/30),IF(C84="peso_corporal",IF(ISNUMBER(E84),E84,0)+I84,I84)*(1+J84/30),IF(C84="peso_corporal",IF(ISNUMBER(E84),E84,0)+L84,L84)*(1+M84/30),IF(C84="peso_corporal",IF(ISNUMBER(E84),E84,0)+O84,O84)*(1+P84/30),IF(C84="peso_corporal",IF(ISNUMBER(E84),E84,0)+R84,R84)*(1+S84/30)),1)),"--")</f>
        <v>--</v>
      </c>
      <c r="V84" s="23" t="str">
        <f>IF(SUGERENCIAS!N196="SIN","Sin datos anteriores",IF(SUGERENCIAS!N196="SUBIR_F","^ SUBIR FUERTE | Kg:"&amp;ROUND(SUGERENCIAS!K196,1)&amp;" R:"&amp;ROUND(SUGERENCIAS!L196,0)&amp;" RIR:"&amp;ROUND(SUGERENCIAS!M196,0),IF(SUGERENCIAS!N196="SUBIR_E","^ SUBIR (Est.) | Kg:"&amp;ROUND(SUGERENCIAS!K196,1)&amp;" R:"&amp;ROUND(SUGERENCIAS!L196,0)&amp;" RIR:"&amp;ROUND(SUGERENCIAS!M196,0),IF(SUGERENCIAS!N196="SUBIR","^ SUBIR | Kg:"&amp;ROUND(SUGERENCIAS!K196,1)&amp;" R:"&amp;ROUND(SUGERENCIAS!L196,0)&amp;" RIR:"&amp;ROUND(SUGERENCIAS!M196,0),IF(SUGERENCIAS!N196="BAJAR","v BAJAR | Kg:"&amp;ROUND(SUGERENCIAS!K196,1)&amp;" R:"&amp;ROUND(SUGERENCIAS!L196,0)&amp;" RIR:"&amp;ROUND(SUGERENCIAS!M196,0),"= MANT | Kg:"&amp;ROUND(SUGERENCIAS!K196,1)&amp;" R:"&amp;ROUND(SUGERENCIAS!L196,0)&amp;" RIR:"&amp;ROUND(SUGERENCIAS!M196,0))))))</f>
        <v>Sin datos anteriores</v>
      </c>
      <c r="W84" s="69">
        <f>MAX(IF((G84&gt;0)*(IF(H84="",-1,H84)&gt;=1)*(IF(H84="",-1,H84)&lt;=3),IF(C84="peso_corporal",IF(ISNUMBER(E84),E84,0)+F84,F84)*G84*1000+F84,0),IF((J84&gt;0)*(IF(K84="",-1,K84)&gt;=1)*(IF(K84="",-1,K84)&lt;=3),IF(C84="peso_corporal",IF(ISNUMBER(E84),E84,0)+I84,I84)*J84*1000+I84,0),IF((M84&gt;0)*(IF(N84="",-1,N84)&gt;=1)*(IF(N84="",-1,N84)&lt;=3),IF(C84="peso_corporal",IF(ISNUMBER(E84),E84,0)+L84,L84)*M84*1000+L84,0),IF((P84&gt;0)*(IF(Q84="",-1,Q84)&gt;=1)*(IF(Q84="",-1,Q84)&lt;=3),IF(C84="peso_corporal",IF(ISNUMBER(E84),E84,0)+O84,O84)*P84*1000+O84,0),IF((S84&gt;0)*(IF(T84="",-1,T84)&gt;=1)*(IF(T84="",-1,T84)&lt;=3),IF(C84="peso_corporal",IF(ISNUMBER(E84),E84,0)+R84,R84)*S84*1000+R84,0))</f>
        <v>0</v>
      </c>
      <c r="X84" s="69">
        <f>IF(W84=0,0,IF(IF((S84&gt;0)*(IF(T84="",-1,T84)&gt;=1)*(IF(T84="",-1,T84)&lt;=3),IF(C84="peso_corporal",IF(ISNUMBER(E84),E84,0)+R84,R84)*S84*1000+R84,0)=W84,5,IF(IF((P84&gt;0)*(IF(Q84="",-1,Q84)&gt;=1)*(IF(Q84="",-1,Q84)&lt;=3),IF(C84="peso_corporal",IF(ISNUMBER(E84),E84,0)+O84,O84)*P84*1000+O84,0)=W84,4,IF(IF((M84&gt;0)*(IF(N84="",-1,N84)&gt;=1)*(IF(N84="",-1,N84)&lt;=3),IF(C84="peso_corporal",IF(ISNUMBER(E84),E84,0)+L84,L84)*M84*1000+L84,0)=W84,3,IF(IF((J84&gt;0)*(IF(K84="",-1,K84)&gt;=1)*(IF(K84="",-1,K84)&lt;=3),IF(C84="peso_corporal",IF(ISNUMBER(E84),E84,0)+I84,I84)*J84*1000+I84,0)=W84,2,IF(IF((G84&gt;0)*(IF(H84="",-1,H84)&gt;=1)*(IF(H84="",-1,H84)&lt;=3),IF(C84="peso_corporal",IF(ISNUMBER(E84),E84,0)+F84,F84)*G84*1000+F84,0)=W84,1,0))))))</f>
        <v>0</v>
      </c>
      <c r="Y84" s="69">
        <f>MAX(IF((G84&gt;0)*(IF(H84="",-1,H84)=0)*(1-(IF(H84="",-1,H84)&gt;=1)*(IF(H84="",-1,H84)&lt;=3)),IF(C84="peso_corporal",IF(ISNUMBER(E84),E84,0)+F84,F84)*G84*1000+F84,0),IF((J84&gt;0)*(IF(K84="",-1,K84)=0)*(1-(IF(K84="",-1,K84)&gt;=1)*(IF(K84="",-1,K84)&lt;=3)),IF(C84="peso_corporal",IF(ISNUMBER(E84),E84,0)+I84,I84)*J84*1000+I84,0),IF((M84&gt;0)*(IF(N84="",-1,N84)=0)*(1-(IF(N84="",-1,N84)&gt;=1)*(IF(N84="",-1,N84)&lt;=3)),IF(C84="peso_corporal",IF(ISNUMBER(E84),E84,0)+L84,L84)*M84*1000+L84,0),IF((P84&gt;0)*(IF(Q84="",-1,Q84)=0)*(1-(IF(Q84="",-1,Q84)&gt;=1)*(IF(Q84="",-1,Q84)&lt;=3)),IF(C84="peso_corporal",IF(ISNUMBER(E84),E84,0)+O84,O84)*P84*1000+O84,0),IF((S84&gt;0)*(IF(T84="",-1,T84)=0)*(1-(IF(T84="",-1,T84)&gt;=1)*(IF(T84="",-1,T84)&lt;=3)),IF(C84="peso_corporal",IF(ISNUMBER(E84),E84,0)+R84,R84)*S84*1000+R84,0))</f>
        <v>0</v>
      </c>
      <c r="Z84" s="69">
        <f>IF(Y84=0,0,IF(IF((S84&gt;0)*(IF(T84="",-1,T84)=0)*(1-(IF(T84="",-1,T84)&gt;=1)*(IF(T84="",-1,T84)&lt;=3)),IF(C84="peso_corporal",IF(ISNUMBER(E84),E84,0)+R84,R84)*S84*1000+R84,0)=Y84,5,IF(IF((P84&gt;0)*(IF(Q84="",-1,Q84)=0)*(1-(IF(Q84="",-1,Q84)&gt;=1)*(IF(Q84="",-1,Q84)&lt;=3)),IF(C84="peso_corporal",IF(ISNUMBER(E84),E84,0)+O84,O84)*P84*1000+O84,0)=Y84,4,IF(IF((M84&gt;0)*(IF(N84="",-1,N84)=0)*(1-(IF(N84="",-1,N84)&gt;=1)*(IF(N84="",-1,N84)&lt;=3)),IF(C84="peso_corporal",IF(ISNUMBER(E84),E84,0)+L84,L84)*M84*1000+L84,0)=Y84,3,IF(IF((J84&gt;0)*(IF(K84="",-1,K84)=0)*(1-(IF(K84="",-1,K84)&gt;=1)*(IF(K84="",-1,K84)&lt;=3)),IF(C84="peso_corporal",IF(ISNUMBER(E84),E84,0)+I84,I84)*J84*1000+I84,0)=Y84,2,IF(IF((G84&gt;0)*(IF(H84="",-1,H84)=0)*(1-(IF(H84="",-1,H84)&gt;=1)*(IF(H84="",-1,H84)&lt;=3)),IF(C84="peso_corporal",IF(ISNUMBER(E84),E84,0)+F84,F84)*G84*1000+F84,0)=Y84,1,0))))))</f>
        <v>0</v>
      </c>
      <c r="AA84" s="69">
        <f>MAX(IF((G84&gt;=6)*(1-(IF(H84="",-1,H84)&gt;=1)*(IF(H84="",-1,H84)&lt;=3))*(1-(IF(H84="",-1,H84)=0)),IF(C84="peso_corporal",IF(ISNUMBER(E84),E84,0)+F84,F84)*(30+G84)*100+F84,0),IF((J84&gt;=6)*(1-(IF(K84="",-1,K84)&gt;=1)*(IF(K84="",-1,K84)&lt;=3))*(1-(IF(K84="",-1,K84)=0)),IF(C84="peso_corporal",IF(ISNUMBER(E84),E84,0)+I84,I84)*(30+J84)*100+I84,0),IF((M84&gt;=6)*(1-(IF(N84="",-1,N84)&gt;=1)*(IF(N84="",-1,N84)&lt;=3))*(1-(IF(N84="",-1,N84)=0)),IF(C84="peso_corporal",IF(ISNUMBER(E84),E84,0)+L84,L84)*(30+M84)*100+L84,0),IF((P84&gt;=6)*(1-(IF(Q84="",-1,Q84)&gt;=1)*(IF(Q84="",-1,Q84)&lt;=3))*(1-(IF(Q84="",-1,Q84)=0)),IF(C84="peso_corporal",IF(ISNUMBER(E84),E84,0)+O84,O84)*(30+P84)*100+O84,0),IF((S84&gt;=6)*(1-(IF(T84="",-1,T84)&gt;=1)*(IF(T84="",-1,T84)&lt;=3))*(1-(IF(T84="",-1,T84)=0)),IF(C84="peso_corporal",IF(ISNUMBER(E84),E84,0)+R84,R84)*(30+S84)*100+R84,0))</f>
        <v>0</v>
      </c>
      <c r="AB84" s="69">
        <f>IF(AA84=0,0,IF(IF((S84&gt;=6)*(1-(IF(T84="",-1,T84)&gt;=1)*(IF(T84="",-1,T84)&lt;=3))*(1-(IF(T84="",-1,T84)=0)),IF(C84="peso_corporal",IF(ISNUMBER(E84),E84,0)+R84,R84)*(30+S84)*100+R84,0)=AA84,5,IF(IF((P84&gt;=6)*(1-(IF(Q84="",-1,Q84)&gt;=1)*(IF(Q84="",-1,Q84)&lt;=3))*(1-(IF(Q84="",-1,Q84)=0)),IF(C84="peso_corporal",IF(ISNUMBER(E84),E84,0)+O84,O84)*(30+P84)*100+O84,0)=AA84,4,IF(IF((M84&gt;=6)*(1-(IF(N84="",-1,N84)&gt;=1)*(IF(N84="",-1,N84)&lt;=3))*(1-(IF(N84="",-1,N84)=0)),IF(C84="peso_corporal",IF(ISNUMBER(E84),E84,0)+L84,L84)*(30+M84)*100+L84,0)=AA84,3,IF(IF((J84&gt;=6)*(1-(IF(K84="",-1,K84)&gt;=1)*(IF(K84="",-1,K84)&lt;=3))*(1-(IF(K84="",-1,K84)=0)),IF(C84="peso_corporal",IF(ISNUMBER(E84),E84,0)+I84,I84)*(30+J84)*100+I84,0)=AA84,2,IF(IF((G84&gt;=6)*(1-(IF(H84="",-1,H84)&gt;=1)*(IF(H84="",-1,H84)&lt;=3))*(1-(IF(H84="",-1,H84)=0)),IF(C84="peso_corporal",IF(ISNUMBER(E84),E84,0)+F84,F84)*(30+G84)*100+F84,0)=AA84,1,0))))))</f>
        <v>0</v>
      </c>
      <c r="AC84" s="69" t="str">
        <f>IF(X84&gt;0,"A"&amp;X84,IF(Z84&gt;0,"B"&amp;Z84,IF(AB84&gt;0,"C"&amp;AB84,"")))</f>
        <v/>
      </c>
    </row>
    <row r="85" spans="1:29" ht="20.100000000000001" customHeight="1">
      <c r="A85" s="14" t="s">
        <v>62</v>
      </c>
      <c r="B85" s="15" t="s">
        <v>63</v>
      </c>
      <c r="C85" s="16" t="str">
        <f>IFERROR(INDEX(EJERCICIOS!$D$3:$D$75,MATCH(A85&amp;"|"&amp;B85,EJERCICIOS!$G$3:$G$75,0)),"--")</f>
        <v>--</v>
      </c>
      <c r="D85" s="17">
        <v>3</v>
      </c>
      <c r="E85" s="18">
        <f>IFERROR(LOOKUP(2,1/(MEDIDAS_Y_PESO!$B$3:$B$6&lt;&gt;""),MEDIDAS_Y_PESO!$B$3:$B$6),"--")</f>
        <v>80</v>
      </c>
      <c r="F85" s="19"/>
      <c r="G85" s="20"/>
      <c r="H85" s="21"/>
      <c r="I85" s="19"/>
      <c r="J85" s="20"/>
      <c r="K85" s="21"/>
      <c r="L85" s="19"/>
      <c r="M85" s="20"/>
      <c r="N85" s="21"/>
      <c r="O85" s="19"/>
      <c r="P85" s="20"/>
      <c r="Q85" s="21"/>
      <c r="R85" s="19"/>
      <c r="S85" s="20"/>
      <c r="T85" s="21"/>
      <c r="U85" s="22" t="str">
        <f>IFERROR(IF(IF(X85&gt;0,X85,IF(Z85&gt;0,Z85,IF(AB85&gt;0,AB85,0)))=0,"--",ROUND(CHOOSE(IF(X85&gt;0,X85,IF(Z85&gt;0,Z85,IF(AB85&gt;0,AB85,0))),IF(C85="peso_corporal",IF(ISNUMBER(E85),E85,0)+F85,F85)*(1+G85/30),IF(C85="peso_corporal",IF(ISNUMBER(E85),E85,0)+I85,I85)*(1+J85/30),IF(C85="peso_corporal",IF(ISNUMBER(E85),E85,0)+L85,L85)*(1+M85/30),IF(C85="peso_corporal",IF(ISNUMBER(E85),E85,0)+O85,O85)*(1+P85/30),IF(C85="peso_corporal",IF(ISNUMBER(E85),E85,0)+R85,R85)*(1+S85/30)),1)),"--")</f>
        <v>--</v>
      </c>
      <c r="V85" s="23" t="str">
        <f>IF(SUGERENCIAS!N197="SIN","Sin datos anteriores",IF(SUGERENCIAS!N197="SUBIR_F","^ SUBIR FUERTE | Kg:"&amp;ROUND(SUGERENCIAS!K197,1)&amp;" R:"&amp;ROUND(SUGERENCIAS!L197,0)&amp;" RIR:"&amp;ROUND(SUGERENCIAS!M197,0),IF(SUGERENCIAS!N197="SUBIR_E","^ SUBIR (Est.) | Kg:"&amp;ROUND(SUGERENCIAS!K197,1)&amp;" R:"&amp;ROUND(SUGERENCIAS!L197,0)&amp;" RIR:"&amp;ROUND(SUGERENCIAS!M197,0),IF(SUGERENCIAS!N197="SUBIR","^ SUBIR | Kg:"&amp;ROUND(SUGERENCIAS!K197,1)&amp;" R:"&amp;ROUND(SUGERENCIAS!L197,0)&amp;" RIR:"&amp;ROUND(SUGERENCIAS!M197,0),IF(SUGERENCIAS!N197="BAJAR","v BAJAR | Kg:"&amp;ROUND(SUGERENCIAS!K197,1)&amp;" R:"&amp;ROUND(SUGERENCIAS!L197,0)&amp;" RIR:"&amp;ROUND(SUGERENCIAS!M197,0),"= MANT | Kg:"&amp;ROUND(SUGERENCIAS!K197,1)&amp;" R:"&amp;ROUND(SUGERENCIAS!L197,0)&amp;" RIR:"&amp;ROUND(SUGERENCIAS!M197,0))))))</f>
        <v>Sin datos anteriores</v>
      </c>
      <c r="W85" s="69">
        <f>MAX(IF((G85&gt;0)*(IF(H85="",-1,H85)&gt;=1)*(IF(H85="",-1,H85)&lt;=3),IF(C85="peso_corporal",IF(ISNUMBER(E85),E85,0)+F85,F85)*G85*1000+F85,0),IF((J85&gt;0)*(IF(K85="",-1,K85)&gt;=1)*(IF(K85="",-1,K85)&lt;=3),IF(C85="peso_corporal",IF(ISNUMBER(E85),E85,0)+I85,I85)*J85*1000+I85,0),IF((M85&gt;0)*(IF(N85="",-1,N85)&gt;=1)*(IF(N85="",-1,N85)&lt;=3),IF(C85="peso_corporal",IF(ISNUMBER(E85),E85,0)+L85,L85)*M85*1000+L85,0),IF((P85&gt;0)*(IF(Q85="",-1,Q85)&gt;=1)*(IF(Q85="",-1,Q85)&lt;=3),IF(C85="peso_corporal",IF(ISNUMBER(E85),E85,0)+O85,O85)*P85*1000+O85,0),IF((S85&gt;0)*(IF(T85="",-1,T85)&gt;=1)*(IF(T85="",-1,T85)&lt;=3),IF(C85="peso_corporal",IF(ISNUMBER(E85),E85,0)+R85,R85)*S85*1000+R85,0))</f>
        <v>0</v>
      </c>
      <c r="X85" s="69">
        <f>IF(W85=0,0,IF(IF((S85&gt;0)*(IF(T85="",-1,T85)&gt;=1)*(IF(T85="",-1,T85)&lt;=3),IF(C85="peso_corporal",IF(ISNUMBER(E85),E85,0)+R85,R85)*S85*1000+R85,0)=W85,5,IF(IF((P85&gt;0)*(IF(Q85="",-1,Q85)&gt;=1)*(IF(Q85="",-1,Q85)&lt;=3),IF(C85="peso_corporal",IF(ISNUMBER(E85),E85,0)+O85,O85)*P85*1000+O85,0)=W85,4,IF(IF((M85&gt;0)*(IF(N85="",-1,N85)&gt;=1)*(IF(N85="",-1,N85)&lt;=3),IF(C85="peso_corporal",IF(ISNUMBER(E85),E85,0)+L85,L85)*M85*1000+L85,0)=W85,3,IF(IF((J85&gt;0)*(IF(K85="",-1,K85)&gt;=1)*(IF(K85="",-1,K85)&lt;=3),IF(C85="peso_corporal",IF(ISNUMBER(E85),E85,0)+I85,I85)*J85*1000+I85,0)=W85,2,IF(IF((G85&gt;0)*(IF(H85="",-1,H85)&gt;=1)*(IF(H85="",-1,H85)&lt;=3),IF(C85="peso_corporal",IF(ISNUMBER(E85),E85,0)+F85,F85)*G85*1000+F85,0)=W85,1,0))))))</f>
        <v>0</v>
      </c>
      <c r="Y85" s="69">
        <f>MAX(IF((G85&gt;0)*(IF(H85="",-1,H85)=0)*(1-(IF(H85="",-1,H85)&gt;=1)*(IF(H85="",-1,H85)&lt;=3)),IF(C85="peso_corporal",IF(ISNUMBER(E85),E85,0)+F85,F85)*G85*1000+F85,0),IF((J85&gt;0)*(IF(K85="",-1,K85)=0)*(1-(IF(K85="",-1,K85)&gt;=1)*(IF(K85="",-1,K85)&lt;=3)),IF(C85="peso_corporal",IF(ISNUMBER(E85),E85,0)+I85,I85)*J85*1000+I85,0),IF((M85&gt;0)*(IF(N85="",-1,N85)=0)*(1-(IF(N85="",-1,N85)&gt;=1)*(IF(N85="",-1,N85)&lt;=3)),IF(C85="peso_corporal",IF(ISNUMBER(E85),E85,0)+L85,L85)*M85*1000+L85,0),IF((P85&gt;0)*(IF(Q85="",-1,Q85)=0)*(1-(IF(Q85="",-1,Q85)&gt;=1)*(IF(Q85="",-1,Q85)&lt;=3)),IF(C85="peso_corporal",IF(ISNUMBER(E85),E85,0)+O85,O85)*P85*1000+O85,0),IF((S85&gt;0)*(IF(T85="",-1,T85)=0)*(1-(IF(T85="",-1,T85)&gt;=1)*(IF(T85="",-1,T85)&lt;=3)),IF(C85="peso_corporal",IF(ISNUMBER(E85),E85,0)+R85,R85)*S85*1000+R85,0))</f>
        <v>0</v>
      </c>
      <c r="Z85" s="69">
        <f>IF(Y85=0,0,IF(IF((S85&gt;0)*(IF(T85="",-1,T85)=0)*(1-(IF(T85="",-1,T85)&gt;=1)*(IF(T85="",-1,T85)&lt;=3)),IF(C85="peso_corporal",IF(ISNUMBER(E85),E85,0)+R85,R85)*S85*1000+R85,0)=Y85,5,IF(IF((P85&gt;0)*(IF(Q85="",-1,Q85)=0)*(1-(IF(Q85="",-1,Q85)&gt;=1)*(IF(Q85="",-1,Q85)&lt;=3)),IF(C85="peso_corporal",IF(ISNUMBER(E85),E85,0)+O85,O85)*P85*1000+O85,0)=Y85,4,IF(IF((M85&gt;0)*(IF(N85="",-1,N85)=0)*(1-(IF(N85="",-1,N85)&gt;=1)*(IF(N85="",-1,N85)&lt;=3)),IF(C85="peso_corporal",IF(ISNUMBER(E85),E85,0)+L85,L85)*M85*1000+L85,0)=Y85,3,IF(IF((J85&gt;0)*(IF(K85="",-1,K85)=0)*(1-(IF(K85="",-1,K85)&gt;=1)*(IF(K85="",-1,K85)&lt;=3)),IF(C85="peso_corporal",IF(ISNUMBER(E85),E85,0)+I85,I85)*J85*1000+I85,0)=Y85,2,IF(IF((G85&gt;0)*(IF(H85="",-1,H85)=0)*(1-(IF(H85="",-1,H85)&gt;=1)*(IF(H85="",-1,H85)&lt;=3)),IF(C85="peso_corporal",IF(ISNUMBER(E85),E85,0)+F85,F85)*G85*1000+F85,0)=Y85,1,0))))))</f>
        <v>0</v>
      </c>
      <c r="AA85" s="69">
        <f>MAX(IF((G85&gt;=6)*(1-(IF(H85="",-1,H85)&gt;=1)*(IF(H85="",-1,H85)&lt;=3))*(1-(IF(H85="",-1,H85)=0)),IF(C85="peso_corporal",IF(ISNUMBER(E85),E85,0)+F85,F85)*(30+G85)*100+F85,0),IF((J85&gt;=6)*(1-(IF(K85="",-1,K85)&gt;=1)*(IF(K85="",-1,K85)&lt;=3))*(1-(IF(K85="",-1,K85)=0)),IF(C85="peso_corporal",IF(ISNUMBER(E85),E85,0)+I85,I85)*(30+J85)*100+I85,0),IF((M85&gt;=6)*(1-(IF(N85="",-1,N85)&gt;=1)*(IF(N85="",-1,N85)&lt;=3))*(1-(IF(N85="",-1,N85)=0)),IF(C85="peso_corporal",IF(ISNUMBER(E85),E85,0)+L85,L85)*(30+M85)*100+L85,0),IF((P85&gt;=6)*(1-(IF(Q85="",-1,Q85)&gt;=1)*(IF(Q85="",-1,Q85)&lt;=3))*(1-(IF(Q85="",-1,Q85)=0)),IF(C85="peso_corporal",IF(ISNUMBER(E85),E85,0)+O85,O85)*(30+P85)*100+O85,0),IF((S85&gt;=6)*(1-(IF(T85="",-1,T85)&gt;=1)*(IF(T85="",-1,T85)&lt;=3))*(1-(IF(T85="",-1,T85)=0)),IF(C85="peso_corporal",IF(ISNUMBER(E85),E85,0)+R85,R85)*(30+S85)*100+R85,0))</f>
        <v>0</v>
      </c>
      <c r="AB85" s="69">
        <f>IF(AA85=0,0,IF(IF((S85&gt;=6)*(1-(IF(T85="",-1,T85)&gt;=1)*(IF(T85="",-1,T85)&lt;=3))*(1-(IF(T85="",-1,T85)=0)),IF(C85="peso_corporal",IF(ISNUMBER(E85),E85,0)+R85,R85)*(30+S85)*100+R85,0)=AA85,5,IF(IF((P85&gt;=6)*(1-(IF(Q85="",-1,Q85)&gt;=1)*(IF(Q85="",-1,Q85)&lt;=3))*(1-(IF(Q85="",-1,Q85)=0)),IF(C85="peso_corporal",IF(ISNUMBER(E85),E85,0)+O85,O85)*(30+P85)*100+O85,0)=AA85,4,IF(IF((M85&gt;=6)*(1-(IF(N85="",-1,N85)&gt;=1)*(IF(N85="",-1,N85)&lt;=3))*(1-(IF(N85="",-1,N85)=0)),IF(C85="peso_corporal",IF(ISNUMBER(E85),E85,0)+L85,L85)*(30+M85)*100+L85,0)=AA85,3,IF(IF((J85&gt;=6)*(1-(IF(K85="",-1,K85)&gt;=1)*(IF(K85="",-1,K85)&lt;=3))*(1-(IF(K85="",-1,K85)=0)),IF(C85="peso_corporal",IF(ISNUMBER(E85),E85,0)+I85,I85)*(30+J85)*100+I85,0)=AA85,2,IF(IF((G85&gt;=6)*(1-(IF(H85="",-1,H85)&gt;=1)*(IF(H85="",-1,H85)&lt;=3))*(1-(IF(H85="",-1,H85)=0)),IF(C85="peso_corporal",IF(ISNUMBER(E85),E85,0)+F85,F85)*(30+G85)*100+F85,0)=AA85,1,0))))))</f>
        <v>0</v>
      </c>
      <c r="AC85" s="69" t="str">
        <f>IF(X85&gt;0,"A"&amp;X85,IF(Z85&gt;0,"B"&amp;Z85,IF(AB85&gt;0,"C"&amp;AB85,"")))</f>
        <v/>
      </c>
    </row>
    <row r="86" spans="1:29" ht="15" customHeight="1">
      <c r="A86" s="81" t="s">
        <v>42</v>
      </c>
      <c r="B86" s="73"/>
      <c r="C86" s="73"/>
      <c r="D86" s="73"/>
      <c r="E86" s="73"/>
      <c r="F86" s="73"/>
      <c r="G86" s="73"/>
      <c r="H86" s="73"/>
      <c r="I86" s="73"/>
      <c r="J86" s="73"/>
      <c r="K86" s="73"/>
      <c r="L86" s="73"/>
      <c r="M86" s="73"/>
      <c r="N86" s="73"/>
      <c r="O86" s="73"/>
      <c r="P86" s="73"/>
      <c r="Q86" s="73"/>
      <c r="R86" s="73"/>
      <c r="S86" s="73"/>
      <c r="T86" s="73"/>
      <c r="U86" s="73"/>
      <c r="V86" s="73"/>
      <c r="W86" s="69"/>
      <c r="X86" s="69"/>
      <c r="Y86" s="69"/>
      <c r="Z86" s="69"/>
      <c r="AA86" s="69"/>
      <c r="AB86" s="69"/>
      <c r="AC86" s="69"/>
    </row>
    <row r="87" spans="1:29" ht="20.100000000000001" customHeight="1">
      <c r="A87" s="14" t="s">
        <v>43</v>
      </c>
      <c r="B87" s="15" t="s">
        <v>44</v>
      </c>
      <c r="C87" s="16" t="str">
        <f>IFERROR(INDEX(EJERCICIOS!$D$3:$D$75,MATCH(A87&amp;"|"&amp;B87,EJERCICIOS!$G$3:$G$75,0)),"--")</f>
        <v>polea</v>
      </c>
      <c r="D87" s="17">
        <v>3</v>
      </c>
      <c r="E87" s="18">
        <f>IFERROR(LOOKUP(2,1/(MEDIDAS_Y_PESO!$B$3:$B$6&lt;&gt;""),MEDIDAS_Y_PESO!$B$3:$B$6),"--")</f>
        <v>80</v>
      </c>
      <c r="F87" s="19"/>
      <c r="G87" s="20"/>
      <c r="H87" s="21"/>
      <c r="I87" s="19"/>
      <c r="J87" s="20"/>
      <c r="K87" s="21"/>
      <c r="L87" s="19"/>
      <c r="M87" s="20"/>
      <c r="N87" s="21"/>
      <c r="O87" s="19"/>
      <c r="P87" s="20"/>
      <c r="Q87" s="21"/>
      <c r="R87" s="19"/>
      <c r="S87" s="20"/>
      <c r="T87" s="21"/>
      <c r="U87" s="22" t="str">
        <f>IFERROR(IF(IF(X87&gt;0,X87,IF(Z87&gt;0,Z87,IF(AB87&gt;0,AB87,0)))=0,"--",ROUND(CHOOSE(IF(X87&gt;0,X87,IF(Z87&gt;0,Z87,IF(AB87&gt;0,AB87,0))),IF(C87="peso_corporal",IF(ISNUMBER(E87),E87,0)+F87,F87)*(1+G87/30),IF(C87="peso_corporal",IF(ISNUMBER(E87),E87,0)+I87,I87)*(1+J87/30),IF(C87="peso_corporal",IF(ISNUMBER(E87),E87,0)+L87,L87)*(1+M87/30),IF(C87="peso_corporal",IF(ISNUMBER(E87),E87,0)+O87,O87)*(1+P87/30),IF(C87="peso_corporal",IF(ISNUMBER(E87),E87,0)+R87,R87)*(1+S87/30)),1)),"--")</f>
        <v>--</v>
      </c>
      <c r="V87" s="23" t="str">
        <f>IF(SUGERENCIAS!N198="SIN","Sin datos anteriores",IF(SUGERENCIAS!N198="SUBIR_F","^ SUBIR FUERTE | Kg:"&amp;ROUND(SUGERENCIAS!K198,1)&amp;" R:"&amp;ROUND(SUGERENCIAS!L198,0)&amp;" RIR:"&amp;ROUND(SUGERENCIAS!M198,0),IF(SUGERENCIAS!N198="SUBIR_E","^ SUBIR (Est.) | Kg:"&amp;ROUND(SUGERENCIAS!K198,1)&amp;" R:"&amp;ROUND(SUGERENCIAS!L198,0)&amp;" RIR:"&amp;ROUND(SUGERENCIAS!M198,0),IF(SUGERENCIAS!N198="SUBIR","^ SUBIR | Kg:"&amp;ROUND(SUGERENCIAS!K198,1)&amp;" R:"&amp;ROUND(SUGERENCIAS!L198,0)&amp;" RIR:"&amp;ROUND(SUGERENCIAS!M198,0),IF(SUGERENCIAS!N198="BAJAR","v BAJAR | Kg:"&amp;ROUND(SUGERENCIAS!K198,1)&amp;" R:"&amp;ROUND(SUGERENCIAS!L198,0)&amp;" RIR:"&amp;ROUND(SUGERENCIAS!M198,0),"= MANT | Kg:"&amp;ROUND(SUGERENCIAS!K198,1)&amp;" R:"&amp;ROUND(SUGERENCIAS!L198,0)&amp;" RIR:"&amp;ROUND(SUGERENCIAS!M198,0))))))</f>
        <v>Sin datos anteriores</v>
      </c>
      <c r="W87" s="69">
        <f>MAX(IF((G87&gt;0)*(IF(H87="",-1,H87)&gt;=1)*(IF(H87="",-1,H87)&lt;=3),IF(C87="peso_corporal",IF(ISNUMBER(E87),E87,0)+F87,F87)*G87*1000+F87,0),IF((J87&gt;0)*(IF(K87="",-1,K87)&gt;=1)*(IF(K87="",-1,K87)&lt;=3),IF(C87="peso_corporal",IF(ISNUMBER(E87),E87,0)+I87,I87)*J87*1000+I87,0),IF((M87&gt;0)*(IF(N87="",-1,N87)&gt;=1)*(IF(N87="",-1,N87)&lt;=3),IF(C87="peso_corporal",IF(ISNUMBER(E87),E87,0)+L87,L87)*M87*1000+L87,0),IF((P87&gt;0)*(IF(Q87="",-1,Q87)&gt;=1)*(IF(Q87="",-1,Q87)&lt;=3),IF(C87="peso_corporal",IF(ISNUMBER(E87),E87,0)+O87,O87)*P87*1000+O87,0),IF((S87&gt;0)*(IF(T87="",-1,T87)&gt;=1)*(IF(T87="",-1,T87)&lt;=3),IF(C87="peso_corporal",IF(ISNUMBER(E87),E87,0)+R87,R87)*S87*1000+R87,0))</f>
        <v>0</v>
      </c>
      <c r="X87" s="69">
        <f>IF(W87=0,0,IF(IF((S87&gt;0)*(IF(T87="",-1,T87)&gt;=1)*(IF(T87="",-1,T87)&lt;=3),IF(C87="peso_corporal",IF(ISNUMBER(E87),E87,0)+R87,R87)*S87*1000+R87,0)=W87,5,IF(IF((P87&gt;0)*(IF(Q87="",-1,Q87)&gt;=1)*(IF(Q87="",-1,Q87)&lt;=3),IF(C87="peso_corporal",IF(ISNUMBER(E87),E87,0)+O87,O87)*P87*1000+O87,0)=W87,4,IF(IF((M87&gt;0)*(IF(N87="",-1,N87)&gt;=1)*(IF(N87="",-1,N87)&lt;=3),IF(C87="peso_corporal",IF(ISNUMBER(E87),E87,0)+L87,L87)*M87*1000+L87,0)=W87,3,IF(IF((J87&gt;0)*(IF(K87="",-1,K87)&gt;=1)*(IF(K87="",-1,K87)&lt;=3),IF(C87="peso_corporal",IF(ISNUMBER(E87),E87,0)+I87,I87)*J87*1000+I87,0)=W87,2,IF(IF((G87&gt;0)*(IF(H87="",-1,H87)&gt;=1)*(IF(H87="",-1,H87)&lt;=3),IF(C87="peso_corporal",IF(ISNUMBER(E87),E87,0)+F87,F87)*G87*1000+F87,0)=W87,1,0))))))</f>
        <v>0</v>
      </c>
      <c r="Y87" s="69">
        <f>MAX(IF((G87&gt;0)*(IF(H87="",-1,H87)=0)*(1-(IF(H87="",-1,H87)&gt;=1)*(IF(H87="",-1,H87)&lt;=3)),IF(C87="peso_corporal",IF(ISNUMBER(E87),E87,0)+F87,F87)*G87*1000+F87,0),IF((J87&gt;0)*(IF(K87="",-1,K87)=0)*(1-(IF(K87="",-1,K87)&gt;=1)*(IF(K87="",-1,K87)&lt;=3)),IF(C87="peso_corporal",IF(ISNUMBER(E87),E87,0)+I87,I87)*J87*1000+I87,0),IF((M87&gt;0)*(IF(N87="",-1,N87)=0)*(1-(IF(N87="",-1,N87)&gt;=1)*(IF(N87="",-1,N87)&lt;=3)),IF(C87="peso_corporal",IF(ISNUMBER(E87),E87,0)+L87,L87)*M87*1000+L87,0),IF((P87&gt;0)*(IF(Q87="",-1,Q87)=0)*(1-(IF(Q87="",-1,Q87)&gt;=1)*(IF(Q87="",-1,Q87)&lt;=3)),IF(C87="peso_corporal",IF(ISNUMBER(E87),E87,0)+O87,O87)*P87*1000+O87,0),IF((S87&gt;0)*(IF(T87="",-1,T87)=0)*(1-(IF(T87="",-1,T87)&gt;=1)*(IF(T87="",-1,T87)&lt;=3)),IF(C87="peso_corporal",IF(ISNUMBER(E87),E87,0)+R87,R87)*S87*1000+R87,0))</f>
        <v>0</v>
      </c>
      <c r="Z87" s="69">
        <f>IF(Y87=0,0,IF(IF((S87&gt;0)*(IF(T87="",-1,T87)=0)*(1-(IF(T87="",-1,T87)&gt;=1)*(IF(T87="",-1,T87)&lt;=3)),IF(C87="peso_corporal",IF(ISNUMBER(E87),E87,0)+R87,R87)*S87*1000+R87,0)=Y87,5,IF(IF((P87&gt;0)*(IF(Q87="",-1,Q87)=0)*(1-(IF(Q87="",-1,Q87)&gt;=1)*(IF(Q87="",-1,Q87)&lt;=3)),IF(C87="peso_corporal",IF(ISNUMBER(E87),E87,0)+O87,O87)*P87*1000+O87,0)=Y87,4,IF(IF((M87&gt;0)*(IF(N87="",-1,N87)=0)*(1-(IF(N87="",-1,N87)&gt;=1)*(IF(N87="",-1,N87)&lt;=3)),IF(C87="peso_corporal",IF(ISNUMBER(E87),E87,0)+L87,L87)*M87*1000+L87,0)=Y87,3,IF(IF((J87&gt;0)*(IF(K87="",-1,K87)=0)*(1-(IF(K87="",-1,K87)&gt;=1)*(IF(K87="",-1,K87)&lt;=3)),IF(C87="peso_corporal",IF(ISNUMBER(E87),E87,0)+I87,I87)*J87*1000+I87,0)=Y87,2,IF(IF((G87&gt;0)*(IF(H87="",-1,H87)=0)*(1-(IF(H87="",-1,H87)&gt;=1)*(IF(H87="",-1,H87)&lt;=3)),IF(C87="peso_corporal",IF(ISNUMBER(E87),E87,0)+F87,F87)*G87*1000+F87,0)=Y87,1,0))))))</f>
        <v>0</v>
      </c>
      <c r="AA87" s="69">
        <f>MAX(IF((G87&gt;=6)*(1-(IF(H87="",-1,H87)&gt;=1)*(IF(H87="",-1,H87)&lt;=3))*(1-(IF(H87="",-1,H87)=0)),IF(C87="peso_corporal",IF(ISNUMBER(E87),E87,0)+F87,F87)*(30+G87)*100+F87,0),IF((J87&gt;=6)*(1-(IF(K87="",-1,K87)&gt;=1)*(IF(K87="",-1,K87)&lt;=3))*(1-(IF(K87="",-1,K87)=0)),IF(C87="peso_corporal",IF(ISNUMBER(E87),E87,0)+I87,I87)*(30+J87)*100+I87,0),IF((M87&gt;=6)*(1-(IF(N87="",-1,N87)&gt;=1)*(IF(N87="",-1,N87)&lt;=3))*(1-(IF(N87="",-1,N87)=0)),IF(C87="peso_corporal",IF(ISNUMBER(E87),E87,0)+L87,L87)*(30+M87)*100+L87,0),IF((P87&gt;=6)*(1-(IF(Q87="",-1,Q87)&gt;=1)*(IF(Q87="",-1,Q87)&lt;=3))*(1-(IF(Q87="",-1,Q87)=0)),IF(C87="peso_corporal",IF(ISNUMBER(E87),E87,0)+O87,O87)*(30+P87)*100+O87,0),IF((S87&gt;=6)*(1-(IF(T87="",-1,T87)&gt;=1)*(IF(T87="",-1,T87)&lt;=3))*(1-(IF(T87="",-1,T87)=0)),IF(C87="peso_corporal",IF(ISNUMBER(E87),E87,0)+R87,R87)*(30+S87)*100+R87,0))</f>
        <v>0</v>
      </c>
      <c r="AB87" s="69">
        <f>IF(AA87=0,0,IF(IF((S87&gt;=6)*(1-(IF(T87="",-1,T87)&gt;=1)*(IF(T87="",-1,T87)&lt;=3))*(1-(IF(T87="",-1,T87)=0)),IF(C87="peso_corporal",IF(ISNUMBER(E87),E87,0)+R87,R87)*(30+S87)*100+R87,0)=AA87,5,IF(IF((P87&gt;=6)*(1-(IF(Q87="",-1,Q87)&gt;=1)*(IF(Q87="",-1,Q87)&lt;=3))*(1-(IF(Q87="",-1,Q87)=0)),IF(C87="peso_corporal",IF(ISNUMBER(E87),E87,0)+O87,O87)*(30+P87)*100+O87,0)=AA87,4,IF(IF((M87&gt;=6)*(1-(IF(N87="",-1,N87)&gt;=1)*(IF(N87="",-1,N87)&lt;=3))*(1-(IF(N87="",-1,N87)=0)),IF(C87="peso_corporal",IF(ISNUMBER(E87),E87,0)+L87,L87)*(30+M87)*100+L87,0)=AA87,3,IF(IF((J87&gt;=6)*(1-(IF(K87="",-1,K87)&gt;=1)*(IF(K87="",-1,K87)&lt;=3))*(1-(IF(K87="",-1,K87)=0)),IF(C87="peso_corporal",IF(ISNUMBER(E87),E87,0)+I87,I87)*(30+J87)*100+I87,0)=AA87,2,IF(IF((G87&gt;=6)*(1-(IF(H87="",-1,H87)&gt;=1)*(IF(H87="",-1,H87)&lt;=3))*(1-(IF(H87="",-1,H87)=0)),IF(C87="peso_corporal",IF(ISNUMBER(E87),E87,0)+F87,F87)*(30+G87)*100+F87,0)=AA87,1,0))))))</f>
        <v>0</v>
      </c>
      <c r="AC87" s="69" t="str">
        <f>IF(X87&gt;0,"A"&amp;X87,IF(Z87&gt;0,"B"&amp;Z87,IF(AB87&gt;0,"C"&amp;AB87,"")))</f>
        <v/>
      </c>
    </row>
    <row r="88" spans="1:29" ht="20.100000000000001" customHeight="1">
      <c r="A88" s="14" t="s">
        <v>45</v>
      </c>
      <c r="B88" s="15" t="s">
        <v>46</v>
      </c>
      <c r="C88" s="16" t="str">
        <f>IFERROR(INDEX(EJERCICIOS!$D$3:$D$75,MATCH(A88&amp;"|"&amp;B88,EJERCICIOS!$G$3:$G$75,0)),"--")</f>
        <v>mancuerna</v>
      </c>
      <c r="D88" s="17">
        <v>3</v>
      </c>
      <c r="E88" s="18">
        <f>IFERROR(LOOKUP(2,1/(MEDIDAS_Y_PESO!$B$3:$B$6&lt;&gt;""),MEDIDAS_Y_PESO!$B$3:$B$6),"--")</f>
        <v>80</v>
      </c>
      <c r="F88" s="19"/>
      <c r="G88" s="20"/>
      <c r="H88" s="21"/>
      <c r="I88" s="19"/>
      <c r="J88" s="20"/>
      <c r="K88" s="21"/>
      <c r="L88" s="19"/>
      <c r="M88" s="20"/>
      <c r="N88" s="21"/>
      <c r="O88" s="19"/>
      <c r="P88" s="20"/>
      <c r="Q88" s="21"/>
      <c r="R88" s="19"/>
      <c r="S88" s="20"/>
      <c r="T88" s="21"/>
      <c r="U88" s="22" t="str">
        <f>IFERROR(IF(IF(X88&gt;0,X88,IF(Z88&gt;0,Z88,IF(AB88&gt;0,AB88,0)))=0,"--",ROUND(CHOOSE(IF(X88&gt;0,X88,IF(Z88&gt;0,Z88,IF(AB88&gt;0,AB88,0))),IF(C88="peso_corporal",IF(ISNUMBER(E88),E88,0)+F88,F88)*(1+G88/30),IF(C88="peso_corporal",IF(ISNUMBER(E88),E88,0)+I88,I88)*(1+J88/30),IF(C88="peso_corporal",IF(ISNUMBER(E88),E88,0)+L88,L88)*(1+M88/30),IF(C88="peso_corporal",IF(ISNUMBER(E88),E88,0)+O88,O88)*(1+P88/30),IF(C88="peso_corporal",IF(ISNUMBER(E88),E88,0)+R88,R88)*(1+S88/30)),1)),"--")</f>
        <v>--</v>
      </c>
      <c r="V88" s="23" t="str">
        <f>IF(SUGERENCIAS!N199="SIN","Sin datos anteriores",IF(SUGERENCIAS!N199="SUBIR_F","^ SUBIR FUERTE | Kg:"&amp;ROUND(SUGERENCIAS!K199,1)&amp;" R:"&amp;ROUND(SUGERENCIAS!L199,0)&amp;" RIR:"&amp;ROUND(SUGERENCIAS!M199,0),IF(SUGERENCIAS!N199="SUBIR_E","^ SUBIR (Est.) | Kg:"&amp;ROUND(SUGERENCIAS!K199,1)&amp;" R:"&amp;ROUND(SUGERENCIAS!L199,0)&amp;" RIR:"&amp;ROUND(SUGERENCIAS!M199,0),IF(SUGERENCIAS!N199="SUBIR","^ SUBIR | Kg:"&amp;ROUND(SUGERENCIAS!K199,1)&amp;" R:"&amp;ROUND(SUGERENCIAS!L199,0)&amp;" RIR:"&amp;ROUND(SUGERENCIAS!M199,0),IF(SUGERENCIAS!N199="BAJAR","v BAJAR | Kg:"&amp;ROUND(SUGERENCIAS!K199,1)&amp;" R:"&amp;ROUND(SUGERENCIAS!L199,0)&amp;" RIR:"&amp;ROUND(SUGERENCIAS!M199,0),"= MANT | Kg:"&amp;ROUND(SUGERENCIAS!K199,1)&amp;" R:"&amp;ROUND(SUGERENCIAS!L199,0)&amp;" RIR:"&amp;ROUND(SUGERENCIAS!M199,0))))))</f>
        <v>Sin datos anteriores</v>
      </c>
      <c r="W88" s="69">
        <f>MAX(IF((G88&gt;0)*(IF(H88="",-1,H88)&gt;=1)*(IF(H88="",-1,H88)&lt;=3),IF(C88="peso_corporal",IF(ISNUMBER(E88),E88,0)+F88,F88)*G88*1000+F88,0),IF((J88&gt;0)*(IF(K88="",-1,K88)&gt;=1)*(IF(K88="",-1,K88)&lt;=3),IF(C88="peso_corporal",IF(ISNUMBER(E88),E88,0)+I88,I88)*J88*1000+I88,0),IF((M88&gt;0)*(IF(N88="",-1,N88)&gt;=1)*(IF(N88="",-1,N88)&lt;=3),IF(C88="peso_corporal",IF(ISNUMBER(E88),E88,0)+L88,L88)*M88*1000+L88,0),IF((P88&gt;0)*(IF(Q88="",-1,Q88)&gt;=1)*(IF(Q88="",-1,Q88)&lt;=3),IF(C88="peso_corporal",IF(ISNUMBER(E88),E88,0)+O88,O88)*P88*1000+O88,0),IF((S88&gt;0)*(IF(T88="",-1,T88)&gt;=1)*(IF(T88="",-1,T88)&lt;=3),IF(C88="peso_corporal",IF(ISNUMBER(E88),E88,0)+R88,R88)*S88*1000+R88,0))</f>
        <v>0</v>
      </c>
      <c r="X88" s="69">
        <f>IF(W88=0,0,IF(IF((S88&gt;0)*(IF(T88="",-1,T88)&gt;=1)*(IF(T88="",-1,T88)&lt;=3),IF(C88="peso_corporal",IF(ISNUMBER(E88),E88,0)+R88,R88)*S88*1000+R88,0)=W88,5,IF(IF((P88&gt;0)*(IF(Q88="",-1,Q88)&gt;=1)*(IF(Q88="",-1,Q88)&lt;=3),IF(C88="peso_corporal",IF(ISNUMBER(E88),E88,0)+O88,O88)*P88*1000+O88,0)=W88,4,IF(IF((M88&gt;0)*(IF(N88="",-1,N88)&gt;=1)*(IF(N88="",-1,N88)&lt;=3),IF(C88="peso_corporal",IF(ISNUMBER(E88),E88,0)+L88,L88)*M88*1000+L88,0)=W88,3,IF(IF((J88&gt;0)*(IF(K88="",-1,K88)&gt;=1)*(IF(K88="",-1,K88)&lt;=3),IF(C88="peso_corporal",IF(ISNUMBER(E88),E88,0)+I88,I88)*J88*1000+I88,0)=W88,2,IF(IF((G88&gt;0)*(IF(H88="",-1,H88)&gt;=1)*(IF(H88="",-1,H88)&lt;=3),IF(C88="peso_corporal",IF(ISNUMBER(E88),E88,0)+F88,F88)*G88*1000+F88,0)=W88,1,0))))))</f>
        <v>0</v>
      </c>
      <c r="Y88" s="69">
        <f>MAX(IF((G88&gt;0)*(IF(H88="",-1,H88)=0)*(1-(IF(H88="",-1,H88)&gt;=1)*(IF(H88="",-1,H88)&lt;=3)),IF(C88="peso_corporal",IF(ISNUMBER(E88),E88,0)+F88,F88)*G88*1000+F88,0),IF((J88&gt;0)*(IF(K88="",-1,K88)=0)*(1-(IF(K88="",-1,K88)&gt;=1)*(IF(K88="",-1,K88)&lt;=3)),IF(C88="peso_corporal",IF(ISNUMBER(E88),E88,0)+I88,I88)*J88*1000+I88,0),IF((M88&gt;0)*(IF(N88="",-1,N88)=0)*(1-(IF(N88="",-1,N88)&gt;=1)*(IF(N88="",-1,N88)&lt;=3)),IF(C88="peso_corporal",IF(ISNUMBER(E88),E88,0)+L88,L88)*M88*1000+L88,0),IF((P88&gt;0)*(IF(Q88="",-1,Q88)=0)*(1-(IF(Q88="",-1,Q88)&gt;=1)*(IF(Q88="",-1,Q88)&lt;=3)),IF(C88="peso_corporal",IF(ISNUMBER(E88),E88,0)+O88,O88)*P88*1000+O88,0),IF((S88&gt;0)*(IF(T88="",-1,T88)=0)*(1-(IF(T88="",-1,T88)&gt;=1)*(IF(T88="",-1,T88)&lt;=3)),IF(C88="peso_corporal",IF(ISNUMBER(E88),E88,0)+R88,R88)*S88*1000+R88,0))</f>
        <v>0</v>
      </c>
      <c r="Z88" s="69">
        <f>IF(Y88=0,0,IF(IF((S88&gt;0)*(IF(T88="",-1,T88)=0)*(1-(IF(T88="",-1,T88)&gt;=1)*(IF(T88="",-1,T88)&lt;=3)),IF(C88="peso_corporal",IF(ISNUMBER(E88),E88,0)+R88,R88)*S88*1000+R88,0)=Y88,5,IF(IF((P88&gt;0)*(IF(Q88="",-1,Q88)=0)*(1-(IF(Q88="",-1,Q88)&gt;=1)*(IF(Q88="",-1,Q88)&lt;=3)),IF(C88="peso_corporal",IF(ISNUMBER(E88),E88,0)+O88,O88)*P88*1000+O88,0)=Y88,4,IF(IF((M88&gt;0)*(IF(N88="",-1,N88)=0)*(1-(IF(N88="",-1,N88)&gt;=1)*(IF(N88="",-1,N88)&lt;=3)),IF(C88="peso_corporal",IF(ISNUMBER(E88),E88,0)+L88,L88)*M88*1000+L88,0)=Y88,3,IF(IF((J88&gt;0)*(IF(K88="",-1,K88)=0)*(1-(IF(K88="",-1,K88)&gt;=1)*(IF(K88="",-1,K88)&lt;=3)),IF(C88="peso_corporal",IF(ISNUMBER(E88),E88,0)+I88,I88)*J88*1000+I88,0)=Y88,2,IF(IF((G88&gt;0)*(IF(H88="",-1,H88)=0)*(1-(IF(H88="",-1,H88)&gt;=1)*(IF(H88="",-1,H88)&lt;=3)),IF(C88="peso_corporal",IF(ISNUMBER(E88),E88,0)+F88,F88)*G88*1000+F88,0)=Y88,1,0))))))</f>
        <v>0</v>
      </c>
      <c r="AA88" s="69">
        <f>MAX(IF((G88&gt;=6)*(1-(IF(H88="",-1,H88)&gt;=1)*(IF(H88="",-1,H88)&lt;=3))*(1-(IF(H88="",-1,H88)=0)),IF(C88="peso_corporal",IF(ISNUMBER(E88),E88,0)+F88,F88)*(30+G88)*100+F88,0),IF((J88&gt;=6)*(1-(IF(K88="",-1,K88)&gt;=1)*(IF(K88="",-1,K88)&lt;=3))*(1-(IF(K88="",-1,K88)=0)),IF(C88="peso_corporal",IF(ISNUMBER(E88),E88,0)+I88,I88)*(30+J88)*100+I88,0),IF((M88&gt;=6)*(1-(IF(N88="",-1,N88)&gt;=1)*(IF(N88="",-1,N88)&lt;=3))*(1-(IF(N88="",-1,N88)=0)),IF(C88="peso_corporal",IF(ISNUMBER(E88),E88,0)+L88,L88)*(30+M88)*100+L88,0),IF((P88&gt;=6)*(1-(IF(Q88="",-1,Q88)&gt;=1)*(IF(Q88="",-1,Q88)&lt;=3))*(1-(IF(Q88="",-1,Q88)=0)),IF(C88="peso_corporal",IF(ISNUMBER(E88),E88,0)+O88,O88)*(30+P88)*100+O88,0),IF((S88&gt;=6)*(1-(IF(T88="",-1,T88)&gt;=1)*(IF(T88="",-1,T88)&lt;=3))*(1-(IF(T88="",-1,T88)=0)),IF(C88="peso_corporal",IF(ISNUMBER(E88),E88,0)+R88,R88)*(30+S88)*100+R88,0))</f>
        <v>0</v>
      </c>
      <c r="AB88" s="69">
        <f>IF(AA88=0,0,IF(IF((S88&gt;=6)*(1-(IF(T88="",-1,T88)&gt;=1)*(IF(T88="",-1,T88)&lt;=3))*(1-(IF(T88="",-1,T88)=0)),IF(C88="peso_corporal",IF(ISNUMBER(E88),E88,0)+R88,R88)*(30+S88)*100+R88,0)=AA88,5,IF(IF((P88&gt;=6)*(1-(IF(Q88="",-1,Q88)&gt;=1)*(IF(Q88="",-1,Q88)&lt;=3))*(1-(IF(Q88="",-1,Q88)=0)),IF(C88="peso_corporal",IF(ISNUMBER(E88),E88,0)+O88,O88)*(30+P88)*100+O88,0)=AA88,4,IF(IF((M88&gt;=6)*(1-(IF(N88="",-1,N88)&gt;=1)*(IF(N88="",-1,N88)&lt;=3))*(1-(IF(N88="",-1,N88)=0)),IF(C88="peso_corporal",IF(ISNUMBER(E88),E88,0)+L88,L88)*(30+M88)*100+L88,0)=AA88,3,IF(IF((J88&gt;=6)*(1-(IF(K88="",-1,K88)&gt;=1)*(IF(K88="",-1,K88)&lt;=3))*(1-(IF(K88="",-1,K88)=0)),IF(C88="peso_corporal",IF(ISNUMBER(E88),E88,0)+I88,I88)*(30+J88)*100+I88,0)=AA88,2,IF(IF((G88&gt;=6)*(1-(IF(H88="",-1,H88)&gt;=1)*(IF(H88="",-1,H88)&lt;=3))*(1-(IF(H88="",-1,H88)=0)),IF(C88="peso_corporal",IF(ISNUMBER(E88),E88,0)+F88,F88)*(30+G88)*100+F88,0)=AA88,1,0))))))</f>
        <v>0</v>
      </c>
      <c r="AC88" s="69" t="str">
        <f>IF(X88&gt;0,"A"&amp;X88,IF(Z88&gt;0,"B"&amp;Z88,IF(AB88&gt;0,"C"&amp;AB88,"")))</f>
        <v/>
      </c>
    </row>
    <row r="89" spans="1:29" ht="15" customHeight="1">
      <c r="A89" s="82" t="s">
        <v>47</v>
      </c>
      <c r="B89" s="73"/>
      <c r="C89" s="73"/>
      <c r="D89" s="73"/>
      <c r="E89" s="73"/>
      <c r="F89" s="73"/>
      <c r="G89" s="73"/>
      <c r="H89" s="73"/>
      <c r="I89" s="73"/>
      <c r="J89" s="73"/>
      <c r="K89" s="73"/>
      <c r="L89" s="73"/>
      <c r="M89" s="73"/>
      <c r="N89" s="73"/>
      <c r="O89" s="73"/>
      <c r="P89" s="73"/>
      <c r="Q89" s="73"/>
      <c r="R89" s="73"/>
      <c r="S89" s="73"/>
      <c r="T89" s="73"/>
      <c r="U89" s="73"/>
      <c r="V89" s="73"/>
      <c r="W89" s="69"/>
      <c r="X89" s="69"/>
      <c r="Y89" s="69"/>
      <c r="Z89" s="69"/>
      <c r="AA89" s="69"/>
      <c r="AB89" s="69"/>
      <c r="AC89" s="69"/>
    </row>
    <row r="90" spans="1:29" ht="20.100000000000001" customHeight="1">
      <c r="A90" s="14" t="s">
        <v>48</v>
      </c>
      <c r="B90" s="15" t="s">
        <v>64</v>
      </c>
      <c r="C90" s="16" t="str">
        <f>IFERROR(INDEX(EJERCICIOS!$D$3:$D$75,MATCH(A90&amp;"|"&amp;B90,EJERCICIOS!$G$3:$G$75,0)),"--")</f>
        <v>--</v>
      </c>
      <c r="D90" s="17">
        <v>3</v>
      </c>
      <c r="E90" s="18">
        <f>IFERROR(LOOKUP(2,1/(MEDIDAS_Y_PESO!$B$3:$B$6&lt;&gt;""),MEDIDAS_Y_PESO!$B$3:$B$6),"--")</f>
        <v>80</v>
      </c>
      <c r="F90" s="19"/>
      <c r="G90" s="20"/>
      <c r="H90" s="21"/>
      <c r="I90" s="19"/>
      <c r="J90" s="20"/>
      <c r="K90" s="21"/>
      <c r="L90" s="19"/>
      <c r="M90" s="20"/>
      <c r="N90" s="21"/>
      <c r="O90" s="19"/>
      <c r="P90" s="20"/>
      <c r="Q90" s="21"/>
      <c r="R90" s="19"/>
      <c r="S90" s="20"/>
      <c r="T90" s="21"/>
      <c r="U90" s="22" t="str">
        <f>IFERROR(IF(IF(X90&gt;0,X90,IF(Z90&gt;0,Z90,IF(AB90&gt;0,AB90,0)))=0,"--",ROUND(CHOOSE(IF(X90&gt;0,X90,IF(Z90&gt;0,Z90,IF(AB90&gt;0,AB90,0))),IF(C90="peso_corporal",IF(ISNUMBER(E90),E90,0)+F90,F90)*(1+G90/30),IF(C90="peso_corporal",IF(ISNUMBER(E90),E90,0)+I90,I90)*(1+J90/30),IF(C90="peso_corporal",IF(ISNUMBER(E90),E90,0)+L90,L90)*(1+M90/30),IF(C90="peso_corporal",IF(ISNUMBER(E90),E90,0)+O90,O90)*(1+P90/30),IF(C90="peso_corporal",IF(ISNUMBER(E90),E90,0)+R90,R90)*(1+S90/30)),1)),"--")</f>
        <v>--</v>
      </c>
      <c r="V90" s="23" t="str">
        <f>IF(SUGERENCIAS!N200="SIN","Sin datos anteriores",IF(SUGERENCIAS!N200="SUBIR_F","^ SUBIR FUERTE | Kg:"&amp;ROUND(SUGERENCIAS!K200,1)&amp;" R:"&amp;ROUND(SUGERENCIAS!L200,0)&amp;" RIR:"&amp;ROUND(SUGERENCIAS!M200,0),IF(SUGERENCIAS!N200="SUBIR_E","^ SUBIR (Est.) | Kg:"&amp;ROUND(SUGERENCIAS!K200,1)&amp;" R:"&amp;ROUND(SUGERENCIAS!L200,0)&amp;" RIR:"&amp;ROUND(SUGERENCIAS!M200,0),IF(SUGERENCIAS!N200="SUBIR","^ SUBIR | Kg:"&amp;ROUND(SUGERENCIAS!K200,1)&amp;" R:"&amp;ROUND(SUGERENCIAS!L200,0)&amp;" RIR:"&amp;ROUND(SUGERENCIAS!M200,0),IF(SUGERENCIAS!N200="BAJAR","v BAJAR | Kg:"&amp;ROUND(SUGERENCIAS!K200,1)&amp;" R:"&amp;ROUND(SUGERENCIAS!L200,0)&amp;" RIR:"&amp;ROUND(SUGERENCIAS!M200,0),"= MANT | Kg:"&amp;ROUND(SUGERENCIAS!K200,1)&amp;" R:"&amp;ROUND(SUGERENCIAS!L200,0)&amp;" RIR:"&amp;ROUND(SUGERENCIAS!M200,0))))))</f>
        <v>Sin datos anteriores</v>
      </c>
      <c r="W90" s="69">
        <f>MAX(IF((G90&gt;0)*(IF(H90="",-1,H90)&gt;=1)*(IF(H90="",-1,H90)&lt;=3),IF(C90="peso_corporal",IF(ISNUMBER(E90),E90,0)+F90,F90)*G90*1000+F90,0),IF((J90&gt;0)*(IF(K90="",-1,K90)&gt;=1)*(IF(K90="",-1,K90)&lt;=3),IF(C90="peso_corporal",IF(ISNUMBER(E90),E90,0)+I90,I90)*J90*1000+I90,0),IF((M90&gt;0)*(IF(N90="",-1,N90)&gt;=1)*(IF(N90="",-1,N90)&lt;=3),IF(C90="peso_corporal",IF(ISNUMBER(E90),E90,0)+L90,L90)*M90*1000+L90,0),IF((P90&gt;0)*(IF(Q90="",-1,Q90)&gt;=1)*(IF(Q90="",-1,Q90)&lt;=3),IF(C90="peso_corporal",IF(ISNUMBER(E90),E90,0)+O90,O90)*P90*1000+O90,0),IF((S90&gt;0)*(IF(T90="",-1,T90)&gt;=1)*(IF(T90="",-1,T90)&lt;=3),IF(C90="peso_corporal",IF(ISNUMBER(E90),E90,0)+R90,R90)*S90*1000+R90,0))</f>
        <v>0</v>
      </c>
      <c r="X90" s="69">
        <f>IF(W90=0,0,IF(IF((S90&gt;0)*(IF(T90="",-1,T90)&gt;=1)*(IF(T90="",-1,T90)&lt;=3),IF(C90="peso_corporal",IF(ISNUMBER(E90),E90,0)+R90,R90)*S90*1000+R90,0)=W90,5,IF(IF((P90&gt;0)*(IF(Q90="",-1,Q90)&gt;=1)*(IF(Q90="",-1,Q90)&lt;=3),IF(C90="peso_corporal",IF(ISNUMBER(E90),E90,0)+O90,O90)*P90*1000+O90,0)=W90,4,IF(IF((M90&gt;0)*(IF(N90="",-1,N90)&gt;=1)*(IF(N90="",-1,N90)&lt;=3),IF(C90="peso_corporal",IF(ISNUMBER(E90),E90,0)+L90,L90)*M90*1000+L90,0)=W90,3,IF(IF((J90&gt;0)*(IF(K90="",-1,K90)&gt;=1)*(IF(K90="",-1,K90)&lt;=3),IF(C90="peso_corporal",IF(ISNUMBER(E90),E90,0)+I90,I90)*J90*1000+I90,0)=W90,2,IF(IF((G90&gt;0)*(IF(H90="",-1,H90)&gt;=1)*(IF(H90="",-1,H90)&lt;=3),IF(C90="peso_corporal",IF(ISNUMBER(E90),E90,0)+F90,F90)*G90*1000+F90,0)=W90,1,0))))))</f>
        <v>0</v>
      </c>
      <c r="Y90" s="69">
        <f>MAX(IF((G90&gt;0)*(IF(H90="",-1,H90)=0)*(1-(IF(H90="",-1,H90)&gt;=1)*(IF(H90="",-1,H90)&lt;=3)),IF(C90="peso_corporal",IF(ISNUMBER(E90),E90,0)+F90,F90)*G90*1000+F90,0),IF((J90&gt;0)*(IF(K90="",-1,K90)=0)*(1-(IF(K90="",-1,K90)&gt;=1)*(IF(K90="",-1,K90)&lt;=3)),IF(C90="peso_corporal",IF(ISNUMBER(E90),E90,0)+I90,I90)*J90*1000+I90,0),IF((M90&gt;0)*(IF(N90="",-1,N90)=0)*(1-(IF(N90="",-1,N90)&gt;=1)*(IF(N90="",-1,N90)&lt;=3)),IF(C90="peso_corporal",IF(ISNUMBER(E90),E90,0)+L90,L90)*M90*1000+L90,0),IF((P90&gt;0)*(IF(Q90="",-1,Q90)=0)*(1-(IF(Q90="",-1,Q90)&gt;=1)*(IF(Q90="",-1,Q90)&lt;=3)),IF(C90="peso_corporal",IF(ISNUMBER(E90),E90,0)+O90,O90)*P90*1000+O90,0),IF((S90&gt;0)*(IF(T90="",-1,T90)=0)*(1-(IF(T90="",-1,T90)&gt;=1)*(IF(T90="",-1,T90)&lt;=3)),IF(C90="peso_corporal",IF(ISNUMBER(E90),E90,0)+R90,R90)*S90*1000+R90,0))</f>
        <v>0</v>
      </c>
      <c r="Z90" s="69">
        <f>IF(Y90=0,0,IF(IF((S90&gt;0)*(IF(T90="",-1,T90)=0)*(1-(IF(T90="",-1,T90)&gt;=1)*(IF(T90="",-1,T90)&lt;=3)),IF(C90="peso_corporal",IF(ISNUMBER(E90),E90,0)+R90,R90)*S90*1000+R90,0)=Y90,5,IF(IF((P90&gt;0)*(IF(Q90="",-1,Q90)=0)*(1-(IF(Q90="",-1,Q90)&gt;=1)*(IF(Q90="",-1,Q90)&lt;=3)),IF(C90="peso_corporal",IF(ISNUMBER(E90),E90,0)+O90,O90)*P90*1000+O90,0)=Y90,4,IF(IF((M90&gt;0)*(IF(N90="",-1,N90)=0)*(1-(IF(N90="",-1,N90)&gt;=1)*(IF(N90="",-1,N90)&lt;=3)),IF(C90="peso_corporal",IF(ISNUMBER(E90),E90,0)+L90,L90)*M90*1000+L90,0)=Y90,3,IF(IF((J90&gt;0)*(IF(K90="",-1,K90)=0)*(1-(IF(K90="",-1,K90)&gt;=1)*(IF(K90="",-1,K90)&lt;=3)),IF(C90="peso_corporal",IF(ISNUMBER(E90),E90,0)+I90,I90)*J90*1000+I90,0)=Y90,2,IF(IF((G90&gt;0)*(IF(H90="",-1,H90)=0)*(1-(IF(H90="",-1,H90)&gt;=1)*(IF(H90="",-1,H90)&lt;=3)),IF(C90="peso_corporal",IF(ISNUMBER(E90),E90,0)+F90,F90)*G90*1000+F90,0)=Y90,1,0))))))</f>
        <v>0</v>
      </c>
      <c r="AA90" s="69">
        <f>MAX(IF((G90&gt;=6)*(1-(IF(H90="",-1,H90)&gt;=1)*(IF(H90="",-1,H90)&lt;=3))*(1-(IF(H90="",-1,H90)=0)),IF(C90="peso_corporal",IF(ISNUMBER(E90),E90,0)+F90,F90)*(30+G90)*100+F90,0),IF((J90&gt;=6)*(1-(IF(K90="",-1,K90)&gt;=1)*(IF(K90="",-1,K90)&lt;=3))*(1-(IF(K90="",-1,K90)=0)),IF(C90="peso_corporal",IF(ISNUMBER(E90),E90,0)+I90,I90)*(30+J90)*100+I90,0),IF((M90&gt;=6)*(1-(IF(N90="",-1,N90)&gt;=1)*(IF(N90="",-1,N90)&lt;=3))*(1-(IF(N90="",-1,N90)=0)),IF(C90="peso_corporal",IF(ISNUMBER(E90),E90,0)+L90,L90)*(30+M90)*100+L90,0),IF((P90&gt;=6)*(1-(IF(Q90="",-1,Q90)&gt;=1)*(IF(Q90="",-1,Q90)&lt;=3))*(1-(IF(Q90="",-1,Q90)=0)),IF(C90="peso_corporal",IF(ISNUMBER(E90),E90,0)+O90,O90)*(30+P90)*100+O90,0),IF((S90&gt;=6)*(1-(IF(T90="",-1,T90)&gt;=1)*(IF(T90="",-1,T90)&lt;=3))*(1-(IF(T90="",-1,T90)=0)),IF(C90="peso_corporal",IF(ISNUMBER(E90),E90,0)+R90,R90)*(30+S90)*100+R90,0))</f>
        <v>0</v>
      </c>
      <c r="AB90" s="69">
        <f>IF(AA90=0,0,IF(IF((S90&gt;=6)*(1-(IF(T90="",-1,T90)&gt;=1)*(IF(T90="",-1,T90)&lt;=3))*(1-(IF(T90="",-1,T90)=0)),IF(C90="peso_corporal",IF(ISNUMBER(E90),E90,0)+R90,R90)*(30+S90)*100+R90,0)=AA90,5,IF(IF((P90&gt;=6)*(1-(IF(Q90="",-1,Q90)&gt;=1)*(IF(Q90="",-1,Q90)&lt;=3))*(1-(IF(Q90="",-1,Q90)=0)),IF(C90="peso_corporal",IF(ISNUMBER(E90),E90,0)+O90,O90)*(30+P90)*100+O90,0)=AA90,4,IF(IF((M90&gt;=6)*(1-(IF(N90="",-1,N90)&gt;=1)*(IF(N90="",-1,N90)&lt;=3))*(1-(IF(N90="",-1,N90)=0)),IF(C90="peso_corporal",IF(ISNUMBER(E90),E90,0)+L90,L90)*(30+M90)*100+L90,0)=AA90,3,IF(IF((J90&gt;=6)*(1-(IF(K90="",-1,K90)&gt;=1)*(IF(K90="",-1,K90)&lt;=3))*(1-(IF(K90="",-1,K90)=0)),IF(C90="peso_corporal",IF(ISNUMBER(E90),E90,0)+I90,I90)*(30+J90)*100+I90,0)=AA90,2,IF(IF((G90&gt;=6)*(1-(IF(H90="",-1,H90)&gt;=1)*(IF(H90="",-1,H90)&lt;=3))*(1-(IF(H90="",-1,H90)=0)),IF(C90="peso_corporal",IF(ISNUMBER(E90),E90,0)+F90,F90)*(30+G90)*100+F90,0)=AA90,1,0))))))</f>
        <v>0</v>
      </c>
      <c r="AC90" s="69" t="str">
        <f>IF(X90&gt;0,"A"&amp;X90,IF(Z90&gt;0,"B"&amp;Z90,IF(AB90&gt;0,"C"&amp;AB90,"")))</f>
        <v/>
      </c>
    </row>
    <row r="91" spans="1:29" ht="15" customHeight="1">
      <c r="A91" s="88" t="s">
        <v>50</v>
      </c>
      <c r="B91" s="73"/>
      <c r="C91" s="73"/>
      <c r="D91" s="73"/>
      <c r="E91" s="73"/>
      <c r="F91" s="73"/>
      <c r="G91" s="73"/>
      <c r="H91" s="73"/>
      <c r="I91" s="73"/>
      <c r="J91" s="73"/>
      <c r="K91" s="73"/>
      <c r="L91" s="73"/>
      <c r="M91" s="73"/>
      <c r="N91" s="73"/>
      <c r="O91" s="73"/>
      <c r="P91" s="73"/>
      <c r="Q91" s="73"/>
      <c r="R91" s="73"/>
      <c r="S91" s="73"/>
      <c r="T91" s="73"/>
      <c r="U91" s="73"/>
      <c r="V91" s="73"/>
      <c r="W91" s="69"/>
      <c r="X91" s="69"/>
      <c r="Y91" s="69"/>
      <c r="Z91" s="69"/>
      <c r="AA91" s="69"/>
      <c r="AB91" s="69"/>
      <c r="AC91" s="69"/>
    </row>
    <row r="92" spans="1:29" ht="20.100000000000001" customHeight="1">
      <c r="A92" s="14" t="s">
        <v>65</v>
      </c>
      <c r="B92" s="15" t="s">
        <v>66</v>
      </c>
      <c r="C92" s="16" t="str">
        <f>IFERROR(INDEX(EJERCICIOS!$D$3:$D$75,MATCH(A92&amp;"|"&amp;B92,EJERCICIOS!$G$3:$G$75,0)),"--")</f>
        <v>--</v>
      </c>
      <c r="D92" s="17">
        <v>3</v>
      </c>
      <c r="E92" s="18">
        <f>IFERROR(LOOKUP(2,1/(MEDIDAS_Y_PESO!$B$3:$B$6&lt;&gt;""),MEDIDAS_Y_PESO!$B$3:$B$6),"--")</f>
        <v>80</v>
      </c>
      <c r="F92" s="19"/>
      <c r="G92" s="20"/>
      <c r="H92" s="21"/>
      <c r="I92" s="19"/>
      <c r="J92" s="20"/>
      <c r="K92" s="21"/>
      <c r="L92" s="19"/>
      <c r="M92" s="20"/>
      <c r="N92" s="21"/>
      <c r="O92" s="19"/>
      <c r="P92" s="20"/>
      <c r="Q92" s="21"/>
      <c r="R92" s="19"/>
      <c r="S92" s="20"/>
      <c r="T92" s="21"/>
      <c r="U92" s="22" t="str">
        <f>IFERROR(IF(IF(X92&gt;0,X92,IF(Z92&gt;0,Z92,IF(AB92&gt;0,AB92,0)))=0,"--",ROUND(CHOOSE(IF(X92&gt;0,X92,IF(Z92&gt;0,Z92,IF(AB92&gt;0,AB92,0))),IF(C92="peso_corporal",IF(ISNUMBER(E92),E92,0)+F92,F92)*(1+G92/30),IF(C92="peso_corporal",IF(ISNUMBER(E92),E92,0)+I92,I92)*(1+J92/30),IF(C92="peso_corporal",IF(ISNUMBER(E92),E92,0)+L92,L92)*(1+M92/30),IF(C92="peso_corporal",IF(ISNUMBER(E92),E92,0)+O92,O92)*(1+P92/30),IF(C92="peso_corporal",IF(ISNUMBER(E92),E92,0)+R92,R92)*(1+S92/30)),1)),"--")</f>
        <v>--</v>
      </c>
      <c r="V92" s="23" t="str">
        <f>IF(SUGERENCIAS!N201="SIN","Sin datos anteriores",IF(SUGERENCIAS!N201="SUBIR_F","^ SUBIR FUERTE | Kg:"&amp;ROUND(SUGERENCIAS!K201,1)&amp;" R:"&amp;ROUND(SUGERENCIAS!L201,0)&amp;" RIR:"&amp;ROUND(SUGERENCIAS!M201,0),IF(SUGERENCIAS!N201="SUBIR_E","^ SUBIR (Est.) | Kg:"&amp;ROUND(SUGERENCIAS!K201,1)&amp;" R:"&amp;ROUND(SUGERENCIAS!L201,0)&amp;" RIR:"&amp;ROUND(SUGERENCIAS!M201,0),IF(SUGERENCIAS!N201="SUBIR","^ SUBIR | Kg:"&amp;ROUND(SUGERENCIAS!K201,1)&amp;" R:"&amp;ROUND(SUGERENCIAS!L201,0)&amp;" RIR:"&amp;ROUND(SUGERENCIAS!M201,0),IF(SUGERENCIAS!N201="BAJAR","v BAJAR | Kg:"&amp;ROUND(SUGERENCIAS!K201,1)&amp;" R:"&amp;ROUND(SUGERENCIAS!L201,0)&amp;" RIR:"&amp;ROUND(SUGERENCIAS!M201,0),"= MANT | Kg:"&amp;ROUND(SUGERENCIAS!K201,1)&amp;" R:"&amp;ROUND(SUGERENCIAS!L201,0)&amp;" RIR:"&amp;ROUND(SUGERENCIAS!M201,0))))))</f>
        <v>Sin datos anteriores</v>
      </c>
      <c r="W92" s="69">
        <f>MAX(IF((G92&gt;0)*(IF(H92="",-1,H92)&gt;=1)*(IF(H92="",-1,H92)&lt;=3),IF(C92="peso_corporal",IF(ISNUMBER(E92),E92,0)+F92,F92)*G92*1000+F92,0),IF((J92&gt;0)*(IF(K92="",-1,K92)&gt;=1)*(IF(K92="",-1,K92)&lt;=3),IF(C92="peso_corporal",IF(ISNUMBER(E92),E92,0)+I92,I92)*J92*1000+I92,0),IF((M92&gt;0)*(IF(N92="",-1,N92)&gt;=1)*(IF(N92="",-1,N92)&lt;=3),IF(C92="peso_corporal",IF(ISNUMBER(E92),E92,0)+L92,L92)*M92*1000+L92,0),IF((P92&gt;0)*(IF(Q92="",-1,Q92)&gt;=1)*(IF(Q92="",-1,Q92)&lt;=3),IF(C92="peso_corporal",IF(ISNUMBER(E92),E92,0)+O92,O92)*P92*1000+O92,0),IF((S92&gt;0)*(IF(T92="",-1,T92)&gt;=1)*(IF(T92="",-1,T92)&lt;=3),IF(C92="peso_corporal",IF(ISNUMBER(E92),E92,0)+R92,R92)*S92*1000+R92,0))</f>
        <v>0</v>
      </c>
      <c r="X92" s="69">
        <f>IF(W92=0,0,IF(IF((S92&gt;0)*(IF(T92="",-1,T92)&gt;=1)*(IF(T92="",-1,T92)&lt;=3),IF(C92="peso_corporal",IF(ISNUMBER(E92),E92,0)+R92,R92)*S92*1000+R92,0)=W92,5,IF(IF((P92&gt;0)*(IF(Q92="",-1,Q92)&gt;=1)*(IF(Q92="",-1,Q92)&lt;=3),IF(C92="peso_corporal",IF(ISNUMBER(E92),E92,0)+O92,O92)*P92*1000+O92,0)=W92,4,IF(IF((M92&gt;0)*(IF(N92="",-1,N92)&gt;=1)*(IF(N92="",-1,N92)&lt;=3),IF(C92="peso_corporal",IF(ISNUMBER(E92),E92,0)+L92,L92)*M92*1000+L92,0)=W92,3,IF(IF((J92&gt;0)*(IF(K92="",-1,K92)&gt;=1)*(IF(K92="",-1,K92)&lt;=3),IF(C92="peso_corporal",IF(ISNUMBER(E92),E92,0)+I92,I92)*J92*1000+I92,0)=W92,2,IF(IF((G92&gt;0)*(IF(H92="",-1,H92)&gt;=1)*(IF(H92="",-1,H92)&lt;=3),IF(C92="peso_corporal",IF(ISNUMBER(E92),E92,0)+F92,F92)*G92*1000+F92,0)=W92,1,0))))))</f>
        <v>0</v>
      </c>
      <c r="Y92" s="69">
        <f>MAX(IF((G92&gt;0)*(IF(H92="",-1,H92)=0)*(1-(IF(H92="",-1,H92)&gt;=1)*(IF(H92="",-1,H92)&lt;=3)),IF(C92="peso_corporal",IF(ISNUMBER(E92),E92,0)+F92,F92)*G92*1000+F92,0),IF((J92&gt;0)*(IF(K92="",-1,K92)=0)*(1-(IF(K92="",-1,K92)&gt;=1)*(IF(K92="",-1,K92)&lt;=3)),IF(C92="peso_corporal",IF(ISNUMBER(E92),E92,0)+I92,I92)*J92*1000+I92,0),IF((M92&gt;0)*(IF(N92="",-1,N92)=0)*(1-(IF(N92="",-1,N92)&gt;=1)*(IF(N92="",-1,N92)&lt;=3)),IF(C92="peso_corporal",IF(ISNUMBER(E92),E92,0)+L92,L92)*M92*1000+L92,0),IF((P92&gt;0)*(IF(Q92="",-1,Q92)=0)*(1-(IF(Q92="",-1,Q92)&gt;=1)*(IF(Q92="",-1,Q92)&lt;=3)),IF(C92="peso_corporal",IF(ISNUMBER(E92),E92,0)+O92,O92)*P92*1000+O92,0),IF((S92&gt;0)*(IF(T92="",-1,T92)=0)*(1-(IF(T92="",-1,T92)&gt;=1)*(IF(T92="",-1,T92)&lt;=3)),IF(C92="peso_corporal",IF(ISNUMBER(E92),E92,0)+R92,R92)*S92*1000+R92,0))</f>
        <v>0</v>
      </c>
      <c r="Z92" s="69">
        <f>IF(Y92=0,0,IF(IF((S92&gt;0)*(IF(T92="",-1,T92)=0)*(1-(IF(T92="",-1,T92)&gt;=1)*(IF(T92="",-1,T92)&lt;=3)),IF(C92="peso_corporal",IF(ISNUMBER(E92),E92,0)+R92,R92)*S92*1000+R92,0)=Y92,5,IF(IF((P92&gt;0)*(IF(Q92="",-1,Q92)=0)*(1-(IF(Q92="",-1,Q92)&gt;=1)*(IF(Q92="",-1,Q92)&lt;=3)),IF(C92="peso_corporal",IF(ISNUMBER(E92),E92,0)+O92,O92)*P92*1000+O92,0)=Y92,4,IF(IF((M92&gt;0)*(IF(N92="",-1,N92)=0)*(1-(IF(N92="",-1,N92)&gt;=1)*(IF(N92="",-1,N92)&lt;=3)),IF(C92="peso_corporal",IF(ISNUMBER(E92),E92,0)+L92,L92)*M92*1000+L92,0)=Y92,3,IF(IF((J92&gt;0)*(IF(K92="",-1,K92)=0)*(1-(IF(K92="",-1,K92)&gt;=1)*(IF(K92="",-1,K92)&lt;=3)),IF(C92="peso_corporal",IF(ISNUMBER(E92),E92,0)+I92,I92)*J92*1000+I92,0)=Y92,2,IF(IF((G92&gt;0)*(IF(H92="",-1,H92)=0)*(1-(IF(H92="",-1,H92)&gt;=1)*(IF(H92="",-1,H92)&lt;=3)),IF(C92="peso_corporal",IF(ISNUMBER(E92),E92,0)+F92,F92)*G92*1000+F92,0)=Y92,1,0))))))</f>
        <v>0</v>
      </c>
      <c r="AA92" s="69">
        <f>MAX(IF((G92&gt;=6)*(1-(IF(H92="",-1,H92)&gt;=1)*(IF(H92="",-1,H92)&lt;=3))*(1-(IF(H92="",-1,H92)=0)),IF(C92="peso_corporal",IF(ISNUMBER(E92),E92,0)+F92,F92)*(30+G92)*100+F92,0),IF((J92&gt;=6)*(1-(IF(K92="",-1,K92)&gt;=1)*(IF(K92="",-1,K92)&lt;=3))*(1-(IF(K92="",-1,K92)=0)),IF(C92="peso_corporal",IF(ISNUMBER(E92),E92,0)+I92,I92)*(30+J92)*100+I92,0),IF((M92&gt;=6)*(1-(IF(N92="",-1,N92)&gt;=1)*(IF(N92="",-1,N92)&lt;=3))*(1-(IF(N92="",-1,N92)=0)),IF(C92="peso_corporal",IF(ISNUMBER(E92),E92,0)+L92,L92)*(30+M92)*100+L92,0),IF((P92&gt;=6)*(1-(IF(Q92="",-1,Q92)&gt;=1)*(IF(Q92="",-1,Q92)&lt;=3))*(1-(IF(Q92="",-1,Q92)=0)),IF(C92="peso_corporal",IF(ISNUMBER(E92),E92,0)+O92,O92)*(30+P92)*100+O92,0),IF((S92&gt;=6)*(1-(IF(T92="",-1,T92)&gt;=1)*(IF(T92="",-1,T92)&lt;=3))*(1-(IF(T92="",-1,T92)=0)),IF(C92="peso_corporal",IF(ISNUMBER(E92),E92,0)+R92,R92)*(30+S92)*100+R92,0))</f>
        <v>0</v>
      </c>
      <c r="AB92" s="69">
        <f>IF(AA92=0,0,IF(IF((S92&gt;=6)*(1-(IF(T92="",-1,T92)&gt;=1)*(IF(T92="",-1,T92)&lt;=3))*(1-(IF(T92="",-1,T92)=0)),IF(C92="peso_corporal",IF(ISNUMBER(E92),E92,0)+R92,R92)*(30+S92)*100+R92,0)=AA92,5,IF(IF((P92&gt;=6)*(1-(IF(Q92="",-1,Q92)&gt;=1)*(IF(Q92="",-1,Q92)&lt;=3))*(1-(IF(Q92="",-1,Q92)=0)),IF(C92="peso_corporal",IF(ISNUMBER(E92),E92,0)+O92,O92)*(30+P92)*100+O92,0)=AA92,4,IF(IF((M92&gt;=6)*(1-(IF(N92="",-1,N92)&gt;=1)*(IF(N92="",-1,N92)&lt;=3))*(1-(IF(N92="",-1,N92)=0)),IF(C92="peso_corporal",IF(ISNUMBER(E92),E92,0)+L92,L92)*(30+M92)*100+L92,0)=AA92,3,IF(IF((J92&gt;=6)*(1-(IF(K92="",-1,K92)&gt;=1)*(IF(K92="",-1,K92)&lt;=3))*(1-(IF(K92="",-1,K92)=0)),IF(C92="peso_corporal",IF(ISNUMBER(E92),E92,0)+I92,I92)*(30+J92)*100+I92,0)=AA92,2,IF(IF((G92&gt;=6)*(1-(IF(H92="",-1,H92)&gt;=1)*(IF(H92="",-1,H92)&lt;=3))*(1-(IF(H92="",-1,H92)=0)),IF(C92="peso_corporal",IF(ISNUMBER(E92),E92,0)+F92,F92)*(30+G92)*100+F92,0)=AA92,1,0))))))</f>
        <v>0</v>
      </c>
      <c r="AC92" s="69" t="str">
        <f>IF(X92&gt;0,"A"&amp;X92,IF(Z92&gt;0,"B"&amp;Z92,IF(AB92&gt;0,"C"&amp;AB92,"")))</f>
        <v/>
      </c>
    </row>
    <row r="93" spans="1:29" ht="15" customHeight="1">
      <c r="A93" s="81" t="s">
        <v>53</v>
      </c>
      <c r="B93" s="73"/>
      <c r="C93" s="73"/>
      <c r="D93" s="73"/>
      <c r="E93" s="73"/>
      <c r="F93" s="73"/>
      <c r="G93" s="73"/>
      <c r="H93" s="73"/>
      <c r="I93" s="73"/>
      <c r="J93" s="73"/>
      <c r="K93" s="73"/>
      <c r="L93" s="73"/>
      <c r="M93" s="73"/>
      <c r="N93" s="73"/>
      <c r="O93" s="73"/>
      <c r="P93" s="73"/>
      <c r="Q93" s="73"/>
      <c r="R93" s="73"/>
      <c r="S93" s="73"/>
      <c r="T93" s="73"/>
      <c r="U93" s="73"/>
      <c r="V93" s="73"/>
      <c r="W93" s="69"/>
      <c r="X93" s="69"/>
      <c r="Y93" s="69"/>
      <c r="Z93" s="69"/>
      <c r="AA93" s="69"/>
      <c r="AB93" s="69"/>
      <c r="AC93" s="69"/>
    </row>
    <row r="94" spans="1:29" ht="20.100000000000001" customHeight="1">
      <c r="A94" s="14" t="s">
        <v>54</v>
      </c>
      <c r="B94" s="15" t="s">
        <v>67</v>
      </c>
      <c r="C94" s="16" t="str">
        <f>IFERROR(INDEX(EJERCICIOS!$D$3:$D$75,MATCH(A94&amp;"|"&amp;B94,EJERCICIOS!$G$3:$G$75,0)),"--")</f>
        <v>mancuerna</v>
      </c>
      <c r="D94" s="17">
        <v>3</v>
      </c>
      <c r="E94" s="18">
        <f>IFERROR(LOOKUP(2,1/(MEDIDAS_Y_PESO!$B$3:$B$6&lt;&gt;""),MEDIDAS_Y_PESO!$B$3:$B$6),"--")</f>
        <v>80</v>
      </c>
      <c r="F94" s="19"/>
      <c r="G94" s="20"/>
      <c r="H94" s="21"/>
      <c r="I94" s="19"/>
      <c r="J94" s="20"/>
      <c r="K94" s="21"/>
      <c r="L94" s="19"/>
      <c r="M94" s="20"/>
      <c r="N94" s="21"/>
      <c r="O94" s="19"/>
      <c r="P94" s="20"/>
      <c r="Q94" s="21"/>
      <c r="R94" s="19"/>
      <c r="S94" s="20"/>
      <c r="T94" s="21"/>
      <c r="U94" s="22" t="str">
        <f>IFERROR(IF(IF(X94&gt;0,X94,IF(Z94&gt;0,Z94,IF(AB94&gt;0,AB94,0)))=0,"--",ROUND(CHOOSE(IF(X94&gt;0,X94,IF(Z94&gt;0,Z94,IF(AB94&gt;0,AB94,0))),IF(C94="peso_corporal",IF(ISNUMBER(E94),E94,0)+F94,F94)*(1+G94/30),IF(C94="peso_corporal",IF(ISNUMBER(E94),E94,0)+I94,I94)*(1+J94/30),IF(C94="peso_corporal",IF(ISNUMBER(E94),E94,0)+L94,L94)*(1+M94/30),IF(C94="peso_corporal",IF(ISNUMBER(E94),E94,0)+O94,O94)*(1+P94/30),IF(C94="peso_corporal",IF(ISNUMBER(E94),E94,0)+R94,R94)*(1+S94/30)),1)),"--")</f>
        <v>--</v>
      </c>
      <c r="V94" s="23" t="str">
        <f>IF(SUGERENCIAS!N202="SIN","Sin datos anteriores",IF(SUGERENCIAS!N202="SUBIR_F","^ SUBIR FUERTE | Kg:"&amp;ROUND(SUGERENCIAS!K202,1)&amp;" R:"&amp;ROUND(SUGERENCIAS!L202,0)&amp;" RIR:"&amp;ROUND(SUGERENCIAS!M202,0),IF(SUGERENCIAS!N202="SUBIR_E","^ SUBIR (Est.) | Kg:"&amp;ROUND(SUGERENCIAS!K202,1)&amp;" R:"&amp;ROUND(SUGERENCIAS!L202,0)&amp;" RIR:"&amp;ROUND(SUGERENCIAS!M202,0),IF(SUGERENCIAS!N202="SUBIR","^ SUBIR | Kg:"&amp;ROUND(SUGERENCIAS!K202,1)&amp;" R:"&amp;ROUND(SUGERENCIAS!L202,0)&amp;" RIR:"&amp;ROUND(SUGERENCIAS!M202,0),IF(SUGERENCIAS!N202="BAJAR","v BAJAR | Kg:"&amp;ROUND(SUGERENCIAS!K202,1)&amp;" R:"&amp;ROUND(SUGERENCIAS!L202,0)&amp;" RIR:"&amp;ROUND(SUGERENCIAS!M202,0),"= MANT | Kg:"&amp;ROUND(SUGERENCIAS!K202,1)&amp;" R:"&amp;ROUND(SUGERENCIAS!L202,0)&amp;" RIR:"&amp;ROUND(SUGERENCIAS!M202,0))))))</f>
        <v>Sin datos anteriores</v>
      </c>
      <c r="W94" s="69">
        <f>MAX(IF((G94&gt;0)*(IF(H94="",-1,H94)&gt;=1)*(IF(H94="",-1,H94)&lt;=3),IF(C94="peso_corporal",IF(ISNUMBER(E94),E94,0)+F94,F94)*G94*1000+F94,0),IF((J94&gt;0)*(IF(K94="",-1,K94)&gt;=1)*(IF(K94="",-1,K94)&lt;=3),IF(C94="peso_corporal",IF(ISNUMBER(E94),E94,0)+I94,I94)*J94*1000+I94,0),IF((M94&gt;0)*(IF(N94="",-1,N94)&gt;=1)*(IF(N94="",-1,N94)&lt;=3),IF(C94="peso_corporal",IF(ISNUMBER(E94),E94,0)+L94,L94)*M94*1000+L94,0),IF((P94&gt;0)*(IF(Q94="",-1,Q94)&gt;=1)*(IF(Q94="",-1,Q94)&lt;=3),IF(C94="peso_corporal",IF(ISNUMBER(E94),E94,0)+O94,O94)*P94*1000+O94,0),IF((S94&gt;0)*(IF(T94="",-1,T94)&gt;=1)*(IF(T94="",-1,T94)&lt;=3),IF(C94="peso_corporal",IF(ISNUMBER(E94),E94,0)+R94,R94)*S94*1000+R94,0))</f>
        <v>0</v>
      </c>
      <c r="X94" s="69">
        <f>IF(W94=0,0,IF(IF((S94&gt;0)*(IF(T94="",-1,T94)&gt;=1)*(IF(T94="",-1,T94)&lt;=3),IF(C94="peso_corporal",IF(ISNUMBER(E94),E94,0)+R94,R94)*S94*1000+R94,0)=W94,5,IF(IF((P94&gt;0)*(IF(Q94="",-1,Q94)&gt;=1)*(IF(Q94="",-1,Q94)&lt;=3),IF(C94="peso_corporal",IF(ISNUMBER(E94),E94,0)+O94,O94)*P94*1000+O94,0)=W94,4,IF(IF((M94&gt;0)*(IF(N94="",-1,N94)&gt;=1)*(IF(N94="",-1,N94)&lt;=3),IF(C94="peso_corporal",IF(ISNUMBER(E94),E94,0)+L94,L94)*M94*1000+L94,0)=W94,3,IF(IF((J94&gt;0)*(IF(K94="",-1,K94)&gt;=1)*(IF(K94="",-1,K94)&lt;=3),IF(C94="peso_corporal",IF(ISNUMBER(E94),E94,0)+I94,I94)*J94*1000+I94,0)=W94,2,IF(IF((G94&gt;0)*(IF(H94="",-1,H94)&gt;=1)*(IF(H94="",-1,H94)&lt;=3),IF(C94="peso_corporal",IF(ISNUMBER(E94),E94,0)+F94,F94)*G94*1000+F94,0)=W94,1,0))))))</f>
        <v>0</v>
      </c>
      <c r="Y94" s="69">
        <f>MAX(IF((G94&gt;0)*(IF(H94="",-1,H94)=0)*(1-(IF(H94="",-1,H94)&gt;=1)*(IF(H94="",-1,H94)&lt;=3)),IF(C94="peso_corporal",IF(ISNUMBER(E94),E94,0)+F94,F94)*G94*1000+F94,0),IF((J94&gt;0)*(IF(K94="",-1,K94)=0)*(1-(IF(K94="",-1,K94)&gt;=1)*(IF(K94="",-1,K94)&lt;=3)),IF(C94="peso_corporal",IF(ISNUMBER(E94),E94,0)+I94,I94)*J94*1000+I94,0),IF((M94&gt;0)*(IF(N94="",-1,N94)=0)*(1-(IF(N94="",-1,N94)&gt;=1)*(IF(N94="",-1,N94)&lt;=3)),IF(C94="peso_corporal",IF(ISNUMBER(E94),E94,0)+L94,L94)*M94*1000+L94,0),IF((P94&gt;0)*(IF(Q94="",-1,Q94)=0)*(1-(IF(Q94="",-1,Q94)&gt;=1)*(IF(Q94="",-1,Q94)&lt;=3)),IF(C94="peso_corporal",IF(ISNUMBER(E94),E94,0)+O94,O94)*P94*1000+O94,0),IF((S94&gt;0)*(IF(T94="",-1,T94)=0)*(1-(IF(T94="",-1,T94)&gt;=1)*(IF(T94="",-1,T94)&lt;=3)),IF(C94="peso_corporal",IF(ISNUMBER(E94),E94,0)+R94,R94)*S94*1000+R94,0))</f>
        <v>0</v>
      </c>
      <c r="Z94" s="69">
        <f>IF(Y94=0,0,IF(IF((S94&gt;0)*(IF(T94="",-1,T94)=0)*(1-(IF(T94="",-1,T94)&gt;=1)*(IF(T94="",-1,T94)&lt;=3)),IF(C94="peso_corporal",IF(ISNUMBER(E94),E94,0)+R94,R94)*S94*1000+R94,0)=Y94,5,IF(IF((P94&gt;0)*(IF(Q94="",-1,Q94)=0)*(1-(IF(Q94="",-1,Q94)&gt;=1)*(IF(Q94="",-1,Q94)&lt;=3)),IF(C94="peso_corporal",IF(ISNUMBER(E94),E94,0)+O94,O94)*P94*1000+O94,0)=Y94,4,IF(IF((M94&gt;0)*(IF(N94="",-1,N94)=0)*(1-(IF(N94="",-1,N94)&gt;=1)*(IF(N94="",-1,N94)&lt;=3)),IF(C94="peso_corporal",IF(ISNUMBER(E94),E94,0)+L94,L94)*M94*1000+L94,0)=Y94,3,IF(IF((J94&gt;0)*(IF(K94="",-1,K94)=0)*(1-(IF(K94="",-1,K94)&gt;=1)*(IF(K94="",-1,K94)&lt;=3)),IF(C94="peso_corporal",IF(ISNUMBER(E94),E94,0)+I94,I94)*J94*1000+I94,0)=Y94,2,IF(IF((G94&gt;0)*(IF(H94="",-1,H94)=0)*(1-(IF(H94="",-1,H94)&gt;=1)*(IF(H94="",-1,H94)&lt;=3)),IF(C94="peso_corporal",IF(ISNUMBER(E94),E94,0)+F94,F94)*G94*1000+F94,0)=Y94,1,0))))))</f>
        <v>0</v>
      </c>
      <c r="AA94" s="69">
        <f>MAX(IF((G94&gt;=6)*(1-(IF(H94="",-1,H94)&gt;=1)*(IF(H94="",-1,H94)&lt;=3))*(1-(IF(H94="",-1,H94)=0)),IF(C94="peso_corporal",IF(ISNUMBER(E94),E94,0)+F94,F94)*(30+G94)*100+F94,0),IF((J94&gt;=6)*(1-(IF(K94="",-1,K94)&gt;=1)*(IF(K94="",-1,K94)&lt;=3))*(1-(IF(K94="",-1,K94)=0)),IF(C94="peso_corporal",IF(ISNUMBER(E94),E94,0)+I94,I94)*(30+J94)*100+I94,0),IF((M94&gt;=6)*(1-(IF(N94="",-1,N94)&gt;=1)*(IF(N94="",-1,N94)&lt;=3))*(1-(IF(N94="",-1,N94)=0)),IF(C94="peso_corporal",IF(ISNUMBER(E94),E94,0)+L94,L94)*(30+M94)*100+L94,0),IF((P94&gt;=6)*(1-(IF(Q94="",-1,Q94)&gt;=1)*(IF(Q94="",-1,Q94)&lt;=3))*(1-(IF(Q94="",-1,Q94)=0)),IF(C94="peso_corporal",IF(ISNUMBER(E94),E94,0)+O94,O94)*(30+P94)*100+O94,0),IF((S94&gt;=6)*(1-(IF(T94="",-1,T94)&gt;=1)*(IF(T94="",-1,T94)&lt;=3))*(1-(IF(T94="",-1,T94)=0)),IF(C94="peso_corporal",IF(ISNUMBER(E94),E94,0)+R94,R94)*(30+S94)*100+R94,0))</f>
        <v>0</v>
      </c>
      <c r="AB94" s="69">
        <f>IF(AA94=0,0,IF(IF((S94&gt;=6)*(1-(IF(T94="",-1,T94)&gt;=1)*(IF(T94="",-1,T94)&lt;=3))*(1-(IF(T94="",-1,T94)=0)),IF(C94="peso_corporal",IF(ISNUMBER(E94),E94,0)+R94,R94)*(30+S94)*100+R94,0)=AA94,5,IF(IF((P94&gt;=6)*(1-(IF(Q94="",-1,Q94)&gt;=1)*(IF(Q94="",-1,Q94)&lt;=3))*(1-(IF(Q94="",-1,Q94)=0)),IF(C94="peso_corporal",IF(ISNUMBER(E94),E94,0)+O94,O94)*(30+P94)*100+O94,0)=AA94,4,IF(IF((M94&gt;=6)*(1-(IF(N94="",-1,N94)&gt;=1)*(IF(N94="",-1,N94)&lt;=3))*(1-(IF(N94="",-1,N94)=0)),IF(C94="peso_corporal",IF(ISNUMBER(E94),E94,0)+L94,L94)*(30+M94)*100+L94,0)=AA94,3,IF(IF((J94&gt;=6)*(1-(IF(K94="",-1,K94)&gt;=1)*(IF(K94="",-1,K94)&lt;=3))*(1-(IF(K94="",-1,K94)=0)),IF(C94="peso_corporal",IF(ISNUMBER(E94),E94,0)+I94,I94)*(30+J94)*100+I94,0)=AA94,2,IF(IF((G94&gt;=6)*(1-(IF(H94="",-1,H94)&gt;=1)*(IF(H94="",-1,H94)&lt;=3))*(1-(IF(H94="",-1,H94)=0)),IF(C94="peso_corporal",IF(ISNUMBER(E94),E94,0)+F94,F94)*(30+G94)*100+F94,0)=AA94,1,0))))))</f>
        <v>0</v>
      </c>
      <c r="AC94" s="69" t="str">
        <f>IF(X94&gt;0,"A"&amp;X94,IF(Z94&gt;0,"B"&amp;Z94,IF(AB94&gt;0,"C"&amp;AB94,"")))</f>
        <v/>
      </c>
    </row>
    <row r="95" spans="1:29" ht="15" customHeight="1">
      <c r="A95" s="72" t="s">
        <v>56</v>
      </c>
      <c r="B95" s="73"/>
      <c r="C95" s="73"/>
      <c r="D95" s="73"/>
      <c r="E95" s="73"/>
      <c r="F95" s="73"/>
      <c r="G95" s="73"/>
      <c r="H95" s="73"/>
      <c r="I95" s="73"/>
      <c r="J95" s="73"/>
      <c r="K95" s="73"/>
      <c r="L95" s="73"/>
      <c r="M95" s="73"/>
      <c r="N95" s="73"/>
      <c r="O95" s="73"/>
      <c r="P95" s="73"/>
      <c r="Q95" s="73"/>
      <c r="R95" s="73"/>
      <c r="S95" s="73"/>
      <c r="T95" s="73"/>
      <c r="U95" s="73"/>
      <c r="V95" s="73"/>
      <c r="W95" s="69"/>
      <c r="X95" s="69"/>
      <c r="Y95" s="69"/>
      <c r="Z95" s="69"/>
      <c r="AA95" s="69"/>
      <c r="AB95" s="69"/>
      <c r="AC95" s="69"/>
    </row>
    <row r="96" spans="1:29" ht="20.100000000000001" customHeight="1">
      <c r="A96" s="14" t="s">
        <v>57</v>
      </c>
      <c r="B96" s="15" t="s">
        <v>58</v>
      </c>
      <c r="C96" s="16" t="str">
        <f>IFERROR(INDEX(EJERCICIOS!$D$3:$D$75,MATCH(A96&amp;"|"&amp;B96,EJERCICIOS!$G$3:$G$75,0)),"--")</f>
        <v>polea</v>
      </c>
      <c r="D96" s="17">
        <v>3</v>
      </c>
      <c r="E96" s="18">
        <f>IFERROR(LOOKUP(2,1/(MEDIDAS_Y_PESO!$B$3:$B$6&lt;&gt;""),MEDIDAS_Y_PESO!$B$3:$B$6),"--")</f>
        <v>80</v>
      </c>
      <c r="F96" s="19"/>
      <c r="G96" s="20"/>
      <c r="H96" s="21"/>
      <c r="I96" s="19"/>
      <c r="J96" s="20"/>
      <c r="K96" s="21"/>
      <c r="L96" s="19"/>
      <c r="M96" s="20"/>
      <c r="N96" s="21"/>
      <c r="O96" s="19"/>
      <c r="P96" s="20"/>
      <c r="Q96" s="21"/>
      <c r="R96" s="19"/>
      <c r="S96" s="20"/>
      <c r="T96" s="21"/>
      <c r="U96" s="22" t="str">
        <f>IFERROR(IF(IF(X96&gt;0,X96,IF(Z96&gt;0,Z96,IF(AB96&gt;0,AB96,0)))=0,"--",ROUND(CHOOSE(IF(X96&gt;0,X96,IF(Z96&gt;0,Z96,IF(AB96&gt;0,AB96,0))),IF(C96="peso_corporal",IF(ISNUMBER(E96),E96,0)+F96,F96)*(1+G96/30),IF(C96="peso_corporal",IF(ISNUMBER(E96),E96,0)+I96,I96)*(1+J96/30),IF(C96="peso_corporal",IF(ISNUMBER(E96),E96,0)+L96,L96)*(1+M96/30),IF(C96="peso_corporal",IF(ISNUMBER(E96),E96,0)+O96,O96)*(1+P96/30),IF(C96="peso_corporal",IF(ISNUMBER(E96),E96,0)+R96,R96)*(1+S96/30)),1)),"--")</f>
        <v>--</v>
      </c>
      <c r="V96" s="23" t="str">
        <f>IF(SUGERENCIAS!N203="SIN","Sin datos anteriores",IF(SUGERENCIAS!N203="SUBIR_F","^ SUBIR FUERTE | Kg:"&amp;ROUND(SUGERENCIAS!K203,1)&amp;" R:"&amp;ROUND(SUGERENCIAS!L203,0)&amp;" RIR:"&amp;ROUND(SUGERENCIAS!M203,0),IF(SUGERENCIAS!N203="SUBIR_E","^ SUBIR (Est.) | Kg:"&amp;ROUND(SUGERENCIAS!K203,1)&amp;" R:"&amp;ROUND(SUGERENCIAS!L203,0)&amp;" RIR:"&amp;ROUND(SUGERENCIAS!M203,0),IF(SUGERENCIAS!N203="SUBIR","^ SUBIR | Kg:"&amp;ROUND(SUGERENCIAS!K203,1)&amp;" R:"&amp;ROUND(SUGERENCIAS!L203,0)&amp;" RIR:"&amp;ROUND(SUGERENCIAS!M203,0),IF(SUGERENCIAS!N203="BAJAR","v BAJAR | Kg:"&amp;ROUND(SUGERENCIAS!K203,1)&amp;" R:"&amp;ROUND(SUGERENCIAS!L203,0)&amp;" RIR:"&amp;ROUND(SUGERENCIAS!M203,0),"= MANT | Kg:"&amp;ROUND(SUGERENCIAS!K203,1)&amp;" R:"&amp;ROUND(SUGERENCIAS!L203,0)&amp;" RIR:"&amp;ROUND(SUGERENCIAS!M203,0))))))</f>
        <v>Sin datos anteriores</v>
      </c>
      <c r="W96" s="69">
        <f>MAX(IF((G96&gt;0)*(IF(H96="",-1,H96)&gt;=1)*(IF(H96="",-1,H96)&lt;=3),IF(C96="peso_corporal",IF(ISNUMBER(E96),E96,0)+F96,F96)*G96*1000+F96,0),IF((J96&gt;0)*(IF(K96="",-1,K96)&gt;=1)*(IF(K96="",-1,K96)&lt;=3),IF(C96="peso_corporal",IF(ISNUMBER(E96),E96,0)+I96,I96)*J96*1000+I96,0),IF((M96&gt;0)*(IF(N96="",-1,N96)&gt;=1)*(IF(N96="",-1,N96)&lt;=3),IF(C96="peso_corporal",IF(ISNUMBER(E96),E96,0)+L96,L96)*M96*1000+L96,0),IF((P96&gt;0)*(IF(Q96="",-1,Q96)&gt;=1)*(IF(Q96="",-1,Q96)&lt;=3),IF(C96="peso_corporal",IF(ISNUMBER(E96),E96,0)+O96,O96)*P96*1000+O96,0),IF((S96&gt;0)*(IF(T96="",-1,T96)&gt;=1)*(IF(T96="",-1,T96)&lt;=3),IF(C96="peso_corporal",IF(ISNUMBER(E96),E96,0)+R96,R96)*S96*1000+R96,0))</f>
        <v>0</v>
      </c>
      <c r="X96" s="69">
        <f>IF(W96=0,0,IF(IF((S96&gt;0)*(IF(T96="",-1,T96)&gt;=1)*(IF(T96="",-1,T96)&lt;=3),IF(C96="peso_corporal",IF(ISNUMBER(E96),E96,0)+R96,R96)*S96*1000+R96,0)=W96,5,IF(IF((P96&gt;0)*(IF(Q96="",-1,Q96)&gt;=1)*(IF(Q96="",-1,Q96)&lt;=3),IF(C96="peso_corporal",IF(ISNUMBER(E96),E96,0)+O96,O96)*P96*1000+O96,0)=W96,4,IF(IF((M96&gt;0)*(IF(N96="",-1,N96)&gt;=1)*(IF(N96="",-1,N96)&lt;=3),IF(C96="peso_corporal",IF(ISNUMBER(E96),E96,0)+L96,L96)*M96*1000+L96,0)=W96,3,IF(IF((J96&gt;0)*(IF(K96="",-1,K96)&gt;=1)*(IF(K96="",-1,K96)&lt;=3),IF(C96="peso_corporal",IF(ISNUMBER(E96),E96,0)+I96,I96)*J96*1000+I96,0)=W96,2,IF(IF((G96&gt;0)*(IF(H96="",-1,H96)&gt;=1)*(IF(H96="",-1,H96)&lt;=3),IF(C96="peso_corporal",IF(ISNUMBER(E96),E96,0)+F96,F96)*G96*1000+F96,0)=W96,1,0))))))</f>
        <v>0</v>
      </c>
      <c r="Y96" s="69">
        <f>MAX(IF((G96&gt;0)*(IF(H96="",-1,H96)=0)*(1-(IF(H96="",-1,H96)&gt;=1)*(IF(H96="",-1,H96)&lt;=3)),IF(C96="peso_corporal",IF(ISNUMBER(E96),E96,0)+F96,F96)*G96*1000+F96,0),IF((J96&gt;0)*(IF(K96="",-1,K96)=0)*(1-(IF(K96="",-1,K96)&gt;=1)*(IF(K96="",-1,K96)&lt;=3)),IF(C96="peso_corporal",IF(ISNUMBER(E96),E96,0)+I96,I96)*J96*1000+I96,0),IF((M96&gt;0)*(IF(N96="",-1,N96)=0)*(1-(IF(N96="",-1,N96)&gt;=1)*(IF(N96="",-1,N96)&lt;=3)),IF(C96="peso_corporal",IF(ISNUMBER(E96),E96,0)+L96,L96)*M96*1000+L96,0),IF((P96&gt;0)*(IF(Q96="",-1,Q96)=0)*(1-(IF(Q96="",-1,Q96)&gt;=1)*(IF(Q96="",-1,Q96)&lt;=3)),IF(C96="peso_corporal",IF(ISNUMBER(E96),E96,0)+O96,O96)*P96*1000+O96,0),IF((S96&gt;0)*(IF(T96="",-1,T96)=0)*(1-(IF(T96="",-1,T96)&gt;=1)*(IF(T96="",-1,T96)&lt;=3)),IF(C96="peso_corporal",IF(ISNUMBER(E96),E96,0)+R96,R96)*S96*1000+R96,0))</f>
        <v>0</v>
      </c>
      <c r="Z96" s="69">
        <f>IF(Y96=0,0,IF(IF((S96&gt;0)*(IF(T96="",-1,T96)=0)*(1-(IF(T96="",-1,T96)&gt;=1)*(IF(T96="",-1,T96)&lt;=3)),IF(C96="peso_corporal",IF(ISNUMBER(E96),E96,0)+R96,R96)*S96*1000+R96,0)=Y96,5,IF(IF((P96&gt;0)*(IF(Q96="",-1,Q96)=0)*(1-(IF(Q96="",-1,Q96)&gt;=1)*(IF(Q96="",-1,Q96)&lt;=3)),IF(C96="peso_corporal",IF(ISNUMBER(E96),E96,0)+O96,O96)*P96*1000+O96,0)=Y96,4,IF(IF((M96&gt;0)*(IF(N96="",-1,N96)=0)*(1-(IF(N96="",-1,N96)&gt;=1)*(IF(N96="",-1,N96)&lt;=3)),IF(C96="peso_corporal",IF(ISNUMBER(E96),E96,0)+L96,L96)*M96*1000+L96,0)=Y96,3,IF(IF((J96&gt;0)*(IF(K96="",-1,K96)=0)*(1-(IF(K96="",-1,K96)&gt;=1)*(IF(K96="",-1,K96)&lt;=3)),IF(C96="peso_corporal",IF(ISNUMBER(E96),E96,0)+I96,I96)*J96*1000+I96,0)=Y96,2,IF(IF((G96&gt;0)*(IF(H96="",-1,H96)=0)*(1-(IF(H96="",-1,H96)&gt;=1)*(IF(H96="",-1,H96)&lt;=3)),IF(C96="peso_corporal",IF(ISNUMBER(E96),E96,0)+F96,F96)*G96*1000+F96,0)=Y96,1,0))))))</f>
        <v>0</v>
      </c>
      <c r="AA96" s="69">
        <f>MAX(IF((G96&gt;=6)*(1-(IF(H96="",-1,H96)&gt;=1)*(IF(H96="",-1,H96)&lt;=3))*(1-(IF(H96="",-1,H96)=0)),IF(C96="peso_corporal",IF(ISNUMBER(E96),E96,0)+F96,F96)*(30+G96)*100+F96,0),IF((J96&gt;=6)*(1-(IF(K96="",-1,K96)&gt;=1)*(IF(K96="",-1,K96)&lt;=3))*(1-(IF(K96="",-1,K96)=0)),IF(C96="peso_corporal",IF(ISNUMBER(E96),E96,0)+I96,I96)*(30+J96)*100+I96,0),IF((M96&gt;=6)*(1-(IF(N96="",-1,N96)&gt;=1)*(IF(N96="",-1,N96)&lt;=3))*(1-(IF(N96="",-1,N96)=0)),IF(C96="peso_corporal",IF(ISNUMBER(E96),E96,0)+L96,L96)*(30+M96)*100+L96,0),IF((P96&gt;=6)*(1-(IF(Q96="",-1,Q96)&gt;=1)*(IF(Q96="",-1,Q96)&lt;=3))*(1-(IF(Q96="",-1,Q96)=0)),IF(C96="peso_corporal",IF(ISNUMBER(E96),E96,0)+O96,O96)*(30+P96)*100+O96,0),IF((S96&gt;=6)*(1-(IF(T96="",-1,T96)&gt;=1)*(IF(T96="",-1,T96)&lt;=3))*(1-(IF(T96="",-1,T96)=0)),IF(C96="peso_corporal",IF(ISNUMBER(E96),E96,0)+R96,R96)*(30+S96)*100+R96,0))</f>
        <v>0</v>
      </c>
      <c r="AB96" s="69">
        <f>IF(AA96=0,0,IF(IF((S96&gt;=6)*(1-(IF(T96="",-1,T96)&gt;=1)*(IF(T96="",-1,T96)&lt;=3))*(1-(IF(T96="",-1,T96)=0)),IF(C96="peso_corporal",IF(ISNUMBER(E96),E96,0)+R96,R96)*(30+S96)*100+R96,0)=AA96,5,IF(IF((P96&gt;=6)*(1-(IF(Q96="",-1,Q96)&gt;=1)*(IF(Q96="",-1,Q96)&lt;=3))*(1-(IF(Q96="",-1,Q96)=0)),IF(C96="peso_corporal",IF(ISNUMBER(E96),E96,0)+O96,O96)*(30+P96)*100+O96,0)=AA96,4,IF(IF((M96&gt;=6)*(1-(IF(N96="",-1,N96)&gt;=1)*(IF(N96="",-1,N96)&lt;=3))*(1-(IF(N96="",-1,N96)=0)),IF(C96="peso_corporal",IF(ISNUMBER(E96),E96,0)+L96,L96)*(30+M96)*100+L96,0)=AA96,3,IF(IF((J96&gt;=6)*(1-(IF(K96="",-1,K96)&gt;=1)*(IF(K96="",-1,K96)&lt;=3))*(1-(IF(K96="",-1,K96)=0)),IF(C96="peso_corporal",IF(ISNUMBER(E96),E96,0)+I96,I96)*(30+J96)*100+I96,0)=AA96,2,IF(IF((G96&gt;=6)*(1-(IF(H96="",-1,H96)&gt;=1)*(IF(H96="",-1,H96)&lt;=3))*(1-(IF(H96="",-1,H96)=0)),IF(C96="peso_corporal",IF(ISNUMBER(E96),E96,0)+F96,F96)*(30+G96)*100+F96,0)=AA96,1,0))))))</f>
        <v>0</v>
      </c>
      <c r="AC96" s="69" t="str">
        <f>IF(X96&gt;0,"A"&amp;X96,IF(Z96&gt;0,"B"&amp;Z96,IF(AB96&gt;0,"C"&amp;AB96,"")))</f>
        <v/>
      </c>
    </row>
    <row r="97" spans="1:29" ht="6" customHeight="1">
      <c r="A97" s="13"/>
      <c r="B97" s="13"/>
      <c r="C97" s="13"/>
      <c r="D97" s="13"/>
      <c r="E97" s="13"/>
      <c r="F97" s="13"/>
      <c r="G97" s="13"/>
      <c r="H97" s="13"/>
      <c r="I97" s="13"/>
      <c r="J97" s="13"/>
      <c r="K97" s="13"/>
      <c r="L97" s="13"/>
      <c r="M97" s="13"/>
      <c r="N97" s="13"/>
      <c r="O97" s="13"/>
      <c r="P97" s="13"/>
      <c r="Q97" s="13"/>
      <c r="R97" s="13"/>
      <c r="S97" s="13"/>
      <c r="T97" s="13"/>
      <c r="U97" s="13"/>
      <c r="V97" s="13"/>
      <c r="W97" s="69"/>
      <c r="X97" s="69"/>
      <c r="Y97" s="69"/>
      <c r="Z97" s="69"/>
      <c r="AA97" s="69"/>
      <c r="AB97" s="69"/>
      <c r="AC97" s="69"/>
    </row>
    <row r="98" spans="1:29" ht="18" customHeight="1">
      <c r="A98" s="85" t="s">
        <v>70</v>
      </c>
      <c r="B98" s="73"/>
      <c r="C98" s="73"/>
      <c r="D98" s="73"/>
      <c r="E98" s="73"/>
      <c r="F98" s="73"/>
      <c r="G98" s="73"/>
      <c r="H98" s="73"/>
      <c r="I98" s="73"/>
      <c r="J98" s="73"/>
      <c r="K98" s="73"/>
      <c r="L98" s="73"/>
      <c r="M98" s="73"/>
      <c r="N98" s="73"/>
      <c r="O98" s="73"/>
      <c r="P98" s="73"/>
      <c r="Q98" s="73"/>
      <c r="R98" s="73"/>
      <c r="S98" s="73"/>
      <c r="T98" s="73"/>
      <c r="U98" s="73"/>
      <c r="V98" s="73"/>
      <c r="W98" s="69"/>
      <c r="X98" s="69"/>
      <c r="Y98" s="69"/>
      <c r="Z98" s="69"/>
      <c r="AA98" s="69"/>
      <c r="AB98" s="69"/>
      <c r="AC98" s="69"/>
    </row>
    <row r="99" spans="1:29" ht="15" customHeight="1">
      <c r="A99" s="75" t="s">
        <v>28</v>
      </c>
      <c r="B99" s="73"/>
      <c r="C99" s="73"/>
      <c r="D99" s="73"/>
      <c r="E99" s="73"/>
      <c r="F99" s="73"/>
      <c r="G99" s="73"/>
      <c r="H99" s="73"/>
      <c r="I99" s="73"/>
      <c r="J99" s="73"/>
      <c r="K99" s="73"/>
      <c r="L99" s="73"/>
      <c r="M99" s="73"/>
      <c r="N99" s="73"/>
      <c r="O99" s="73"/>
      <c r="P99" s="73"/>
      <c r="Q99" s="73"/>
      <c r="R99" s="73"/>
      <c r="S99" s="73"/>
      <c r="T99" s="73"/>
      <c r="U99" s="73"/>
      <c r="V99" s="73"/>
      <c r="W99" s="69"/>
      <c r="X99" s="69"/>
      <c r="Y99" s="69"/>
      <c r="Z99" s="69"/>
      <c r="AA99" s="69"/>
      <c r="AB99" s="69"/>
      <c r="AC99" s="69"/>
    </row>
    <row r="100" spans="1:29" ht="11.1" customHeight="1">
      <c r="A100" s="76" t="s">
        <v>29</v>
      </c>
      <c r="B100" s="73"/>
      <c r="C100" s="73"/>
      <c r="D100" s="73"/>
      <c r="E100" s="73"/>
      <c r="F100" s="73"/>
      <c r="G100" s="73"/>
      <c r="H100" s="73"/>
      <c r="I100" s="73"/>
      <c r="J100" s="73"/>
      <c r="K100" s="73"/>
      <c r="L100" s="73"/>
      <c r="M100" s="73"/>
      <c r="N100" s="73"/>
      <c r="O100" s="73"/>
      <c r="P100" s="73"/>
      <c r="Q100" s="73"/>
      <c r="R100" s="73"/>
      <c r="S100" s="73"/>
      <c r="T100" s="73"/>
      <c r="U100" s="73"/>
      <c r="V100" s="73"/>
      <c r="W100" s="69"/>
      <c r="X100" s="69"/>
      <c r="Y100" s="69"/>
      <c r="Z100" s="69"/>
      <c r="AA100" s="69"/>
      <c r="AB100" s="69"/>
      <c r="AC100" s="69"/>
    </row>
    <row r="101" spans="1:29" ht="20.100000000000001" customHeight="1">
      <c r="A101" s="14" t="s">
        <v>30</v>
      </c>
      <c r="B101" s="15" t="s">
        <v>60</v>
      </c>
      <c r="C101" s="16" t="str">
        <f>IFERROR(INDEX(EJERCICIOS!$D$3:$D$75,MATCH(A101&amp;"|"&amp;B101,EJERCICIOS!$G$3:$G$75,0)),"--")</f>
        <v>disco</v>
      </c>
      <c r="D101" s="17">
        <v>3</v>
      </c>
      <c r="E101" s="18">
        <f>IFERROR(LOOKUP(2,1/(MEDIDAS_Y_PESO!$B$3:$B$7&lt;&gt;""),MEDIDAS_Y_PESO!$B$3:$B$7),"--")</f>
        <v>80</v>
      </c>
      <c r="F101" s="19"/>
      <c r="G101" s="20"/>
      <c r="H101" s="21"/>
      <c r="I101" s="19"/>
      <c r="J101" s="20"/>
      <c r="K101" s="21"/>
      <c r="L101" s="19"/>
      <c r="M101" s="20"/>
      <c r="N101" s="21"/>
      <c r="O101" s="19"/>
      <c r="P101" s="20"/>
      <c r="Q101" s="21"/>
      <c r="R101" s="19"/>
      <c r="S101" s="20"/>
      <c r="T101" s="21"/>
      <c r="U101" s="22" t="str">
        <f>IFERROR(IF(IF(X101&gt;0,X101,IF(Z101&gt;0,Z101,IF(AB101&gt;0,AB101,0)))=0,"--",ROUND(CHOOSE(IF(X101&gt;0,X101,IF(Z101&gt;0,Z101,IF(AB101&gt;0,AB101,0))),IF(C101="peso_corporal",IF(ISNUMBER(E101),E101,0)+F101,F101)*(1+G101/30),IF(C101="peso_corporal",IF(ISNUMBER(E101),E101,0)+I101,I101)*(1+J101/30),IF(C101="peso_corporal",IF(ISNUMBER(E101),E101,0)+L101,L101)*(1+M101/30),IF(C101="peso_corporal",IF(ISNUMBER(E101),E101,0)+O101,O101)*(1+P101/30),IF(C101="peso_corporal",IF(ISNUMBER(E101),E101,0)+R101,R101)*(1+S101/30)),1)),"--")</f>
        <v>--</v>
      </c>
      <c r="V101" s="23" t="str">
        <f>IF(SUGERENCIAS!N256="SIN","Sin datos anteriores",IF(SUGERENCIAS!N256="SUBIR_F","^ SUBIR FUERTE | Kg:"&amp;ROUND(SUGERENCIAS!K256,1)&amp;" R:"&amp;ROUND(SUGERENCIAS!L256,0)&amp;" RIR:"&amp;ROUND(SUGERENCIAS!M256,0),IF(SUGERENCIAS!N256="SUBIR_E","^ SUBIR (Est.) | Kg:"&amp;ROUND(SUGERENCIAS!K256,1)&amp;" R:"&amp;ROUND(SUGERENCIAS!L256,0)&amp;" RIR:"&amp;ROUND(SUGERENCIAS!M256,0),IF(SUGERENCIAS!N256="SUBIR","^ SUBIR | Kg:"&amp;ROUND(SUGERENCIAS!K256,1)&amp;" R:"&amp;ROUND(SUGERENCIAS!L256,0)&amp;" RIR:"&amp;ROUND(SUGERENCIAS!M256,0),IF(SUGERENCIAS!N256="BAJAR","v BAJAR | Kg:"&amp;ROUND(SUGERENCIAS!K256,1)&amp;" R:"&amp;ROUND(SUGERENCIAS!L256,0)&amp;" RIR:"&amp;ROUND(SUGERENCIAS!M256,0),"= MANT | Kg:"&amp;ROUND(SUGERENCIAS!K256,1)&amp;" R:"&amp;ROUND(SUGERENCIAS!L256,0)&amp;" RIR:"&amp;ROUND(SUGERENCIAS!M256,0))))))</f>
        <v>Sin datos anteriores</v>
      </c>
      <c r="W101" s="69">
        <f>MAX(IF((G101&gt;0)*(IF(H101="",-1,H101)&gt;=1)*(IF(H101="",-1,H101)&lt;=3),IF(C101="peso_corporal",IF(ISNUMBER(E101),E101,0)+F101,F101)*G101*1000+F101,0),IF((J101&gt;0)*(IF(K101="",-1,K101)&gt;=1)*(IF(K101="",-1,K101)&lt;=3),IF(C101="peso_corporal",IF(ISNUMBER(E101),E101,0)+I101,I101)*J101*1000+I101,0),IF((M101&gt;0)*(IF(N101="",-1,N101)&gt;=1)*(IF(N101="",-1,N101)&lt;=3),IF(C101="peso_corporal",IF(ISNUMBER(E101),E101,0)+L101,L101)*M101*1000+L101,0),IF((P101&gt;0)*(IF(Q101="",-1,Q101)&gt;=1)*(IF(Q101="",-1,Q101)&lt;=3),IF(C101="peso_corporal",IF(ISNUMBER(E101),E101,0)+O101,O101)*P101*1000+O101,0),IF((S101&gt;0)*(IF(T101="",-1,T101)&gt;=1)*(IF(T101="",-1,T101)&lt;=3),IF(C101="peso_corporal",IF(ISNUMBER(E101),E101,0)+R101,R101)*S101*1000+R101,0))</f>
        <v>0</v>
      </c>
      <c r="X101" s="69">
        <f>IF(W101=0,0,IF(IF((S101&gt;0)*(IF(T101="",-1,T101)&gt;=1)*(IF(T101="",-1,T101)&lt;=3),IF(C101="peso_corporal",IF(ISNUMBER(E101),E101,0)+R101,R101)*S101*1000+R101,0)=W101,5,IF(IF((P101&gt;0)*(IF(Q101="",-1,Q101)&gt;=1)*(IF(Q101="",-1,Q101)&lt;=3),IF(C101="peso_corporal",IF(ISNUMBER(E101),E101,0)+O101,O101)*P101*1000+O101,0)=W101,4,IF(IF((M101&gt;0)*(IF(N101="",-1,N101)&gt;=1)*(IF(N101="",-1,N101)&lt;=3),IF(C101="peso_corporal",IF(ISNUMBER(E101),E101,0)+L101,L101)*M101*1000+L101,0)=W101,3,IF(IF((J101&gt;0)*(IF(K101="",-1,K101)&gt;=1)*(IF(K101="",-1,K101)&lt;=3),IF(C101="peso_corporal",IF(ISNUMBER(E101),E101,0)+I101,I101)*J101*1000+I101,0)=W101,2,IF(IF((G101&gt;0)*(IF(H101="",-1,H101)&gt;=1)*(IF(H101="",-1,H101)&lt;=3),IF(C101="peso_corporal",IF(ISNUMBER(E101),E101,0)+F101,F101)*G101*1000+F101,0)=W101,1,0))))))</f>
        <v>0</v>
      </c>
      <c r="Y101" s="69">
        <f>MAX(IF((G101&gt;0)*(IF(H101="",-1,H101)=0)*(1-(IF(H101="",-1,H101)&gt;=1)*(IF(H101="",-1,H101)&lt;=3)),IF(C101="peso_corporal",IF(ISNUMBER(E101),E101,0)+F101,F101)*G101*1000+F101,0),IF((J101&gt;0)*(IF(K101="",-1,K101)=0)*(1-(IF(K101="",-1,K101)&gt;=1)*(IF(K101="",-1,K101)&lt;=3)),IF(C101="peso_corporal",IF(ISNUMBER(E101),E101,0)+I101,I101)*J101*1000+I101,0),IF((M101&gt;0)*(IF(N101="",-1,N101)=0)*(1-(IF(N101="",-1,N101)&gt;=1)*(IF(N101="",-1,N101)&lt;=3)),IF(C101="peso_corporal",IF(ISNUMBER(E101),E101,0)+L101,L101)*M101*1000+L101,0),IF((P101&gt;0)*(IF(Q101="",-1,Q101)=0)*(1-(IF(Q101="",-1,Q101)&gt;=1)*(IF(Q101="",-1,Q101)&lt;=3)),IF(C101="peso_corporal",IF(ISNUMBER(E101),E101,0)+O101,O101)*P101*1000+O101,0),IF((S101&gt;0)*(IF(T101="",-1,T101)=0)*(1-(IF(T101="",-1,T101)&gt;=1)*(IF(T101="",-1,T101)&lt;=3)),IF(C101="peso_corporal",IF(ISNUMBER(E101),E101,0)+R101,R101)*S101*1000+R101,0))</f>
        <v>0</v>
      </c>
      <c r="Z101" s="69">
        <f>IF(Y101=0,0,IF(IF((S101&gt;0)*(IF(T101="",-1,T101)=0)*(1-(IF(T101="",-1,T101)&gt;=1)*(IF(T101="",-1,T101)&lt;=3)),IF(C101="peso_corporal",IF(ISNUMBER(E101),E101,0)+R101,R101)*S101*1000+R101,0)=Y101,5,IF(IF((P101&gt;0)*(IF(Q101="",-1,Q101)=0)*(1-(IF(Q101="",-1,Q101)&gt;=1)*(IF(Q101="",-1,Q101)&lt;=3)),IF(C101="peso_corporal",IF(ISNUMBER(E101),E101,0)+O101,O101)*P101*1000+O101,0)=Y101,4,IF(IF((M101&gt;0)*(IF(N101="",-1,N101)=0)*(1-(IF(N101="",-1,N101)&gt;=1)*(IF(N101="",-1,N101)&lt;=3)),IF(C101="peso_corporal",IF(ISNUMBER(E101),E101,0)+L101,L101)*M101*1000+L101,0)=Y101,3,IF(IF((J101&gt;0)*(IF(K101="",-1,K101)=0)*(1-(IF(K101="",-1,K101)&gt;=1)*(IF(K101="",-1,K101)&lt;=3)),IF(C101="peso_corporal",IF(ISNUMBER(E101),E101,0)+I101,I101)*J101*1000+I101,0)=Y101,2,IF(IF((G101&gt;0)*(IF(H101="",-1,H101)=0)*(1-(IF(H101="",-1,H101)&gt;=1)*(IF(H101="",-1,H101)&lt;=3)),IF(C101="peso_corporal",IF(ISNUMBER(E101),E101,0)+F101,F101)*G101*1000+F101,0)=Y101,1,0))))))</f>
        <v>0</v>
      </c>
      <c r="AA101" s="69">
        <f>MAX(IF((G101&gt;=6)*(1-(IF(H101="",-1,H101)&gt;=1)*(IF(H101="",-1,H101)&lt;=3))*(1-(IF(H101="",-1,H101)=0)),IF(C101="peso_corporal",IF(ISNUMBER(E101),E101,0)+F101,F101)*(30+G101)*100+F101,0),IF((J101&gt;=6)*(1-(IF(K101="",-1,K101)&gt;=1)*(IF(K101="",-1,K101)&lt;=3))*(1-(IF(K101="",-1,K101)=0)),IF(C101="peso_corporal",IF(ISNUMBER(E101),E101,0)+I101,I101)*(30+J101)*100+I101,0),IF((M101&gt;=6)*(1-(IF(N101="",-1,N101)&gt;=1)*(IF(N101="",-1,N101)&lt;=3))*(1-(IF(N101="",-1,N101)=0)),IF(C101="peso_corporal",IF(ISNUMBER(E101),E101,0)+L101,L101)*(30+M101)*100+L101,0),IF((P101&gt;=6)*(1-(IF(Q101="",-1,Q101)&gt;=1)*(IF(Q101="",-1,Q101)&lt;=3))*(1-(IF(Q101="",-1,Q101)=0)),IF(C101="peso_corporal",IF(ISNUMBER(E101),E101,0)+O101,O101)*(30+P101)*100+O101,0),IF((S101&gt;=6)*(1-(IF(T101="",-1,T101)&gt;=1)*(IF(T101="",-1,T101)&lt;=3))*(1-(IF(T101="",-1,T101)=0)),IF(C101="peso_corporal",IF(ISNUMBER(E101),E101,0)+R101,R101)*(30+S101)*100+R101,0))</f>
        <v>0</v>
      </c>
      <c r="AB101" s="69">
        <f>IF(AA101=0,0,IF(IF((S101&gt;=6)*(1-(IF(T101="",-1,T101)&gt;=1)*(IF(T101="",-1,T101)&lt;=3))*(1-(IF(T101="",-1,T101)=0)),IF(C101="peso_corporal",IF(ISNUMBER(E101),E101,0)+R101,R101)*(30+S101)*100+R101,0)=AA101,5,IF(IF((P101&gt;=6)*(1-(IF(Q101="",-1,Q101)&gt;=1)*(IF(Q101="",-1,Q101)&lt;=3))*(1-(IF(Q101="",-1,Q101)=0)),IF(C101="peso_corporal",IF(ISNUMBER(E101),E101,0)+O101,O101)*(30+P101)*100+O101,0)=AA101,4,IF(IF((M101&gt;=6)*(1-(IF(N101="",-1,N101)&gt;=1)*(IF(N101="",-1,N101)&lt;=3))*(1-(IF(N101="",-1,N101)=0)),IF(C101="peso_corporal",IF(ISNUMBER(E101),E101,0)+L101,L101)*(30+M101)*100+L101,0)=AA101,3,IF(IF((J101&gt;=6)*(1-(IF(K101="",-1,K101)&gt;=1)*(IF(K101="",-1,K101)&lt;=3))*(1-(IF(K101="",-1,K101)=0)),IF(C101="peso_corporal",IF(ISNUMBER(E101),E101,0)+I101,I101)*(30+J101)*100+I101,0)=AA101,2,IF(IF((G101&gt;=6)*(1-(IF(H101="",-1,H101)&gt;=1)*(IF(H101="",-1,H101)&lt;=3))*(1-(IF(H101="",-1,H101)=0)),IF(C101="peso_corporal",IF(ISNUMBER(E101),E101,0)+F101,F101)*(30+G101)*100+F101,0)=AA101,1,0))))))</f>
        <v>0</v>
      </c>
      <c r="AC101" s="69" t="str">
        <f>IF(X101&gt;0,"A"&amp;X101,IF(Z101&gt;0,"B"&amp;Z101,IF(AB101&gt;0,"C"&amp;AB101,"")))</f>
        <v/>
      </c>
    </row>
    <row r="102" spans="1:29" ht="11.1" customHeight="1">
      <c r="A102" s="84" t="s">
        <v>32</v>
      </c>
      <c r="B102" s="73"/>
      <c r="C102" s="73"/>
      <c r="D102" s="73"/>
      <c r="E102" s="73"/>
      <c r="F102" s="73"/>
      <c r="G102" s="73"/>
      <c r="H102" s="73"/>
      <c r="I102" s="73"/>
      <c r="J102" s="73"/>
      <c r="K102" s="73"/>
      <c r="L102" s="73"/>
      <c r="M102" s="73"/>
      <c r="N102" s="73"/>
      <c r="O102" s="73"/>
      <c r="P102" s="73"/>
      <c r="Q102" s="73"/>
      <c r="R102" s="73"/>
      <c r="S102" s="73"/>
      <c r="T102" s="73"/>
      <c r="U102" s="73"/>
      <c r="V102" s="73"/>
      <c r="W102" s="69"/>
      <c r="X102" s="69"/>
      <c r="Y102" s="69"/>
      <c r="Z102" s="69"/>
      <c r="AA102" s="69"/>
      <c r="AB102" s="69"/>
      <c r="AC102" s="69"/>
    </row>
    <row r="103" spans="1:29" ht="20.100000000000001" customHeight="1">
      <c r="A103" s="14" t="s">
        <v>61</v>
      </c>
      <c r="B103" s="15" t="s">
        <v>31</v>
      </c>
      <c r="C103" s="16" t="str">
        <f>IFERROR(INDEX(EJERCICIOS!$D$3:$D$75,MATCH(A103&amp;"|"&amp;B103,EJERCICIOS!$G$3:$G$75,0)),"--")</f>
        <v>mancuerna</v>
      </c>
      <c r="D103" s="17">
        <v>3</v>
      </c>
      <c r="E103" s="18">
        <f>IFERROR(LOOKUP(2,1/(MEDIDAS_Y_PESO!$B$3:$B$7&lt;&gt;""),MEDIDAS_Y_PESO!$B$3:$B$7),"--")</f>
        <v>80</v>
      </c>
      <c r="F103" s="19"/>
      <c r="G103" s="20"/>
      <c r="H103" s="21"/>
      <c r="I103" s="19"/>
      <c r="J103" s="20"/>
      <c r="K103" s="21"/>
      <c r="L103" s="19"/>
      <c r="M103" s="20"/>
      <c r="N103" s="21"/>
      <c r="O103" s="19"/>
      <c r="P103" s="20"/>
      <c r="Q103" s="21"/>
      <c r="R103" s="19"/>
      <c r="S103" s="20"/>
      <c r="T103" s="21"/>
      <c r="U103" s="22" t="str">
        <f>IFERROR(IF(IF(X103&gt;0,X103,IF(Z103&gt;0,Z103,IF(AB103&gt;0,AB103,0)))=0,"--",ROUND(CHOOSE(IF(X103&gt;0,X103,IF(Z103&gt;0,Z103,IF(AB103&gt;0,AB103,0))),IF(C103="peso_corporal",IF(ISNUMBER(E103),E103,0)+F103,F103)*(1+G103/30),IF(C103="peso_corporal",IF(ISNUMBER(E103),E103,0)+I103,I103)*(1+J103/30),IF(C103="peso_corporal",IF(ISNUMBER(E103),E103,0)+L103,L103)*(1+M103/30),IF(C103="peso_corporal",IF(ISNUMBER(E103),E103,0)+O103,O103)*(1+P103/30),IF(C103="peso_corporal",IF(ISNUMBER(E103),E103,0)+R103,R103)*(1+S103/30)),1)),"--")</f>
        <v>--</v>
      </c>
      <c r="V103" s="23" t="str">
        <f>IF(SUGERENCIAS!N257="SIN","Sin datos anteriores",IF(SUGERENCIAS!N257="SUBIR_F","^ SUBIR FUERTE | Kg:"&amp;ROUND(SUGERENCIAS!K257,1)&amp;" R:"&amp;ROUND(SUGERENCIAS!L257,0)&amp;" RIR:"&amp;ROUND(SUGERENCIAS!M257,0),IF(SUGERENCIAS!N257="SUBIR_E","^ SUBIR (Est.) | Kg:"&amp;ROUND(SUGERENCIAS!K257,1)&amp;" R:"&amp;ROUND(SUGERENCIAS!L257,0)&amp;" RIR:"&amp;ROUND(SUGERENCIAS!M257,0),IF(SUGERENCIAS!N257="SUBIR","^ SUBIR | Kg:"&amp;ROUND(SUGERENCIAS!K257,1)&amp;" R:"&amp;ROUND(SUGERENCIAS!L257,0)&amp;" RIR:"&amp;ROUND(SUGERENCIAS!M257,0),IF(SUGERENCIAS!N257="BAJAR","v BAJAR | Kg:"&amp;ROUND(SUGERENCIAS!K257,1)&amp;" R:"&amp;ROUND(SUGERENCIAS!L257,0)&amp;" RIR:"&amp;ROUND(SUGERENCIAS!M257,0),"= MANT | Kg:"&amp;ROUND(SUGERENCIAS!K257,1)&amp;" R:"&amp;ROUND(SUGERENCIAS!L257,0)&amp;" RIR:"&amp;ROUND(SUGERENCIAS!M257,0))))))</f>
        <v>Sin datos anteriores</v>
      </c>
      <c r="W103" s="69">
        <f>MAX(IF((G103&gt;0)*(IF(H103="",-1,H103)&gt;=1)*(IF(H103="",-1,H103)&lt;=3),IF(C103="peso_corporal",IF(ISNUMBER(E103),E103,0)+F103,F103)*G103*1000+F103,0),IF((J103&gt;0)*(IF(K103="",-1,K103)&gt;=1)*(IF(K103="",-1,K103)&lt;=3),IF(C103="peso_corporal",IF(ISNUMBER(E103),E103,0)+I103,I103)*J103*1000+I103,0),IF((M103&gt;0)*(IF(N103="",-1,N103)&gt;=1)*(IF(N103="",-1,N103)&lt;=3),IF(C103="peso_corporal",IF(ISNUMBER(E103),E103,0)+L103,L103)*M103*1000+L103,0),IF((P103&gt;0)*(IF(Q103="",-1,Q103)&gt;=1)*(IF(Q103="",-1,Q103)&lt;=3),IF(C103="peso_corporal",IF(ISNUMBER(E103),E103,0)+O103,O103)*P103*1000+O103,0),IF((S103&gt;0)*(IF(T103="",-1,T103)&gt;=1)*(IF(T103="",-1,T103)&lt;=3),IF(C103="peso_corporal",IF(ISNUMBER(E103),E103,0)+R103,R103)*S103*1000+R103,0))</f>
        <v>0</v>
      </c>
      <c r="X103" s="69">
        <f>IF(W103=0,0,IF(IF((S103&gt;0)*(IF(T103="",-1,T103)&gt;=1)*(IF(T103="",-1,T103)&lt;=3),IF(C103="peso_corporal",IF(ISNUMBER(E103),E103,0)+R103,R103)*S103*1000+R103,0)=W103,5,IF(IF((P103&gt;0)*(IF(Q103="",-1,Q103)&gt;=1)*(IF(Q103="",-1,Q103)&lt;=3),IF(C103="peso_corporal",IF(ISNUMBER(E103),E103,0)+O103,O103)*P103*1000+O103,0)=W103,4,IF(IF((M103&gt;0)*(IF(N103="",-1,N103)&gt;=1)*(IF(N103="",-1,N103)&lt;=3),IF(C103="peso_corporal",IF(ISNUMBER(E103),E103,0)+L103,L103)*M103*1000+L103,0)=W103,3,IF(IF((J103&gt;0)*(IF(K103="",-1,K103)&gt;=1)*(IF(K103="",-1,K103)&lt;=3),IF(C103="peso_corporal",IF(ISNUMBER(E103),E103,0)+I103,I103)*J103*1000+I103,0)=W103,2,IF(IF((G103&gt;0)*(IF(H103="",-1,H103)&gt;=1)*(IF(H103="",-1,H103)&lt;=3),IF(C103="peso_corporal",IF(ISNUMBER(E103),E103,0)+F103,F103)*G103*1000+F103,0)=W103,1,0))))))</f>
        <v>0</v>
      </c>
      <c r="Y103" s="69">
        <f>MAX(IF((G103&gt;0)*(IF(H103="",-1,H103)=0)*(1-(IF(H103="",-1,H103)&gt;=1)*(IF(H103="",-1,H103)&lt;=3)),IF(C103="peso_corporal",IF(ISNUMBER(E103),E103,0)+F103,F103)*G103*1000+F103,0),IF((J103&gt;0)*(IF(K103="",-1,K103)=0)*(1-(IF(K103="",-1,K103)&gt;=1)*(IF(K103="",-1,K103)&lt;=3)),IF(C103="peso_corporal",IF(ISNUMBER(E103),E103,0)+I103,I103)*J103*1000+I103,0),IF((M103&gt;0)*(IF(N103="",-1,N103)=0)*(1-(IF(N103="",-1,N103)&gt;=1)*(IF(N103="",-1,N103)&lt;=3)),IF(C103="peso_corporal",IF(ISNUMBER(E103),E103,0)+L103,L103)*M103*1000+L103,0),IF((P103&gt;0)*(IF(Q103="",-1,Q103)=0)*(1-(IF(Q103="",-1,Q103)&gt;=1)*(IF(Q103="",-1,Q103)&lt;=3)),IF(C103="peso_corporal",IF(ISNUMBER(E103),E103,0)+O103,O103)*P103*1000+O103,0),IF((S103&gt;0)*(IF(T103="",-1,T103)=0)*(1-(IF(T103="",-1,T103)&gt;=1)*(IF(T103="",-1,T103)&lt;=3)),IF(C103="peso_corporal",IF(ISNUMBER(E103),E103,0)+R103,R103)*S103*1000+R103,0))</f>
        <v>0</v>
      </c>
      <c r="Z103" s="69">
        <f>IF(Y103=0,0,IF(IF((S103&gt;0)*(IF(T103="",-1,T103)=0)*(1-(IF(T103="",-1,T103)&gt;=1)*(IF(T103="",-1,T103)&lt;=3)),IF(C103="peso_corporal",IF(ISNUMBER(E103),E103,0)+R103,R103)*S103*1000+R103,0)=Y103,5,IF(IF((P103&gt;0)*(IF(Q103="",-1,Q103)=0)*(1-(IF(Q103="",-1,Q103)&gt;=1)*(IF(Q103="",-1,Q103)&lt;=3)),IF(C103="peso_corporal",IF(ISNUMBER(E103),E103,0)+O103,O103)*P103*1000+O103,0)=Y103,4,IF(IF((M103&gt;0)*(IF(N103="",-1,N103)=0)*(1-(IF(N103="",-1,N103)&gt;=1)*(IF(N103="",-1,N103)&lt;=3)),IF(C103="peso_corporal",IF(ISNUMBER(E103),E103,0)+L103,L103)*M103*1000+L103,0)=Y103,3,IF(IF((J103&gt;0)*(IF(K103="",-1,K103)=0)*(1-(IF(K103="",-1,K103)&gt;=1)*(IF(K103="",-1,K103)&lt;=3)),IF(C103="peso_corporal",IF(ISNUMBER(E103),E103,0)+I103,I103)*J103*1000+I103,0)=Y103,2,IF(IF((G103&gt;0)*(IF(H103="",-1,H103)=0)*(1-(IF(H103="",-1,H103)&gt;=1)*(IF(H103="",-1,H103)&lt;=3)),IF(C103="peso_corporal",IF(ISNUMBER(E103),E103,0)+F103,F103)*G103*1000+F103,0)=Y103,1,0))))))</f>
        <v>0</v>
      </c>
      <c r="AA103" s="69">
        <f>MAX(IF((G103&gt;=6)*(1-(IF(H103="",-1,H103)&gt;=1)*(IF(H103="",-1,H103)&lt;=3))*(1-(IF(H103="",-1,H103)=0)),IF(C103="peso_corporal",IF(ISNUMBER(E103),E103,0)+F103,F103)*(30+G103)*100+F103,0),IF((J103&gt;=6)*(1-(IF(K103="",-1,K103)&gt;=1)*(IF(K103="",-1,K103)&lt;=3))*(1-(IF(K103="",-1,K103)=0)),IF(C103="peso_corporal",IF(ISNUMBER(E103),E103,0)+I103,I103)*(30+J103)*100+I103,0),IF((M103&gt;=6)*(1-(IF(N103="",-1,N103)&gt;=1)*(IF(N103="",-1,N103)&lt;=3))*(1-(IF(N103="",-1,N103)=0)),IF(C103="peso_corporal",IF(ISNUMBER(E103),E103,0)+L103,L103)*(30+M103)*100+L103,0),IF((P103&gt;=6)*(1-(IF(Q103="",-1,Q103)&gt;=1)*(IF(Q103="",-1,Q103)&lt;=3))*(1-(IF(Q103="",-1,Q103)=0)),IF(C103="peso_corporal",IF(ISNUMBER(E103),E103,0)+O103,O103)*(30+P103)*100+O103,0),IF((S103&gt;=6)*(1-(IF(T103="",-1,T103)&gt;=1)*(IF(T103="",-1,T103)&lt;=3))*(1-(IF(T103="",-1,T103)=0)),IF(C103="peso_corporal",IF(ISNUMBER(E103),E103,0)+R103,R103)*(30+S103)*100+R103,0))</f>
        <v>0</v>
      </c>
      <c r="AB103" s="69">
        <f>IF(AA103=0,0,IF(IF((S103&gt;=6)*(1-(IF(T103="",-1,T103)&gt;=1)*(IF(T103="",-1,T103)&lt;=3))*(1-(IF(T103="",-1,T103)=0)),IF(C103="peso_corporal",IF(ISNUMBER(E103),E103,0)+R103,R103)*(30+S103)*100+R103,0)=AA103,5,IF(IF((P103&gt;=6)*(1-(IF(Q103="",-1,Q103)&gt;=1)*(IF(Q103="",-1,Q103)&lt;=3))*(1-(IF(Q103="",-1,Q103)=0)),IF(C103="peso_corporal",IF(ISNUMBER(E103),E103,0)+O103,O103)*(30+P103)*100+O103,0)=AA103,4,IF(IF((M103&gt;=6)*(1-(IF(N103="",-1,N103)&gt;=1)*(IF(N103="",-1,N103)&lt;=3))*(1-(IF(N103="",-1,N103)=0)),IF(C103="peso_corporal",IF(ISNUMBER(E103),E103,0)+L103,L103)*(30+M103)*100+L103,0)=AA103,3,IF(IF((J103&gt;=6)*(1-(IF(K103="",-1,K103)&gt;=1)*(IF(K103="",-1,K103)&lt;=3))*(1-(IF(K103="",-1,K103)=0)),IF(C103="peso_corporal",IF(ISNUMBER(E103),E103,0)+I103,I103)*(30+J103)*100+I103,0)=AA103,2,IF(IF((G103&gt;=6)*(1-(IF(H103="",-1,H103)&gt;=1)*(IF(H103="",-1,H103)&lt;=3))*(1-(IF(H103="",-1,H103)=0)),IF(C103="peso_corporal",IF(ISNUMBER(E103),E103,0)+F103,F103)*(30+G103)*100+F103,0)=AA103,1,0))))))</f>
        <v>0</v>
      </c>
      <c r="AC103" s="69" t="str">
        <f>IF(X103&gt;0,"A"&amp;X103,IF(Z103&gt;0,"B"&amp;Z103,IF(AB103&gt;0,"C"&amp;AB103,"")))</f>
        <v/>
      </c>
    </row>
    <row r="104" spans="1:29" ht="11.1" customHeight="1">
      <c r="A104" s="87" t="s">
        <v>35</v>
      </c>
      <c r="B104" s="73"/>
      <c r="C104" s="73"/>
      <c r="D104" s="73"/>
      <c r="E104" s="73"/>
      <c r="F104" s="73"/>
      <c r="G104" s="73"/>
      <c r="H104" s="73"/>
      <c r="I104" s="73"/>
      <c r="J104" s="73"/>
      <c r="K104" s="73"/>
      <c r="L104" s="73"/>
      <c r="M104" s="73"/>
      <c r="N104" s="73"/>
      <c r="O104" s="73"/>
      <c r="P104" s="73"/>
      <c r="Q104" s="73"/>
      <c r="R104" s="73"/>
      <c r="S104" s="73"/>
      <c r="T104" s="73"/>
      <c r="U104" s="73"/>
      <c r="V104" s="73"/>
      <c r="W104" s="69"/>
      <c r="X104" s="69"/>
      <c r="Y104" s="69"/>
      <c r="Z104" s="69"/>
      <c r="AA104" s="69"/>
      <c r="AB104" s="69"/>
      <c r="AC104" s="69"/>
    </row>
    <row r="105" spans="1:29" ht="20.100000000000001" customHeight="1">
      <c r="A105" s="14" t="s">
        <v>36</v>
      </c>
      <c r="B105" s="15" t="s">
        <v>37</v>
      </c>
      <c r="C105" s="16" t="str">
        <f>IFERROR(INDEX(EJERCICIOS!$D$3:$D$75,MATCH(A105&amp;"|"&amp;B105,EJERCICIOS!$G$3:$G$75,0)),"--")</f>
        <v>peso_corporal</v>
      </c>
      <c r="D105" s="17">
        <v>3</v>
      </c>
      <c r="E105" s="18">
        <f>IFERROR(LOOKUP(2,1/(MEDIDAS_Y_PESO!$B$3:$B$7&lt;&gt;""),MEDIDAS_Y_PESO!$B$3:$B$7),"--")</f>
        <v>80</v>
      </c>
      <c r="F105" s="19"/>
      <c r="G105" s="20"/>
      <c r="H105" s="21"/>
      <c r="I105" s="19"/>
      <c r="J105" s="20"/>
      <c r="K105" s="21"/>
      <c r="L105" s="19"/>
      <c r="M105" s="20"/>
      <c r="N105" s="21"/>
      <c r="O105" s="19"/>
      <c r="P105" s="20"/>
      <c r="Q105" s="21"/>
      <c r="R105" s="19"/>
      <c r="S105" s="20"/>
      <c r="T105" s="21"/>
      <c r="U105" s="22" t="str">
        <f>IFERROR(IF(IF(X105&gt;0,X105,IF(Z105&gt;0,Z105,IF(AB105&gt;0,AB105,0)))=0,"--",ROUND(CHOOSE(IF(X105&gt;0,X105,IF(Z105&gt;0,Z105,IF(AB105&gt;0,AB105,0))),IF(C105="peso_corporal",IF(ISNUMBER(E105),E105,0)+F105,F105)*(1+G105/30),IF(C105="peso_corporal",IF(ISNUMBER(E105),E105,0)+I105,I105)*(1+J105/30),IF(C105="peso_corporal",IF(ISNUMBER(E105),E105,0)+L105,L105)*(1+M105/30),IF(C105="peso_corporal",IF(ISNUMBER(E105),E105,0)+O105,O105)*(1+P105/30),IF(C105="peso_corporal",IF(ISNUMBER(E105),E105,0)+R105,R105)*(1+S105/30)),1)),"--")</f>
        <v>--</v>
      </c>
      <c r="V105" s="23" t="str">
        <f>IF(SUGERENCIAS!N258="SIN","Sin datos anteriores",IF(SUGERENCIAS!N258="SUBIR_F","^ SUBIR FUERTE | Kg:"&amp;ROUND(SUGERENCIAS!K258,1)&amp;" R:"&amp;ROUND(SUGERENCIAS!L258,0)&amp;" RIR:"&amp;ROUND(SUGERENCIAS!M258,0),IF(SUGERENCIAS!N258="SUBIR_E","^ SUBIR (Est.) | Kg:"&amp;ROUND(SUGERENCIAS!K258,1)&amp;" R:"&amp;ROUND(SUGERENCIAS!L258,0)&amp;" RIR:"&amp;ROUND(SUGERENCIAS!M258,0),IF(SUGERENCIAS!N258="SUBIR","^ SUBIR | Kg:"&amp;ROUND(SUGERENCIAS!K258,1)&amp;" R:"&amp;ROUND(SUGERENCIAS!L258,0)&amp;" RIR:"&amp;ROUND(SUGERENCIAS!M258,0),IF(SUGERENCIAS!N258="BAJAR","v BAJAR | Kg:"&amp;ROUND(SUGERENCIAS!K258,1)&amp;" R:"&amp;ROUND(SUGERENCIAS!L258,0)&amp;" RIR:"&amp;ROUND(SUGERENCIAS!M258,0),"= MANT | Kg:"&amp;ROUND(SUGERENCIAS!K258,1)&amp;" R:"&amp;ROUND(SUGERENCIAS!L258,0)&amp;" RIR:"&amp;ROUND(SUGERENCIAS!M258,0))))))</f>
        <v>^ SUBIR FUERTE | Kg:5 R:6 RIR:2</v>
      </c>
      <c r="W105" s="69">
        <f>MAX(IF((G105&gt;0)*(IF(H105="",-1,H105)&gt;=1)*(IF(H105="",-1,H105)&lt;=3),IF(C105="peso_corporal",IF(ISNUMBER(E105),E105,0)+F105,F105)*G105*1000+F105,0),IF((J105&gt;0)*(IF(K105="",-1,K105)&gt;=1)*(IF(K105="",-1,K105)&lt;=3),IF(C105="peso_corporal",IF(ISNUMBER(E105),E105,0)+I105,I105)*J105*1000+I105,0),IF((M105&gt;0)*(IF(N105="",-1,N105)&gt;=1)*(IF(N105="",-1,N105)&lt;=3),IF(C105="peso_corporal",IF(ISNUMBER(E105),E105,0)+L105,L105)*M105*1000+L105,0),IF((P105&gt;0)*(IF(Q105="",-1,Q105)&gt;=1)*(IF(Q105="",-1,Q105)&lt;=3),IF(C105="peso_corporal",IF(ISNUMBER(E105),E105,0)+O105,O105)*P105*1000+O105,0),IF((S105&gt;0)*(IF(T105="",-1,T105)&gt;=1)*(IF(T105="",-1,T105)&lt;=3),IF(C105="peso_corporal",IF(ISNUMBER(E105),E105,0)+R105,R105)*S105*1000+R105,0))</f>
        <v>0</v>
      </c>
      <c r="X105" s="69">
        <f>IF(W105=0,0,IF(IF((S105&gt;0)*(IF(T105="",-1,T105)&gt;=1)*(IF(T105="",-1,T105)&lt;=3),IF(C105="peso_corporal",IF(ISNUMBER(E105),E105,0)+R105,R105)*S105*1000+R105,0)=W105,5,IF(IF((P105&gt;0)*(IF(Q105="",-1,Q105)&gt;=1)*(IF(Q105="",-1,Q105)&lt;=3),IF(C105="peso_corporal",IF(ISNUMBER(E105),E105,0)+O105,O105)*P105*1000+O105,0)=W105,4,IF(IF((M105&gt;0)*(IF(N105="",-1,N105)&gt;=1)*(IF(N105="",-1,N105)&lt;=3),IF(C105="peso_corporal",IF(ISNUMBER(E105),E105,0)+L105,L105)*M105*1000+L105,0)=W105,3,IF(IF((J105&gt;0)*(IF(K105="",-1,K105)&gt;=1)*(IF(K105="",-1,K105)&lt;=3),IF(C105="peso_corporal",IF(ISNUMBER(E105),E105,0)+I105,I105)*J105*1000+I105,0)=W105,2,IF(IF((G105&gt;0)*(IF(H105="",-1,H105)&gt;=1)*(IF(H105="",-1,H105)&lt;=3),IF(C105="peso_corporal",IF(ISNUMBER(E105),E105,0)+F105,F105)*G105*1000+F105,0)=W105,1,0))))))</f>
        <v>0</v>
      </c>
      <c r="Y105" s="69">
        <f>MAX(IF((G105&gt;0)*(IF(H105="",-1,H105)=0)*(1-(IF(H105="",-1,H105)&gt;=1)*(IF(H105="",-1,H105)&lt;=3)),IF(C105="peso_corporal",IF(ISNUMBER(E105),E105,0)+F105,F105)*G105*1000+F105,0),IF((J105&gt;0)*(IF(K105="",-1,K105)=0)*(1-(IF(K105="",-1,K105)&gt;=1)*(IF(K105="",-1,K105)&lt;=3)),IF(C105="peso_corporal",IF(ISNUMBER(E105),E105,0)+I105,I105)*J105*1000+I105,0),IF((M105&gt;0)*(IF(N105="",-1,N105)=0)*(1-(IF(N105="",-1,N105)&gt;=1)*(IF(N105="",-1,N105)&lt;=3)),IF(C105="peso_corporal",IF(ISNUMBER(E105),E105,0)+L105,L105)*M105*1000+L105,0),IF((P105&gt;0)*(IF(Q105="",-1,Q105)=0)*(1-(IF(Q105="",-1,Q105)&gt;=1)*(IF(Q105="",-1,Q105)&lt;=3)),IF(C105="peso_corporal",IF(ISNUMBER(E105),E105,0)+O105,O105)*P105*1000+O105,0),IF((S105&gt;0)*(IF(T105="",-1,T105)=0)*(1-(IF(T105="",-1,T105)&gt;=1)*(IF(T105="",-1,T105)&lt;=3)),IF(C105="peso_corporal",IF(ISNUMBER(E105),E105,0)+R105,R105)*S105*1000+R105,0))</f>
        <v>0</v>
      </c>
      <c r="Z105" s="69">
        <f>IF(Y105=0,0,IF(IF((S105&gt;0)*(IF(T105="",-1,T105)=0)*(1-(IF(T105="",-1,T105)&gt;=1)*(IF(T105="",-1,T105)&lt;=3)),IF(C105="peso_corporal",IF(ISNUMBER(E105),E105,0)+R105,R105)*S105*1000+R105,0)=Y105,5,IF(IF((P105&gt;0)*(IF(Q105="",-1,Q105)=0)*(1-(IF(Q105="",-1,Q105)&gt;=1)*(IF(Q105="",-1,Q105)&lt;=3)),IF(C105="peso_corporal",IF(ISNUMBER(E105),E105,0)+O105,O105)*P105*1000+O105,0)=Y105,4,IF(IF((M105&gt;0)*(IF(N105="",-1,N105)=0)*(1-(IF(N105="",-1,N105)&gt;=1)*(IF(N105="",-1,N105)&lt;=3)),IF(C105="peso_corporal",IF(ISNUMBER(E105),E105,0)+L105,L105)*M105*1000+L105,0)=Y105,3,IF(IF((J105&gt;0)*(IF(K105="",-1,K105)=0)*(1-(IF(K105="",-1,K105)&gt;=1)*(IF(K105="",-1,K105)&lt;=3)),IF(C105="peso_corporal",IF(ISNUMBER(E105),E105,0)+I105,I105)*J105*1000+I105,0)=Y105,2,IF(IF((G105&gt;0)*(IF(H105="",-1,H105)=0)*(1-(IF(H105="",-1,H105)&gt;=1)*(IF(H105="",-1,H105)&lt;=3)),IF(C105="peso_corporal",IF(ISNUMBER(E105),E105,0)+F105,F105)*G105*1000+F105,0)=Y105,1,0))))))</f>
        <v>0</v>
      </c>
      <c r="AA105" s="69">
        <f>MAX(IF((G105&gt;=6)*(1-(IF(H105="",-1,H105)&gt;=1)*(IF(H105="",-1,H105)&lt;=3))*(1-(IF(H105="",-1,H105)=0)),IF(C105="peso_corporal",IF(ISNUMBER(E105),E105,0)+F105,F105)*(30+G105)*100+F105,0),IF((J105&gt;=6)*(1-(IF(K105="",-1,K105)&gt;=1)*(IF(K105="",-1,K105)&lt;=3))*(1-(IF(K105="",-1,K105)=0)),IF(C105="peso_corporal",IF(ISNUMBER(E105),E105,0)+I105,I105)*(30+J105)*100+I105,0),IF((M105&gt;=6)*(1-(IF(N105="",-1,N105)&gt;=1)*(IF(N105="",-1,N105)&lt;=3))*(1-(IF(N105="",-1,N105)=0)),IF(C105="peso_corporal",IF(ISNUMBER(E105),E105,0)+L105,L105)*(30+M105)*100+L105,0),IF((P105&gt;=6)*(1-(IF(Q105="",-1,Q105)&gt;=1)*(IF(Q105="",-1,Q105)&lt;=3))*(1-(IF(Q105="",-1,Q105)=0)),IF(C105="peso_corporal",IF(ISNUMBER(E105),E105,0)+O105,O105)*(30+P105)*100+O105,0),IF((S105&gt;=6)*(1-(IF(T105="",-1,T105)&gt;=1)*(IF(T105="",-1,T105)&lt;=3))*(1-(IF(T105="",-1,T105)=0)),IF(C105="peso_corporal",IF(ISNUMBER(E105),E105,0)+R105,R105)*(30+S105)*100+R105,0))</f>
        <v>0</v>
      </c>
      <c r="AB105" s="69">
        <f>IF(AA105=0,0,IF(IF((S105&gt;=6)*(1-(IF(T105="",-1,T105)&gt;=1)*(IF(T105="",-1,T105)&lt;=3))*(1-(IF(T105="",-1,T105)=0)),IF(C105="peso_corporal",IF(ISNUMBER(E105),E105,0)+R105,R105)*(30+S105)*100+R105,0)=AA105,5,IF(IF((P105&gt;=6)*(1-(IF(Q105="",-1,Q105)&gt;=1)*(IF(Q105="",-1,Q105)&lt;=3))*(1-(IF(Q105="",-1,Q105)=0)),IF(C105="peso_corporal",IF(ISNUMBER(E105),E105,0)+O105,O105)*(30+P105)*100+O105,0)=AA105,4,IF(IF((M105&gt;=6)*(1-(IF(N105="",-1,N105)&gt;=1)*(IF(N105="",-1,N105)&lt;=3))*(1-(IF(N105="",-1,N105)=0)),IF(C105="peso_corporal",IF(ISNUMBER(E105),E105,0)+L105,L105)*(30+M105)*100+L105,0)=AA105,3,IF(IF((J105&gt;=6)*(1-(IF(K105="",-1,K105)&gt;=1)*(IF(K105="",-1,K105)&lt;=3))*(1-(IF(K105="",-1,K105)=0)),IF(C105="peso_corporal",IF(ISNUMBER(E105),E105,0)+I105,I105)*(30+J105)*100+I105,0)=AA105,2,IF(IF((G105&gt;=6)*(1-(IF(H105="",-1,H105)&gt;=1)*(IF(H105="",-1,H105)&lt;=3))*(1-(IF(H105="",-1,H105)=0)),IF(C105="peso_corporal",IF(ISNUMBER(E105),E105,0)+F105,F105)*(30+G105)*100+F105,0)=AA105,1,0))))))</f>
        <v>0</v>
      </c>
      <c r="AC105" s="69" t="str">
        <f>IF(X105&gt;0,"A"&amp;X105,IF(Z105&gt;0,"B"&amp;Z105,IF(AB105&gt;0,"C"&amp;AB105,"")))</f>
        <v/>
      </c>
    </row>
    <row r="106" spans="1:29" ht="20.100000000000001" customHeight="1">
      <c r="A106" s="14" t="s">
        <v>62</v>
      </c>
      <c r="B106" s="15" t="s">
        <v>39</v>
      </c>
      <c r="C106" s="16" t="str">
        <f>IFERROR(INDEX(EJERCICIOS!$D$3:$D$75,MATCH(A106&amp;"|"&amp;B106,EJERCICIOS!$G$3:$G$75,0)),"--")</f>
        <v>--</v>
      </c>
      <c r="D106" s="17">
        <v>3</v>
      </c>
      <c r="E106" s="18">
        <f>IFERROR(LOOKUP(2,1/(MEDIDAS_Y_PESO!$B$3:$B$7&lt;&gt;""),MEDIDAS_Y_PESO!$B$3:$B$7),"--")</f>
        <v>80</v>
      </c>
      <c r="F106" s="19"/>
      <c r="G106" s="20"/>
      <c r="H106" s="21"/>
      <c r="I106" s="19"/>
      <c r="J106" s="20"/>
      <c r="K106" s="21"/>
      <c r="L106" s="19"/>
      <c r="M106" s="20"/>
      <c r="N106" s="21"/>
      <c r="O106" s="19"/>
      <c r="P106" s="20"/>
      <c r="Q106" s="21"/>
      <c r="R106" s="19"/>
      <c r="S106" s="20"/>
      <c r="T106" s="21"/>
      <c r="U106" s="22" t="str">
        <f>IFERROR(IF(IF(X106&gt;0,X106,IF(Z106&gt;0,Z106,IF(AB106&gt;0,AB106,0)))=0,"--",ROUND(CHOOSE(IF(X106&gt;0,X106,IF(Z106&gt;0,Z106,IF(AB106&gt;0,AB106,0))),IF(C106="peso_corporal",IF(ISNUMBER(E106),E106,0)+F106,F106)*(1+G106/30),IF(C106="peso_corporal",IF(ISNUMBER(E106),E106,0)+I106,I106)*(1+J106/30),IF(C106="peso_corporal",IF(ISNUMBER(E106),E106,0)+L106,L106)*(1+M106/30),IF(C106="peso_corporal",IF(ISNUMBER(E106),E106,0)+O106,O106)*(1+P106/30),IF(C106="peso_corporal",IF(ISNUMBER(E106),E106,0)+R106,R106)*(1+S106/30)),1)),"--")</f>
        <v>--</v>
      </c>
      <c r="V106" s="23" t="str">
        <f>IF(SUGERENCIAS!N259="SIN","Sin datos anteriores",IF(SUGERENCIAS!N259="SUBIR_F","^ SUBIR FUERTE | Kg:"&amp;ROUND(SUGERENCIAS!K259,1)&amp;" R:"&amp;ROUND(SUGERENCIAS!L259,0)&amp;" RIR:"&amp;ROUND(SUGERENCIAS!M259,0),IF(SUGERENCIAS!N259="SUBIR_E","^ SUBIR (Est.) | Kg:"&amp;ROUND(SUGERENCIAS!K259,1)&amp;" R:"&amp;ROUND(SUGERENCIAS!L259,0)&amp;" RIR:"&amp;ROUND(SUGERENCIAS!M259,0),IF(SUGERENCIAS!N259="SUBIR","^ SUBIR | Kg:"&amp;ROUND(SUGERENCIAS!K259,1)&amp;" R:"&amp;ROUND(SUGERENCIAS!L259,0)&amp;" RIR:"&amp;ROUND(SUGERENCIAS!M259,0),IF(SUGERENCIAS!N259="BAJAR","v BAJAR | Kg:"&amp;ROUND(SUGERENCIAS!K259,1)&amp;" R:"&amp;ROUND(SUGERENCIAS!L259,0)&amp;" RIR:"&amp;ROUND(SUGERENCIAS!M259,0),"= MANT | Kg:"&amp;ROUND(SUGERENCIAS!K259,1)&amp;" R:"&amp;ROUND(SUGERENCIAS!L259,0)&amp;" RIR:"&amp;ROUND(SUGERENCIAS!M259,0))))))</f>
        <v>Sin datos anteriores</v>
      </c>
      <c r="W106" s="69">
        <f>MAX(IF((G106&gt;0)*(IF(H106="",-1,H106)&gt;=1)*(IF(H106="",-1,H106)&lt;=3),IF(C106="peso_corporal",IF(ISNUMBER(E106),E106,0)+F106,F106)*G106*1000+F106,0),IF((J106&gt;0)*(IF(K106="",-1,K106)&gt;=1)*(IF(K106="",-1,K106)&lt;=3),IF(C106="peso_corporal",IF(ISNUMBER(E106),E106,0)+I106,I106)*J106*1000+I106,0),IF((M106&gt;0)*(IF(N106="",-1,N106)&gt;=1)*(IF(N106="",-1,N106)&lt;=3),IF(C106="peso_corporal",IF(ISNUMBER(E106),E106,0)+L106,L106)*M106*1000+L106,0),IF((P106&gt;0)*(IF(Q106="",-1,Q106)&gt;=1)*(IF(Q106="",-1,Q106)&lt;=3),IF(C106="peso_corporal",IF(ISNUMBER(E106),E106,0)+O106,O106)*P106*1000+O106,0),IF((S106&gt;0)*(IF(T106="",-1,T106)&gt;=1)*(IF(T106="",-1,T106)&lt;=3),IF(C106="peso_corporal",IF(ISNUMBER(E106),E106,0)+R106,R106)*S106*1000+R106,0))</f>
        <v>0</v>
      </c>
      <c r="X106" s="69">
        <f>IF(W106=0,0,IF(IF((S106&gt;0)*(IF(T106="",-1,T106)&gt;=1)*(IF(T106="",-1,T106)&lt;=3),IF(C106="peso_corporal",IF(ISNUMBER(E106),E106,0)+R106,R106)*S106*1000+R106,0)=W106,5,IF(IF((P106&gt;0)*(IF(Q106="",-1,Q106)&gt;=1)*(IF(Q106="",-1,Q106)&lt;=3),IF(C106="peso_corporal",IF(ISNUMBER(E106),E106,0)+O106,O106)*P106*1000+O106,0)=W106,4,IF(IF((M106&gt;0)*(IF(N106="",-1,N106)&gt;=1)*(IF(N106="",-1,N106)&lt;=3),IF(C106="peso_corporal",IF(ISNUMBER(E106),E106,0)+L106,L106)*M106*1000+L106,0)=W106,3,IF(IF((J106&gt;0)*(IF(K106="",-1,K106)&gt;=1)*(IF(K106="",-1,K106)&lt;=3),IF(C106="peso_corporal",IF(ISNUMBER(E106),E106,0)+I106,I106)*J106*1000+I106,0)=W106,2,IF(IF((G106&gt;0)*(IF(H106="",-1,H106)&gt;=1)*(IF(H106="",-1,H106)&lt;=3),IF(C106="peso_corporal",IF(ISNUMBER(E106),E106,0)+F106,F106)*G106*1000+F106,0)=W106,1,0))))))</f>
        <v>0</v>
      </c>
      <c r="Y106" s="69">
        <f>MAX(IF((G106&gt;0)*(IF(H106="",-1,H106)=0)*(1-(IF(H106="",-1,H106)&gt;=1)*(IF(H106="",-1,H106)&lt;=3)),IF(C106="peso_corporal",IF(ISNUMBER(E106),E106,0)+F106,F106)*G106*1000+F106,0),IF((J106&gt;0)*(IF(K106="",-1,K106)=0)*(1-(IF(K106="",-1,K106)&gt;=1)*(IF(K106="",-1,K106)&lt;=3)),IF(C106="peso_corporal",IF(ISNUMBER(E106),E106,0)+I106,I106)*J106*1000+I106,0),IF((M106&gt;0)*(IF(N106="",-1,N106)=0)*(1-(IF(N106="",-1,N106)&gt;=1)*(IF(N106="",-1,N106)&lt;=3)),IF(C106="peso_corporal",IF(ISNUMBER(E106),E106,0)+L106,L106)*M106*1000+L106,0),IF((P106&gt;0)*(IF(Q106="",-1,Q106)=0)*(1-(IF(Q106="",-1,Q106)&gt;=1)*(IF(Q106="",-1,Q106)&lt;=3)),IF(C106="peso_corporal",IF(ISNUMBER(E106),E106,0)+O106,O106)*P106*1000+O106,0),IF((S106&gt;0)*(IF(T106="",-1,T106)=0)*(1-(IF(T106="",-1,T106)&gt;=1)*(IF(T106="",-1,T106)&lt;=3)),IF(C106="peso_corporal",IF(ISNUMBER(E106),E106,0)+R106,R106)*S106*1000+R106,0))</f>
        <v>0</v>
      </c>
      <c r="Z106" s="69">
        <f>IF(Y106=0,0,IF(IF((S106&gt;0)*(IF(T106="",-1,T106)=0)*(1-(IF(T106="",-1,T106)&gt;=1)*(IF(T106="",-1,T106)&lt;=3)),IF(C106="peso_corporal",IF(ISNUMBER(E106),E106,0)+R106,R106)*S106*1000+R106,0)=Y106,5,IF(IF((P106&gt;0)*(IF(Q106="",-1,Q106)=0)*(1-(IF(Q106="",-1,Q106)&gt;=1)*(IF(Q106="",-1,Q106)&lt;=3)),IF(C106="peso_corporal",IF(ISNUMBER(E106),E106,0)+O106,O106)*P106*1000+O106,0)=Y106,4,IF(IF((M106&gt;0)*(IF(N106="",-1,N106)=0)*(1-(IF(N106="",-1,N106)&gt;=1)*(IF(N106="",-1,N106)&lt;=3)),IF(C106="peso_corporal",IF(ISNUMBER(E106),E106,0)+L106,L106)*M106*1000+L106,0)=Y106,3,IF(IF((J106&gt;0)*(IF(K106="",-1,K106)=0)*(1-(IF(K106="",-1,K106)&gt;=1)*(IF(K106="",-1,K106)&lt;=3)),IF(C106="peso_corporal",IF(ISNUMBER(E106),E106,0)+I106,I106)*J106*1000+I106,0)=Y106,2,IF(IF((G106&gt;0)*(IF(H106="",-1,H106)=0)*(1-(IF(H106="",-1,H106)&gt;=1)*(IF(H106="",-1,H106)&lt;=3)),IF(C106="peso_corporal",IF(ISNUMBER(E106),E106,0)+F106,F106)*G106*1000+F106,0)=Y106,1,0))))))</f>
        <v>0</v>
      </c>
      <c r="AA106" s="69">
        <f>MAX(IF((G106&gt;=6)*(1-(IF(H106="",-1,H106)&gt;=1)*(IF(H106="",-1,H106)&lt;=3))*(1-(IF(H106="",-1,H106)=0)),IF(C106="peso_corporal",IF(ISNUMBER(E106),E106,0)+F106,F106)*(30+G106)*100+F106,0),IF((J106&gt;=6)*(1-(IF(K106="",-1,K106)&gt;=1)*(IF(K106="",-1,K106)&lt;=3))*(1-(IF(K106="",-1,K106)=0)),IF(C106="peso_corporal",IF(ISNUMBER(E106),E106,0)+I106,I106)*(30+J106)*100+I106,0),IF((M106&gt;=6)*(1-(IF(N106="",-1,N106)&gt;=1)*(IF(N106="",-1,N106)&lt;=3))*(1-(IF(N106="",-1,N106)=0)),IF(C106="peso_corporal",IF(ISNUMBER(E106),E106,0)+L106,L106)*(30+M106)*100+L106,0),IF((P106&gt;=6)*(1-(IF(Q106="",-1,Q106)&gt;=1)*(IF(Q106="",-1,Q106)&lt;=3))*(1-(IF(Q106="",-1,Q106)=0)),IF(C106="peso_corporal",IF(ISNUMBER(E106),E106,0)+O106,O106)*(30+P106)*100+O106,0),IF((S106&gt;=6)*(1-(IF(T106="",-1,T106)&gt;=1)*(IF(T106="",-1,T106)&lt;=3))*(1-(IF(T106="",-1,T106)=0)),IF(C106="peso_corporal",IF(ISNUMBER(E106),E106,0)+R106,R106)*(30+S106)*100+R106,0))</f>
        <v>0</v>
      </c>
      <c r="AB106" s="69">
        <f>IF(AA106=0,0,IF(IF((S106&gt;=6)*(1-(IF(T106="",-1,T106)&gt;=1)*(IF(T106="",-1,T106)&lt;=3))*(1-(IF(T106="",-1,T106)=0)),IF(C106="peso_corporal",IF(ISNUMBER(E106),E106,0)+R106,R106)*(30+S106)*100+R106,0)=AA106,5,IF(IF((P106&gt;=6)*(1-(IF(Q106="",-1,Q106)&gt;=1)*(IF(Q106="",-1,Q106)&lt;=3))*(1-(IF(Q106="",-1,Q106)=0)),IF(C106="peso_corporal",IF(ISNUMBER(E106),E106,0)+O106,O106)*(30+P106)*100+O106,0)=AA106,4,IF(IF((M106&gt;=6)*(1-(IF(N106="",-1,N106)&gt;=1)*(IF(N106="",-1,N106)&lt;=3))*(1-(IF(N106="",-1,N106)=0)),IF(C106="peso_corporal",IF(ISNUMBER(E106),E106,0)+L106,L106)*(30+M106)*100+L106,0)=AA106,3,IF(IF((J106&gt;=6)*(1-(IF(K106="",-1,K106)&gt;=1)*(IF(K106="",-1,K106)&lt;=3))*(1-(IF(K106="",-1,K106)=0)),IF(C106="peso_corporal",IF(ISNUMBER(E106),E106,0)+I106,I106)*(30+J106)*100+I106,0)=AA106,2,IF(IF((G106&gt;=6)*(1-(IF(H106="",-1,H106)&gt;=1)*(IF(H106="",-1,H106)&lt;=3))*(1-(IF(H106="",-1,H106)=0)),IF(C106="peso_corporal",IF(ISNUMBER(E106),E106,0)+F106,F106)*(30+G106)*100+F106,0)=AA106,1,0))))))</f>
        <v>0</v>
      </c>
      <c r="AC106" s="69" t="str">
        <f>IF(X106&gt;0,"A"&amp;X106,IF(Z106&gt;0,"B"&amp;Z106,IF(AB106&gt;0,"C"&amp;AB106,"")))</f>
        <v/>
      </c>
    </row>
    <row r="107" spans="1:29" ht="20.100000000000001" customHeight="1">
      <c r="A107" s="14" t="s">
        <v>62</v>
      </c>
      <c r="B107" s="15" t="s">
        <v>63</v>
      </c>
      <c r="C107" s="16" t="str">
        <f>IFERROR(INDEX(EJERCICIOS!$D$3:$D$75,MATCH(A107&amp;"|"&amp;B107,EJERCICIOS!$G$3:$G$75,0)),"--")</f>
        <v>--</v>
      </c>
      <c r="D107" s="17">
        <v>3</v>
      </c>
      <c r="E107" s="18">
        <f>IFERROR(LOOKUP(2,1/(MEDIDAS_Y_PESO!$B$3:$B$7&lt;&gt;""),MEDIDAS_Y_PESO!$B$3:$B$7),"--")</f>
        <v>80</v>
      </c>
      <c r="F107" s="19"/>
      <c r="G107" s="20"/>
      <c r="H107" s="21"/>
      <c r="I107" s="19"/>
      <c r="J107" s="20"/>
      <c r="K107" s="21"/>
      <c r="L107" s="19"/>
      <c r="M107" s="20"/>
      <c r="N107" s="21"/>
      <c r="O107" s="19"/>
      <c r="P107" s="20"/>
      <c r="Q107" s="21"/>
      <c r="R107" s="19"/>
      <c r="S107" s="20"/>
      <c r="T107" s="21"/>
      <c r="U107" s="22" t="str">
        <f>IFERROR(IF(IF(X107&gt;0,X107,IF(Z107&gt;0,Z107,IF(AB107&gt;0,AB107,0)))=0,"--",ROUND(CHOOSE(IF(X107&gt;0,X107,IF(Z107&gt;0,Z107,IF(AB107&gt;0,AB107,0))),IF(C107="peso_corporal",IF(ISNUMBER(E107),E107,0)+F107,F107)*(1+G107/30),IF(C107="peso_corporal",IF(ISNUMBER(E107),E107,0)+I107,I107)*(1+J107/30),IF(C107="peso_corporal",IF(ISNUMBER(E107),E107,0)+L107,L107)*(1+M107/30),IF(C107="peso_corporal",IF(ISNUMBER(E107),E107,0)+O107,O107)*(1+P107/30),IF(C107="peso_corporal",IF(ISNUMBER(E107),E107,0)+R107,R107)*(1+S107/30)),1)),"--")</f>
        <v>--</v>
      </c>
      <c r="V107" s="23" t="str">
        <f>IF(SUGERENCIAS!N260="SIN","Sin datos anteriores",IF(SUGERENCIAS!N260="SUBIR_F","^ SUBIR FUERTE | Kg:"&amp;ROUND(SUGERENCIAS!K260,1)&amp;" R:"&amp;ROUND(SUGERENCIAS!L260,0)&amp;" RIR:"&amp;ROUND(SUGERENCIAS!M260,0),IF(SUGERENCIAS!N260="SUBIR_E","^ SUBIR (Est.) | Kg:"&amp;ROUND(SUGERENCIAS!K260,1)&amp;" R:"&amp;ROUND(SUGERENCIAS!L260,0)&amp;" RIR:"&amp;ROUND(SUGERENCIAS!M260,0),IF(SUGERENCIAS!N260="SUBIR","^ SUBIR | Kg:"&amp;ROUND(SUGERENCIAS!K260,1)&amp;" R:"&amp;ROUND(SUGERENCIAS!L260,0)&amp;" RIR:"&amp;ROUND(SUGERENCIAS!M260,0),IF(SUGERENCIAS!N260="BAJAR","v BAJAR | Kg:"&amp;ROUND(SUGERENCIAS!K260,1)&amp;" R:"&amp;ROUND(SUGERENCIAS!L260,0)&amp;" RIR:"&amp;ROUND(SUGERENCIAS!M260,0),"= MANT | Kg:"&amp;ROUND(SUGERENCIAS!K260,1)&amp;" R:"&amp;ROUND(SUGERENCIAS!L260,0)&amp;" RIR:"&amp;ROUND(SUGERENCIAS!M260,0))))))</f>
        <v>Sin datos anteriores</v>
      </c>
      <c r="W107" s="69">
        <f>MAX(IF((G107&gt;0)*(IF(H107="",-1,H107)&gt;=1)*(IF(H107="",-1,H107)&lt;=3),IF(C107="peso_corporal",IF(ISNUMBER(E107),E107,0)+F107,F107)*G107*1000+F107,0),IF((J107&gt;0)*(IF(K107="",-1,K107)&gt;=1)*(IF(K107="",-1,K107)&lt;=3),IF(C107="peso_corporal",IF(ISNUMBER(E107),E107,0)+I107,I107)*J107*1000+I107,0),IF((M107&gt;0)*(IF(N107="",-1,N107)&gt;=1)*(IF(N107="",-1,N107)&lt;=3),IF(C107="peso_corporal",IF(ISNUMBER(E107),E107,0)+L107,L107)*M107*1000+L107,0),IF((P107&gt;0)*(IF(Q107="",-1,Q107)&gt;=1)*(IF(Q107="",-1,Q107)&lt;=3),IF(C107="peso_corporal",IF(ISNUMBER(E107),E107,0)+O107,O107)*P107*1000+O107,0),IF((S107&gt;0)*(IF(T107="",-1,T107)&gt;=1)*(IF(T107="",-1,T107)&lt;=3),IF(C107="peso_corporal",IF(ISNUMBER(E107),E107,0)+R107,R107)*S107*1000+R107,0))</f>
        <v>0</v>
      </c>
      <c r="X107" s="69">
        <f>IF(W107=0,0,IF(IF((S107&gt;0)*(IF(T107="",-1,T107)&gt;=1)*(IF(T107="",-1,T107)&lt;=3),IF(C107="peso_corporal",IF(ISNUMBER(E107),E107,0)+R107,R107)*S107*1000+R107,0)=W107,5,IF(IF((P107&gt;0)*(IF(Q107="",-1,Q107)&gt;=1)*(IF(Q107="",-1,Q107)&lt;=3),IF(C107="peso_corporal",IF(ISNUMBER(E107),E107,0)+O107,O107)*P107*1000+O107,0)=W107,4,IF(IF((M107&gt;0)*(IF(N107="",-1,N107)&gt;=1)*(IF(N107="",-1,N107)&lt;=3),IF(C107="peso_corporal",IF(ISNUMBER(E107),E107,0)+L107,L107)*M107*1000+L107,0)=W107,3,IF(IF((J107&gt;0)*(IF(K107="",-1,K107)&gt;=1)*(IF(K107="",-1,K107)&lt;=3),IF(C107="peso_corporal",IF(ISNUMBER(E107),E107,0)+I107,I107)*J107*1000+I107,0)=W107,2,IF(IF((G107&gt;0)*(IF(H107="",-1,H107)&gt;=1)*(IF(H107="",-1,H107)&lt;=3),IF(C107="peso_corporal",IF(ISNUMBER(E107),E107,0)+F107,F107)*G107*1000+F107,0)=W107,1,0))))))</f>
        <v>0</v>
      </c>
      <c r="Y107" s="69">
        <f>MAX(IF((G107&gt;0)*(IF(H107="",-1,H107)=0)*(1-(IF(H107="",-1,H107)&gt;=1)*(IF(H107="",-1,H107)&lt;=3)),IF(C107="peso_corporal",IF(ISNUMBER(E107),E107,0)+F107,F107)*G107*1000+F107,0),IF((J107&gt;0)*(IF(K107="",-1,K107)=0)*(1-(IF(K107="",-1,K107)&gt;=1)*(IF(K107="",-1,K107)&lt;=3)),IF(C107="peso_corporal",IF(ISNUMBER(E107),E107,0)+I107,I107)*J107*1000+I107,0),IF((M107&gt;0)*(IF(N107="",-1,N107)=0)*(1-(IF(N107="",-1,N107)&gt;=1)*(IF(N107="",-1,N107)&lt;=3)),IF(C107="peso_corporal",IF(ISNUMBER(E107),E107,0)+L107,L107)*M107*1000+L107,0),IF((P107&gt;0)*(IF(Q107="",-1,Q107)=0)*(1-(IF(Q107="",-1,Q107)&gt;=1)*(IF(Q107="",-1,Q107)&lt;=3)),IF(C107="peso_corporal",IF(ISNUMBER(E107),E107,0)+O107,O107)*P107*1000+O107,0),IF((S107&gt;0)*(IF(T107="",-1,T107)=0)*(1-(IF(T107="",-1,T107)&gt;=1)*(IF(T107="",-1,T107)&lt;=3)),IF(C107="peso_corporal",IF(ISNUMBER(E107),E107,0)+R107,R107)*S107*1000+R107,0))</f>
        <v>0</v>
      </c>
      <c r="Z107" s="69">
        <f>IF(Y107=0,0,IF(IF((S107&gt;0)*(IF(T107="",-1,T107)=0)*(1-(IF(T107="",-1,T107)&gt;=1)*(IF(T107="",-1,T107)&lt;=3)),IF(C107="peso_corporal",IF(ISNUMBER(E107),E107,0)+R107,R107)*S107*1000+R107,0)=Y107,5,IF(IF((P107&gt;0)*(IF(Q107="",-1,Q107)=0)*(1-(IF(Q107="",-1,Q107)&gt;=1)*(IF(Q107="",-1,Q107)&lt;=3)),IF(C107="peso_corporal",IF(ISNUMBER(E107),E107,0)+O107,O107)*P107*1000+O107,0)=Y107,4,IF(IF((M107&gt;0)*(IF(N107="",-1,N107)=0)*(1-(IF(N107="",-1,N107)&gt;=1)*(IF(N107="",-1,N107)&lt;=3)),IF(C107="peso_corporal",IF(ISNUMBER(E107),E107,0)+L107,L107)*M107*1000+L107,0)=Y107,3,IF(IF((J107&gt;0)*(IF(K107="",-1,K107)=0)*(1-(IF(K107="",-1,K107)&gt;=1)*(IF(K107="",-1,K107)&lt;=3)),IF(C107="peso_corporal",IF(ISNUMBER(E107),E107,0)+I107,I107)*J107*1000+I107,0)=Y107,2,IF(IF((G107&gt;0)*(IF(H107="",-1,H107)=0)*(1-(IF(H107="",-1,H107)&gt;=1)*(IF(H107="",-1,H107)&lt;=3)),IF(C107="peso_corporal",IF(ISNUMBER(E107),E107,0)+F107,F107)*G107*1000+F107,0)=Y107,1,0))))))</f>
        <v>0</v>
      </c>
      <c r="AA107" s="69">
        <f>MAX(IF((G107&gt;=6)*(1-(IF(H107="",-1,H107)&gt;=1)*(IF(H107="",-1,H107)&lt;=3))*(1-(IF(H107="",-1,H107)=0)),IF(C107="peso_corporal",IF(ISNUMBER(E107),E107,0)+F107,F107)*(30+G107)*100+F107,0),IF((J107&gt;=6)*(1-(IF(K107="",-1,K107)&gt;=1)*(IF(K107="",-1,K107)&lt;=3))*(1-(IF(K107="",-1,K107)=0)),IF(C107="peso_corporal",IF(ISNUMBER(E107),E107,0)+I107,I107)*(30+J107)*100+I107,0),IF((M107&gt;=6)*(1-(IF(N107="",-1,N107)&gt;=1)*(IF(N107="",-1,N107)&lt;=3))*(1-(IF(N107="",-1,N107)=0)),IF(C107="peso_corporal",IF(ISNUMBER(E107),E107,0)+L107,L107)*(30+M107)*100+L107,0),IF((P107&gt;=6)*(1-(IF(Q107="",-1,Q107)&gt;=1)*(IF(Q107="",-1,Q107)&lt;=3))*(1-(IF(Q107="",-1,Q107)=0)),IF(C107="peso_corporal",IF(ISNUMBER(E107),E107,0)+O107,O107)*(30+P107)*100+O107,0),IF((S107&gt;=6)*(1-(IF(T107="",-1,T107)&gt;=1)*(IF(T107="",-1,T107)&lt;=3))*(1-(IF(T107="",-1,T107)=0)),IF(C107="peso_corporal",IF(ISNUMBER(E107),E107,0)+R107,R107)*(30+S107)*100+R107,0))</f>
        <v>0</v>
      </c>
      <c r="AB107" s="69">
        <f>IF(AA107=0,0,IF(IF((S107&gt;=6)*(1-(IF(T107="",-1,T107)&gt;=1)*(IF(T107="",-1,T107)&lt;=3))*(1-(IF(T107="",-1,T107)=0)),IF(C107="peso_corporal",IF(ISNUMBER(E107),E107,0)+R107,R107)*(30+S107)*100+R107,0)=AA107,5,IF(IF((P107&gt;=6)*(1-(IF(Q107="",-1,Q107)&gt;=1)*(IF(Q107="",-1,Q107)&lt;=3))*(1-(IF(Q107="",-1,Q107)=0)),IF(C107="peso_corporal",IF(ISNUMBER(E107),E107,0)+O107,O107)*(30+P107)*100+O107,0)=AA107,4,IF(IF((M107&gt;=6)*(1-(IF(N107="",-1,N107)&gt;=1)*(IF(N107="",-1,N107)&lt;=3))*(1-(IF(N107="",-1,N107)=0)),IF(C107="peso_corporal",IF(ISNUMBER(E107),E107,0)+L107,L107)*(30+M107)*100+L107,0)=AA107,3,IF(IF((J107&gt;=6)*(1-(IF(K107="",-1,K107)&gt;=1)*(IF(K107="",-1,K107)&lt;=3))*(1-(IF(K107="",-1,K107)=0)),IF(C107="peso_corporal",IF(ISNUMBER(E107),E107,0)+I107,I107)*(30+J107)*100+I107,0)=AA107,2,IF(IF((G107&gt;=6)*(1-(IF(H107="",-1,H107)&gt;=1)*(IF(H107="",-1,H107)&lt;=3))*(1-(IF(H107="",-1,H107)=0)),IF(C107="peso_corporal",IF(ISNUMBER(E107),E107,0)+F107,F107)*(30+G107)*100+F107,0)=AA107,1,0))))))</f>
        <v>0</v>
      </c>
      <c r="AC107" s="69" t="str">
        <f>IF(X107&gt;0,"A"&amp;X107,IF(Z107&gt;0,"B"&amp;Z107,IF(AB107&gt;0,"C"&amp;AB107,"")))</f>
        <v/>
      </c>
    </row>
    <row r="108" spans="1:29" ht="15" customHeight="1">
      <c r="A108" s="81" t="s">
        <v>42</v>
      </c>
      <c r="B108" s="73"/>
      <c r="C108" s="73"/>
      <c r="D108" s="73"/>
      <c r="E108" s="73"/>
      <c r="F108" s="73"/>
      <c r="G108" s="73"/>
      <c r="H108" s="73"/>
      <c r="I108" s="73"/>
      <c r="J108" s="73"/>
      <c r="K108" s="73"/>
      <c r="L108" s="73"/>
      <c r="M108" s="73"/>
      <c r="N108" s="73"/>
      <c r="O108" s="73"/>
      <c r="P108" s="73"/>
      <c r="Q108" s="73"/>
      <c r="R108" s="73"/>
      <c r="S108" s="73"/>
      <c r="T108" s="73"/>
      <c r="U108" s="73"/>
      <c r="V108" s="73"/>
      <c r="W108" s="69"/>
      <c r="X108" s="69"/>
      <c r="Y108" s="69"/>
      <c r="Z108" s="69"/>
      <c r="AA108" s="69"/>
      <c r="AB108" s="69"/>
      <c r="AC108" s="69"/>
    </row>
    <row r="109" spans="1:29" ht="20.100000000000001" customHeight="1">
      <c r="A109" s="14" t="s">
        <v>43</v>
      </c>
      <c r="B109" s="15" t="s">
        <v>44</v>
      </c>
      <c r="C109" s="16" t="str">
        <f>IFERROR(INDEX(EJERCICIOS!$D$3:$D$75,MATCH(A109&amp;"|"&amp;B109,EJERCICIOS!$G$3:$G$75,0)),"--")</f>
        <v>polea</v>
      </c>
      <c r="D109" s="17">
        <v>3</v>
      </c>
      <c r="E109" s="18">
        <f>IFERROR(LOOKUP(2,1/(MEDIDAS_Y_PESO!$B$3:$B$7&lt;&gt;""),MEDIDAS_Y_PESO!$B$3:$B$7),"--")</f>
        <v>80</v>
      </c>
      <c r="F109" s="19"/>
      <c r="G109" s="20"/>
      <c r="H109" s="21"/>
      <c r="I109" s="19"/>
      <c r="J109" s="20"/>
      <c r="K109" s="21"/>
      <c r="L109" s="19"/>
      <c r="M109" s="20"/>
      <c r="N109" s="21"/>
      <c r="O109" s="19"/>
      <c r="P109" s="20"/>
      <c r="Q109" s="21"/>
      <c r="R109" s="19"/>
      <c r="S109" s="20"/>
      <c r="T109" s="21"/>
      <c r="U109" s="22" t="str">
        <f>IFERROR(IF(IF(X109&gt;0,X109,IF(Z109&gt;0,Z109,IF(AB109&gt;0,AB109,0)))=0,"--",ROUND(CHOOSE(IF(X109&gt;0,X109,IF(Z109&gt;0,Z109,IF(AB109&gt;0,AB109,0))),IF(C109="peso_corporal",IF(ISNUMBER(E109),E109,0)+F109,F109)*(1+G109/30),IF(C109="peso_corporal",IF(ISNUMBER(E109),E109,0)+I109,I109)*(1+J109/30),IF(C109="peso_corporal",IF(ISNUMBER(E109),E109,0)+L109,L109)*(1+M109/30),IF(C109="peso_corporal",IF(ISNUMBER(E109),E109,0)+O109,O109)*(1+P109/30),IF(C109="peso_corporal",IF(ISNUMBER(E109),E109,0)+R109,R109)*(1+S109/30)),1)),"--")</f>
        <v>--</v>
      </c>
      <c r="V109" s="23" t="str">
        <f>IF(SUGERENCIAS!N261="SIN","Sin datos anteriores",IF(SUGERENCIAS!N261="SUBIR_F","^ SUBIR FUERTE | Kg:"&amp;ROUND(SUGERENCIAS!K261,1)&amp;" R:"&amp;ROUND(SUGERENCIAS!L261,0)&amp;" RIR:"&amp;ROUND(SUGERENCIAS!M261,0),IF(SUGERENCIAS!N261="SUBIR_E","^ SUBIR (Est.) | Kg:"&amp;ROUND(SUGERENCIAS!K261,1)&amp;" R:"&amp;ROUND(SUGERENCIAS!L261,0)&amp;" RIR:"&amp;ROUND(SUGERENCIAS!M261,0),IF(SUGERENCIAS!N261="SUBIR","^ SUBIR | Kg:"&amp;ROUND(SUGERENCIAS!K261,1)&amp;" R:"&amp;ROUND(SUGERENCIAS!L261,0)&amp;" RIR:"&amp;ROUND(SUGERENCIAS!M261,0),IF(SUGERENCIAS!N261="BAJAR","v BAJAR | Kg:"&amp;ROUND(SUGERENCIAS!K261,1)&amp;" R:"&amp;ROUND(SUGERENCIAS!L261,0)&amp;" RIR:"&amp;ROUND(SUGERENCIAS!M261,0),"= MANT | Kg:"&amp;ROUND(SUGERENCIAS!K261,1)&amp;" R:"&amp;ROUND(SUGERENCIAS!L261,0)&amp;" RIR:"&amp;ROUND(SUGERENCIAS!M261,0))))))</f>
        <v>Sin datos anteriores</v>
      </c>
      <c r="W109" s="69">
        <f>MAX(IF((G109&gt;0)*(IF(H109="",-1,H109)&gt;=1)*(IF(H109="",-1,H109)&lt;=3),IF(C109="peso_corporal",IF(ISNUMBER(E109),E109,0)+F109,F109)*G109*1000+F109,0),IF((J109&gt;0)*(IF(K109="",-1,K109)&gt;=1)*(IF(K109="",-1,K109)&lt;=3),IF(C109="peso_corporal",IF(ISNUMBER(E109),E109,0)+I109,I109)*J109*1000+I109,0),IF((M109&gt;0)*(IF(N109="",-1,N109)&gt;=1)*(IF(N109="",-1,N109)&lt;=3),IF(C109="peso_corporal",IF(ISNUMBER(E109),E109,0)+L109,L109)*M109*1000+L109,0),IF((P109&gt;0)*(IF(Q109="",-1,Q109)&gt;=1)*(IF(Q109="",-1,Q109)&lt;=3),IF(C109="peso_corporal",IF(ISNUMBER(E109),E109,0)+O109,O109)*P109*1000+O109,0),IF((S109&gt;0)*(IF(T109="",-1,T109)&gt;=1)*(IF(T109="",-1,T109)&lt;=3),IF(C109="peso_corporal",IF(ISNUMBER(E109),E109,0)+R109,R109)*S109*1000+R109,0))</f>
        <v>0</v>
      </c>
      <c r="X109" s="69">
        <f>IF(W109=0,0,IF(IF((S109&gt;0)*(IF(T109="",-1,T109)&gt;=1)*(IF(T109="",-1,T109)&lt;=3),IF(C109="peso_corporal",IF(ISNUMBER(E109),E109,0)+R109,R109)*S109*1000+R109,0)=W109,5,IF(IF((P109&gt;0)*(IF(Q109="",-1,Q109)&gt;=1)*(IF(Q109="",-1,Q109)&lt;=3),IF(C109="peso_corporal",IF(ISNUMBER(E109),E109,0)+O109,O109)*P109*1000+O109,0)=W109,4,IF(IF((M109&gt;0)*(IF(N109="",-1,N109)&gt;=1)*(IF(N109="",-1,N109)&lt;=3),IF(C109="peso_corporal",IF(ISNUMBER(E109),E109,0)+L109,L109)*M109*1000+L109,0)=W109,3,IF(IF((J109&gt;0)*(IF(K109="",-1,K109)&gt;=1)*(IF(K109="",-1,K109)&lt;=3),IF(C109="peso_corporal",IF(ISNUMBER(E109),E109,0)+I109,I109)*J109*1000+I109,0)=W109,2,IF(IF((G109&gt;0)*(IF(H109="",-1,H109)&gt;=1)*(IF(H109="",-1,H109)&lt;=3),IF(C109="peso_corporal",IF(ISNUMBER(E109),E109,0)+F109,F109)*G109*1000+F109,0)=W109,1,0))))))</f>
        <v>0</v>
      </c>
      <c r="Y109" s="69">
        <f>MAX(IF((G109&gt;0)*(IF(H109="",-1,H109)=0)*(1-(IF(H109="",-1,H109)&gt;=1)*(IF(H109="",-1,H109)&lt;=3)),IF(C109="peso_corporal",IF(ISNUMBER(E109),E109,0)+F109,F109)*G109*1000+F109,0),IF((J109&gt;0)*(IF(K109="",-1,K109)=0)*(1-(IF(K109="",-1,K109)&gt;=1)*(IF(K109="",-1,K109)&lt;=3)),IF(C109="peso_corporal",IF(ISNUMBER(E109),E109,0)+I109,I109)*J109*1000+I109,0),IF((M109&gt;0)*(IF(N109="",-1,N109)=0)*(1-(IF(N109="",-1,N109)&gt;=1)*(IF(N109="",-1,N109)&lt;=3)),IF(C109="peso_corporal",IF(ISNUMBER(E109),E109,0)+L109,L109)*M109*1000+L109,0),IF((P109&gt;0)*(IF(Q109="",-1,Q109)=0)*(1-(IF(Q109="",-1,Q109)&gt;=1)*(IF(Q109="",-1,Q109)&lt;=3)),IF(C109="peso_corporal",IF(ISNUMBER(E109),E109,0)+O109,O109)*P109*1000+O109,0),IF((S109&gt;0)*(IF(T109="",-1,T109)=0)*(1-(IF(T109="",-1,T109)&gt;=1)*(IF(T109="",-1,T109)&lt;=3)),IF(C109="peso_corporal",IF(ISNUMBER(E109),E109,0)+R109,R109)*S109*1000+R109,0))</f>
        <v>0</v>
      </c>
      <c r="Z109" s="69">
        <f>IF(Y109=0,0,IF(IF((S109&gt;0)*(IF(T109="",-1,T109)=0)*(1-(IF(T109="",-1,T109)&gt;=1)*(IF(T109="",-1,T109)&lt;=3)),IF(C109="peso_corporal",IF(ISNUMBER(E109),E109,0)+R109,R109)*S109*1000+R109,0)=Y109,5,IF(IF((P109&gt;0)*(IF(Q109="",-1,Q109)=0)*(1-(IF(Q109="",-1,Q109)&gt;=1)*(IF(Q109="",-1,Q109)&lt;=3)),IF(C109="peso_corporal",IF(ISNUMBER(E109),E109,0)+O109,O109)*P109*1000+O109,0)=Y109,4,IF(IF((M109&gt;0)*(IF(N109="",-1,N109)=0)*(1-(IF(N109="",-1,N109)&gt;=1)*(IF(N109="",-1,N109)&lt;=3)),IF(C109="peso_corporal",IF(ISNUMBER(E109),E109,0)+L109,L109)*M109*1000+L109,0)=Y109,3,IF(IF((J109&gt;0)*(IF(K109="",-1,K109)=0)*(1-(IF(K109="",-1,K109)&gt;=1)*(IF(K109="",-1,K109)&lt;=3)),IF(C109="peso_corporal",IF(ISNUMBER(E109),E109,0)+I109,I109)*J109*1000+I109,0)=Y109,2,IF(IF((G109&gt;0)*(IF(H109="",-1,H109)=0)*(1-(IF(H109="",-1,H109)&gt;=1)*(IF(H109="",-1,H109)&lt;=3)),IF(C109="peso_corporal",IF(ISNUMBER(E109),E109,0)+F109,F109)*G109*1000+F109,0)=Y109,1,0))))))</f>
        <v>0</v>
      </c>
      <c r="AA109" s="69">
        <f>MAX(IF((G109&gt;=6)*(1-(IF(H109="",-1,H109)&gt;=1)*(IF(H109="",-1,H109)&lt;=3))*(1-(IF(H109="",-1,H109)=0)),IF(C109="peso_corporal",IF(ISNUMBER(E109),E109,0)+F109,F109)*(30+G109)*100+F109,0),IF((J109&gt;=6)*(1-(IF(K109="",-1,K109)&gt;=1)*(IF(K109="",-1,K109)&lt;=3))*(1-(IF(K109="",-1,K109)=0)),IF(C109="peso_corporal",IF(ISNUMBER(E109),E109,0)+I109,I109)*(30+J109)*100+I109,0),IF((M109&gt;=6)*(1-(IF(N109="",-1,N109)&gt;=1)*(IF(N109="",-1,N109)&lt;=3))*(1-(IF(N109="",-1,N109)=0)),IF(C109="peso_corporal",IF(ISNUMBER(E109),E109,0)+L109,L109)*(30+M109)*100+L109,0),IF((P109&gt;=6)*(1-(IF(Q109="",-1,Q109)&gt;=1)*(IF(Q109="",-1,Q109)&lt;=3))*(1-(IF(Q109="",-1,Q109)=0)),IF(C109="peso_corporal",IF(ISNUMBER(E109),E109,0)+O109,O109)*(30+P109)*100+O109,0),IF((S109&gt;=6)*(1-(IF(T109="",-1,T109)&gt;=1)*(IF(T109="",-1,T109)&lt;=3))*(1-(IF(T109="",-1,T109)=0)),IF(C109="peso_corporal",IF(ISNUMBER(E109),E109,0)+R109,R109)*(30+S109)*100+R109,0))</f>
        <v>0</v>
      </c>
      <c r="AB109" s="69">
        <f>IF(AA109=0,0,IF(IF((S109&gt;=6)*(1-(IF(T109="",-1,T109)&gt;=1)*(IF(T109="",-1,T109)&lt;=3))*(1-(IF(T109="",-1,T109)=0)),IF(C109="peso_corporal",IF(ISNUMBER(E109),E109,0)+R109,R109)*(30+S109)*100+R109,0)=AA109,5,IF(IF((P109&gt;=6)*(1-(IF(Q109="",-1,Q109)&gt;=1)*(IF(Q109="",-1,Q109)&lt;=3))*(1-(IF(Q109="",-1,Q109)=0)),IF(C109="peso_corporal",IF(ISNUMBER(E109),E109,0)+O109,O109)*(30+P109)*100+O109,0)=AA109,4,IF(IF((M109&gt;=6)*(1-(IF(N109="",-1,N109)&gt;=1)*(IF(N109="",-1,N109)&lt;=3))*(1-(IF(N109="",-1,N109)=0)),IF(C109="peso_corporal",IF(ISNUMBER(E109),E109,0)+L109,L109)*(30+M109)*100+L109,0)=AA109,3,IF(IF((J109&gt;=6)*(1-(IF(K109="",-1,K109)&gt;=1)*(IF(K109="",-1,K109)&lt;=3))*(1-(IF(K109="",-1,K109)=0)),IF(C109="peso_corporal",IF(ISNUMBER(E109),E109,0)+I109,I109)*(30+J109)*100+I109,0)=AA109,2,IF(IF((G109&gt;=6)*(1-(IF(H109="",-1,H109)&gt;=1)*(IF(H109="",-1,H109)&lt;=3))*(1-(IF(H109="",-1,H109)=0)),IF(C109="peso_corporal",IF(ISNUMBER(E109),E109,0)+F109,F109)*(30+G109)*100+F109,0)=AA109,1,0))))))</f>
        <v>0</v>
      </c>
      <c r="AC109" s="69" t="str">
        <f>IF(X109&gt;0,"A"&amp;X109,IF(Z109&gt;0,"B"&amp;Z109,IF(AB109&gt;0,"C"&amp;AB109,"")))</f>
        <v/>
      </c>
    </row>
    <row r="110" spans="1:29" ht="20.100000000000001" customHeight="1">
      <c r="A110" s="14" t="s">
        <v>45</v>
      </c>
      <c r="B110" s="15" t="s">
        <v>46</v>
      </c>
      <c r="C110" s="16" t="str">
        <f>IFERROR(INDEX(EJERCICIOS!$D$3:$D$75,MATCH(A110&amp;"|"&amp;B110,EJERCICIOS!$G$3:$G$75,0)),"--")</f>
        <v>mancuerna</v>
      </c>
      <c r="D110" s="17">
        <v>3</v>
      </c>
      <c r="E110" s="18">
        <f>IFERROR(LOOKUP(2,1/(MEDIDAS_Y_PESO!$B$3:$B$7&lt;&gt;""),MEDIDAS_Y_PESO!$B$3:$B$7),"--")</f>
        <v>80</v>
      </c>
      <c r="F110" s="19"/>
      <c r="G110" s="20"/>
      <c r="H110" s="21"/>
      <c r="I110" s="19"/>
      <c r="J110" s="20"/>
      <c r="K110" s="21"/>
      <c r="L110" s="19"/>
      <c r="M110" s="20"/>
      <c r="N110" s="21"/>
      <c r="O110" s="19"/>
      <c r="P110" s="20"/>
      <c r="Q110" s="21"/>
      <c r="R110" s="19"/>
      <c r="S110" s="20"/>
      <c r="T110" s="21"/>
      <c r="U110" s="22" t="str">
        <f>IFERROR(IF(IF(X110&gt;0,X110,IF(Z110&gt;0,Z110,IF(AB110&gt;0,AB110,0)))=0,"--",ROUND(CHOOSE(IF(X110&gt;0,X110,IF(Z110&gt;0,Z110,IF(AB110&gt;0,AB110,0))),IF(C110="peso_corporal",IF(ISNUMBER(E110),E110,0)+F110,F110)*(1+G110/30),IF(C110="peso_corporal",IF(ISNUMBER(E110),E110,0)+I110,I110)*(1+J110/30),IF(C110="peso_corporal",IF(ISNUMBER(E110),E110,0)+L110,L110)*(1+M110/30),IF(C110="peso_corporal",IF(ISNUMBER(E110),E110,0)+O110,O110)*(1+P110/30),IF(C110="peso_corporal",IF(ISNUMBER(E110),E110,0)+R110,R110)*(1+S110/30)),1)),"--")</f>
        <v>--</v>
      </c>
      <c r="V110" s="23" t="str">
        <f>IF(SUGERENCIAS!N262="SIN","Sin datos anteriores",IF(SUGERENCIAS!N262="SUBIR_F","^ SUBIR FUERTE | Kg:"&amp;ROUND(SUGERENCIAS!K262,1)&amp;" R:"&amp;ROUND(SUGERENCIAS!L262,0)&amp;" RIR:"&amp;ROUND(SUGERENCIAS!M262,0),IF(SUGERENCIAS!N262="SUBIR_E","^ SUBIR (Est.) | Kg:"&amp;ROUND(SUGERENCIAS!K262,1)&amp;" R:"&amp;ROUND(SUGERENCIAS!L262,0)&amp;" RIR:"&amp;ROUND(SUGERENCIAS!M262,0),IF(SUGERENCIAS!N262="SUBIR","^ SUBIR | Kg:"&amp;ROUND(SUGERENCIAS!K262,1)&amp;" R:"&amp;ROUND(SUGERENCIAS!L262,0)&amp;" RIR:"&amp;ROUND(SUGERENCIAS!M262,0),IF(SUGERENCIAS!N262="BAJAR","v BAJAR | Kg:"&amp;ROUND(SUGERENCIAS!K262,1)&amp;" R:"&amp;ROUND(SUGERENCIAS!L262,0)&amp;" RIR:"&amp;ROUND(SUGERENCIAS!M262,0),"= MANT | Kg:"&amp;ROUND(SUGERENCIAS!K262,1)&amp;" R:"&amp;ROUND(SUGERENCIAS!L262,0)&amp;" RIR:"&amp;ROUND(SUGERENCIAS!M262,0))))))</f>
        <v>Sin datos anteriores</v>
      </c>
      <c r="W110" s="69">
        <f>MAX(IF((G110&gt;0)*(IF(H110="",-1,H110)&gt;=1)*(IF(H110="",-1,H110)&lt;=3),IF(C110="peso_corporal",IF(ISNUMBER(E110),E110,0)+F110,F110)*G110*1000+F110,0),IF((J110&gt;0)*(IF(K110="",-1,K110)&gt;=1)*(IF(K110="",-1,K110)&lt;=3),IF(C110="peso_corporal",IF(ISNUMBER(E110),E110,0)+I110,I110)*J110*1000+I110,0),IF((M110&gt;0)*(IF(N110="",-1,N110)&gt;=1)*(IF(N110="",-1,N110)&lt;=3),IF(C110="peso_corporal",IF(ISNUMBER(E110),E110,0)+L110,L110)*M110*1000+L110,0),IF((P110&gt;0)*(IF(Q110="",-1,Q110)&gt;=1)*(IF(Q110="",-1,Q110)&lt;=3),IF(C110="peso_corporal",IF(ISNUMBER(E110),E110,0)+O110,O110)*P110*1000+O110,0),IF((S110&gt;0)*(IF(T110="",-1,T110)&gt;=1)*(IF(T110="",-1,T110)&lt;=3),IF(C110="peso_corporal",IF(ISNUMBER(E110),E110,0)+R110,R110)*S110*1000+R110,0))</f>
        <v>0</v>
      </c>
      <c r="X110" s="69">
        <f>IF(W110=0,0,IF(IF((S110&gt;0)*(IF(T110="",-1,T110)&gt;=1)*(IF(T110="",-1,T110)&lt;=3),IF(C110="peso_corporal",IF(ISNUMBER(E110),E110,0)+R110,R110)*S110*1000+R110,0)=W110,5,IF(IF((P110&gt;0)*(IF(Q110="",-1,Q110)&gt;=1)*(IF(Q110="",-1,Q110)&lt;=3),IF(C110="peso_corporal",IF(ISNUMBER(E110),E110,0)+O110,O110)*P110*1000+O110,0)=W110,4,IF(IF((M110&gt;0)*(IF(N110="",-1,N110)&gt;=1)*(IF(N110="",-1,N110)&lt;=3),IF(C110="peso_corporal",IF(ISNUMBER(E110),E110,0)+L110,L110)*M110*1000+L110,0)=W110,3,IF(IF((J110&gt;0)*(IF(K110="",-1,K110)&gt;=1)*(IF(K110="",-1,K110)&lt;=3),IF(C110="peso_corporal",IF(ISNUMBER(E110),E110,0)+I110,I110)*J110*1000+I110,0)=W110,2,IF(IF((G110&gt;0)*(IF(H110="",-1,H110)&gt;=1)*(IF(H110="",-1,H110)&lt;=3),IF(C110="peso_corporal",IF(ISNUMBER(E110),E110,0)+F110,F110)*G110*1000+F110,0)=W110,1,0))))))</f>
        <v>0</v>
      </c>
      <c r="Y110" s="69">
        <f>MAX(IF((G110&gt;0)*(IF(H110="",-1,H110)=0)*(1-(IF(H110="",-1,H110)&gt;=1)*(IF(H110="",-1,H110)&lt;=3)),IF(C110="peso_corporal",IF(ISNUMBER(E110),E110,0)+F110,F110)*G110*1000+F110,0),IF((J110&gt;0)*(IF(K110="",-1,K110)=0)*(1-(IF(K110="",-1,K110)&gt;=1)*(IF(K110="",-1,K110)&lt;=3)),IF(C110="peso_corporal",IF(ISNUMBER(E110),E110,0)+I110,I110)*J110*1000+I110,0),IF((M110&gt;0)*(IF(N110="",-1,N110)=0)*(1-(IF(N110="",-1,N110)&gt;=1)*(IF(N110="",-1,N110)&lt;=3)),IF(C110="peso_corporal",IF(ISNUMBER(E110),E110,0)+L110,L110)*M110*1000+L110,0),IF((P110&gt;0)*(IF(Q110="",-1,Q110)=0)*(1-(IF(Q110="",-1,Q110)&gt;=1)*(IF(Q110="",-1,Q110)&lt;=3)),IF(C110="peso_corporal",IF(ISNUMBER(E110),E110,0)+O110,O110)*P110*1000+O110,0),IF((S110&gt;0)*(IF(T110="",-1,T110)=0)*(1-(IF(T110="",-1,T110)&gt;=1)*(IF(T110="",-1,T110)&lt;=3)),IF(C110="peso_corporal",IF(ISNUMBER(E110),E110,0)+R110,R110)*S110*1000+R110,0))</f>
        <v>0</v>
      </c>
      <c r="Z110" s="69">
        <f>IF(Y110=0,0,IF(IF((S110&gt;0)*(IF(T110="",-1,T110)=0)*(1-(IF(T110="",-1,T110)&gt;=1)*(IF(T110="",-1,T110)&lt;=3)),IF(C110="peso_corporal",IF(ISNUMBER(E110),E110,0)+R110,R110)*S110*1000+R110,0)=Y110,5,IF(IF((P110&gt;0)*(IF(Q110="",-1,Q110)=0)*(1-(IF(Q110="",-1,Q110)&gt;=1)*(IF(Q110="",-1,Q110)&lt;=3)),IF(C110="peso_corporal",IF(ISNUMBER(E110),E110,0)+O110,O110)*P110*1000+O110,0)=Y110,4,IF(IF((M110&gt;0)*(IF(N110="",-1,N110)=0)*(1-(IF(N110="",-1,N110)&gt;=1)*(IF(N110="",-1,N110)&lt;=3)),IF(C110="peso_corporal",IF(ISNUMBER(E110),E110,0)+L110,L110)*M110*1000+L110,0)=Y110,3,IF(IF((J110&gt;0)*(IF(K110="",-1,K110)=0)*(1-(IF(K110="",-1,K110)&gt;=1)*(IF(K110="",-1,K110)&lt;=3)),IF(C110="peso_corporal",IF(ISNUMBER(E110),E110,0)+I110,I110)*J110*1000+I110,0)=Y110,2,IF(IF((G110&gt;0)*(IF(H110="",-1,H110)=0)*(1-(IF(H110="",-1,H110)&gt;=1)*(IF(H110="",-1,H110)&lt;=3)),IF(C110="peso_corporal",IF(ISNUMBER(E110),E110,0)+F110,F110)*G110*1000+F110,0)=Y110,1,0))))))</f>
        <v>0</v>
      </c>
      <c r="AA110" s="69">
        <f>MAX(IF((G110&gt;=6)*(1-(IF(H110="",-1,H110)&gt;=1)*(IF(H110="",-1,H110)&lt;=3))*(1-(IF(H110="",-1,H110)=0)),IF(C110="peso_corporal",IF(ISNUMBER(E110),E110,0)+F110,F110)*(30+G110)*100+F110,0),IF((J110&gt;=6)*(1-(IF(K110="",-1,K110)&gt;=1)*(IF(K110="",-1,K110)&lt;=3))*(1-(IF(K110="",-1,K110)=0)),IF(C110="peso_corporal",IF(ISNUMBER(E110),E110,0)+I110,I110)*(30+J110)*100+I110,0),IF((M110&gt;=6)*(1-(IF(N110="",-1,N110)&gt;=1)*(IF(N110="",-1,N110)&lt;=3))*(1-(IF(N110="",-1,N110)=0)),IF(C110="peso_corporal",IF(ISNUMBER(E110),E110,0)+L110,L110)*(30+M110)*100+L110,0),IF((P110&gt;=6)*(1-(IF(Q110="",-1,Q110)&gt;=1)*(IF(Q110="",-1,Q110)&lt;=3))*(1-(IF(Q110="",-1,Q110)=0)),IF(C110="peso_corporal",IF(ISNUMBER(E110),E110,0)+O110,O110)*(30+P110)*100+O110,0),IF((S110&gt;=6)*(1-(IF(T110="",-1,T110)&gt;=1)*(IF(T110="",-1,T110)&lt;=3))*(1-(IF(T110="",-1,T110)=0)),IF(C110="peso_corporal",IF(ISNUMBER(E110),E110,0)+R110,R110)*(30+S110)*100+R110,0))</f>
        <v>0</v>
      </c>
      <c r="AB110" s="69">
        <f>IF(AA110=0,0,IF(IF((S110&gt;=6)*(1-(IF(T110="",-1,T110)&gt;=1)*(IF(T110="",-1,T110)&lt;=3))*(1-(IF(T110="",-1,T110)=0)),IF(C110="peso_corporal",IF(ISNUMBER(E110),E110,0)+R110,R110)*(30+S110)*100+R110,0)=AA110,5,IF(IF((P110&gt;=6)*(1-(IF(Q110="",-1,Q110)&gt;=1)*(IF(Q110="",-1,Q110)&lt;=3))*(1-(IF(Q110="",-1,Q110)=0)),IF(C110="peso_corporal",IF(ISNUMBER(E110),E110,0)+O110,O110)*(30+P110)*100+O110,0)=AA110,4,IF(IF((M110&gt;=6)*(1-(IF(N110="",-1,N110)&gt;=1)*(IF(N110="",-1,N110)&lt;=3))*(1-(IF(N110="",-1,N110)=0)),IF(C110="peso_corporal",IF(ISNUMBER(E110),E110,0)+L110,L110)*(30+M110)*100+L110,0)=AA110,3,IF(IF((J110&gt;=6)*(1-(IF(K110="",-1,K110)&gt;=1)*(IF(K110="",-1,K110)&lt;=3))*(1-(IF(K110="",-1,K110)=0)),IF(C110="peso_corporal",IF(ISNUMBER(E110),E110,0)+I110,I110)*(30+J110)*100+I110,0)=AA110,2,IF(IF((G110&gt;=6)*(1-(IF(H110="",-1,H110)&gt;=1)*(IF(H110="",-1,H110)&lt;=3))*(1-(IF(H110="",-1,H110)=0)),IF(C110="peso_corporal",IF(ISNUMBER(E110),E110,0)+F110,F110)*(30+G110)*100+F110,0)=AA110,1,0))))))</f>
        <v>0</v>
      </c>
      <c r="AC110" s="69" t="str">
        <f>IF(X110&gt;0,"A"&amp;X110,IF(Z110&gt;0,"B"&amp;Z110,IF(AB110&gt;0,"C"&amp;AB110,"")))</f>
        <v/>
      </c>
    </row>
    <row r="111" spans="1:29" ht="15" customHeight="1">
      <c r="A111" s="82" t="s">
        <v>47</v>
      </c>
      <c r="B111" s="73"/>
      <c r="C111" s="73"/>
      <c r="D111" s="73"/>
      <c r="E111" s="73"/>
      <c r="F111" s="73"/>
      <c r="G111" s="73"/>
      <c r="H111" s="73"/>
      <c r="I111" s="73"/>
      <c r="J111" s="73"/>
      <c r="K111" s="73"/>
      <c r="L111" s="73"/>
      <c r="M111" s="73"/>
      <c r="N111" s="73"/>
      <c r="O111" s="73"/>
      <c r="P111" s="73"/>
      <c r="Q111" s="73"/>
      <c r="R111" s="73"/>
      <c r="S111" s="73"/>
      <c r="T111" s="73"/>
      <c r="U111" s="73"/>
      <c r="V111" s="73"/>
      <c r="W111" s="69"/>
      <c r="X111" s="69"/>
      <c r="Y111" s="69"/>
      <c r="Z111" s="69"/>
      <c r="AA111" s="69"/>
      <c r="AB111" s="69"/>
      <c r="AC111" s="69"/>
    </row>
    <row r="112" spans="1:29" ht="20.100000000000001" customHeight="1">
      <c r="A112" s="14" t="s">
        <v>48</v>
      </c>
      <c r="B112" s="15" t="s">
        <v>64</v>
      </c>
      <c r="C112" s="16" t="str">
        <f>IFERROR(INDEX(EJERCICIOS!$D$3:$D$75,MATCH(A112&amp;"|"&amp;B112,EJERCICIOS!$G$3:$G$75,0)),"--")</f>
        <v>--</v>
      </c>
      <c r="D112" s="17">
        <v>3</v>
      </c>
      <c r="E112" s="18">
        <f>IFERROR(LOOKUP(2,1/(MEDIDAS_Y_PESO!$B$3:$B$7&lt;&gt;""),MEDIDAS_Y_PESO!$B$3:$B$7),"--")</f>
        <v>80</v>
      </c>
      <c r="F112" s="19"/>
      <c r="G112" s="20"/>
      <c r="H112" s="21"/>
      <c r="I112" s="19"/>
      <c r="J112" s="20"/>
      <c r="K112" s="21"/>
      <c r="L112" s="19"/>
      <c r="M112" s="20"/>
      <c r="N112" s="21"/>
      <c r="O112" s="19"/>
      <c r="P112" s="20"/>
      <c r="Q112" s="21"/>
      <c r="R112" s="19"/>
      <c r="S112" s="20"/>
      <c r="T112" s="21"/>
      <c r="U112" s="22" t="str">
        <f>IFERROR(IF(IF(X112&gt;0,X112,IF(Z112&gt;0,Z112,IF(AB112&gt;0,AB112,0)))=0,"--",ROUND(CHOOSE(IF(X112&gt;0,X112,IF(Z112&gt;0,Z112,IF(AB112&gt;0,AB112,0))),IF(C112="peso_corporal",IF(ISNUMBER(E112),E112,0)+F112,F112)*(1+G112/30),IF(C112="peso_corporal",IF(ISNUMBER(E112),E112,0)+I112,I112)*(1+J112/30),IF(C112="peso_corporal",IF(ISNUMBER(E112),E112,0)+L112,L112)*(1+M112/30),IF(C112="peso_corporal",IF(ISNUMBER(E112),E112,0)+O112,O112)*(1+P112/30),IF(C112="peso_corporal",IF(ISNUMBER(E112),E112,0)+R112,R112)*(1+S112/30)),1)),"--")</f>
        <v>--</v>
      </c>
      <c r="V112" s="23" t="str">
        <f>IF(SUGERENCIAS!N263="SIN","Sin datos anteriores",IF(SUGERENCIAS!N263="SUBIR_F","^ SUBIR FUERTE | Kg:"&amp;ROUND(SUGERENCIAS!K263,1)&amp;" R:"&amp;ROUND(SUGERENCIAS!L263,0)&amp;" RIR:"&amp;ROUND(SUGERENCIAS!M263,0),IF(SUGERENCIAS!N263="SUBIR_E","^ SUBIR (Est.) | Kg:"&amp;ROUND(SUGERENCIAS!K263,1)&amp;" R:"&amp;ROUND(SUGERENCIAS!L263,0)&amp;" RIR:"&amp;ROUND(SUGERENCIAS!M263,0),IF(SUGERENCIAS!N263="SUBIR","^ SUBIR | Kg:"&amp;ROUND(SUGERENCIAS!K263,1)&amp;" R:"&amp;ROUND(SUGERENCIAS!L263,0)&amp;" RIR:"&amp;ROUND(SUGERENCIAS!M263,0),IF(SUGERENCIAS!N263="BAJAR","v BAJAR | Kg:"&amp;ROUND(SUGERENCIAS!K263,1)&amp;" R:"&amp;ROUND(SUGERENCIAS!L263,0)&amp;" RIR:"&amp;ROUND(SUGERENCIAS!M263,0),"= MANT | Kg:"&amp;ROUND(SUGERENCIAS!K263,1)&amp;" R:"&amp;ROUND(SUGERENCIAS!L263,0)&amp;" RIR:"&amp;ROUND(SUGERENCIAS!M263,0))))))</f>
        <v>Sin datos anteriores</v>
      </c>
      <c r="W112" s="69">
        <f>MAX(IF((G112&gt;0)*(IF(H112="",-1,H112)&gt;=1)*(IF(H112="",-1,H112)&lt;=3),IF(C112="peso_corporal",IF(ISNUMBER(E112),E112,0)+F112,F112)*G112*1000+F112,0),IF((J112&gt;0)*(IF(K112="",-1,K112)&gt;=1)*(IF(K112="",-1,K112)&lt;=3),IF(C112="peso_corporal",IF(ISNUMBER(E112),E112,0)+I112,I112)*J112*1000+I112,0),IF((M112&gt;0)*(IF(N112="",-1,N112)&gt;=1)*(IF(N112="",-1,N112)&lt;=3),IF(C112="peso_corporal",IF(ISNUMBER(E112),E112,0)+L112,L112)*M112*1000+L112,0),IF((P112&gt;0)*(IF(Q112="",-1,Q112)&gt;=1)*(IF(Q112="",-1,Q112)&lt;=3),IF(C112="peso_corporal",IF(ISNUMBER(E112),E112,0)+O112,O112)*P112*1000+O112,0),IF((S112&gt;0)*(IF(T112="",-1,T112)&gt;=1)*(IF(T112="",-1,T112)&lt;=3),IF(C112="peso_corporal",IF(ISNUMBER(E112),E112,0)+R112,R112)*S112*1000+R112,0))</f>
        <v>0</v>
      </c>
      <c r="X112" s="69">
        <f>IF(W112=0,0,IF(IF((S112&gt;0)*(IF(T112="",-1,T112)&gt;=1)*(IF(T112="",-1,T112)&lt;=3),IF(C112="peso_corporal",IF(ISNUMBER(E112),E112,0)+R112,R112)*S112*1000+R112,0)=W112,5,IF(IF((P112&gt;0)*(IF(Q112="",-1,Q112)&gt;=1)*(IF(Q112="",-1,Q112)&lt;=3),IF(C112="peso_corporal",IF(ISNUMBER(E112),E112,0)+O112,O112)*P112*1000+O112,0)=W112,4,IF(IF((M112&gt;0)*(IF(N112="",-1,N112)&gt;=1)*(IF(N112="",-1,N112)&lt;=3),IF(C112="peso_corporal",IF(ISNUMBER(E112),E112,0)+L112,L112)*M112*1000+L112,0)=W112,3,IF(IF((J112&gt;0)*(IF(K112="",-1,K112)&gt;=1)*(IF(K112="",-1,K112)&lt;=3),IF(C112="peso_corporal",IF(ISNUMBER(E112),E112,0)+I112,I112)*J112*1000+I112,0)=W112,2,IF(IF((G112&gt;0)*(IF(H112="",-1,H112)&gt;=1)*(IF(H112="",-1,H112)&lt;=3),IF(C112="peso_corporal",IF(ISNUMBER(E112),E112,0)+F112,F112)*G112*1000+F112,0)=W112,1,0))))))</f>
        <v>0</v>
      </c>
      <c r="Y112" s="69">
        <f>MAX(IF((G112&gt;0)*(IF(H112="",-1,H112)=0)*(1-(IF(H112="",-1,H112)&gt;=1)*(IF(H112="",-1,H112)&lt;=3)),IF(C112="peso_corporal",IF(ISNUMBER(E112),E112,0)+F112,F112)*G112*1000+F112,0),IF((J112&gt;0)*(IF(K112="",-1,K112)=0)*(1-(IF(K112="",-1,K112)&gt;=1)*(IF(K112="",-1,K112)&lt;=3)),IF(C112="peso_corporal",IF(ISNUMBER(E112),E112,0)+I112,I112)*J112*1000+I112,0),IF((M112&gt;0)*(IF(N112="",-1,N112)=0)*(1-(IF(N112="",-1,N112)&gt;=1)*(IF(N112="",-1,N112)&lt;=3)),IF(C112="peso_corporal",IF(ISNUMBER(E112),E112,0)+L112,L112)*M112*1000+L112,0),IF((P112&gt;0)*(IF(Q112="",-1,Q112)=0)*(1-(IF(Q112="",-1,Q112)&gt;=1)*(IF(Q112="",-1,Q112)&lt;=3)),IF(C112="peso_corporal",IF(ISNUMBER(E112),E112,0)+O112,O112)*P112*1000+O112,0),IF((S112&gt;0)*(IF(T112="",-1,T112)=0)*(1-(IF(T112="",-1,T112)&gt;=1)*(IF(T112="",-1,T112)&lt;=3)),IF(C112="peso_corporal",IF(ISNUMBER(E112),E112,0)+R112,R112)*S112*1000+R112,0))</f>
        <v>0</v>
      </c>
      <c r="Z112" s="69">
        <f>IF(Y112=0,0,IF(IF((S112&gt;0)*(IF(T112="",-1,T112)=0)*(1-(IF(T112="",-1,T112)&gt;=1)*(IF(T112="",-1,T112)&lt;=3)),IF(C112="peso_corporal",IF(ISNUMBER(E112),E112,0)+R112,R112)*S112*1000+R112,0)=Y112,5,IF(IF((P112&gt;0)*(IF(Q112="",-1,Q112)=0)*(1-(IF(Q112="",-1,Q112)&gt;=1)*(IF(Q112="",-1,Q112)&lt;=3)),IF(C112="peso_corporal",IF(ISNUMBER(E112),E112,0)+O112,O112)*P112*1000+O112,0)=Y112,4,IF(IF((M112&gt;0)*(IF(N112="",-1,N112)=0)*(1-(IF(N112="",-1,N112)&gt;=1)*(IF(N112="",-1,N112)&lt;=3)),IF(C112="peso_corporal",IF(ISNUMBER(E112),E112,0)+L112,L112)*M112*1000+L112,0)=Y112,3,IF(IF((J112&gt;0)*(IF(K112="",-1,K112)=0)*(1-(IF(K112="",-1,K112)&gt;=1)*(IF(K112="",-1,K112)&lt;=3)),IF(C112="peso_corporal",IF(ISNUMBER(E112),E112,0)+I112,I112)*J112*1000+I112,0)=Y112,2,IF(IF((G112&gt;0)*(IF(H112="",-1,H112)=0)*(1-(IF(H112="",-1,H112)&gt;=1)*(IF(H112="",-1,H112)&lt;=3)),IF(C112="peso_corporal",IF(ISNUMBER(E112),E112,0)+F112,F112)*G112*1000+F112,0)=Y112,1,0))))))</f>
        <v>0</v>
      </c>
      <c r="AA112" s="69">
        <f>MAX(IF((G112&gt;=6)*(1-(IF(H112="",-1,H112)&gt;=1)*(IF(H112="",-1,H112)&lt;=3))*(1-(IF(H112="",-1,H112)=0)),IF(C112="peso_corporal",IF(ISNUMBER(E112),E112,0)+F112,F112)*(30+G112)*100+F112,0),IF((J112&gt;=6)*(1-(IF(K112="",-1,K112)&gt;=1)*(IF(K112="",-1,K112)&lt;=3))*(1-(IF(K112="",-1,K112)=0)),IF(C112="peso_corporal",IF(ISNUMBER(E112),E112,0)+I112,I112)*(30+J112)*100+I112,0),IF((M112&gt;=6)*(1-(IF(N112="",-1,N112)&gt;=1)*(IF(N112="",-1,N112)&lt;=3))*(1-(IF(N112="",-1,N112)=0)),IF(C112="peso_corporal",IF(ISNUMBER(E112),E112,0)+L112,L112)*(30+M112)*100+L112,0),IF((P112&gt;=6)*(1-(IF(Q112="",-1,Q112)&gt;=1)*(IF(Q112="",-1,Q112)&lt;=3))*(1-(IF(Q112="",-1,Q112)=0)),IF(C112="peso_corporal",IF(ISNUMBER(E112),E112,0)+O112,O112)*(30+P112)*100+O112,0),IF((S112&gt;=6)*(1-(IF(T112="",-1,T112)&gt;=1)*(IF(T112="",-1,T112)&lt;=3))*(1-(IF(T112="",-1,T112)=0)),IF(C112="peso_corporal",IF(ISNUMBER(E112),E112,0)+R112,R112)*(30+S112)*100+R112,0))</f>
        <v>0</v>
      </c>
      <c r="AB112" s="69">
        <f>IF(AA112=0,0,IF(IF((S112&gt;=6)*(1-(IF(T112="",-1,T112)&gt;=1)*(IF(T112="",-1,T112)&lt;=3))*(1-(IF(T112="",-1,T112)=0)),IF(C112="peso_corporal",IF(ISNUMBER(E112),E112,0)+R112,R112)*(30+S112)*100+R112,0)=AA112,5,IF(IF((P112&gt;=6)*(1-(IF(Q112="",-1,Q112)&gt;=1)*(IF(Q112="",-1,Q112)&lt;=3))*(1-(IF(Q112="",-1,Q112)=0)),IF(C112="peso_corporal",IF(ISNUMBER(E112),E112,0)+O112,O112)*(30+P112)*100+O112,0)=AA112,4,IF(IF((M112&gt;=6)*(1-(IF(N112="",-1,N112)&gt;=1)*(IF(N112="",-1,N112)&lt;=3))*(1-(IF(N112="",-1,N112)=0)),IF(C112="peso_corporal",IF(ISNUMBER(E112),E112,0)+L112,L112)*(30+M112)*100+L112,0)=AA112,3,IF(IF((J112&gt;=6)*(1-(IF(K112="",-1,K112)&gt;=1)*(IF(K112="",-1,K112)&lt;=3))*(1-(IF(K112="",-1,K112)=0)),IF(C112="peso_corporal",IF(ISNUMBER(E112),E112,0)+I112,I112)*(30+J112)*100+I112,0)=AA112,2,IF(IF((G112&gt;=6)*(1-(IF(H112="",-1,H112)&gt;=1)*(IF(H112="",-1,H112)&lt;=3))*(1-(IF(H112="",-1,H112)=0)),IF(C112="peso_corporal",IF(ISNUMBER(E112),E112,0)+F112,F112)*(30+G112)*100+F112,0)=AA112,1,0))))))</f>
        <v>0</v>
      </c>
      <c r="AC112" s="69" t="str">
        <f>IF(X112&gt;0,"A"&amp;X112,IF(Z112&gt;0,"B"&amp;Z112,IF(AB112&gt;0,"C"&amp;AB112,"")))</f>
        <v/>
      </c>
    </row>
    <row r="113" spans="1:29" ht="15" customHeight="1">
      <c r="A113" s="88" t="s">
        <v>50</v>
      </c>
      <c r="B113" s="73"/>
      <c r="C113" s="73"/>
      <c r="D113" s="73"/>
      <c r="E113" s="73"/>
      <c r="F113" s="73"/>
      <c r="G113" s="73"/>
      <c r="H113" s="73"/>
      <c r="I113" s="73"/>
      <c r="J113" s="73"/>
      <c r="K113" s="73"/>
      <c r="L113" s="73"/>
      <c r="M113" s="73"/>
      <c r="N113" s="73"/>
      <c r="O113" s="73"/>
      <c r="P113" s="73"/>
      <c r="Q113" s="73"/>
      <c r="R113" s="73"/>
      <c r="S113" s="73"/>
      <c r="T113" s="73"/>
      <c r="U113" s="73"/>
      <c r="V113" s="73"/>
      <c r="W113" s="69"/>
      <c r="X113" s="69"/>
      <c r="Y113" s="69"/>
      <c r="Z113" s="69"/>
      <c r="AA113" s="69"/>
      <c r="AB113" s="69"/>
      <c r="AC113" s="69"/>
    </row>
    <row r="114" spans="1:29" ht="20.100000000000001" customHeight="1">
      <c r="A114" s="14" t="s">
        <v>65</v>
      </c>
      <c r="B114" s="15" t="s">
        <v>66</v>
      </c>
      <c r="C114" s="16" t="str">
        <f>IFERROR(INDEX(EJERCICIOS!$D$3:$D$75,MATCH(A114&amp;"|"&amp;B114,EJERCICIOS!$G$3:$G$75,0)),"--")</f>
        <v>--</v>
      </c>
      <c r="D114" s="17">
        <v>3</v>
      </c>
      <c r="E114" s="18">
        <f>IFERROR(LOOKUP(2,1/(MEDIDAS_Y_PESO!$B$3:$B$7&lt;&gt;""),MEDIDAS_Y_PESO!$B$3:$B$7),"--")</f>
        <v>80</v>
      </c>
      <c r="F114" s="19"/>
      <c r="G114" s="20"/>
      <c r="H114" s="21"/>
      <c r="I114" s="19"/>
      <c r="J114" s="20"/>
      <c r="K114" s="21"/>
      <c r="L114" s="19"/>
      <c r="M114" s="20"/>
      <c r="N114" s="21"/>
      <c r="O114" s="19"/>
      <c r="P114" s="20"/>
      <c r="Q114" s="21"/>
      <c r="R114" s="19"/>
      <c r="S114" s="20"/>
      <c r="T114" s="21"/>
      <c r="U114" s="22" t="str">
        <f>IFERROR(IF(IF(X114&gt;0,X114,IF(Z114&gt;0,Z114,IF(AB114&gt;0,AB114,0)))=0,"--",ROUND(CHOOSE(IF(X114&gt;0,X114,IF(Z114&gt;0,Z114,IF(AB114&gt;0,AB114,0))),IF(C114="peso_corporal",IF(ISNUMBER(E114),E114,0)+F114,F114)*(1+G114/30),IF(C114="peso_corporal",IF(ISNUMBER(E114),E114,0)+I114,I114)*(1+J114/30),IF(C114="peso_corporal",IF(ISNUMBER(E114),E114,0)+L114,L114)*(1+M114/30),IF(C114="peso_corporal",IF(ISNUMBER(E114),E114,0)+O114,O114)*(1+P114/30),IF(C114="peso_corporal",IF(ISNUMBER(E114),E114,0)+R114,R114)*(1+S114/30)),1)),"--")</f>
        <v>--</v>
      </c>
      <c r="V114" s="23" t="str">
        <f>IF(SUGERENCIAS!N264="SIN","Sin datos anteriores",IF(SUGERENCIAS!N264="SUBIR_F","^ SUBIR FUERTE | Kg:"&amp;ROUND(SUGERENCIAS!K264,1)&amp;" R:"&amp;ROUND(SUGERENCIAS!L264,0)&amp;" RIR:"&amp;ROUND(SUGERENCIAS!M264,0),IF(SUGERENCIAS!N264="SUBIR_E","^ SUBIR (Est.) | Kg:"&amp;ROUND(SUGERENCIAS!K264,1)&amp;" R:"&amp;ROUND(SUGERENCIAS!L264,0)&amp;" RIR:"&amp;ROUND(SUGERENCIAS!M264,0),IF(SUGERENCIAS!N264="SUBIR","^ SUBIR | Kg:"&amp;ROUND(SUGERENCIAS!K264,1)&amp;" R:"&amp;ROUND(SUGERENCIAS!L264,0)&amp;" RIR:"&amp;ROUND(SUGERENCIAS!M264,0),IF(SUGERENCIAS!N264="BAJAR","v BAJAR | Kg:"&amp;ROUND(SUGERENCIAS!K264,1)&amp;" R:"&amp;ROUND(SUGERENCIAS!L264,0)&amp;" RIR:"&amp;ROUND(SUGERENCIAS!M264,0),"= MANT | Kg:"&amp;ROUND(SUGERENCIAS!K264,1)&amp;" R:"&amp;ROUND(SUGERENCIAS!L264,0)&amp;" RIR:"&amp;ROUND(SUGERENCIAS!M264,0))))))</f>
        <v>Sin datos anteriores</v>
      </c>
      <c r="W114" s="69">
        <f>MAX(IF((G114&gt;0)*(IF(H114="",-1,H114)&gt;=1)*(IF(H114="",-1,H114)&lt;=3),IF(C114="peso_corporal",IF(ISNUMBER(E114),E114,0)+F114,F114)*G114*1000+F114,0),IF((J114&gt;0)*(IF(K114="",-1,K114)&gt;=1)*(IF(K114="",-1,K114)&lt;=3),IF(C114="peso_corporal",IF(ISNUMBER(E114),E114,0)+I114,I114)*J114*1000+I114,0),IF((M114&gt;0)*(IF(N114="",-1,N114)&gt;=1)*(IF(N114="",-1,N114)&lt;=3),IF(C114="peso_corporal",IF(ISNUMBER(E114),E114,0)+L114,L114)*M114*1000+L114,0),IF((P114&gt;0)*(IF(Q114="",-1,Q114)&gt;=1)*(IF(Q114="",-1,Q114)&lt;=3),IF(C114="peso_corporal",IF(ISNUMBER(E114),E114,0)+O114,O114)*P114*1000+O114,0),IF((S114&gt;0)*(IF(T114="",-1,T114)&gt;=1)*(IF(T114="",-1,T114)&lt;=3),IF(C114="peso_corporal",IF(ISNUMBER(E114),E114,0)+R114,R114)*S114*1000+R114,0))</f>
        <v>0</v>
      </c>
      <c r="X114" s="69">
        <f>IF(W114=0,0,IF(IF((S114&gt;0)*(IF(T114="",-1,T114)&gt;=1)*(IF(T114="",-1,T114)&lt;=3),IF(C114="peso_corporal",IF(ISNUMBER(E114),E114,0)+R114,R114)*S114*1000+R114,0)=W114,5,IF(IF((P114&gt;0)*(IF(Q114="",-1,Q114)&gt;=1)*(IF(Q114="",-1,Q114)&lt;=3),IF(C114="peso_corporal",IF(ISNUMBER(E114),E114,0)+O114,O114)*P114*1000+O114,0)=W114,4,IF(IF((M114&gt;0)*(IF(N114="",-1,N114)&gt;=1)*(IF(N114="",-1,N114)&lt;=3),IF(C114="peso_corporal",IF(ISNUMBER(E114),E114,0)+L114,L114)*M114*1000+L114,0)=W114,3,IF(IF((J114&gt;0)*(IF(K114="",-1,K114)&gt;=1)*(IF(K114="",-1,K114)&lt;=3),IF(C114="peso_corporal",IF(ISNUMBER(E114),E114,0)+I114,I114)*J114*1000+I114,0)=W114,2,IF(IF((G114&gt;0)*(IF(H114="",-1,H114)&gt;=1)*(IF(H114="",-1,H114)&lt;=3),IF(C114="peso_corporal",IF(ISNUMBER(E114),E114,0)+F114,F114)*G114*1000+F114,0)=W114,1,0))))))</f>
        <v>0</v>
      </c>
      <c r="Y114" s="69">
        <f>MAX(IF((G114&gt;0)*(IF(H114="",-1,H114)=0)*(1-(IF(H114="",-1,H114)&gt;=1)*(IF(H114="",-1,H114)&lt;=3)),IF(C114="peso_corporal",IF(ISNUMBER(E114),E114,0)+F114,F114)*G114*1000+F114,0),IF((J114&gt;0)*(IF(K114="",-1,K114)=0)*(1-(IF(K114="",-1,K114)&gt;=1)*(IF(K114="",-1,K114)&lt;=3)),IF(C114="peso_corporal",IF(ISNUMBER(E114),E114,0)+I114,I114)*J114*1000+I114,0),IF((M114&gt;0)*(IF(N114="",-1,N114)=0)*(1-(IF(N114="",-1,N114)&gt;=1)*(IF(N114="",-1,N114)&lt;=3)),IF(C114="peso_corporal",IF(ISNUMBER(E114),E114,0)+L114,L114)*M114*1000+L114,0),IF((P114&gt;0)*(IF(Q114="",-1,Q114)=0)*(1-(IF(Q114="",-1,Q114)&gt;=1)*(IF(Q114="",-1,Q114)&lt;=3)),IF(C114="peso_corporal",IF(ISNUMBER(E114),E114,0)+O114,O114)*P114*1000+O114,0),IF((S114&gt;0)*(IF(T114="",-1,T114)=0)*(1-(IF(T114="",-1,T114)&gt;=1)*(IF(T114="",-1,T114)&lt;=3)),IF(C114="peso_corporal",IF(ISNUMBER(E114),E114,0)+R114,R114)*S114*1000+R114,0))</f>
        <v>0</v>
      </c>
      <c r="Z114" s="69">
        <f>IF(Y114=0,0,IF(IF((S114&gt;0)*(IF(T114="",-1,T114)=0)*(1-(IF(T114="",-1,T114)&gt;=1)*(IF(T114="",-1,T114)&lt;=3)),IF(C114="peso_corporal",IF(ISNUMBER(E114),E114,0)+R114,R114)*S114*1000+R114,0)=Y114,5,IF(IF((P114&gt;0)*(IF(Q114="",-1,Q114)=0)*(1-(IF(Q114="",-1,Q114)&gt;=1)*(IF(Q114="",-1,Q114)&lt;=3)),IF(C114="peso_corporal",IF(ISNUMBER(E114),E114,0)+O114,O114)*P114*1000+O114,0)=Y114,4,IF(IF((M114&gt;0)*(IF(N114="",-1,N114)=0)*(1-(IF(N114="",-1,N114)&gt;=1)*(IF(N114="",-1,N114)&lt;=3)),IF(C114="peso_corporal",IF(ISNUMBER(E114),E114,0)+L114,L114)*M114*1000+L114,0)=Y114,3,IF(IF((J114&gt;0)*(IF(K114="",-1,K114)=0)*(1-(IF(K114="",-1,K114)&gt;=1)*(IF(K114="",-1,K114)&lt;=3)),IF(C114="peso_corporal",IF(ISNUMBER(E114),E114,0)+I114,I114)*J114*1000+I114,0)=Y114,2,IF(IF((G114&gt;0)*(IF(H114="",-1,H114)=0)*(1-(IF(H114="",-1,H114)&gt;=1)*(IF(H114="",-1,H114)&lt;=3)),IF(C114="peso_corporal",IF(ISNUMBER(E114),E114,0)+F114,F114)*G114*1000+F114,0)=Y114,1,0))))))</f>
        <v>0</v>
      </c>
      <c r="AA114" s="69">
        <f>MAX(IF((G114&gt;=6)*(1-(IF(H114="",-1,H114)&gt;=1)*(IF(H114="",-1,H114)&lt;=3))*(1-(IF(H114="",-1,H114)=0)),IF(C114="peso_corporal",IF(ISNUMBER(E114),E114,0)+F114,F114)*(30+G114)*100+F114,0),IF((J114&gt;=6)*(1-(IF(K114="",-1,K114)&gt;=1)*(IF(K114="",-1,K114)&lt;=3))*(1-(IF(K114="",-1,K114)=0)),IF(C114="peso_corporal",IF(ISNUMBER(E114),E114,0)+I114,I114)*(30+J114)*100+I114,0),IF((M114&gt;=6)*(1-(IF(N114="",-1,N114)&gt;=1)*(IF(N114="",-1,N114)&lt;=3))*(1-(IF(N114="",-1,N114)=0)),IF(C114="peso_corporal",IF(ISNUMBER(E114),E114,0)+L114,L114)*(30+M114)*100+L114,0),IF((P114&gt;=6)*(1-(IF(Q114="",-1,Q114)&gt;=1)*(IF(Q114="",-1,Q114)&lt;=3))*(1-(IF(Q114="",-1,Q114)=0)),IF(C114="peso_corporal",IF(ISNUMBER(E114),E114,0)+O114,O114)*(30+P114)*100+O114,0),IF((S114&gt;=6)*(1-(IF(T114="",-1,T114)&gt;=1)*(IF(T114="",-1,T114)&lt;=3))*(1-(IF(T114="",-1,T114)=0)),IF(C114="peso_corporal",IF(ISNUMBER(E114),E114,0)+R114,R114)*(30+S114)*100+R114,0))</f>
        <v>0</v>
      </c>
      <c r="AB114" s="69">
        <f>IF(AA114=0,0,IF(IF((S114&gt;=6)*(1-(IF(T114="",-1,T114)&gt;=1)*(IF(T114="",-1,T114)&lt;=3))*(1-(IF(T114="",-1,T114)=0)),IF(C114="peso_corporal",IF(ISNUMBER(E114),E114,0)+R114,R114)*(30+S114)*100+R114,0)=AA114,5,IF(IF((P114&gt;=6)*(1-(IF(Q114="",-1,Q114)&gt;=1)*(IF(Q114="",-1,Q114)&lt;=3))*(1-(IF(Q114="",-1,Q114)=0)),IF(C114="peso_corporal",IF(ISNUMBER(E114),E114,0)+O114,O114)*(30+P114)*100+O114,0)=AA114,4,IF(IF((M114&gt;=6)*(1-(IF(N114="",-1,N114)&gt;=1)*(IF(N114="",-1,N114)&lt;=3))*(1-(IF(N114="",-1,N114)=0)),IF(C114="peso_corporal",IF(ISNUMBER(E114),E114,0)+L114,L114)*(30+M114)*100+L114,0)=AA114,3,IF(IF((J114&gt;=6)*(1-(IF(K114="",-1,K114)&gt;=1)*(IF(K114="",-1,K114)&lt;=3))*(1-(IF(K114="",-1,K114)=0)),IF(C114="peso_corporal",IF(ISNUMBER(E114),E114,0)+I114,I114)*(30+J114)*100+I114,0)=AA114,2,IF(IF((G114&gt;=6)*(1-(IF(H114="",-1,H114)&gt;=1)*(IF(H114="",-1,H114)&lt;=3))*(1-(IF(H114="",-1,H114)=0)),IF(C114="peso_corporal",IF(ISNUMBER(E114),E114,0)+F114,F114)*(30+G114)*100+F114,0)=AA114,1,0))))))</f>
        <v>0</v>
      </c>
      <c r="AC114" s="69" t="str">
        <f>IF(X114&gt;0,"A"&amp;X114,IF(Z114&gt;0,"B"&amp;Z114,IF(AB114&gt;0,"C"&amp;AB114,"")))</f>
        <v/>
      </c>
    </row>
    <row r="115" spans="1:29" ht="15" customHeight="1">
      <c r="A115" s="81" t="s">
        <v>53</v>
      </c>
      <c r="B115" s="73"/>
      <c r="C115" s="73"/>
      <c r="D115" s="73"/>
      <c r="E115" s="73"/>
      <c r="F115" s="73"/>
      <c r="G115" s="73"/>
      <c r="H115" s="73"/>
      <c r="I115" s="73"/>
      <c r="J115" s="73"/>
      <c r="K115" s="73"/>
      <c r="L115" s="73"/>
      <c r="M115" s="73"/>
      <c r="N115" s="73"/>
      <c r="O115" s="73"/>
      <c r="P115" s="73"/>
      <c r="Q115" s="73"/>
      <c r="R115" s="73"/>
      <c r="S115" s="73"/>
      <c r="T115" s="73"/>
      <c r="U115" s="73"/>
      <c r="V115" s="73"/>
      <c r="W115" s="69"/>
      <c r="X115" s="69"/>
      <c r="Y115" s="69"/>
      <c r="Z115" s="69"/>
      <c r="AA115" s="69"/>
      <c r="AB115" s="69"/>
      <c r="AC115" s="69"/>
    </row>
    <row r="116" spans="1:29" ht="20.100000000000001" customHeight="1">
      <c r="A116" s="14" t="s">
        <v>54</v>
      </c>
      <c r="B116" s="15" t="s">
        <v>67</v>
      </c>
      <c r="C116" s="16" t="str">
        <f>IFERROR(INDEX(EJERCICIOS!$D$3:$D$75,MATCH(A116&amp;"|"&amp;B116,EJERCICIOS!$G$3:$G$75,0)),"--")</f>
        <v>mancuerna</v>
      </c>
      <c r="D116" s="17">
        <v>3</v>
      </c>
      <c r="E116" s="18">
        <f>IFERROR(LOOKUP(2,1/(MEDIDAS_Y_PESO!$B$3:$B$7&lt;&gt;""),MEDIDAS_Y_PESO!$B$3:$B$7),"--")</f>
        <v>80</v>
      </c>
      <c r="F116" s="19"/>
      <c r="G116" s="20"/>
      <c r="H116" s="21"/>
      <c r="I116" s="19"/>
      <c r="J116" s="20"/>
      <c r="K116" s="21"/>
      <c r="L116" s="19"/>
      <c r="M116" s="20"/>
      <c r="N116" s="21"/>
      <c r="O116" s="19"/>
      <c r="P116" s="20"/>
      <c r="Q116" s="21"/>
      <c r="R116" s="19"/>
      <c r="S116" s="20"/>
      <c r="T116" s="21"/>
      <c r="U116" s="22" t="str">
        <f>IFERROR(IF(IF(X116&gt;0,X116,IF(Z116&gt;0,Z116,IF(AB116&gt;0,AB116,0)))=0,"--",ROUND(CHOOSE(IF(X116&gt;0,X116,IF(Z116&gt;0,Z116,IF(AB116&gt;0,AB116,0))),IF(C116="peso_corporal",IF(ISNUMBER(E116),E116,0)+F116,F116)*(1+G116/30),IF(C116="peso_corporal",IF(ISNUMBER(E116),E116,0)+I116,I116)*(1+J116/30),IF(C116="peso_corporal",IF(ISNUMBER(E116),E116,0)+L116,L116)*(1+M116/30),IF(C116="peso_corporal",IF(ISNUMBER(E116),E116,0)+O116,O116)*(1+P116/30),IF(C116="peso_corporal",IF(ISNUMBER(E116),E116,0)+R116,R116)*(1+S116/30)),1)),"--")</f>
        <v>--</v>
      </c>
      <c r="V116" s="23" t="str">
        <f>IF(SUGERENCIAS!N265="SIN","Sin datos anteriores",IF(SUGERENCIAS!N265="SUBIR_F","^ SUBIR FUERTE | Kg:"&amp;ROUND(SUGERENCIAS!K265,1)&amp;" R:"&amp;ROUND(SUGERENCIAS!L265,0)&amp;" RIR:"&amp;ROUND(SUGERENCIAS!M265,0),IF(SUGERENCIAS!N265="SUBIR_E","^ SUBIR (Est.) | Kg:"&amp;ROUND(SUGERENCIAS!K265,1)&amp;" R:"&amp;ROUND(SUGERENCIAS!L265,0)&amp;" RIR:"&amp;ROUND(SUGERENCIAS!M265,0),IF(SUGERENCIAS!N265="SUBIR","^ SUBIR | Kg:"&amp;ROUND(SUGERENCIAS!K265,1)&amp;" R:"&amp;ROUND(SUGERENCIAS!L265,0)&amp;" RIR:"&amp;ROUND(SUGERENCIAS!M265,0),IF(SUGERENCIAS!N265="BAJAR","v BAJAR | Kg:"&amp;ROUND(SUGERENCIAS!K265,1)&amp;" R:"&amp;ROUND(SUGERENCIAS!L265,0)&amp;" RIR:"&amp;ROUND(SUGERENCIAS!M265,0),"= MANT | Kg:"&amp;ROUND(SUGERENCIAS!K265,1)&amp;" R:"&amp;ROUND(SUGERENCIAS!L265,0)&amp;" RIR:"&amp;ROUND(SUGERENCIAS!M265,0))))))</f>
        <v>Sin datos anteriores</v>
      </c>
      <c r="W116" s="69">
        <f>MAX(IF((G116&gt;0)*(IF(H116="",-1,H116)&gt;=1)*(IF(H116="",-1,H116)&lt;=3),IF(C116="peso_corporal",IF(ISNUMBER(E116),E116,0)+F116,F116)*G116*1000+F116,0),IF((J116&gt;0)*(IF(K116="",-1,K116)&gt;=1)*(IF(K116="",-1,K116)&lt;=3),IF(C116="peso_corporal",IF(ISNUMBER(E116),E116,0)+I116,I116)*J116*1000+I116,0),IF((M116&gt;0)*(IF(N116="",-1,N116)&gt;=1)*(IF(N116="",-1,N116)&lt;=3),IF(C116="peso_corporal",IF(ISNUMBER(E116),E116,0)+L116,L116)*M116*1000+L116,0),IF((P116&gt;0)*(IF(Q116="",-1,Q116)&gt;=1)*(IF(Q116="",-1,Q116)&lt;=3),IF(C116="peso_corporal",IF(ISNUMBER(E116),E116,0)+O116,O116)*P116*1000+O116,0),IF((S116&gt;0)*(IF(T116="",-1,T116)&gt;=1)*(IF(T116="",-1,T116)&lt;=3),IF(C116="peso_corporal",IF(ISNUMBER(E116),E116,0)+R116,R116)*S116*1000+R116,0))</f>
        <v>0</v>
      </c>
      <c r="X116" s="69">
        <f>IF(W116=0,0,IF(IF((S116&gt;0)*(IF(T116="",-1,T116)&gt;=1)*(IF(T116="",-1,T116)&lt;=3),IF(C116="peso_corporal",IF(ISNUMBER(E116),E116,0)+R116,R116)*S116*1000+R116,0)=W116,5,IF(IF((P116&gt;0)*(IF(Q116="",-1,Q116)&gt;=1)*(IF(Q116="",-1,Q116)&lt;=3),IF(C116="peso_corporal",IF(ISNUMBER(E116),E116,0)+O116,O116)*P116*1000+O116,0)=W116,4,IF(IF((M116&gt;0)*(IF(N116="",-1,N116)&gt;=1)*(IF(N116="",-1,N116)&lt;=3),IF(C116="peso_corporal",IF(ISNUMBER(E116),E116,0)+L116,L116)*M116*1000+L116,0)=W116,3,IF(IF((J116&gt;0)*(IF(K116="",-1,K116)&gt;=1)*(IF(K116="",-1,K116)&lt;=3),IF(C116="peso_corporal",IF(ISNUMBER(E116),E116,0)+I116,I116)*J116*1000+I116,0)=W116,2,IF(IF((G116&gt;0)*(IF(H116="",-1,H116)&gt;=1)*(IF(H116="",-1,H116)&lt;=3),IF(C116="peso_corporal",IF(ISNUMBER(E116),E116,0)+F116,F116)*G116*1000+F116,0)=W116,1,0))))))</f>
        <v>0</v>
      </c>
      <c r="Y116" s="69">
        <f>MAX(IF((G116&gt;0)*(IF(H116="",-1,H116)=0)*(1-(IF(H116="",-1,H116)&gt;=1)*(IF(H116="",-1,H116)&lt;=3)),IF(C116="peso_corporal",IF(ISNUMBER(E116),E116,0)+F116,F116)*G116*1000+F116,0),IF((J116&gt;0)*(IF(K116="",-1,K116)=0)*(1-(IF(K116="",-1,K116)&gt;=1)*(IF(K116="",-1,K116)&lt;=3)),IF(C116="peso_corporal",IF(ISNUMBER(E116),E116,0)+I116,I116)*J116*1000+I116,0),IF((M116&gt;0)*(IF(N116="",-1,N116)=0)*(1-(IF(N116="",-1,N116)&gt;=1)*(IF(N116="",-1,N116)&lt;=3)),IF(C116="peso_corporal",IF(ISNUMBER(E116),E116,0)+L116,L116)*M116*1000+L116,0),IF((P116&gt;0)*(IF(Q116="",-1,Q116)=0)*(1-(IF(Q116="",-1,Q116)&gt;=1)*(IF(Q116="",-1,Q116)&lt;=3)),IF(C116="peso_corporal",IF(ISNUMBER(E116),E116,0)+O116,O116)*P116*1000+O116,0),IF((S116&gt;0)*(IF(T116="",-1,T116)=0)*(1-(IF(T116="",-1,T116)&gt;=1)*(IF(T116="",-1,T116)&lt;=3)),IF(C116="peso_corporal",IF(ISNUMBER(E116),E116,0)+R116,R116)*S116*1000+R116,0))</f>
        <v>0</v>
      </c>
      <c r="Z116" s="69">
        <f>IF(Y116=0,0,IF(IF((S116&gt;0)*(IF(T116="",-1,T116)=0)*(1-(IF(T116="",-1,T116)&gt;=1)*(IF(T116="",-1,T116)&lt;=3)),IF(C116="peso_corporal",IF(ISNUMBER(E116),E116,0)+R116,R116)*S116*1000+R116,0)=Y116,5,IF(IF((P116&gt;0)*(IF(Q116="",-1,Q116)=0)*(1-(IF(Q116="",-1,Q116)&gt;=1)*(IF(Q116="",-1,Q116)&lt;=3)),IF(C116="peso_corporal",IF(ISNUMBER(E116),E116,0)+O116,O116)*P116*1000+O116,0)=Y116,4,IF(IF((M116&gt;0)*(IF(N116="",-1,N116)=0)*(1-(IF(N116="",-1,N116)&gt;=1)*(IF(N116="",-1,N116)&lt;=3)),IF(C116="peso_corporal",IF(ISNUMBER(E116),E116,0)+L116,L116)*M116*1000+L116,0)=Y116,3,IF(IF((J116&gt;0)*(IF(K116="",-1,K116)=0)*(1-(IF(K116="",-1,K116)&gt;=1)*(IF(K116="",-1,K116)&lt;=3)),IF(C116="peso_corporal",IF(ISNUMBER(E116),E116,0)+I116,I116)*J116*1000+I116,0)=Y116,2,IF(IF((G116&gt;0)*(IF(H116="",-1,H116)=0)*(1-(IF(H116="",-1,H116)&gt;=1)*(IF(H116="",-1,H116)&lt;=3)),IF(C116="peso_corporal",IF(ISNUMBER(E116),E116,0)+F116,F116)*G116*1000+F116,0)=Y116,1,0))))))</f>
        <v>0</v>
      </c>
      <c r="AA116" s="69">
        <f>MAX(IF((G116&gt;=6)*(1-(IF(H116="",-1,H116)&gt;=1)*(IF(H116="",-1,H116)&lt;=3))*(1-(IF(H116="",-1,H116)=0)),IF(C116="peso_corporal",IF(ISNUMBER(E116),E116,0)+F116,F116)*(30+G116)*100+F116,0),IF((J116&gt;=6)*(1-(IF(K116="",-1,K116)&gt;=1)*(IF(K116="",-1,K116)&lt;=3))*(1-(IF(K116="",-1,K116)=0)),IF(C116="peso_corporal",IF(ISNUMBER(E116),E116,0)+I116,I116)*(30+J116)*100+I116,0),IF((M116&gt;=6)*(1-(IF(N116="",-1,N116)&gt;=1)*(IF(N116="",-1,N116)&lt;=3))*(1-(IF(N116="",-1,N116)=0)),IF(C116="peso_corporal",IF(ISNUMBER(E116),E116,0)+L116,L116)*(30+M116)*100+L116,0),IF((P116&gt;=6)*(1-(IF(Q116="",-1,Q116)&gt;=1)*(IF(Q116="",-1,Q116)&lt;=3))*(1-(IF(Q116="",-1,Q116)=0)),IF(C116="peso_corporal",IF(ISNUMBER(E116),E116,0)+O116,O116)*(30+P116)*100+O116,0),IF((S116&gt;=6)*(1-(IF(T116="",-1,T116)&gt;=1)*(IF(T116="",-1,T116)&lt;=3))*(1-(IF(T116="",-1,T116)=0)),IF(C116="peso_corporal",IF(ISNUMBER(E116),E116,0)+R116,R116)*(30+S116)*100+R116,0))</f>
        <v>0</v>
      </c>
      <c r="AB116" s="69">
        <f>IF(AA116=0,0,IF(IF((S116&gt;=6)*(1-(IF(T116="",-1,T116)&gt;=1)*(IF(T116="",-1,T116)&lt;=3))*(1-(IF(T116="",-1,T116)=0)),IF(C116="peso_corporal",IF(ISNUMBER(E116),E116,0)+R116,R116)*(30+S116)*100+R116,0)=AA116,5,IF(IF((P116&gt;=6)*(1-(IF(Q116="",-1,Q116)&gt;=1)*(IF(Q116="",-1,Q116)&lt;=3))*(1-(IF(Q116="",-1,Q116)=0)),IF(C116="peso_corporal",IF(ISNUMBER(E116),E116,0)+O116,O116)*(30+P116)*100+O116,0)=AA116,4,IF(IF((M116&gt;=6)*(1-(IF(N116="",-1,N116)&gt;=1)*(IF(N116="",-1,N116)&lt;=3))*(1-(IF(N116="",-1,N116)=0)),IF(C116="peso_corporal",IF(ISNUMBER(E116),E116,0)+L116,L116)*(30+M116)*100+L116,0)=AA116,3,IF(IF((J116&gt;=6)*(1-(IF(K116="",-1,K116)&gt;=1)*(IF(K116="",-1,K116)&lt;=3))*(1-(IF(K116="",-1,K116)=0)),IF(C116="peso_corporal",IF(ISNUMBER(E116),E116,0)+I116,I116)*(30+J116)*100+I116,0)=AA116,2,IF(IF((G116&gt;=6)*(1-(IF(H116="",-1,H116)&gt;=1)*(IF(H116="",-1,H116)&lt;=3))*(1-(IF(H116="",-1,H116)=0)),IF(C116="peso_corporal",IF(ISNUMBER(E116),E116,0)+F116,F116)*(30+G116)*100+F116,0)=AA116,1,0))))))</f>
        <v>0</v>
      </c>
      <c r="AC116" s="69" t="str">
        <f>IF(X116&gt;0,"A"&amp;X116,IF(Z116&gt;0,"B"&amp;Z116,IF(AB116&gt;0,"C"&amp;AB116,"")))</f>
        <v/>
      </c>
    </row>
    <row r="117" spans="1:29" ht="15" customHeight="1">
      <c r="A117" s="72" t="s">
        <v>56</v>
      </c>
      <c r="B117" s="73"/>
      <c r="C117" s="73"/>
      <c r="D117" s="73"/>
      <c r="E117" s="73"/>
      <c r="F117" s="73"/>
      <c r="G117" s="73"/>
      <c r="H117" s="73"/>
      <c r="I117" s="73"/>
      <c r="J117" s="73"/>
      <c r="K117" s="73"/>
      <c r="L117" s="73"/>
      <c r="M117" s="73"/>
      <c r="N117" s="73"/>
      <c r="O117" s="73"/>
      <c r="P117" s="73"/>
      <c r="Q117" s="73"/>
      <c r="R117" s="73"/>
      <c r="S117" s="73"/>
      <c r="T117" s="73"/>
      <c r="U117" s="73"/>
      <c r="V117" s="73"/>
      <c r="W117" s="69"/>
      <c r="X117" s="69"/>
      <c r="Y117" s="69"/>
      <c r="Z117" s="69"/>
      <c r="AA117" s="69"/>
      <c r="AB117" s="69"/>
      <c r="AC117" s="69"/>
    </row>
    <row r="118" spans="1:29" ht="20.100000000000001" customHeight="1">
      <c r="A118" s="14" t="s">
        <v>57</v>
      </c>
      <c r="B118" s="15" t="s">
        <v>58</v>
      </c>
      <c r="C118" s="16" t="str">
        <f>IFERROR(INDEX(EJERCICIOS!$D$3:$D$75,MATCH(A118&amp;"|"&amp;B118,EJERCICIOS!$G$3:$G$75,0)),"--")</f>
        <v>polea</v>
      </c>
      <c r="D118" s="17">
        <v>3</v>
      </c>
      <c r="E118" s="18">
        <f>IFERROR(LOOKUP(2,1/(MEDIDAS_Y_PESO!$B$3:$B$7&lt;&gt;""),MEDIDAS_Y_PESO!$B$3:$B$7),"--")</f>
        <v>80</v>
      </c>
      <c r="F118" s="19"/>
      <c r="G118" s="20"/>
      <c r="H118" s="21"/>
      <c r="I118" s="19"/>
      <c r="J118" s="20"/>
      <c r="K118" s="21"/>
      <c r="L118" s="19"/>
      <c r="M118" s="20"/>
      <c r="N118" s="21"/>
      <c r="O118" s="19"/>
      <c r="P118" s="20"/>
      <c r="Q118" s="21"/>
      <c r="R118" s="19"/>
      <c r="S118" s="20"/>
      <c r="T118" s="21"/>
      <c r="U118" s="22" t="str">
        <f>IFERROR(IF(IF(X118&gt;0,X118,IF(Z118&gt;0,Z118,IF(AB118&gt;0,AB118,0)))=0,"--",ROUND(CHOOSE(IF(X118&gt;0,X118,IF(Z118&gt;0,Z118,IF(AB118&gt;0,AB118,0))),IF(C118="peso_corporal",IF(ISNUMBER(E118),E118,0)+F118,F118)*(1+G118/30),IF(C118="peso_corporal",IF(ISNUMBER(E118),E118,0)+I118,I118)*(1+J118/30),IF(C118="peso_corporal",IF(ISNUMBER(E118),E118,0)+L118,L118)*(1+M118/30),IF(C118="peso_corporal",IF(ISNUMBER(E118),E118,0)+O118,O118)*(1+P118/30),IF(C118="peso_corporal",IF(ISNUMBER(E118),E118,0)+R118,R118)*(1+S118/30)),1)),"--")</f>
        <v>--</v>
      </c>
      <c r="V118" s="23" t="str">
        <f>IF(SUGERENCIAS!N266="SIN","Sin datos anteriores",IF(SUGERENCIAS!N266="SUBIR_F","^ SUBIR FUERTE | Kg:"&amp;ROUND(SUGERENCIAS!K266,1)&amp;" R:"&amp;ROUND(SUGERENCIAS!L266,0)&amp;" RIR:"&amp;ROUND(SUGERENCIAS!M266,0),IF(SUGERENCIAS!N266="SUBIR_E","^ SUBIR (Est.) | Kg:"&amp;ROUND(SUGERENCIAS!K266,1)&amp;" R:"&amp;ROUND(SUGERENCIAS!L266,0)&amp;" RIR:"&amp;ROUND(SUGERENCIAS!M266,0),IF(SUGERENCIAS!N266="SUBIR","^ SUBIR | Kg:"&amp;ROUND(SUGERENCIAS!K266,1)&amp;" R:"&amp;ROUND(SUGERENCIAS!L266,0)&amp;" RIR:"&amp;ROUND(SUGERENCIAS!M266,0),IF(SUGERENCIAS!N266="BAJAR","v BAJAR | Kg:"&amp;ROUND(SUGERENCIAS!K266,1)&amp;" R:"&amp;ROUND(SUGERENCIAS!L266,0)&amp;" RIR:"&amp;ROUND(SUGERENCIAS!M266,0),"= MANT | Kg:"&amp;ROUND(SUGERENCIAS!K266,1)&amp;" R:"&amp;ROUND(SUGERENCIAS!L266,0)&amp;" RIR:"&amp;ROUND(SUGERENCIAS!M266,0))))))</f>
        <v>Sin datos anteriores</v>
      </c>
      <c r="W118" s="69">
        <f>MAX(IF((G118&gt;0)*(IF(H118="",-1,H118)&gt;=1)*(IF(H118="",-1,H118)&lt;=3),IF(C118="peso_corporal",IF(ISNUMBER(E118),E118,0)+F118,F118)*G118*1000+F118,0),IF((J118&gt;0)*(IF(K118="",-1,K118)&gt;=1)*(IF(K118="",-1,K118)&lt;=3),IF(C118="peso_corporal",IF(ISNUMBER(E118),E118,0)+I118,I118)*J118*1000+I118,0),IF((M118&gt;0)*(IF(N118="",-1,N118)&gt;=1)*(IF(N118="",-1,N118)&lt;=3),IF(C118="peso_corporal",IF(ISNUMBER(E118),E118,0)+L118,L118)*M118*1000+L118,0),IF((P118&gt;0)*(IF(Q118="",-1,Q118)&gt;=1)*(IF(Q118="",-1,Q118)&lt;=3),IF(C118="peso_corporal",IF(ISNUMBER(E118),E118,0)+O118,O118)*P118*1000+O118,0),IF((S118&gt;0)*(IF(T118="",-1,T118)&gt;=1)*(IF(T118="",-1,T118)&lt;=3),IF(C118="peso_corporal",IF(ISNUMBER(E118),E118,0)+R118,R118)*S118*1000+R118,0))</f>
        <v>0</v>
      </c>
      <c r="X118" s="69">
        <f>IF(W118=0,0,IF(IF((S118&gt;0)*(IF(T118="",-1,T118)&gt;=1)*(IF(T118="",-1,T118)&lt;=3),IF(C118="peso_corporal",IF(ISNUMBER(E118),E118,0)+R118,R118)*S118*1000+R118,0)=W118,5,IF(IF((P118&gt;0)*(IF(Q118="",-1,Q118)&gt;=1)*(IF(Q118="",-1,Q118)&lt;=3),IF(C118="peso_corporal",IF(ISNUMBER(E118),E118,0)+O118,O118)*P118*1000+O118,0)=W118,4,IF(IF((M118&gt;0)*(IF(N118="",-1,N118)&gt;=1)*(IF(N118="",-1,N118)&lt;=3),IF(C118="peso_corporal",IF(ISNUMBER(E118),E118,0)+L118,L118)*M118*1000+L118,0)=W118,3,IF(IF((J118&gt;0)*(IF(K118="",-1,K118)&gt;=1)*(IF(K118="",-1,K118)&lt;=3),IF(C118="peso_corporal",IF(ISNUMBER(E118),E118,0)+I118,I118)*J118*1000+I118,0)=W118,2,IF(IF((G118&gt;0)*(IF(H118="",-1,H118)&gt;=1)*(IF(H118="",-1,H118)&lt;=3),IF(C118="peso_corporal",IF(ISNUMBER(E118),E118,0)+F118,F118)*G118*1000+F118,0)=W118,1,0))))))</f>
        <v>0</v>
      </c>
      <c r="Y118" s="69">
        <f>MAX(IF((G118&gt;0)*(IF(H118="",-1,H118)=0)*(1-(IF(H118="",-1,H118)&gt;=1)*(IF(H118="",-1,H118)&lt;=3)),IF(C118="peso_corporal",IF(ISNUMBER(E118),E118,0)+F118,F118)*G118*1000+F118,0),IF((J118&gt;0)*(IF(K118="",-1,K118)=0)*(1-(IF(K118="",-1,K118)&gt;=1)*(IF(K118="",-1,K118)&lt;=3)),IF(C118="peso_corporal",IF(ISNUMBER(E118),E118,0)+I118,I118)*J118*1000+I118,0),IF((M118&gt;0)*(IF(N118="",-1,N118)=0)*(1-(IF(N118="",-1,N118)&gt;=1)*(IF(N118="",-1,N118)&lt;=3)),IF(C118="peso_corporal",IF(ISNUMBER(E118),E118,0)+L118,L118)*M118*1000+L118,0),IF((P118&gt;0)*(IF(Q118="",-1,Q118)=0)*(1-(IF(Q118="",-1,Q118)&gt;=1)*(IF(Q118="",-1,Q118)&lt;=3)),IF(C118="peso_corporal",IF(ISNUMBER(E118),E118,0)+O118,O118)*P118*1000+O118,0),IF((S118&gt;0)*(IF(T118="",-1,T118)=0)*(1-(IF(T118="",-1,T118)&gt;=1)*(IF(T118="",-1,T118)&lt;=3)),IF(C118="peso_corporal",IF(ISNUMBER(E118),E118,0)+R118,R118)*S118*1000+R118,0))</f>
        <v>0</v>
      </c>
      <c r="Z118" s="69">
        <f>IF(Y118=0,0,IF(IF((S118&gt;0)*(IF(T118="",-1,T118)=0)*(1-(IF(T118="",-1,T118)&gt;=1)*(IF(T118="",-1,T118)&lt;=3)),IF(C118="peso_corporal",IF(ISNUMBER(E118),E118,0)+R118,R118)*S118*1000+R118,0)=Y118,5,IF(IF((P118&gt;0)*(IF(Q118="",-1,Q118)=0)*(1-(IF(Q118="",-1,Q118)&gt;=1)*(IF(Q118="",-1,Q118)&lt;=3)),IF(C118="peso_corporal",IF(ISNUMBER(E118),E118,0)+O118,O118)*P118*1000+O118,0)=Y118,4,IF(IF((M118&gt;0)*(IF(N118="",-1,N118)=0)*(1-(IF(N118="",-1,N118)&gt;=1)*(IF(N118="",-1,N118)&lt;=3)),IF(C118="peso_corporal",IF(ISNUMBER(E118),E118,0)+L118,L118)*M118*1000+L118,0)=Y118,3,IF(IF((J118&gt;0)*(IF(K118="",-1,K118)=0)*(1-(IF(K118="",-1,K118)&gt;=1)*(IF(K118="",-1,K118)&lt;=3)),IF(C118="peso_corporal",IF(ISNUMBER(E118),E118,0)+I118,I118)*J118*1000+I118,0)=Y118,2,IF(IF((G118&gt;0)*(IF(H118="",-1,H118)=0)*(1-(IF(H118="",-1,H118)&gt;=1)*(IF(H118="",-1,H118)&lt;=3)),IF(C118="peso_corporal",IF(ISNUMBER(E118),E118,0)+F118,F118)*G118*1000+F118,0)=Y118,1,0))))))</f>
        <v>0</v>
      </c>
      <c r="AA118" s="69">
        <f>MAX(IF((G118&gt;=6)*(1-(IF(H118="",-1,H118)&gt;=1)*(IF(H118="",-1,H118)&lt;=3))*(1-(IF(H118="",-1,H118)=0)),IF(C118="peso_corporal",IF(ISNUMBER(E118),E118,0)+F118,F118)*(30+G118)*100+F118,0),IF((J118&gt;=6)*(1-(IF(K118="",-1,K118)&gt;=1)*(IF(K118="",-1,K118)&lt;=3))*(1-(IF(K118="",-1,K118)=0)),IF(C118="peso_corporal",IF(ISNUMBER(E118),E118,0)+I118,I118)*(30+J118)*100+I118,0),IF((M118&gt;=6)*(1-(IF(N118="",-1,N118)&gt;=1)*(IF(N118="",-1,N118)&lt;=3))*(1-(IF(N118="",-1,N118)=0)),IF(C118="peso_corporal",IF(ISNUMBER(E118),E118,0)+L118,L118)*(30+M118)*100+L118,0),IF((P118&gt;=6)*(1-(IF(Q118="",-1,Q118)&gt;=1)*(IF(Q118="",-1,Q118)&lt;=3))*(1-(IF(Q118="",-1,Q118)=0)),IF(C118="peso_corporal",IF(ISNUMBER(E118),E118,0)+O118,O118)*(30+P118)*100+O118,0),IF((S118&gt;=6)*(1-(IF(T118="",-1,T118)&gt;=1)*(IF(T118="",-1,T118)&lt;=3))*(1-(IF(T118="",-1,T118)=0)),IF(C118="peso_corporal",IF(ISNUMBER(E118),E118,0)+R118,R118)*(30+S118)*100+R118,0))</f>
        <v>0</v>
      </c>
      <c r="AB118" s="69">
        <f>IF(AA118=0,0,IF(IF((S118&gt;=6)*(1-(IF(T118="",-1,T118)&gt;=1)*(IF(T118="",-1,T118)&lt;=3))*(1-(IF(T118="",-1,T118)=0)),IF(C118="peso_corporal",IF(ISNUMBER(E118),E118,0)+R118,R118)*(30+S118)*100+R118,0)=AA118,5,IF(IF((P118&gt;=6)*(1-(IF(Q118="",-1,Q118)&gt;=1)*(IF(Q118="",-1,Q118)&lt;=3))*(1-(IF(Q118="",-1,Q118)=0)),IF(C118="peso_corporal",IF(ISNUMBER(E118),E118,0)+O118,O118)*(30+P118)*100+O118,0)=AA118,4,IF(IF((M118&gt;=6)*(1-(IF(N118="",-1,N118)&gt;=1)*(IF(N118="",-1,N118)&lt;=3))*(1-(IF(N118="",-1,N118)=0)),IF(C118="peso_corporal",IF(ISNUMBER(E118),E118,0)+L118,L118)*(30+M118)*100+L118,0)=AA118,3,IF(IF((J118&gt;=6)*(1-(IF(K118="",-1,K118)&gt;=1)*(IF(K118="",-1,K118)&lt;=3))*(1-(IF(K118="",-1,K118)=0)),IF(C118="peso_corporal",IF(ISNUMBER(E118),E118,0)+I118,I118)*(30+J118)*100+I118,0)=AA118,2,IF(IF((G118&gt;=6)*(1-(IF(H118="",-1,H118)&gt;=1)*(IF(H118="",-1,H118)&lt;=3))*(1-(IF(H118="",-1,H118)=0)),IF(C118="peso_corporal",IF(ISNUMBER(E118),E118,0)+F118,F118)*(30+G118)*100+F118,0)=AA118,1,0))))))</f>
        <v>0</v>
      </c>
      <c r="AC118" s="69" t="str">
        <f>IF(X118&gt;0,"A"&amp;X118,IF(Z118&gt;0,"B"&amp;Z118,IF(AB118&gt;0,"C"&amp;AB118,"")))</f>
        <v/>
      </c>
    </row>
    <row r="119" spans="1:29" ht="6"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69"/>
      <c r="X119" s="69"/>
      <c r="Y119" s="69"/>
      <c r="Z119" s="69"/>
      <c r="AA119" s="69"/>
      <c r="AB119" s="69"/>
      <c r="AC119" s="69"/>
    </row>
    <row r="120" spans="1:29" ht="18" customHeight="1">
      <c r="A120" s="85" t="s">
        <v>71</v>
      </c>
      <c r="B120" s="73"/>
      <c r="C120" s="73"/>
      <c r="D120" s="73"/>
      <c r="E120" s="73"/>
      <c r="F120" s="73"/>
      <c r="G120" s="73"/>
      <c r="H120" s="73"/>
      <c r="I120" s="73"/>
      <c r="J120" s="73"/>
      <c r="K120" s="73"/>
      <c r="L120" s="73"/>
      <c r="M120" s="73"/>
      <c r="N120" s="73"/>
      <c r="O120" s="73"/>
      <c r="P120" s="73"/>
      <c r="Q120" s="73"/>
      <c r="R120" s="73"/>
      <c r="S120" s="73"/>
      <c r="T120" s="73"/>
      <c r="U120" s="73"/>
      <c r="V120" s="73"/>
      <c r="W120" s="69"/>
      <c r="X120" s="69"/>
      <c r="Y120" s="69"/>
      <c r="Z120" s="69"/>
      <c r="AA120" s="69"/>
      <c r="AB120" s="69"/>
      <c r="AC120" s="69"/>
    </row>
    <row r="121" spans="1:29" ht="15" customHeight="1">
      <c r="A121" s="75" t="s">
        <v>28</v>
      </c>
      <c r="B121" s="73"/>
      <c r="C121" s="73"/>
      <c r="D121" s="73"/>
      <c r="E121" s="73"/>
      <c r="F121" s="73"/>
      <c r="G121" s="73"/>
      <c r="H121" s="73"/>
      <c r="I121" s="73"/>
      <c r="J121" s="73"/>
      <c r="K121" s="73"/>
      <c r="L121" s="73"/>
      <c r="M121" s="73"/>
      <c r="N121" s="73"/>
      <c r="O121" s="73"/>
      <c r="P121" s="73"/>
      <c r="Q121" s="73"/>
      <c r="R121" s="73"/>
      <c r="S121" s="73"/>
      <c r="T121" s="73"/>
      <c r="U121" s="73"/>
      <c r="V121" s="73"/>
      <c r="W121" s="69"/>
      <c r="X121" s="69"/>
      <c r="Y121" s="69"/>
      <c r="Z121" s="69"/>
      <c r="AA121" s="69"/>
      <c r="AB121" s="69"/>
      <c r="AC121" s="69"/>
    </row>
    <row r="122" spans="1:29" ht="11.1" customHeight="1">
      <c r="A122" s="76" t="s">
        <v>29</v>
      </c>
      <c r="B122" s="73"/>
      <c r="C122" s="73"/>
      <c r="D122" s="73"/>
      <c r="E122" s="73"/>
      <c r="F122" s="73"/>
      <c r="G122" s="73"/>
      <c r="H122" s="73"/>
      <c r="I122" s="73"/>
      <c r="J122" s="73"/>
      <c r="K122" s="73"/>
      <c r="L122" s="73"/>
      <c r="M122" s="73"/>
      <c r="N122" s="73"/>
      <c r="O122" s="73"/>
      <c r="P122" s="73"/>
      <c r="Q122" s="73"/>
      <c r="R122" s="73"/>
      <c r="S122" s="73"/>
      <c r="T122" s="73"/>
      <c r="U122" s="73"/>
      <c r="V122" s="73"/>
      <c r="W122" s="69"/>
      <c r="X122" s="69"/>
      <c r="Y122" s="69"/>
      <c r="Z122" s="69"/>
      <c r="AA122" s="69"/>
      <c r="AB122" s="69"/>
      <c r="AC122" s="69"/>
    </row>
    <row r="123" spans="1:29" ht="20.100000000000001" customHeight="1">
      <c r="A123" s="14" t="s">
        <v>30</v>
      </c>
      <c r="B123" s="15" t="s">
        <v>60</v>
      </c>
      <c r="C123" s="16" t="str">
        <f>IFERROR(INDEX(EJERCICIOS!$D$3:$D$75,MATCH(A123&amp;"|"&amp;B123,EJERCICIOS!$G$3:$G$75,0)),"--")</f>
        <v>disco</v>
      </c>
      <c r="D123" s="17">
        <v>3</v>
      </c>
      <c r="E123" s="18">
        <f>IFERROR(LOOKUP(2,1/(MEDIDAS_Y_PESO!$B$3:$B$8&lt;&gt;""),MEDIDAS_Y_PESO!$B$3:$B$8),"--")</f>
        <v>80</v>
      </c>
      <c r="F123" s="19"/>
      <c r="G123" s="20"/>
      <c r="H123" s="21"/>
      <c r="I123" s="19"/>
      <c r="J123" s="20"/>
      <c r="K123" s="21"/>
      <c r="L123" s="19"/>
      <c r="M123" s="20"/>
      <c r="N123" s="21"/>
      <c r="O123" s="19"/>
      <c r="P123" s="20"/>
      <c r="Q123" s="21"/>
      <c r="R123" s="19"/>
      <c r="S123" s="20"/>
      <c r="T123" s="21"/>
      <c r="U123" s="22" t="str">
        <f>IFERROR(IF(IF(X123&gt;0,X123,IF(Z123&gt;0,Z123,IF(AB123&gt;0,AB123,0)))=0,"--",ROUND(CHOOSE(IF(X123&gt;0,X123,IF(Z123&gt;0,Z123,IF(AB123&gt;0,AB123,0))),IF(C123="peso_corporal",IF(ISNUMBER(E123),E123,0)+F123,F123)*(1+G123/30),IF(C123="peso_corporal",IF(ISNUMBER(E123),E123,0)+I123,I123)*(1+J123/30),IF(C123="peso_corporal",IF(ISNUMBER(E123),E123,0)+L123,L123)*(1+M123/30),IF(C123="peso_corporal",IF(ISNUMBER(E123),E123,0)+O123,O123)*(1+P123/30),IF(C123="peso_corporal",IF(ISNUMBER(E123),E123,0)+R123,R123)*(1+S123/30)),1)),"--")</f>
        <v>--</v>
      </c>
      <c r="V123" s="23" t="str">
        <f>IF(SUGERENCIAS!N319="SIN","Sin datos anteriores",IF(SUGERENCIAS!N319="SUBIR_F","^ SUBIR FUERTE | Kg:"&amp;ROUND(SUGERENCIAS!K319,1)&amp;" R:"&amp;ROUND(SUGERENCIAS!L319,0)&amp;" RIR:"&amp;ROUND(SUGERENCIAS!M319,0),IF(SUGERENCIAS!N319="SUBIR_E","^ SUBIR (Est.) | Kg:"&amp;ROUND(SUGERENCIAS!K319,1)&amp;" R:"&amp;ROUND(SUGERENCIAS!L319,0)&amp;" RIR:"&amp;ROUND(SUGERENCIAS!M319,0),IF(SUGERENCIAS!N319="SUBIR","^ SUBIR | Kg:"&amp;ROUND(SUGERENCIAS!K319,1)&amp;" R:"&amp;ROUND(SUGERENCIAS!L319,0)&amp;" RIR:"&amp;ROUND(SUGERENCIAS!M319,0),IF(SUGERENCIAS!N319="BAJAR","v BAJAR | Kg:"&amp;ROUND(SUGERENCIAS!K319,1)&amp;" R:"&amp;ROUND(SUGERENCIAS!L319,0)&amp;" RIR:"&amp;ROUND(SUGERENCIAS!M319,0),"= MANT | Kg:"&amp;ROUND(SUGERENCIAS!K319,1)&amp;" R:"&amp;ROUND(SUGERENCIAS!L319,0)&amp;" RIR:"&amp;ROUND(SUGERENCIAS!M319,0))))))</f>
        <v>Sin datos anteriores</v>
      </c>
      <c r="W123" s="69">
        <f>MAX(IF((G123&gt;0)*(IF(H123="",-1,H123)&gt;=0)*(IF(H123="",-1,H123)&lt;=1),IF(C123="peso_corporal",IF(ISNUMBER(E123),E123,0)+F123,F123)*G123*1000+F123,0),IF((J123&gt;0)*(IF(K123="",-1,K123)&gt;=0)*(IF(K123="",-1,K123)&lt;=1),IF(C123="peso_corporal",IF(ISNUMBER(E123),E123,0)+I123,I123)*J123*1000+I123,0),IF((M123&gt;0)*(IF(N123="",-1,N123)&gt;=0)*(IF(N123="",-1,N123)&lt;=1),IF(C123="peso_corporal",IF(ISNUMBER(E123),E123,0)+L123,L123)*M123*1000+L123,0),IF((P123&gt;0)*(IF(Q123="",-1,Q123)&gt;=0)*(IF(Q123="",-1,Q123)&lt;=1),IF(C123="peso_corporal",IF(ISNUMBER(E123),E123,0)+O123,O123)*P123*1000+O123,0),IF((S123&gt;0)*(IF(T123="",-1,T123)&gt;=0)*(IF(T123="",-1,T123)&lt;=1),IF(C123="peso_corporal",IF(ISNUMBER(E123),E123,0)+R123,R123)*S123*1000+R123,0))</f>
        <v>0</v>
      </c>
      <c r="X123" s="69">
        <f>IF(W123=0,0,IF(IF((S123&gt;0)*(IF(T123="",-1,T123)&gt;=0)*(IF(T123="",-1,T123)&lt;=1),IF(C123="peso_corporal",IF(ISNUMBER(E123),E123,0)+R123,R123)*S123*1000+R123,0)=W123,5,IF(IF((P123&gt;0)*(IF(Q123="",-1,Q123)&gt;=0)*(IF(Q123="",-1,Q123)&lt;=1),IF(C123="peso_corporal",IF(ISNUMBER(E123),E123,0)+O123,O123)*P123*1000+O123,0)=W123,4,IF(IF((M123&gt;0)*(IF(N123="",-1,N123)&gt;=0)*(IF(N123="",-1,N123)&lt;=1),IF(C123="peso_corporal",IF(ISNUMBER(E123),E123,0)+L123,L123)*M123*1000+L123,0)=W123,3,IF(IF((J123&gt;0)*(IF(K123="",-1,K123)&gt;=0)*(IF(K123="",-1,K123)&lt;=1),IF(C123="peso_corporal",IF(ISNUMBER(E123),E123,0)+I123,I123)*J123*1000+I123,0)=W123,2,IF(IF((G123&gt;0)*(IF(H123="",-1,H123)&gt;=0)*(IF(H123="",-1,H123)&lt;=1),IF(C123="peso_corporal",IF(ISNUMBER(E123),E123,0)+F123,F123)*G123*1000+F123,0)=W123,1,0))))))</f>
        <v>0</v>
      </c>
      <c r="Y123" s="69">
        <f>MAX(IF((G123&gt;0)*(IF(H123="",-1,H123)=0)*(1-(IF(H123="",-1,H123)&gt;=0)*(IF(H123="",-1,H123)&lt;=1)),IF(C123="peso_corporal",IF(ISNUMBER(E123),E123,0)+F123,F123)*G123*1000+F123,0),IF((J123&gt;0)*(IF(K123="",-1,K123)=0)*(1-(IF(K123="",-1,K123)&gt;=0)*(IF(K123="",-1,K123)&lt;=1)),IF(C123="peso_corporal",IF(ISNUMBER(E123),E123,0)+I123,I123)*J123*1000+I123,0),IF((M123&gt;0)*(IF(N123="",-1,N123)=0)*(1-(IF(N123="",-1,N123)&gt;=0)*(IF(N123="",-1,N123)&lt;=1)),IF(C123="peso_corporal",IF(ISNUMBER(E123),E123,0)+L123,L123)*M123*1000+L123,0),IF((P123&gt;0)*(IF(Q123="",-1,Q123)=0)*(1-(IF(Q123="",-1,Q123)&gt;=0)*(IF(Q123="",-1,Q123)&lt;=1)),IF(C123="peso_corporal",IF(ISNUMBER(E123),E123,0)+O123,O123)*P123*1000+O123,0),IF((S123&gt;0)*(IF(T123="",-1,T123)=0)*(1-(IF(T123="",-1,T123)&gt;=0)*(IF(T123="",-1,T123)&lt;=1)),IF(C123="peso_corporal",IF(ISNUMBER(E123),E123,0)+R123,R123)*S123*1000+R123,0))</f>
        <v>0</v>
      </c>
      <c r="Z123" s="69">
        <f>IF(Y123=0,0,IF(IF((S123&gt;0)*(IF(T123="",-1,T123)=0)*(1-(IF(T123="",-1,T123)&gt;=0)*(IF(T123="",-1,T123)&lt;=1)),IF(C123="peso_corporal",IF(ISNUMBER(E123),E123,0)+R123,R123)*S123*1000+R123,0)=Y123,5,IF(IF((P123&gt;0)*(IF(Q123="",-1,Q123)=0)*(1-(IF(Q123="",-1,Q123)&gt;=0)*(IF(Q123="",-1,Q123)&lt;=1)),IF(C123="peso_corporal",IF(ISNUMBER(E123),E123,0)+O123,O123)*P123*1000+O123,0)=Y123,4,IF(IF((M123&gt;0)*(IF(N123="",-1,N123)=0)*(1-(IF(N123="",-1,N123)&gt;=0)*(IF(N123="",-1,N123)&lt;=1)),IF(C123="peso_corporal",IF(ISNUMBER(E123),E123,0)+L123,L123)*M123*1000+L123,0)=Y123,3,IF(IF((J123&gt;0)*(IF(K123="",-1,K123)=0)*(1-(IF(K123="",-1,K123)&gt;=0)*(IF(K123="",-1,K123)&lt;=1)),IF(C123="peso_corporal",IF(ISNUMBER(E123),E123,0)+I123,I123)*J123*1000+I123,0)=Y123,2,IF(IF((G123&gt;0)*(IF(H123="",-1,H123)=0)*(1-(IF(H123="",-1,H123)&gt;=0)*(IF(H123="",-1,H123)&lt;=1)),IF(C123="peso_corporal",IF(ISNUMBER(E123),E123,0)+F123,F123)*G123*1000+F123,0)=Y123,1,0))))))</f>
        <v>0</v>
      </c>
      <c r="AA123" s="69">
        <f>MAX(IF((G123&gt;=3)*(1-(IF(H123="",-1,H123)&gt;=0)*(IF(H123="",-1,H123)&lt;=1))*(1-(IF(H123="",-1,H123)=0)),IF(C123="peso_corporal",IF(ISNUMBER(E123),E123,0)+F123,F123)*(30+G123)*100+F123,0),IF((J123&gt;=3)*(1-(IF(K123="",-1,K123)&gt;=0)*(IF(K123="",-1,K123)&lt;=1))*(1-(IF(K123="",-1,K123)=0)),IF(C123="peso_corporal",IF(ISNUMBER(E123),E123,0)+I123,I123)*(30+J123)*100+I123,0),IF((M123&gt;=3)*(1-(IF(N123="",-1,N123)&gt;=0)*(IF(N123="",-1,N123)&lt;=1))*(1-(IF(N123="",-1,N123)=0)),IF(C123="peso_corporal",IF(ISNUMBER(E123),E123,0)+L123,L123)*(30+M123)*100+L123,0),IF((P123&gt;=3)*(1-(IF(Q123="",-1,Q123)&gt;=0)*(IF(Q123="",-1,Q123)&lt;=1))*(1-(IF(Q123="",-1,Q123)=0)),IF(C123="peso_corporal",IF(ISNUMBER(E123),E123,0)+O123,O123)*(30+P123)*100+O123,0),IF((S123&gt;=3)*(1-(IF(T123="",-1,T123)&gt;=0)*(IF(T123="",-1,T123)&lt;=1))*(1-(IF(T123="",-1,T123)=0)),IF(C123="peso_corporal",IF(ISNUMBER(E123),E123,0)+R123,R123)*(30+S123)*100+R123,0))</f>
        <v>0</v>
      </c>
      <c r="AB123" s="69">
        <f>IF(AA123=0,0,IF(IF((S123&gt;=3)*(1-(IF(T123="",-1,T123)&gt;=0)*(IF(T123="",-1,T123)&lt;=1))*(1-(IF(T123="",-1,T123)=0)),IF(C123="peso_corporal",IF(ISNUMBER(E123),E123,0)+R123,R123)*(30+S123)*100+R123,0)=AA123,5,IF(IF((P123&gt;=3)*(1-(IF(Q123="",-1,Q123)&gt;=0)*(IF(Q123="",-1,Q123)&lt;=1))*(1-(IF(Q123="",-1,Q123)=0)),IF(C123="peso_corporal",IF(ISNUMBER(E123),E123,0)+O123,O123)*(30+P123)*100+O123,0)=AA123,4,IF(IF((M123&gt;=3)*(1-(IF(N123="",-1,N123)&gt;=0)*(IF(N123="",-1,N123)&lt;=1))*(1-(IF(N123="",-1,N123)=0)),IF(C123="peso_corporal",IF(ISNUMBER(E123),E123,0)+L123,L123)*(30+M123)*100+L123,0)=AA123,3,IF(IF((J123&gt;=3)*(1-(IF(K123="",-1,K123)&gt;=0)*(IF(K123="",-1,K123)&lt;=1))*(1-(IF(K123="",-1,K123)=0)),IF(C123="peso_corporal",IF(ISNUMBER(E123),E123,0)+I123,I123)*(30+J123)*100+I123,0)=AA123,2,IF(IF((G123&gt;=3)*(1-(IF(H123="",-1,H123)&gt;=0)*(IF(H123="",-1,H123)&lt;=1))*(1-(IF(H123="",-1,H123)=0)),IF(C123="peso_corporal",IF(ISNUMBER(E123),E123,0)+F123,F123)*(30+G123)*100+F123,0)=AA123,1,0))))))</f>
        <v>0</v>
      </c>
      <c r="AC123" s="69" t="str">
        <f>IF(X123&gt;0,"A"&amp;X123,IF(Z123&gt;0,"B"&amp;Z123,IF(AB123&gt;0,"C"&amp;AB123,"")))</f>
        <v/>
      </c>
    </row>
    <row r="124" spans="1:29" ht="11.1" customHeight="1">
      <c r="A124" s="84" t="s">
        <v>32</v>
      </c>
      <c r="B124" s="73"/>
      <c r="C124" s="73"/>
      <c r="D124" s="73"/>
      <c r="E124" s="73"/>
      <c r="F124" s="73"/>
      <c r="G124" s="73"/>
      <c r="H124" s="73"/>
      <c r="I124" s="73"/>
      <c r="J124" s="73"/>
      <c r="K124" s="73"/>
      <c r="L124" s="73"/>
      <c r="M124" s="73"/>
      <c r="N124" s="73"/>
      <c r="O124" s="73"/>
      <c r="P124" s="73"/>
      <c r="Q124" s="73"/>
      <c r="R124" s="73"/>
      <c r="S124" s="73"/>
      <c r="T124" s="73"/>
      <c r="U124" s="73"/>
      <c r="V124" s="73"/>
      <c r="W124" s="69"/>
      <c r="X124" s="69"/>
      <c r="Y124" s="69"/>
      <c r="Z124" s="69"/>
      <c r="AA124" s="69"/>
      <c r="AB124" s="69"/>
      <c r="AC124" s="69"/>
    </row>
    <row r="125" spans="1:29" ht="20.100000000000001" customHeight="1">
      <c r="A125" s="14" t="s">
        <v>61</v>
      </c>
      <c r="B125" s="15" t="s">
        <v>31</v>
      </c>
      <c r="C125" s="16" t="str">
        <f>IFERROR(INDEX(EJERCICIOS!$D$3:$D$75,MATCH(A125&amp;"|"&amp;B125,EJERCICIOS!$G$3:$G$75,0)),"--")</f>
        <v>mancuerna</v>
      </c>
      <c r="D125" s="17">
        <v>3</v>
      </c>
      <c r="E125" s="18">
        <f>IFERROR(LOOKUP(2,1/(MEDIDAS_Y_PESO!$B$3:$B$8&lt;&gt;""),MEDIDAS_Y_PESO!$B$3:$B$8),"--")</f>
        <v>80</v>
      </c>
      <c r="F125" s="19"/>
      <c r="G125" s="20"/>
      <c r="H125" s="21"/>
      <c r="I125" s="19"/>
      <c r="J125" s="20"/>
      <c r="K125" s="21"/>
      <c r="L125" s="19"/>
      <c r="M125" s="20"/>
      <c r="N125" s="21"/>
      <c r="O125" s="19"/>
      <c r="P125" s="20"/>
      <c r="Q125" s="21"/>
      <c r="R125" s="19"/>
      <c r="S125" s="20"/>
      <c r="T125" s="21"/>
      <c r="U125" s="22" t="str">
        <f>IFERROR(IF(IF(X125&gt;0,X125,IF(Z125&gt;0,Z125,IF(AB125&gt;0,AB125,0)))=0,"--",ROUND(CHOOSE(IF(X125&gt;0,X125,IF(Z125&gt;0,Z125,IF(AB125&gt;0,AB125,0))),IF(C125="peso_corporal",IF(ISNUMBER(E125),E125,0)+F125,F125)*(1+G125/30),IF(C125="peso_corporal",IF(ISNUMBER(E125),E125,0)+I125,I125)*(1+J125/30),IF(C125="peso_corporal",IF(ISNUMBER(E125),E125,0)+L125,L125)*(1+M125/30),IF(C125="peso_corporal",IF(ISNUMBER(E125),E125,0)+O125,O125)*(1+P125/30),IF(C125="peso_corporal",IF(ISNUMBER(E125),E125,0)+R125,R125)*(1+S125/30)),1)),"--")</f>
        <v>--</v>
      </c>
      <c r="V125" s="23" t="str">
        <f>IF(SUGERENCIAS!N320="SIN","Sin datos anteriores",IF(SUGERENCIAS!N320="SUBIR_F","^ SUBIR FUERTE | Kg:"&amp;ROUND(SUGERENCIAS!K320,1)&amp;" R:"&amp;ROUND(SUGERENCIAS!L320,0)&amp;" RIR:"&amp;ROUND(SUGERENCIAS!M320,0),IF(SUGERENCIAS!N320="SUBIR_E","^ SUBIR (Est.) | Kg:"&amp;ROUND(SUGERENCIAS!K320,1)&amp;" R:"&amp;ROUND(SUGERENCIAS!L320,0)&amp;" RIR:"&amp;ROUND(SUGERENCIAS!M320,0),IF(SUGERENCIAS!N320="SUBIR","^ SUBIR | Kg:"&amp;ROUND(SUGERENCIAS!K320,1)&amp;" R:"&amp;ROUND(SUGERENCIAS!L320,0)&amp;" RIR:"&amp;ROUND(SUGERENCIAS!M320,0),IF(SUGERENCIAS!N320="BAJAR","v BAJAR | Kg:"&amp;ROUND(SUGERENCIAS!K320,1)&amp;" R:"&amp;ROUND(SUGERENCIAS!L320,0)&amp;" RIR:"&amp;ROUND(SUGERENCIAS!M320,0),"= MANT | Kg:"&amp;ROUND(SUGERENCIAS!K320,1)&amp;" R:"&amp;ROUND(SUGERENCIAS!L320,0)&amp;" RIR:"&amp;ROUND(SUGERENCIAS!M320,0))))))</f>
        <v>Sin datos anteriores</v>
      </c>
      <c r="W125" s="69">
        <f>MAX(IF((G125&gt;0)*(IF(H125="",-1,H125)&gt;=0)*(IF(H125="",-1,H125)&lt;=1),IF(C125="peso_corporal",IF(ISNUMBER(E125),E125,0)+F125,F125)*G125*1000+F125,0),IF((J125&gt;0)*(IF(K125="",-1,K125)&gt;=0)*(IF(K125="",-1,K125)&lt;=1),IF(C125="peso_corporal",IF(ISNUMBER(E125),E125,0)+I125,I125)*J125*1000+I125,0),IF((M125&gt;0)*(IF(N125="",-1,N125)&gt;=0)*(IF(N125="",-1,N125)&lt;=1),IF(C125="peso_corporal",IF(ISNUMBER(E125),E125,0)+L125,L125)*M125*1000+L125,0),IF((P125&gt;0)*(IF(Q125="",-1,Q125)&gt;=0)*(IF(Q125="",-1,Q125)&lt;=1),IF(C125="peso_corporal",IF(ISNUMBER(E125),E125,0)+O125,O125)*P125*1000+O125,0),IF((S125&gt;0)*(IF(T125="",-1,T125)&gt;=0)*(IF(T125="",-1,T125)&lt;=1),IF(C125="peso_corporal",IF(ISNUMBER(E125),E125,0)+R125,R125)*S125*1000+R125,0))</f>
        <v>0</v>
      </c>
      <c r="X125" s="69">
        <f>IF(W125=0,0,IF(IF((S125&gt;0)*(IF(T125="",-1,T125)&gt;=0)*(IF(T125="",-1,T125)&lt;=1),IF(C125="peso_corporal",IF(ISNUMBER(E125),E125,0)+R125,R125)*S125*1000+R125,0)=W125,5,IF(IF((P125&gt;0)*(IF(Q125="",-1,Q125)&gt;=0)*(IF(Q125="",-1,Q125)&lt;=1),IF(C125="peso_corporal",IF(ISNUMBER(E125),E125,0)+O125,O125)*P125*1000+O125,0)=W125,4,IF(IF((M125&gt;0)*(IF(N125="",-1,N125)&gt;=0)*(IF(N125="",-1,N125)&lt;=1),IF(C125="peso_corporal",IF(ISNUMBER(E125),E125,0)+L125,L125)*M125*1000+L125,0)=W125,3,IF(IF((J125&gt;0)*(IF(K125="",-1,K125)&gt;=0)*(IF(K125="",-1,K125)&lt;=1),IF(C125="peso_corporal",IF(ISNUMBER(E125),E125,0)+I125,I125)*J125*1000+I125,0)=W125,2,IF(IF((G125&gt;0)*(IF(H125="",-1,H125)&gt;=0)*(IF(H125="",-1,H125)&lt;=1),IF(C125="peso_corporal",IF(ISNUMBER(E125),E125,0)+F125,F125)*G125*1000+F125,0)=W125,1,0))))))</f>
        <v>0</v>
      </c>
      <c r="Y125" s="69">
        <f>MAX(IF((G125&gt;0)*(IF(H125="",-1,H125)=0)*(1-(IF(H125="",-1,H125)&gt;=0)*(IF(H125="",-1,H125)&lt;=1)),IF(C125="peso_corporal",IF(ISNUMBER(E125),E125,0)+F125,F125)*G125*1000+F125,0),IF((J125&gt;0)*(IF(K125="",-1,K125)=0)*(1-(IF(K125="",-1,K125)&gt;=0)*(IF(K125="",-1,K125)&lt;=1)),IF(C125="peso_corporal",IF(ISNUMBER(E125),E125,0)+I125,I125)*J125*1000+I125,0),IF((M125&gt;0)*(IF(N125="",-1,N125)=0)*(1-(IF(N125="",-1,N125)&gt;=0)*(IF(N125="",-1,N125)&lt;=1)),IF(C125="peso_corporal",IF(ISNUMBER(E125),E125,0)+L125,L125)*M125*1000+L125,0),IF((P125&gt;0)*(IF(Q125="",-1,Q125)=0)*(1-(IF(Q125="",-1,Q125)&gt;=0)*(IF(Q125="",-1,Q125)&lt;=1)),IF(C125="peso_corporal",IF(ISNUMBER(E125),E125,0)+O125,O125)*P125*1000+O125,0),IF((S125&gt;0)*(IF(T125="",-1,T125)=0)*(1-(IF(T125="",-1,T125)&gt;=0)*(IF(T125="",-1,T125)&lt;=1)),IF(C125="peso_corporal",IF(ISNUMBER(E125),E125,0)+R125,R125)*S125*1000+R125,0))</f>
        <v>0</v>
      </c>
      <c r="Z125" s="69">
        <f>IF(Y125=0,0,IF(IF((S125&gt;0)*(IF(T125="",-1,T125)=0)*(1-(IF(T125="",-1,T125)&gt;=0)*(IF(T125="",-1,T125)&lt;=1)),IF(C125="peso_corporal",IF(ISNUMBER(E125),E125,0)+R125,R125)*S125*1000+R125,0)=Y125,5,IF(IF((P125&gt;0)*(IF(Q125="",-1,Q125)=0)*(1-(IF(Q125="",-1,Q125)&gt;=0)*(IF(Q125="",-1,Q125)&lt;=1)),IF(C125="peso_corporal",IF(ISNUMBER(E125),E125,0)+O125,O125)*P125*1000+O125,0)=Y125,4,IF(IF((M125&gt;0)*(IF(N125="",-1,N125)=0)*(1-(IF(N125="",-1,N125)&gt;=0)*(IF(N125="",-1,N125)&lt;=1)),IF(C125="peso_corporal",IF(ISNUMBER(E125),E125,0)+L125,L125)*M125*1000+L125,0)=Y125,3,IF(IF((J125&gt;0)*(IF(K125="",-1,K125)=0)*(1-(IF(K125="",-1,K125)&gt;=0)*(IF(K125="",-1,K125)&lt;=1)),IF(C125="peso_corporal",IF(ISNUMBER(E125),E125,0)+I125,I125)*J125*1000+I125,0)=Y125,2,IF(IF((G125&gt;0)*(IF(H125="",-1,H125)=0)*(1-(IF(H125="",-1,H125)&gt;=0)*(IF(H125="",-1,H125)&lt;=1)),IF(C125="peso_corporal",IF(ISNUMBER(E125),E125,0)+F125,F125)*G125*1000+F125,0)=Y125,1,0))))))</f>
        <v>0</v>
      </c>
      <c r="AA125" s="69">
        <f>MAX(IF((G125&gt;=3)*(1-(IF(H125="",-1,H125)&gt;=0)*(IF(H125="",-1,H125)&lt;=1))*(1-(IF(H125="",-1,H125)=0)),IF(C125="peso_corporal",IF(ISNUMBER(E125),E125,0)+F125,F125)*(30+G125)*100+F125,0),IF((J125&gt;=3)*(1-(IF(K125="",-1,K125)&gt;=0)*(IF(K125="",-1,K125)&lt;=1))*(1-(IF(K125="",-1,K125)=0)),IF(C125="peso_corporal",IF(ISNUMBER(E125),E125,0)+I125,I125)*(30+J125)*100+I125,0),IF((M125&gt;=3)*(1-(IF(N125="",-1,N125)&gt;=0)*(IF(N125="",-1,N125)&lt;=1))*(1-(IF(N125="",-1,N125)=0)),IF(C125="peso_corporal",IF(ISNUMBER(E125),E125,0)+L125,L125)*(30+M125)*100+L125,0),IF((P125&gt;=3)*(1-(IF(Q125="",-1,Q125)&gt;=0)*(IF(Q125="",-1,Q125)&lt;=1))*(1-(IF(Q125="",-1,Q125)=0)),IF(C125="peso_corporal",IF(ISNUMBER(E125),E125,0)+O125,O125)*(30+P125)*100+O125,0),IF((S125&gt;=3)*(1-(IF(T125="",-1,T125)&gt;=0)*(IF(T125="",-1,T125)&lt;=1))*(1-(IF(T125="",-1,T125)=0)),IF(C125="peso_corporal",IF(ISNUMBER(E125),E125,0)+R125,R125)*(30+S125)*100+R125,0))</f>
        <v>0</v>
      </c>
      <c r="AB125" s="69">
        <f>IF(AA125=0,0,IF(IF((S125&gt;=3)*(1-(IF(T125="",-1,T125)&gt;=0)*(IF(T125="",-1,T125)&lt;=1))*(1-(IF(T125="",-1,T125)=0)),IF(C125="peso_corporal",IF(ISNUMBER(E125),E125,0)+R125,R125)*(30+S125)*100+R125,0)=AA125,5,IF(IF((P125&gt;=3)*(1-(IF(Q125="",-1,Q125)&gt;=0)*(IF(Q125="",-1,Q125)&lt;=1))*(1-(IF(Q125="",-1,Q125)=0)),IF(C125="peso_corporal",IF(ISNUMBER(E125),E125,0)+O125,O125)*(30+P125)*100+O125,0)=AA125,4,IF(IF((M125&gt;=3)*(1-(IF(N125="",-1,N125)&gt;=0)*(IF(N125="",-1,N125)&lt;=1))*(1-(IF(N125="",-1,N125)=0)),IF(C125="peso_corporal",IF(ISNUMBER(E125),E125,0)+L125,L125)*(30+M125)*100+L125,0)=AA125,3,IF(IF((J125&gt;=3)*(1-(IF(K125="",-1,K125)&gt;=0)*(IF(K125="",-1,K125)&lt;=1))*(1-(IF(K125="",-1,K125)=0)),IF(C125="peso_corporal",IF(ISNUMBER(E125),E125,0)+I125,I125)*(30+J125)*100+I125,0)=AA125,2,IF(IF((G125&gt;=3)*(1-(IF(H125="",-1,H125)&gt;=0)*(IF(H125="",-1,H125)&lt;=1))*(1-(IF(H125="",-1,H125)=0)),IF(C125="peso_corporal",IF(ISNUMBER(E125),E125,0)+F125,F125)*(30+G125)*100+F125,0)=AA125,1,0))))))</f>
        <v>0</v>
      </c>
      <c r="AC125" s="69" t="str">
        <f>IF(X125&gt;0,"A"&amp;X125,IF(Z125&gt;0,"B"&amp;Z125,IF(AB125&gt;0,"C"&amp;AB125,"")))</f>
        <v/>
      </c>
    </row>
    <row r="126" spans="1:29" ht="11.1" customHeight="1">
      <c r="A126" s="87" t="s">
        <v>35</v>
      </c>
      <c r="B126" s="73"/>
      <c r="C126" s="73"/>
      <c r="D126" s="73"/>
      <c r="E126" s="73"/>
      <c r="F126" s="73"/>
      <c r="G126" s="73"/>
      <c r="H126" s="73"/>
      <c r="I126" s="73"/>
      <c r="J126" s="73"/>
      <c r="K126" s="73"/>
      <c r="L126" s="73"/>
      <c r="M126" s="73"/>
      <c r="N126" s="73"/>
      <c r="O126" s="73"/>
      <c r="P126" s="73"/>
      <c r="Q126" s="73"/>
      <c r="R126" s="73"/>
      <c r="S126" s="73"/>
      <c r="T126" s="73"/>
      <c r="U126" s="73"/>
      <c r="V126" s="73"/>
      <c r="W126" s="69"/>
      <c r="X126" s="69"/>
      <c r="Y126" s="69"/>
      <c r="Z126" s="69"/>
      <c r="AA126" s="69"/>
      <c r="AB126" s="69"/>
      <c r="AC126" s="69"/>
    </row>
    <row r="127" spans="1:29" ht="20.100000000000001" customHeight="1">
      <c r="A127" s="14" t="s">
        <v>36</v>
      </c>
      <c r="B127" s="15" t="s">
        <v>37</v>
      </c>
      <c r="C127" s="16" t="str">
        <f>IFERROR(INDEX(EJERCICIOS!$D$3:$D$75,MATCH(A127&amp;"|"&amp;B127,EJERCICIOS!$G$3:$G$75,0)),"--")</f>
        <v>peso_corporal</v>
      </c>
      <c r="D127" s="17">
        <v>3</v>
      </c>
      <c r="E127" s="18">
        <f>IFERROR(LOOKUP(2,1/(MEDIDAS_Y_PESO!$B$3:$B$8&lt;&gt;""),MEDIDAS_Y_PESO!$B$3:$B$8),"--")</f>
        <v>80</v>
      </c>
      <c r="F127" s="19"/>
      <c r="G127" s="20"/>
      <c r="H127" s="21"/>
      <c r="I127" s="19"/>
      <c r="J127" s="20"/>
      <c r="K127" s="21"/>
      <c r="L127" s="19"/>
      <c r="M127" s="20"/>
      <c r="N127" s="21"/>
      <c r="O127" s="19"/>
      <c r="P127" s="20"/>
      <c r="Q127" s="21"/>
      <c r="R127" s="19"/>
      <c r="S127" s="20"/>
      <c r="T127" s="21"/>
      <c r="U127" s="22" t="str">
        <f>IFERROR(IF(IF(X127&gt;0,X127,IF(Z127&gt;0,Z127,IF(AB127&gt;0,AB127,0)))=0,"--",ROUND(CHOOSE(IF(X127&gt;0,X127,IF(Z127&gt;0,Z127,IF(AB127&gt;0,AB127,0))),IF(C127="peso_corporal",IF(ISNUMBER(E127),E127,0)+F127,F127)*(1+G127/30),IF(C127="peso_corporal",IF(ISNUMBER(E127),E127,0)+I127,I127)*(1+J127/30),IF(C127="peso_corporal",IF(ISNUMBER(E127),E127,0)+L127,L127)*(1+M127/30),IF(C127="peso_corporal",IF(ISNUMBER(E127),E127,0)+O127,O127)*(1+P127/30),IF(C127="peso_corporal",IF(ISNUMBER(E127),E127,0)+R127,R127)*(1+S127/30)),1)),"--")</f>
        <v>--</v>
      </c>
      <c r="V127" s="23" t="str">
        <f>IF(SUGERENCIAS!N321="SIN","Sin datos anteriores",IF(SUGERENCIAS!N321="SUBIR_F","^ SUBIR FUERTE | Kg:"&amp;ROUND(SUGERENCIAS!K321,1)&amp;" R:"&amp;ROUND(SUGERENCIAS!L321,0)&amp;" RIR:"&amp;ROUND(SUGERENCIAS!M321,0),IF(SUGERENCIAS!N321="SUBIR_E","^ SUBIR (Est.) | Kg:"&amp;ROUND(SUGERENCIAS!K321,1)&amp;" R:"&amp;ROUND(SUGERENCIAS!L321,0)&amp;" RIR:"&amp;ROUND(SUGERENCIAS!M321,0),IF(SUGERENCIAS!N321="SUBIR","^ SUBIR | Kg:"&amp;ROUND(SUGERENCIAS!K321,1)&amp;" R:"&amp;ROUND(SUGERENCIAS!L321,0)&amp;" RIR:"&amp;ROUND(SUGERENCIAS!M321,0),IF(SUGERENCIAS!N321="BAJAR","v BAJAR | Kg:"&amp;ROUND(SUGERENCIAS!K321,1)&amp;" R:"&amp;ROUND(SUGERENCIAS!L321,0)&amp;" RIR:"&amp;ROUND(SUGERENCIAS!M321,0),"= MANT | Kg:"&amp;ROUND(SUGERENCIAS!K321,1)&amp;" R:"&amp;ROUND(SUGERENCIAS!L321,0)&amp;" RIR:"&amp;ROUND(SUGERENCIAS!M321,0))))))</f>
        <v>^ SUBIR FUERTE | Kg:5 R:6 RIR:2</v>
      </c>
      <c r="W127" s="69">
        <f>MAX(IF((G127&gt;0)*(IF(H127="",-1,H127)&gt;=0)*(IF(H127="",-1,H127)&lt;=1),IF(C127="peso_corporal",IF(ISNUMBER(E127),E127,0)+F127,F127)*G127*1000+F127,0),IF((J127&gt;0)*(IF(K127="",-1,K127)&gt;=0)*(IF(K127="",-1,K127)&lt;=1),IF(C127="peso_corporal",IF(ISNUMBER(E127),E127,0)+I127,I127)*J127*1000+I127,0),IF((M127&gt;0)*(IF(N127="",-1,N127)&gt;=0)*(IF(N127="",-1,N127)&lt;=1),IF(C127="peso_corporal",IF(ISNUMBER(E127),E127,0)+L127,L127)*M127*1000+L127,0),IF((P127&gt;0)*(IF(Q127="",-1,Q127)&gt;=0)*(IF(Q127="",-1,Q127)&lt;=1),IF(C127="peso_corporal",IF(ISNUMBER(E127),E127,0)+O127,O127)*P127*1000+O127,0),IF((S127&gt;0)*(IF(T127="",-1,T127)&gt;=0)*(IF(T127="",-1,T127)&lt;=1),IF(C127="peso_corporal",IF(ISNUMBER(E127),E127,0)+R127,R127)*S127*1000+R127,0))</f>
        <v>0</v>
      </c>
      <c r="X127" s="69">
        <f>IF(W127=0,0,IF(IF((S127&gt;0)*(IF(T127="",-1,T127)&gt;=0)*(IF(T127="",-1,T127)&lt;=1),IF(C127="peso_corporal",IF(ISNUMBER(E127),E127,0)+R127,R127)*S127*1000+R127,0)=W127,5,IF(IF((P127&gt;0)*(IF(Q127="",-1,Q127)&gt;=0)*(IF(Q127="",-1,Q127)&lt;=1),IF(C127="peso_corporal",IF(ISNUMBER(E127),E127,0)+O127,O127)*P127*1000+O127,0)=W127,4,IF(IF((M127&gt;0)*(IF(N127="",-1,N127)&gt;=0)*(IF(N127="",-1,N127)&lt;=1),IF(C127="peso_corporal",IF(ISNUMBER(E127),E127,0)+L127,L127)*M127*1000+L127,0)=W127,3,IF(IF((J127&gt;0)*(IF(K127="",-1,K127)&gt;=0)*(IF(K127="",-1,K127)&lt;=1),IF(C127="peso_corporal",IF(ISNUMBER(E127),E127,0)+I127,I127)*J127*1000+I127,0)=W127,2,IF(IF((G127&gt;0)*(IF(H127="",-1,H127)&gt;=0)*(IF(H127="",-1,H127)&lt;=1),IF(C127="peso_corporal",IF(ISNUMBER(E127),E127,0)+F127,F127)*G127*1000+F127,0)=W127,1,0))))))</f>
        <v>0</v>
      </c>
      <c r="Y127" s="69">
        <f>MAX(IF((G127&gt;0)*(IF(H127="",-1,H127)=0)*(1-(IF(H127="",-1,H127)&gt;=0)*(IF(H127="",-1,H127)&lt;=1)),IF(C127="peso_corporal",IF(ISNUMBER(E127),E127,0)+F127,F127)*G127*1000+F127,0),IF((J127&gt;0)*(IF(K127="",-1,K127)=0)*(1-(IF(K127="",-1,K127)&gt;=0)*(IF(K127="",-1,K127)&lt;=1)),IF(C127="peso_corporal",IF(ISNUMBER(E127),E127,0)+I127,I127)*J127*1000+I127,0),IF((M127&gt;0)*(IF(N127="",-1,N127)=0)*(1-(IF(N127="",-1,N127)&gt;=0)*(IF(N127="",-1,N127)&lt;=1)),IF(C127="peso_corporal",IF(ISNUMBER(E127),E127,0)+L127,L127)*M127*1000+L127,0),IF((P127&gt;0)*(IF(Q127="",-1,Q127)=0)*(1-(IF(Q127="",-1,Q127)&gt;=0)*(IF(Q127="",-1,Q127)&lt;=1)),IF(C127="peso_corporal",IF(ISNUMBER(E127),E127,0)+O127,O127)*P127*1000+O127,0),IF((S127&gt;0)*(IF(T127="",-1,T127)=0)*(1-(IF(T127="",-1,T127)&gt;=0)*(IF(T127="",-1,T127)&lt;=1)),IF(C127="peso_corporal",IF(ISNUMBER(E127),E127,0)+R127,R127)*S127*1000+R127,0))</f>
        <v>0</v>
      </c>
      <c r="Z127" s="69">
        <f>IF(Y127=0,0,IF(IF((S127&gt;0)*(IF(T127="",-1,T127)=0)*(1-(IF(T127="",-1,T127)&gt;=0)*(IF(T127="",-1,T127)&lt;=1)),IF(C127="peso_corporal",IF(ISNUMBER(E127),E127,0)+R127,R127)*S127*1000+R127,0)=Y127,5,IF(IF((P127&gt;0)*(IF(Q127="",-1,Q127)=0)*(1-(IF(Q127="",-1,Q127)&gt;=0)*(IF(Q127="",-1,Q127)&lt;=1)),IF(C127="peso_corporal",IF(ISNUMBER(E127),E127,0)+O127,O127)*P127*1000+O127,0)=Y127,4,IF(IF((M127&gt;0)*(IF(N127="",-1,N127)=0)*(1-(IF(N127="",-1,N127)&gt;=0)*(IF(N127="",-1,N127)&lt;=1)),IF(C127="peso_corporal",IF(ISNUMBER(E127),E127,0)+L127,L127)*M127*1000+L127,0)=Y127,3,IF(IF((J127&gt;0)*(IF(K127="",-1,K127)=0)*(1-(IF(K127="",-1,K127)&gt;=0)*(IF(K127="",-1,K127)&lt;=1)),IF(C127="peso_corporal",IF(ISNUMBER(E127),E127,0)+I127,I127)*J127*1000+I127,0)=Y127,2,IF(IF((G127&gt;0)*(IF(H127="",-1,H127)=0)*(1-(IF(H127="",-1,H127)&gt;=0)*(IF(H127="",-1,H127)&lt;=1)),IF(C127="peso_corporal",IF(ISNUMBER(E127),E127,0)+F127,F127)*G127*1000+F127,0)=Y127,1,0))))))</f>
        <v>0</v>
      </c>
      <c r="AA127" s="69">
        <f>MAX(IF((G127&gt;=3)*(1-(IF(H127="",-1,H127)&gt;=0)*(IF(H127="",-1,H127)&lt;=1))*(1-(IF(H127="",-1,H127)=0)),IF(C127="peso_corporal",IF(ISNUMBER(E127),E127,0)+F127,F127)*(30+G127)*100+F127,0),IF((J127&gt;=3)*(1-(IF(K127="",-1,K127)&gt;=0)*(IF(K127="",-1,K127)&lt;=1))*(1-(IF(K127="",-1,K127)=0)),IF(C127="peso_corporal",IF(ISNUMBER(E127),E127,0)+I127,I127)*(30+J127)*100+I127,0),IF((M127&gt;=3)*(1-(IF(N127="",-1,N127)&gt;=0)*(IF(N127="",-1,N127)&lt;=1))*(1-(IF(N127="",-1,N127)=0)),IF(C127="peso_corporal",IF(ISNUMBER(E127),E127,0)+L127,L127)*(30+M127)*100+L127,0),IF((P127&gt;=3)*(1-(IF(Q127="",-1,Q127)&gt;=0)*(IF(Q127="",-1,Q127)&lt;=1))*(1-(IF(Q127="",-1,Q127)=0)),IF(C127="peso_corporal",IF(ISNUMBER(E127),E127,0)+O127,O127)*(30+P127)*100+O127,0),IF((S127&gt;=3)*(1-(IF(T127="",-1,T127)&gt;=0)*(IF(T127="",-1,T127)&lt;=1))*(1-(IF(T127="",-1,T127)=0)),IF(C127="peso_corporal",IF(ISNUMBER(E127),E127,0)+R127,R127)*(30+S127)*100+R127,0))</f>
        <v>0</v>
      </c>
      <c r="AB127" s="69">
        <f>IF(AA127=0,0,IF(IF((S127&gt;=3)*(1-(IF(T127="",-1,T127)&gt;=0)*(IF(T127="",-1,T127)&lt;=1))*(1-(IF(T127="",-1,T127)=0)),IF(C127="peso_corporal",IF(ISNUMBER(E127),E127,0)+R127,R127)*(30+S127)*100+R127,0)=AA127,5,IF(IF((P127&gt;=3)*(1-(IF(Q127="",-1,Q127)&gt;=0)*(IF(Q127="",-1,Q127)&lt;=1))*(1-(IF(Q127="",-1,Q127)=0)),IF(C127="peso_corporal",IF(ISNUMBER(E127),E127,0)+O127,O127)*(30+P127)*100+O127,0)=AA127,4,IF(IF((M127&gt;=3)*(1-(IF(N127="",-1,N127)&gt;=0)*(IF(N127="",-1,N127)&lt;=1))*(1-(IF(N127="",-1,N127)=0)),IF(C127="peso_corporal",IF(ISNUMBER(E127),E127,0)+L127,L127)*(30+M127)*100+L127,0)=AA127,3,IF(IF((J127&gt;=3)*(1-(IF(K127="",-1,K127)&gt;=0)*(IF(K127="",-1,K127)&lt;=1))*(1-(IF(K127="",-1,K127)=0)),IF(C127="peso_corporal",IF(ISNUMBER(E127),E127,0)+I127,I127)*(30+J127)*100+I127,0)=AA127,2,IF(IF((G127&gt;=3)*(1-(IF(H127="",-1,H127)&gt;=0)*(IF(H127="",-1,H127)&lt;=1))*(1-(IF(H127="",-1,H127)=0)),IF(C127="peso_corporal",IF(ISNUMBER(E127),E127,0)+F127,F127)*(30+G127)*100+F127,0)=AA127,1,0))))))</f>
        <v>0</v>
      </c>
      <c r="AC127" s="69" t="str">
        <f>IF(X127&gt;0,"A"&amp;X127,IF(Z127&gt;0,"B"&amp;Z127,IF(AB127&gt;0,"C"&amp;AB127,"")))</f>
        <v/>
      </c>
    </row>
    <row r="128" spans="1:29" ht="20.100000000000001" customHeight="1">
      <c r="A128" s="14" t="s">
        <v>62</v>
      </c>
      <c r="B128" s="15" t="s">
        <v>39</v>
      </c>
      <c r="C128" s="16" t="str">
        <f>IFERROR(INDEX(EJERCICIOS!$D$3:$D$75,MATCH(A128&amp;"|"&amp;B128,EJERCICIOS!$G$3:$G$75,0)),"--")</f>
        <v>--</v>
      </c>
      <c r="D128" s="17">
        <v>3</v>
      </c>
      <c r="E128" s="18">
        <f>IFERROR(LOOKUP(2,1/(MEDIDAS_Y_PESO!$B$3:$B$8&lt;&gt;""),MEDIDAS_Y_PESO!$B$3:$B$8),"--")</f>
        <v>80</v>
      </c>
      <c r="F128" s="19"/>
      <c r="G128" s="20"/>
      <c r="H128" s="21"/>
      <c r="I128" s="19"/>
      <c r="J128" s="20"/>
      <c r="K128" s="21"/>
      <c r="L128" s="19"/>
      <c r="M128" s="20"/>
      <c r="N128" s="21"/>
      <c r="O128" s="19"/>
      <c r="P128" s="20"/>
      <c r="Q128" s="21"/>
      <c r="R128" s="19"/>
      <c r="S128" s="20"/>
      <c r="T128" s="21"/>
      <c r="U128" s="22" t="str">
        <f>IFERROR(IF(IF(X128&gt;0,X128,IF(Z128&gt;0,Z128,IF(AB128&gt;0,AB128,0)))=0,"--",ROUND(CHOOSE(IF(X128&gt;0,X128,IF(Z128&gt;0,Z128,IF(AB128&gt;0,AB128,0))),IF(C128="peso_corporal",IF(ISNUMBER(E128),E128,0)+F128,F128)*(1+G128/30),IF(C128="peso_corporal",IF(ISNUMBER(E128),E128,0)+I128,I128)*(1+J128/30),IF(C128="peso_corporal",IF(ISNUMBER(E128),E128,0)+L128,L128)*(1+M128/30),IF(C128="peso_corporal",IF(ISNUMBER(E128),E128,0)+O128,O128)*(1+P128/30),IF(C128="peso_corporal",IF(ISNUMBER(E128),E128,0)+R128,R128)*(1+S128/30)),1)),"--")</f>
        <v>--</v>
      </c>
      <c r="V128" s="23" t="str">
        <f>IF(SUGERENCIAS!N322="SIN","Sin datos anteriores",IF(SUGERENCIAS!N322="SUBIR_F","^ SUBIR FUERTE | Kg:"&amp;ROUND(SUGERENCIAS!K322,1)&amp;" R:"&amp;ROUND(SUGERENCIAS!L322,0)&amp;" RIR:"&amp;ROUND(SUGERENCIAS!M322,0),IF(SUGERENCIAS!N322="SUBIR_E","^ SUBIR (Est.) | Kg:"&amp;ROUND(SUGERENCIAS!K322,1)&amp;" R:"&amp;ROUND(SUGERENCIAS!L322,0)&amp;" RIR:"&amp;ROUND(SUGERENCIAS!M322,0),IF(SUGERENCIAS!N322="SUBIR","^ SUBIR | Kg:"&amp;ROUND(SUGERENCIAS!K322,1)&amp;" R:"&amp;ROUND(SUGERENCIAS!L322,0)&amp;" RIR:"&amp;ROUND(SUGERENCIAS!M322,0),IF(SUGERENCIAS!N322="BAJAR","v BAJAR | Kg:"&amp;ROUND(SUGERENCIAS!K322,1)&amp;" R:"&amp;ROUND(SUGERENCIAS!L322,0)&amp;" RIR:"&amp;ROUND(SUGERENCIAS!M322,0),"= MANT | Kg:"&amp;ROUND(SUGERENCIAS!K322,1)&amp;" R:"&amp;ROUND(SUGERENCIAS!L322,0)&amp;" RIR:"&amp;ROUND(SUGERENCIAS!M322,0))))))</f>
        <v>Sin datos anteriores</v>
      </c>
      <c r="W128" s="69">
        <f>MAX(IF((G128&gt;0)*(IF(H128="",-1,H128)&gt;=0)*(IF(H128="",-1,H128)&lt;=1),IF(C128="peso_corporal",IF(ISNUMBER(E128),E128,0)+F128,F128)*G128*1000+F128,0),IF((J128&gt;0)*(IF(K128="",-1,K128)&gt;=0)*(IF(K128="",-1,K128)&lt;=1),IF(C128="peso_corporal",IF(ISNUMBER(E128),E128,0)+I128,I128)*J128*1000+I128,0),IF((M128&gt;0)*(IF(N128="",-1,N128)&gt;=0)*(IF(N128="",-1,N128)&lt;=1),IF(C128="peso_corporal",IF(ISNUMBER(E128),E128,0)+L128,L128)*M128*1000+L128,0),IF((P128&gt;0)*(IF(Q128="",-1,Q128)&gt;=0)*(IF(Q128="",-1,Q128)&lt;=1),IF(C128="peso_corporal",IF(ISNUMBER(E128),E128,0)+O128,O128)*P128*1000+O128,0),IF((S128&gt;0)*(IF(T128="",-1,T128)&gt;=0)*(IF(T128="",-1,T128)&lt;=1),IF(C128="peso_corporal",IF(ISNUMBER(E128),E128,0)+R128,R128)*S128*1000+R128,0))</f>
        <v>0</v>
      </c>
      <c r="X128" s="69">
        <f>IF(W128=0,0,IF(IF((S128&gt;0)*(IF(T128="",-1,T128)&gt;=0)*(IF(T128="",-1,T128)&lt;=1),IF(C128="peso_corporal",IF(ISNUMBER(E128),E128,0)+R128,R128)*S128*1000+R128,0)=W128,5,IF(IF((P128&gt;0)*(IF(Q128="",-1,Q128)&gt;=0)*(IF(Q128="",-1,Q128)&lt;=1),IF(C128="peso_corporal",IF(ISNUMBER(E128),E128,0)+O128,O128)*P128*1000+O128,0)=W128,4,IF(IF((M128&gt;0)*(IF(N128="",-1,N128)&gt;=0)*(IF(N128="",-1,N128)&lt;=1),IF(C128="peso_corporal",IF(ISNUMBER(E128),E128,0)+L128,L128)*M128*1000+L128,0)=W128,3,IF(IF((J128&gt;0)*(IF(K128="",-1,K128)&gt;=0)*(IF(K128="",-1,K128)&lt;=1),IF(C128="peso_corporal",IF(ISNUMBER(E128),E128,0)+I128,I128)*J128*1000+I128,0)=W128,2,IF(IF((G128&gt;0)*(IF(H128="",-1,H128)&gt;=0)*(IF(H128="",-1,H128)&lt;=1),IF(C128="peso_corporal",IF(ISNUMBER(E128),E128,0)+F128,F128)*G128*1000+F128,0)=W128,1,0))))))</f>
        <v>0</v>
      </c>
      <c r="Y128" s="69">
        <f>MAX(IF((G128&gt;0)*(IF(H128="",-1,H128)=0)*(1-(IF(H128="",-1,H128)&gt;=0)*(IF(H128="",-1,H128)&lt;=1)),IF(C128="peso_corporal",IF(ISNUMBER(E128),E128,0)+F128,F128)*G128*1000+F128,0),IF((J128&gt;0)*(IF(K128="",-1,K128)=0)*(1-(IF(K128="",-1,K128)&gt;=0)*(IF(K128="",-1,K128)&lt;=1)),IF(C128="peso_corporal",IF(ISNUMBER(E128),E128,0)+I128,I128)*J128*1000+I128,0),IF((M128&gt;0)*(IF(N128="",-1,N128)=0)*(1-(IF(N128="",-1,N128)&gt;=0)*(IF(N128="",-1,N128)&lt;=1)),IF(C128="peso_corporal",IF(ISNUMBER(E128),E128,0)+L128,L128)*M128*1000+L128,0),IF((P128&gt;0)*(IF(Q128="",-1,Q128)=0)*(1-(IF(Q128="",-1,Q128)&gt;=0)*(IF(Q128="",-1,Q128)&lt;=1)),IF(C128="peso_corporal",IF(ISNUMBER(E128),E128,0)+O128,O128)*P128*1000+O128,0),IF((S128&gt;0)*(IF(T128="",-1,T128)=0)*(1-(IF(T128="",-1,T128)&gt;=0)*(IF(T128="",-1,T128)&lt;=1)),IF(C128="peso_corporal",IF(ISNUMBER(E128),E128,0)+R128,R128)*S128*1000+R128,0))</f>
        <v>0</v>
      </c>
      <c r="Z128" s="69">
        <f>IF(Y128=0,0,IF(IF((S128&gt;0)*(IF(T128="",-1,T128)=0)*(1-(IF(T128="",-1,T128)&gt;=0)*(IF(T128="",-1,T128)&lt;=1)),IF(C128="peso_corporal",IF(ISNUMBER(E128),E128,0)+R128,R128)*S128*1000+R128,0)=Y128,5,IF(IF((P128&gt;0)*(IF(Q128="",-1,Q128)=0)*(1-(IF(Q128="",-1,Q128)&gt;=0)*(IF(Q128="",-1,Q128)&lt;=1)),IF(C128="peso_corporal",IF(ISNUMBER(E128),E128,0)+O128,O128)*P128*1000+O128,0)=Y128,4,IF(IF((M128&gt;0)*(IF(N128="",-1,N128)=0)*(1-(IF(N128="",-1,N128)&gt;=0)*(IF(N128="",-1,N128)&lt;=1)),IF(C128="peso_corporal",IF(ISNUMBER(E128),E128,0)+L128,L128)*M128*1000+L128,0)=Y128,3,IF(IF((J128&gt;0)*(IF(K128="",-1,K128)=0)*(1-(IF(K128="",-1,K128)&gt;=0)*(IF(K128="",-1,K128)&lt;=1)),IF(C128="peso_corporal",IF(ISNUMBER(E128),E128,0)+I128,I128)*J128*1000+I128,0)=Y128,2,IF(IF((G128&gt;0)*(IF(H128="",-1,H128)=0)*(1-(IF(H128="",-1,H128)&gt;=0)*(IF(H128="",-1,H128)&lt;=1)),IF(C128="peso_corporal",IF(ISNUMBER(E128),E128,0)+F128,F128)*G128*1000+F128,0)=Y128,1,0))))))</f>
        <v>0</v>
      </c>
      <c r="AA128" s="69">
        <f>MAX(IF((G128&gt;=3)*(1-(IF(H128="",-1,H128)&gt;=0)*(IF(H128="",-1,H128)&lt;=1))*(1-(IF(H128="",-1,H128)=0)),IF(C128="peso_corporal",IF(ISNUMBER(E128),E128,0)+F128,F128)*(30+G128)*100+F128,0),IF((J128&gt;=3)*(1-(IF(K128="",-1,K128)&gt;=0)*(IF(K128="",-1,K128)&lt;=1))*(1-(IF(K128="",-1,K128)=0)),IF(C128="peso_corporal",IF(ISNUMBER(E128),E128,0)+I128,I128)*(30+J128)*100+I128,0),IF((M128&gt;=3)*(1-(IF(N128="",-1,N128)&gt;=0)*(IF(N128="",-1,N128)&lt;=1))*(1-(IF(N128="",-1,N128)=0)),IF(C128="peso_corporal",IF(ISNUMBER(E128),E128,0)+L128,L128)*(30+M128)*100+L128,0),IF((P128&gt;=3)*(1-(IF(Q128="",-1,Q128)&gt;=0)*(IF(Q128="",-1,Q128)&lt;=1))*(1-(IF(Q128="",-1,Q128)=0)),IF(C128="peso_corporal",IF(ISNUMBER(E128),E128,0)+O128,O128)*(30+P128)*100+O128,0),IF((S128&gt;=3)*(1-(IF(T128="",-1,T128)&gt;=0)*(IF(T128="",-1,T128)&lt;=1))*(1-(IF(T128="",-1,T128)=0)),IF(C128="peso_corporal",IF(ISNUMBER(E128),E128,0)+R128,R128)*(30+S128)*100+R128,0))</f>
        <v>0</v>
      </c>
      <c r="AB128" s="69">
        <f>IF(AA128=0,0,IF(IF((S128&gt;=3)*(1-(IF(T128="",-1,T128)&gt;=0)*(IF(T128="",-1,T128)&lt;=1))*(1-(IF(T128="",-1,T128)=0)),IF(C128="peso_corporal",IF(ISNUMBER(E128),E128,0)+R128,R128)*(30+S128)*100+R128,0)=AA128,5,IF(IF((P128&gt;=3)*(1-(IF(Q128="",-1,Q128)&gt;=0)*(IF(Q128="",-1,Q128)&lt;=1))*(1-(IF(Q128="",-1,Q128)=0)),IF(C128="peso_corporal",IF(ISNUMBER(E128),E128,0)+O128,O128)*(30+P128)*100+O128,0)=AA128,4,IF(IF((M128&gt;=3)*(1-(IF(N128="",-1,N128)&gt;=0)*(IF(N128="",-1,N128)&lt;=1))*(1-(IF(N128="",-1,N128)=0)),IF(C128="peso_corporal",IF(ISNUMBER(E128),E128,0)+L128,L128)*(30+M128)*100+L128,0)=AA128,3,IF(IF((J128&gt;=3)*(1-(IF(K128="",-1,K128)&gt;=0)*(IF(K128="",-1,K128)&lt;=1))*(1-(IF(K128="",-1,K128)=0)),IF(C128="peso_corporal",IF(ISNUMBER(E128),E128,0)+I128,I128)*(30+J128)*100+I128,0)=AA128,2,IF(IF((G128&gt;=3)*(1-(IF(H128="",-1,H128)&gt;=0)*(IF(H128="",-1,H128)&lt;=1))*(1-(IF(H128="",-1,H128)=0)),IF(C128="peso_corporal",IF(ISNUMBER(E128),E128,0)+F128,F128)*(30+G128)*100+F128,0)=AA128,1,0))))))</f>
        <v>0</v>
      </c>
      <c r="AC128" s="69" t="str">
        <f>IF(X128&gt;0,"A"&amp;X128,IF(Z128&gt;0,"B"&amp;Z128,IF(AB128&gt;0,"C"&amp;AB128,"")))</f>
        <v/>
      </c>
    </row>
    <row r="129" spans="1:29" ht="20.100000000000001" customHeight="1">
      <c r="A129" s="14" t="s">
        <v>62</v>
      </c>
      <c r="B129" s="15" t="s">
        <v>63</v>
      </c>
      <c r="C129" s="16" t="str">
        <f>IFERROR(INDEX(EJERCICIOS!$D$3:$D$75,MATCH(A129&amp;"|"&amp;B129,EJERCICIOS!$G$3:$G$75,0)),"--")</f>
        <v>--</v>
      </c>
      <c r="D129" s="17">
        <v>3</v>
      </c>
      <c r="E129" s="18">
        <f>IFERROR(LOOKUP(2,1/(MEDIDAS_Y_PESO!$B$3:$B$8&lt;&gt;""),MEDIDAS_Y_PESO!$B$3:$B$8),"--")</f>
        <v>80</v>
      </c>
      <c r="F129" s="19"/>
      <c r="G129" s="20"/>
      <c r="H129" s="21"/>
      <c r="I129" s="19"/>
      <c r="J129" s="20"/>
      <c r="K129" s="21"/>
      <c r="L129" s="19"/>
      <c r="M129" s="20"/>
      <c r="N129" s="21"/>
      <c r="O129" s="19"/>
      <c r="P129" s="20"/>
      <c r="Q129" s="21"/>
      <c r="R129" s="19"/>
      <c r="S129" s="20"/>
      <c r="T129" s="21"/>
      <c r="U129" s="22" t="str">
        <f>IFERROR(IF(IF(X129&gt;0,X129,IF(Z129&gt;0,Z129,IF(AB129&gt;0,AB129,0)))=0,"--",ROUND(CHOOSE(IF(X129&gt;0,X129,IF(Z129&gt;0,Z129,IF(AB129&gt;0,AB129,0))),IF(C129="peso_corporal",IF(ISNUMBER(E129),E129,0)+F129,F129)*(1+G129/30),IF(C129="peso_corporal",IF(ISNUMBER(E129),E129,0)+I129,I129)*(1+J129/30),IF(C129="peso_corporal",IF(ISNUMBER(E129),E129,0)+L129,L129)*(1+M129/30),IF(C129="peso_corporal",IF(ISNUMBER(E129),E129,0)+O129,O129)*(1+P129/30),IF(C129="peso_corporal",IF(ISNUMBER(E129),E129,0)+R129,R129)*(1+S129/30)),1)),"--")</f>
        <v>--</v>
      </c>
      <c r="V129" s="23" t="str">
        <f>IF(SUGERENCIAS!N323="SIN","Sin datos anteriores",IF(SUGERENCIAS!N323="SUBIR_F","^ SUBIR FUERTE | Kg:"&amp;ROUND(SUGERENCIAS!K323,1)&amp;" R:"&amp;ROUND(SUGERENCIAS!L323,0)&amp;" RIR:"&amp;ROUND(SUGERENCIAS!M323,0),IF(SUGERENCIAS!N323="SUBIR_E","^ SUBIR (Est.) | Kg:"&amp;ROUND(SUGERENCIAS!K323,1)&amp;" R:"&amp;ROUND(SUGERENCIAS!L323,0)&amp;" RIR:"&amp;ROUND(SUGERENCIAS!M323,0),IF(SUGERENCIAS!N323="SUBIR","^ SUBIR | Kg:"&amp;ROUND(SUGERENCIAS!K323,1)&amp;" R:"&amp;ROUND(SUGERENCIAS!L323,0)&amp;" RIR:"&amp;ROUND(SUGERENCIAS!M323,0),IF(SUGERENCIAS!N323="BAJAR","v BAJAR | Kg:"&amp;ROUND(SUGERENCIAS!K323,1)&amp;" R:"&amp;ROUND(SUGERENCIAS!L323,0)&amp;" RIR:"&amp;ROUND(SUGERENCIAS!M323,0),"= MANT | Kg:"&amp;ROUND(SUGERENCIAS!K323,1)&amp;" R:"&amp;ROUND(SUGERENCIAS!L323,0)&amp;" RIR:"&amp;ROUND(SUGERENCIAS!M323,0))))))</f>
        <v>Sin datos anteriores</v>
      </c>
      <c r="W129" s="69">
        <f>MAX(IF((G129&gt;0)*(IF(H129="",-1,H129)&gt;=0)*(IF(H129="",-1,H129)&lt;=1),IF(C129="peso_corporal",IF(ISNUMBER(E129),E129,0)+F129,F129)*G129*1000+F129,0),IF((J129&gt;0)*(IF(K129="",-1,K129)&gt;=0)*(IF(K129="",-1,K129)&lt;=1),IF(C129="peso_corporal",IF(ISNUMBER(E129),E129,0)+I129,I129)*J129*1000+I129,0),IF((M129&gt;0)*(IF(N129="",-1,N129)&gt;=0)*(IF(N129="",-1,N129)&lt;=1),IF(C129="peso_corporal",IF(ISNUMBER(E129),E129,0)+L129,L129)*M129*1000+L129,0),IF((P129&gt;0)*(IF(Q129="",-1,Q129)&gt;=0)*(IF(Q129="",-1,Q129)&lt;=1),IF(C129="peso_corporal",IF(ISNUMBER(E129),E129,0)+O129,O129)*P129*1000+O129,0),IF((S129&gt;0)*(IF(T129="",-1,T129)&gt;=0)*(IF(T129="",-1,T129)&lt;=1),IF(C129="peso_corporal",IF(ISNUMBER(E129),E129,0)+R129,R129)*S129*1000+R129,0))</f>
        <v>0</v>
      </c>
      <c r="X129" s="69">
        <f>IF(W129=0,0,IF(IF((S129&gt;0)*(IF(T129="",-1,T129)&gt;=0)*(IF(T129="",-1,T129)&lt;=1),IF(C129="peso_corporal",IF(ISNUMBER(E129),E129,0)+R129,R129)*S129*1000+R129,0)=W129,5,IF(IF((P129&gt;0)*(IF(Q129="",-1,Q129)&gt;=0)*(IF(Q129="",-1,Q129)&lt;=1),IF(C129="peso_corporal",IF(ISNUMBER(E129),E129,0)+O129,O129)*P129*1000+O129,0)=W129,4,IF(IF((M129&gt;0)*(IF(N129="",-1,N129)&gt;=0)*(IF(N129="",-1,N129)&lt;=1),IF(C129="peso_corporal",IF(ISNUMBER(E129),E129,0)+L129,L129)*M129*1000+L129,0)=W129,3,IF(IF((J129&gt;0)*(IF(K129="",-1,K129)&gt;=0)*(IF(K129="",-1,K129)&lt;=1),IF(C129="peso_corporal",IF(ISNUMBER(E129),E129,0)+I129,I129)*J129*1000+I129,0)=W129,2,IF(IF((G129&gt;0)*(IF(H129="",-1,H129)&gt;=0)*(IF(H129="",-1,H129)&lt;=1),IF(C129="peso_corporal",IF(ISNUMBER(E129),E129,0)+F129,F129)*G129*1000+F129,0)=W129,1,0))))))</f>
        <v>0</v>
      </c>
      <c r="Y129" s="69">
        <f>MAX(IF((G129&gt;0)*(IF(H129="",-1,H129)=0)*(1-(IF(H129="",-1,H129)&gt;=0)*(IF(H129="",-1,H129)&lt;=1)),IF(C129="peso_corporal",IF(ISNUMBER(E129),E129,0)+F129,F129)*G129*1000+F129,0),IF((J129&gt;0)*(IF(K129="",-1,K129)=0)*(1-(IF(K129="",-1,K129)&gt;=0)*(IF(K129="",-1,K129)&lt;=1)),IF(C129="peso_corporal",IF(ISNUMBER(E129),E129,0)+I129,I129)*J129*1000+I129,0),IF((M129&gt;0)*(IF(N129="",-1,N129)=0)*(1-(IF(N129="",-1,N129)&gt;=0)*(IF(N129="",-1,N129)&lt;=1)),IF(C129="peso_corporal",IF(ISNUMBER(E129),E129,0)+L129,L129)*M129*1000+L129,0),IF((P129&gt;0)*(IF(Q129="",-1,Q129)=0)*(1-(IF(Q129="",-1,Q129)&gt;=0)*(IF(Q129="",-1,Q129)&lt;=1)),IF(C129="peso_corporal",IF(ISNUMBER(E129),E129,0)+O129,O129)*P129*1000+O129,0),IF((S129&gt;0)*(IF(T129="",-1,T129)=0)*(1-(IF(T129="",-1,T129)&gt;=0)*(IF(T129="",-1,T129)&lt;=1)),IF(C129="peso_corporal",IF(ISNUMBER(E129),E129,0)+R129,R129)*S129*1000+R129,0))</f>
        <v>0</v>
      </c>
      <c r="Z129" s="69">
        <f>IF(Y129=0,0,IF(IF((S129&gt;0)*(IF(T129="",-1,T129)=0)*(1-(IF(T129="",-1,T129)&gt;=0)*(IF(T129="",-1,T129)&lt;=1)),IF(C129="peso_corporal",IF(ISNUMBER(E129),E129,0)+R129,R129)*S129*1000+R129,0)=Y129,5,IF(IF((P129&gt;0)*(IF(Q129="",-1,Q129)=0)*(1-(IF(Q129="",-1,Q129)&gt;=0)*(IF(Q129="",-1,Q129)&lt;=1)),IF(C129="peso_corporal",IF(ISNUMBER(E129),E129,0)+O129,O129)*P129*1000+O129,0)=Y129,4,IF(IF((M129&gt;0)*(IF(N129="",-1,N129)=0)*(1-(IF(N129="",-1,N129)&gt;=0)*(IF(N129="",-1,N129)&lt;=1)),IF(C129="peso_corporal",IF(ISNUMBER(E129),E129,0)+L129,L129)*M129*1000+L129,0)=Y129,3,IF(IF((J129&gt;0)*(IF(K129="",-1,K129)=0)*(1-(IF(K129="",-1,K129)&gt;=0)*(IF(K129="",-1,K129)&lt;=1)),IF(C129="peso_corporal",IF(ISNUMBER(E129),E129,0)+I129,I129)*J129*1000+I129,0)=Y129,2,IF(IF((G129&gt;0)*(IF(H129="",-1,H129)=0)*(1-(IF(H129="",-1,H129)&gt;=0)*(IF(H129="",-1,H129)&lt;=1)),IF(C129="peso_corporal",IF(ISNUMBER(E129),E129,0)+F129,F129)*G129*1000+F129,0)=Y129,1,0))))))</f>
        <v>0</v>
      </c>
      <c r="AA129" s="69">
        <f>MAX(IF((G129&gt;=3)*(1-(IF(H129="",-1,H129)&gt;=0)*(IF(H129="",-1,H129)&lt;=1))*(1-(IF(H129="",-1,H129)=0)),IF(C129="peso_corporal",IF(ISNUMBER(E129),E129,0)+F129,F129)*(30+G129)*100+F129,0),IF((J129&gt;=3)*(1-(IF(K129="",-1,K129)&gt;=0)*(IF(K129="",-1,K129)&lt;=1))*(1-(IF(K129="",-1,K129)=0)),IF(C129="peso_corporal",IF(ISNUMBER(E129),E129,0)+I129,I129)*(30+J129)*100+I129,0),IF((M129&gt;=3)*(1-(IF(N129="",-1,N129)&gt;=0)*(IF(N129="",-1,N129)&lt;=1))*(1-(IF(N129="",-1,N129)=0)),IF(C129="peso_corporal",IF(ISNUMBER(E129),E129,0)+L129,L129)*(30+M129)*100+L129,0),IF((P129&gt;=3)*(1-(IF(Q129="",-1,Q129)&gt;=0)*(IF(Q129="",-1,Q129)&lt;=1))*(1-(IF(Q129="",-1,Q129)=0)),IF(C129="peso_corporal",IF(ISNUMBER(E129),E129,0)+O129,O129)*(30+P129)*100+O129,0),IF((S129&gt;=3)*(1-(IF(T129="",-1,T129)&gt;=0)*(IF(T129="",-1,T129)&lt;=1))*(1-(IF(T129="",-1,T129)=0)),IF(C129="peso_corporal",IF(ISNUMBER(E129),E129,0)+R129,R129)*(30+S129)*100+R129,0))</f>
        <v>0</v>
      </c>
      <c r="AB129" s="69">
        <f>IF(AA129=0,0,IF(IF((S129&gt;=3)*(1-(IF(T129="",-1,T129)&gt;=0)*(IF(T129="",-1,T129)&lt;=1))*(1-(IF(T129="",-1,T129)=0)),IF(C129="peso_corporal",IF(ISNUMBER(E129),E129,0)+R129,R129)*(30+S129)*100+R129,0)=AA129,5,IF(IF((P129&gt;=3)*(1-(IF(Q129="",-1,Q129)&gt;=0)*(IF(Q129="",-1,Q129)&lt;=1))*(1-(IF(Q129="",-1,Q129)=0)),IF(C129="peso_corporal",IF(ISNUMBER(E129),E129,0)+O129,O129)*(30+P129)*100+O129,0)=AA129,4,IF(IF((M129&gt;=3)*(1-(IF(N129="",-1,N129)&gt;=0)*(IF(N129="",-1,N129)&lt;=1))*(1-(IF(N129="",-1,N129)=0)),IF(C129="peso_corporal",IF(ISNUMBER(E129),E129,0)+L129,L129)*(30+M129)*100+L129,0)=AA129,3,IF(IF((J129&gt;=3)*(1-(IF(K129="",-1,K129)&gt;=0)*(IF(K129="",-1,K129)&lt;=1))*(1-(IF(K129="",-1,K129)=0)),IF(C129="peso_corporal",IF(ISNUMBER(E129),E129,0)+I129,I129)*(30+J129)*100+I129,0)=AA129,2,IF(IF((G129&gt;=3)*(1-(IF(H129="",-1,H129)&gt;=0)*(IF(H129="",-1,H129)&lt;=1))*(1-(IF(H129="",-1,H129)=0)),IF(C129="peso_corporal",IF(ISNUMBER(E129),E129,0)+F129,F129)*(30+G129)*100+F129,0)=AA129,1,0))))))</f>
        <v>0</v>
      </c>
      <c r="AC129" s="69" t="str">
        <f>IF(X129&gt;0,"A"&amp;X129,IF(Z129&gt;0,"B"&amp;Z129,IF(AB129&gt;0,"C"&amp;AB129,"")))</f>
        <v/>
      </c>
    </row>
    <row r="130" spans="1:29" ht="15" customHeight="1">
      <c r="A130" s="81" t="s">
        <v>42</v>
      </c>
      <c r="B130" s="73"/>
      <c r="C130" s="73"/>
      <c r="D130" s="73"/>
      <c r="E130" s="73"/>
      <c r="F130" s="73"/>
      <c r="G130" s="73"/>
      <c r="H130" s="73"/>
      <c r="I130" s="73"/>
      <c r="J130" s="73"/>
      <c r="K130" s="73"/>
      <c r="L130" s="73"/>
      <c r="M130" s="73"/>
      <c r="N130" s="73"/>
      <c r="O130" s="73"/>
      <c r="P130" s="73"/>
      <c r="Q130" s="73"/>
      <c r="R130" s="73"/>
      <c r="S130" s="73"/>
      <c r="T130" s="73"/>
      <c r="U130" s="73"/>
      <c r="V130" s="73"/>
      <c r="W130" s="69"/>
      <c r="X130" s="69"/>
      <c r="Y130" s="69"/>
      <c r="Z130" s="69"/>
      <c r="AA130" s="69"/>
      <c r="AB130" s="69"/>
      <c r="AC130" s="69"/>
    </row>
    <row r="131" spans="1:29" ht="20.100000000000001" customHeight="1">
      <c r="A131" s="14" t="s">
        <v>43</v>
      </c>
      <c r="B131" s="15" t="s">
        <v>44</v>
      </c>
      <c r="C131" s="16" t="str">
        <f>IFERROR(INDEX(EJERCICIOS!$D$3:$D$75,MATCH(A131&amp;"|"&amp;B131,EJERCICIOS!$G$3:$G$75,0)),"--")</f>
        <v>polea</v>
      </c>
      <c r="D131" s="17">
        <v>3</v>
      </c>
      <c r="E131" s="18">
        <f>IFERROR(LOOKUP(2,1/(MEDIDAS_Y_PESO!$B$3:$B$8&lt;&gt;""),MEDIDAS_Y_PESO!$B$3:$B$8),"--")</f>
        <v>80</v>
      </c>
      <c r="F131" s="19"/>
      <c r="G131" s="20"/>
      <c r="H131" s="21"/>
      <c r="I131" s="19"/>
      <c r="J131" s="20"/>
      <c r="K131" s="21"/>
      <c r="L131" s="19"/>
      <c r="M131" s="20"/>
      <c r="N131" s="21"/>
      <c r="O131" s="19"/>
      <c r="P131" s="20"/>
      <c r="Q131" s="21"/>
      <c r="R131" s="19"/>
      <c r="S131" s="20"/>
      <c r="T131" s="21"/>
      <c r="U131" s="22" t="str">
        <f>IFERROR(IF(IF(X131&gt;0,X131,IF(Z131&gt;0,Z131,IF(AB131&gt;0,AB131,0)))=0,"--",ROUND(CHOOSE(IF(X131&gt;0,X131,IF(Z131&gt;0,Z131,IF(AB131&gt;0,AB131,0))),IF(C131="peso_corporal",IF(ISNUMBER(E131),E131,0)+F131,F131)*(1+G131/30),IF(C131="peso_corporal",IF(ISNUMBER(E131),E131,0)+I131,I131)*(1+J131/30),IF(C131="peso_corporal",IF(ISNUMBER(E131),E131,0)+L131,L131)*(1+M131/30),IF(C131="peso_corporal",IF(ISNUMBER(E131),E131,0)+O131,O131)*(1+P131/30),IF(C131="peso_corporal",IF(ISNUMBER(E131),E131,0)+R131,R131)*(1+S131/30)),1)),"--")</f>
        <v>--</v>
      </c>
      <c r="V131" s="23" t="str">
        <f>IF(SUGERENCIAS!N324="SIN","Sin datos anteriores",IF(SUGERENCIAS!N324="SUBIR_F","^ SUBIR FUERTE | Kg:"&amp;ROUND(SUGERENCIAS!K324,1)&amp;" R:"&amp;ROUND(SUGERENCIAS!L324,0)&amp;" RIR:"&amp;ROUND(SUGERENCIAS!M324,0),IF(SUGERENCIAS!N324="SUBIR_E","^ SUBIR (Est.) | Kg:"&amp;ROUND(SUGERENCIAS!K324,1)&amp;" R:"&amp;ROUND(SUGERENCIAS!L324,0)&amp;" RIR:"&amp;ROUND(SUGERENCIAS!M324,0),IF(SUGERENCIAS!N324="SUBIR","^ SUBIR | Kg:"&amp;ROUND(SUGERENCIAS!K324,1)&amp;" R:"&amp;ROUND(SUGERENCIAS!L324,0)&amp;" RIR:"&amp;ROUND(SUGERENCIAS!M324,0),IF(SUGERENCIAS!N324="BAJAR","v BAJAR | Kg:"&amp;ROUND(SUGERENCIAS!K324,1)&amp;" R:"&amp;ROUND(SUGERENCIAS!L324,0)&amp;" RIR:"&amp;ROUND(SUGERENCIAS!M324,0),"= MANT | Kg:"&amp;ROUND(SUGERENCIAS!K324,1)&amp;" R:"&amp;ROUND(SUGERENCIAS!L324,0)&amp;" RIR:"&amp;ROUND(SUGERENCIAS!M324,0))))))</f>
        <v>Sin datos anteriores</v>
      </c>
      <c r="W131" s="69">
        <f>MAX(IF((G131&gt;0)*(IF(H131="",-1,H131)&gt;=0)*(IF(H131="",-1,H131)&lt;=1),IF(C131="peso_corporal",IF(ISNUMBER(E131),E131,0)+F131,F131)*G131*1000+F131,0),IF((J131&gt;0)*(IF(K131="",-1,K131)&gt;=0)*(IF(K131="",-1,K131)&lt;=1),IF(C131="peso_corporal",IF(ISNUMBER(E131),E131,0)+I131,I131)*J131*1000+I131,0),IF((M131&gt;0)*(IF(N131="",-1,N131)&gt;=0)*(IF(N131="",-1,N131)&lt;=1),IF(C131="peso_corporal",IF(ISNUMBER(E131),E131,0)+L131,L131)*M131*1000+L131,0),IF((P131&gt;0)*(IF(Q131="",-1,Q131)&gt;=0)*(IF(Q131="",-1,Q131)&lt;=1),IF(C131="peso_corporal",IF(ISNUMBER(E131),E131,0)+O131,O131)*P131*1000+O131,0),IF((S131&gt;0)*(IF(T131="",-1,T131)&gt;=0)*(IF(T131="",-1,T131)&lt;=1),IF(C131="peso_corporal",IF(ISNUMBER(E131),E131,0)+R131,R131)*S131*1000+R131,0))</f>
        <v>0</v>
      </c>
      <c r="X131" s="69">
        <f>IF(W131=0,0,IF(IF((S131&gt;0)*(IF(T131="",-1,T131)&gt;=0)*(IF(T131="",-1,T131)&lt;=1),IF(C131="peso_corporal",IF(ISNUMBER(E131),E131,0)+R131,R131)*S131*1000+R131,0)=W131,5,IF(IF((P131&gt;0)*(IF(Q131="",-1,Q131)&gt;=0)*(IF(Q131="",-1,Q131)&lt;=1),IF(C131="peso_corporal",IF(ISNUMBER(E131),E131,0)+O131,O131)*P131*1000+O131,0)=W131,4,IF(IF((M131&gt;0)*(IF(N131="",-1,N131)&gt;=0)*(IF(N131="",-1,N131)&lt;=1),IF(C131="peso_corporal",IF(ISNUMBER(E131),E131,0)+L131,L131)*M131*1000+L131,0)=W131,3,IF(IF((J131&gt;0)*(IF(K131="",-1,K131)&gt;=0)*(IF(K131="",-1,K131)&lt;=1),IF(C131="peso_corporal",IF(ISNUMBER(E131),E131,0)+I131,I131)*J131*1000+I131,0)=W131,2,IF(IF((G131&gt;0)*(IF(H131="",-1,H131)&gt;=0)*(IF(H131="",-1,H131)&lt;=1),IF(C131="peso_corporal",IF(ISNUMBER(E131),E131,0)+F131,F131)*G131*1000+F131,0)=W131,1,0))))))</f>
        <v>0</v>
      </c>
      <c r="Y131" s="69">
        <f>MAX(IF((G131&gt;0)*(IF(H131="",-1,H131)=0)*(1-(IF(H131="",-1,H131)&gt;=0)*(IF(H131="",-1,H131)&lt;=1)),IF(C131="peso_corporal",IF(ISNUMBER(E131),E131,0)+F131,F131)*G131*1000+F131,0),IF((J131&gt;0)*(IF(K131="",-1,K131)=0)*(1-(IF(K131="",-1,K131)&gt;=0)*(IF(K131="",-1,K131)&lt;=1)),IF(C131="peso_corporal",IF(ISNUMBER(E131),E131,0)+I131,I131)*J131*1000+I131,0),IF((M131&gt;0)*(IF(N131="",-1,N131)=0)*(1-(IF(N131="",-1,N131)&gt;=0)*(IF(N131="",-1,N131)&lt;=1)),IF(C131="peso_corporal",IF(ISNUMBER(E131),E131,0)+L131,L131)*M131*1000+L131,0),IF((P131&gt;0)*(IF(Q131="",-1,Q131)=0)*(1-(IF(Q131="",-1,Q131)&gt;=0)*(IF(Q131="",-1,Q131)&lt;=1)),IF(C131="peso_corporal",IF(ISNUMBER(E131),E131,0)+O131,O131)*P131*1000+O131,0),IF((S131&gt;0)*(IF(T131="",-1,T131)=0)*(1-(IF(T131="",-1,T131)&gt;=0)*(IF(T131="",-1,T131)&lt;=1)),IF(C131="peso_corporal",IF(ISNUMBER(E131),E131,0)+R131,R131)*S131*1000+R131,0))</f>
        <v>0</v>
      </c>
      <c r="Z131" s="69">
        <f>IF(Y131=0,0,IF(IF((S131&gt;0)*(IF(T131="",-1,T131)=0)*(1-(IF(T131="",-1,T131)&gt;=0)*(IF(T131="",-1,T131)&lt;=1)),IF(C131="peso_corporal",IF(ISNUMBER(E131),E131,0)+R131,R131)*S131*1000+R131,0)=Y131,5,IF(IF((P131&gt;0)*(IF(Q131="",-1,Q131)=0)*(1-(IF(Q131="",-1,Q131)&gt;=0)*(IF(Q131="",-1,Q131)&lt;=1)),IF(C131="peso_corporal",IF(ISNUMBER(E131),E131,0)+O131,O131)*P131*1000+O131,0)=Y131,4,IF(IF((M131&gt;0)*(IF(N131="",-1,N131)=0)*(1-(IF(N131="",-1,N131)&gt;=0)*(IF(N131="",-1,N131)&lt;=1)),IF(C131="peso_corporal",IF(ISNUMBER(E131),E131,0)+L131,L131)*M131*1000+L131,0)=Y131,3,IF(IF((J131&gt;0)*(IF(K131="",-1,K131)=0)*(1-(IF(K131="",-1,K131)&gt;=0)*(IF(K131="",-1,K131)&lt;=1)),IF(C131="peso_corporal",IF(ISNUMBER(E131),E131,0)+I131,I131)*J131*1000+I131,0)=Y131,2,IF(IF((G131&gt;0)*(IF(H131="",-1,H131)=0)*(1-(IF(H131="",-1,H131)&gt;=0)*(IF(H131="",-1,H131)&lt;=1)),IF(C131="peso_corporal",IF(ISNUMBER(E131),E131,0)+F131,F131)*G131*1000+F131,0)=Y131,1,0))))))</f>
        <v>0</v>
      </c>
      <c r="AA131" s="69">
        <f>MAX(IF((G131&gt;=3)*(1-(IF(H131="",-1,H131)&gt;=0)*(IF(H131="",-1,H131)&lt;=1))*(1-(IF(H131="",-1,H131)=0)),IF(C131="peso_corporal",IF(ISNUMBER(E131),E131,0)+F131,F131)*(30+G131)*100+F131,0),IF((J131&gt;=3)*(1-(IF(K131="",-1,K131)&gt;=0)*(IF(K131="",-1,K131)&lt;=1))*(1-(IF(K131="",-1,K131)=0)),IF(C131="peso_corporal",IF(ISNUMBER(E131),E131,0)+I131,I131)*(30+J131)*100+I131,0),IF((M131&gt;=3)*(1-(IF(N131="",-1,N131)&gt;=0)*(IF(N131="",-1,N131)&lt;=1))*(1-(IF(N131="",-1,N131)=0)),IF(C131="peso_corporal",IF(ISNUMBER(E131),E131,0)+L131,L131)*(30+M131)*100+L131,0),IF((P131&gt;=3)*(1-(IF(Q131="",-1,Q131)&gt;=0)*(IF(Q131="",-1,Q131)&lt;=1))*(1-(IF(Q131="",-1,Q131)=0)),IF(C131="peso_corporal",IF(ISNUMBER(E131),E131,0)+O131,O131)*(30+P131)*100+O131,0),IF((S131&gt;=3)*(1-(IF(T131="",-1,T131)&gt;=0)*(IF(T131="",-1,T131)&lt;=1))*(1-(IF(T131="",-1,T131)=0)),IF(C131="peso_corporal",IF(ISNUMBER(E131),E131,0)+R131,R131)*(30+S131)*100+R131,0))</f>
        <v>0</v>
      </c>
      <c r="AB131" s="69">
        <f>IF(AA131=0,0,IF(IF((S131&gt;=3)*(1-(IF(T131="",-1,T131)&gt;=0)*(IF(T131="",-1,T131)&lt;=1))*(1-(IF(T131="",-1,T131)=0)),IF(C131="peso_corporal",IF(ISNUMBER(E131),E131,0)+R131,R131)*(30+S131)*100+R131,0)=AA131,5,IF(IF((P131&gt;=3)*(1-(IF(Q131="",-1,Q131)&gt;=0)*(IF(Q131="",-1,Q131)&lt;=1))*(1-(IF(Q131="",-1,Q131)=0)),IF(C131="peso_corporal",IF(ISNUMBER(E131),E131,0)+O131,O131)*(30+P131)*100+O131,0)=AA131,4,IF(IF((M131&gt;=3)*(1-(IF(N131="",-1,N131)&gt;=0)*(IF(N131="",-1,N131)&lt;=1))*(1-(IF(N131="",-1,N131)=0)),IF(C131="peso_corporal",IF(ISNUMBER(E131),E131,0)+L131,L131)*(30+M131)*100+L131,0)=AA131,3,IF(IF((J131&gt;=3)*(1-(IF(K131="",-1,K131)&gt;=0)*(IF(K131="",-1,K131)&lt;=1))*(1-(IF(K131="",-1,K131)=0)),IF(C131="peso_corporal",IF(ISNUMBER(E131),E131,0)+I131,I131)*(30+J131)*100+I131,0)=AA131,2,IF(IF((G131&gt;=3)*(1-(IF(H131="",-1,H131)&gt;=0)*(IF(H131="",-1,H131)&lt;=1))*(1-(IF(H131="",-1,H131)=0)),IF(C131="peso_corporal",IF(ISNUMBER(E131),E131,0)+F131,F131)*(30+G131)*100+F131,0)=AA131,1,0))))))</f>
        <v>0</v>
      </c>
      <c r="AC131" s="69" t="str">
        <f>IF(X131&gt;0,"A"&amp;X131,IF(Z131&gt;0,"B"&amp;Z131,IF(AB131&gt;0,"C"&amp;AB131,"")))</f>
        <v/>
      </c>
    </row>
    <row r="132" spans="1:29" ht="20.100000000000001" customHeight="1">
      <c r="A132" s="14" t="s">
        <v>45</v>
      </c>
      <c r="B132" s="15" t="s">
        <v>46</v>
      </c>
      <c r="C132" s="16" t="str">
        <f>IFERROR(INDEX(EJERCICIOS!$D$3:$D$75,MATCH(A132&amp;"|"&amp;B132,EJERCICIOS!$G$3:$G$75,0)),"--")</f>
        <v>mancuerna</v>
      </c>
      <c r="D132" s="17">
        <v>3</v>
      </c>
      <c r="E132" s="18">
        <f>IFERROR(LOOKUP(2,1/(MEDIDAS_Y_PESO!$B$3:$B$8&lt;&gt;""),MEDIDAS_Y_PESO!$B$3:$B$8),"--")</f>
        <v>80</v>
      </c>
      <c r="F132" s="19"/>
      <c r="G132" s="20"/>
      <c r="H132" s="21"/>
      <c r="I132" s="19"/>
      <c r="J132" s="20"/>
      <c r="K132" s="21"/>
      <c r="L132" s="19"/>
      <c r="M132" s="20"/>
      <c r="N132" s="21"/>
      <c r="O132" s="19"/>
      <c r="P132" s="20"/>
      <c r="Q132" s="21"/>
      <c r="R132" s="19"/>
      <c r="S132" s="20"/>
      <c r="T132" s="21"/>
      <c r="U132" s="22" t="str">
        <f>IFERROR(IF(IF(X132&gt;0,X132,IF(Z132&gt;0,Z132,IF(AB132&gt;0,AB132,0)))=0,"--",ROUND(CHOOSE(IF(X132&gt;0,X132,IF(Z132&gt;0,Z132,IF(AB132&gt;0,AB132,0))),IF(C132="peso_corporal",IF(ISNUMBER(E132),E132,0)+F132,F132)*(1+G132/30),IF(C132="peso_corporal",IF(ISNUMBER(E132),E132,0)+I132,I132)*(1+J132/30),IF(C132="peso_corporal",IF(ISNUMBER(E132),E132,0)+L132,L132)*(1+M132/30),IF(C132="peso_corporal",IF(ISNUMBER(E132),E132,0)+O132,O132)*(1+P132/30),IF(C132="peso_corporal",IF(ISNUMBER(E132),E132,0)+R132,R132)*(1+S132/30)),1)),"--")</f>
        <v>--</v>
      </c>
      <c r="V132" s="23" t="str">
        <f>IF(SUGERENCIAS!N325="SIN","Sin datos anteriores",IF(SUGERENCIAS!N325="SUBIR_F","^ SUBIR FUERTE | Kg:"&amp;ROUND(SUGERENCIAS!K325,1)&amp;" R:"&amp;ROUND(SUGERENCIAS!L325,0)&amp;" RIR:"&amp;ROUND(SUGERENCIAS!M325,0),IF(SUGERENCIAS!N325="SUBIR_E","^ SUBIR (Est.) | Kg:"&amp;ROUND(SUGERENCIAS!K325,1)&amp;" R:"&amp;ROUND(SUGERENCIAS!L325,0)&amp;" RIR:"&amp;ROUND(SUGERENCIAS!M325,0),IF(SUGERENCIAS!N325="SUBIR","^ SUBIR | Kg:"&amp;ROUND(SUGERENCIAS!K325,1)&amp;" R:"&amp;ROUND(SUGERENCIAS!L325,0)&amp;" RIR:"&amp;ROUND(SUGERENCIAS!M325,0),IF(SUGERENCIAS!N325="BAJAR","v BAJAR | Kg:"&amp;ROUND(SUGERENCIAS!K325,1)&amp;" R:"&amp;ROUND(SUGERENCIAS!L325,0)&amp;" RIR:"&amp;ROUND(SUGERENCIAS!M325,0),"= MANT | Kg:"&amp;ROUND(SUGERENCIAS!K325,1)&amp;" R:"&amp;ROUND(SUGERENCIAS!L325,0)&amp;" RIR:"&amp;ROUND(SUGERENCIAS!M325,0))))))</f>
        <v>Sin datos anteriores</v>
      </c>
      <c r="W132" s="69">
        <f>MAX(IF((G132&gt;0)*(IF(H132="",-1,H132)&gt;=0)*(IF(H132="",-1,H132)&lt;=1),IF(C132="peso_corporal",IF(ISNUMBER(E132),E132,0)+F132,F132)*G132*1000+F132,0),IF((J132&gt;0)*(IF(K132="",-1,K132)&gt;=0)*(IF(K132="",-1,K132)&lt;=1),IF(C132="peso_corporal",IF(ISNUMBER(E132),E132,0)+I132,I132)*J132*1000+I132,0),IF((M132&gt;0)*(IF(N132="",-1,N132)&gt;=0)*(IF(N132="",-1,N132)&lt;=1),IF(C132="peso_corporal",IF(ISNUMBER(E132),E132,0)+L132,L132)*M132*1000+L132,0),IF((P132&gt;0)*(IF(Q132="",-1,Q132)&gt;=0)*(IF(Q132="",-1,Q132)&lt;=1),IF(C132="peso_corporal",IF(ISNUMBER(E132),E132,0)+O132,O132)*P132*1000+O132,0),IF((S132&gt;0)*(IF(T132="",-1,T132)&gt;=0)*(IF(T132="",-1,T132)&lt;=1),IF(C132="peso_corporal",IF(ISNUMBER(E132),E132,0)+R132,R132)*S132*1000+R132,0))</f>
        <v>0</v>
      </c>
      <c r="X132" s="69">
        <f>IF(W132=0,0,IF(IF((S132&gt;0)*(IF(T132="",-1,T132)&gt;=0)*(IF(T132="",-1,T132)&lt;=1),IF(C132="peso_corporal",IF(ISNUMBER(E132),E132,0)+R132,R132)*S132*1000+R132,0)=W132,5,IF(IF((P132&gt;0)*(IF(Q132="",-1,Q132)&gt;=0)*(IF(Q132="",-1,Q132)&lt;=1),IF(C132="peso_corporal",IF(ISNUMBER(E132),E132,0)+O132,O132)*P132*1000+O132,0)=W132,4,IF(IF((M132&gt;0)*(IF(N132="",-1,N132)&gt;=0)*(IF(N132="",-1,N132)&lt;=1),IF(C132="peso_corporal",IF(ISNUMBER(E132),E132,0)+L132,L132)*M132*1000+L132,0)=W132,3,IF(IF((J132&gt;0)*(IF(K132="",-1,K132)&gt;=0)*(IF(K132="",-1,K132)&lt;=1),IF(C132="peso_corporal",IF(ISNUMBER(E132),E132,0)+I132,I132)*J132*1000+I132,0)=W132,2,IF(IF((G132&gt;0)*(IF(H132="",-1,H132)&gt;=0)*(IF(H132="",-1,H132)&lt;=1),IF(C132="peso_corporal",IF(ISNUMBER(E132),E132,0)+F132,F132)*G132*1000+F132,0)=W132,1,0))))))</f>
        <v>0</v>
      </c>
      <c r="Y132" s="69">
        <f>MAX(IF((G132&gt;0)*(IF(H132="",-1,H132)=0)*(1-(IF(H132="",-1,H132)&gt;=0)*(IF(H132="",-1,H132)&lt;=1)),IF(C132="peso_corporal",IF(ISNUMBER(E132),E132,0)+F132,F132)*G132*1000+F132,0),IF((J132&gt;0)*(IF(K132="",-1,K132)=0)*(1-(IF(K132="",-1,K132)&gt;=0)*(IF(K132="",-1,K132)&lt;=1)),IF(C132="peso_corporal",IF(ISNUMBER(E132),E132,0)+I132,I132)*J132*1000+I132,0),IF((M132&gt;0)*(IF(N132="",-1,N132)=0)*(1-(IF(N132="",-1,N132)&gt;=0)*(IF(N132="",-1,N132)&lt;=1)),IF(C132="peso_corporal",IF(ISNUMBER(E132),E132,0)+L132,L132)*M132*1000+L132,0),IF((P132&gt;0)*(IF(Q132="",-1,Q132)=0)*(1-(IF(Q132="",-1,Q132)&gt;=0)*(IF(Q132="",-1,Q132)&lt;=1)),IF(C132="peso_corporal",IF(ISNUMBER(E132),E132,0)+O132,O132)*P132*1000+O132,0),IF((S132&gt;0)*(IF(T132="",-1,T132)=0)*(1-(IF(T132="",-1,T132)&gt;=0)*(IF(T132="",-1,T132)&lt;=1)),IF(C132="peso_corporal",IF(ISNUMBER(E132),E132,0)+R132,R132)*S132*1000+R132,0))</f>
        <v>0</v>
      </c>
      <c r="Z132" s="69">
        <f>IF(Y132=0,0,IF(IF((S132&gt;0)*(IF(T132="",-1,T132)=0)*(1-(IF(T132="",-1,T132)&gt;=0)*(IF(T132="",-1,T132)&lt;=1)),IF(C132="peso_corporal",IF(ISNUMBER(E132),E132,0)+R132,R132)*S132*1000+R132,0)=Y132,5,IF(IF((P132&gt;0)*(IF(Q132="",-1,Q132)=0)*(1-(IF(Q132="",-1,Q132)&gt;=0)*(IF(Q132="",-1,Q132)&lt;=1)),IF(C132="peso_corporal",IF(ISNUMBER(E132),E132,0)+O132,O132)*P132*1000+O132,0)=Y132,4,IF(IF((M132&gt;0)*(IF(N132="",-1,N132)=0)*(1-(IF(N132="",-1,N132)&gt;=0)*(IF(N132="",-1,N132)&lt;=1)),IF(C132="peso_corporal",IF(ISNUMBER(E132),E132,0)+L132,L132)*M132*1000+L132,0)=Y132,3,IF(IF((J132&gt;0)*(IF(K132="",-1,K132)=0)*(1-(IF(K132="",-1,K132)&gt;=0)*(IF(K132="",-1,K132)&lt;=1)),IF(C132="peso_corporal",IF(ISNUMBER(E132),E132,0)+I132,I132)*J132*1000+I132,0)=Y132,2,IF(IF((G132&gt;0)*(IF(H132="",-1,H132)=0)*(1-(IF(H132="",-1,H132)&gt;=0)*(IF(H132="",-1,H132)&lt;=1)),IF(C132="peso_corporal",IF(ISNUMBER(E132),E132,0)+F132,F132)*G132*1000+F132,0)=Y132,1,0))))))</f>
        <v>0</v>
      </c>
      <c r="AA132" s="69">
        <f>MAX(IF((G132&gt;=3)*(1-(IF(H132="",-1,H132)&gt;=0)*(IF(H132="",-1,H132)&lt;=1))*(1-(IF(H132="",-1,H132)=0)),IF(C132="peso_corporal",IF(ISNUMBER(E132),E132,0)+F132,F132)*(30+G132)*100+F132,0),IF((J132&gt;=3)*(1-(IF(K132="",-1,K132)&gt;=0)*(IF(K132="",-1,K132)&lt;=1))*(1-(IF(K132="",-1,K132)=0)),IF(C132="peso_corporal",IF(ISNUMBER(E132),E132,0)+I132,I132)*(30+J132)*100+I132,0),IF((M132&gt;=3)*(1-(IF(N132="",-1,N132)&gt;=0)*(IF(N132="",-1,N132)&lt;=1))*(1-(IF(N132="",-1,N132)=0)),IF(C132="peso_corporal",IF(ISNUMBER(E132),E132,0)+L132,L132)*(30+M132)*100+L132,0),IF((P132&gt;=3)*(1-(IF(Q132="",-1,Q132)&gt;=0)*(IF(Q132="",-1,Q132)&lt;=1))*(1-(IF(Q132="",-1,Q132)=0)),IF(C132="peso_corporal",IF(ISNUMBER(E132),E132,0)+O132,O132)*(30+P132)*100+O132,0),IF((S132&gt;=3)*(1-(IF(T132="",-1,T132)&gt;=0)*(IF(T132="",-1,T132)&lt;=1))*(1-(IF(T132="",-1,T132)=0)),IF(C132="peso_corporal",IF(ISNUMBER(E132),E132,0)+R132,R132)*(30+S132)*100+R132,0))</f>
        <v>0</v>
      </c>
      <c r="AB132" s="69">
        <f>IF(AA132=0,0,IF(IF((S132&gt;=3)*(1-(IF(T132="",-1,T132)&gt;=0)*(IF(T132="",-1,T132)&lt;=1))*(1-(IF(T132="",-1,T132)=0)),IF(C132="peso_corporal",IF(ISNUMBER(E132),E132,0)+R132,R132)*(30+S132)*100+R132,0)=AA132,5,IF(IF((P132&gt;=3)*(1-(IF(Q132="",-1,Q132)&gt;=0)*(IF(Q132="",-1,Q132)&lt;=1))*(1-(IF(Q132="",-1,Q132)=0)),IF(C132="peso_corporal",IF(ISNUMBER(E132),E132,0)+O132,O132)*(30+P132)*100+O132,0)=AA132,4,IF(IF((M132&gt;=3)*(1-(IF(N132="",-1,N132)&gt;=0)*(IF(N132="",-1,N132)&lt;=1))*(1-(IF(N132="",-1,N132)=0)),IF(C132="peso_corporal",IF(ISNUMBER(E132),E132,0)+L132,L132)*(30+M132)*100+L132,0)=AA132,3,IF(IF((J132&gt;=3)*(1-(IF(K132="",-1,K132)&gt;=0)*(IF(K132="",-1,K132)&lt;=1))*(1-(IF(K132="",-1,K132)=0)),IF(C132="peso_corporal",IF(ISNUMBER(E132),E132,0)+I132,I132)*(30+J132)*100+I132,0)=AA132,2,IF(IF((G132&gt;=3)*(1-(IF(H132="",-1,H132)&gt;=0)*(IF(H132="",-1,H132)&lt;=1))*(1-(IF(H132="",-1,H132)=0)),IF(C132="peso_corporal",IF(ISNUMBER(E132),E132,0)+F132,F132)*(30+G132)*100+F132,0)=AA132,1,0))))))</f>
        <v>0</v>
      </c>
      <c r="AC132" s="69" t="str">
        <f>IF(X132&gt;0,"A"&amp;X132,IF(Z132&gt;0,"B"&amp;Z132,IF(AB132&gt;0,"C"&amp;AB132,"")))</f>
        <v/>
      </c>
    </row>
    <row r="133" spans="1:29" ht="15" customHeight="1">
      <c r="A133" s="82" t="s">
        <v>47</v>
      </c>
      <c r="B133" s="73"/>
      <c r="C133" s="73"/>
      <c r="D133" s="73"/>
      <c r="E133" s="73"/>
      <c r="F133" s="73"/>
      <c r="G133" s="73"/>
      <c r="H133" s="73"/>
      <c r="I133" s="73"/>
      <c r="J133" s="73"/>
      <c r="K133" s="73"/>
      <c r="L133" s="73"/>
      <c r="M133" s="73"/>
      <c r="N133" s="73"/>
      <c r="O133" s="73"/>
      <c r="P133" s="73"/>
      <c r="Q133" s="73"/>
      <c r="R133" s="73"/>
      <c r="S133" s="73"/>
      <c r="T133" s="73"/>
      <c r="U133" s="73"/>
      <c r="V133" s="73"/>
      <c r="W133" s="69"/>
      <c r="X133" s="69"/>
      <c r="Y133" s="69"/>
      <c r="Z133" s="69"/>
      <c r="AA133" s="69"/>
      <c r="AB133" s="69"/>
      <c r="AC133" s="69"/>
    </row>
    <row r="134" spans="1:29" ht="20.100000000000001" customHeight="1">
      <c r="A134" s="14" t="s">
        <v>48</v>
      </c>
      <c r="B134" s="15" t="s">
        <v>64</v>
      </c>
      <c r="C134" s="16" t="str">
        <f>IFERROR(INDEX(EJERCICIOS!$D$3:$D$75,MATCH(A134&amp;"|"&amp;B134,EJERCICIOS!$G$3:$G$75,0)),"--")</f>
        <v>--</v>
      </c>
      <c r="D134" s="17">
        <v>3</v>
      </c>
      <c r="E134" s="18">
        <f>IFERROR(LOOKUP(2,1/(MEDIDAS_Y_PESO!$B$3:$B$8&lt;&gt;""),MEDIDAS_Y_PESO!$B$3:$B$8),"--")</f>
        <v>80</v>
      </c>
      <c r="F134" s="19"/>
      <c r="G134" s="20"/>
      <c r="H134" s="21"/>
      <c r="I134" s="19"/>
      <c r="J134" s="20"/>
      <c r="K134" s="21"/>
      <c r="L134" s="19"/>
      <c r="M134" s="20"/>
      <c r="N134" s="21"/>
      <c r="O134" s="19"/>
      <c r="P134" s="20"/>
      <c r="Q134" s="21"/>
      <c r="R134" s="19"/>
      <c r="S134" s="20"/>
      <c r="T134" s="21"/>
      <c r="U134" s="22" t="str">
        <f>IFERROR(IF(IF(X134&gt;0,X134,IF(Z134&gt;0,Z134,IF(AB134&gt;0,AB134,0)))=0,"--",ROUND(CHOOSE(IF(X134&gt;0,X134,IF(Z134&gt;0,Z134,IF(AB134&gt;0,AB134,0))),IF(C134="peso_corporal",IF(ISNUMBER(E134),E134,0)+F134,F134)*(1+G134/30),IF(C134="peso_corporal",IF(ISNUMBER(E134),E134,0)+I134,I134)*(1+J134/30),IF(C134="peso_corporal",IF(ISNUMBER(E134),E134,0)+L134,L134)*(1+M134/30),IF(C134="peso_corporal",IF(ISNUMBER(E134),E134,0)+O134,O134)*(1+P134/30),IF(C134="peso_corporal",IF(ISNUMBER(E134),E134,0)+R134,R134)*(1+S134/30)),1)),"--")</f>
        <v>--</v>
      </c>
      <c r="V134" s="23" t="str">
        <f>IF(SUGERENCIAS!N326="SIN","Sin datos anteriores",IF(SUGERENCIAS!N326="SUBIR_F","^ SUBIR FUERTE | Kg:"&amp;ROUND(SUGERENCIAS!K326,1)&amp;" R:"&amp;ROUND(SUGERENCIAS!L326,0)&amp;" RIR:"&amp;ROUND(SUGERENCIAS!M326,0),IF(SUGERENCIAS!N326="SUBIR_E","^ SUBIR (Est.) | Kg:"&amp;ROUND(SUGERENCIAS!K326,1)&amp;" R:"&amp;ROUND(SUGERENCIAS!L326,0)&amp;" RIR:"&amp;ROUND(SUGERENCIAS!M326,0),IF(SUGERENCIAS!N326="SUBIR","^ SUBIR | Kg:"&amp;ROUND(SUGERENCIAS!K326,1)&amp;" R:"&amp;ROUND(SUGERENCIAS!L326,0)&amp;" RIR:"&amp;ROUND(SUGERENCIAS!M326,0),IF(SUGERENCIAS!N326="BAJAR","v BAJAR | Kg:"&amp;ROUND(SUGERENCIAS!K326,1)&amp;" R:"&amp;ROUND(SUGERENCIAS!L326,0)&amp;" RIR:"&amp;ROUND(SUGERENCIAS!M326,0),"= MANT | Kg:"&amp;ROUND(SUGERENCIAS!K326,1)&amp;" R:"&amp;ROUND(SUGERENCIAS!L326,0)&amp;" RIR:"&amp;ROUND(SUGERENCIAS!M326,0))))))</f>
        <v>Sin datos anteriores</v>
      </c>
      <c r="W134" s="69">
        <f>MAX(IF((G134&gt;0)*(IF(H134="",-1,H134)&gt;=0)*(IF(H134="",-1,H134)&lt;=1),IF(C134="peso_corporal",IF(ISNUMBER(E134),E134,0)+F134,F134)*G134*1000+F134,0),IF((J134&gt;0)*(IF(K134="",-1,K134)&gt;=0)*(IF(K134="",-1,K134)&lt;=1),IF(C134="peso_corporal",IF(ISNUMBER(E134),E134,0)+I134,I134)*J134*1000+I134,0),IF((M134&gt;0)*(IF(N134="",-1,N134)&gt;=0)*(IF(N134="",-1,N134)&lt;=1),IF(C134="peso_corporal",IF(ISNUMBER(E134),E134,0)+L134,L134)*M134*1000+L134,0),IF((P134&gt;0)*(IF(Q134="",-1,Q134)&gt;=0)*(IF(Q134="",-1,Q134)&lt;=1),IF(C134="peso_corporal",IF(ISNUMBER(E134),E134,0)+O134,O134)*P134*1000+O134,0),IF((S134&gt;0)*(IF(T134="",-1,T134)&gt;=0)*(IF(T134="",-1,T134)&lt;=1),IF(C134="peso_corporal",IF(ISNUMBER(E134),E134,0)+R134,R134)*S134*1000+R134,0))</f>
        <v>0</v>
      </c>
      <c r="X134" s="69">
        <f>IF(W134=0,0,IF(IF((S134&gt;0)*(IF(T134="",-1,T134)&gt;=0)*(IF(T134="",-1,T134)&lt;=1),IF(C134="peso_corporal",IF(ISNUMBER(E134),E134,0)+R134,R134)*S134*1000+R134,0)=W134,5,IF(IF((P134&gt;0)*(IF(Q134="",-1,Q134)&gt;=0)*(IF(Q134="",-1,Q134)&lt;=1),IF(C134="peso_corporal",IF(ISNUMBER(E134),E134,0)+O134,O134)*P134*1000+O134,0)=W134,4,IF(IF((M134&gt;0)*(IF(N134="",-1,N134)&gt;=0)*(IF(N134="",-1,N134)&lt;=1),IF(C134="peso_corporal",IF(ISNUMBER(E134),E134,0)+L134,L134)*M134*1000+L134,0)=W134,3,IF(IF((J134&gt;0)*(IF(K134="",-1,K134)&gt;=0)*(IF(K134="",-1,K134)&lt;=1),IF(C134="peso_corporal",IF(ISNUMBER(E134),E134,0)+I134,I134)*J134*1000+I134,0)=W134,2,IF(IF((G134&gt;0)*(IF(H134="",-1,H134)&gt;=0)*(IF(H134="",-1,H134)&lt;=1),IF(C134="peso_corporal",IF(ISNUMBER(E134),E134,0)+F134,F134)*G134*1000+F134,0)=W134,1,0))))))</f>
        <v>0</v>
      </c>
      <c r="Y134" s="69">
        <f>MAX(IF((G134&gt;0)*(IF(H134="",-1,H134)=0)*(1-(IF(H134="",-1,H134)&gt;=0)*(IF(H134="",-1,H134)&lt;=1)),IF(C134="peso_corporal",IF(ISNUMBER(E134),E134,0)+F134,F134)*G134*1000+F134,0),IF((J134&gt;0)*(IF(K134="",-1,K134)=0)*(1-(IF(K134="",-1,K134)&gt;=0)*(IF(K134="",-1,K134)&lt;=1)),IF(C134="peso_corporal",IF(ISNUMBER(E134),E134,0)+I134,I134)*J134*1000+I134,0),IF((M134&gt;0)*(IF(N134="",-1,N134)=0)*(1-(IF(N134="",-1,N134)&gt;=0)*(IF(N134="",-1,N134)&lt;=1)),IF(C134="peso_corporal",IF(ISNUMBER(E134),E134,0)+L134,L134)*M134*1000+L134,0),IF((P134&gt;0)*(IF(Q134="",-1,Q134)=0)*(1-(IF(Q134="",-1,Q134)&gt;=0)*(IF(Q134="",-1,Q134)&lt;=1)),IF(C134="peso_corporal",IF(ISNUMBER(E134),E134,0)+O134,O134)*P134*1000+O134,0),IF((S134&gt;0)*(IF(T134="",-1,T134)=0)*(1-(IF(T134="",-1,T134)&gt;=0)*(IF(T134="",-1,T134)&lt;=1)),IF(C134="peso_corporal",IF(ISNUMBER(E134),E134,0)+R134,R134)*S134*1000+R134,0))</f>
        <v>0</v>
      </c>
      <c r="Z134" s="69">
        <f>IF(Y134=0,0,IF(IF((S134&gt;0)*(IF(T134="",-1,T134)=0)*(1-(IF(T134="",-1,T134)&gt;=0)*(IF(T134="",-1,T134)&lt;=1)),IF(C134="peso_corporal",IF(ISNUMBER(E134),E134,0)+R134,R134)*S134*1000+R134,0)=Y134,5,IF(IF((P134&gt;0)*(IF(Q134="",-1,Q134)=0)*(1-(IF(Q134="",-1,Q134)&gt;=0)*(IF(Q134="",-1,Q134)&lt;=1)),IF(C134="peso_corporal",IF(ISNUMBER(E134),E134,0)+O134,O134)*P134*1000+O134,0)=Y134,4,IF(IF((M134&gt;0)*(IF(N134="",-1,N134)=0)*(1-(IF(N134="",-1,N134)&gt;=0)*(IF(N134="",-1,N134)&lt;=1)),IF(C134="peso_corporal",IF(ISNUMBER(E134),E134,0)+L134,L134)*M134*1000+L134,0)=Y134,3,IF(IF((J134&gt;0)*(IF(K134="",-1,K134)=0)*(1-(IF(K134="",-1,K134)&gt;=0)*(IF(K134="",-1,K134)&lt;=1)),IF(C134="peso_corporal",IF(ISNUMBER(E134),E134,0)+I134,I134)*J134*1000+I134,0)=Y134,2,IF(IF((G134&gt;0)*(IF(H134="",-1,H134)=0)*(1-(IF(H134="",-1,H134)&gt;=0)*(IF(H134="",-1,H134)&lt;=1)),IF(C134="peso_corporal",IF(ISNUMBER(E134),E134,0)+F134,F134)*G134*1000+F134,0)=Y134,1,0))))))</f>
        <v>0</v>
      </c>
      <c r="AA134" s="69">
        <f>MAX(IF((G134&gt;=3)*(1-(IF(H134="",-1,H134)&gt;=0)*(IF(H134="",-1,H134)&lt;=1))*(1-(IF(H134="",-1,H134)=0)),IF(C134="peso_corporal",IF(ISNUMBER(E134),E134,0)+F134,F134)*(30+G134)*100+F134,0),IF((J134&gt;=3)*(1-(IF(K134="",-1,K134)&gt;=0)*(IF(K134="",-1,K134)&lt;=1))*(1-(IF(K134="",-1,K134)=0)),IF(C134="peso_corporal",IF(ISNUMBER(E134),E134,0)+I134,I134)*(30+J134)*100+I134,0),IF((M134&gt;=3)*(1-(IF(N134="",-1,N134)&gt;=0)*(IF(N134="",-1,N134)&lt;=1))*(1-(IF(N134="",-1,N134)=0)),IF(C134="peso_corporal",IF(ISNUMBER(E134),E134,0)+L134,L134)*(30+M134)*100+L134,0),IF((P134&gt;=3)*(1-(IF(Q134="",-1,Q134)&gt;=0)*(IF(Q134="",-1,Q134)&lt;=1))*(1-(IF(Q134="",-1,Q134)=0)),IF(C134="peso_corporal",IF(ISNUMBER(E134),E134,0)+O134,O134)*(30+P134)*100+O134,0),IF((S134&gt;=3)*(1-(IF(T134="",-1,T134)&gt;=0)*(IF(T134="",-1,T134)&lt;=1))*(1-(IF(T134="",-1,T134)=0)),IF(C134="peso_corporal",IF(ISNUMBER(E134),E134,0)+R134,R134)*(30+S134)*100+R134,0))</f>
        <v>0</v>
      </c>
      <c r="AB134" s="69">
        <f>IF(AA134=0,0,IF(IF((S134&gt;=3)*(1-(IF(T134="",-1,T134)&gt;=0)*(IF(T134="",-1,T134)&lt;=1))*(1-(IF(T134="",-1,T134)=0)),IF(C134="peso_corporal",IF(ISNUMBER(E134),E134,0)+R134,R134)*(30+S134)*100+R134,0)=AA134,5,IF(IF((P134&gt;=3)*(1-(IF(Q134="",-1,Q134)&gt;=0)*(IF(Q134="",-1,Q134)&lt;=1))*(1-(IF(Q134="",-1,Q134)=0)),IF(C134="peso_corporal",IF(ISNUMBER(E134),E134,0)+O134,O134)*(30+P134)*100+O134,0)=AA134,4,IF(IF((M134&gt;=3)*(1-(IF(N134="",-1,N134)&gt;=0)*(IF(N134="",-1,N134)&lt;=1))*(1-(IF(N134="",-1,N134)=0)),IF(C134="peso_corporal",IF(ISNUMBER(E134),E134,0)+L134,L134)*(30+M134)*100+L134,0)=AA134,3,IF(IF((J134&gt;=3)*(1-(IF(K134="",-1,K134)&gt;=0)*(IF(K134="",-1,K134)&lt;=1))*(1-(IF(K134="",-1,K134)=0)),IF(C134="peso_corporal",IF(ISNUMBER(E134),E134,0)+I134,I134)*(30+J134)*100+I134,0)=AA134,2,IF(IF((G134&gt;=3)*(1-(IF(H134="",-1,H134)&gt;=0)*(IF(H134="",-1,H134)&lt;=1))*(1-(IF(H134="",-1,H134)=0)),IF(C134="peso_corporal",IF(ISNUMBER(E134),E134,0)+F134,F134)*(30+G134)*100+F134,0)=AA134,1,0))))))</f>
        <v>0</v>
      </c>
      <c r="AC134" s="69" t="str">
        <f>IF(X134&gt;0,"A"&amp;X134,IF(Z134&gt;0,"B"&amp;Z134,IF(AB134&gt;0,"C"&amp;AB134,"")))</f>
        <v/>
      </c>
    </row>
    <row r="135" spans="1:29" ht="15" customHeight="1">
      <c r="A135" s="88" t="s">
        <v>50</v>
      </c>
      <c r="B135" s="73"/>
      <c r="C135" s="73"/>
      <c r="D135" s="73"/>
      <c r="E135" s="73"/>
      <c r="F135" s="73"/>
      <c r="G135" s="73"/>
      <c r="H135" s="73"/>
      <c r="I135" s="73"/>
      <c r="J135" s="73"/>
      <c r="K135" s="73"/>
      <c r="L135" s="73"/>
      <c r="M135" s="73"/>
      <c r="N135" s="73"/>
      <c r="O135" s="73"/>
      <c r="P135" s="73"/>
      <c r="Q135" s="73"/>
      <c r="R135" s="73"/>
      <c r="S135" s="73"/>
      <c r="T135" s="73"/>
      <c r="U135" s="73"/>
      <c r="V135" s="73"/>
      <c r="W135" s="69"/>
      <c r="X135" s="69"/>
      <c r="Y135" s="69"/>
      <c r="Z135" s="69"/>
      <c r="AA135" s="69"/>
      <c r="AB135" s="69"/>
      <c r="AC135" s="69"/>
    </row>
    <row r="136" spans="1:29" ht="20.100000000000001" customHeight="1">
      <c r="A136" s="14" t="s">
        <v>65</v>
      </c>
      <c r="B136" s="15" t="s">
        <v>66</v>
      </c>
      <c r="C136" s="16" t="str">
        <f>IFERROR(INDEX(EJERCICIOS!$D$3:$D$75,MATCH(A136&amp;"|"&amp;B136,EJERCICIOS!$G$3:$G$75,0)),"--")</f>
        <v>--</v>
      </c>
      <c r="D136" s="17">
        <v>3</v>
      </c>
      <c r="E136" s="18">
        <f>IFERROR(LOOKUP(2,1/(MEDIDAS_Y_PESO!$B$3:$B$8&lt;&gt;""),MEDIDAS_Y_PESO!$B$3:$B$8),"--")</f>
        <v>80</v>
      </c>
      <c r="F136" s="19"/>
      <c r="G136" s="20"/>
      <c r="H136" s="21"/>
      <c r="I136" s="19"/>
      <c r="J136" s="20"/>
      <c r="K136" s="21"/>
      <c r="L136" s="19"/>
      <c r="M136" s="20"/>
      <c r="N136" s="21"/>
      <c r="O136" s="19"/>
      <c r="P136" s="20"/>
      <c r="Q136" s="21"/>
      <c r="R136" s="19"/>
      <c r="S136" s="20"/>
      <c r="T136" s="21"/>
      <c r="U136" s="22" t="str">
        <f>IFERROR(IF(IF(X136&gt;0,X136,IF(Z136&gt;0,Z136,IF(AB136&gt;0,AB136,0)))=0,"--",ROUND(CHOOSE(IF(X136&gt;0,X136,IF(Z136&gt;0,Z136,IF(AB136&gt;0,AB136,0))),IF(C136="peso_corporal",IF(ISNUMBER(E136),E136,0)+F136,F136)*(1+G136/30),IF(C136="peso_corporal",IF(ISNUMBER(E136),E136,0)+I136,I136)*(1+J136/30),IF(C136="peso_corporal",IF(ISNUMBER(E136),E136,0)+L136,L136)*(1+M136/30),IF(C136="peso_corporal",IF(ISNUMBER(E136),E136,0)+O136,O136)*(1+P136/30),IF(C136="peso_corporal",IF(ISNUMBER(E136),E136,0)+R136,R136)*(1+S136/30)),1)),"--")</f>
        <v>--</v>
      </c>
      <c r="V136" s="23" t="str">
        <f>IF(SUGERENCIAS!N327="SIN","Sin datos anteriores",IF(SUGERENCIAS!N327="SUBIR_F","^ SUBIR FUERTE | Kg:"&amp;ROUND(SUGERENCIAS!K327,1)&amp;" R:"&amp;ROUND(SUGERENCIAS!L327,0)&amp;" RIR:"&amp;ROUND(SUGERENCIAS!M327,0),IF(SUGERENCIAS!N327="SUBIR_E","^ SUBIR (Est.) | Kg:"&amp;ROUND(SUGERENCIAS!K327,1)&amp;" R:"&amp;ROUND(SUGERENCIAS!L327,0)&amp;" RIR:"&amp;ROUND(SUGERENCIAS!M327,0),IF(SUGERENCIAS!N327="SUBIR","^ SUBIR | Kg:"&amp;ROUND(SUGERENCIAS!K327,1)&amp;" R:"&amp;ROUND(SUGERENCIAS!L327,0)&amp;" RIR:"&amp;ROUND(SUGERENCIAS!M327,0),IF(SUGERENCIAS!N327="BAJAR","v BAJAR | Kg:"&amp;ROUND(SUGERENCIAS!K327,1)&amp;" R:"&amp;ROUND(SUGERENCIAS!L327,0)&amp;" RIR:"&amp;ROUND(SUGERENCIAS!M327,0),"= MANT | Kg:"&amp;ROUND(SUGERENCIAS!K327,1)&amp;" R:"&amp;ROUND(SUGERENCIAS!L327,0)&amp;" RIR:"&amp;ROUND(SUGERENCIAS!M327,0))))))</f>
        <v>Sin datos anteriores</v>
      </c>
      <c r="W136" s="69">
        <f>MAX(IF((G136&gt;0)*(IF(H136="",-1,H136)&gt;=0)*(IF(H136="",-1,H136)&lt;=1),IF(C136="peso_corporal",IF(ISNUMBER(E136),E136,0)+F136,F136)*G136*1000+F136,0),IF((J136&gt;0)*(IF(K136="",-1,K136)&gt;=0)*(IF(K136="",-1,K136)&lt;=1),IF(C136="peso_corporal",IF(ISNUMBER(E136),E136,0)+I136,I136)*J136*1000+I136,0),IF((M136&gt;0)*(IF(N136="",-1,N136)&gt;=0)*(IF(N136="",-1,N136)&lt;=1),IF(C136="peso_corporal",IF(ISNUMBER(E136),E136,0)+L136,L136)*M136*1000+L136,0),IF((P136&gt;0)*(IF(Q136="",-1,Q136)&gt;=0)*(IF(Q136="",-1,Q136)&lt;=1),IF(C136="peso_corporal",IF(ISNUMBER(E136),E136,0)+O136,O136)*P136*1000+O136,0),IF((S136&gt;0)*(IF(T136="",-1,T136)&gt;=0)*(IF(T136="",-1,T136)&lt;=1),IF(C136="peso_corporal",IF(ISNUMBER(E136),E136,0)+R136,R136)*S136*1000+R136,0))</f>
        <v>0</v>
      </c>
      <c r="X136" s="69">
        <f>IF(W136=0,0,IF(IF((S136&gt;0)*(IF(T136="",-1,T136)&gt;=0)*(IF(T136="",-1,T136)&lt;=1),IF(C136="peso_corporal",IF(ISNUMBER(E136),E136,0)+R136,R136)*S136*1000+R136,0)=W136,5,IF(IF((P136&gt;0)*(IF(Q136="",-1,Q136)&gt;=0)*(IF(Q136="",-1,Q136)&lt;=1),IF(C136="peso_corporal",IF(ISNUMBER(E136),E136,0)+O136,O136)*P136*1000+O136,0)=W136,4,IF(IF((M136&gt;0)*(IF(N136="",-1,N136)&gt;=0)*(IF(N136="",-1,N136)&lt;=1),IF(C136="peso_corporal",IF(ISNUMBER(E136),E136,0)+L136,L136)*M136*1000+L136,0)=W136,3,IF(IF((J136&gt;0)*(IF(K136="",-1,K136)&gt;=0)*(IF(K136="",-1,K136)&lt;=1),IF(C136="peso_corporal",IF(ISNUMBER(E136),E136,0)+I136,I136)*J136*1000+I136,0)=W136,2,IF(IF((G136&gt;0)*(IF(H136="",-1,H136)&gt;=0)*(IF(H136="",-1,H136)&lt;=1),IF(C136="peso_corporal",IF(ISNUMBER(E136),E136,0)+F136,F136)*G136*1000+F136,0)=W136,1,0))))))</f>
        <v>0</v>
      </c>
      <c r="Y136" s="69">
        <f>MAX(IF((G136&gt;0)*(IF(H136="",-1,H136)=0)*(1-(IF(H136="",-1,H136)&gt;=0)*(IF(H136="",-1,H136)&lt;=1)),IF(C136="peso_corporal",IF(ISNUMBER(E136),E136,0)+F136,F136)*G136*1000+F136,0),IF((J136&gt;0)*(IF(K136="",-1,K136)=0)*(1-(IF(K136="",-1,K136)&gt;=0)*(IF(K136="",-1,K136)&lt;=1)),IF(C136="peso_corporal",IF(ISNUMBER(E136),E136,0)+I136,I136)*J136*1000+I136,0),IF((M136&gt;0)*(IF(N136="",-1,N136)=0)*(1-(IF(N136="",-1,N136)&gt;=0)*(IF(N136="",-1,N136)&lt;=1)),IF(C136="peso_corporal",IF(ISNUMBER(E136),E136,0)+L136,L136)*M136*1000+L136,0),IF((P136&gt;0)*(IF(Q136="",-1,Q136)=0)*(1-(IF(Q136="",-1,Q136)&gt;=0)*(IF(Q136="",-1,Q136)&lt;=1)),IF(C136="peso_corporal",IF(ISNUMBER(E136),E136,0)+O136,O136)*P136*1000+O136,0),IF((S136&gt;0)*(IF(T136="",-1,T136)=0)*(1-(IF(T136="",-1,T136)&gt;=0)*(IF(T136="",-1,T136)&lt;=1)),IF(C136="peso_corporal",IF(ISNUMBER(E136),E136,0)+R136,R136)*S136*1000+R136,0))</f>
        <v>0</v>
      </c>
      <c r="Z136" s="69">
        <f>IF(Y136=0,0,IF(IF((S136&gt;0)*(IF(T136="",-1,T136)=0)*(1-(IF(T136="",-1,T136)&gt;=0)*(IF(T136="",-1,T136)&lt;=1)),IF(C136="peso_corporal",IF(ISNUMBER(E136),E136,0)+R136,R136)*S136*1000+R136,0)=Y136,5,IF(IF((P136&gt;0)*(IF(Q136="",-1,Q136)=0)*(1-(IF(Q136="",-1,Q136)&gt;=0)*(IF(Q136="",-1,Q136)&lt;=1)),IF(C136="peso_corporal",IF(ISNUMBER(E136),E136,0)+O136,O136)*P136*1000+O136,0)=Y136,4,IF(IF((M136&gt;0)*(IF(N136="",-1,N136)=0)*(1-(IF(N136="",-1,N136)&gt;=0)*(IF(N136="",-1,N136)&lt;=1)),IF(C136="peso_corporal",IF(ISNUMBER(E136),E136,0)+L136,L136)*M136*1000+L136,0)=Y136,3,IF(IF((J136&gt;0)*(IF(K136="",-1,K136)=0)*(1-(IF(K136="",-1,K136)&gt;=0)*(IF(K136="",-1,K136)&lt;=1)),IF(C136="peso_corporal",IF(ISNUMBER(E136),E136,0)+I136,I136)*J136*1000+I136,0)=Y136,2,IF(IF((G136&gt;0)*(IF(H136="",-1,H136)=0)*(1-(IF(H136="",-1,H136)&gt;=0)*(IF(H136="",-1,H136)&lt;=1)),IF(C136="peso_corporal",IF(ISNUMBER(E136),E136,0)+F136,F136)*G136*1000+F136,0)=Y136,1,0))))))</f>
        <v>0</v>
      </c>
      <c r="AA136" s="69">
        <f>MAX(IF((G136&gt;=3)*(1-(IF(H136="",-1,H136)&gt;=0)*(IF(H136="",-1,H136)&lt;=1))*(1-(IF(H136="",-1,H136)=0)),IF(C136="peso_corporal",IF(ISNUMBER(E136),E136,0)+F136,F136)*(30+G136)*100+F136,0),IF((J136&gt;=3)*(1-(IF(K136="",-1,K136)&gt;=0)*(IF(K136="",-1,K136)&lt;=1))*(1-(IF(K136="",-1,K136)=0)),IF(C136="peso_corporal",IF(ISNUMBER(E136),E136,0)+I136,I136)*(30+J136)*100+I136,0),IF((M136&gt;=3)*(1-(IF(N136="",-1,N136)&gt;=0)*(IF(N136="",-1,N136)&lt;=1))*(1-(IF(N136="",-1,N136)=0)),IF(C136="peso_corporal",IF(ISNUMBER(E136),E136,0)+L136,L136)*(30+M136)*100+L136,0),IF((P136&gt;=3)*(1-(IF(Q136="",-1,Q136)&gt;=0)*(IF(Q136="",-1,Q136)&lt;=1))*(1-(IF(Q136="",-1,Q136)=0)),IF(C136="peso_corporal",IF(ISNUMBER(E136),E136,0)+O136,O136)*(30+P136)*100+O136,0),IF((S136&gt;=3)*(1-(IF(T136="",-1,T136)&gt;=0)*(IF(T136="",-1,T136)&lt;=1))*(1-(IF(T136="",-1,T136)=0)),IF(C136="peso_corporal",IF(ISNUMBER(E136),E136,0)+R136,R136)*(30+S136)*100+R136,0))</f>
        <v>0</v>
      </c>
      <c r="AB136" s="69">
        <f>IF(AA136=0,0,IF(IF((S136&gt;=3)*(1-(IF(T136="",-1,T136)&gt;=0)*(IF(T136="",-1,T136)&lt;=1))*(1-(IF(T136="",-1,T136)=0)),IF(C136="peso_corporal",IF(ISNUMBER(E136),E136,0)+R136,R136)*(30+S136)*100+R136,0)=AA136,5,IF(IF((P136&gt;=3)*(1-(IF(Q136="",-1,Q136)&gt;=0)*(IF(Q136="",-1,Q136)&lt;=1))*(1-(IF(Q136="",-1,Q136)=0)),IF(C136="peso_corporal",IF(ISNUMBER(E136),E136,0)+O136,O136)*(30+P136)*100+O136,0)=AA136,4,IF(IF((M136&gt;=3)*(1-(IF(N136="",-1,N136)&gt;=0)*(IF(N136="",-1,N136)&lt;=1))*(1-(IF(N136="",-1,N136)=0)),IF(C136="peso_corporal",IF(ISNUMBER(E136),E136,0)+L136,L136)*(30+M136)*100+L136,0)=AA136,3,IF(IF((J136&gt;=3)*(1-(IF(K136="",-1,K136)&gt;=0)*(IF(K136="",-1,K136)&lt;=1))*(1-(IF(K136="",-1,K136)=0)),IF(C136="peso_corporal",IF(ISNUMBER(E136),E136,0)+I136,I136)*(30+J136)*100+I136,0)=AA136,2,IF(IF((G136&gt;=3)*(1-(IF(H136="",-1,H136)&gt;=0)*(IF(H136="",-1,H136)&lt;=1))*(1-(IF(H136="",-1,H136)=0)),IF(C136="peso_corporal",IF(ISNUMBER(E136),E136,0)+F136,F136)*(30+G136)*100+F136,0)=AA136,1,0))))))</f>
        <v>0</v>
      </c>
      <c r="AC136" s="69" t="str">
        <f>IF(X136&gt;0,"A"&amp;X136,IF(Z136&gt;0,"B"&amp;Z136,IF(AB136&gt;0,"C"&amp;AB136,"")))</f>
        <v/>
      </c>
    </row>
    <row r="137" spans="1:29" ht="15" customHeight="1">
      <c r="A137" s="81" t="s">
        <v>53</v>
      </c>
      <c r="B137" s="73"/>
      <c r="C137" s="73"/>
      <c r="D137" s="73"/>
      <c r="E137" s="73"/>
      <c r="F137" s="73"/>
      <c r="G137" s="73"/>
      <c r="H137" s="73"/>
      <c r="I137" s="73"/>
      <c r="J137" s="73"/>
      <c r="K137" s="73"/>
      <c r="L137" s="73"/>
      <c r="M137" s="73"/>
      <c r="N137" s="73"/>
      <c r="O137" s="73"/>
      <c r="P137" s="73"/>
      <c r="Q137" s="73"/>
      <c r="R137" s="73"/>
      <c r="S137" s="73"/>
      <c r="T137" s="73"/>
      <c r="U137" s="73"/>
      <c r="V137" s="73"/>
      <c r="W137" s="69"/>
      <c r="X137" s="69"/>
      <c r="Y137" s="69"/>
      <c r="Z137" s="69"/>
      <c r="AA137" s="69"/>
      <c r="AB137" s="69"/>
      <c r="AC137" s="69"/>
    </row>
    <row r="138" spans="1:29" ht="20.100000000000001" customHeight="1">
      <c r="A138" s="14" t="s">
        <v>54</v>
      </c>
      <c r="B138" s="15" t="s">
        <v>67</v>
      </c>
      <c r="C138" s="16" t="str">
        <f>IFERROR(INDEX(EJERCICIOS!$D$3:$D$75,MATCH(A138&amp;"|"&amp;B138,EJERCICIOS!$G$3:$G$75,0)),"--")</f>
        <v>mancuerna</v>
      </c>
      <c r="D138" s="17">
        <v>3</v>
      </c>
      <c r="E138" s="18">
        <f>IFERROR(LOOKUP(2,1/(MEDIDAS_Y_PESO!$B$3:$B$8&lt;&gt;""),MEDIDAS_Y_PESO!$B$3:$B$8),"--")</f>
        <v>80</v>
      </c>
      <c r="F138" s="19"/>
      <c r="G138" s="20"/>
      <c r="H138" s="21"/>
      <c r="I138" s="19"/>
      <c r="J138" s="20"/>
      <c r="K138" s="21"/>
      <c r="L138" s="19"/>
      <c r="M138" s="20"/>
      <c r="N138" s="21"/>
      <c r="O138" s="19"/>
      <c r="P138" s="20"/>
      <c r="Q138" s="21"/>
      <c r="R138" s="19"/>
      <c r="S138" s="20"/>
      <c r="T138" s="21"/>
      <c r="U138" s="22" t="str">
        <f>IFERROR(IF(IF(X138&gt;0,X138,IF(Z138&gt;0,Z138,IF(AB138&gt;0,AB138,0)))=0,"--",ROUND(CHOOSE(IF(X138&gt;0,X138,IF(Z138&gt;0,Z138,IF(AB138&gt;0,AB138,0))),IF(C138="peso_corporal",IF(ISNUMBER(E138),E138,0)+F138,F138)*(1+G138/30),IF(C138="peso_corporal",IF(ISNUMBER(E138),E138,0)+I138,I138)*(1+J138/30),IF(C138="peso_corporal",IF(ISNUMBER(E138),E138,0)+L138,L138)*(1+M138/30),IF(C138="peso_corporal",IF(ISNUMBER(E138),E138,0)+O138,O138)*(1+P138/30),IF(C138="peso_corporal",IF(ISNUMBER(E138),E138,0)+R138,R138)*(1+S138/30)),1)),"--")</f>
        <v>--</v>
      </c>
      <c r="V138" s="23" t="str">
        <f>IF(SUGERENCIAS!N328="SIN","Sin datos anteriores",IF(SUGERENCIAS!N328="SUBIR_F","^ SUBIR FUERTE | Kg:"&amp;ROUND(SUGERENCIAS!K328,1)&amp;" R:"&amp;ROUND(SUGERENCIAS!L328,0)&amp;" RIR:"&amp;ROUND(SUGERENCIAS!M328,0),IF(SUGERENCIAS!N328="SUBIR_E","^ SUBIR (Est.) | Kg:"&amp;ROUND(SUGERENCIAS!K328,1)&amp;" R:"&amp;ROUND(SUGERENCIAS!L328,0)&amp;" RIR:"&amp;ROUND(SUGERENCIAS!M328,0),IF(SUGERENCIAS!N328="SUBIR","^ SUBIR | Kg:"&amp;ROUND(SUGERENCIAS!K328,1)&amp;" R:"&amp;ROUND(SUGERENCIAS!L328,0)&amp;" RIR:"&amp;ROUND(SUGERENCIAS!M328,0),IF(SUGERENCIAS!N328="BAJAR","v BAJAR | Kg:"&amp;ROUND(SUGERENCIAS!K328,1)&amp;" R:"&amp;ROUND(SUGERENCIAS!L328,0)&amp;" RIR:"&amp;ROUND(SUGERENCIAS!M328,0),"= MANT | Kg:"&amp;ROUND(SUGERENCIAS!K328,1)&amp;" R:"&amp;ROUND(SUGERENCIAS!L328,0)&amp;" RIR:"&amp;ROUND(SUGERENCIAS!M328,0))))))</f>
        <v>Sin datos anteriores</v>
      </c>
      <c r="W138" s="69">
        <f>MAX(IF((G138&gt;0)*(IF(H138="",-1,H138)&gt;=0)*(IF(H138="",-1,H138)&lt;=1),IF(C138="peso_corporal",IF(ISNUMBER(E138),E138,0)+F138,F138)*G138*1000+F138,0),IF((J138&gt;0)*(IF(K138="",-1,K138)&gt;=0)*(IF(K138="",-1,K138)&lt;=1),IF(C138="peso_corporal",IF(ISNUMBER(E138),E138,0)+I138,I138)*J138*1000+I138,0),IF((M138&gt;0)*(IF(N138="",-1,N138)&gt;=0)*(IF(N138="",-1,N138)&lt;=1),IF(C138="peso_corporal",IF(ISNUMBER(E138),E138,0)+L138,L138)*M138*1000+L138,0),IF((P138&gt;0)*(IF(Q138="",-1,Q138)&gt;=0)*(IF(Q138="",-1,Q138)&lt;=1),IF(C138="peso_corporal",IF(ISNUMBER(E138),E138,0)+O138,O138)*P138*1000+O138,0),IF((S138&gt;0)*(IF(T138="",-1,T138)&gt;=0)*(IF(T138="",-1,T138)&lt;=1),IF(C138="peso_corporal",IF(ISNUMBER(E138),E138,0)+R138,R138)*S138*1000+R138,0))</f>
        <v>0</v>
      </c>
      <c r="X138" s="69">
        <f>IF(W138=0,0,IF(IF((S138&gt;0)*(IF(T138="",-1,T138)&gt;=0)*(IF(T138="",-1,T138)&lt;=1),IF(C138="peso_corporal",IF(ISNUMBER(E138),E138,0)+R138,R138)*S138*1000+R138,0)=W138,5,IF(IF((P138&gt;0)*(IF(Q138="",-1,Q138)&gt;=0)*(IF(Q138="",-1,Q138)&lt;=1),IF(C138="peso_corporal",IF(ISNUMBER(E138),E138,0)+O138,O138)*P138*1000+O138,0)=W138,4,IF(IF((M138&gt;0)*(IF(N138="",-1,N138)&gt;=0)*(IF(N138="",-1,N138)&lt;=1),IF(C138="peso_corporal",IF(ISNUMBER(E138),E138,0)+L138,L138)*M138*1000+L138,0)=W138,3,IF(IF((J138&gt;0)*(IF(K138="",-1,K138)&gt;=0)*(IF(K138="",-1,K138)&lt;=1),IF(C138="peso_corporal",IF(ISNUMBER(E138),E138,0)+I138,I138)*J138*1000+I138,0)=W138,2,IF(IF((G138&gt;0)*(IF(H138="",-1,H138)&gt;=0)*(IF(H138="",-1,H138)&lt;=1),IF(C138="peso_corporal",IF(ISNUMBER(E138),E138,0)+F138,F138)*G138*1000+F138,0)=W138,1,0))))))</f>
        <v>0</v>
      </c>
      <c r="Y138" s="69">
        <f>MAX(IF((G138&gt;0)*(IF(H138="",-1,H138)=0)*(1-(IF(H138="",-1,H138)&gt;=0)*(IF(H138="",-1,H138)&lt;=1)),IF(C138="peso_corporal",IF(ISNUMBER(E138),E138,0)+F138,F138)*G138*1000+F138,0),IF((J138&gt;0)*(IF(K138="",-1,K138)=0)*(1-(IF(K138="",-1,K138)&gt;=0)*(IF(K138="",-1,K138)&lt;=1)),IF(C138="peso_corporal",IF(ISNUMBER(E138),E138,0)+I138,I138)*J138*1000+I138,0),IF((M138&gt;0)*(IF(N138="",-1,N138)=0)*(1-(IF(N138="",-1,N138)&gt;=0)*(IF(N138="",-1,N138)&lt;=1)),IF(C138="peso_corporal",IF(ISNUMBER(E138),E138,0)+L138,L138)*M138*1000+L138,0),IF((P138&gt;0)*(IF(Q138="",-1,Q138)=0)*(1-(IF(Q138="",-1,Q138)&gt;=0)*(IF(Q138="",-1,Q138)&lt;=1)),IF(C138="peso_corporal",IF(ISNUMBER(E138),E138,0)+O138,O138)*P138*1000+O138,0),IF((S138&gt;0)*(IF(T138="",-1,T138)=0)*(1-(IF(T138="",-1,T138)&gt;=0)*(IF(T138="",-1,T138)&lt;=1)),IF(C138="peso_corporal",IF(ISNUMBER(E138),E138,0)+R138,R138)*S138*1000+R138,0))</f>
        <v>0</v>
      </c>
      <c r="Z138" s="69">
        <f>IF(Y138=0,0,IF(IF((S138&gt;0)*(IF(T138="",-1,T138)=0)*(1-(IF(T138="",-1,T138)&gt;=0)*(IF(T138="",-1,T138)&lt;=1)),IF(C138="peso_corporal",IF(ISNUMBER(E138),E138,0)+R138,R138)*S138*1000+R138,0)=Y138,5,IF(IF((P138&gt;0)*(IF(Q138="",-1,Q138)=0)*(1-(IF(Q138="",-1,Q138)&gt;=0)*(IF(Q138="",-1,Q138)&lt;=1)),IF(C138="peso_corporal",IF(ISNUMBER(E138),E138,0)+O138,O138)*P138*1000+O138,0)=Y138,4,IF(IF((M138&gt;0)*(IF(N138="",-1,N138)=0)*(1-(IF(N138="",-1,N138)&gt;=0)*(IF(N138="",-1,N138)&lt;=1)),IF(C138="peso_corporal",IF(ISNUMBER(E138),E138,0)+L138,L138)*M138*1000+L138,0)=Y138,3,IF(IF((J138&gt;0)*(IF(K138="",-1,K138)=0)*(1-(IF(K138="",-1,K138)&gt;=0)*(IF(K138="",-1,K138)&lt;=1)),IF(C138="peso_corporal",IF(ISNUMBER(E138),E138,0)+I138,I138)*J138*1000+I138,0)=Y138,2,IF(IF((G138&gt;0)*(IF(H138="",-1,H138)=0)*(1-(IF(H138="",-1,H138)&gt;=0)*(IF(H138="",-1,H138)&lt;=1)),IF(C138="peso_corporal",IF(ISNUMBER(E138),E138,0)+F138,F138)*G138*1000+F138,0)=Y138,1,0))))))</f>
        <v>0</v>
      </c>
      <c r="AA138" s="69">
        <f>MAX(IF((G138&gt;=3)*(1-(IF(H138="",-1,H138)&gt;=0)*(IF(H138="",-1,H138)&lt;=1))*(1-(IF(H138="",-1,H138)=0)),IF(C138="peso_corporal",IF(ISNUMBER(E138),E138,0)+F138,F138)*(30+G138)*100+F138,0),IF((J138&gt;=3)*(1-(IF(K138="",-1,K138)&gt;=0)*(IF(K138="",-1,K138)&lt;=1))*(1-(IF(K138="",-1,K138)=0)),IF(C138="peso_corporal",IF(ISNUMBER(E138),E138,0)+I138,I138)*(30+J138)*100+I138,0),IF((M138&gt;=3)*(1-(IF(N138="",-1,N138)&gt;=0)*(IF(N138="",-1,N138)&lt;=1))*(1-(IF(N138="",-1,N138)=0)),IF(C138="peso_corporal",IF(ISNUMBER(E138),E138,0)+L138,L138)*(30+M138)*100+L138,0),IF((P138&gt;=3)*(1-(IF(Q138="",-1,Q138)&gt;=0)*(IF(Q138="",-1,Q138)&lt;=1))*(1-(IF(Q138="",-1,Q138)=0)),IF(C138="peso_corporal",IF(ISNUMBER(E138),E138,0)+O138,O138)*(30+P138)*100+O138,0),IF((S138&gt;=3)*(1-(IF(T138="",-1,T138)&gt;=0)*(IF(T138="",-1,T138)&lt;=1))*(1-(IF(T138="",-1,T138)=0)),IF(C138="peso_corporal",IF(ISNUMBER(E138),E138,0)+R138,R138)*(30+S138)*100+R138,0))</f>
        <v>0</v>
      </c>
      <c r="AB138" s="69">
        <f>IF(AA138=0,0,IF(IF((S138&gt;=3)*(1-(IF(T138="",-1,T138)&gt;=0)*(IF(T138="",-1,T138)&lt;=1))*(1-(IF(T138="",-1,T138)=0)),IF(C138="peso_corporal",IF(ISNUMBER(E138),E138,0)+R138,R138)*(30+S138)*100+R138,0)=AA138,5,IF(IF((P138&gt;=3)*(1-(IF(Q138="",-1,Q138)&gt;=0)*(IF(Q138="",-1,Q138)&lt;=1))*(1-(IF(Q138="",-1,Q138)=0)),IF(C138="peso_corporal",IF(ISNUMBER(E138),E138,0)+O138,O138)*(30+P138)*100+O138,0)=AA138,4,IF(IF((M138&gt;=3)*(1-(IF(N138="",-1,N138)&gt;=0)*(IF(N138="",-1,N138)&lt;=1))*(1-(IF(N138="",-1,N138)=0)),IF(C138="peso_corporal",IF(ISNUMBER(E138),E138,0)+L138,L138)*(30+M138)*100+L138,0)=AA138,3,IF(IF((J138&gt;=3)*(1-(IF(K138="",-1,K138)&gt;=0)*(IF(K138="",-1,K138)&lt;=1))*(1-(IF(K138="",-1,K138)=0)),IF(C138="peso_corporal",IF(ISNUMBER(E138),E138,0)+I138,I138)*(30+J138)*100+I138,0)=AA138,2,IF(IF((G138&gt;=3)*(1-(IF(H138="",-1,H138)&gt;=0)*(IF(H138="",-1,H138)&lt;=1))*(1-(IF(H138="",-1,H138)=0)),IF(C138="peso_corporal",IF(ISNUMBER(E138),E138,0)+F138,F138)*(30+G138)*100+F138,0)=AA138,1,0))))))</f>
        <v>0</v>
      </c>
      <c r="AC138" s="69" t="str">
        <f>IF(X138&gt;0,"A"&amp;X138,IF(Z138&gt;0,"B"&amp;Z138,IF(AB138&gt;0,"C"&amp;AB138,"")))</f>
        <v/>
      </c>
    </row>
    <row r="139" spans="1:29" ht="15" customHeight="1">
      <c r="A139" s="72" t="s">
        <v>56</v>
      </c>
      <c r="B139" s="73"/>
      <c r="C139" s="73"/>
      <c r="D139" s="73"/>
      <c r="E139" s="73"/>
      <c r="F139" s="73"/>
      <c r="G139" s="73"/>
      <c r="H139" s="73"/>
      <c r="I139" s="73"/>
      <c r="J139" s="73"/>
      <c r="K139" s="73"/>
      <c r="L139" s="73"/>
      <c r="M139" s="73"/>
      <c r="N139" s="73"/>
      <c r="O139" s="73"/>
      <c r="P139" s="73"/>
      <c r="Q139" s="73"/>
      <c r="R139" s="73"/>
      <c r="S139" s="73"/>
      <c r="T139" s="73"/>
      <c r="U139" s="73"/>
      <c r="V139" s="73"/>
      <c r="W139" s="69"/>
      <c r="X139" s="69"/>
      <c r="Y139" s="69"/>
      <c r="Z139" s="69"/>
      <c r="AA139" s="69"/>
      <c r="AB139" s="69"/>
      <c r="AC139" s="69"/>
    </row>
    <row r="140" spans="1:29" ht="20.100000000000001" customHeight="1">
      <c r="A140" s="14" t="s">
        <v>57</v>
      </c>
      <c r="B140" s="15" t="s">
        <v>58</v>
      </c>
      <c r="C140" s="16" t="str">
        <f>IFERROR(INDEX(EJERCICIOS!$D$3:$D$75,MATCH(A140&amp;"|"&amp;B140,EJERCICIOS!$G$3:$G$75,0)),"--")</f>
        <v>polea</v>
      </c>
      <c r="D140" s="17">
        <v>3</v>
      </c>
      <c r="E140" s="18">
        <f>IFERROR(LOOKUP(2,1/(MEDIDAS_Y_PESO!$B$3:$B$8&lt;&gt;""),MEDIDAS_Y_PESO!$B$3:$B$8),"--")</f>
        <v>80</v>
      </c>
      <c r="F140" s="19"/>
      <c r="G140" s="20"/>
      <c r="H140" s="21"/>
      <c r="I140" s="19"/>
      <c r="J140" s="20"/>
      <c r="K140" s="21"/>
      <c r="L140" s="19"/>
      <c r="M140" s="20"/>
      <c r="N140" s="21"/>
      <c r="O140" s="19"/>
      <c r="P140" s="20"/>
      <c r="Q140" s="21"/>
      <c r="R140" s="19"/>
      <c r="S140" s="20"/>
      <c r="T140" s="21"/>
      <c r="U140" s="22" t="str">
        <f>IFERROR(IF(IF(X140&gt;0,X140,IF(Z140&gt;0,Z140,IF(AB140&gt;0,AB140,0)))=0,"--",ROUND(CHOOSE(IF(X140&gt;0,X140,IF(Z140&gt;0,Z140,IF(AB140&gt;0,AB140,0))),IF(C140="peso_corporal",IF(ISNUMBER(E140),E140,0)+F140,F140)*(1+G140/30),IF(C140="peso_corporal",IF(ISNUMBER(E140),E140,0)+I140,I140)*(1+J140/30),IF(C140="peso_corporal",IF(ISNUMBER(E140),E140,0)+L140,L140)*(1+M140/30),IF(C140="peso_corporal",IF(ISNUMBER(E140),E140,0)+O140,O140)*(1+P140/30),IF(C140="peso_corporal",IF(ISNUMBER(E140),E140,0)+R140,R140)*(1+S140/30)),1)),"--")</f>
        <v>--</v>
      </c>
      <c r="V140" s="23" t="str">
        <f>IF(SUGERENCIAS!N329="SIN","Sin datos anteriores",IF(SUGERENCIAS!N329="SUBIR_F","^ SUBIR FUERTE | Kg:"&amp;ROUND(SUGERENCIAS!K329,1)&amp;" R:"&amp;ROUND(SUGERENCIAS!L329,0)&amp;" RIR:"&amp;ROUND(SUGERENCIAS!M329,0),IF(SUGERENCIAS!N329="SUBIR_E","^ SUBIR (Est.) | Kg:"&amp;ROUND(SUGERENCIAS!K329,1)&amp;" R:"&amp;ROUND(SUGERENCIAS!L329,0)&amp;" RIR:"&amp;ROUND(SUGERENCIAS!M329,0),IF(SUGERENCIAS!N329="SUBIR","^ SUBIR | Kg:"&amp;ROUND(SUGERENCIAS!K329,1)&amp;" R:"&amp;ROUND(SUGERENCIAS!L329,0)&amp;" RIR:"&amp;ROUND(SUGERENCIAS!M329,0),IF(SUGERENCIAS!N329="BAJAR","v BAJAR | Kg:"&amp;ROUND(SUGERENCIAS!K329,1)&amp;" R:"&amp;ROUND(SUGERENCIAS!L329,0)&amp;" RIR:"&amp;ROUND(SUGERENCIAS!M329,0),"= MANT | Kg:"&amp;ROUND(SUGERENCIAS!K329,1)&amp;" R:"&amp;ROUND(SUGERENCIAS!L329,0)&amp;" RIR:"&amp;ROUND(SUGERENCIAS!M329,0))))))</f>
        <v>Sin datos anteriores</v>
      </c>
      <c r="W140" s="69">
        <f>MAX(IF((G140&gt;0)*(IF(H140="",-1,H140)&gt;=0)*(IF(H140="",-1,H140)&lt;=1),IF(C140="peso_corporal",IF(ISNUMBER(E140),E140,0)+F140,F140)*G140*1000+F140,0),IF((J140&gt;0)*(IF(K140="",-1,K140)&gt;=0)*(IF(K140="",-1,K140)&lt;=1),IF(C140="peso_corporal",IF(ISNUMBER(E140),E140,0)+I140,I140)*J140*1000+I140,0),IF((M140&gt;0)*(IF(N140="",-1,N140)&gt;=0)*(IF(N140="",-1,N140)&lt;=1),IF(C140="peso_corporal",IF(ISNUMBER(E140),E140,0)+L140,L140)*M140*1000+L140,0),IF((P140&gt;0)*(IF(Q140="",-1,Q140)&gt;=0)*(IF(Q140="",-1,Q140)&lt;=1),IF(C140="peso_corporal",IF(ISNUMBER(E140),E140,0)+O140,O140)*P140*1000+O140,0),IF((S140&gt;0)*(IF(T140="",-1,T140)&gt;=0)*(IF(T140="",-1,T140)&lt;=1),IF(C140="peso_corporal",IF(ISNUMBER(E140),E140,0)+R140,R140)*S140*1000+R140,0))</f>
        <v>0</v>
      </c>
      <c r="X140" s="69">
        <f>IF(W140=0,0,IF(IF((S140&gt;0)*(IF(T140="",-1,T140)&gt;=0)*(IF(T140="",-1,T140)&lt;=1),IF(C140="peso_corporal",IF(ISNUMBER(E140),E140,0)+R140,R140)*S140*1000+R140,0)=W140,5,IF(IF((P140&gt;0)*(IF(Q140="",-1,Q140)&gt;=0)*(IF(Q140="",-1,Q140)&lt;=1),IF(C140="peso_corporal",IF(ISNUMBER(E140),E140,0)+O140,O140)*P140*1000+O140,0)=W140,4,IF(IF((M140&gt;0)*(IF(N140="",-1,N140)&gt;=0)*(IF(N140="",-1,N140)&lt;=1),IF(C140="peso_corporal",IF(ISNUMBER(E140),E140,0)+L140,L140)*M140*1000+L140,0)=W140,3,IF(IF((J140&gt;0)*(IF(K140="",-1,K140)&gt;=0)*(IF(K140="",-1,K140)&lt;=1),IF(C140="peso_corporal",IF(ISNUMBER(E140),E140,0)+I140,I140)*J140*1000+I140,0)=W140,2,IF(IF((G140&gt;0)*(IF(H140="",-1,H140)&gt;=0)*(IF(H140="",-1,H140)&lt;=1),IF(C140="peso_corporal",IF(ISNUMBER(E140),E140,0)+F140,F140)*G140*1000+F140,0)=W140,1,0))))))</f>
        <v>0</v>
      </c>
      <c r="Y140" s="69">
        <f>MAX(IF((G140&gt;0)*(IF(H140="",-1,H140)=0)*(1-(IF(H140="",-1,H140)&gt;=0)*(IF(H140="",-1,H140)&lt;=1)),IF(C140="peso_corporal",IF(ISNUMBER(E140),E140,0)+F140,F140)*G140*1000+F140,0),IF((J140&gt;0)*(IF(K140="",-1,K140)=0)*(1-(IF(K140="",-1,K140)&gt;=0)*(IF(K140="",-1,K140)&lt;=1)),IF(C140="peso_corporal",IF(ISNUMBER(E140),E140,0)+I140,I140)*J140*1000+I140,0),IF((M140&gt;0)*(IF(N140="",-1,N140)=0)*(1-(IF(N140="",-1,N140)&gt;=0)*(IF(N140="",-1,N140)&lt;=1)),IF(C140="peso_corporal",IF(ISNUMBER(E140),E140,0)+L140,L140)*M140*1000+L140,0),IF((P140&gt;0)*(IF(Q140="",-1,Q140)=0)*(1-(IF(Q140="",-1,Q140)&gt;=0)*(IF(Q140="",-1,Q140)&lt;=1)),IF(C140="peso_corporal",IF(ISNUMBER(E140),E140,0)+O140,O140)*P140*1000+O140,0),IF((S140&gt;0)*(IF(T140="",-1,T140)=0)*(1-(IF(T140="",-1,T140)&gt;=0)*(IF(T140="",-1,T140)&lt;=1)),IF(C140="peso_corporal",IF(ISNUMBER(E140),E140,0)+R140,R140)*S140*1000+R140,0))</f>
        <v>0</v>
      </c>
      <c r="Z140" s="69">
        <f>IF(Y140=0,0,IF(IF((S140&gt;0)*(IF(T140="",-1,T140)=0)*(1-(IF(T140="",-1,T140)&gt;=0)*(IF(T140="",-1,T140)&lt;=1)),IF(C140="peso_corporal",IF(ISNUMBER(E140),E140,0)+R140,R140)*S140*1000+R140,0)=Y140,5,IF(IF((P140&gt;0)*(IF(Q140="",-1,Q140)=0)*(1-(IF(Q140="",-1,Q140)&gt;=0)*(IF(Q140="",-1,Q140)&lt;=1)),IF(C140="peso_corporal",IF(ISNUMBER(E140),E140,0)+O140,O140)*P140*1000+O140,0)=Y140,4,IF(IF((M140&gt;0)*(IF(N140="",-1,N140)=0)*(1-(IF(N140="",-1,N140)&gt;=0)*(IF(N140="",-1,N140)&lt;=1)),IF(C140="peso_corporal",IF(ISNUMBER(E140),E140,0)+L140,L140)*M140*1000+L140,0)=Y140,3,IF(IF((J140&gt;0)*(IF(K140="",-1,K140)=0)*(1-(IF(K140="",-1,K140)&gt;=0)*(IF(K140="",-1,K140)&lt;=1)),IF(C140="peso_corporal",IF(ISNUMBER(E140),E140,0)+I140,I140)*J140*1000+I140,0)=Y140,2,IF(IF((G140&gt;0)*(IF(H140="",-1,H140)=0)*(1-(IF(H140="",-1,H140)&gt;=0)*(IF(H140="",-1,H140)&lt;=1)),IF(C140="peso_corporal",IF(ISNUMBER(E140),E140,0)+F140,F140)*G140*1000+F140,0)=Y140,1,0))))))</f>
        <v>0</v>
      </c>
      <c r="AA140" s="69">
        <f>MAX(IF((G140&gt;=3)*(1-(IF(H140="",-1,H140)&gt;=0)*(IF(H140="",-1,H140)&lt;=1))*(1-(IF(H140="",-1,H140)=0)),IF(C140="peso_corporal",IF(ISNUMBER(E140),E140,0)+F140,F140)*(30+G140)*100+F140,0),IF((J140&gt;=3)*(1-(IF(K140="",-1,K140)&gt;=0)*(IF(K140="",-1,K140)&lt;=1))*(1-(IF(K140="",-1,K140)=0)),IF(C140="peso_corporal",IF(ISNUMBER(E140),E140,0)+I140,I140)*(30+J140)*100+I140,0),IF((M140&gt;=3)*(1-(IF(N140="",-1,N140)&gt;=0)*(IF(N140="",-1,N140)&lt;=1))*(1-(IF(N140="",-1,N140)=0)),IF(C140="peso_corporal",IF(ISNUMBER(E140),E140,0)+L140,L140)*(30+M140)*100+L140,0),IF((P140&gt;=3)*(1-(IF(Q140="",-1,Q140)&gt;=0)*(IF(Q140="",-1,Q140)&lt;=1))*(1-(IF(Q140="",-1,Q140)=0)),IF(C140="peso_corporal",IF(ISNUMBER(E140),E140,0)+O140,O140)*(30+P140)*100+O140,0),IF((S140&gt;=3)*(1-(IF(T140="",-1,T140)&gt;=0)*(IF(T140="",-1,T140)&lt;=1))*(1-(IF(T140="",-1,T140)=0)),IF(C140="peso_corporal",IF(ISNUMBER(E140),E140,0)+R140,R140)*(30+S140)*100+R140,0))</f>
        <v>0</v>
      </c>
      <c r="AB140" s="69">
        <f>IF(AA140=0,0,IF(IF((S140&gt;=3)*(1-(IF(T140="",-1,T140)&gt;=0)*(IF(T140="",-1,T140)&lt;=1))*(1-(IF(T140="",-1,T140)=0)),IF(C140="peso_corporal",IF(ISNUMBER(E140),E140,0)+R140,R140)*(30+S140)*100+R140,0)=AA140,5,IF(IF((P140&gt;=3)*(1-(IF(Q140="",-1,Q140)&gt;=0)*(IF(Q140="",-1,Q140)&lt;=1))*(1-(IF(Q140="",-1,Q140)=0)),IF(C140="peso_corporal",IF(ISNUMBER(E140),E140,0)+O140,O140)*(30+P140)*100+O140,0)=AA140,4,IF(IF((M140&gt;=3)*(1-(IF(N140="",-1,N140)&gt;=0)*(IF(N140="",-1,N140)&lt;=1))*(1-(IF(N140="",-1,N140)=0)),IF(C140="peso_corporal",IF(ISNUMBER(E140),E140,0)+L140,L140)*(30+M140)*100+L140,0)=AA140,3,IF(IF((J140&gt;=3)*(1-(IF(K140="",-1,K140)&gt;=0)*(IF(K140="",-1,K140)&lt;=1))*(1-(IF(K140="",-1,K140)=0)),IF(C140="peso_corporal",IF(ISNUMBER(E140),E140,0)+I140,I140)*(30+J140)*100+I140,0)=AA140,2,IF(IF((G140&gt;=3)*(1-(IF(H140="",-1,H140)&gt;=0)*(IF(H140="",-1,H140)&lt;=1))*(1-(IF(H140="",-1,H140)=0)),IF(C140="peso_corporal",IF(ISNUMBER(E140),E140,0)+F140,F140)*(30+G140)*100+F140,0)=AA140,1,0))))))</f>
        <v>0</v>
      </c>
      <c r="AC140" s="69" t="str">
        <f>IF(X140&gt;0,"A"&amp;X140,IF(Z140&gt;0,"B"&amp;Z140,IF(AB140&gt;0,"C"&amp;AB140,"")))</f>
        <v/>
      </c>
    </row>
    <row r="141" spans="1:29" ht="6"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69"/>
      <c r="X141" s="69"/>
      <c r="Y141" s="69"/>
      <c r="Z141" s="69"/>
      <c r="AA141" s="69"/>
      <c r="AB141" s="69"/>
      <c r="AC141" s="69"/>
    </row>
    <row r="142" spans="1:29" ht="18" customHeight="1">
      <c r="A142" s="85" t="s">
        <v>72</v>
      </c>
      <c r="B142" s="73"/>
      <c r="C142" s="73"/>
      <c r="D142" s="73"/>
      <c r="E142" s="73"/>
      <c r="F142" s="73"/>
      <c r="G142" s="73"/>
      <c r="H142" s="73"/>
      <c r="I142" s="73"/>
      <c r="J142" s="73"/>
      <c r="K142" s="73"/>
      <c r="L142" s="73"/>
      <c r="M142" s="73"/>
      <c r="N142" s="73"/>
      <c r="O142" s="73"/>
      <c r="P142" s="73"/>
      <c r="Q142" s="73"/>
      <c r="R142" s="73"/>
      <c r="S142" s="73"/>
      <c r="T142" s="73"/>
      <c r="U142" s="73"/>
      <c r="V142" s="73"/>
      <c r="W142" s="69"/>
      <c r="X142" s="69"/>
      <c r="Y142" s="69"/>
      <c r="Z142" s="69"/>
      <c r="AA142" s="69"/>
      <c r="AB142" s="69"/>
      <c r="AC142" s="69"/>
    </row>
    <row r="143" spans="1:29" ht="15" customHeight="1">
      <c r="A143" s="75" t="s">
        <v>28</v>
      </c>
      <c r="B143" s="73"/>
      <c r="C143" s="73"/>
      <c r="D143" s="73"/>
      <c r="E143" s="73"/>
      <c r="F143" s="73"/>
      <c r="G143" s="73"/>
      <c r="H143" s="73"/>
      <c r="I143" s="73"/>
      <c r="J143" s="73"/>
      <c r="K143" s="73"/>
      <c r="L143" s="73"/>
      <c r="M143" s="73"/>
      <c r="N143" s="73"/>
      <c r="O143" s="73"/>
      <c r="P143" s="73"/>
      <c r="Q143" s="73"/>
      <c r="R143" s="73"/>
      <c r="S143" s="73"/>
      <c r="T143" s="73"/>
      <c r="U143" s="73"/>
      <c r="V143" s="73"/>
      <c r="W143" s="69"/>
      <c r="X143" s="69"/>
      <c r="Y143" s="69"/>
      <c r="Z143" s="69"/>
      <c r="AA143" s="69"/>
      <c r="AB143" s="69"/>
      <c r="AC143" s="69"/>
    </row>
    <row r="144" spans="1:29" ht="11.1" customHeight="1">
      <c r="A144" s="76" t="s">
        <v>29</v>
      </c>
      <c r="B144" s="73"/>
      <c r="C144" s="73"/>
      <c r="D144" s="73"/>
      <c r="E144" s="73"/>
      <c r="F144" s="73"/>
      <c r="G144" s="73"/>
      <c r="H144" s="73"/>
      <c r="I144" s="73"/>
      <c r="J144" s="73"/>
      <c r="K144" s="73"/>
      <c r="L144" s="73"/>
      <c r="M144" s="73"/>
      <c r="N144" s="73"/>
      <c r="O144" s="73"/>
      <c r="P144" s="73"/>
      <c r="Q144" s="73"/>
      <c r="R144" s="73"/>
      <c r="S144" s="73"/>
      <c r="T144" s="73"/>
      <c r="U144" s="73"/>
      <c r="V144" s="73"/>
      <c r="W144" s="69"/>
      <c r="X144" s="69"/>
      <c r="Y144" s="69"/>
      <c r="Z144" s="69"/>
      <c r="AA144" s="69"/>
      <c r="AB144" s="69"/>
      <c r="AC144" s="69"/>
    </row>
    <row r="145" spans="1:29" ht="20.100000000000001" customHeight="1">
      <c r="A145" s="14" t="s">
        <v>30</v>
      </c>
      <c r="B145" s="15" t="s">
        <v>60</v>
      </c>
      <c r="C145" s="16" t="str">
        <f>IFERROR(INDEX(EJERCICIOS!$D$3:$D$75,MATCH(A145&amp;"|"&amp;B145,EJERCICIOS!$G$3:$G$75,0)),"--")</f>
        <v>disco</v>
      </c>
      <c r="D145" s="17">
        <v>3</v>
      </c>
      <c r="E145" s="18">
        <f>IFERROR(LOOKUP(2,1/(MEDIDAS_Y_PESO!$B$3:$B$9&lt;&gt;""),MEDIDAS_Y_PESO!$B$3:$B$9),"--")</f>
        <v>80</v>
      </c>
      <c r="F145" s="19"/>
      <c r="G145" s="20"/>
      <c r="H145" s="21"/>
      <c r="I145" s="19"/>
      <c r="J145" s="20"/>
      <c r="K145" s="21"/>
      <c r="L145" s="19"/>
      <c r="M145" s="20"/>
      <c r="N145" s="21"/>
      <c r="O145" s="19"/>
      <c r="P145" s="20"/>
      <c r="Q145" s="21"/>
      <c r="R145" s="19"/>
      <c r="S145" s="20"/>
      <c r="T145" s="21"/>
      <c r="U145" s="22" t="str">
        <f>IFERROR(IF(IF(X145&gt;0,X145,IF(Z145&gt;0,Z145,IF(AB145&gt;0,AB145,0)))=0,"--",ROUND(CHOOSE(IF(X145&gt;0,X145,IF(Z145&gt;0,Z145,IF(AB145&gt;0,AB145,0))),IF(C145="peso_corporal",IF(ISNUMBER(E145),E145,0)+F145,F145)*(1+G145/30),IF(C145="peso_corporal",IF(ISNUMBER(E145),E145,0)+I145,I145)*(1+J145/30),IF(C145="peso_corporal",IF(ISNUMBER(E145),E145,0)+L145,L145)*(1+M145/30),IF(C145="peso_corporal",IF(ISNUMBER(E145),E145,0)+O145,O145)*(1+P145/30),IF(C145="peso_corporal",IF(ISNUMBER(E145),E145,0)+R145,R145)*(1+S145/30)),1)),"--")</f>
        <v>--</v>
      </c>
      <c r="V145" s="23" t="str">
        <f>IF(SUGERENCIAS!N382="SIN","Sin datos anteriores",IF(SUGERENCIAS!N382="SUBIR_F","^ SUBIR FUERTE | Kg:"&amp;ROUND(SUGERENCIAS!K382,1)&amp;" R:"&amp;ROUND(SUGERENCIAS!L382,0)&amp;" RIR:"&amp;ROUND(SUGERENCIAS!M382,0),IF(SUGERENCIAS!N382="SUBIR_E","^ SUBIR (Est.) | Kg:"&amp;ROUND(SUGERENCIAS!K382,1)&amp;" R:"&amp;ROUND(SUGERENCIAS!L382,0)&amp;" RIR:"&amp;ROUND(SUGERENCIAS!M382,0),IF(SUGERENCIAS!N382="SUBIR","^ SUBIR | Kg:"&amp;ROUND(SUGERENCIAS!K382,1)&amp;" R:"&amp;ROUND(SUGERENCIAS!L382,0)&amp;" RIR:"&amp;ROUND(SUGERENCIAS!M382,0),IF(SUGERENCIAS!N382="BAJAR","v BAJAR | Kg:"&amp;ROUND(SUGERENCIAS!K382,1)&amp;" R:"&amp;ROUND(SUGERENCIAS!L382,0)&amp;" RIR:"&amp;ROUND(SUGERENCIAS!M382,0),"= MANT | Kg:"&amp;ROUND(SUGERENCIAS!K382,1)&amp;" R:"&amp;ROUND(SUGERENCIAS!L382,0)&amp;" RIR:"&amp;ROUND(SUGERENCIAS!M382,0))))))</f>
        <v>Sin datos anteriores</v>
      </c>
      <c r="W145" s="69">
        <f>MAX(IF((G145&gt;0)*(IF(H145="",-1,H145)&gt;=1)*(IF(H145="",-1,H145)&lt;=3),IF(C145="peso_corporal",IF(ISNUMBER(E145),E145,0)+F145,F145)*G145*1000+F145,0),IF((J145&gt;0)*(IF(K145="",-1,K145)&gt;=1)*(IF(K145="",-1,K145)&lt;=3),IF(C145="peso_corporal",IF(ISNUMBER(E145),E145,0)+I145,I145)*J145*1000+I145,0),IF((M145&gt;0)*(IF(N145="",-1,N145)&gt;=1)*(IF(N145="",-1,N145)&lt;=3),IF(C145="peso_corporal",IF(ISNUMBER(E145),E145,0)+L145,L145)*M145*1000+L145,0),IF((P145&gt;0)*(IF(Q145="",-1,Q145)&gt;=1)*(IF(Q145="",-1,Q145)&lt;=3),IF(C145="peso_corporal",IF(ISNUMBER(E145),E145,0)+O145,O145)*P145*1000+O145,0),IF((S145&gt;0)*(IF(T145="",-1,T145)&gt;=1)*(IF(T145="",-1,T145)&lt;=3),IF(C145="peso_corporal",IF(ISNUMBER(E145),E145,0)+R145,R145)*S145*1000+R145,0))</f>
        <v>0</v>
      </c>
      <c r="X145" s="69">
        <f>IF(W145=0,0,IF(IF((S145&gt;0)*(IF(T145="",-1,T145)&gt;=1)*(IF(T145="",-1,T145)&lt;=3),IF(C145="peso_corporal",IF(ISNUMBER(E145),E145,0)+R145,R145)*S145*1000+R145,0)=W145,5,IF(IF((P145&gt;0)*(IF(Q145="",-1,Q145)&gt;=1)*(IF(Q145="",-1,Q145)&lt;=3),IF(C145="peso_corporal",IF(ISNUMBER(E145),E145,0)+O145,O145)*P145*1000+O145,0)=W145,4,IF(IF((M145&gt;0)*(IF(N145="",-1,N145)&gt;=1)*(IF(N145="",-1,N145)&lt;=3),IF(C145="peso_corporal",IF(ISNUMBER(E145),E145,0)+L145,L145)*M145*1000+L145,0)=W145,3,IF(IF((J145&gt;0)*(IF(K145="",-1,K145)&gt;=1)*(IF(K145="",-1,K145)&lt;=3),IF(C145="peso_corporal",IF(ISNUMBER(E145),E145,0)+I145,I145)*J145*1000+I145,0)=W145,2,IF(IF((G145&gt;0)*(IF(H145="",-1,H145)&gt;=1)*(IF(H145="",-1,H145)&lt;=3),IF(C145="peso_corporal",IF(ISNUMBER(E145),E145,0)+F145,F145)*G145*1000+F145,0)=W145,1,0))))))</f>
        <v>0</v>
      </c>
      <c r="Y145" s="69">
        <f>MAX(IF((G145&gt;0)*(IF(H145="",-1,H145)=0)*(1-(IF(H145="",-1,H145)&gt;=1)*(IF(H145="",-1,H145)&lt;=3)),IF(C145="peso_corporal",IF(ISNUMBER(E145),E145,0)+F145,F145)*G145*1000+F145,0),IF((J145&gt;0)*(IF(K145="",-1,K145)=0)*(1-(IF(K145="",-1,K145)&gt;=1)*(IF(K145="",-1,K145)&lt;=3)),IF(C145="peso_corporal",IF(ISNUMBER(E145),E145,0)+I145,I145)*J145*1000+I145,0),IF((M145&gt;0)*(IF(N145="",-1,N145)=0)*(1-(IF(N145="",-1,N145)&gt;=1)*(IF(N145="",-1,N145)&lt;=3)),IF(C145="peso_corporal",IF(ISNUMBER(E145),E145,0)+L145,L145)*M145*1000+L145,0),IF((P145&gt;0)*(IF(Q145="",-1,Q145)=0)*(1-(IF(Q145="",-1,Q145)&gt;=1)*(IF(Q145="",-1,Q145)&lt;=3)),IF(C145="peso_corporal",IF(ISNUMBER(E145),E145,0)+O145,O145)*P145*1000+O145,0),IF((S145&gt;0)*(IF(T145="",-1,T145)=0)*(1-(IF(T145="",-1,T145)&gt;=1)*(IF(T145="",-1,T145)&lt;=3)),IF(C145="peso_corporal",IF(ISNUMBER(E145),E145,0)+R145,R145)*S145*1000+R145,0))</f>
        <v>0</v>
      </c>
      <c r="Z145" s="69">
        <f>IF(Y145=0,0,IF(IF((S145&gt;0)*(IF(T145="",-1,T145)=0)*(1-(IF(T145="",-1,T145)&gt;=1)*(IF(T145="",-1,T145)&lt;=3)),IF(C145="peso_corporal",IF(ISNUMBER(E145),E145,0)+R145,R145)*S145*1000+R145,0)=Y145,5,IF(IF((P145&gt;0)*(IF(Q145="",-1,Q145)=0)*(1-(IF(Q145="",-1,Q145)&gt;=1)*(IF(Q145="",-1,Q145)&lt;=3)),IF(C145="peso_corporal",IF(ISNUMBER(E145),E145,0)+O145,O145)*P145*1000+O145,0)=Y145,4,IF(IF((M145&gt;0)*(IF(N145="",-1,N145)=0)*(1-(IF(N145="",-1,N145)&gt;=1)*(IF(N145="",-1,N145)&lt;=3)),IF(C145="peso_corporal",IF(ISNUMBER(E145),E145,0)+L145,L145)*M145*1000+L145,0)=Y145,3,IF(IF((J145&gt;0)*(IF(K145="",-1,K145)=0)*(1-(IF(K145="",-1,K145)&gt;=1)*(IF(K145="",-1,K145)&lt;=3)),IF(C145="peso_corporal",IF(ISNUMBER(E145),E145,0)+I145,I145)*J145*1000+I145,0)=Y145,2,IF(IF((G145&gt;0)*(IF(H145="",-1,H145)=0)*(1-(IF(H145="",-1,H145)&gt;=1)*(IF(H145="",-1,H145)&lt;=3)),IF(C145="peso_corporal",IF(ISNUMBER(E145),E145,0)+F145,F145)*G145*1000+F145,0)=Y145,1,0))))))</f>
        <v>0</v>
      </c>
      <c r="AA145" s="69">
        <f>MAX(IF((G145&gt;=6)*(1-(IF(H145="",-1,H145)&gt;=1)*(IF(H145="",-1,H145)&lt;=3))*(1-(IF(H145="",-1,H145)=0)),IF(C145="peso_corporal",IF(ISNUMBER(E145),E145,0)+F145,F145)*(30+G145)*100+F145,0),IF((J145&gt;=6)*(1-(IF(K145="",-1,K145)&gt;=1)*(IF(K145="",-1,K145)&lt;=3))*(1-(IF(K145="",-1,K145)=0)),IF(C145="peso_corporal",IF(ISNUMBER(E145),E145,0)+I145,I145)*(30+J145)*100+I145,0),IF((M145&gt;=6)*(1-(IF(N145="",-1,N145)&gt;=1)*(IF(N145="",-1,N145)&lt;=3))*(1-(IF(N145="",-1,N145)=0)),IF(C145="peso_corporal",IF(ISNUMBER(E145),E145,0)+L145,L145)*(30+M145)*100+L145,0),IF((P145&gt;=6)*(1-(IF(Q145="",-1,Q145)&gt;=1)*(IF(Q145="",-1,Q145)&lt;=3))*(1-(IF(Q145="",-1,Q145)=0)),IF(C145="peso_corporal",IF(ISNUMBER(E145),E145,0)+O145,O145)*(30+P145)*100+O145,0),IF((S145&gt;=6)*(1-(IF(T145="",-1,T145)&gt;=1)*(IF(T145="",-1,T145)&lt;=3))*(1-(IF(T145="",-1,T145)=0)),IF(C145="peso_corporal",IF(ISNUMBER(E145),E145,0)+R145,R145)*(30+S145)*100+R145,0))</f>
        <v>0</v>
      </c>
      <c r="AB145" s="69">
        <f>IF(AA145=0,0,IF(IF((S145&gt;=6)*(1-(IF(T145="",-1,T145)&gt;=1)*(IF(T145="",-1,T145)&lt;=3))*(1-(IF(T145="",-1,T145)=0)),IF(C145="peso_corporal",IF(ISNUMBER(E145),E145,0)+R145,R145)*(30+S145)*100+R145,0)=AA145,5,IF(IF((P145&gt;=6)*(1-(IF(Q145="",-1,Q145)&gt;=1)*(IF(Q145="",-1,Q145)&lt;=3))*(1-(IF(Q145="",-1,Q145)=0)),IF(C145="peso_corporal",IF(ISNUMBER(E145),E145,0)+O145,O145)*(30+P145)*100+O145,0)=AA145,4,IF(IF((M145&gt;=6)*(1-(IF(N145="",-1,N145)&gt;=1)*(IF(N145="",-1,N145)&lt;=3))*(1-(IF(N145="",-1,N145)=0)),IF(C145="peso_corporal",IF(ISNUMBER(E145),E145,0)+L145,L145)*(30+M145)*100+L145,0)=AA145,3,IF(IF((J145&gt;=6)*(1-(IF(K145="",-1,K145)&gt;=1)*(IF(K145="",-1,K145)&lt;=3))*(1-(IF(K145="",-1,K145)=0)),IF(C145="peso_corporal",IF(ISNUMBER(E145),E145,0)+I145,I145)*(30+J145)*100+I145,0)=AA145,2,IF(IF((G145&gt;=6)*(1-(IF(H145="",-1,H145)&gt;=1)*(IF(H145="",-1,H145)&lt;=3))*(1-(IF(H145="",-1,H145)=0)),IF(C145="peso_corporal",IF(ISNUMBER(E145),E145,0)+F145,F145)*(30+G145)*100+F145,0)=AA145,1,0))))))</f>
        <v>0</v>
      </c>
      <c r="AC145" s="69" t="str">
        <f>IF(X145&gt;0,"A"&amp;X145,IF(Z145&gt;0,"B"&amp;Z145,IF(AB145&gt;0,"C"&amp;AB145,"")))</f>
        <v/>
      </c>
    </row>
    <row r="146" spans="1:29" ht="11.1" customHeight="1">
      <c r="A146" s="84" t="s">
        <v>32</v>
      </c>
      <c r="B146" s="73"/>
      <c r="C146" s="73"/>
      <c r="D146" s="73"/>
      <c r="E146" s="73"/>
      <c r="F146" s="73"/>
      <c r="G146" s="73"/>
      <c r="H146" s="73"/>
      <c r="I146" s="73"/>
      <c r="J146" s="73"/>
      <c r="K146" s="73"/>
      <c r="L146" s="73"/>
      <c r="M146" s="73"/>
      <c r="N146" s="73"/>
      <c r="O146" s="73"/>
      <c r="P146" s="73"/>
      <c r="Q146" s="73"/>
      <c r="R146" s="73"/>
      <c r="S146" s="73"/>
      <c r="T146" s="73"/>
      <c r="U146" s="73"/>
      <c r="V146" s="73"/>
      <c r="W146" s="69"/>
      <c r="X146" s="69"/>
      <c r="Y146" s="69"/>
      <c r="Z146" s="69"/>
      <c r="AA146" s="69"/>
      <c r="AB146" s="69"/>
      <c r="AC146" s="69"/>
    </row>
    <row r="147" spans="1:29" ht="20.100000000000001" customHeight="1">
      <c r="A147" s="14" t="s">
        <v>61</v>
      </c>
      <c r="B147" s="15" t="s">
        <v>31</v>
      </c>
      <c r="C147" s="16" t="str">
        <f>IFERROR(INDEX(EJERCICIOS!$D$3:$D$75,MATCH(A147&amp;"|"&amp;B147,EJERCICIOS!$G$3:$G$75,0)),"--")</f>
        <v>mancuerna</v>
      </c>
      <c r="D147" s="17">
        <v>3</v>
      </c>
      <c r="E147" s="18">
        <f>IFERROR(LOOKUP(2,1/(MEDIDAS_Y_PESO!$B$3:$B$9&lt;&gt;""),MEDIDAS_Y_PESO!$B$3:$B$9),"--")</f>
        <v>80</v>
      </c>
      <c r="F147" s="19"/>
      <c r="G147" s="20"/>
      <c r="H147" s="21"/>
      <c r="I147" s="19"/>
      <c r="J147" s="20"/>
      <c r="K147" s="21"/>
      <c r="L147" s="19"/>
      <c r="M147" s="20"/>
      <c r="N147" s="21"/>
      <c r="O147" s="19"/>
      <c r="P147" s="20"/>
      <c r="Q147" s="21"/>
      <c r="R147" s="19"/>
      <c r="S147" s="20"/>
      <c r="T147" s="21"/>
      <c r="U147" s="22" t="str">
        <f>IFERROR(IF(IF(X147&gt;0,X147,IF(Z147&gt;0,Z147,IF(AB147&gt;0,AB147,0)))=0,"--",ROUND(CHOOSE(IF(X147&gt;0,X147,IF(Z147&gt;0,Z147,IF(AB147&gt;0,AB147,0))),IF(C147="peso_corporal",IF(ISNUMBER(E147),E147,0)+F147,F147)*(1+G147/30),IF(C147="peso_corporal",IF(ISNUMBER(E147),E147,0)+I147,I147)*(1+J147/30),IF(C147="peso_corporal",IF(ISNUMBER(E147),E147,0)+L147,L147)*(1+M147/30),IF(C147="peso_corporal",IF(ISNUMBER(E147),E147,0)+O147,O147)*(1+P147/30),IF(C147="peso_corporal",IF(ISNUMBER(E147),E147,0)+R147,R147)*(1+S147/30)),1)),"--")</f>
        <v>--</v>
      </c>
      <c r="V147" s="23" t="str">
        <f>IF(SUGERENCIAS!N383="SIN","Sin datos anteriores",IF(SUGERENCIAS!N383="SUBIR_F","^ SUBIR FUERTE | Kg:"&amp;ROUND(SUGERENCIAS!K383,1)&amp;" R:"&amp;ROUND(SUGERENCIAS!L383,0)&amp;" RIR:"&amp;ROUND(SUGERENCIAS!M383,0),IF(SUGERENCIAS!N383="SUBIR_E","^ SUBIR (Est.) | Kg:"&amp;ROUND(SUGERENCIAS!K383,1)&amp;" R:"&amp;ROUND(SUGERENCIAS!L383,0)&amp;" RIR:"&amp;ROUND(SUGERENCIAS!M383,0),IF(SUGERENCIAS!N383="SUBIR","^ SUBIR | Kg:"&amp;ROUND(SUGERENCIAS!K383,1)&amp;" R:"&amp;ROUND(SUGERENCIAS!L383,0)&amp;" RIR:"&amp;ROUND(SUGERENCIAS!M383,0),IF(SUGERENCIAS!N383="BAJAR","v BAJAR | Kg:"&amp;ROUND(SUGERENCIAS!K383,1)&amp;" R:"&amp;ROUND(SUGERENCIAS!L383,0)&amp;" RIR:"&amp;ROUND(SUGERENCIAS!M383,0),"= MANT | Kg:"&amp;ROUND(SUGERENCIAS!K383,1)&amp;" R:"&amp;ROUND(SUGERENCIAS!L383,0)&amp;" RIR:"&amp;ROUND(SUGERENCIAS!M383,0))))))</f>
        <v>Sin datos anteriores</v>
      </c>
      <c r="W147" s="69">
        <f>MAX(IF((G147&gt;0)*(IF(H147="",-1,H147)&gt;=1)*(IF(H147="",-1,H147)&lt;=3),IF(C147="peso_corporal",IF(ISNUMBER(E147),E147,0)+F147,F147)*G147*1000+F147,0),IF((J147&gt;0)*(IF(K147="",-1,K147)&gt;=1)*(IF(K147="",-1,K147)&lt;=3),IF(C147="peso_corporal",IF(ISNUMBER(E147),E147,0)+I147,I147)*J147*1000+I147,0),IF((M147&gt;0)*(IF(N147="",-1,N147)&gt;=1)*(IF(N147="",-1,N147)&lt;=3),IF(C147="peso_corporal",IF(ISNUMBER(E147),E147,0)+L147,L147)*M147*1000+L147,0),IF((P147&gt;0)*(IF(Q147="",-1,Q147)&gt;=1)*(IF(Q147="",-1,Q147)&lt;=3),IF(C147="peso_corporal",IF(ISNUMBER(E147),E147,0)+O147,O147)*P147*1000+O147,0),IF((S147&gt;0)*(IF(T147="",-1,T147)&gt;=1)*(IF(T147="",-1,T147)&lt;=3),IF(C147="peso_corporal",IF(ISNUMBER(E147),E147,0)+R147,R147)*S147*1000+R147,0))</f>
        <v>0</v>
      </c>
      <c r="X147" s="69">
        <f>IF(W147=0,0,IF(IF((S147&gt;0)*(IF(T147="",-1,T147)&gt;=1)*(IF(T147="",-1,T147)&lt;=3),IF(C147="peso_corporal",IF(ISNUMBER(E147),E147,0)+R147,R147)*S147*1000+R147,0)=W147,5,IF(IF((P147&gt;0)*(IF(Q147="",-1,Q147)&gt;=1)*(IF(Q147="",-1,Q147)&lt;=3),IF(C147="peso_corporal",IF(ISNUMBER(E147),E147,0)+O147,O147)*P147*1000+O147,0)=W147,4,IF(IF((M147&gt;0)*(IF(N147="",-1,N147)&gt;=1)*(IF(N147="",-1,N147)&lt;=3),IF(C147="peso_corporal",IF(ISNUMBER(E147),E147,0)+L147,L147)*M147*1000+L147,0)=W147,3,IF(IF((J147&gt;0)*(IF(K147="",-1,K147)&gt;=1)*(IF(K147="",-1,K147)&lt;=3),IF(C147="peso_corporal",IF(ISNUMBER(E147),E147,0)+I147,I147)*J147*1000+I147,0)=W147,2,IF(IF((G147&gt;0)*(IF(H147="",-1,H147)&gt;=1)*(IF(H147="",-1,H147)&lt;=3),IF(C147="peso_corporal",IF(ISNUMBER(E147),E147,0)+F147,F147)*G147*1000+F147,0)=W147,1,0))))))</f>
        <v>0</v>
      </c>
      <c r="Y147" s="69">
        <f>MAX(IF((G147&gt;0)*(IF(H147="",-1,H147)=0)*(1-(IF(H147="",-1,H147)&gt;=1)*(IF(H147="",-1,H147)&lt;=3)),IF(C147="peso_corporal",IF(ISNUMBER(E147),E147,0)+F147,F147)*G147*1000+F147,0),IF((J147&gt;0)*(IF(K147="",-1,K147)=0)*(1-(IF(K147="",-1,K147)&gt;=1)*(IF(K147="",-1,K147)&lt;=3)),IF(C147="peso_corporal",IF(ISNUMBER(E147),E147,0)+I147,I147)*J147*1000+I147,0),IF((M147&gt;0)*(IF(N147="",-1,N147)=0)*(1-(IF(N147="",-1,N147)&gt;=1)*(IF(N147="",-1,N147)&lt;=3)),IF(C147="peso_corporal",IF(ISNUMBER(E147),E147,0)+L147,L147)*M147*1000+L147,0),IF((P147&gt;0)*(IF(Q147="",-1,Q147)=0)*(1-(IF(Q147="",-1,Q147)&gt;=1)*(IF(Q147="",-1,Q147)&lt;=3)),IF(C147="peso_corporal",IF(ISNUMBER(E147),E147,0)+O147,O147)*P147*1000+O147,0),IF((S147&gt;0)*(IF(T147="",-1,T147)=0)*(1-(IF(T147="",-1,T147)&gt;=1)*(IF(T147="",-1,T147)&lt;=3)),IF(C147="peso_corporal",IF(ISNUMBER(E147),E147,0)+R147,R147)*S147*1000+R147,0))</f>
        <v>0</v>
      </c>
      <c r="Z147" s="69">
        <f>IF(Y147=0,0,IF(IF((S147&gt;0)*(IF(T147="",-1,T147)=0)*(1-(IF(T147="",-1,T147)&gt;=1)*(IF(T147="",-1,T147)&lt;=3)),IF(C147="peso_corporal",IF(ISNUMBER(E147),E147,0)+R147,R147)*S147*1000+R147,0)=Y147,5,IF(IF((P147&gt;0)*(IF(Q147="",-1,Q147)=0)*(1-(IF(Q147="",-1,Q147)&gt;=1)*(IF(Q147="",-1,Q147)&lt;=3)),IF(C147="peso_corporal",IF(ISNUMBER(E147),E147,0)+O147,O147)*P147*1000+O147,0)=Y147,4,IF(IF((M147&gt;0)*(IF(N147="",-1,N147)=0)*(1-(IF(N147="",-1,N147)&gt;=1)*(IF(N147="",-1,N147)&lt;=3)),IF(C147="peso_corporal",IF(ISNUMBER(E147),E147,0)+L147,L147)*M147*1000+L147,0)=Y147,3,IF(IF((J147&gt;0)*(IF(K147="",-1,K147)=0)*(1-(IF(K147="",-1,K147)&gt;=1)*(IF(K147="",-1,K147)&lt;=3)),IF(C147="peso_corporal",IF(ISNUMBER(E147),E147,0)+I147,I147)*J147*1000+I147,0)=Y147,2,IF(IF((G147&gt;0)*(IF(H147="",-1,H147)=0)*(1-(IF(H147="",-1,H147)&gt;=1)*(IF(H147="",-1,H147)&lt;=3)),IF(C147="peso_corporal",IF(ISNUMBER(E147),E147,0)+F147,F147)*G147*1000+F147,0)=Y147,1,0))))))</f>
        <v>0</v>
      </c>
      <c r="AA147" s="69">
        <f>MAX(IF((G147&gt;=6)*(1-(IF(H147="",-1,H147)&gt;=1)*(IF(H147="",-1,H147)&lt;=3))*(1-(IF(H147="",-1,H147)=0)),IF(C147="peso_corporal",IF(ISNUMBER(E147),E147,0)+F147,F147)*(30+G147)*100+F147,0),IF((J147&gt;=6)*(1-(IF(K147="",-1,K147)&gt;=1)*(IF(K147="",-1,K147)&lt;=3))*(1-(IF(K147="",-1,K147)=0)),IF(C147="peso_corporal",IF(ISNUMBER(E147),E147,0)+I147,I147)*(30+J147)*100+I147,0),IF((M147&gt;=6)*(1-(IF(N147="",-1,N147)&gt;=1)*(IF(N147="",-1,N147)&lt;=3))*(1-(IF(N147="",-1,N147)=0)),IF(C147="peso_corporal",IF(ISNUMBER(E147),E147,0)+L147,L147)*(30+M147)*100+L147,0),IF((P147&gt;=6)*(1-(IF(Q147="",-1,Q147)&gt;=1)*(IF(Q147="",-1,Q147)&lt;=3))*(1-(IF(Q147="",-1,Q147)=0)),IF(C147="peso_corporal",IF(ISNUMBER(E147),E147,0)+O147,O147)*(30+P147)*100+O147,0),IF((S147&gt;=6)*(1-(IF(T147="",-1,T147)&gt;=1)*(IF(T147="",-1,T147)&lt;=3))*(1-(IF(T147="",-1,T147)=0)),IF(C147="peso_corporal",IF(ISNUMBER(E147),E147,0)+R147,R147)*(30+S147)*100+R147,0))</f>
        <v>0</v>
      </c>
      <c r="AB147" s="69">
        <f>IF(AA147=0,0,IF(IF((S147&gt;=6)*(1-(IF(T147="",-1,T147)&gt;=1)*(IF(T147="",-1,T147)&lt;=3))*(1-(IF(T147="",-1,T147)=0)),IF(C147="peso_corporal",IF(ISNUMBER(E147),E147,0)+R147,R147)*(30+S147)*100+R147,0)=AA147,5,IF(IF((P147&gt;=6)*(1-(IF(Q147="",-1,Q147)&gt;=1)*(IF(Q147="",-1,Q147)&lt;=3))*(1-(IF(Q147="",-1,Q147)=0)),IF(C147="peso_corporal",IF(ISNUMBER(E147),E147,0)+O147,O147)*(30+P147)*100+O147,0)=AA147,4,IF(IF((M147&gt;=6)*(1-(IF(N147="",-1,N147)&gt;=1)*(IF(N147="",-1,N147)&lt;=3))*(1-(IF(N147="",-1,N147)=0)),IF(C147="peso_corporal",IF(ISNUMBER(E147),E147,0)+L147,L147)*(30+M147)*100+L147,0)=AA147,3,IF(IF((J147&gt;=6)*(1-(IF(K147="",-1,K147)&gt;=1)*(IF(K147="",-1,K147)&lt;=3))*(1-(IF(K147="",-1,K147)=0)),IF(C147="peso_corporal",IF(ISNUMBER(E147),E147,0)+I147,I147)*(30+J147)*100+I147,0)=AA147,2,IF(IF((G147&gt;=6)*(1-(IF(H147="",-1,H147)&gt;=1)*(IF(H147="",-1,H147)&lt;=3))*(1-(IF(H147="",-1,H147)=0)),IF(C147="peso_corporal",IF(ISNUMBER(E147),E147,0)+F147,F147)*(30+G147)*100+F147,0)=AA147,1,0))))))</f>
        <v>0</v>
      </c>
      <c r="AC147" s="69" t="str">
        <f>IF(X147&gt;0,"A"&amp;X147,IF(Z147&gt;0,"B"&amp;Z147,IF(AB147&gt;0,"C"&amp;AB147,"")))</f>
        <v/>
      </c>
    </row>
    <row r="148" spans="1:29" ht="11.1" customHeight="1">
      <c r="A148" s="87" t="s">
        <v>35</v>
      </c>
      <c r="B148" s="73"/>
      <c r="C148" s="73"/>
      <c r="D148" s="73"/>
      <c r="E148" s="73"/>
      <c r="F148" s="73"/>
      <c r="G148" s="73"/>
      <c r="H148" s="73"/>
      <c r="I148" s="73"/>
      <c r="J148" s="73"/>
      <c r="K148" s="73"/>
      <c r="L148" s="73"/>
      <c r="M148" s="73"/>
      <c r="N148" s="73"/>
      <c r="O148" s="73"/>
      <c r="P148" s="73"/>
      <c r="Q148" s="73"/>
      <c r="R148" s="73"/>
      <c r="S148" s="73"/>
      <c r="T148" s="73"/>
      <c r="U148" s="73"/>
      <c r="V148" s="73"/>
      <c r="W148" s="69"/>
      <c r="X148" s="69"/>
      <c r="Y148" s="69"/>
      <c r="Z148" s="69"/>
      <c r="AA148" s="69"/>
      <c r="AB148" s="69"/>
      <c r="AC148" s="69"/>
    </row>
    <row r="149" spans="1:29" ht="20.100000000000001" customHeight="1">
      <c r="A149" s="14" t="s">
        <v>36</v>
      </c>
      <c r="B149" s="15" t="s">
        <v>37</v>
      </c>
      <c r="C149" s="16" t="str">
        <f>IFERROR(INDEX(EJERCICIOS!$D$3:$D$75,MATCH(A149&amp;"|"&amp;B149,EJERCICIOS!$G$3:$G$75,0)),"--")</f>
        <v>peso_corporal</v>
      </c>
      <c r="D149" s="17">
        <v>3</v>
      </c>
      <c r="E149" s="18">
        <f>IFERROR(LOOKUP(2,1/(MEDIDAS_Y_PESO!$B$3:$B$9&lt;&gt;""),MEDIDAS_Y_PESO!$B$3:$B$9),"--")</f>
        <v>80</v>
      </c>
      <c r="F149" s="19"/>
      <c r="G149" s="20"/>
      <c r="H149" s="21"/>
      <c r="I149" s="19"/>
      <c r="J149" s="20"/>
      <c r="K149" s="21"/>
      <c r="L149" s="19"/>
      <c r="M149" s="20"/>
      <c r="N149" s="21"/>
      <c r="O149" s="19"/>
      <c r="P149" s="20"/>
      <c r="Q149" s="21"/>
      <c r="R149" s="19"/>
      <c r="S149" s="20"/>
      <c r="T149" s="21"/>
      <c r="U149" s="22" t="str">
        <f>IFERROR(IF(IF(X149&gt;0,X149,IF(Z149&gt;0,Z149,IF(AB149&gt;0,AB149,0)))=0,"--",ROUND(CHOOSE(IF(X149&gt;0,X149,IF(Z149&gt;0,Z149,IF(AB149&gt;0,AB149,0))),IF(C149="peso_corporal",IF(ISNUMBER(E149),E149,0)+F149,F149)*(1+G149/30),IF(C149="peso_corporal",IF(ISNUMBER(E149),E149,0)+I149,I149)*(1+J149/30),IF(C149="peso_corporal",IF(ISNUMBER(E149),E149,0)+L149,L149)*(1+M149/30),IF(C149="peso_corporal",IF(ISNUMBER(E149),E149,0)+O149,O149)*(1+P149/30),IF(C149="peso_corporal",IF(ISNUMBER(E149),E149,0)+R149,R149)*(1+S149/30)),1)),"--")</f>
        <v>--</v>
      </c>
      <c r="V149" s="23" t="str">
        <f>IF(SUGERENCIAS!N384="SIN","Sin datos anteriores",IF(SUGERENCIAS!N384="SUBIR_F","^ SUBIR FUERTE | Kg:"&amp;ROUND(SUGERENCIAS!K384,1)&amp;" R:"&amp;ROUND(SUGERENCIAS!L384,0)&amp;" RIR:"&amp;ROUND(SUGERENCIAS!M384,0),IF(SUGERENCIAS!N384="SUBIR_E","^ SUBIR (Est.) | Kg:"&amp;ROUND(SUGERENCIAS!K384,1)&amp;" R:"&amp;ROUND(SUGERENCIAS!L384,0)&amp;" RIR:"&amp;ROUND(SUGERENCIAS!M384,0),IF(SUGERENCIAS!N384="SUBIR","^ SUBIR | Kg:"&amp;ROUND(SUGERENCIAS!K384,1)&amp;" R:"&amp;ROUND(SUGERENCIAS!L384,0)&amp;" RIR:"&amp;ROUND(SUGERENCIAS!M384,0),IF(SUGERENCIAS!N384="BAJAR","v BAJAR | Kg:"&amp;ROUND(SUGERENCIAS!K384,1)&amp;" R:"&amp;ROUND(SUGERENCIAS!L384,0)&amp;" RIR:"&amp;ROUND(SUGERENCIAS!M384,0),"= MANT | Kg:"&amp;ROUND(SUGERENCIAS!K384,1)&amp;" R:"&amp;ROUND(SUGERENCIAS!L384,0)&amp;" RIR:"&amp;ROUND(SUGERENCIAS!M384,0))))))</f>
        <v>^ SUBIR FUERTE | Kg:5 R:6 RIR:2</v>
      </c>
      <c r="W149" s="69">
        <f>MAX(IF((G149&gt;0)*(IF(H149="",-1,H149)&gt;=1)*(IF(H149="",-1,H149)&lt;=3),IF(C149="peso_corporal",IF(ISNUMBER(E149),E149,0)+F149,F149)*G149*1000+F149,0),IF((J149&gt;0)*(IF(K149="",-1,K149)&gt;=1)*(IF(K149="",-1,K149)&lt;=3),IF(C149="peso_corporal",IF(ISNUMBER(E149),E149,0)+I149,I149)*J149*1000+I149,0),IF((M149&gt;0)*(IF(N149="",-1,N149)&gt;=1)*(IF(N149="",-1,N149)&lt;=3),IF(C149="peso_corporal",IF(ISNUMBER(E149),E149,0)+L149,L149)*M149*1000+L149,0),IF((P149&gt;0)*(IF(Q149="",-1,Q149)&gt;=1)*(IF(Q149="",-1,Q149)&lt;=3),IF(C149="peso_corporal",IF(ISNUMBER(E149),E149,0)+O149,O149)*P149*1000+O149,0),IF((S149&gt;0)*(IF(T149="",-1,T149)&gt;=1)*(IF(T149="",-1,T149)&lt;=3),IF(C149="peso_corporal",IF(ISNUMBER(E149),E149,0)+R149,R149)*S149*1000+R149,0))</f>
        <v>0</v>
      </c>
      <c r="X149" s="69">
        <f>IF(W149=0,0,IF(IF((S149&gt;0)*(IF(T149="",-1,T149)&gt;=1)*(IF(T149="",-1,T149)&lt;=3),IF(C149="peso_corporal",IF(ISNUMBER(E149),E149,0)+R149,R149)*S149*1000+R149,0)=W149,5,IF(IF((P149&gt;0)*(IF(Q149="",-1,Q149)&gt;=1)*(IF(Q149="",-1,Q149)&lt;=3),IF(C149="peso_corporal",IF(ISNUMBER(E149),E149,0)+O149,O149)*P149*1000+O149,0)=W149,4,IF(IF((M149&gt;0)*(IF(N149="",-1,N149)&gt;=1)*(IF(N149="",-1,N149)&lt;=3),IF(C149="peso_corporal",IF(ISNUMBER(E149),E149,0)+L149,L149)*M149*1000+L149,0)=W149,3,IF(IF((J149&gt;0)*(IF(K149="",-1,K149)&gt;=1)*(IF(K149="",-1,K149)&lt;=3),IF(C149="peso_corporal",IF(ISNUMBER(E149),E149,0)+I149,I149)*J149*1000+I149,0)=W149,2,IF(IF((G149&gt;0)*(IF(H149="",-1,H149)&gt;=1)*(IF(H149="",-1,H149)&lt;=3),IF(C149="peso_corporal",IF(ISNUMBER(E149),E149,0)+F149,F149)*G149*1000+F149,0)=W149,1,0))))))</f>
        <v>0</v>
      </c>
      <c r="Y149" s="69">
        <f>MAX(IF((G149&gt;0)*(IF(H149="",-1,H149)=0)*(1-(IF(H149="",-1,H149)&gt;=1)*(IF(H149="",-1,H149)&lt;=3)),IF(C149="peso_corporal",IF(ISNUMBER(E149),E149,0)+F149,F149)*G149*1000+F149,0),IF((J149&gt;0)*(IF(K149="",-1,K149)=0)*(1-(IF(K149="",-1,K149)&gt;=1)*(IF(K149="",-1,K149)&lt;=3)),IF(C149="peso_corporal",IF(ISNUMBER(E149),E149,0)+I149,I149)*J149*1000+I149,0),IF((M149&gt;0)*(IF(N149="",-1,N149)=0)*(1-(IF(N149="",-1,N149)&gt;=1)*(IF(N149="",-1,N149)&lt;=3)),IF(C149="peso_corporal",IF(ISNUMBER(E149),E149,0)+L149,L149)*M149*1000+L149,0),IF((P149&gt;0)*(IF(Q149="",-1,Q149)=0)*(1-(IF(Q149="",-1,Q149)&gt;=1)*(IF(Q149="",-1,Q149)&lt;=3)),IF(C149="peso_corporal",IF(ISNUMBER(E149),E149,0)+O149,O149)*P149*1000+O149,0),IF((S149&gt;0)*(IF(T149="",-1,T149)=0)*(1-(IF(T149="",-1,T149)&gt;=1)*(IF(T149="",-1,T149)&lt;=3)),IF(C149="peso_corporal",IF(ISNUMBER(E149),E149,0)+R149,R149)*S149*1000+R149,0))</f>
        <v>0</v>
      </c>
      <c r="Z149" s="69">
        <f>IF(Y149=0,0,IF(IF((S149&gt;0)*(IF(T149="",-1,T149)=0)*(1-(IF(T149="",-1,T149)&gt;=1)*(IF(T149="",-1,T149)&lt;=3)),IF(C149="peso_corporal",IF(ISNUMBER(E149),E149,0)+R149,R149)*S149*1000+R149,0)=Y149,5,IF(IF((P149&gt;0)*(IF(Q149="",-1,Q149)=0)*(1-(IF(Q149="",-1,Q149)&gt;=1)*(IF(Q149="",-1,Q149)&lt;=3)),IF(C149="peso_corporal",IF(ISNUMBER(E149),E149,0)+O149,O149)*P149*1000+O149,0)=Y149,4,IF(IF((M149&gt;0)*(IF(N149="",-1,N149)=0)*(1-(IF(N149="",-1,N149)&gt;=1)*(IF(N149="",-1,N149)&lt;=3)),IF(C149="peso_corporal",IF(ISNUMBER(E149),E149,0)+L149,L149)*M149*1000+L149,0)=Y149,3,IF(IF((J149&gt;0)*(IF(K149="",-1,K149)=0)*(1-(IF(K149="",-1,K149)&gt;=1)*(IF(K149="",-1,K149)&lt;=3)),IF(C149="peso_corporal",IF(ISNUMBER(E149),E149,0)+I149,I149)*J149*1000+I149,0)=Y149,2,IF(IF((G149&gt;0)*(IF(H149="",-1,H149)=0)*(1-(IF(H149="",-1,H149)&gt;=1)*(IF(H149="",-1,H149)&lt;=3)),IF(C149="peso_corporal",IF(ISNUMBER(E149),E149,0)+F149,F149)*G149*1000+F149,0)=Y149,1,0))))))</f>
        <v>0</v>
      </c>
      <c r="AA149" s="69">
        <f>MAX(IF((G149&gt;=6)*(1-(IF(H149="",-1,H149)&gt;=1)*(IF(H149="",-1,H149)&lt;=3))*(1-(IF(H149="",-1,H149)=0)),IF(C149="peso_corporal",IF(ISNUMBER(E149),E149,0)+F149,F149)*(30+G149)*100+F149,0),IF((J149&gt;=6)*(1-(IF(K149="",-1,K149)&gt;=1)*(IF(K149="",-1,K149)&lt;=3))*(1-(IF(K149="",-1,K149)=0)),IF(C149="peso_corporal",IF(ISNUMBER(E149),E149,0)+I149,I149)*(30+J149)*100+I149,0),IF((M149&gt;=6)*(1-(IF(N149="",-1,N149)&gt;=1)*(IF(N149="",-1,N149)&lt;=3))*(1-(IF(N149="",-1,N149)=0)),IF(C149="peso_corporal",IF(ISNUMBER(E149),E149,0)+L149,L149)*(30+M149)*100+L149,0),IF((P149&gt;=6)*(1-(IF(Q149="",-1,Q149)&gt;=1)*(IF(Q149="",-1,Q149)&lt;=3))*(1-(IF(Q149="",-1,Q149)=0)),IF(C149="peso_corporal",IF(ISNUMBER(E149),E149,0)+O149,O149)*(30+P149)*100+O149,0),IF((S149&gt;=6)*(1-(IF(T149="",-1,T149)&gt;=1)*(IF(T149="",-1,T149)&lt;=3))*(1-(IF(T149="",-1,T149)=0)),IF(C149="peso_corporal",IF(ISNUMBER(E149),E149,0)+R149,R149)*(30+S149)*100+R149,0))</f>
        <v>0</v>
      </c>
      <c r="AB149" s="69">
        <f>IF(AA149=0,0,IF(IF((S149&gt;=6)*(1-(IF(T149="",-1,T149)&gt;=1)*(IF(T149="",-1,T149)&lt;=3))*(1-(IF(T149="",-1,T149)=0)),IF(C149="peso_corporal",IF(ISNUMBER(E149),E149,0)+R149,R149)*(30+S149)*100+R149,0)=AA149,5,IF(IF((P149&gt;=6)*(1-(IF(Q149="",-1,Q149)&gt;=1)*(IF(Q149="",-1,Q149)&lt;=3))*(1-(IF(Q149="",-1,Q149)=0)),IF(C149="peso_corporal",IF(ISNUMBER(E149),E149,0)+O149,O149)*(30+P149)*100+O149,0)=AA149,4,IF(IF((M149&gt;=6)*(1-(IF(N149="",-1,N149)&gt;=1)*(IF(N149="",-1,N149)&lt;=3))*(1-(IF(N149="",-1,N149)=0)),IF(C149="peso_corporal",IF(ISNUMBER(E149),E149,0)+L149,L149)*(30+M149)*100+L149,0)=AA149,3,IF(IF((J149&gt;=6)*(1-(IF(K149="",-1,K149)&gt;=1)*(IF(K149="",-1,K149)&lt;=3))*(1-(IF(K149="",-1,K149)=0)),IF(C149="peso_corporal",IF(ISNUMBER(E149),E149,0)+I149,I149)*(30+J149)*100+I149,0)=AA149,2,IF(IF((G149&gt;=6)*(1-(IF(H149="",-1,H149)&gt;=1)*(IF(H149="",-1,H149)&lt;=3))*(1-(IF(H149="",-1,H149)=0)),IF(C149="peso_corporal",IF(ISNUMBER(E149),E149,0)+F149,F149)*(30+G149)*100+F149,0)=AA149,1,0))))))</f>
        <v>0</v>
      </c>
      <c r="AC149" s="69" t="str">
        <f>IF(X149&gt;0,"A"&amp;X149,IF(Z149&gt;0,"B"&amp;Z149,IF(AB149&gt;0,"C"&amp;AB149,"")))</f>
        <v/>
      </c>
    </row>
    <row r="150" spans="1:29" ht="20.100000000000001" customHeight="1">
      <c r="A150" s="14" t="s">
        <v>62</v>
      </c>
      <c r="B150" s="15" t="s">
        <v>39</v>
      </c>
      <c r="C150" s="16" t="str">
        <f>IFERROR(INDEX(EJERCICIOS!$D$3:$D$75,MATCH(A150&amp;"|"&amp;B150,EJERCICIOS!$G$3:$G$75,0)),"--")</f>
        <v>--</v>
      </c>
      <c r="D150" s="17">
        <v>3</v>
      </c>
      <c r="E150" s="18">
        <f>IFERROR(LOOKUP(2,1/(MEDIDAS_Y_PESO!$B$3:$B$9&lt;&gt;""),MEDIDAS_Y_PESO!$B$3:$B$9),"--")</f>
        <v>80</v>
      </c>
      <c r="F150" s="19"/>
      <c r="G150" s="20"/>
      <c r="H150" s="21"/>
      <c r="I150" s="19"/>
      <c r="J150" s="20"/>
      <c r="K150" s="21"/>
      <c r="L150" s="19"/>
      <c r="M150" s="20"/>
      <c r="N150" s="21"/>
      <c r="O150" s="19"/>
      <c r="P150" s="20"/>
      <c r="Q150" s="21"/>
      <c r="R150" s="19"/>
      <c r="S150" s="20"/>
      <c r="T150" s="21"/>
      <c r="U150" s="22" t="str">
        <f>IFERROR(IF(IF(X150&gt;0,X150,IF(Z150&gt;0,Z150,IF(AB150&gt;0,AB150,0)))=0,"--",ROUND(CHOOSE(IF(X150&gt;0,X150,IF(Z150&gt;0,Z150,IF(AB150&gt;0,AB150,0))),IF(C150="peso_corporal",IF(ISNUMBER(E150),E150,0)+F150,F150)*(1+G150/30),IF(C150="peso_corporal",IF(ISNUMBER(E150),E150,0)+I150,I150)*(1+J150/30),IF(C150="peso_corporal",IF(ISNUMBER(E150),E150,0)+L150,L150)*(1+M150/30),IF(C150="peso_corporal",IF(ISNUMBER(E150),E150,0)+O150,O150)*(1+P150/30),IF(C150="peso_corporal",IF(ISNUMBER(E150),E150,0)+R150,R150)*(1+S150/30)),1)),"--")</f>
        <v>--</v>
      </c>
      <c r="V150" s="23" t="str">
        <f>IF(SUGERENCIAS!N385="SIN","Sin datos anteriores",IF(SUGERENCIAS!N385="SUBIR_F","^ SUBIR FUERTE | Kg:"&amp;ROUND(SUGERENCIAS!K385,1)&amp;" R:"&amp;ROUND(SUGERENCIAS!L385,0)&amp;" RIR:"&amp;ROUND(SUGERENCIAS!M385,0),IF(SUGERENCIAS!N385="SUBIR_E","^ SUBIR (Est.) | Kg:"&amp;ROUND(SUGERENCIAS!K385,1)&amp;" R:"&amp;ROUND(SUGERENCIAS!L385,0)&amp;" RIR:"&amp;ROUND(SUGERENCIAS!M385,0),IF(SUGERENCIAS!N385="SUBIR","^ SUBIR | Kg:"&amp;ROUND(SUGERENCIAS!K385,1)&amp;" R:"&amp;ROUND(SUGERENCIAS!L385,0)&amp;" RIR:"&amp;ROUND(SUGERENCIAS!M385,0),IF(SUGERENCIAS!N385="BAJAR","v BAJAR | Kg:"&amp;ROUND(SUGERENCIAS!K385,1)&amp;" R:"&amp;ROUND(SUGERENCIAS!L385,0)&amp;" RIR:"&amp;ROUND(SUGERENCIAS!M385,0),"= MANT | Kg:"&amp;ROUND(SUGERENCIAS!K385,1)&amp;" R:"&amp;ROUND(SUGERENCIAS!L385,0)&amp;" RIR:"&amp;ROUND(SUGERENCIAS!M385,0))))))</f>
        <v>Sin datos anteriores</v>
      </c>
      <c r="W150" s="69">
        <f>MAX(IF((G150&gt;0)*(IF(H150="",-1,H150)&gt;=1)*(IF(H150="",-1,H150)&lt;=3),IF(C150="peso_corporal",IF(ISNUMBER(E150),E150,0)+F150,F150)*G150*1000+F150,0),IF((J150&gt;0)*(IF(K150="",-1,K150)&gt;=1)*(IF(K150="",-1,K150)&lt;=3),IF(C150="peso_corporal",IF(ISNUMBER(E150),E150,0)+I150,I150)*J150*1000+I150,0),IF((M150&gt;0)*(IF(N150="",-1,N150)&gt;=1)*(IF(N150="",-1,N150)&lt;=3),IF(C150="peso_corporal",IF(ISNUMBER(E150),E150,0)+L150,L150)*M150*1000+L150,0),IF((P150&gt;0)*(IF(Q150="",-1,Q150)&gt;=1)*(IF(Q150="",-1,Q150)&lt;=3),IF(C150="peso_corporal",IF(ISNUMBER(E150),E150,0)+O150,O150)*P150*1000+O150,0),IF((S150&gt;0)*(IF(T150="",-1,T150)&gt;=1)*(IF(T150="",-1,T150)&lt;=3),IF(C150="peso_corporal",IF(ISNUMBER(E150),E150,0)+R150,R150)*S150*1000+R150,0))</f>
        <v>0</v>
      </c>
      <c r="X150" s="69">
        <f>IF(W150=0,0,IF(IF((S150&gt;0)*(IF(T150="",-1,T150)&gt;=1)*(IF(T150="",-1,T150)&lt;=3),IF(C150="peso_corporal",IF(ISNUMBER(E150),E150,0)+R150,R150)*S150*1000+R150,0)=W150,5,IF(IF((P150&gt;0)*(IF(Q150="",-1,Q150)&gt;=1)*(IF(Q150="",-1,Q150)&lt;=3),IF(C150="peso_corporal",IF(ISNUMBER(E150),E150,0)+O150,O150)*P150*1000+O150,0)=W150,4,IF(IF((M150&gt;0)*(IF(N150="",-1,N150)&gt;=1)*(IF(N150="",-1,N150)&lt;=3),IF(C150="peso_corporal",IF(ISNUMBER(E150),E150,0)+L150,L150)*M150*1000+L150,0)=W150,3,IF(IF((J150&gt;0)*(IF(K150="",-1,K150)&gt;=1)*(IF(K150="",-1,K150)&lt;=3),IF(C150="peso_corporal",IF(ISNUMBER(E150),E150,0)+I150,I150)*J150*1000+I150,0)=W150,2,IF(IF((G150&gt;0)*(IF(H150="",-1,H150)&gt;=1)*(IF(H150="",-1,H150)&lt;=3),IF(C150="peso_corporal",IF(ISNUMBER(E150),E150,0)+F150,F150)*G150*1000+F150,0)=W150,1,0))))))</f>
        <v>0</v>
      </c>
      <c r="Y150" s="69">
        <f>MAX(IF((G150&gt;0)*(IF(H150="",-1,H150)=0)*(1-(IF(H150="",-1,H150)&gt;=1)*(IF(H150="",-1,H150)&lt;=3)),IF(C150="peso_corporal",IF(ISNUMBER(E150),E150,0)+F150,F150)*G150*1000+F150,0),IF((J150&gt;0)*(IF(K150="",-1,K150)=0)*(1-(IF(K150="",-1,K150)&gt;=1)*(IF(K150="",-1,K150)&lt;=3)),IF(C150="peso_corporal",IF(ISNUMBER(E150),E150,0)+I150,I150)*J150*1000+I150,0),IF((M150&gt;0)*(IF(N150="",-1,N150)=0)*(1-(IF(N150="",-1,N150)&gt;=1)*(IF(N150="",-1,N150)&lt;=3)),IF(C150="peso_corporal",IF(ISNUMBER(E150),E150,0)+L150,L150)*M150*1000+L150,0),IF((P150&gt;0)*(IF(Q150="",-1,Q150)=0)*(1-(IF(Q150="",-1,Q150)&gt;=1)*(IF(Q150="",-1,Q150)&lt;=3)),IF(C150="peso_corporal",IF(ISNUMBER(E150),E150,0)+O150,O150)*P150*1000+O150,0),IF((S150&gt;0)*(IF(T150="",-1,T150)=0)*(1-(IF(T150="",-1,T150)&gt;=1)*(IF(T150="",-1,T150)&lt;=3)),IF(C150="peso_corporal",IF(ISNUMBER(E150),E150,0)+R150,R150)*S150*1000+R150,0))</f>
        <v>0</v>
      </c>
      <c r="Z150" s="69">
        <f>IF(Y150=0,0,IF(IF((S150&gt;0)*(IF(T150="",-1,T150)=0)*(1-(IF(T150="",-1,T150)&gt;=1)*(IF(T150="",-1,T150)&lt;=3)),IF(C150="peso_corporal",IF(ISNUMBER(E150),E150,0)+R150,R150)*S150*1000+R150,0)=Y150,5,IF(IF((P150&gt;0)*(IF(Q150="",-1,Q150)=0)*(1-(IF(Q150="",-1,Q150)&gt;=1)*(IF(Q150="",-1,Q150)&lt;=3)),IF(C150="peso_corporal",IF(ISNUMBER(E150),E150,0)+O150,O150)*P150*1000+O150,0)=Y150,4,IF(IF((M150&gt;0)*(IF(N150="",-1,N150)=0)*(1-(IF(N150="",-1,N150)&gt;=1)*(IF(N150="",-1,N150)&lt;=3)),IF(C150="peso_corporal",IF(ISNUMBER(E150),E150,0)+L150,L150)*M150*1000+L150,0)=Y150,3,IF(IF((J150&gt;0)*(IF(K150="",-1,K150)=0)*(1-(IF(K150="",-1,K150)&gt;=1)*(IF(K150="",-1,K150)&lt;=3)),IF(C150="peso_corporal",IF(ISNUMBER(E150),E150,0)+I150,I150)*J150*1000+I150,0)=Y150,2,IF(IF((G150&gt;0)*(IF(H150="",-1,H150)=0)*(1-(IF(H150="",-1,H150)&gt;=1)*(IF(H150="",-1,H150)&lt;=3)),IF(C150="peso_corporal",IF(ISNUMBER(E150),E150,0)+F150,F150)*G150*1000+F150,0)=Y150,1,0))))))</f>
        <v>0</v>
      </c>
      <c r="AA150" s="69">
        <f>MAX(IF((G150&gt;=6)*(1-(IF(H150="",-1,H150)&gt;=1)*(IF(H150="",-1,H150)&lt;=3))*(1-(IF(H150="",-1,H150)=0)),IF(C150="peso_corporal",IF(ISNUMBER(E150),E150,0)+F150,F150)*(30+G150)*100+F150,0),IF((J150&gt;=6)*(1-(IF(K150="",-1,K150)&gt;=1)*(IF(K150="",-1,K150)&lt;=3))*(1-(IF(K150="",-1,K150)=0)),IF(C150="peso_corporal",IF(ISNUMBER(E150),E150,0)+I150,I150)*(30+J150)*100+I150,0),IF((M150&gt;=6)*(1-(IF(N150="",-1,N150)&gt;=1)*(IF(N150="",-1,N150)&lt;=3))*(1-(IF(N150="",-1,N150)=0)),IF(C150="peso_corporal",IF(ISNUMBER(E150),E150,0)+L150,L150)*(30+M150)*100+L150,0),IF((P150&gt;=6)*(1-(IF(Q150="",-1,Q150)&gt;=1)*(IF(Q150="",-1,Q150)&lt;=3))*(1-(IF(Q150="",-1,Q150)=0)),IF(C150="peso_corporal",IF(ISNUMBER(E150),E150,0)+O150,O150)*(30+P150)*100+O150,0),IF((S150&gt;=6)*(1-(IF(T150="",-1,T150)&gt;=1)*(IF(T150="",-1,T150)&lt;=3))*(1-(IF(T150="",-1,T150)=0)),IF(C150="peso_corporal",IF(ISNUMBER(E150),E150,0)+R150,R150)*(30+S150)*100+R150,0))</f>
        <v>0</v>
      </c>
      <c r="AB150" s="69">
        <f>IF(AA150=0,0,IF(IF((S150&gt;=6)*(1-(IF(T150="",-1,T150)&gt;=1)*(IF(T150="",-1,T150)&lt;=3))*(1-(IF(T150="",-1,T150)=0)),IF(C150="peso_corporal",IF(ISNUMBER(E150),E150,0)+R150,R150)*(30+S150)*100+R150,0)=AA150,5,IF(IF((P150&gt;=6)*(1-(IF(Q150="",-1,Q150)&gt;=1)*(IF(Q150="",-1,Q150)&lt;=3))*(1-(IF(Q150="",-1,Q150)=0)),IF(C150="peso_corporal",IF(ISNUMBER(E150),E150,0)+O150,O150)*(30+P150)*100+O150,0)=AA150,4,IF(IF((M150&gt;=6)*(1-(IF(N150="",-1,N150)&gt;=1)*(IF(N150="",-1,N150)&lt;=3))*(1-(IF(N150="",-1,N150)=0)),IF(C150="peso_corporal",IF(ISNUMBER(E150),E150,0)+L150,L150)*(30+M150)*100+L150,0)=AA150,3,IF(IF((J150&gt;=6)*(1-(IF(K150="",-1,K150)&gt;=1)*(IF(K150="",-1,K150)&lt;=3))*(1-(IF(K150="",-1,K150)=0)),IF(C150="peso_corporal",IF(ISNUMBER(E150),E150,0)+I150,I150)*(30+J150)*100+I150,0)=AA150,2,IF(IF((G150&gt;=6)*(1-(IF(H150="",-1,H150)&gt;=1)*(IF(H150="",-1,H150)&lt;=3))*(1-(IF(H150="",-1,H150)=0)),IF(C150="peso_corporal",IF(ISNUMBER(E150),E150,0)+F150,F150)*(30+G150)*100+F150,0)=AA150,1,0))))))</f>
        <v>0</v>
      </c>
      <c r="AC150" s="69" t="str">
        <f>IF(X150&gt;0,"A"&amp;X150,IF(Z150&gt;0,"B"&amp;Z150,IF(AB150&gt;0,"C"&amp;AB150,"")))</f>
        <v/>
      </c>
    </row>
    <row r="151" spans="1:29" ht="20.100000000000001" customHeight="1">
      <c r="A151" s="14" t="s">
        <v>62</v>
      </c>
      <c r="B151" s="15" t="s">
        <v>63</v>
      </c>
      <c r="C151" s="16" t="str">
        <f>IFERROR(INDEX(EJERCICIOS!$D$3:$D$75,MATCH(A151&amp;"|"&amp;B151,EJERCICIOS!$G$3:$G$75,0)),"--")</f>
        <v>--</v>
      </c>
      <c r="D151" s="17">
        <v>3</v>
      </c>
      <c r="E151" s="18">
        <f>IFERROR(LOOKUP(2,1/(MEDIDAS_Y_PESO!$B$3:$B$9&lt;&gt;""),MEDIDAS_Y_PESO!$B$3:$B$9),"--")</f>
        <v>80</v>
      </c>
      <c r="F151" s="19"/>
      <c r="G151" s="20"/>
      <c r="H151" s="21"/>
      <c r="I151" s="19"/>
      <c r="J151" s="20"/>
      <c r="K151" s="21"/>
      <c r="L151" s="19"/>
      <c r="M151" s="20"/>
      <c r="N151" s="21"/>
      <c r="O151" s="19"/>
      <c r="P151" s="20"/>
      <c r="Q151" s="21"/>
      <c r="R151" s="19"/>
      <c r="S151" s="20"/>
      <c r="T151" s="21"/>
      <c r="U151" s="22" t="str">
        <f>IFERROR(IF(IF(X151&gt;0,X151,IF(Z151&gt;0,Z151,IF(AB151&gt;0,AB151,0)))=0,"--",ROUND(CHOOSE(IF(X151&gt;0,X151,IF(Z151&gt;0,Z151,IF(AB151&gt;0,AB151,0))),IF(C151="peso_corporal",IF(ISNUMBER(E151),E151,0)+F151,F151)*(1+G151/30),IF(C151="peso_corporal",IF(ISNUMBER(E151),E151,0)+I151,I151)*(1+J151/30),IF(C151="peso_corporal",IF(ISNUMBER(E151),E151,0)+L151,L151)*(1+M151/30),IF(C151="peso_corporal",IF(ISNUMBER(E151),E151,0)+O151,O151)*(1+P151/30),IF(C151="peso_corporal",IF(ISNUMBER(E151),E151,0)+R151,R151)*(1+S151/30)),1)),"--")</f>
        <v>--</v>
      </c>
      <c r="V151" s="23" t="str">
        <f>IF(SUGERENCIAS!N386="SIN","Sin datos anteriores",IF(SUGERENCIAS!N386="SUBIR_F","^ SUBIR FUERTE | Kg:"&amp;ROUND(SUGERENCIAS!K386,1)&amp;" R:"&amp;ROUND(SUGERENCIAS!L386,0)&amp;" RIR:"&amp;ROUND(SUGERENCIAS!M386,0),IF(SUGERENCIAS!N386="SUBIR_E","^ SUBIR (Est.) | Kg:"&amp;ROUND(SUGERENCIAS!K386,1)&amp;" R:"&amp;ROUND(SUGERENCIAS!L386,0)&amp;" RIR:"&amp;ROUND(SUGERENCIAS!M386,0),IF(SUGERENCIAS!N386="SUBIR","^ SUBIR | Kg:"&amp;ROUND(SUGERENCIAS!K386,1)&amp;" R:"&amp;ROUND(SUGERENCIAS!L386,0)&amp;" RIR:"&amp;ROUND(SUGERENCIAS!M386,0),IF(SUGERENCIAS!N386="BAJAR","v BAJAR | Kg:"&amp;ROUND(SUGERENCIAS!K386,1)&amp;" R:"&amp;ROUND(SUGERENCIAS!L386,0)&amp;" RIR:"&amp;ROUND(SUGERENCIAS!M386,0),"= MANT | Kg:"&amp;ROUND(SUGERENCIAS!K386,1)&amp;" R:"&amp;ROUND(SUGERENCIAS!L386,0)&amp;" RIR:"&amp;ROUND(SUGERENCIAS!M386,0))))))</f>
        <v>Sin datos anteriores</v>
      </c>
      <c r="W151" s="69">
        <f>MAX(IF((G151&gt;0)*(IF(H151="",-1,H151)&gt;=1)*(IF(H151="",-1,H151)&lt;=3),IF(C151="peso_corporal",IF(ISNUMBER(E151),E151,0)+F151,F151)*G151*1000+F151,0),IF((J151&gt;0)*(IF(K151="",-1,K151)&gt;=1)*(IF(K151="",-1,K151)&lt;=3),IF(C151="peso_corporal",IF(ISNUMBER(E151),E151,0)+I151,I151)*J151*1000+I151,0),IF((M151&gt;0)*(IF(N151="",-1,N151)&gt;=1)*(IF(N151="",-1,N151)&lt;=3),IF(C151="peso_corporal",IF(ISNUMBER(E151),E151,0)+L151,L151)*M151*1000+L151,0),IF((P151&gt;0)*(IF(Q151="",-1,Q151)&gt;=1)*(IF(Q151="",-1,Q151)&lt;=3),IF(C151="peso_corporal",IF(ISNUMBER(E151),E151,0)+O151,O151)*P151*1000+O151,0),IF((S151&gt;0)*(IF(T151="",-1,T151)&gt;=1)*(IF(T151="",-1,T151)&lt;=3),IF(C151="peso_corporal",IF(ISNUMBER(E151),E151,0)+R151,R151)*S151*1000+R151,0))</f>
        <v>0</v>
      </c>
      <c r="X151" s="69">
        <f>IF(W151=0,0,IF(IF((S151&gt;0)*(IF(T151="",-1,T151)&gt;=1)*(IF(T151="",-1,T151)&lt;=3),IF(C151="peso_corporal",IF(ISNUMBER(E151),E151,0)+R151,R151)*S151*1000+R151,0)=W151,5,IF(IF((P151&gt;0)*(IF(Q151="",-1,Q151)&gt;=1)*(IF(Q151="",-1,Q151)&lt;=3),IF(C151="peso_corporal",IF(ISNUMBER(E151),E151,0)+O151,O151)*P151*1000+O151,0)=W151,4,IF(IF((M151&gt;0)*(IF(N151="",-1,N151)&gt;=1)*(IF(N151="",-1,N151)&lt;=3),IF(C151="peso_corporal",IF(ISNUMBER(E151),E151,0)+L151,L151)*M151*1000+L151,0)=W151,3,IF(IF((J151&gt;0)*(IF(K151="",-1,K151)&gt;=1)*(IF(K151="",-1,K151)&lt;=3),IF(C151="peso_corporal",IF(ISNUMBER(E151),E151,0)+I151,I151)*J151*1000+I151,0)=W151,2,IF(IF((G151&gt;0)*(IF(H151="",-1,H151)&gt;=1)*(IF(H151="",-1,H151)&lt;=3),IF(C151="peso_corporal",IF(ISNUMBER(E151),E151,0)+F151,F151)*G151*1000+F151,0)=W151,1,0))))))</f>
        <v>0</v>
      </c>
      <c r="Y151" s="69">
        <f>MAX(IF((G151&gt;0)*(IF(H151="",-1,H151)=0)*(1-(IF(H151="",-1,H151)&gt;=1)*(IF(H151="",-1,H151)&lt;=3)),IF(C151="peso_corporal",IF(ISNUMBER(E151),E151,0)+F151,F151)*G151*1000+F151,0),IF((J151&gt;0)*(IF(K151="",-1,K151)=0)*(1-(IF(K151="",-1,K151)&gt;=1)*(IF(K151="",-1,K151)&lt;=3)),IF(C151="peso_corporal",IF(ISNUMBER(E151),E151,0)+I151,I151)*J151*1000+I151,0),IF((M151&gt;0)*(IF(N151="",-1,N151)=0)*(1-(IF(N151="",-1,N151)&gt;=1)*(IF(N151="",-1,N151)&lt;=3)),IF(C151="peso_corporal",IF(ISNUMBER(E151),E151,0)+L151,L151)*M151*1000+L151,0),IF((P151&gt;0)*(IF(Q151="",-1,Q151)=0)*(1-(IF(Q151="",-1,Q151)&gt;=1)*(IF(Q151="",-1,Q151)&lt;=3)),IF(C151="peso_corporal",IF(ISNUMBER(E151),E151,0)+O151,O151)*P151*1000+O151,0),IF((S151&gt;0)*(IF(T151="",-1,T151)=0)*(1-(IF(T151="",-1,T151)&gt;=1)*(IF(T151="",-1,T151)&lt;=3)),IF(C151="peso_corporal",IF(ISNUMBER(E151),E151,0)+R151,R151)*S151*1000+R151,0))</f>
        <v>0</v>
      </c>
      <c r="Z151" s="69">
        <f>IF(Y151=0,0,IF(IF((S151&gt;0)*(IF(T151="",-1,T151)=0)*(1-(IF(T151="",-1,T151)&gt;=1)*(IF(T151="",-1,T151)&lt;=3)),IF(C151="peso_corporal",IF(ISNUMBER(E151),E151,0)+R151,R151)*S151*1000+R151,0)=Y151,5,IF(IF((P151&gt;0)*(IF(Q151="",-1,Q151)=0)*(1-(IF(Q151="",-1,Q151)&gt;=1)*(IF(Q151="",-1,Q151)&lt;=3)),IF(C151="peso_corporal",IF(ISNUMBER(E151),E151,0)+O151,O151)*P151*1000+O151,0)=Y151,4,IF(IF((M151&gt;0)*(IF(N151="",-1,N151)=0)*(1-(IF(N151="",-1,N151)&gt;=1)*(IF(N151="",-1,N151)&lt;=3)),IF(C151="peso_corporal",IF(ISNUMBER(E151),E151,0)+L151,L151)*M151*1000+L151,0)=Y151,3,IF(IF((J151&gt;0)*(IF(K151="",-1,K151)=0)*(1-(IF(K151="",-1,K151)&gt;=1)*(IF(K151="",-1,K151)&lt;=3)),IF(C151="peso_corporal",IF(ISNUMBER(E151),E151,0)+I151,I151)*J151*1000+I151,0)=Y151,2,IF(IF((G151&gt;0)*(IF(H151="",-1,H151)=0)*(1-(IF(H151="",-1,H151)&gt;=1)*(IF(H151="",-1,H151)&lt;=3)),IF(C151="peso_corporal",IF(ISNUMBER(E151),E151,0)+F151,F151)*G151*1000+F151,0)=Y151,1,0))))))</f>
        <v>0</v>
      </c>
      <c r="AA151" s="69">
        <f>MAX(IF((G151&gt;=6)*(1-(IF(H151="",-1,H151)&gt;=1)*(IF(H151="",-1,H151)&lt;=3))*(1-(IF(H151="",-1,H151)=0)),IF(C151="peso_corporal",IF(ISNUMBER(E151),E151,0)+F151,F151)*(30+G151)*100+F151,0),IF((J151&gt;=6)*(1-(IF(K151="",-1,K151)&gt;=1)*(IF(K151="",-1,K151)&lt;=3))*(1-(IF(K151="",-1,K151)=0)),IF(C151="peso_corporal",IF(ISNUMBER(E151),E151,0)+I151,I151)*(30+J151)*100+I151,0),IF((M151&gt;=6)*(1-(IF(N151="",-1,N151)&gt;=1)*(IF(N151="",-1,N151)&lt;=3))*(1-(IF(N151="",-1,N151)=0)),IF(C151="peso_corporal",IF(ISNUMBER(E151),E151,0)+L151,L151)*(30+M151)*100+L151,0),IF((P151&gt;=6)*(1-(IF(Q151="",-1,Q151)&gt;=1)*(IF(Q151="",-1,Q151)&lt;=3))*(1-(IF(Q151="",-1,Q151)=0)),IF(C151="peso_corporal",IF(ISNUMBER(E151),E151,0)+O151,O151)*(30+P151)*100+O151,0),IF((S151&gt;=6)*(1-(IF(T151="",-1,T151)&gt;=1)*(IF(T151="",-1,T151)&lt;=3))*(1-(IF(T151="",-1,T151)=0)),IF(C151="peso_corporal",IF(ISNUMBER(E151),E151,0)+R151,R151)*(30+S151)*100+R151,0))</f>
        <v>0</v>
      </c>
      <c r="AB151" s="69">
        <f>IF(AA151=0,0,IF(IF((S151&gt;=6)*(1-(IF(T151="",-1,T151)&gt;=1)*(IF(T151="",-1,T151)&lt;=3))*(1-(IF(T151="",-1,T151)=0)),IF(C151="peso_corporal",IF(ISNUMBER(E151),E151,0)+R151,R151)*(30+S151)*100+R151,0)=AA151,5,IF(IF((P151&gt;=6)*(1-(IF(Q151="",-1,Q151)&gt;=1)*(IF(Q151="",-1,Q151)&lt;=3))*(1-(IF(Q151="",-1,Q151)=0)),IF(C151="peso_corporal",IF(ISNUMBER(E151),E151,0)+O151,O151)*(30+P151)*100+O151,0)=AA151,4,IF(IF((M151&gt;=6)*(1-(IF(N151="",-1,N151)&gt;=1)*(IF(N151="",-1,N151)&lt;=3))*(1-(IF(N151="",-1,N151)=0)),IF(C151="peso_corporal",IF(ISNUMBER(E151),E151,0)+L151,L151)*(30+M151)*100+L151,0)=AA151,3,IF(IF((J151&gt;=6)*(1-(IF(K151="",-1,K151)&gt;=1)*(IF(K151="",-1,K151)&lt;=3))*(1-(IF(K151="",-1,K151)=0)),IF(C151="peso_corporal",IF(ISNUMBER(E151),E151,0)+I151,I151)*(30+J151)*100+I151,0)=AA151,2,IF(IF((G151&gt;=6)*(1-(IF(H151="",-1,H151)&gt;=1)*(IF(H151="",-1,H151)&lt;=3))*(1-(IF(H151="",-1,H151)=0)),IF(C151="peso_corporal",IF(ISNUMBER(E151),E151,0)+F151,F151)*(30+G151)*100+F151,0)=AA151,1,0))))))</f>
        <v>0</v>
      </c>
      <c r="AC151" s="69" t="str">
        <f>IF(X151&gt;0,"A"&amp;X151,IF(Z151&gt;0,"B"&amp;Z151,IF(AB151&gt;0,"C"&amp;AB151,"")))</f>
        <v/>
      </c>
    </row>
    <row r="152" spans="1:29" ht="15" customHeight="1">
      <c r="A152" s="81" t="s">
        <v>42</v>
      </c>
      <c r="B152" s="73"/>
      <c r="C152" s="73"/>
      <c r="D152" s="73"/>
      <c r="E152" s="73"/>
      <c r="F152" s="73"/>
      <c r="G152" s="73"/>
      <c r="H152" s="73"/>
      <c r="I152" s="73"/>
      <c r="J152" s="73"/>
      <c r="K152" s="73"/>
      <c r="L152" s="73"/>
      <c r="M152" s="73"/>
      <c r="N152" s="73"/>
      <c r="O152" s="73"/>
      <c r="P152" s="73"/>
      <c r="Q152" s="73"/>
      <c r="R152" s="73"/>
      <c r="S152" s="73"/>
      <c r="T152" s="73"/>
      <c r="U152" s="73"/>
      <c r="V152" s="73"/>
      <c r="W152" s="69"/>
      <c r="X152" s="69"/>
      <c r="Y152" s="69"/>
      <c r="Z152" s="69"/>
      <c r="AA152" s="69"/>
      <c r="AB152" s="69"/>
      <c r="AC152" s="69"/>
    </row>
    <row r="153" spans="1:29" ht="20.100000000000001" customHeight="1">
      <c r="A153" s="14" t="s">
        <v>43</v>
      </c>
      <c r="B153" s="15" t="s">
        <v>44</v>
      </c>
      <c r="C153" s="16" t="str">
        <f>IFERROR(INDEX(EJERCICIOS!$D$3:$D$75,MATCH(A153&amp;"|"&amp;B153,EJERCICIOS!$G$3:$G$75,0)),"--")</f>
        <v>polea</v>
      </c>
      <c r="D153" s="17">
        <v>3</v>
      </c>
      <c r="E153" s="18">
        <f>IFERROR(LOOKUP(2,1/(MEDIDAS_Y_PESO!$B$3:$B$9&lt;&gt;""),MEDIDAS_Y_PESO!$B$3:$B$9),"--")</f>
        <v>80</v>
      </c>
      <c r="F153" s="19"/>
      <c r="G153" s="20"/>
      <c r="H153" s="21"/>
      <c r="I153" s="19"/>
      <c r="J153" s="20"/>
      <c r="K153" s="21"/>
      <c r="L153" s="19"/>
      <c r="M153" s="20"/>
      <c r="N153" s="21"/>
      <c r="O153" s="19"/>
      <c r="P153" s="20"/>
      <c r="Q153" s="21"/>
      <c r="R153" s="19"/>
      <c r="S153" s="20"/>
      <c r="T153" s="21"/>
      <c r="U153" s="22" t="str">
        <f>IFERROR(IF(IF(X153&gt;0,X153,IF(Z153&gt;0,Z153,IF(AB153&gt;0,AB153,0)))=0,"--",ROUND(CHOOSE(IF(X153&gt;0,X153,IF(Z153&gt;0,Z153,IF(AB153&gt;0,AB153,0))),IF(C153="peso_corporal",IF(ISNUMBER(E153),E153,0)+F153,F153)*(1+G153/30),IF(C153="peso_corporal",IF(ISNUMBER(E153),E153,0)+I153,I153)*(1+J153/30),IF(C153="peso_corporal",IF(ISNUMBER(E153),E153,0)+L153,L153)*(1+M153/30),IF(C153="peso_corporal",IF(ISNUMBER(E153),E153,0)+O153,O153)*(1+P153/30),IF(C153="peso_corporal",IF(ISNUMBER(E153),E153,0)+R153,R153)*(1+S153/30)),1)),"--")</f>
        <v>--</v>
      </c>
      <c r="V153" s="23" t="str">
        <f>IF(SUGERENCIAS!N387="SIN","Sin datos anteriores",IF(SUGERENCIAS!N387="SUBIR_F","^ SUBIR FUERTE | Kg:"&amp;ROUND(SUGERENCIAS!K387,1)&amp;" R:"&amp;ROUND(SUGERENCIAS!L387,0)&amp;" RIR:"&amp;ROUND(SUGERENCIAS!M387,0),IF(SUGERENCIAS!N387="SUBIR_E","^ SUBIR (Est.) | Kg:"&amp;ROUND(SUGERENCIAS!K387,1)&amp;" R:"&amp;ROUND(SUGERENCIAS!L387,0)&amp;" RIR:"&amp;ROUND(SUGERENCIAS!M387,0),IF(SUGERENCIAS!N387="SUBIR","^ SUBIR | Kg:"&amp;ROUND(SUGERENCIAS!K387,1)&amp;" R:"&amp;ROUND(SUGERENCIAS!L387,0)&amp;" RIR:"&amp;ROUND(SUGERENCIAS!M387,0),IF(SUGERENCIAS!N387="BAJAR","v BAJAR | Kg:"&amp;ROUND(SUGERENCIAS!K387,1)&amp;" R:"&amp;ROUND(SUGERENCIAS!L387,0)&amp;" RIR:"&amp;ROUND(SUGERENCIAS!M387,0),"= MANT | Kg:"&amp;ROUND(SUGERENCIAS!K387,1)&amp;" R:"&amp;ROUND(SUGERENCIAS!L387,0)&amp;" RIR:"&amp;ROUND(SUGERENCIAS!M387,0))))))</f>
        <v>Sin datos anteriores</v>
      </c>
      <c r="W153" s="69">
        <f>MAX(IF((G153&gt;0)*(IF(H153="",-1,H153)&gt;=1)*(IF(H153="",-1,H153)&lt;=3),IF(C153="peso_corporal",IF(ISNUMBER(E153),E153,0)+F153,F153)*G153*1000+F153,0),IF((J153&gt;0)*(IF(K153="",-1,K153)&gt;=1)*(IF(K153="",-1,K153)&lt;=3),IF(C153="peso_corporal",IF(ISNUMBER(E153),E153,0)+I153,I153)*J153*1000+I153,0),IF((M153&gt;0)*(IF(N153="",-1,N153)&gt;=1)*(IF(N153="",-1,N153)&lt;=3),IF(C153="peso_corporal",IF(ISNUMBER(E153),E153,0)+L153,L153)*M153*1000+L153,0),IF((P153&gt;0)*(IF(Q153="",-1,Q153)&gt;=1)*(IF(Q153="",-1,Q153)&lt;=3),IF(C153="peso_corporal",IF(ISNUMBER(E153),E153,0)+O153,O153)*P153*1000+O153,0),IF((S153&gt;0)*(IF(T153="",-1,T153)&gt;=1)*(IF(T153="",-1,T153)&lt;=3),IF(C153="peso_corporal",IF(ISNUMBER(E153),E153,0)+R153,R153)*S153*1000+R153,0))</f>
        <v>0</v>
      </c>
      <c r="X153" s="69">
        <f>IF(W153=0,0,IF(IF((S153&gt;0)*(IF(T153="",-1,T153)&gt;=1)*(IF(T153="",-1,T153)&lt;=3),IF(C153="peso_corporal",IF(ISNUMBER(E153),E153,0)+R153,R153)*S153*1000+R153,0)=W153,5,IF(IF((P153&gt;0)*(IF(Q153="",-1,Q153)&gt;=1)*(IF(Q153="",-1,Q153)&lt;=3),IF(C153="peso_corporal",IF(ISNUMBER(E153),E153,0)+O153,O153)*P153*1000+O153,0)=W153,4,IF(IF((M153&gt;0)*(IF(N153="",-1,N153)&gt;=1)*(IF(N153="",-1,N153)&lt;=3),IF(C153="peso_corporal",IF(ISNUMBER(E153),E153,0)+L153,L153)*M153*1000+L153,0)=W153,3,IF(IF((J153&gt;0)*(IF(K153="",-1,K153)&gt;=1)*(IF(K153="",-1,K153)&lt;=3),IF(C153="peso_corporal",IF(ISNUMBER(E153),E153,0)+I153,I153)*J153*1000+I153,0)=W153,2,IF(IF((G153&gt;0)*(IF(H153="",-1,H153)&gt;=1)*(IF(H153="",-1,H153)&lt;=3),IF(C153="peso_corporal",IF(ISNUMBER(E153),E153,0)+F153,F153)*G153*1000+F153,0)=W153,1,0))))))</f>
        <v>0</v>
      </c>
      <c r="Y153" s="69">
        <f>MAX(IF((G153&gt;0)*(IF(H153="",-1,H153)=0)*(1-(IF(H153="",-1,H153)&gt;=1)*(IF(H153="",-1,H153)&lt;=3)),IF(C153="peso_corporal",IF(ISNUMBER(E153),E153,0)+F153,F153)*G153*1000+F153,0),IF((J153&gt;0)*(IF(K153="",-1,K153)=0)*(1-(IF(K153="",-1,K153)&gt;=1)*(IF(K153="",-1,K153)&lt;=3)),IF(C153="peso_corporal",IF(ISNUMBER(E153),E153,0)+I153,I153)*J153*1000+I153,0),IF((M153&gt;0)*(IF(N153="",-1,N153)=0)*(1-(IF(N153="",-1,N153)&gt;=1)*(IF(N153="",-1,N153)&lt;=3)),IF(C153="peso_corporal",IF(ISNUMBER(E153),E153,0)+L153,L153)*M153*1000+L153,0),IF((P153&gt;0)*(IF(Q153="",-1,Q153)=0)*(1-(IF(Q153="",-1,Q153)&gt;=1)*(IF(Q153="",-1,Q153)&lt;=3)),IF(C153="peso_corporal",IF(ISNUMBER(E153),E153,0)+O153,O153)*P153*1000+O153,0),IF((S153&gt;0)*(IF(T153="",-1,T153)=0)*(1-(IF(T153="",-1,T153)&gt;=1)*(IF(T153="",-1,T153)&lt;=3)),IF(C153="peso_corporal",IF(ISNUMBER(E153),E153,0)+R153,R153)*S153*1000+R153,0))</f>
        <v>0</v>
      </c>
      <c r="Z153" s="69">
        <f>IF(Y153=0,0,IF(IF((S153&gt;0)*(IF(T153="",-1,T153)=0)*(1-(IF(T153="",-1,T153)&gt;=1)*(IF(T153="",-1,T153)&lt;=3)),IF(C153="peso_corporal",IF(ISNUMBER(E153),E153,0)+R153,R153)*S153*1000+R153,0)=Y153,5,IF(IF((P153&gt;0)*(IF(Q153="",-1,Q153)=0)*(1-(IF(Q153="",-1,Q153)&gt;=1)*(IF(Q153="",-1,Q153)&lt;=3)),IF(C153="peso_corporal",IF(ISNUMBER(E153),E153,0)+O153,O153)*P153*1000+O153,0)=Y153,4,IF(IF((M153&gt;0)*(IF(N153="",-1,N153)=0)*(1-(IF(N153="",-1,N153)&gt;=1)*(IF(N153="",-1,N153)&lt;=3)),IF(C153="peso_corporal",IF(ISNUMBER(E153),E153,0)+L153,L153)*M153*1000+L153,0)=Y153,3,IF(IF((J153&gt;0)*(IF(K153="",-1,K153)=0)*(1-(IF(K153="",-1,K153)&gt;=1)*(IF(K153="",-1,K153)&lt;=3)),IF(C153="peso_corporal",IF(ISNUMBER(E153),E153,0)+I153,I153)*J153*1000+I153,0)=Y153,2,IF(IF((G153&gt;0)*(IF(H153="",-1,H153)=0)*(1-(IF(H153="",-1,H153)&gt;=1)*(IF(H153="",-1,H153)&lt;=3)),IF(C153="peso_corporal",IF(ISNUMBER(E153),E153,0)+F153,F153)*G153*1000+F153,0)=Y153,1,0))))))</f>
        <v>0</v>
      </c>
      <c r="AA153" s="69">
        <f>MAX(IF((G153&gt;=6)*(1-(IF(H153="",-1,H153)&gt;=1)*(IF(H153="",-1,H153)&lt;=3))*(1-(IF(H153="",-1,H153)=0)),IF(C153="peso_corporal",IF(ISNUMBER(E153),E153,0)+F153,F153)*(30+G153)*100+F153,0),IF((J153&gt;=6)*(1-(IF(K153="",-1,K153)&gt;=1)*(IF(K153="",-1,K153)&lt;=3))*(1-(IF(K153="",-1,K153)=0)),IF(C153="peso_corporal",IF(ISNUMBER(E153),E153,0)+I153,I153)*(30+J153)*100+I153,0),IF((M153&gt;=6)*(1-(IF(N153="",-1,N153)&gt;=1)*(IF(N153="",-1,N153)&lt;=3))*(1-(IF(N153="",-1,N153)=0)),IF(C153="peso_corporal",IF(ISNUMBER(E153),E153,0)+L153,L153)*(30+M153)*100+L153,0),IF((P153&gt;=6)*(1-(IF(Q153="",-1,Q153)&gt;=1)*(IF(Q153="",-1,Q153)&lt;=3))*(1-(IF(Q153="",-1,Q153)=0)),IF(C153="peso_corporal",IF(ISNUMBER(E153),E153,0)+O153,O153)*(30+P153)*100+O153,0),IF((S153&gt;=6)*(1-(IF(T153="",-1,T153)&gt;=1)*(IF(T153="",-1,T153)&lt;=3))*(1-(IF(T153="",-1,T153)=0)),IF(C153="peso_corporal",IF(ISNUMBER(E153),E153,0)+R153,R153)*(30+S153)*100+R153,0))</f>
        <v>0</v>
      </c>
      <c r="AB153" s="69">
        <f>IF(AA153=0,0,IF(IF((S153&gt;=6)*(1-(IF(T153="",-1,T153)&gt;=1)*(IF(T153="",-1,T153)&lt;=3))*(1-(IF(T153="",-1,T153)=0)),IF(C153="peso_corporal",IF(ISNUMBER(E153),E153,0)+R153,R153)*(30+S153)*100+R153,0)=AA153,5,IF(IF((P153&gt;=6)*(1-(IF(Q153="",-1,Q153)&gt;=1)*(IF(Q153="",-1,Q153)&lt;=3))*(1-(IF(Q153="",-1,Q153)=0)),IF(C153="peso_corporal",IF(ISNUMBER(E153),E153,0)+O153,O153)*(30+P153)*100+O153,0)=AA153,4,IF(IF((M153&gt;=6)*(1-(IF(N153="",-1,N153)&gt;=1)*(IF(N153="",-1,N153)&lt;=3))*(1-(IF(N153="",-1,N153)=0)),IF(C153="peso_corporal",IF(ISNUMBER(E153),E153,0)+L153,L153)*(30+M153)*100+L153,0)=AA153,3,IF(IF((J153&gt;=6)*(1-(IF(K153="",-1,K153)&gt;=1)*(IF(K153="",-1,K153)&lt;=3))*(1-(IF(K153="",-1,K153)=0)),IF(C153="peso_corporal",IF(ISNUMBER(E153),E153,0)+I153,I153)*(30+J153)*100+I153,0)=AA153,2,IF(IF((G153&gt;=6)*(1-(IF(H153="",-1,H153)&gt;=1)*(IF(H153="",-1,H153)&lt;=3))*(1-(IF(H153="",-1,H153)=0)),IF(C153="peso_corporal",IF(ISNUMBER(E153),E153,0)+F153,F153)*(30+G153)*100+F153,0)=AA153,1,0))))))</f>
        <v>0</v>
      </c>
      <c r="AC153" s="69" t="str">
        <f>IF(X153&gt;0,"A"&amp;X153,IF(Z153&gt;0,"B"&amp;Z153,IF(AB153&gt;0,"C"&amp;AB153,"")))</f>
        <v/>
      </c>
    </row>
    <row r="154" spans="1:29" ht="20.100000000000001" customHeight="1">
      <c r="A154" s="14" t="s">
        <v>45</v>
      </c>
      <c r="B154" s="15" t="s">
        <v>46</v>
      </c>
      <c r="C154" s="16" t="str">
        <f>IFERROR(INDEX(EJERCICIOS!$D$3:$D$75,MATCH(A154&amp;"|"&amp;B154,EJERCICIOS!$G$3:$G$75,0)),"--")</f>
        <v>mancuerna</v>
      </c>
      <c r="D154" s="17">
        <v>3</v>
      </c>
      <c r="E154" s="18">
        <f>IFERROR(LOOKUP(2,1/(MEDIDAS_Y_PESO!$B$3:$B$9&lt;&gt;""),MEDIDAS_Y_PESO!$B$3:$B$9),"--")</f>
        <v>80</v>
      </c>
      <c r="F154" s="19"/>
      <c r="G154" s="20"/>
      <c r="H154" s="21"/>
      <c r="I154" s="19"/>
      <c r="J154" s="20"/>
      <c r="K154" s="21"/>
      <c r="L154" s="19"/>
      <c r="M154" s="20"/>
      <c r="N154" s="21"/>
      <c r="O154" s="19"/>
      <c r="P154" s="20"/>
      <c r="Q154" s="21"/>
      <c r="R154" s="19"/>
      <c r="S154" s="20"/>
      <c r="T154" s="21"/>
      <c r="U154" s="22" t="str">
        <f>IFERROR(IF(IF(X154&gt;0,X154,IF(Z154&gt;0,Z154,IF(AB154&gt;0,AB154,0)))=0,"--",ROUND(CHOOSE(IF(X154&gt;0,X154,IF(Z154&gt;0,Z154,IF(AB154&gt;0,AB154,0))),IF(C154="peso_corporal",IF(ISNUMBER(E154),E154,0)+F154,F154)*(1+G154/30),IF(C154="peso_corporal",IF(ISNUMBER(E154),E154,0)+I154,I154)*(1+J154/30),IF(C154="peso_corporal",IF(ISNUMBER(E154),E154,0)+L154,L154)*(1+M154/30),IF(C154="peso_corporal",IF(ISNUMBER(E154),E154,0)+O154,O154)*(1+P154/30),IF(C154="peso_corporal",IF(ISNUMBER(E154),E154,0)+R154,R154)*(1+S154/30)),1)),"--")</f>
        <v>--</v>
      </c>
      <c r="V154" s="23" t="str">
        <f>IF(SUGERENCIAS!N388="SIN","Sin datos anteriores",IF(SUGERENCIAS!N388="SUBIR_F","^ SUBIR FUERTE | Kg:"&amp;ROUND(SUGERENCIAS!K388,1)&amp;" R:"&amp;ROUND(SUGERENCIAS!L388,0)&amp;" RIR:"&amp;ROUND(SUGERENCIAS!M388,0),IF(SUGERENCIAS!N388="SUBIR_E","^ SUBIR (Est.) | Kg:"&amp;ROUND(SUGERENCIAS!K388,1)&amp;" R:"&amp;ROUND(SUGERENCIAS!L388,0)&amp;" RIR:"&amp;ROUND(SUGERENCIAS!M388,0),IF(SUGERENCIAS!N388="SUBIR","^ SUBIR | Kg:"&amp;ROUND(SUGERENCIAS!K388,1)&amp;" R:"&amp;ROUND(SUGERENCIAS!L388,0)&amp;" RIR:"&amp;ROUND(SUGERENCIAS!M388,0),IF(SUGERENCIAS!N388="BAJAR","v BAJAR | Kg:"&amp;ROUND(SUGERENCIAS!K388,1)&amp;" R:"&amp;ROUND(SUGERENCIAS!L388,0)&amp;" RIR:"&amp;ROUND(SUGERENCIAS!M388,0),"= MANT | Kg:"&amp;ROUND(SUGERENCIAS!K388,1)&amp;" R:"&amp;ROUND(SUGERENCIAS!L388,0)&amp;" RIR:"&amp;ROUND(SUGERENCIAS!M388,0))))))</f>
        <v>Sin datos anteriores</v>
      </c>
      <c r="W154" s="69">
        <f>MAX(IF((G154&gt;0)*(IF(H154="",-1,H154)&gt;=1)*(IF(H154="",-1,H154)&lt;=3),IF(C154="peso_corporal",IF(ISNUMBER(E154),E154,0)+F154,F154)*G154*1000+F154,0),IF((J154&gt;0)*(IF(K154="",-1,K154)&gt;=1)*(IF(K154="",-1,K154)&lt;=3),IF(C154="peso_corporal",IF(ISNUMBER(E154),E154,0)+I154,I154)*J154*1000+I154,0),IF((M154&gt;0)*(IF(N154="",-1,N154)&gt;=1)*(IF(N154="",-1,N154)&lt;=3),IF(C154="peso_corporal",IF(ISNUMBER(E154),E154,0)+L154,L154)*M154*1000+L154,0),IF((P154&gt;0)*(IF(Q154="",-1,Q154)&gt;=1)*(IF(Q154="",-1,Q154)&lt;=3),IF(C154="peso_corporal",IF(ISNUMBER(E154),E154,0)+O154,O154)*P154*1000+O154,0),IF((S154&gt;0)*(IF(T154="",-1,T154)&gt;=1)*(IF(T154="",-1,T154)&lt;=3),IF(C154="peso_corporal",IF(ISNUMBER(E154),E154,0)+R154,R154)*S154*1000+R154,0))</f>
        <v>0</v>
      </c>
      <c r="X154" s="69">
        <f>IF(W154=0,0,IF(IF((S154&gt;0)*(IF(T154="",-1,T154)&gt;=1)*(IF(T154="",-1,T154)&lt;=3),IF(C154="peso_corporal",IF(ISNUMBER(E154),E154,0)+R154,R154)*S154*1000+R154,0)=W154,5,IF(IF((P154&gt;0)*(IF(Q154="",-1,Q154)&gt;=1)*(IF(Q154="",-1,Q154)&lt;=3),IF(C154="peso_corporal",IF(ISNUMBER(E154),E154,0)+O154,O154)*P154*1000+O154,0)=W154,4,IF(IF((M154&gt;0)*(IF(N154="",-1,N154)&gt;=1)*(IF(N154="",-1,N154)&lt;=3),IF(C154="peso_corporal",IF(ISNUMBER(E154),E154,0)+L154,L154)*M154*1000+L154,0)=W154,3,IF(IF((J154&gt;0)*(IF(K154="",-1,K154)&gt;=1)*(IF(K154="",-1,K154)&lt;=3),IF(C154="peso_corporal",IF(ISNUMBER(E154),E154,0)+I154,I154)*J154*1000+I154,0)=W154,2,IF(IF((G154&gt;0)*(IF(H154="",-1,H154)&gt;=1)*(IF(H154="",-1,H154)&lt;=3),IF(C154="peso_corporal",IF(ISNUMBER(E154),E154,0)+F154,F154)*G154*1000+F154,0)=W154,1,0))))))</f>
        <v>0</v>
      </c>
      <c r="Y154" s="69">
        <f>MAX(IF((G154&gt;0)*(IF(H154="",-1,H154)=0)*(1-(IF(H154="",-1,H154)&gt;=1)*(IF(H154="",-1,H154)&lt;=3)),IF(C154="peso_corporal",IF(ISNUMBER(E154),E154,0)+F154,F154)*G154*1000+F154,0),IF((J154&gt;0)*(IF(K154="",-1,K154)=0)*(1-(IF(K154="",-1,K154)&gt;=1)*(IF(K154="",-1,K154)&lt;=3)),IF(C154="peso_corporal",IF(ISNUMBER(E154),E154,0)+I154,I154)*J154*1000+I154,0),IF((M154&gt;0)*(IF(N154="",-1,N154)=0)*(1-(IF(N154="",-1,N154)&gt;=1)*(IF(N154="",-1,N154)&lt;=3)),IF(C154="peso_corporal",IF(ISNUMBER(E154),E154,0)+L154,L154)*M154*1000+L154,0),IF((P154&gt;0)*(IF(Q154="",-1,Q154)=0)*(1-(IF(Q154="",-1,Q154)&gt;=1)*(IF(Q154="",-1,Q154)&lt;=3)),IF(C154="peso_corporal",IF(ISNUMBER(E154),E154,0)+O154,O154)*P154*1000+O154,0),IF((S154&gt;0)*(IF(T154="",-1,T154)=0)*(1-(IF(T154="",-1,T154)&gt;=1)*(IF(T154="",-1,T154)&lt;=3)),IF(C154="peso_corporal",IF(ISNUMBER(E154),E154,0)+R154,R154)*S154*1000+R154,0))</f>
        <v>0</v>
      </c>
      <c r="Z154" s="69">
        <f>IF(Y154=0,0,IF(IF((S154&gt;0)*(IF(T154="",-1,T154)=0)*(1-(IF(T154="",-1,T154)&gt;=1)*(IF(T154="",-1,T154)&lt;=3)),IF(C154="peso_corporal",IF(ISNUMBER(E154),E154,0)+R154,R154)*S154*1000+R154,0)=Y154,5,IF(IF((P154&gt;0)*(IF(Q154="",-1,Q154)=0)*(1-(IF(Q154="",-1,Q154)&gt;=1)*(IF(Q154="",-1,Q154)&lt;=3)),IF(C154="peso_corporal",IF(ISNUMBER(E154),E154,0)+O154,O154)*P154*1000+O154,0)=Y154,4,IF(IF((M154&gt;0)*(IF(N154="",-1,N154)=0)*(1-(IF(N154="",-1,N154)&gt;=1)*(IF(N154="",-1,N154)&lt;=3)),IF(C154="peso_corporal",IF(ISNUMBER(E154),E154,0)+L154,L154)*M154*1000+L154,0)=Y154,3,IF(IF((J154&gt;0)*(IF(K154="",-1,K154)=0)*(1-(IF(K154="",-1,K154)&gt;=1)*(IF(K154="",-1,K154)&lt;=3)),IF(C154="peso_corporal",IF(ISNUMBER(E154),E154,0)+I154,I154)*J154*1000+I154,0)=Y154,2,IF(IF((G154&gt;0)*(IF(H154="",-1,H154)=0)*(1-(IF(H154="",-1,H154)&gt;=1)*(IF(H154="",-1,H154)&lt;=3)),IF(C154="peso_corporal",IF(ISNUMBER(E154),E154,0)+F154,F154)*G154*1000+F154,0)=Y154,1,0))))))</f>
        <v>0</v>
      </c>
      <c r="AA154" s="69">
        <f>MAX(IF((G154&gt;=6)*(1-(IF(H154="",-1,H154)&gt;=1)*(IF(H154="",-1,H154)&lt;=3))*(1-(IF(H154="",-1,H154)=0)),IF(C154="peso_corporal",IF(ISNUMBER(E154),E154,0)+F154,F154)*(30+G154)*100+F154,0),IF((J154&gt;=6)*(1-(IF(K154="",-1,K154)&gt;=1)*(IF(K154="",-1,K154)&lt;=3))*(1-(IF(K154="",-1,K154)=0)),IF(C154="peso_corporal",IF(ISNUMBER(E154),E154,0)+I154,I154)*(30+J154)*100+I154,0),IF((M154&gt;=6)*(1-(IF(N154="",-1,N154)&gt;=1)*(IF(N154="",-1,N154)&lt;=3))*(1-(IF(N154="",-1,N154)=0)),IF(C154="peso_corporal",IF(ISNUMBER(E154),E154,0)+L154,L154)*(30+M154)*100+L154,0),IF((P154&gt;=6)*(1-(IF(Q154="",-1,Q154)&gt;=1)*(IF(Q154="",-1,Q154)&lt;=3))*(1-(IF(Q154="",-1,Q154)=0)),IF(C154="peso_corporal",IF(ISNUMBER(E154),E154,0)+O154,O154)*(30+P154)*100+O154,0),IF((S154&gt;=6)*(1-(IF(T154="",-1,T154)&gt;=1)*(IF(T154="",-1,T154)&lt;=3))*(1-(IF(T154="",-1,T154)=0)),IF(C154="peso_corporal",IF(ISNUMBER(E154),E154,0)+R154,R154)*(30+S154)*100+R154,0))</f>
        <v>0</v>
      </c>
      <c r="AB154" s="69">
        <f>IF(AA154=0,0,IF(IF((S154&gt;=6)*(1-(IF(T154="",-1,T154)&gt;=1)*(IF(T154="",-1,T154)&lt;=3))*(1-(IF(T154="",-1,T154)=0)),IF(C154="peso_corporal",IF(ISNUMBER(E154),E154,0)+R154,R154)*(30+S154)*100+R154,0)=AA154,5,IF(IF((P154&gt;=6)*(1-(IF(Q154="",-1,Q154)&gt;=1)*(IF(Q154="",-1,Q154)&lt;=3))*(1-(IF(Q154="",-1,Q154)=0)),IF(C154="peso_corporal",IF(ISNUMBER(E154),E154,0)+O154,O154)*(30+P154)*100+O154,0)=AA154,4,IF(IF((M154&gt;=6)*(1-(IF(N154="",-1,N154)&gt;=1)*(IF(N154="",-1,N154)&lt;=3))*(1-(IF(N154="",-1,N154)=0)),IF(C154="peso_corporal",IF(ISNUMBER(E154),E154,0)+L154,L154)*(30+M154)*100+L154,0)=AA154,3,IF(IF((J154&gt;=6)*(1-(IF(K154="",-1,K154)&gt;=1)*(IF(K154="",-1,K154)&lt;=3))*(1-(IF(K154="",-1,K154)=0)),IF(C154="peso_corporal",IF(ISNUMBER(E154),E154,0)+I154,I154)*(30+J154)*100+I154,0)=AA154,2,IF(IF((G154&gt;=6)*(1-(IF(H154="",-1,H154)&gt;=1)*(IF(H154="",-1,H154)&lt;=3))*(1-(IF(H154="",-1,H154)=0)),IF(C154="peso_corporal",IF(ISNUMBER(E154),E154,0)+F154,F154)*(30+G154)*100+F154,0)=AA154,1,0))))))</f>
        <v>0</v>
      </c>
      <c r="AC154" s="69" t="str">
        <f>IF(X154&gt;0,"A"&amp;X154,IF(Z154&gt;0,"B"&amp;Z154,IF(AB154&gt;0,"C"&amp;AB154,"")))</f>
        <v/>
      </c>
    </row>
    <row r="155" spans="1:29" ht="15" customHeight="1">
      <c r="A155" s="82" t="s">
        <v>47</v>
      </c>
      <c r="B155" s="73"/>
      <c r="C155" s="73"/>
      <c r="D155" s="73"/>
      <c r="E155" s="73"/>
      <c r="F155" s="73"/>
      <c r="G155" s="73"/>
      <c r="H155" s="73"/>
      <c r="I155" s="73"/>
      <c r="J155" s="73"/>
      <c r="K155" s="73"/>
      <c r="L155" s="73"/>
      <c r="M155" s="73"/>
      <c r="N155" s="73"/>
      <c r="O155" s="73"/>
      <c r="P155" s="73"/>
      <c r="Q155" s="73"/>
      <c r="R155" s="73"/>
      <c r="S155" s="73"/>
      <c r="T155" s="73"/>
      <c r="U155" s="73"/>
      <c r="V155" s="73"/>
      <c r="W155" s="69"/>
      <c r="X155" s="69"/>
      <c r="Y155" s="69"/>
      <c r="Z155" s="69"/>
      <c r="AA155" s="69"/>
      <c r="AB155" s="69"/>
      <c r="AC155" s="69"/>
    </row>
    <row r="156" spans="1:29" ht="20.100000000000001" customHeight="1">
      <c r="A156" s="14" t="s">
        <v>48</v>
      </c>
      <c r="B156" s="15" t="s">
        <v>64</v>
      </c>
      <c r="C156" s="16" t="str">
        <f>IFERROR(INDEX(EJERCICIOS!$D$3:$D$75,MATCH(A156&amp;"|"&amp;B156,EJERCICIOS!$G$3:$G$75,0)),"--")</f>
        <v>--</v>
      </c>
      <c r="D156" s="17">
        <v>3</v>
      </c>
      <c r="E156" s="18">
        <f>IFERROR(LOOKUP(2,1/(MEDIDAS_Y_PESO!$B$3:$B$9&lt;&gt;""),MEDIDAS_Y_PESO!$B$3:$B$9),"--")</f>
        <v>80</v>
      </c>
      <c r="F156" s="19"/>
      <c r="G156" s="20"/>
      <c r="H156" s="21"/>
      <c r="I156" s="19"/>
      <c r="J156" s="20"/>
      <c r="K156" s="21"/>
      <c r="L156" s="19"/>
      <c r="M156" s="20"/>
      <c r="N156" s="21"/>
      <c r="O156" s="19"/>
      <c r="P156" s="20"/>
      <c r="Q156" s="21"/>
      <c r="R156" s="19"/>
      <c r="S156" s="20"/>
      <c r="T156" s="21"/>
      <c r="U156" s="22" t="str">
        <f>IFERROR(IF(IF(X156&gt;0,X156,IF(Z156&gt;0,Z156,IF(AB156&gt;0,AB156,0)))=0,"--",ROUND(CHOOSE(IF(X156&gt;0,X156,IF(Z156&gt;0,Z156,IF(AB156&gt;0,AB156,0))),IF(C156="peso_corporal",IF(ISNUMBER(E156),E156,0)+F156,F156)*(1+G156/30),IF(C156="peso_corporal",IF(ISNUMBER(E156),E156,0)+I156,I156)*(1+J156/30),IF(C156="peso_corporal",IF(ISNUMBER(E156),E156,0)+L156,L156)*(1+M156/30),IF(C156="peso_corporal",IF(ISNUMBER(E156),E156,0)+O156,O156)*(1+P156/30),IF(C156="peso_corporal",IF(ISNUMBER(E156),E156,0)+R156,R156)*(1+S156/30)),1)),"--")</f>
        <v>--</v>
      </c>
      <c r="V156" s="23" t="str">
        <f>IF(SUGERENCIAS!N389="SIN","Sin datos anteriores",IF(SUGERENCIAS!N389="SUBIR_F","^ SUBIR FUERTE | Kg:"&amp;ROUND(SUGERENCIAS!K389,1)&amp;" R:"&amp;ROUND(SUGERENCIAS!L389,0)&amp;" RIR:"&amp;ROUND(SUGERENCIAS!M389,0),IF(SUGERENCIAS!N389="SUBIR_E","^ SUBIR (Est.) | Kg:"&amp;ROUND(SUGERENCIAS!K389,1)&amp;" R:"&amp;ROUND(SUGERENCIAS!L389,0)&amp;" RIR:"&amp;ROUND(SUGERENCIAS!M389,0),IF(SUGERENCIAS!N389="SUBIR","^ SUBIR | Kg:"&amp;ROUND(SUGERENCIAS!K389,1)&amp;" R:"&amp;ROUND(SUGERENCIAS!L389,0)&amp;" RIR:"&amp;ROUND(SUGERENCIAS!M389,0),IF(SUGERENCIAS!N389="BAJAR","v BAJAR | Kg:"&amp;ROUND(SUGERENCIAS!K389,1)&amp;" R:"&amp;ROUND(SUGERENCIAS!L389,0)&amp;" RIR:"&amp;ROUND(SUGERENCIAS!M389,0),"= MANT | Kg:"&amp;ROUND(SUGERENCIAS!K389,1)&amp;" R:"&amp;ROUND(SUGERENCIAS!L389,0)&amp;" RIR:"&amp;ROUND(SUGERENCIAS!M389,0))))))</f>
        <v>Sin datos anteriores</v>
      </c>
      <c r="W156" s="69">
        <f>MAX(IF((G156&gt;0)*(IF(H156="",-1,H156)&gt;=1)*(IF(H156="",-1,H156)&lt;=3),IF(C156="peso_corporal",IF(ISNUMBER(E156),E156,0)+F156,F156)*G156*1000+F156,0),IF((J156&gt;0)*(IF(K156="",-1,K156)&gt;=1)*(IF(K156="",-1,K156)&lt;=3),IF(C156="peso_corporal",IF(ISNUMBER(E156),E156,0)+I156,I156)*J156*1000+I156,0),IF((M156&gt;0)*(IF(N156="",-1,N156)&gt;=1)*(IF(N156="",-1,N156)&lt;=3),IF(C156="peso_corporal",IF(ISNUMBER(E156),E156,0)+L156,L156)*M156*1000+L156,0),IF((P156&gt;0)*(IF(Q156="",-1,Q156)&gt;=1)*(IF(Q156="",-1,Q156)&lt;=3),IF(C156="peso_corporal",IF(ISNUMBER(E156),E156,0)+O156,O156)*P156*1000+O156,0),IF((S156&gt;0)*(IF(T156="",-1,T156)&gt;=1)*(IF(T156="",-1,T156)&lt;=3),IF(C156="peso_corporal",IF(ISNUMBER(E156),E156,0)+R156,R156)*S156*1000+R156,0))</f>
        <v>0</v>
      </c>
      <c r="X156" s="69">
        <f>IF(W156=0,0,IF(IF((S156&gt;0)*(IF(T156="",-1,T156)&gt;=1)*(IF(T156="",-1,T156)&lt;=3),IF(C156="peso_corporal",IF(ISNUMBER(E156),E156,0)+R156,R156)*S156*1000+R156,0)=W156,5,IF(IF((P156&gt;0)*(IF(Q156="",-1,Q156)&gt;=1)*(IF(Q156="",-1,Q156)&lt;=3),IF(C156="peso_corporal",IF(ISNUMBER(E156),E156,0)+O156,O156)*P156*1000+O156,0)=W156,4,IF(IF((M156&gt;0)*(IF(N156="",-1,N156)&gt;=1)*(IF(N156="",-1,N156)&lt;=3),IF(C156="peso_corporal",IF(ISNUMBER(E156),E156,0)+L156,L156)*M156*1000+L156,0)=W156,3,IF(IF((J156&gt;0)*(IF(K156="",-1,K156)&gt;=1)*(IF(K156="",-1,K156)&lt;=3),IF(C156="peso_corporal",IF(ISNUMBER(E156),E156,0)+I156,I156)*J156*1000+I156,0)=W156,2,IF(IF((G156&gt;0)*(IF(H156="",-1,H156)&gt;=1)*(IF(H156="",-1,H156)&lt;=3),IF(C156="peso_corporal",IF(ISNUMBER(E156),E156,0)+F156,F156)*G156*1000+F156,0)=W156,1,0))))))</f>
        <v>0</v>
      </c>
      <c r="Y156" s="69">
        <f>MAX(IF((G156&gt;0)*(IF(H156="",-1,H156)=0)*(1-(IF(H156="",-1,H156)&gt;=1)*(IF(H156="",-1,H156)&lt;=3)),IF(C156="peso_corporal",IF(ISNUMBER(E156),E156,0)+F156,F156)*G156*1000+F156,0),IF((J156&gt;0)*(IF(K156="",-1,K156)=0)*(1-(IF(K156="",-1,K156)&gt;=1)*(IF(K156="",-1,K156)&lt;=3)),IF(C156="peso_corporal",IF(ISNUMBER(E156),E156,0)+I156,I156)*J156*1000+I156,0),IF((M156&gt;0)*(IF(N156="",-1,N156)=0)*(1-(IF(N156="",-1,N156)&gt;=1)*(IF(N156="",-1,N156)&lt;=3)),IF(C156="peso_corporal",IF(ISNUMBER(E156),E156,0)+L156,L156)*M156*1000+L156,0),IF((P156&gt;0)*(IF(Q156="",-1,Q156)=0)*(1-(IF(Q156="",-1,Q156)&gt;=1)*(IF(Q156="",-1,Q156)&lt;=3)),IF(C156="peso_corporal",IF(ISNUMBER(E156),E156,0)+O156,O156)*P156*1000+O156,0),IF((S156&gt;0)*(IF(T156="",-1,T156)=0)*(1-(IF(T156="",-1,T156)&gt;=1)*(IF(T156="",-1,T156)&lt;=3)),IF(C156="peso_corporal",IF(ISNUMBER(E156),E156,0)+R156,R156)*S156*1000+R156,0))</f>
        <v>0</v>
      </c>
      <c r="Z156" s="69">
        <f>IF(Y156=0,0,IF(IF((S156&gt;0)*(IF(T156="",-1,T156)=0)*(1-(IF(T156="",-1,T156)&gt;=1)*(IF(T156="",-1,T156)&lt;=3)),IF(C156="peso_corporal",IF(ISNUMBER(E156),E156,0)+R156,R156)*S156*1000+R156,0)=Y156,5,IF(IF((P156&gt;0)*(IF(Q156="",-1,Q156)=0)*(1-(IF(Q156="",-1,Q156)&gt;=1)*(IF(Q156="",-1,Q156)&lt;=3)),IF(C156="peso_corporal",IF(ISNUMBER(E156),E156,0)+O156,O156)*P156*1000+O156,0)=Y156,4,IF(IF((M156&gt;0)*(IF(N156="",-1,N156)=0)*(1-(IF(N156="",-1,N156)&gt;=1)*(IF(N156="",-1,N156)&lt;=3)),IF(C156="peso_corporal",IF(ISNUMBER(E156),E156,0)+L156,L156)*M156*1000+L156,0)=Y156,3,IF(IF((J156&gt;0)*(IF(K156="",-1,K156)=0)*(1-(IF(K156="",-1,K156)&gt;=1)*(IF(K156="",-1,K156)&lt;=3)),IF(C156="peso_corporal",IF(ISNUMBER(E156),E156,0)+I156,I156)*J156*1000+I156,0)=Y156,2,IF(IF((G156&gt;0)*(IF(H156="",-1,H156)=0)*(1-(IF(H156="",-1,H156)&gt;=1)*(IF(H156="",-1,H156)&lt;=3)),IF(C156="peso_corporal",IF(ISNUMBER(E156),E156,0)+F156,F156)*G156*1000+F156,0)=Y156,1,0))))))</f>
        <v>0</v>
      </c>
      <c r="AA156" s="69">
        <f>MAX(IF((G156&gt;=6)*(1-(IF(H156="",-1,H156)&gt;=1)*(IF(H156="",-1,H156)&lt;=3))*(1-(IF(H156="",-1,H156)=0)),IF(C156="peso_corporal",IF(ISNUMBER(E156),E156,0)+F156,F156)*(30+G156)*100+F156,0),IF((J156&gt;=6)*(1-(IF(K156="",-1,K156)&gt;=1)*(IF(K156="",-1,K156)&lt;=3))*(1-(IF(K156="",-1,K156)=0)),IF(C156="peso_corporal",IF(ISNUMBER(E156),E156,0)+I156,I156)*(30+J156)*100+I156,0),IF((M156&gt;=6)*(1-(IF(N156="",-1,N156)&gt;=1)*(IF(N156="",-1,N156)&lt;=3))*(1-(IF(N156="",-1,N156)=0)),IF(C156="peso_corporal",IF(ISNUMBER(E156),E156,0)+L156,L156)*(30+M156)*100+L156,0),IF((P156&gt;=6)*(1-(IF(Q156="",-1,Q156)&gt;=1)*(IF(Q156="",-1,Q156)&lt;=3))*(1-(IF(Q156="",-1,Q156)=0)),IF(C156="peso_corporal",IF(ISNUMBER(E156),E156,0)+O156,O156)*(30+P156)*100+O156,0),IF((S156&gt;=6)*(1-(IF(T156="",-1,T156)&gt;=1)*(IF(T156="",-1,T156)&lt;=3))*(1-(IF(T156="",-1,T156)=0)),IF(C156="peso_corporal",IF(ISNUMBER(E156),E156,0)+R156,R156)*(30+S156)*100+R156,0))</f>
        <v>0</v>
      </c>
      <c r="AB156" s="69">
        <f>IF(AA156=0,0,IF(IF((S156&gt;=6)*(1-(IF(T156="",-1,T156)&gt;=1)*(IF(T156="",-1,T156)&lt;=3))*(1-(IF(T156="",-1,T156)=0)),IF(C156="peso_corporal",IF(ISNUMBER(E156),E156,0)+R156,R156)*(30+S156)*100+R156,0)=AA156,5,IF(IF((P156&gt;=6)*(1-(IF(Q156="",-1,Q156)&gt;=1)*(IF(Q156="",-1,Q156)&lt;=3))*(1-(IF(Q156="",-1,Q156)=0)),IF(C156="peso_corporal",IF(ISNUMBER(E156),E156,0)+O156,O156)*(30+P156)*100+O156,0)=AA156,4,IF(IF((M156&gt;=6)*(1-(IF(N156="",-1,N156)&gt;=1)*(IF(N156="",-1,N156)&lt;=3))*(1-(IF(N156="",-1,N156)=0)),IF(C156="peso_corporal",IF(ISNUMBER(E156),E156,0)+L156,L156)*(30+M156)*100+L156,0)=AA156,3,IF(IF((J156&gt;=6)*(1-(IF(K156="",-1,K156)&gt;=1)*(IF(K156="",-1,K156)&lt;=3))*(1-(IF(K156="",-1,K156)=0)),IF(C156="peso_corporal",IF(ISNUMBER(E156),E156,0)+I156,I156)*(30+J156)*100+I156,0)=AA156,2,IF(IF((G156&gt;=6)*(1-(IF(H156="",-1,H156)&gt;=1)*(IF(H156="",-1,H156)&lt;=3))*(1-(IF(H156="",-1,H156)=0)),IF(C156="peso_corporal",IF(ISNUMBER(E156),E156,0)+F156,F156)*(30+G156)*100+F156,0)=AA156,1,0))))))</f>
        <v>0</v>
      </c>
      <c r="AC156" s="69" t="str">
        <f>IF(X156&gt;0,"A"&amp;X156,IF(Z156&gt;0,"B"&amp;Z156,IF(AB156&gt;0,"C"&amp;AB156,"")))</f>
        <v/>
      </c>
    </row>
    <row r="157" spans="1:29" ht="15" customHeight="1">
      <c r="A157" s="88" t="s">
        <v>50</v>
      </c>
      <c r="B157" s="73"/>
      <c r="C157" s="73"/>
      <c r="D157" s="73"/>
      <c r="E157" s="73"/>
      <c r="F157" s="73"/>
      <c r="G157" s="73"/>
      <c r="H157" s="73"/>
      <c r="I157" s="73"/>
      <c r="J157" s="73"/>
      <c r="K157" s="73"/>
      <c r="L157" s="73"/>
      <c r="M157" s="73"/>
      <c r="N157" s="73"/>
      <c r="O157" s="73"/>
      <c r="P157" s="73"/>
      <c r="Q157" s="73"/>
      <c r="R157" s="73"/>
      <c r="S157" s="73"/>
      <c r="T157" s="73"/>
      <c r="U157" s="73"/>
      <c r="V157" s="73"/>
      <c r="W157" s="69"/>
      <c r="X157" s="69"/>
      <c r="Y157" s="69"/>
      <c r="Z157" s="69"/>
      <c r="AA157" s="69"/>
      <c r="AB157" s="69"/>
      <c r="AC157" s="69"/>
    </row>
    <row r="158" spans="1:29" ht="20.100000000000001" customHeight="1">
      <c r="A158" s="14" t="s">
        <v>65</v>
      </c>
      <c r="B158" s="15" t="s">
        <v>66</v>
      </c>
      <c r="C158" s="16" t="str">
        <f>IFERROR(INDEX(EJERCICIOS!$D$3:$D$75,MATCH(A158&amp;"|"&amp;B158,EJERCICIOS!$G$3:$G$75,0)),"--")</f>
        <v>--</v>
      </c>
      <c r="D158" s="17">
        <v>3</v>
      </c>
      <c r="E158" s="18">
        <f>IFERROR(LOOKUP(2,1/(MEDIDAS_Y_PESO!$B$3:$B$9&lt;&gt;""),MEDIDAS_Y_PESO!$B$3:$B$9),"--")</f>
        <v>80</v>
      </c>
      <c r="F158" s="19"/>
      <c r="G158" s="20"/>
      <c r="H158" s="21"/>
      <c r="I158" s="19"/>
      <c r="J158" s="20"/>
      <c r="K158" s="21"/>
      <c r="L158" s="19"/>
      <c r="M158" s="20"/>
      <c r="N158" s="21"/>
      <c r="O158" s="19"/>
      <c r="P158" s="20"/>
      <c r="Q158" s="21"/>
      <c r="R158" s="19"/>
      <c r="S158" s="20"/>
      <c r="T158" s="21"/>
      <c r="U158" s="22" t="str">
        <f>IFERROR(IF(IF(X158&gt;0,X158,IF(Z158&gt;0,Z158,IF(AB158&gt;0,AB158,0)))=0,"--",ROUND(CHOOSE(IF(X158&gt;0,X158,IF(Z158&gt;0,Z158,IF(AB158&gt;0,AB158,0))),IF(C158="peso_corporal",IF(ISNUMBER(E158),E158,0)+F158,F158)*(1+G158/30),IF(C158="peso_corporal",IF(ISNUMBER(E158),E158,0)+I158,I158)*(1+J158/30),IF(C158="peso_corporal",IF(ISNUMBER(E158),E158,0)+L158,L158)*(1+M158/30),IF(C158="peso_corporal",IF(ISNUMBER(E158),E158,0)+O158,O158)*(1+P158/30),IF(C158="peso_corporal",IF(ISNUMBER(E158),E158,0)+R158,R158)*(1+S158/30)),1)),"--")</f>
        <v>--</v>
      </c>
      <c r="V158" s="23" t="str">
        <f>IF(SUGERENCIAS!N390="SIN","Sin datos anteriores",IF(SUGERENCIAS!N390="SUBIR_F","^ SUBIR FUERTE | Kg:"&amp;ROUND(SUGERENCIAS!K390,1)&amp;" R:"&amp;ROUND(SUGERENCIAS!L390,0)&amp;" RIR:"&amp;ROUND(SUGERENCIAS!M390,0),IF(SUGERENCIAS!N390="SUBIR_E","^ SUBIR (Est.) | Kg:"&amp;ROUND(SUGERENCIAS!K390,1)&amp;" R:"&amp;ROUND(SUGERENCIAS!L390,0)&amp;" RIR:"&amp;ROUND(SUGERENCIAS!M390,0),IF(SUGERENCIAS!N390="SUBIR","^ SUBIR | Kg:"&amp;ROUND(SUGERENCIAS!K390,1)&amp;" R:"&amp;ROUND(SUGERENCIAS!L390,0)&amp;" RIR:"&amp;ROUND(SUGERENCIAS!M390,0),IF(SUGERENCIAS!N390="BAJAR","v BAJAR | Kg:"&amp;ROUND(SUGERENCIAS!K390,1)&amp;" R:"&amp;ROUND(SUGERENCIAS!L390,0)&amp;" RIR:"&amp;ROUND(SUGERENCIAS!M390,0),"= MANT | Kg:"&amp;ROUND(SUGERENCIAS!K390,1)&amp;" R:"&amp;ROUND(SUGERENCIAS!L390,0)&amp;" RIR:"&amp;ROUND(SUGERENCIAS!M390,0))))))</f>
        <v>Sin datos anteriores</v>
      </c>
      <c r="W158" s="69">
        <f>MAX(IF((G158&gt;0)*(IF(H158="",-1,H158)&gt;=1)*(IF(H158="",-1,H158)&lt;=3),IF(C158="peso_corporal",IF(ISNUMBER(E158),E158,0)+F158,F158)*G158*1000+F158,0),IF((J158&gt;0)*(IF(K158="",-1,K158)&gt;=1)*(IF(K158="",-1,K158)&lt;=3),IF(C158="peso_corporal",IF(ISNUMBER(E158),E158,0)+I158,I158)*J158*1000+I158,0),IF((M158&gt;0)*(IF(N158="",-1,N158)&gt;=1)*(IF(N158="",-1,N158)&lt;=3),IF(C158="peso_corporal",IF(ISNUMBER(E158),E158,0)+L158,L158)*M158*1000+L158,0),IF((P158&gt;0)*(IF(Q158="",-1,Q158)&gt;=1)*(IF(Q158="",-1,Q158)&lt;=3),IF(C158="peso_corporal",IF(ISNUMBER(E158),E158,0)+O158,O158)*P158*1000+O158,0),IF((S158&gt;0)*(IF(T158="",-1,T158)&gt;=1)*(IF(T158="",-1,T158)&lt;=3),IF(C158="peso_corporal",IF(ISNUMBER(E158),E158,0)+R158,R158)*S158*1000+R158,0))</f>
        <v>0</v>
      </c>
      <c r="X158" s="69">
        <f>IF(W158=0,0,IF(IF((S158&gt;0)*(IF(T158="",-1,T158)&gt;=1)*(IF(T158="",-1,T158)&lt;=3),IF(C158="peso_corporal",IF(ISNUMBER(E158),E158,0)+R158,R158)*S158*1000+R158,0)=W158,5,IF(IF((P158&gt;0)*(IF(Q158="",-1,Q158)&gt;=1)*(IF(Q158="",-1,Q158)&lt;=3),IF(C158="peso_corporal",IF(ISNUMBER(E158),E158,0)+O158,O158)*P158*1000+O158,0)=W158,4,IF(IF((M158&gt;0)*(IF(N158="",-1,N158)&gt;=1)*(IF(N158="",-1,N158)&lt;=3),IF(C158="peso_corporal",IF(ISNUMBER(E158),E158,0)+L158,L158)*M158*1000+L158,0)=W158,3,IF(IF((J158&gt;0)*(IF(K158="",-1,K158)&gt;=1)*(IF(K158="",-1,K158)&lt;=3),IF(C158="peso_corporal",IF(ISNUMBER(E158),E158,0)+I158,I158)*J158*1000+I158,0)=W158,2,IF(IF((G158&gt;0)*(IF(H158="",-1,H158)&gt;=1)*(IF(H158="",-1,H158)&lt;=3),IF(C158="peso_corporal",IF(ISNUMBER(E158),E158,0)+F158,F158)*G158*1000+F158,0)=W158,1,0))))))</f>
        <v>0</v>
      </c>
      <c r="Y158" s="69">
        <f>MAX(IF((G158&gt;0)*(IF(H158="",-1,H158)=0)*(1-(IF(H158="",-1,H158)&gt;=1)*(IF(H158="",-1,H158)&lt;=3)),IF(C158="peso_corporal",IF(ISNUMBER(E158),E158,0)+F158,F158)*G158*1000+F158,0),IF((J158&gt;0)*(IF(K158="",-1,K158)=0)*(1-(IF(K158="",-1,K158)&gt;=1)*(IF(K158="",-1,K158)&lt;=3)),IF(C158="peso_corporal",IF(ISNUMBER(E158),E158,0)+I158,I158)*J158*1000+I158,0),IF((M158&gt;0)*(IF(N158="",-1,N158)=0)*(1-(IF(N158="",-1,N158)&gt;=1)*(IF(N158="",-1,N158)&lt;=3)),IF(C158="peso_corporal",IF(ISNUMBER(E158),E158,0)+L158,L158)*M158*1000+L158,0),IF((P158&gt;0)*(IF(Q158="",-1,Q158)=0)*(1-(IF(Q158="",-1,Q158)&gt;=1)*(IF(Q158="",-1,Q158)&lt;=3)),IF(C158="peso_corporal",IF(ISNUMBER(E158),E158,0)+O158,O158)*P158*1000+O158,0),IF((S158&gt;0)*(IF(T158="",-1,T158)=0)*(1-(IF(T158="",-1,T158)&gt;=1)*(IF(T158="",-1,T158)&lt;=3)),IF(C158="peso_corporal",IF(ISNUMBER(E158),E158,0)+R158,R158)*S158*1000+R158,0))</f>
        <v>0</v>
      </c>
      <c r="Z158" s="69">
        <f>IF(Y158=0,0,IF(IF((S158&gt;0)*(IF(T158="",-1,T158)=0)*(1-(IF(T158="",-1,T158)&gt;=1)*(IF(T158="",-1,T158)&lt;=3)),IF(C158="peso_corporal",IF(ISNUMBER(E158),E158,0)+R158,R158)*S158*1000+R158,0)=Y158,5,IF(IF((P158&gt;0)*(IF(Q158="",-1,Q158)=0)*(1-(IF(Q158="",-1,Q158)&gt;=1)*(IF(Q158="",-1,Q158)&lt;=3)),IF(C158="peso_corporal",IF(ISNUMBER(E158),E158,0)+O158,O158)*P158*1000+O158,0)=Y158,4,IF(IF((M158&gt;0)*(IF(N158="",-1,N158)=0)*(1-(IF(N158="",-1,N158)&gt;=1)*(IF(N158="",-1,N158)&lt;=3)),IF(C158="peso_corporal",IF(ISNUMBER(E158),E158,0)+L158,L158)*M158*1000+L158,0)=Y158,3,IF(IF((J158&gt;0)*(IF(K158="",-1,K158)=0)*(1-(IF(K158="",-1,K158)&gt;=1)*(IF(K158="",-1,K158)&lt;=3)),IF(C158="peso_corporal",IF(ISNUMBER(E158),E158,0)+I158,I158)*J158*1000+I158,0)=Y158,2,IF(IF((G158&gt;0)*(IF(H158="",-1,H158)=0)*(1-(IF(H158="",-1,H158)&gt;=1)*(IF(H158="",-1,H158)&lt;=3)),IF(C158="peso_corporal",IF(ISNUMBER(E158),E158,0)+F158,F158)*G158*1000+F158,0)=Y158,1,0))))))</f>
        <v>0</v>
      </c>
      <c r="AA158" s="69">
        <f>MAX(IF((G158&gt;=6)*(1-(IF(H158="",-1,H158)&gt;=1)*(IF(H158="",-1,H158)&lt;=3))*(1-(IF(H158="",-1,H158)=0)),IF(C158="peso_corporal",IF(ISNUMBER(E158),E158,0)+F158,F158)*(30+G158)*100+F158,0),IF((J158&gt;=6)*(1-(IF(K158="",-1,K158)&gt;=1)*(IF(K158="",-1,K158)&lt;=3))*(1-(IF(K158="",-1,K158)=0)),IF(C158="peso_corporal",IF(ISNUMBER(E158),E158,0)+I158,I158)*(30+J158)*100+I158,0),IF((M158&gt;=6)*(1-(IF(N158="",-1,N158)&gt;=1)*(IF(N158="",-1,N158)&lt;=3))*(1-(IF(N158="",-1,N158)=0)),IF(C158="peso_corporal",IF(ISNUMBER(E158),E158,0)+L158,L158)*(30+M158)*100+L158,0),IF((P158&gt;=6)*(1-(IF(Q158="",-1,Q158)&gt;=1)*(IF(Q158="",-1,Q158)&lt;=3))*(1-(IF(Q158="",-1,Q158)=0)),IF(C158="peso_corporal",IF(ISNUMBER(E158),E158,0)+O158,O158)*(30+P158)*100+O158,0),IF((S158&gt;=6)*(1-(IF(T158="",-1,T158)&gt;=1)*(IF(T158="",-1,T158)&lt;=3))*(1-(IF(T158="",-1,T158)=0)),IF(C158="peso_corporal",IF(ISNUMBER(E158),E158,0)+R158,R158)*(30+S158)*100+R158,0))</f>
        <v>0</v>
      </c>
      <c r="AB158" s="69">
        <f>IF(AA158=0,0,IF(IF((S158&gt;=6)*(1-(IF(T158="",-1,T158)&gt;=1)*(IF(T158="",-1,T158)&lt;=3))*(1-(IF(T158="",-1,T158)=0)),IF(C158="peso_corporal",IF(ISNUMBER(E158),E158,0)+R158,R158)*(30+S158)*100+R158,0)=AA158,5,IF(IF((P158&gt;=6)*(1-(IF(Q158="",-1,Q158)&gt;=1)*(IF(Q158="",-1,Q158)&lt;=3))*(1-(IF(Q158="",-1,Q158)=0)),IF(C158="peso_corporal",IF(ISNUMBER(E158),E158,0)+O158,O158)*(30+P158)*100+O158,0)=AA158,4,IF(IF((M158&gt;=6)*(1-(IF(N158="",-1,N158)&gt;=1)*(IF(N158="",-1,N158)&lt;=3))*(1-(IF(N158="",-1,N158)=0)),IF(C158="peso_corporal",IF(ISNUMBER(E158),E158,0)+L158,L158)*(30+M158)*100+L158,0)=AA158,3,IF(IF((J158&gt;=6)*(1-(IF(K158="",-1,K158)&gt;=1)*(IF(K158="",-1,K158)&lt;=3))*(1-(IF(K158="",-1,K158)=0)),IF(C158="peso_corporal",IF(ISNUMBER(E158),E158,0)+I158,I158)*(30+J158)*100+I158,0)=AA158,2,IF(IF((G158&gt;=6)*(1-(IF(H158="",-1,H158)&gt;=1)*(IF(H158="",-1,H158)&lt;=3))*(1-(IF(H158="",-1,H158)=0)),IF(C158="peso_corporal",IF(ISNUMBER(E158),E158,0)+F158,F158)*(30+G158)*100+F158,0)=AA158,1,0))))))</f>
        <v>0</v>
      </c>
      <c r="AC158" s="69" t="str">
        <f>IF(X158&gt;0,"A"&amp;X158,IF(Z158&gt;0,"B"&amp;Z158,IF(AB158&gt;0,"C"&amp;AB158,"")))</f>
        <v/>
      </c>
    </row>
    <row r="159" spans="1:29" ht="15" customHeight="1">
      <c r="A159" s="81" t="s">
        <v>53</v>
      </c>
      <c r="B159" s="73"/>
      <c r="C159" s="73"/>
      <c r="D159" s="73"/>
      <c r="E159" s="73"/>
      <c r="F159" s="73"/>
      <c r="G159" s="73"/>
      <c r="H159" s="73"/>
      <c r="I159" s="73"/>
      <c r="J159" s="73"/>
      <c r="K159" s="73"/>
      <c r="L159" s="73"/>
      <c r="M159" s="73"/>
      <c r="N159" s="73"/>
      <c r="O159" s="73"/>
      <c r="P159" s="73"/>
      <c r="Q159" s="73"/>
      <c r="R159" s="73"/>
      <c r="S159" s="73"/>
      <c r="T159" s="73"/>
      <c r="U159" s="73"/>
      <c r="V159" s="73"/>
      <c r="W159" s="69"/>
      <c r="X159" s="69"/>
      <c r="Y159" s="69"/>
      <c r="Z159" s="69"/>
      <c r="AA159" s="69"/>
      <c r="AB159" s="69"/>
      <c r="AC159" s="69"/>
    </row>
    <row r="160" spans="1:29" ht="20.100000000000001" customHeight="1">
      <c r="A160" s="14" t="s">
        <v>54</v>
      </c>
      <c r="B160" s="15" t="s">
        <v>67</v>
      </c>
      <c r="C160" s="16" t="str">
        <f>IFERROR(INDEX(EJERCICIOS!$D$3:$D$75,MATCH(A160&amp;"|"&amp;B160,EJERCICIOS!$G$3:$G$75,0)),"--")</f>
        <v>mancuerna</v>
      </c>
      <c r="D160" s="17">
        <v>3</v>
      </c>
      <c r="E160" s="18">
        <f>IFERROR(LOOKUP(2,1/(MEDIDAS_Y_PESO!$B$3:$B$9&lt;&gt;""),MEDIDAS_Y_PESO!$B$3:$B$9),"--")</f>
        <v>80</v>
      </c>
      <c r="F160" s="19"/>
      <c r="G160" s="20"/>
      <c r="H160" s="21"/>
      <c r="I160" s="19"/>
      <c r="J160" s="20"/>
      <c r="K160" s="21"/>
      <c r="L160" s="19"/>
      <c r="M160" s="20"/>
      <c r="N160" s="21"/>
      <c r="O160" s="19"/>
      <c r="P160" s="20"/>
      <c r="Q160" s="21"/>
      <c r="R160" s="19"/>
      <c r="S160" s="20"/>
      <c r="T160" s="21"/>
      <c r="U160" s="22" t="str">
        <f>IFERROR(IF(IF(X160&gt;0,X160,IF(Z160&gt;0,Z160,IF(AB160&gt;0,AB160,0)))=0,"--",ROUND(CHOOSE(IF(X160&gt;0,X160,IF(Z160&gt;0,Z160,IF(AB160&gt;0,AB160,0))),IF(C160="peso_corporal",IF(ISNUMBER(E160),E160,0)+F160,F160)*(1+G160/30),IF(C160="peso_corporal",IF(ISNUMBER(E160),E160,0)+I160,I160)*(1+J160/30),IF(C160="peso_corporal",IF(ISNUMBER(E160),E160,0)+L160,L160)*(1+M160/30),IF(C160="peso_corporal",IF(ISNUMBER(E160),E160,0)+O160,O160)*(1+P160/30),IF(C160="peso_corporal",IF(ISNUMBER(E160),E160,0)+R160,R160)*(1+S160/30)),1)),"--")</f>
        <v>--</v>
      </c>
      <c r="V160" s="23" t="str">
        <f>IF(SUGERENCIAS!N391="SIN","Sin datos anteriores",IF(SUGERENCIAS!N391="SUBIR_F","^ SUBIR FUERTE | Kg:"&amp;ROUND(SUGERENCIAS!K391,1)&amp;" R:"&amp;ROUND(SUGERENCIAS!L391,0)&amp;" RIR:"&amp;ROUND(SUGERENCIAS!M391,0),IF(SUGERENCIAS!N391="SUBIR_E","^ SUBIR (Est.) | Kg:"&amp;ROUND(SUGERENCIAS!K391,1)&amp;" R:"&amp;ROUND(SUGERENCIAS!L391,0)&amp;" RIR:"&amp;ROUND(SUGERENCIAS!M391,0),IF(SUGERENCIAS!N391="SUBIR","^ SUBIR | Kg:"&amp;ROUND(SUGERENCIAS!K391,1)&amp;" R:"&amp;ROUND(SUGERENCIAS!L391,0)&amp;" RIR:"&amp;ROUND(SUGERENCIAS!M391,0),IF(SUGERENCIAS!N391="BAJAR","v BAJAR | Kg:"&amp;ROUND(SUGERENCIAS!K391,1)&amp;" R:"&amp;ROUND(SUGERENCIAS!L391,0)&amp;" RIR:"&amp;ROUND(SUGERENCIAS!M391,0),"= MANT | Kg:"&amp;ROUND(SUGERENCIAS!K391,1)&amp;" R:"&amp;ROUND(SUGERENCIAS!L391,0)&amp;" RIR:"&amp;ROUND(SUGERENCIAS!M391,0))))))</f>
        <v>Sin datos anteriores</v>
      </c>
      <c r="W160" s="69">
        <f>MAX(IF((G160&gt;0)*(IF(H160="",-1,H160)&gt;=1)*(IF(H160="",-1,H160)&lt;=3),IF(C160="peso_corporal",IF(ISNUMBER(E160),E160,0)+F160,F160)*G160*1000+F160,0),IF((J160&gt;0)*(IF(K160="",-1,K160)&gt;=1)*(IF(K160="",-1,K160)&lt;=3),IF(C160="peso_corporal",IF(ISNUMBER(E160),E160,0)+I160,I160)*J160*1000+I160,0),IF((M160&gt;0)*(IF(N160="",-1,N160)&gt;=1)*(IF(N160="",-1,N160)&lt;=3),IF(C160="peso_corporal",IF(ISNUMBER(E160),E160,0)+L160,L160)*M160*1000+L160,0),IF((P160&gt;0)*(IF(Q160="",-1,Q160)&gt;=1)*(IF(Q160="",-1,Q160)&lt;=3),IF(C160="peso_corporal",IF(ISNUMBER(E160),E160,0)+O160,O160)*P160*1000+O160,0),IF((S160&gt;0)*(IF(T160="",-1,T160)&gt;=1)*(IF(T160="",-1,T160)&lt;=3),IF(C160="peso_corporal",IF(ISNUMBER(E160),E160,0)+R160,R160)*S160*1000+R160,0))</f>
        <v>0</v>
      </c>
      <c r="X160" s="69">
        <f>IF(W160=0,0,IF(IF((S160&gt;0)*(IF(T160="",-1,T160)&gt;=1)*(IF(T160="",-1,T160)&lt;=3),IF(C160="peso_corporal",IF(ISNUMBER(E160),E160,0)+R160,R160)*S160*1000+R160,0)=W160,5,IF(IF((P160&gt;0)*(IF(Q160="",-1,Q160)&gt;=1)*(IF(Q160="",-1,Q160)&lt;=3),IF(C160="peso_corporal",IF(ISNUMBER(E160),E160,0)+O160,O160)*P160*1000+O160,0)=W160,4,IF(IF((M160&gt;0)*(IF(N160="",-1,N160)&gt;=1)*(IF(N160="",-1,N160)&lt;=3),IF(C160="peso_corporal",IF(ISNUMBER(E160),E160,0)+L160,L160)*M160*1000+L160,0)=W160,3,IF(IF((J160&gt;0)*(IF(K160="",-1,K160)&gt;=1)*(IF(K160="",-1,K160)&lt;=3),IF(C160="peso_corporal",IF(ISNUMBER(E160),E160,0)+I160,I160)*J160*1000+I160,0)=W160,2,IF(IF((G160&gt;0)*(IF(H160="",-1,H160)&gt;=1)*(IF(H160="",-1,H160)&lt;=3),IF(C160="peso_corporal",IF(ISNUMBER(E160),E160,0)+F160,F160)*G160*1000+F160,0)=W160,1,0))))))</f>
        <v>0</v>
      </c>
      <c r="Y160" s="69">
        <f>MAX(IF((G160&gt;0)*(IF(H160="",-1,H160)=0)*(1-(IF(H160="",-1,H160)&gt;=1)*(IF(H160="",-1,H160)&lt;=3)),IF(C160="peso_corporal",IF(ISNUMBER(E160),E160,0)+F160,F160)*G160*1000+F160,0),IF((J160&gt;0)*(IF(K160="",-1,K160)=0)*(1-(IF(K160="",-1,K160)&gt;=1)*(IF(K160="",-1,K160)&lt;=3)),IF(C160="peso_corporal",IF(ISNUMBER(E160),E160,0)+I160,I160)*J160*1000+I160,0),IF((M160&gt;0)*(IF(N160="",-1,N160)=0)*(1-(IF(N160="",-1,N160)&gt;=1)*(IF(N160="",-1,N160)&lt;=3)),IF(C160="peso_corporal",IF(ISNUMBER(E160),E160,0)+L160,L160)*M160*1000+L160,0),IF((P160&gt;0)*(IF(Q160="",-1,Q160)=0)*(1-(IF(Q160="",-1,Q160)&gt;=1)*(IF(Q160="",-1,Q160)&lt;=3)),IF(C160="peso_corporal",IF(ISNUMBER(E160),E160,0)+O160,O160)*P160*1000+O160,0),IF((S160&gt;0)*(IF(T160="",-1,T160)=0)*(1-(IF(T160="",-1,T160)&gt;=1)*(IF(T160="",-1,T160)&lt;=3)),IF(C160="peso_corporal",IF(ISNUMBER(E160),E160,0)+R160,R160)*S160*1000+R160,0))</f>
        <v>0</v>
      </c>
      <c r="Z160" s="69">
        <f>IF(Y160=0,0,IF(IF((S160&gt;0)*(IF(T160="",-1,T160)=0)*(1-(IF(T160="",-1,T160)&gt;=1)*(IF(T160="",-1,T160)&lt;=3)),IF(C160="peso_corporal",IF(ISNUMBER(E160),E160,0)+R160,R160)*S160*1000+R160,0)=Y160,5,IF(IF((P160&gt;0)*(IF(Q160="",-1,Q160)=0)*(1-(IF(Q160="",-1,Q160)&gt;=1)*(IF(Q160="",-1,Q160)&lt;=3)),IF(C160="peso_corporal",IF(ISNUMBER(E160),E160,0)+O160,O160)*P160*1000+O160,0)=Y160,4,IF(IF((M160&gt;0)*(IF(N160="",-1,N160)=0)*(1-(IF(N160="",-1,N160)&gt;=1)*(IF(N160="",-1,N160)&lt;=3)),IF(C160="peso_corporal",IF(ISNUMBER(E160),E160,0)+L160,L160)*M160*1000+L160,0)=Y160,3,IF(IF((J160&gt;0)*(IF(K160="",-1,K160)=0)*(1-(IF(K160="",-1,K160)&gt;=1)*(IF(K160="",-1,K160)&lt;=3)),IF(C160="peso_corporal",IF(ISNUMBER(E160),E160,0)+I160,I160)*J160*1000+I160,0)=Y160,2,IF(IF((G160&gt;0)*(IF(H160="",-1,H160)=0)*(1-(IF(H160="",-1,H160)&gt;=1)*(IF(H160="",-1,H160)&lt;=3)),IF(C160="peso_corporal",IF(ISNUMBER(E160),E160,0)+F160,F160)*G160*1000+F160,0)=Y160,1,0))))))</f>
        <v>0</v>
      </c>
      <c r="AA160" s="69">
        <f>MAX(IF((G160&gt;=6)*(1-(IF(H160="",-1,H160)&gt;=1)*(IF(H160="",-1,H160)&lt;=3))*(1-(IF(H160="",-1,H160)=0)),IF(C160="peso_corporal",IF(ISNUMBER(E160),E160,0)+F160,F160)*(30+G160)*100+F160,0),IF((J160&gt;=6)*(1-(IF(K160="",-1,K160)&gt;=1)*(IF(K160="",-1,K160)&lt;=3))*(1-(IF(K160="",-1,K160)=0)),IF(C160="peso_corporal",IF(ISNUMBER(E160),E160,0)+I160,I160)*(30+J160)*100+I160,0),IF((M160&gt;=6)*(1-(IF(N160="",-1,N160)&gt;=1)*(IF(N160="",-1,N160)&lt;=3))*(1-(IF(N160="",-1,N160)=0)),IF(C160="peso_corporal",IF(ISNUMBER(E160),E160,0)+L160,L160)*(30+M160)*100+L160,0),IF((P160&gt;=6)*(1-(IF(Q160="",-1,Q160)&gt;=1)*(IF(Q160="",-1,Q160)&lt;=3))*(1-(IF(Q160="",-1,Q160)=0)),IF(C160="peso_corporal",IF(ISNUMBER(E160),E160,0)+O160,O160)*(30+P160)*100+O160,0),IF((S160&gt;=6)*(1-(IF(T160="",-1,T160)&gt;=1)*(IF(T160="",-1,T160)&lt;=3))*(1-(IF(T160="",-1,T160)=0)),IF(C160="peso_corporal",IF(ISNUMBER(E160),E160,0)+R160,R160)*(30+S160)*100+R160,0))</f>
        <v>0</v>
      </c>
      <c r="AB160" s="69">
        <f>IF(AA160=0,0,IF(IF((S160&gt;=6)*(1-(IF(T160="",-1,T160)&gt;=1)*(IF(T160="",-1,T160)&lt;=3))*(1-(IF(T160="",-1,T160)=0)),IF(C160="peso_corporal",IF(ISNUMBER(E160),E160,0)+R160,R160)*(30+S160)*100+R160,0)=AA160,5,IF(IF((P160&gt;=6)*(1-(IF(Q160="",-1,Q160)&gt;=1)*(IF(Q160="",-1,Q160)&lt;=3))*(1-(IF(Q160="",-1,Q160)=0)),IF(C160="peso_corporal",IF(ISNUMBER(E160),E160,0)+O160,O160)*(30+P160)*100+O160,0)=AA160,4,IF(IF((M160&gt;=6)*(1-(IF(N160="",-1,N160)&gt;=1)*(IF(N160="",-1,N160)&lt;=3))*(1-(IF(N160="",-1,N160)=0)),IF(C160="peso_corporal",IF(ISNUMBER(E160),E160,0)+L160,L160)*(30+M160)*100+L160,0)=AA160,3,IF(IF((J160&gt;=6)*(1-(IF(K160="",-1,K160)&gt;=1)*(IF(K160="",-1,K160)&lt;=3))*(1-(IF(K160="",-1,K160)=0)),IF(C160="peso_corporal",IF(ISNUMBER(E160),E160,0)+I160,I160)*(30+J160)*100+I160,0)=AA160,2,IF(IF((G160&gt;=6)*(1-(IF(H160="",-1,H160)&gt;=1)*(IF(H160="",-1,H160)&lt;=3))*(1-(IF(H160="",-1,H160)=0)),IF(C160="peso_corporal",IF(ISNUMBER(E160),E160,0)+F160,F160)*(30+G160)*100+F160,0)=AA160,1,0))))))</f>
        <v>0</v>
      </c>
      <c r="AC160" s="69" t="str">
        <f>IF(X160&gt;0,"A"&amp;X160,IF(Z160&gt;0,"B"&amp;Z160,IF(AB160&gt;0,"C"&amp;AB160,"")))</f>
        <v/>
      </c>
    </row>
    <row r="161" spans="1:29" ht="15" customHeight="1">
      <c r="A161" s="72" t="s">
        <v>56</v>
      </c>
      <c r="B161" s="73"/>
      <c r="C161" s="73"/>
      <c r="D161" s="73"/>
      <c r="E161" s="73"/>
      <c r="F161" s="73"/>
      <c r="G161" s="73"/>
      <c r="H161" s="73"/>
      <c r="I161" s="73"/>
      <c r="J161" s="73"/>
      <c r="K161" s="73"/>
      <c r="L161" s="73"/>
      <c r="M161" s="73"/>
      <c r="N161" s="73"/>
      <c r="O161" s="73"/>
      <c r="P161" s="73"/>
      <c r="Q161" s="73"/>
      <c r="R161" s="73"/>
      <c r="S161" s="73"/>
      <c r="T161" s="73"/>
      <c r="U161" s="73"/>
      <c r="V161" s="73"/>
      <c r="W161" s="69"/>
      <c r="X161" s="69"/>
      <c r="Y161" s="69"/>
      <c r="Z161" s="69"/>
      <c r="AA161" s="69"/>
      <c r="AB161" s="69"/>
      <c r="AC161" s="69"/>
    </row>
    <row r="162" spans="1:29" ht="20.100000000000001" customHeight="1">
      <c r="A162" s="14" t="s">
        <v>57</v>
      </c>
      <c r="B162" s="15" t="s">
        <v>58</v>
      </c>
      <c r="C162" s="16" t="str">
        <f>IFERROR(INDEX(EJERCICIOS!$D$3:$D$75,MATCH(A162&amp;"|"&amp;B162,EJERCICIOS!$G$3:$G$75,0)),"--")</f>
        <v>polea</v>
      </c>
      <c r="D162" s="17">
        <v>3</v>
      </c>
      <c r="E162" s="18">
        <f>IFERROR(LOOKUP(2,1/(MEDIDAS_Y_PESO!$B$3:$B$9&lt;&gt;""),MEDIDAS_Y_PESO!$B$3:$B$9),"--")</f>
        <v>80</v>
      </c>
      <c r="F162" s="19"/>
      <c r="G162" s="20"/>
      <c r="H162" s="21"/>
      <c r="I162" s="19"/>
      <c r="J162" s="20"/>
      <c r="K162" s="21"/>
      <c r="L162" s="19"/>
      <c r="M162" s="20"/>
      <c r="N162" s="21"/>
      <c r="O162" s="19"/>
      <c r="P162" s="20"/>
      <c r="Q162" s="21"/>
      <c r="R162" s="19"/>
      <c r="S162" s="20"/>
      <c r="T162" s="21"/>
      <c r="U162" s="22" t="str">
        <f>IFERROR(IF(IF(X162&gt;0,X162,IF(Z162&gt;0,Z162,IF(AB162&gt;0,AB162,0)))=0,"--",ROUND(CHOOSE(IF(X162&gt;0,X162,IF(Z162&gt;0,Z162,IF(AB162&gt;0,AB162,0))),IF(C162="peso_corporal",IF(ISNUMBER(E162),E162,0)+F162,F162)*(1+G162/30),IF(C162="peso_corporal",IF(ISNUMBER(E162),E162,0)+I162,I162)*(1+J162/30),IF(C162="peso_corporal",IF(ISNUMBER(E162),E162,0)+L162,L162)*(1+M162/30),IF(C162="peso_corporal",IF(ISNUMBER(E162),E162,0)+O162,O162)*(1+P162/30),IF(C162="peso_corporal",IF(ISNUMBER(E162),E162,0)+R162,R162)*(1+S162/30)),1)),"--")</f>
        <v>--</v>
      </c>
      <c r="V162" s="23" t="str">
        <f>IF(SUGERENCIAS!N392="SIN","Sin datos anteriores",IF(SUGERENCIAS!N392="SUBIR_F","^ SUBIR FUERTE | Kg:"&amp;ROUND(SUGERENCIAS!K392,1)&amp;" R:"&amp;ROUND(SUGERENCIAS!L392,0)&amp;" RIR:"&amp;ROUND(SUGERENCIAS!M392,0),IF(SUGERENCIAS!N392="SUBIR_E","^ SUBIR (Est.) | Kg:"&amp;ROUND(SUGERENCIAS!K392,1)&amp;" R:"&amp;ROUND(SUGERENCIAS!L392,0)&amp;" RIR:"&amp;ROUND(SUGERENCIAS!M392,0),IF(SUGERENCIAS!N392="SUBIR","^ SUBIR | Kg:"&amp;ROUND(SUGERENCIAS!K392,1)&amp;" R:"&amp;ROUND(SUGERENCIAS!L392,0)&amp;" RIR:"&amp;ROUND(SUGERENCIAS!M392,0),IF(SUGERENCIAS!N392="BAJAR","v BAJAR | Kg:"&amp;ROUND(SUGERENCIAS!K392,1)&amp;" R:"&amp;ROUND(SUGERENCIAS!L392,0)&amp;" RIR:"&amp;ROUND(SUGERENCIAS!M392,0),"= MANT | Kg:"&amp;ROUND(SUGERENCIAS!K392,1)&amp;" R:"&amp;ROUND(SUGERENCIAS!L392,0)&amp;" RIR:"&amp;ROUND(SUGERENCIAS!M392,0))))))</f>
        <v>Sin datos anteriores</v>
      </c>
      <c r="W162" s="69">
        <f>MAX(IF((G162&gt;0)*(IF(H162="",-1,H162)&gt;=1)*(IF(H162="",-1,H162)&lt;=3),IF(C162="peso_corporal",IF(ISNUMBER(E162),E162,0)+F162,F162)*G162*1000+F162,0),IF((J162&gt;0)*(IF(K162="",-1,K162)&gt;=1)*(IF(K162="",-1,K162)&lt;=3),IF(C162="peso_corporal",IF(ISNUMBER(E162),E162,0)+I162,I162)*J162*1000+I162,0),IF((M162&gt;0)*(IF(N162="",-1,N162)&gt;=1)*(IF(N162="",-1,N162)&lt;=3),IF(C162="peso_corporal",IF(ISNUMBER(E162),E162,0)+L162,L162)*M162*1000+L162,0),IF((P162&gt;0)*(IF(Q162="",-1,Q162)&gt;=1)*(IF(Q162="",-1,Q162)&lt;=3),IF(C162="peso_corporal",IF(ISNUMBER(E162),E162,0)+O162,O162)*P162*1000+O162,0),IF((S162&gt;0)*(IF(T162="",-1,T162)&gt;=1)*(IF(T162="",-1,T162)&lt;=3),IF(C162="peso_corporal",IF(ISNUMBER(E162),E162,0)+R162,R162)*S162*1000+R162,0))</f>
        <v>0</v>
      </c>
      <c r="X162" s="69">
        <f>IF(W162=0,0,IF(IF((S162&gt;0)*(IF(T162="",-1,T162)&gt;=1)*(IF(T162="",-1,T162)&lt;=3),IF(C162="peso_corporal",IF(ISNUMBER(E162),E162,0)+R162,R162)*S162*1000+R162,0)=W162,5,IF(IF((P162&gt;0)*(IF(Q162="",-1,Q162)&gt;=1)*(IF(Q162="",-1,Q162)&lt;=3),IF(C162="peso_corporal",IF(ISNUMBER(E162),E162,0)+O162,O162)*P162*1000+O162,0)=W162,4,IF(IF((M162&gt;0)*(IF(N162="",-1,N162)&gt;=1)*(IF(N162="",-1,N162)&lt;=3),IF(C162="peso_corporal",IF(ISNUMBER(E162),E162,0)+L162,L162)*M162*1000+L162,0)=W162,3,IF(IF((J162&gt;0)*(IF(K162="",-1,K162)&gt;=1)*(IF(K162="",-1,K162)&lt;=3),IF(C162="peso_corporal",IF(ISNUMBER(E162),E162,0)+I162,I162)*J162*1000+I162,0)=W162,2,IF(IF((G162&gt;0)*(IF(H162="",-1,H162)&gt;=1)*(IF(H162="",-1,H162)&lt;=3),IF(C162="peso_corporal",IF(ISNUMBER(E162),E162,0)+F162,F162)*G162*1000+F162,0)=W162,1,0))))))</f>
        <v>0</v>
      </c>
      <c r="Y162" s="69">
        <f>MAX(IF((G162&gt;0)*(IF(H162="",-1,H162)=0)*(1-(IF(H162="",-1,H162)&gt;=1)*(IF(H162="",-1,H162)&lt;=3)),IF(C162="peso_corporal",IF(ISNUMBER(E162),E162,0)+F162,F162)*G162*1000+F162,0),IF((J162&gt;0)*(IF(K162="",-1,K162)=0)*(1-(IF(K162="",-1,K162)&gt;=1)*(IF(K162="",-1,K162)&lt;=3)),IF(C162="peso_corporal",IF(ISNUMBER(E162),E162,0)+I162,I162)*J162*1000+I162,0),IF((M162&gt;0)*(IF(N162="",-1,N162)=0)*(1-(IF(N162="",-1,N162)&gt;=1)*(IF(N162="",-1,N162)&lt;=3)),IF(C162="peso_corporal",IF(ISNUMBER(E162),E162,0)+L162,L162)*M162*1000+L162,0),IF((P162&gt;0)*(IF(Q162="",-1,Q162)=0)*(1-(IF(Q162="",-1,Q162)&gt;=1)*(IF(Q162="",-1,Q162)&lt;=3)),IF(C162="peso_corporal",IF(ISNUMBER(E162),E162,0)+O162,O162)*P162*1000+O162,0),IF((S162&gt;0)*(IF(T162="",-1,T162)=0)*(1-(IF(T162="",-1,T162)&gt;=1)*(IF(T162="",-1,T162)&lt;=3)),IF(C162="peso_corporal",IF(ISNUMBER(E162),E162,0)+R162,R162)*S162*1000+R162,0))</f>
        <v>0</v>
      </c>
      <c r="Z162" s="69">
        <f>IF(Y162=0,0,IF(IF((S162&gt;0)*(IF(T162="",-1,T162)=0)*(1-(IF(T162="",-1,T162)&gt;=1)*(IF(T162="",-1,T162)&lt;=3)),IF(C162="peso_corporal",IF(ISNUMBER(E162),E162,0)+R162,R162)*S162*1000+R162,0)=Y162,5,IF(IF((P162&gt;0)*(IF(Q162="",-1,Q162)=0)*(1-(IF(Q162="",-1,Q162)&gt;=1)*(IF(Q162="",-1,Q162)&lt;=3)),IF(C162="peso_corporal",IF(ISNUMBER(E162),E162,0)+O162,O162)*P162*1000+O162,0)=Y162,4,IF(IF((M162&gt;0)*(IF(N162="",-1,N162)=0)*(1-(IF(N162="",-1,N162)&gt;=1)*(IF(N162="",-1,N162)&lt;=3)),IF(C162="peso_corporal",IF(ISNUMBER(E162),E162,0)+L162,L162)*M162*1000+L162,0)=Y162,3,IF(IF((J162&gt;0)*(IF(K162="",-1,K162)=0)*(1-(IF(K162="",-1,K162)&gt;=1)*(IF(K162="",-1,K162)&lt;=3)),IF(C162="peso_corporal",IF(ISNUMBER(E162),E162,0)+I162,I162)*J162*1000+I162,0)=Y162,2,IF(IF((G162&gt;0)*(IF(H162="",-1,H162)=0)*(1-(IF(H162="",-1,H162)&gt;=1)*(IF(H162="",-1,H162)&lt;=3)),IF(C162="peso_corporal",IF(ISNUMBER(E162),E162,0)+F162,F162)*G162*1000+F162,0)=Y162,1,0))))))</f>
        <v>0</v>
      </c>
      <c r="AA162" s="69">
        <f>MAX(IF((G162&gt;=6)*(1-(IF(H162="",-1,H162)&gt;=1)*(IF(H162="",-1,H162)&lt;=3))*(1-(IF(H162="",-1,H162)=0)),IF(C162="peso_corporal",IF(ISNUMBER(E162),E162,0)+F162,F162)*(30+G162)*100+F162,0),IF((J162&gt;=6)*(1-(IF(K162="",-1,K162)&gt;=1)*(IF(K162="",-1,K162)&lt;=3))*(1-(IF(K162="",-1,K162)=0)),IF(C162="peso_corporal",IF(ISNUMBER(E162),E162,0)+I162,I162)*(30+J162)*100+I162,0),IF((M162&gt;=6)*(1-(IF(N162="",-1,N162)&gt;=1)*(IF(N162="",-1,N162)&lt;=3))*(1-(IF(N162="",-1,N162)=0)),IF(C162="peso_corporal",IF(ISNUMBER(E162),E162,0)+L162,L162)*(30+M162)*100+L162,0),IF((P162&gt;=6)*(1-(IF(Q162="",-1,Q162)&gt;=1)*(IF(Q162="",-1,Q162)&lt;=3))*(1-(IF(Q162="",-1,Q162)=0)),IF(C162="peso_corporal",IF(ISNUMBER(E162),E162,0)+O162,O162)*(30+P162)*100+O162,0),IF((S162&gt;=6)*(1-(IF(T162="",-1,T162)&gt;=1)*(IF(T162="",-1,T162)&lt;=3))*(1-(IF(T162="",-1,T162)=0)),IF(C162="peso_corporal",IF(ISNUMBER(E162),E162,0)+R162,R162)*(30+S162)*100+R162,0))</f>
        <v>0</v>
      </c>
      <c r="AB162" s="69">
        <f>IF(AA162=0,0,IF(IF((S162&gt;=6)*(1-(IF(T162="",-1,T162)&gt;=1)*(IF(T162="",-1,T162)&lt;=3))*(1-(IF(T162="",-1,T162)=0)),IF(C162="peso_corporal",IF(ISNUMBER(E162),E162,0)+R162,R162)*(30+S162)*100+R162,0)=AA162,5,IF(IF((P162&gt;=6)*(1-(IF(Q162="",-1,Q162)&gt;=1)*(IF(Q162="",-1,Q162)&lt;=3))*(1-(IF(Q162="",-1,Q162)=0)),IF(C162="peso_corporal",IF(ISNUMBER(E162),E162,0)+O162,O162)*(30+P162)*100+O162,0)=AA162,4,IF(IF((M162&gt;=6)*(1-(IF(N162="",-1,N162)&gt;=1)*(IF(N162="",-1,N162)&lt;=3))*(1-(IF(N162="",-1,N162)=0)),IF(C162="peso_corporal",IF(ISNUMBER(E162),E162,0)+L162,L162)*(30+M162)*100+L162,0)=AA162,3,IF(IF((J162&gt;=6)*(1-(IF(K162="",-1,K162)&gt;=1)*(IF(K162="",-1,K162)&lt;=3))*(1-(IF(K162="",-1,K162)=0)),IF(C162="peso_corporal",IF(ISNUMBER(E162),E162,0)+I162,I162)*(30+J162)*100+I162,0)=AA162,2,IF(IF((G162&gt;=6)*(1-(IF(H162="",-1,H162)&gt;=1)*(IF(H162="",-1,H162)&lt;=3))*(1-(IF(H162="",-1,H162)=0)),IF(C162="peso_corporal",IF(ISNUMBER(E162),E162,0)+F162,F162)*(30+G162)*100+F162,0)=AA162,1,0))))))</f>
        <v>0</v>
      </c>
      <c r="AC162" s="69" t="str">
        <f>IF(X162&gt;0,"A"&amp;X162,IF(Z162&gt;0,"B"&amp;Z162,IF(AB162&gt;0,"C"&amp;AB162,"")))</f>
        <v/>
      </c>
    </row>
    <row r="163" spans="1:29" ht="6"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69"/>
      <c r="X163" s="69"/>
      <c r="Y163" s="69"/>
      <c r="Z163" s="69"/>
      <c r="AA163" s="69"/>
      <c r="AB163" s="69"/>
      <c r="AC163" s="69"/>
    </row>
    <row r="164" spans="1:29" ht="18" customHeight="1">
      <c r="A164" s="85" t="s">
        <v>73</v>
      </c>
      <c r="B164" s="73"/>
      <c r="C164" s="73"/>
      <c r="D164" s="73"/>
      <c r="E164" s="73"/>
      <c r="F164" s="73"/>
      <c r="G164" s="73"/>
      <c r="H164" s="73"/>
      <c r="I164" s="73"/>
      <c r="J164" s="73"/>
      <c r="K164" s="73"/>
      <c r="L164" s="73"/>
      <c r="M164" s="73"/>
      <c r="N164" s="73"/>
      <c r="O164" s="73"/>
      <c r="P164" s="73"/>
      <c r="Q164" s="73"/>
      <c r="R164" s="73"/>
      <c r="S164" s="73"/>
      <c r="T164" s="73"/>
      <c r="U164" s="73"/>
      <c r="V164" s="73"/>
      <c r="W164" s="69"/>
      <c r="X164" s="69"/>
      <c r="Y164" s="69"/>
      <c r="Z164" s="69"/>
      <c r="AA164" s="69"/>
      <c r="AB164" s="69"/>
      <c r="AC164" s="69"/>
    </row>
    <row r="165" spans="1:29" ht="15" customHeight="1">
      <c r="A165" s="75" t="s">
        <v>28</v>
      </c>
      <c r="B165" s="73"/>
      <c r="C165" s="73"/>
      <c r="D165" s="73"/>
      <c r="E165" s="73"/>
      <c r="F165" s="73"/>
      <c r="G165" s="73"/>
      <c r="H165" s="73"/>
      <c r="I165" s="73"/>
      <c r="J165" s="73"/>
      <c r="K165" s="73"/>
      <c r="L165" s="73"/>
      <c r="M165" s="73"/>
      <c r="N165" s="73"/>
      <c r="O165" s="73"/>
      <c r="P165" s="73"/>
      <c r="Q165" s="73"/>
      <c r="R165" s="73"/>
      <c r="S165" s="73"/>
      <c r="T165" s="73"/>
      <c r="U165" s="73"/>
      <c r="V165" s="73"/>
      <c r="W165" s="69"/>
      <c r="X165" s="69"/>
      <c r="Y165" s="69"/>
      <c r="Z165" s="69"/>
      <c r="AA165" s="69"/>
      <c r="AB165" s="69"/>
      <c r="AC165" s="69"/>
    </row>
    <row r="166" spans="1:29" ht="11.1" customHeight="1">
      <c r="A166" s="76" t="s">
        <v>29</v>
      </c>
      <c r="B166" s="73"/>
      <c r="C166" s="73"/>
      <c r="D166" s="73"/>
      <c r="E166" s="73"/>
      <c r="F166" s="73"/>
      <c r="G166" s="73"/>
      <c r="H166" s="73"/>
      <c r="I166" s="73"/>
      <c r="J166" s="73"/>
      <c r="K166" s="73"/>
      <c r="L166" s="73"/>
      <c r="M166" s="73"/>
      <c r="N166" s="73"/>
      <c r="O166" s="73"/>
      <c r="P166" s="73"/>
      <c r="Q166" s="73"/>
      <c r="R166" s="73"/>
      <c r="S166" s="73"/>
      <c r="T166" s="73"/>
      <c r="U166" s="73"/>
      <c r="V166" s="73"/>
      <c r="W166" s="69"/>
      <c r="X166" s="69"/>
      <c r="Y166" s="69"/>
      <c r="Z166" s="69"/>
      <c r="AA166" s="69"/>
      <c r="AB166" s="69"/>
      <c r="AC166" s="69"/>
    </row>
    <row r="167" spans="1:29" ht="20.100000000000001" customHeight="1">
      <c r="A167" s="14" t="s">
        <v>30</v>
      </c>
      <c r="B167" s="15" t="s">
        <v>60</v>
      </c>
      <c r="C167" s="16" t="str">
        <f>IFERROR(INDEX(EJERCICIOS!$D$3:$D$75,MATCH(A167&amp;"|"&amp;B167,EJERCICIOS!$G$3:$G$75,0)),"--")</f>
        <v>disco</v>
      </c>
      <c r="D167" s="17">
        <v>3</v>
      </c>
      <c r="E167" s="18">
        <f>IFERROR(LOOKUP(2,1/(MEDIDAS_Y_PESO!$B$3:$B$10&lt;&gt;""),MEDIDAS_Y_PESO!$B$3:$B$10),"--")</f>
        <v>80</v>
      </c>
      <c r="F167" s="19"/>
      <c r="G167" s="20"/>
      <c r="H167" s="21"/>
      <c r="I167" s="19"/>
      <c r="J167" s="20"/>
      <c r="K167" s="21"/>
      <c r="L167" s="19"/>
      <c r="M167" s="20"/>
      <c r="N167" s="21"/>
      <c r="O167" s="19"/>
      <c r="P167" s="20"/>
      <c r="Q167" s="21"/>
      <c r="R167" s="19"/>
      <c r="S167" s="20"/>
      <c r="T167" s="21"/>
      <c r="U167" s="22" t="str">
        <f>IFERROR(IF(IF(X167&gt;0,X167,IF(Z167&gt;0,Z167,IF(AB167&gt;0,AB167,0)))=0,"--",ROUND(CHOOSE(IF(X167&gt;0,X167,IF(Z167&gt;0,Z167,IF(AB167&gt;0,AB167,0))),IF(C167="peso_corporal",IF(ISNUMBER(E167),E167,0)+F167,F167)*(1+G167/30),IF(C167="peso_corporal",IF(ISNUMBER(E167),E167,0)+I167,I167)*(1+J167/30),IF(C167="peso_corporal",IF(ISNUMBER(E167),E167,0)+L167,L167)*(1+M167/30),IF(C167="peso_corporal",IF(ISNUMBER(E167),E167,0)+O167,O167)*(1+P167/30),IF(C167="peso_corporal",IF(ISNUMBER(E167),E167,0)+R167,R167)*(1+S167/30)),1)),"--")</f>
        <v>--</v>
      </c>
      <c r="V167" s="23" t="str">
        <f>IF(SUGERENCIAS!N445="SIN","Sin datos anteriores",IF(SUGERENCIAS!N445="SUBIR_F","^ SUBIR FUERTE | Kg:"&amp;ROUND(SUGERENCIAS!K445,1)&amp;" R:"&amp;ROUND(SUGERENCIAS!L445,0)&amp;" RIR:"&amp;ROUND(SUGERENCIAS!M445,0),IF(SUGERENCIAS!N445="SUBIR_E","^ SUBIR (Est.) | Kg:"&amp;ROUND(SUGERENCIAS!K445,1)&amp;" R:"&amp;ROUND(SUGERENCIAS!L445,0)&amp;" RIR:"&amp;ROUND(SUGERENCIAS!M445,0),IF(SUGERENCIAS!N445="SUBIR","^ SUBIR | Kg:"&amp;ROUND(SUGERENCIAS!K445,1)&amp;" R:"&amp;ROUND(SUGERENCIAS!L445,0)&amp;" RIR:"&amp;ROUND(SUGERENCIAS!M445,0),IF(SUGERENCIAS!N445="BAJAR","v BAJAR | Kg:"&amp;ROUND(SUGERENCIAS!K445,1)&amp;" R:"&amp;ROUND(SUGERENCIAS!L445,0)&amp;" RIR:"&amp;ROUND(SUGERENCIAS!M445,0),"= MANT | Kg:"&amp;ROUND(SUGERENCIAS!K445,1)&amp;" R:"&amp;ROUND(SUGERENCIAS!L445,0)&amp;" RIR:"&amp;ROUND(SUGERENCIAS!M445,0))))))</f>
        <v>Sin datos anteriores</v>
      </c>
      <c r="W167" s="69">
        <f>MAX(IF((G167&gt;0)*(IF(H167="",-1,H167)&gt;=1)*(IF(H167="",-1,H167)&lt;=3),IF(C167="peso_corporal",IF(ISNUMBER(E167),E167,0)+F167,F167)*G167*1000+F167,0),IF((J167&gt;0)*(IF(K167="",-1,K167)&gt;=1)*(IF(K167="",-1,K167)&lt;=3),IF(C167="peso_corporal",IF(ISNUMBER(E167),E167,0)+I167,I167)*J167*1000+I167,0),IF((M167&gt;0)*(IF(N167="",-1,N167)&gt;=1)*(IF(N167="",-1,N167)&lt;=3),IF(C167="peso_corporal",IF(ISNUMBER(E167),E167,0)+L167,L167)*M167*1000+L167,0),IF((P167&gt;0)*(IF(Q167="",-1,Q167)&gt;=1)*(IF(Q167="",-1,Q167)&lt;=3),IF(C167="peso_corporal",IF(ISNUMBER(E167),E167,0)+O167,O167)*P167*1000+O167,0),IF((S167&gt;0)*(IF(T167="",-1,T167)&gt;=1)*(IF(T167="",-1,T167)&lt;=3),IF(C167="peso_corporal",IF(ISNUMBER(E167),E167,0)+R167,R167)*S167*1000+R167,0))</f>
        <v>0</v>
      </c>
      <c r="X167" s="69">
        <f>IF(W167=0,0,IF(IF((S167&gt;0)*(IF(T167="",-1,T167)&gt;=1)*(IF(T167="",-1,T167)&lt;=3),IF(C167="peso_corporal",IF(ISNUMBER(E167),E167,0)+R167,R167)*S167*1000+R167,0)=W167,5,IF(IF((P167&gt;0)*(IF(Q167="",-1,Q167)&gt;=1)*(IF(Q167="",-1,Q167)&lt;=3),IF(C167="peso_corporal",IF(ISNUMBER(E167),E167,0)+O167,O167)*P167*1000+O167,0)=W167,4,IF(IF((M167&gt;0)*(IF(N167="",-1,N167)&gt;=1)*(IF(N167="",-1,N167)&lt;=3),IF(C167="peso_corporal",IF(ISNUMBER(E167),E167,0)+L167,L167)*M167*1000+L167,0)=W167,3,IF(IF((J167&gt;0)*(IF(K167="",-1,K167)&gt;=1)*(IF(K167="",-1,K167)&lt;=3),IF(C167="peso_corporal",IF(ISNUMBER(E167),E167,0)+I167,I167)*J167*1000+I167,0)=W167,2,IF(IF((G167&gt;0)*(IF(H167="",-1,H167)&gt;=1)*(IF(H167="",-1,H167)&lt;=3),IF(C167="peso_corporal",IF(ISNUMBER(E167),E167,0)+F167,F167)*G167*1000+F167,0)=W167,1,0))))))</f>
        <v>0</v>
      </c>
      <c r="Y167" s="69">
        <f>MAX(IF((G167&gt;0)*(IF(H167="",-1,H167)=0)*(1-(IF(H167="",-1,H167)&gt;=1)*(IF(H167="",-1,H167)&lt;=3)),IF(C167="peso_corporal",IF(ISNUMBER(E167),E167,0)+F167,F167)*G167*1000+F167,0),IF((J167&gt;0)*(IF(K167="",-1,K167)=0)*(1-(IF(K167="",-1,K167)&gt;=1)*(IF(K167="",-1,K167)&lt;=3)),IF(C167="peso_corporal",IF(ISNUMBER(E167),E167,0)+I167,I167)*J167*1000+I167,0),IF((M167&gt;0)*(IF(N167="",-1,N167)=0)*(1-(IF(N167="",-1,N167)&gt;=1)*(IF(N167="",-1,N167)&lt;=3)),IF(C167="peso_corporal",IF(ISNUMBER(E167),E167,0)+L167,L167)*M167*1000+L167,0),IF((P167&gt;0)*(IF(Q167="",-1,Q167)=0)*(1-(IF(Q167="",-1,Q167)&gt;=1)*(IF(Q167="",-1,Q167)&lt;=3)),IF(C167="peso_corporal",IF(ISNUMBER(E167),E167,0)+O167,O167)*P167*1000+O167,0),IF((S167&gt;0)*(IF(T167="",-1,T167)=0)*(1-(IF(T167="",-1,T167)&gt;=1)*(IF(T167="",-1,T167)&lt;=3)),IF(C167="peso_corporal",IF(ISNUMBER(E167),E167,0)+R167,R167)*S167*1000+R167,0))</f>
        <v>0</v>
      </c>
      <c r="Z167" s="69">
        <f>IF(Y167=0,0,IF(IF((S167&gt;0)*(IF(T167="",-1,T167)=0)*(1-(IF(T167="",-1,T167)&gt;=1)*(IF(T167="",-1,T167)&lt;=3)),IF(C167="peso_corporal",IF(ISNUMBER(E167),E167,0)+R167,R167)*S167*1000+R167,0)=Y167,5,IF(IF((P167&gt;0)*(IF(Q167="",-1,Q167)=0)*(1-(IF(Q167="",-1,Q167)&gt;=1)*(IF(Q167="",-1,Q167)&lt;=3)),IF(C167="peso_corporal",IF(ISNUMBER(E167),E167,0)+O167,O167)*P167*1000+O167,0)=Y167,4,IF(IF((M167&gt;0)*(IF(N167="",-1,N167)=0)*(1-(IF(N167="",-1,N167)&gt;=1)*(IF(N167="",-1,N167)&lt;=3)),IF(C167="peso_corporal",IF(ISNUMBER(E167),E167,0)+L167,L167)*M167*1000+L167,0)=Y167,3,IF(IF((J167&gt;0)*(IF(K167="",-1,K167)=0)*(1-(IF(K167="",-1,K167)&gt;=1)*(IF(K167="",-1,K167)&lt;=3)),IF(C167="peso_corporal",IF(ISNUMBER(E167),E167,0)+I167,I167)*J167*1000+I167,0)=Y167,2,IF(IF((G167&gt;0)*(IF(H167="",-1,H167)=0)*(1-(IF(H167="",-1,H167)&gt;=1)*(IF(H167="",-1,H167)&lt;=3)),IF(C167="peso_corporal",IF(ISNUMBER(E167),E167,0)+F167,F167)*G167*1000+F167,0)=Y167,1,0))))))</f>
        <v>0</v>
      </c>
      <c r="AA167" s="69">
        <f>MAX(IF((G167&gt;=6)*(1-(IF(H167="",-1,H167)&gt;=1)*(IF(H167="",-1,H167)&lt;=3))*(1-(IF(H167="",-1,H167)=0)),IF(C167="peso_corporal",IF(ISNUMBER(E167),E167,0)+F167,F167)*(30+G167)*100+F167,0),IF((J167&gt;=6)*(1-(IF(K167="",-1,K167)&gt;=1)*(IF(K167="",-1,K167)&lt;=3))*(1-(IF(K167="",-1,K167)=0)),IF(C167="peso_corporal",IF(ISNUMBER(E167),E167,0)+I167,I167)*(30+J167)*100+I167,0),IF((M167&gt;=6)*(1-(IF(N167="",-1,N167)&gt;=1)*(IF(N167="",-1,N167)&lt;=3))*(1-(IF(N167="",-1,N167)=0)),IF(C167="peso_corporal",IF(ISNUMBER(E167),E167,0)+L167,L167)*(30+M167)*100+L167,0),IF((P167&gt;=6)*(1-(IF(Q167="",-1,Q167)&gt;=1)*(IF(Q167="",-1,Q167)&lt;=3))*(1-(IF(Q167="",-1,Q167)=0)),IF(C167="peso_corporal",IF(ISNUMBER(E167),E167,0)+O167,O167)*(30+P167)*100+O167,0),IF((S167&gt;=6)*(1-(IF(T167="",-1,T167)&gt;=1)*(IF(T167="",-1,T167)&lt;=3))*(1-(IF(T167="",-1,T167)=0)),IF(C167="peso_corporal",IF(ISNUMBER(E167),E167,0)+R167,R167)*(30+S167)*100+R167,0))</f>
        <v>0</v>
      </c>
      <c r="AB167" s="69">
        <f>IF(AA167=0,0,IF(IF((S167&gt;=6)*(1-(IF(T167="",-1,T167)&gt;=1)*(IF(T167="",-1,T167)&lt;=3))*(1-(IF(T167="",-1,T167)=0)),IF(C167="peso_corporal",IF(ISNUMBER(E167),E167,0)+R167,R167)*(30+S167)*100+R167,0)=AA167,5,IF(IF((P167&gt;=6)*(1-(IF(Q167="",-1,Q167)&gt;=1)*(IF(Q167="",-1,Q167)&lt;=3))*(1-(IF(Q167="",-1,Q167)=0)),IF(C167="peso_corporal",IF(ISNUMBER(E167),E167,0)+O167,O167)*(30+P167)*100+O167,0)=AA167,4,IF(IF((M167&gt;=6)*(1-(IF(N167="",-1,N167)&gt;=1)*(IF(N167="",-1,N167)&lt;=3))*(1-(IF(N167="",-1,N167)=0)),IF(C167="peso_corporal",IF(ISNUMBER(E167),E167,0)+L167,L167)*(30+M167)*100+L167,0)=AA167,3,IF(IF((J167&gt;=6)*(1-(IF(K167="",-1,K167)&gt;=1)*(IF(K167="",-1,K167)&lt;=3))*(1-(IF(K167="",-1,K167)=0)),IF(C167="peso_corporal",IF(ISNUMBER(E167),E167,0)+I167,I167)*(30+J167)*100+I167,0)=AA167,2,IF(IF((G167&gt;=6)*(1-(IF(H167="",-1,H167)&gt;=1)*(IF(H167="",-1,H167)&lt;=3))*(1-(IF(H167="",-1,H167)=0)),IF(C167="peso_corporal",IF(ISNUMBER(E167),E167,0)+F167,F167)*(30+G167)*100+F167,0)=AA167,1,0))))))</f>
        <v>0</v>
      </c>
      <c r="AC167" s="69" t="str">
        <f>IF(X167&gt;0,"A"&amp;X167,IF(Z167&gt;0,"B"&amp;Z167,IF(AB167&gt;0,"C"&amp;AB167,"")))</f>
        <v/>
      </c>
    </row>
    <row r="168" spans="1:29" ht="11.1" customHeight="1">
      <c r="A168" s="84" t="s">
        <v>32</v>
      </c>
      <c r="B168" s="73"/>
      <c r="C168" s="73"/>
      <c r="D168" s="73"/>
      <c r="E168" s="73"/>
      <c r="F168" s="73"/>
      <c r="G168" s="73"/>
      <c r="H168" s="73"/>
      <c r="I168" s="73"/>
      <c r="J168" s="73"/>
      <c r="K168" s="73"/>
      <c r="L168" s="73"/>
      <c r="M168" s="73"/>
      <c r="N168" s="73"/>
      <c r="O168" s="73"/>
      <c r="P168" s="73"/>
      <c r="Q168" s="73"/>
      <c r="R168" s="73"/>
      <c r="S168" s="73"/>
      <c r="T168" s="73"/>
      <c r="U168" s="73"/>
      <c r="V168" s="73"/>
      <c r="W168" s="69"/>
      <c r="X168" s="69"/>
      <c r="Y168" s="69"/>
      <c r="Z168" s="69"/>
      <c r="AA168" s="69"/>
      <c r="AB168" s="69"/>
      <c r="AC168" s="69"/>
    </row>
    <row r="169" spans="1:29" ht="20.100000000000001" customHeight="1">
      <c r="A169" s="14" t="s">
        <v>61</v>
      </c>
      <c r="B169" s="15" t="s">
        <v>31</v>
      </c>
      <c r="C169" s="16" t="str">
        <f>IFERROR(INDEX(EJERCICIOS!$D$3:$D$75,MATCH(A169&amp;"|"&amp;B169,EJERCICIOS!$G$3:$G$75,0)),"--")</f>
        <v>mancuerna</v>
      </c>
      <c r="D169" s="17">
        <v>3</v>
      </c>
      <c r="E169" s="18">
        <f>IFERROR(LOOKUP(2,1/(MEDIDAS_Y_PESO!$B$3:$B$10&lt;&gt;""),MEDIDAS_Y_PESO!$B$3:$B$10),"--")</f>
        <v>80</v>
      </c>
      <c r="F169" s="19"/>
      <c r="G169" s="20"/>
      <c r="H169" s="21"/>
      <c r="I169" s="19"/>
      <c r="J169" s="20"/>
      <c r="K169" s="21"/>
      <c r="L169" s="19"/>
      <c r="M169" s="20"/>
      <c r="N169" s="21"/>
      <c r="O169" s="19"/>
      <c r="P169" s="20"/>
      <c r="Q169" s="21"/>
      <c r="R169" s="19"/>
      <c r="S169" s="20"/>
      <c r="T169" s="21"/>
      <c r="U169" s="22" t="str">
        <f>IFERROR(IF(IF(X169&gt;0,X169,IF(Z169&gt;0,Z169,IF(AB169&gt;0,AB169,0)))=0,"--",ROUND(CHOOSE(IF(X169&gt;0,X169,IF(Z169&gt;0,Z169,IF(AB169&gt;0,AB169,0))),IF(C169="peso_corporal",IF(ISNUMBER(E169),E169,0)+F169,F169)*(1+G169/30),IF(C169="peso_corporal",IF(ISNUMBER(E169),E169,0)+I169,I169)*(1+J169/30),IF(C169="peso_corporal",IF(ISNUMBER(E169),E169,0)+L169,L169)*(1+M169/30),IF(C169="peso_corporal",IF(ISNUMBER(E169),E169,0)+O169,O169)*(1+P169/30),IF(C169="peso_corporal",IF(ISNUMBER(E169),E169,0)+R169,R169)*(1+S169/30)),1)),"--")</f>
        <v>--</v>
      </c>
      <c r="V169" s="23" t="str">
        <f>IF(SUGERENCIAS!N446="SIN","Sin datos anteriores",IF(SUGERENCIAS!N446="SUBIR_F","^ SUBIR FUERTE | Kg:"&amp;ROUND(SUGERENCIAS!K446,1)&amp;" R:"&amp;ROUND(SUGERENCIAS!L446,0)&amp;" RIR:"&amp;ROUND(SUGERENCIAS!M446,0),IF(SUGERENCIAS!N446="SUBIR_E","^ SUBIR (Est.) | Kg:"&amp;ROUND(SUGERENCIAS!K446,1)&amp;" R:"&amp;ROUND(SUGERENCIAS!L446,0)&amp;" RIR:"&amp;ROUND(SUGERENCIAS!M446,0),IF(SUGERENCIAS!N446="SUBIR","^ SUBIR | Kg:"&amp;ROUND(SUGERENCIAS!K446,1)&amp;" R:"&amp;ROUND(SUGERENCIAS!L446,0)&amp;" RIR:"&amp;ROUND(SUGERENCIAS!M446,0),IF(SUGERENCIAS!N446="BAJAR","v BAJAR | Kg:"&amp;ROUND(SUGERENCIAS!K446,1)&amp;" R:"&amp;ROUND(SUGERENCIAS!L446,0)&amp;" RIR:"&amp;ROUND(SUGERENCIAS!M446,0),"= MANT | Kg:"&amp;ROUND(SUGERENCIAS!K446,1)&amp;" R:"&amp;ROUND(SUGERENCIAS!L446,0)&amp;" RIR:"&amp;ROUND(SUGERENCIAS!M446,0))))))</f>
        <v>Sin datos anteriores</v>
      </c>
      <c r="W169" s="69">
        <f>MAX(IF((G169&gt;0)*(IF(H169="",-1,H169)&gt;=1)*(IF(H169="",-1,H169)&lt;=3),IF(C169="peso_corporal",IF(ISNUMBER(E169),E169,0)+F169,F169)*G169*1000+F169,0),IF((J169&gt;0)*(IF(K169="",-1,K169)&gt;=1)*(IF(K169="",-1,K169)&lt;=3),IF(C169="peso_corporal",IF(ISNUMBER(E169),E169,0)+I169,I169)*J169*1000+I169,0),IF((M169&gt;0)*(IF(N169="",-1,N169)&gt;=1)*(IF(N169="",-1,N169)&lt;=3),IF(C169="peso_corporal",IF(ISNUMBER(E169),E169,0)+L169,L169)*M169*1000+L169,0),IF((P169&gt;0)*(IF(Q169="",-1,Q169)&gt;=1)*(IF(Q169="",-1,Q169)&lt;=3),IF(C169="peso_corporal",IF(ISNUMBER(E169),E169,0)+O169,O169)*P169*1000+O169,0),IF((S169&gt;0)*(IF(T169="",-1,T169)&gt;=1)*(IF(T169="",-1,T169)&lt;=3),IF(C169="peso_corporal",IF(ISNUMBER(E169),E169,0)+R169,R169)*S169*1000+R169,0))</f>
        <v>0</v>
      </c>
      <c r="X169" s="69">
        <f>IF(W169=0,0,IF(IF((S169&gt;0)*(IF(T169="",-1,T169)&gt;=1)*(IF(T169="",-1,T169)&lt;=3),IF(C169="peso_corporal",IF(ISNUMBER(E169),E169,0)+R169,R169)*S169*1000+R169,0)=W169,5,IF(IF((P169&gt;0)*(IF(Q169="",-1,Q169)&gt;=1)*(IF(Q169="",-1,Q169)&lt;=3),IF(C169="peso_corporal",IF(ISNUMBER(E169),E169,0)+O169,O169)*P169*1000+O169,0)=W169,4,IF(IF((M169&gt;0)*(IF(N169="",-1,N169)&gt;=1)*(IF(N169="",-1,N169)&lt;=3),IF(C169="peso_corporal",IF(ISNUMBER(E169),E169,0)+L169,L169)*M169*1000+L169,0)=W169,3,IF(IF((J169&gt;0)*(IF(K169="",-1,K169)&gt;=1)*(IF(K169="",-1,K169)&lt;=3),IF(C169="peso_corporal",IF(ISNUMBER(E169),E169,0)+I169,I169)*J169*1000+I169,0)=W169,2,IF(IF((G169&gt;0)*(IF(H169="",-1,H169)&gt;=1)*(IF(H169="",-1,H169)&lt;=3),IF(C169="peso_corporal",IF(ISNUMBER(E169),E169,0)+F169,F169)*G169*1000+F169,0)=W169,1,0))))))</f>
        <v>0</v>
      </c>
      <c r="Y169" s="69">
        <f>MAX(IF((G169&gt;0)*(IF(H169="",-1,H169)=0)*(1-(IF(H169="",-1,H169)&gt;=1)*(IF(H169="",-1,H169)&lt;=3)),IF(C169="peso_corporal",IF(ISNUMBER(E169),E169,0)+F169,F169)*G169*1000+F169,0),IF((J169&gt;0)*(IF(K169="",-1,K169)=0)*(1-(IF(K169="",-1,K169)&gt;=1)*(IF(K169="",-1,K169)&lt;=3)),IF(C169="peso_corporal",IF(ISNUMBER(E169),E169,0)+I169,I169)*J169*1000+I169,0),IF((M169&gt;0)*(IF(N169="",-1,N169)=0)*(1-(IF(N169="",-1,N169)&gt;=1)*(IF(N169="",-1,N169)&lt;=3)),IF(C169="peso_corporal",IF(ISNUMBER(E169),E169,0)+L169,L169)*M169*1000+L169,0),IF((P169&gt;0)*(IF(Q169="",-1,Q169)=0)*(1-(IF(Q169="",-1,Q169)&gt;=1)*(IF(Q169="",-1,Q169)&lt;=3)),IF(C169="peso_corporal",IF(ISNUMBER(E169),E169,0)+O169,O169)*P169*1000+O169,0),IF((S169&gt;0)*(IF(T169="",-1,T169)=0)*(1-(IF(T169="",-1,T169)&gt;=1)*(IF(T169="",-1,T169)&lt;=3)),IF(C169="peso_corporal",IF(ISNUMBER(E169),E169,0)+R169,R169)*S169*1000+R169,0))</f>
        <v>0</v>
      </c>
      <c r="Z169" s="69">
        <f>IF(Y169=0,0,IF(IF((S169&gt;0)*(IF(T169="",-1,T169)=0)*(1-(IF(T169="",-1,T169)&gt;=1)*(IF(T169="",-1,T169)&lt;=3)),IF(C169="peso_corporal",IF(ISNUMBER(E169),E169,0)+R169,R169)*S169*1000+R169,0)=Y169,5,IF(IF((P169&gt;0)*(IF(Q169="",-1,Q169)=0)*(1-(IF(Q169="",-1,Q169)&gt;=1)*(IF(Q169="",-1,Q169)&lt;=3)),IF(C169="peso_corporal",IF(ISNUMBER(E169),E169,0)+O169,O169)*P169*1000+O169,0)=Y169,4,IF(IF((M169&gt;0)*(IF(N169="",-1,N169)=0)*(1-(IF(N169="",-1,N169)&gt;=1)*(IF(N169="",-1,N169)&lt;=3)),IF(C169="peso_corporal",IF(ISNUMBER(E169),E169,0)+L169,L169)*M169*1000+L169,0)=Y169,3,IF(IF((J169&gt;0)*(IF(K169="",-1,K169)=0)*(1-(IF(K169="",-1,K169)&gt;=1)*(IF(K169="",-1,K169)&lt;=3)),IF(C169="peso_corporal",IF(ISNUMBER(E169),E169,0)+I169,I169)*J169*1000+I169,0)=Y169,2,IF(IF((G169&gt;0)*(IF(H169="",-1,H169)=0)*(1-(IF(H169="",-1,H169)&gt;=1)*(IF(H169="",-1,H169)&lt;=3)),IF(C169="peso_corporal",IF(ISNUMBER(E169),E169,0)+F169,F169)*G169*1000+F169,0)=Y169,1,0))))))</f>
        <v>0</v>
      </c>
      <c r="AA169" s="69">
        <f>MAX(IF((G169&gt;=6)*(1-(IF(H169="",-1,H169)&gt;=1)*(IF(H169="",-1,H169)&lt;=3))*(1-(IF(H169="",-1,H169)=0)),IF(C169="peso_corporal",IF(ISNUMBER(E169),E169,0)+F169,F169)*(30+G169)*100+F169,0),IF((J169&gt;=6)*(1-(IF(K169="",-1,K169)&gt;=1)*(IF(K169="",-1,K169)&lt;=3))*(1-(IF(K169="",-1,K169)=0)),IF(C169="peso_corporal",IF(ISNUMBER(E169),E169,0)+I169,I169)*(30+J169)*100+I169,0),IF((M169&gt;=6)*(1-(IF(N169="",-1,N169)&gt;=1)*(IF(N169="",-1,N169)&lt;=3))*(1-(IF(N169="",-1,N169)=0)),IF(C169="peso_corporal",IF(ISNUMBER(E169),E169,0)+L169,L169)*(30+M169)*100+L169,0),IF((P169&gt;=6)*(1-(IF(Q169="",-1,Q169)&gt;=1)*(IF(Q169="",-1,Q169)&lt;=3))*(1-(IF(Q169="",-1,Q169)=0)),IF(C169="peso_corporal",IF(ISNUMBER(E169),E169,0)+O169,O169)*(30+P169)*100+O169,0),IF((S169&gt;=6)*(1-(IF(T169="",-1,T169)&gt;=1)*(IF(T169="",-1,T169)&lt;=3))*(1-(IF(T169="",-1,T169)=0)),IF(C169="peso_corporal",IF(ISNUMBER(E169),E169,0)+R169,R169)*(30+S169)*100+R169,0))</f>
        <v>0</v>
      </c>
      <c r="AB169" s="69">
        <f>IF(AA169=0,0,IF(IF((S169&gt;=6)*(1-(IF(T169="",-1,T169)&gt;=1)*(IF(T169="",-1,T169)&lt;=3))*(1-(IF(T169="",-1,T169)=0)),IF(C169="peso_corporal",IF(ISNUMBER(E169),E169,0)+R169,R169)*(30+S169)*100+R169,0)=AA169,5,IF(IF((P169&gt;=6)*(1-(IF(Q169="",-1,Q169)&gt;=1)*(IF(Q169="",-1,Q169)&lt;=3))*(1-(IF(Q169="",-1,Q169)=0)),IF(C169="peso_corporal",IF(ISNUMBER(E169),E169,0)+O169,O169)*(30+P169)*100+O169,0)=AA169,4,IF(IF((M169&gt;=6)*(1-(IF(N169="",-1,N169)&gt;=1)*(IF(N169="",-1,N169)&lt;=3))*(1-(IF(N169="",-1,N169)=0)),IF(C169="peso_corporal",IF(ISNUMBER(E169),E169,0)+L169,L169)*(30+M169)*100+L169,0)=AA169,3,IF(IF((J169&gt;=6)*(1-(IF(K169="",-1,K169)&gt;=1)*(IF(K169="",-1,K169)&lt;=3))*(1-(IF(K169="",-1,K169)=0)),IF(C169="peso_corporal",IF(ISNUMBER(E169),E169,0)+I169,I169)*(30+J169)*100+I169,0)=AA169,2,IF(IF((G169&gt;=6)*(1-(IF(H169="",-1,H169)&gt;=1)*(IF(H169="",-1,H169)&lt;=3))*(1-(IF(H169="",-1,H169)=0)),IF(C169="peso_corporal",IF(ISNUMBER(E169),E169,0)+F169,F169)*(30+G169)*100+F169,0)=AA169,1,0))))))</f>
        <v>0</v>
      </c>
      <c r="AC169" s="69" t="str">
        <f>IF(X169&gt;0,"A"&amp;X169,IF(Z169&gt;0,"B"&amp;Z169,IF(AB169&gt;0,"C"&amp;AB169,"")))</f>
        <v/>
      </c>
    </row>
    <row r="170" spans="1:29" ht="11.1" customHeight="1">
      <c r="A170" s="87" t="s">
        <v>35</v>
      </c>
      <c r="B170" s="73"/>
      <c r="C170" s="73"/>
      <c r="D170" s="73"/>
      <c r="E170" s="73"/>
      <c r="F170" s="73"/>
      <c r="G170" s="73"/>
      <c r="H170" s="73"/>
      <c r="I170" s="73"/>
      <c r="J170" s="73"/>
      <c r="K170" s="73"/>
      <c r="L170" s="73"/>
      <c r="M170" s="73"/>
      <c r="N170" s="73"/>
      <c r="O170" s="73"/>
      <c r="P170" s="73"/>
      <c r="Q170" s="73"/>
      <c r="R170" s="73"/>
      <c r="S170" s="73"/>
      <c r="T170" s="73"/>
      <c r="U170" s="73"/>
      <c r="V170" s="73"/>
      <c r="W170" s="69"/>
      <c r="X170" s="69"/>
      <c r="Y170" s="69"/>
      <c r="Z170" s="69"/>
      <c r="AA170" s="69"/>
      <c r="AB170" s="69"/>
      <c r="AC170" s="69"/>
    </row>
    <row r="171" spans="1:29" ht="20.100000000000001" customHeight="1">
      <c r="A171" s="14" t="s">
        <v>36</v>
      </c>
      <c r="B171" s="15" t="s">
        <v>37</v>
      </c>
      <c r="C171" s="16" t="str">
        <f>IFERROR(INDEX(EJERCICIOS!$D$3:$D$75,MATCH(A171&amp;"|"&amp;B171,EJERCICIOS!$G$3:$G$75,0)),"--")</f>
        <v>peso_corporal</v>
      </c>
      <c r="D171" s="17">
        <v>3</v>
      </c>
      <c r="E171" s="18">
        <f>IFERROR(LOOKUP(2,1/(MEDIDAS_Y_PESO!$B$3:$B$10&lt;&gt;""),MEDIDAS_Y_PESO!$B$3:$B$10),"--")</f>
        <v>80</v>
      </c>
      <c r="F171" s="19"/>
      <c r="G171" s="20"/>
      <c r="H171" s="21"/>
      <c r="I171" s="19"/>
      <c r="J171" s="20"/>
      <c r="K171" s="21"/>
      <c r="L171" s="19"/>
      <c r="M171" s="20"/>
      <c r="N171" s="21"/>
      <c r="O171" s="19"/>
      <c r="P171" s="20"/>
      <c r="Q171" s="21"/>
      <c r="R171" s="19"/>
      <c r="S171" s="20"/>
      <c r="T171" s="21"/>
      <c r="U171" s="22" t="str">
        <f>IFERROR(IF(IF(X171&gt;0,X171,IF(Z171&gt;0,Z171,IF(AB171&gt;0,AB171,0)))=0,"--",ROUND(CHOOSE(IF(X171&gt;0,X171,IF(Z171&gt;0,Z171,IF(AB171&gt;0,AB171,0))),IF(C171="peso_corporal",IF(ISNUMBER(E171),E171,0)+F171,F171)*(1+G171/30),IF(C171="peso_corporal",IF(ISNUMBER(E171),E171,0)+I171,I171)*(1+J171/30),IF(C171="peso_corporal",IF(ISNUMBER(E171),E171,0)+L171,L171)*(1+M171/30),IF(C171="peso_corporal",IF(ISNUMBER(E171),E171,0)+O171,O171)*(1+P171/30),IF(C171="peso_corporal",IF(ISNUMBER(E171),E171,0)+R171,R171)*(1+S171/30)),1)),"--")</f>
        <v>--</v>
      </c>
      <c r="V171" s="23" t="str">
        <f>IF(SUGERENCIAS!N447="SIN","Sin datos anteriores",IF(SUGERENCIAS!N447="SUBIR_F","^ SUBIR FUERTE | Kg:"&amp;ROUND(SUGERENCIAS!K447,1)&amp;" R:"&amp;ROUND(SUGERENCIAS!L447,0)&amp;" RIR:"&amp;ROUND(SUGERENCIAS!M447,0),IF(SUGERENCIAS!N447="SUBIR_E","^ SUBIR (Est.) | Kg:"&amp;ROUND(SUGERENCIAS!K447,1)&amp;" R:"&amp;ROUND(SUGERENCIAS!L447,0)&amp;" RIR:"&amp;ROUND(SUGERENCIAS!M447,0),IF(SUGERENCIAS!N447="SUBIR","^ SUBIR | Kg:"&amp;ROUND(SUGERENCIAS!K447,1)&amp;" R:"&amp;ROUND(SUGERENCIAS!L447,0)&amp;" RIR:"&amp;ROUND(SUGERENCIAS!M447,0),IF(SUGERENCIAS!N447="BAJAR","v BAJAR | Kg:"&amp;ROUND(SUGERENCIAS!K447,1)&amp;" R:"&amp;ROUND(SUGERENCIAS!L447,0)&amp;" RIR:"&amp;ROUND(SUGERENCIAS!M447,0),"= MANT | Kg:"&amp;ROUND(SUGERENCIAS!K447,1)&amp;" R:"&amp;ROUND(SUGERENCIAS!L447,0)&amp;" RIR:"&amp;ROUND(SUGERENCIAS!M447,0))))))</f>
        <v>^ SUBIR FUERTE | Kg:5 R:6 RIR:2</v>
      </c>
      <c r="W171" s="69">
        <f>MAX(IF((G171&gt;0)*(IF(H171="",-1,H171)&gt;=1)*(IF(H171="",-1,H171)&lt;=3),IF(C171="peso_corporal",IF(ISNUMBER(E171),E171,0)+F171,F171)*G171*1000+F171,0),IF((J171&gt;0)*(IF(K171="",-1,K171)&gt;=1)*(IF(K171="",-1,K171)&lt;=3),IF(C171="peso_corporal",IF(ISNUMBER(E171),E171,0)+I171,I171)*J171*1000+I171,0),IF((M171&gt;0)*(IF(N171="",-1,N171)&gt;=1)*(IF(N171="",-1,N171)&lt;=3),IF(C171="peso_corporal",IF(ISNUMBER(E171),E171,0)+L171,L171)*M171*1000+L171,0),IF((P171&gt;0)*(IF(Q171="",-1,Q171)&gt;=1)*(IF(Q171="",-1,Q171)&lt;=3),IF(C171="peso_corporal",IF(ISNUMBER(E171),E171,0)+O171,O171)*P171*1000+O171,0),IF((S171&gt;0)*(IF(T171="",-1,T171)&gt;=1)*(IF(T171="",-1,T171)&lt;=3),IF(C171="peso_corporal",IF(ISNUMBER(E171),E171,0)+R171,R171)*S171*1000+R171,0))</f>
        <v>0</v>
      </c>
      <c r="X171" s="69">
        <f>IF(W171=0,0,IF(IF((S171&gt;0)*(IF(T171="",-1,T171)&gt;=1)*(IF(T171="",-1,T171)&lt;=3),IF(C171="peso_corporal",IF(ISNUMBER(E171),E171,0)+R171,R171)*S171*1000+R171,0)=W171,5,IF(IF((P171&gt;0)*(IF(Q171="",-1,Q171)&gt;=1)*(IF(Q171="",-1,Q171)&lt;=3),IF(C171="peso_corporal",IF(ISNUMBER(E171),E171,0)+O171,O171)*P171*1000+O171,0)=W171,4,IF(IF((M171&gt;0)*(IF(N171="",-1,N171)&gt;=1)*(IF(N171="",-1,N171)&lt;=3),IF(C171="peso_corporal",IF(ISNUMBER(E171),E171,0)+L171,L171)*M171*1000+L171,0)=W171,3,IF(IF((J171&gt;0)*(IF(K171="",-1,K171)&gt;=1)*(IF(K171="",-1,K171)&lt;=3),IF(C171="peso_corporal",IF(ISNUMBER(E171),E171,0)+I171,I171)*J171*1000+I171,0)=W171,2,IF(IF((G171&gt;0)*(IF(H171="",-1,H171)&gt;=1)*(IF(H171="",-1,H171)&lt;=3),IF(C171="peso_corporal",IF(ISNUMBER(E171),E171,0)+F171,F171)*G171*1000+F171,0)=W171,1,0))))))</f>
        <v>0</v>
      </c>
      <c r="Y171" s="69">
        <f>MAX(IF((G171&gt;0)*(IF(H171="",-1,H171)=0)*(1-(IF(H171="",-1,H171)&gt;=1)*(IF(H171="",-1,H171)&lt;=3)),IF(C171="peso_corporal",IF(ISNUMBER(E171),E171,0)+F171,F171)*G171*1000+F171,0),IF((J171&gt;0)*(IF(K171="",-1,K171)=0)*(1-(IF(K171="",-1,K171)&gt;=1)*(IF(K171="",-1,K171)&lt;=3)),IF(C171="peso_corporal",IF(ISNUMBER(E171),E171,0)+I171,I171)*J171*1000+I171,0),IF((M171&gt;0)*(IF(N171="",-1,N171)=0)*(1-(IF(N171="",-1,N171)&gt;=1)*(IF(N171="",-1,N171)&lt;=3)),IF(C171="peso_corporal",IF(ISNUMBER(E171),E171,0)+L171,L171)*M171*1000+L171,0),IF((P171&gt;0)*(IF(Q171="",-1,Q171)=0)*(1-(IF(Q171="",-1,Q171)&gt;=1)*(IF(Q171="",-1,Q171)&lt;=3)),IF(C171="peso_corporal",IF(ISNUMBER(E171),E171,0)+O171,O171)*P171*1000+O171,0),IF((S171&gt;0)*(IF(T171="",-1,T171)=0)*(1-(IF(T171="",-1,T171)&gt;=1)*(IF(T171="",-1,T171)&lt;=3)),IF(C171="peso_corporal",IF(ISNUMBER(E171),E171,0)+R171,R171)*S171*1000+R171,0))</f>
        <v>0</v>
      </c>
      <c r="Z171" s="69">
        <f>IF(Y171=0,0,IF(IF((S171&gt;0)*(IF(T171="",-1,T171)=0)*(1-(IF(T171="",-1,T171)&gt;=1)*(IF(T171="",-1,T171)&lt;=3)),IF(C171="peso_corporal",IF(ISNUMBER(E171),E171,0)+R171,R171)*S171*1000+R171,0)=Y171,5,IF(IF((P171&gt;0)*(IF(Q171="",-1,Q171)=0)*(1-(IF(Q171="",-1,Q171)&gt;=1)*(IF(Q171="",-1,Q171)&lt;=3)),IF(C171="peso_corporal",IF(ISNUMBER(E171),E171,0)+O171,O171)*P171*1000+O171,0)=Y171,4,IF(IF((M171&gt;0)*(IF(N171="",-1,N171)=0)*(1-(IF(N171="",-1,N171)&gt;=1)*(IF(N171="",-1,N171)&lt;=3)),IF(C171="peso_corporal",IF(ISNUMBER(E171),E171,0)+L171,L171)*M171*1000+L171,0)=Y171,3,IF(IF((J171&gt;0)*(IF(K171="",-1,K171)=0)*(1-(IF(K171="",-1,K171)&gt;=1)*(IF(K171="",-1,K171)&lt;=3)),IF(C171="peso_corporal",IF(ISNUMBER(E171),E171,0)+I171,I171)*J171*1000+I171,0)=Y171,2,IF(IF((G171&gt;0)*(IF(H171="",-1,H171)=0)*(1-(IF(H171="",-1,H171)&gt;=1)*(IF(H171="",-1,H171)&lt;=3)),IF(C171="peso_corporal",IF(ISNUMBER(E171),E171,0)+F171,F171)*G171*1000+F171,0)=Y171,1,0))))))</f>
        <v>0</v>
      </c>
      <c r="AA171" s="69">
        <f>MAX(IF((G171&gt;=6)*(1-(IF(H171="",-1,H171)&gt;=1)*(IF(H171="",-1,H171)&lt;=3))*(1-(IF(H171="",-1,H171)=0)),IF(C171="peso_corporal",IF(ISNUMBER(E171),E171,0)+F171,F171)*(30+G171)*100+F171,0),IF((J171&gt;=6)*(1-(IF(K171="",-1,K171)&gt;=1)*(IF(K171="",-1,K171)&lt;=3))*(1-(IF(K171="",-1,K171)=0)),IF(C171="peso_corporal",IF(ISNUMBER(E171),E171,0)+I171,I171)*(30+J171)*100+I171,0),IF((M171&gt;=6)*(1-(IF(N171="",-1,N171)&gt;=1)*(IF(N171="",-1,N171)&lt;=3))*(1-(IF(N171="",-1,N171)=0)),IF(C171="peso_corporal",IF(ISNUMBER(E171),E171,0)+L171,L171)*(30+M171)*100+L171,0),IF((P171&gt;=6)*(1-(IF(Q171="",-1,Q171)&gt;=1)*(IF(Q171="",-1,Q171)&lt;=3))*(1-(IF(Q171="",-1,Q171)=0)),IF(C171="peso_corporal",IF(ISNUMBER(E171),E171,0)+O171,O171)*(30+P171)*100+O171,0),IF((S171&gt;=6)*(1-(IF(T171="",-1,T171)&gt;=1)*(IF(T171="",-1,T171)&lt;=3))*(1-(IF(T171="",-1,T171)=0)),IF(C171="peso_corporal",IF(ISNUMBER(E171),E171,0)+R171,R171)*(30+S171)*100+R171,0))</f>
        <v>0</v>
      </c>
      <c r="AB171" s="69">
        <f>IF(AA171=0,0,IF(IF((S171&gt;=6)*(1-(IF(T171="",-1,T171)&gt;=1)*(IF(T171="",-1,T171)&lt;=3))*(1-(IF(T171="",-1,T171)=0)),IF(C171="peso_corporal",IF(ISNUMBER(E171),E171,0)+R171,R171)*(30+S171)*100+R171,0)=AA171,5,IF(IF((P171&gt;=6)*(1-(IF(Q171="",-1,Q171)&gt;=1)*(IF(Q171="",-1,Q171)&lt;=3))*(1-(IF(Q171="",-1,Q171)=0)),IF(C171="peso_corporal",IF(ISNUMBER(E171),E171,0)+O171,O171)*(30+P171)*100+O171,0)=AA171,4,IF(IF((M171&gt;=6)*(1-(IF(N171="",-1,N171)&gt;=1)*(IF(N171="",-1,N171)&lt;=3))*(1-(IF(N171="",-1,N171)=0)),IF(C171="peso_corporal",IF(ISNUMBER(E171),E171,0)+L171,L171)*(30+M171)*100+L171,0)=AA171,3,IF(IF((J171&gt;=6)*(1-(IF(K171="",-1,K171)&gt;=1)*(IF(K171="",-1,K171)&lt;=3))*(1-(IF(K171="",-1,K171)=0)),IF(C171="peso_corporal",IF(ISNUMBER(E171),E171,0)+I171,I171)*(30+J171)*100+I171,0)=AA171,2,IF(IF((G171&gt;=6)*(1-(IF(H171="",-1,H171)&gt;=1)*(IF(H171="",-1,H171)&lt;=3))*(1-(IF(H171="",-1,H171)=0)),IF(C171="peso_corporal",IF(ISNUMBER(E171),E171,0)+F171,F171)*(30+G171)*100+F171,0)=AA171,1,0))))))</f>
        <v>0</v>
      </c>
      <c r="AC171" s="69" t="str">
        <f>IF(X171&gt;0,"A"&amp;X171,IF(Z171&gt;0,"B"&amp;Z171,IF(AB171&gt;0,"C"&amp;AB171,"")))</f>
        <v/>
      </c>
    </row>
    <row r="172" spans="1:29" ht="20.100000000000001" customHeight="1">
      <c r="A172" s="14" t="s">
        <v>62</v>
      </c>
      <c r="B172" s="15" t="s">
        <v>39</v>
      </c>
      <c r="C172" s="16" t="str">
        <f>IFERROR(INDEX(EJERCICIOS!$D$3:$D$75,MATCH(A172&amp;"|"&amp;B172,EJERCICIOS!$G$3:$G$75,0)),"--")</f>
        <v>--</v>
      </c>
      <c r="D172" s="17">
        <v>3</v>
      </c>
      <c r="E172" s="18">
        <f>IFERROR(LOOKUP(2,1/(MEDIDAS_Y_PESO!$B$3:$B$10&lt;&gt;""),MEDIDAS_Y_PESO!$B$3:$B$10),"--")</f>
        <v>80</v>
      </c>
      <c r="F172" s="19"/>
      <c r="G172" s="20"/>
      <c r="H172" s="21"/>
      <c r="I172" s="19"/>
      <c r="J172" s="20"/>
      <c r="K172" s="21"/>
      <c r="L172" s="19"/>
      <c r="M172" s="20"/>
      <c r="N172" s="21"/>
      <c r="O172" s="19"/>
      <c r="P172" s="20"/>
      <c r="Q172" s="21"/>
      <c r="R172" s="19"/>
      <c r="S172" s="20"/>
      <c r="T172" s="21"/>
      <c r="U172" s="22" t="str">
        <f>IFERROR(IF(IF(X172&gt;0,X172,IF(Z172&gt;0,Z172,IF(AB172&gt;0,AB172,0)))=0,"--",ROUND(CHOOSE(IF(X172&gt;0,X172,IF(Z172&gt;0,Z172,IF(AB172&gt;0,AB172,0))),IF(C172="peso_corporal",IF(ISNUMBER(E172),E172,0)+F172,F172)*(1+G172/30),IF(C172="peso_corporal",IF(ISNUMBER(E172),E172,0)+I172,I172)*(1+J172/30),IF(C172="peso_corporal",IF(ISNUMBER(E172),E172,0)+L172,L172)*(1+M172/30),IF(C172="peso_corporal",IF(ISNUMBER(E172),E172,0)+O172,O172)*(1+P172/30),IF(C172="peso_corporal",IF(ISNUMBER(E172),E172,0)+R172,R172)*(1+S172/30)),1)),"--")</f>
        <v>--</v>
      </c>
      <c r="V172" s="23" t="str">
        <f>IF(SUGERENCIAS!N448="SIN","Sin datos anteriores",IF(SUGERENCIAS!N448="SUBIR_F","^ SUBIR FUERTE | Kg:"&amp;ROUND(SUGERENCIAS!K448,1)&amp;" R:"&amp;ROUND(SUGERENCIAS!L448,0)&amp;" RIR:"&amp;ROUND(SUGERENCIAS!M448,0),IF(SUGERENCIAS!N448="SUBIR_E","^ SUBIR (Est.) | Kg:"&amp;ROUND(SUGERENCIAS!K448,1)&amp;" R:"&amp;ROUND(SUGERENCIAS!L448,0)&amp;" RIR:"&amp;ROUND(SUGERENCIAS!M448,0),IF(SUGERENCIAS!N448="SUBIR","^ SUBIR | Kg:"&amp;ROUND(SUGERENCIAS!K448,1)&amp;" R:"&amp;ROUND(SUGERENCIAS!L448,0)&amp;" RIR:"&amp;ROUND(SUGERENCIAS!M448,0),IF(SUGERENCIAS!N448="BAJAR","v BAJAR | Kg:"&amp;ROUND(SUGERENCIAS!K448,1)&amp;" R:"&amp;ROUND(SUGERENCIAS!L448,0)&amp;" RIR:"&amp;ROUND(SUGERENCIAS!M448,0),"= MANT | Kg:"&amp;ROUND(SUGERENCIAS!K448,1)&amp;" R:"&amp;ROUND(SUGERENCIAS!L448,0)&amp;" RIR:"&amp;ROUND(SUGERENCIAS!M448,0))))))</f>
        <v>Sin datos anteriores</v>
      </c>
      <c r="W172" s="69">
        <f>MAX(IF((G172&gt;0)*(IF(H172="",-1,H172)&gt;=1)*(IF(H172="",-1,H172)&lt;=3),IF(C172="peso_corporal",IF(ISNUMBER(E172),E172,0)+F172,F172)*G172*1000+F172,0),IF((J172&gt;0)*(IF(K172="",-1,K172)&gt;=1)*(IF(K172="",-1,K172)&lt;=3),IF(C172="peso_corporal",IF(ISNUMBER(E172),E172,0)+I172,I172)*J172*1000+I172,0),IF((M172&gt;0)*(IF(N172="",-1,N172)&gt;=1)*(IF(N172="",-1,N172)&lt;=3),IF(C172="peso_corporal",IF(ISNUMBER(E172),E172,0)+L172,L172)*M172*1000+L172,0),IF((P172&gt;0)*(IF(Q172="",-1,Q172)&gt;=1)*(IF(Q172="",-1,Q172)&lt;=3),IF(C172="peso_corporal",IF(ISNUMBER(E172),E172,0)+O172,O172)*P172*1000+O172,0),IF((S172&gt;0)*(IF(T172="",-1,T172)&gt;=1)*(IF(T172="",-1,T172)&lt;=3),IF(C172="peso_corporal",IF(ISNUMBER(E172),E172,0)+R172,R172)*S172*1000+R172,0))</f>
        <v>0</v>
      </c>
      <c r="X172" s="69">
        <f>IF(W172=0,0,IF(IF((S172&gt;0)*(IF(T172="",-1,T172)&gt;=1)*(IF(T172="",-1,T172)&lt;=3),IF(C172="peso_corporal",IF(ISNUMBER(E172),E172,0)+R172,R172)*S172*1000+R172,0)=W172,5,IF(IF((P172&gt;0)*(IF(Q172="",-1,Q172)&gt;=1)*(IF(Q172="",-1,Q172)&lt;=3),IF(C172="peso_corporal",IF(ISNUMBER(E172),E172,0)+O172,O172)*P172*1000+O172,0)=W172,4,IF(IF((M172&gt;0)*(IF(N172="",-1,N172)&gt;=1)*(IF(N172="",-1,N172)&lt;=3),IF(C172="peso_corporal",IF(ISNUMBER(E172),E172,0)+L172,L172)*M172*1000+L172,0)=W172,3,IF(IF((J172&gt;0)*(IF(K172="",-1,K172)&gt;=1)*(IF(K172="",-1,K172)&lt;=3),IF(C172="peso_corporal",IF(ISNUMBER(E172),E172,0)+I172,I172)*J172*1000+I172,0)=W172,2,IF(IF((G172&gt;0)*(IF(H172="",-1,H172)&gt;=1)*(IF(H172="",-1,H172)&lt;=3),IF(C172="peso_corporal",IF(ISNUMBER(E172),E172,0)+F172,F172)*G172*1000+F172,0)=W172,1,0))))))</f>
        <v>0</v>
      </c>
      <c r="Y172" s="69">
        <f>MAX(IF((G172&gt;0)*(IF(H172="",-1,H172)=0)*(1-(IF(H172="",-1,H172)&gt;=1)*(IF(H172="",-1,H172)&lt;=3)),IF(C172="peso_corporal",IF(ISNUMBER(E172),E172,0)+F172,F172)*G172*1000+F172,0),IF((J172&gt;0)*(IF(K172="",-1,K172)=0)*(1-(IF(K172="",-1,K172)&gt;=1)*(IF(K172="",-1,K172)&lt;=3)),IF(C172="peso_corporal",IF(ISNUMBER(E172),E172,0)+I172,I172)*J172*1000+I172,0),IF((M172&gt;0)*(IF(N172="",-1,N172)=0)*(1-(IF(N172="",-1,N172)&gt;=1)*(IF(N172="",-1,N172)&lt;=3)),IF(C172="peso_corporal",IF(ISNUMBER(E172),E172,0)+L172,L172)*M172*1000+L172,0),IF((P172&gt;0)*(IF(Q172="",-1,Q172)=0)*(1-(IF(Q172="",-1,Q172)&gt;=1)*(IF(Q172="",-1,Q172)&lt;=3)),IF(C172="peso_corporal",IF(ISNUMBER(E172),E172,0)+O172,O172)*P172*1000+O172,0),IF((S172&gt;0)*(IF(T172="",-1,T172)=0)*(1-(IF(T172="",-1,T172)&gt;=1)*(IF(T172="",-1,T172)&lt;=3)),IF(C172="peso_corporal",IF(ISNUMBER(E172),E172,0)+R172,R172)*S172*1000+R172,0))</f>
        <v>0</v>
      </c>
      <c r="Z172" s="69">
        <f>IF(Y172=0,0,IF(IF((S172&gt;0)*(IF(T172="",-1,T172)=0)*(1-(IF(T172="",-1,T172)&gt;=1)*(IF(T172="",-1,T172)&lt;=3)),IF(C172="peso_corporal",IF(ISNUMBER(E172),E172,0)+R172,R172)*S172*1000+R172,0)=Y172,5,IF(IF((P172&gt;0)*(IF(Q172="",-1,Q172)=0)*(1-(IF(Q172="",-1,Q172)&gt;=1)*(IF(Q172="",-1,Q172)&lt;=3)),IF(C172="peso_corporal",IF(ISNUMBER(E172),E172,0)+O172,O172)*P172*1000+O172,0)=Y172,4,IF(IF((M172&gt;0)*(IF(N172="",-1,N172)=0)*(1-(IF(N172="",-1,N172)&gt;=1)*(IF(N172="",-1,N172)&lt;=3)),IF(C172="peso_corporal",IF(ISNUMBER(E172),E172,0)+L172,L172)*M172*1000+L172,0)=Y172,3,IF(IF((J172&gt;0)*(IF(K172="",-1,K172)=0)*(1-(IF(K172="",-1,K172)&gt;=1)*(IF(K172="",-1,K172)&lt;=3)),IF(C172="peso_corporal",IF(ISNUMBER(E172),E172,0)+I172,I172)*J172*1000+I172,0)=Y172,2,IF(IF((G172&gt;0)*(IF(H172="",-1,H172)=0)*(1-(IF(H172="",-1,H172)&gt;=1)*(IF(H172="",-1,H172)&lt;=3)),IF(C172="peso_corporal",IF(ISNUMBER(E172),E172,0)+F172,F172)*G172*1000+F172,0)=Y172,1,0))))))</f>
        <v>0</v>
      </c>
      <c r="AA172" s="69">
        <f>MAX(IF((G172&gt;=6)*(1-(IF(H172="",-1,H172)&gt;=1)*(IF(H172="",-1,H172)&lt;=3))*(1-(IF(H172="",-1,H172)=0)),IF(C172="peso_corporal",IF(ISNUMBER(E172),E172,0)+F172,F172)*(30+G172)*100+F172,0),IF((J172&gt;=6)*(1-(IF(K172="",-1,K172)&gt;=1)*(IF(K172="",-1,K172)&lt;=3))*(1-(IF(K172="",-1,K172)=0)),IF(C172="peso_corporal",IF(ISNUMBER(E172),E172,0)+I172,I172)*(30+J172)*100+I172,0),IF((M172&gt;=6)*(1-(IF(N172="",-1,N172)&gt;=1)*(IF(N172="",-1,N172)&lt;=3))*(1-(IF(N172="",-1,N172)=0)),IF(C172="peso_corporal",IF(ISNUMBER(E172),E172,0)+L172,L172)*(30+M172)*100+L172,0),IF((P172&gt;=6)*(1-(IF(Q172="",-1,Q172)&gt;=1)*(IF(Q172="",-1,Q172)&lt;=3))*(1-(IF(Q172="",-1,Q172)=0)),IF(C172="peso_corporal",IF(ISNUMBER(E172),E172,0)+O172,O172)*(30+P172)*100+O172,0),IF((S172&gt;=6)*(1-(IF(T172="",-1,T172)&gt;=1)*(IF(T172="",-1,T172)&lt;=3))*(1-(IF(T172="",-1,T172)=0)),IF(C172="peso_corporal",IF(ISNUMBER(E172),E172,0)+R172,R172)*(30+S172)*100+R172,0))</f>
        <v>0</v>
      </c>
      <c r="AB172" s="69">
        <f>IF(AA172=0,0,IF(IF((S172&gt;=6)*(1-(IF(T172="",-1,T172)&gt;=1)*(IF(T172="",-1,T172)&lt;=3))*(1-(IF(T172="",-1,T172)=0)),IF(C172="peso_corporal",IF(ISNUMBER(E172),E172,0)+R172,R172)*(30+S172)*100+R172,0)=AA172,5,IF(IF((P172&gt;=6)*(1-(IF(Q172="",-1,Q172)&gt;=1)*(IF(Q172="",-1,Q172)&lt;=3))*(1-(IF(Q172="",-1,Q172)=0)),IF(C172="peso_corporal",IF(ISNUMBER(E172),E172,0)+O172,O172)*(30+P172)*100+O172,0)=AA172,4,IF(IF((M172&gt;=6)*(1-(IF(N172="",-1,N172)&gt;=1)*(IF(N172="",-1,N172)&lt;=3))*(1-(IF(N172="",-1,N172)=0)),IF(C172="peso_corporal",IF(ISNUMBER(E172),E172,0)+L172,L172)*(30+M172)*100+L172,0)=AA172,3,IF(IF((J172&gt;=6)*(1-(IF(K172="",-1,K172)&gt;=1)*(IF(K172="",-1,K172)&lt;=3))*(1-(IF(K172="",-1,K172)=0)),IF(C172="peso_corporal",IF(ISNUMBER(E172),E172,0)+I172,I172)*(30+J172)*100+I172,0)=AA172,2,IF(IF((G172&gt;=6)*(1-(IF(H172="",-1,H172)&gt;=1)*(IF(H172="",-1,H172)&lt;=3))*(1-(IF(H172="",-1,H172)=0)),IF(C172="peso_corporal",IF(ISNUMBER(E172),E172,0)+F172,F172)*(30+G172)*100+F172,0)=AA172,1,0))))))</f>
        <v>0</v>
      </c>
      <c r="AC172" s="69" t="str">
        <f>IF(X172&gt;0,"A"&amp;X172,IF(Z172&gt;0,"B"&amp;Z172,IF(AB172&gt;0,"C"&amp;AB172,"")))</f>
        <v/>
      </c>
    </row>
    <row r="173" spans="1:29" ht="20.100000000000001" customHeight="1">
      <c r="A173" s="14" t="s">
        <v>62</v>
      </c>
      <c r="B173" s="15" t="s">
        <v>63</v>
      </c>
      <c r="C173" s="16" t="str">
        <f>IFERROR(INDEX(EJERCICIOS!$D$3:$D$75,MATCH(A173&amp;"|"&amp;B173,EJERCICIOS!$G$3:$G$75,0)),"--")</f>
        <v>--</v>
      </c>
      <c r="D173" s="17">
        <v>3</v>
      </c>
      <c r="E173" s="18">
        <f>IFERROR(LOOKUP(2,1/(MEDIDAS_Y_PESO!$B$3:$B$10&lt;&gt;""),MEDIDAS_Y_PESO!$B$3:$B$10),"--")</f>
        <v>80</v>
      </c>
      <c r="F173" s="19"/>
      <c r="G173" s="20"/>
      <c r="H173" s="21"/>
      <c r="I173" s="19"/>
      <c r="J173" s="20"/>
      <c r="K173" s="21"/>
      <c r="L173" s="19"/>
      <c r="M173" s="20"/>
      <c r="N173" s="21"/>
      <c r="O173" s="19"/>
      <c r="P173" s="20"/>
      <c r="Q173" s="21"/>
      <c r="R173" s="19"/>
      <c r="S173" s="20"/>
      <c r="T173" s="21"/>
      <c r="U173" s="22" t="str">
        <f>IFERROR(IF(IF(X173&gt;0,X173,IF(Z173&gt;0,Z173,IF(AB173&gt;0,AB173,0)))=0,"--",ROUND(CHOOSE(IF(X173&gt;0,X173,IF(Z173&gt;0,Z173,IF(AB173&gt;0,AB173,0))),IF(C173="peso_corporal",IF(ISNUMBER(E173),E173,0)+F173,F173)*(1+G173/30),IF(C173="peso_corporal",IF(ISNUMBER(E173),E173,0)+I173,I173)*(1+J173/30),IF(C173="peso_corporal",IF(ISNUMBER(E173),E173,0)+L173,L173)*(1+M173/30),IF(C173="peso_corporal",IF(ISNUMBER(E173),E173,0)+O173,O173)*(1+P173/30),IF(C173="peso_corporal",IF(ISNUMBER(E173),E173,0)+R173,R173)*(1+S173/30)),1)),"--")</f>
        <v>--</v>
      </c>
      <c r="V173" s="23" t="str">
        <f>IF(SUGERENCIAS!N449="SIN","Sin datos anteriores",IF(SUGERENCIAS!N449="SUBIR_F","^ SUBIR FUERTE | Kg:"&amp;ROUND(SUGERENCIAS!K449,1)&amp;" R:"&amp;ROUND(SUGERENCIAS!L449,0)&amp;" RIR:"&amp;ROUND(SUGERENCIAS!M449,0),IF(SUGERENCIAS!N449="SUBIR_E","^ SUBIR (Est.) | Kg:"&amp;ROUND(SUGERENCIAS!K449,1)&amp;" R:"&amp;ROUND(SUGERENCIAS!L449,0)&amp;" RIR:"&amp;ROUND(SUGERENCIAS!M449,0),IF(SUGERENCIAS!N449="SUBIR","^ SUBIR | Kg:"&amp;ROUND(SUGERENCIAS!K449,1)&amp;" R:"&amp;ROUND(SUGERENCIAS!L449,0)&amp;" RIR:"&amp;ROUND(SUGERENCIAS!M449,0),IF(SUGERENCIAS!N449="BAJAR","v BAJAR | Kg:"&amp;ROUND(SUGERENCIAS!K449,1)&amp;" R:"&amp;ROUND(SUGERENCIAS!L449,0)&amp;" RIR:"&amp;ROUND(SUGERENCIAS!M449,0),"= MANT | Kg:"&amp;ROUND(SUGERENCIAS!K449,1)&amp;" R:"&amp;ROUND(SUGERENCIAS!L449,0)&amp;" RIR:"&amp;ROUND(SUGERENCIAS!M449,0))))))</f>
        <v>Sin datos anteriores</v>
      </c>
      <c r="W173" s="69">
        <f>MAX(IF((G173&gt;0)*(IF(H173="",-1,H173)&gt;=1)*(IF(H173="",-1,H173)&lt;=3),IF(C173="peso_corporal",IF(ISNUMBER(E173),E173,0)+F173,F173)*G173*1000+F173,0),IF((J173&gt;0)*(IF(K173="",-1,K173)&gt;=1)*(IF(K173="",-1,K173)&lt;=3),IF(C173="peso_corporal",IF(ISNUMBER(E173),E173,0)+I173,I173)*J173*1000+I173,0),IF((M173&gt;0)*(IF(N173="",-1,N173)&gt;=1)*(IF(N173="",-1,N173)&lt;=3),IF(C173="peso_corporal",IF(ISNUMBER(E173),E173,0)+L173,L173)*M173*1000+L173,0),IF((P173&gt;0)*(IF(Q173="",-1,Q173)&gt;=1)*(IF(Q173="",-1,Q173)&lt;=3),IF(C173="peso_corporal",IF(ISNUMBER(E173),E173,0)+O173,O173)*P173*1000+O173,0),IF((S173&gt;0)*(IF(T173="",-1,T173)&gt;=1)*(IF(T173="",-1,T173)&lt;=3),IF(C173="peso_corporal",IF(ISNUMBER(E173),E173,0)+R173,R173)*S173*1000+R173,0))</f>
        <v>0</v>
      </c>
      <c r="X173" s="69">
        <f>IF(W173=0,0,IF(IF((S173&gt;0)*(IF(T173="",-1,T173)&gt;=1)*(IF(T173="",-1,T173)&lt;=3),IF(C173="peso_corporal",IF(ISNUMBER(E173),E173,0)+R173,R173)*S173*1000+R173,0)=W173,5,IF(IF((P173&gt;0)*(IF(Q173="",-1,Q173)&gt;=1)*(IF(Q173="",-1,Q173)&lt;=3),IF(C173="peso_corporal",IF(ISNUMBER(E173),E173,0)+O173,O173)*P173*1000+O173,0)=W173,4,IF(IF((M173&gt;0)*(IF(N173="",-1,N173)&gt;=1)*(IF(N173="",-1,N173)&lt;=3),IF(C173="peso_corporal",IF(ISNUMBER(E173),E173,0)+L173,L173)*M173*1000+L173,0)=W173,3,IF(IF((J173&gt;0)*(IF(K173="",-1,K173)&gt;=1)*(IF(K173="",-1,K173)&lt;=3),IF(C173="peso_corporal",IF(ISNUMBER(E173),E173,0)+I173,I173)*J173*1000+I173,0)=W173,2,IF(IF((G173&gt;0)*(IF(H173="",-1,H173)&gt;=1)*(IF(H173="",-1,H173)&lt;=3),IF(C173="peso_corporal",IF(ISNUMBER(E173),E173,0)+F173,F173)*G173*1000+F173,0)=W173,1,0))))))</f>
        <v>0</v>
      </c>
      <c r="Y173" s="69">
        <f>MAX(IF((G173&gt;0)*(IF(H173="",-1,H173)=0)*(1-(IF(H173="",-1,H173)&gt;=1)*(IF(H173="",-1,H173)&lt;=3)),IF(C173="peso_corporal",IF(ISNUMBER(E173),E173,0)+F173,F173)*G173*1000+F173,0),IF((J173&gt;0)*(IF(K173="",-1,K173)=0)*(1-(IF(K173="",-1,K173)&gt;=1)*(IF(K173="",-1,K173)&lt;=3)),IF(C173="peso_corporal",IF(ISNUMBER(E173),E173,0)+I173,I173)*J173*1000+I173,0),IF((M173&gt;0)*(IF(N173="",-1,N173)=0)*(1-(IF(N173="",-1,N173)&gt;=1)*(IF(N173="",-1,N173)&lt;=3)),IF(C173="peso_corporal",IF(ISNUMBER(E173),E173,0)+L173,L173)*M173*1000+L173,0),IF((P173&gt;0)*(IF(Q173="",-1,Q173)=0)*(1-(IF(Q173="",-1,Q173)&gt;=1)*(IF(Q173="",-1,Q173)&lt;=3)),IF(C173="peso_corporal",IF(ISNUMBER(E173),E173,0)+O173,O173)*P173*1000+O173,0),IF((S173&gt;0)*(IF(T173="",-1,T173)=0)*(1-(IF(T173="",-1,T173)&gt;=1)*(IF(T173="",-1,T173)&lt;=3)),IF(C173="peso_corporal",IF(ISNUMBER(E173),E173,0)+R173,R173)*S173*1000+R173,0))</f>
        <v>0</v>
      </c>
      <c r="Z173" s="69">
        <f>IF(Y173=0,0,IF(IF((S173&gt;0)*(IF(T173="",-1,T173)=0)*(1-(IF(T173="",-1,T173)&gt;=1)*(IF(T173="",-1,T173)&lt;=3)),IF(C173="peso_corporal",IF(ISNUMBER(E173),E173,0)+R173,R173)*S173*1000+R173,0)=Y173,5,IF(IF((P173&gt;0)*(IF(Q173="",-1,Q173)=0)*(1-(IF(Q173="",-1,Q173)&gt;=1)*(IF(Q173="",-1,Q173)&lt;=3)),IF(C173="peso_corporal",IF(ISNUMBER(E173),E173,0)+O173,O173)*P173*1000+O173,0)=Y173,4,IF(IF((M173&gt;0)*(IF(N173="",-1,N173)=0)*(1-(IF(N173="",-1,N173)&gt;=1)*(IF(N173="",-1,N173)&lt;=3)),IF(C173="peso_corporal",IF(ISNUMBER(E173),E173,0)+L173,L173)*M173*1000+L173,0)=Y173,3,IF(IF((J173&gt;0)*(IF(K173="",-1,K173)=0)*(1-(IF(K173="",-1,K173)&gt;=1)*(IF(K173="",-1,K173)&lt;=3)),IF(C173="peso_corporal",IF(ISNUMBER(E173),E173,0)+I173,I173)*J173*1000+I173,0)=Y173,2,IF(IF((G173&gt;0)*(IF(H173="",-1,H173)=0)*(1-(IF(H173="",-1,H173)&gt;=1)*(IF(H173="",-1,H173)&lt;=3)),IF(C173="peso_corporal",IF(ISNUMBER(E173),E173,0)+F173,F173)*G173*1000+F173,0)=Y173,1,0))))))</f>
        <v>0</v>
      </c>
      <c r="AA173" s="69">
        <f>MAX(IF((G173&gt;=6)*(1-(IF(H173="",-1,H173)&gt;=1)*(IF(H173="",-1,H173)&lt;=3))*(1-(IF(H173="",-1,H173)=0)),IF(C173="peso_corporal",IF(ISNUMBER(E173),E173,0)+F173,F173)*(30+G173)*100+F173,0),IF((J173&gt;=6)*(1-(IF(K173="",-1,K173)&gt;=1)*(IF(K173="",-1,K173)&lt;=3))*(1-(IF(K173="",-1,K173)=0)),IF(C173="peso_corporal",IF(ISNUMBER(E173),E173,0)+I173,I173)*(30+J173)*100+I173,0),IF((M173&gt;=6)*(1-(IF(N173="",-1,N173)&gt;=1)*(IF(N173="",-1,N173)&lt;=3))*(1-(IF(N173="",-1,N173)=0)),IF(C173="peso_corporal",IF(ISNUMBER(E173),E173,0)+L173,L173)*(30+M173)*100+L173,0),IF((P173&gt;=6)*(1-(IF(Q173="",-1,Q173)&gt;=1)*(IF(Q173="",-1,Q173)&lt;=3))*(1-(IF(Q173="",-1,Q173)=0)),IF(C173="peso_corporal",IF(ISNUMBER(E173),E173,0)+O173,O173)*(30+P173)*100+O173,0),IF((S173&gt;=6)*(1-(IF(T173="",-1,T173)&gt;=1)*(IF(T173="",-1,T173)&lt;=3))*(1-(IF(T173="",-1,T173)=0)),IF(C173="peso_corporal",IF(ISNUMBER(E173),E173,0)+R173,R173)*(30+S173)*100+R173,0))</f>
        <v>0</v>
      </c>
      <c r="AB173" s="69">
        <f>IF(AA173=0,0,IF(IF((S173&gt;=6)*(1-(IF(T173="",-1,T173)&gt;=1)*(IF(T173="",-1,T173)&lt;=3))*(1-(IF(T173="",-1,T173)=0)),IF(C173="peso_corporal",IF(ISNUMBER(E173),E173,0)+R173,R173)*(30+S173)*100+R173,0)=AA173,5,IF(IF((P173&gt;=6)*(1-(IF(Q173="",-1,Q173)&gt;=1)*(IF(Q173="",-1,Q173)&lt;=3))*(1-(IF(Q173="",-1,Q173)=0)),IF(C173="peso_corporal",IF(ISNUMBER(E173),E173,0)+O173,O173)*(30+P173)*100+O173,0)=AA173,4,IF(IF((M173&gt;=6)*(1-(IF(N173="",-1,N173)&gt;=1)*(IF(N173="",-1,N173)&lt;=3))*(1-(IF(N173="",-1,N173)=0)),IF(C173="peso_corporal",IF(ISNUMBER(E173),E173,0)+L173,L173)*(30+M173)*100+L173,0)=AA173,3,IF(IF((J173&gt;=6)*(1-(IF(K173="",-1,K173)&gt;=1)*(IF(K173="",-1,K173)&lt;=3))*(1-(IF(K173="",-1,K173)=0)),IF(C173="peso_corporal",IF(ISNUMBER(E173),E173,0)+I173,I173)*(30+J173)*100+I173,0)=AA173,2,IF(IF((G173&gt;=6)*(1-(IF(H173="",-1,H173)&gt;=1)*(IF(H173="",-1,H173)&lt;=3))*(1-(IF(H173="",-1,H173)=0)),IF(C173="peso_corporal",IF(ISNUMBER(E173),E173,0)+F173,F173)*(30+G173)*100+F173,0)=AA173,1,0))))))</f>
        <v>0</v>
      </c>
      <c r="AC173" s="69" t="str">
        <f>IF(X173&gt;0,"A"&amp;X173,IF(Z173&gt;0,"B"&amp;Z173,IF(AB173&gt;0,"C"&amp;AB173,"")))</f>
        <v/>
      </c>
    </row>
    <row r="174" spans="1:29" ht="15" customHeight="1">
      <c r="A174" s="81" t="s">
        <v>42</v>
      </c>
      <c r="B174" s="73"/>
      <c r="C174" s="73"/>
      <c r="D174" s="73"/>
      <c r="E174" s="73"/>
      <c r="F174" s="73"/>
      <c r="G174" s="73"/>
      <c r="H174" s="73"/>
      <c r="I174" s="73"/>
      <c r="J174" s="73"/>
      <c r="K174" s="73"/>
      <c r="L174" s="73"/>
      <c r="M174" s="73"/>
      <c r="N174" s="73"/>
      <c r="O174" s="73"/>
      <c r="P174" s="73"/>
      <c r="Q174" s="73"/>
      <c r="R174" s="73"/>
      <c r="S174" s="73"/>
      <c r="T174" s="73"/>
      <c r="U174" s="73"/>
      <c r="V174" s="73"/>
      <c r="W174" s="69"/>
      <c r="X174" s="69"/>
      <c r="Y174" s="69"/>
      <c r="Z174" s="69"/>
      <c r="AA174" s="69"/>
      <c r="AB174" s="69"/>
      <c r="AC174" s="69"/>
    </row>
    <row r="175" spans="1:29" ht="20.100000000000001" customHeight="1">
      <c r="A175" s="14" t="s">
        <v>43</v>
      </c>
      <c r="B175" s="15" t="s">
        <v>44</v>
      </c>
      <c r="C175" s="16" t="str">
        <f>IFERROR(INDEX(EJERCICIOS!$D$3:$D$75,MATCH(A175&amp;"|"&amp;B175,EJERCICIOS!$G$3:$G$75,0)),"--")</f>
        <v>polea</v>
      </c>
      <c r="D175" s="17">
        <v>3</v>
      </c>
      <c r="E175" s="18">
        <f>IFERROR(LOOKUP(2,1/(MEDIDAS_Y_PESO!$B$3:$B$10&lt;&gt;""),MEDIDAS_Y_PESO!$B$3:$B$10),"--")</f>
        <v>80</v>
      </c>
      <c r="F175" s="19"/>
      <c r="G175" s="20"/>
      <c r="H175" s="21"/>
      <c r="I175" s="19"/>
      <c r="J175" s="20"/>
      <c r="K175" s="21"/>
      <c r="L175" s="19"/>
      <c r="M175" s="20"/>
      <c r="N175" s="21"/>
      <c r="O175" s="19"/>
      <c r="P175" s="20"/>
      <c r="Q175" s="21"/>
      <c r="R175" s="19"/>
      <c r="S175" s="20"/>
      <c r="T175" s="21"/>
      <c r="U175" s="22" t="str">
        <f>IFERROR(IF(IF(X175&gt;0,X175,IF(Z175&gt;0,Z175,IF(AB175&gt;0,AB175,0)))=0,"--",ROUND(CHOOSE(IF(X175&gt;0,X175,IF(Z175&gt;0,Z175,IF(AB175&gt;0,AB175,0))),IF(C175="peso_corporal",IF(ISNUMBER(E175),E175,0)+F175,F175)*(1+G175/30),IF(C175="peso_corporal",IF(ISNUMBER(E175),E175,0)+I175,I175)*(1+J175/30),IF(C175="peso_corporal",IF(ISNUMBER(E175),E175,0)+L175,L175)*(1+M175/30),IF(C175="peso_corporal",IF(ISNUMBER(E175),E175,0)+O175,O175)*(1+P175/30),IF(C175="peso_corporal",IF(ISNUMBER(E175),E175,0)+R175,R175)*(1+S175/30)),1)),"--")</f>
        <v>--</v>
      </c>
      <c r="V175" s="23" t="str">
        <f>IF(SUGERENCIAS!N450="SIN","Sin datos anteriores",IF(SUGERENCIAS!N450="SUBIR_F","^ SUBIR FUERTE | Kg:"&amp;ROUND(SUGERENCIAS!K450,1)&amp;" R:"&amp;ROUND(SUGERENCIAS!L450,0)&amp;" RIR:"&amp;ROUND(SUGERENCIAS!M450,0),IF(SUGERENCIAS!N450="SUBIR_E","^ SUBIR (Est.) | Kg:"&amp;ROUND(SUGERENCIAS!K450,1)&amp;" R:"&amp;ROUND(SUGERENCIAS!L450,0)&amp;" RIR:"&amp;ROUND(SUGERENCIAS!M450,0),IF(SUGERENCIAS!N450="SUBIR","^ SUBIR | Kg:"&amp;ROUND(SUGERENCIAS!K450,1)&amp;" R:"&amp;ROUND(SUGERENCIAS!L450,0)&amp;" RIR:"&amp;ROUND(SUGERENCIAS!M450,0),IF(SUGERENCIAS!N450="BAJAR","v BAJAR | Kg:"&amp;ROUND(SUGERENCIAS!K450,1)&amp;" R:"&amp;ROUND(SUGERENCIAS!L450,0)&amp;" RIR:"&amp;ROUND(SUGERENCIAS!M450,0),"= MANT | Kg:"&amp;ROUND(SUGERENCIAS!K450,1)&amp;" R:"&amp;ROUND(SUGERENCIAS!L450,0)&amp;" RIR:"&amp;ROUND(SUGERENCIAS!M450,0))))))</f>
        <v>Sin datos anteriores</v>
      </c>
      <c r="W175" s="69">
        <f>MAX(IF((G175&gt;0)*(IF(H175="",-1,H175)&gt;=1)*(IF(H175="",-1,H175)&lt;=3),IF(C175="peso_corporal",IF(ISNUMBER(E175),E175,0)+F175,F175)*G175*1000+F175,0),IF((J175&gt;0)*(IF(K175="",-1,K175)&gt;=1)*(IF(K175="",-1,K175)&lt;=3),IF(C175="peso_corporal",IF(ISNUMBER(E175),E175,0)+I175,I175)*J175*1000+I175,0),IF((M175&gt;0)*(IF(N175="",-1,N175)&gt;=1)*(IF(N175="",-1,N175)&lt;=3),IF(C175="peso_corporal",IF(ISNUMBER(E175),E175,0)+L175,L175)*M175*1000+L175,0),IF((P175&gt;0)*(IF(Q175="",-1,Q175)&gt;=1)*(IF(Q175="",-1,Q175)&lt;=3),IF(C175="peso_corporal",IF(ISNUMBER(E175),E175,0)+O175,O175)*P175*1000+O175,0),IF((S175&gt;0)*(IF(T175="",-1,T175)&gt;=1)*(IF(T175="",-1,T175)&lt;=3),IF(C175="peso_corporal",IF(ISNUMBER(E175),E175,0)+R175,R175)*S175*1000+R175,0))</f>
        <v>0</v>
      </c>
      <c r="X175" s="69">
        <f>IF(W175=0,0,IF(IF((S175&gt;0)*(IF(T175="",-1,T175)&gt;=1)*(IF(T175="",-1,T175)&lt;=3),IF(C175="peso_corporal",IF(ISNUMBER(E175),E175,0)+R175,R175)*S175*1000+R175,0)=W175,5,IF(IF((P175&gt;0)*(IF(Q175="",-1,Q175)&gt;=1)*(IF(Q175="",-1,Q175)&lt;=3),IF(C175="peso_corporal",IF(ISNUMBER(E175),E175,0)+O175,O175)*P175*1000+O175,0)=W175,4,IF(IF((M175&gt;0)*(IF(N175="",-1,N175)&gt;=1)*(IF(N175="",-1,N175)&lt;=3),IF(C175="peso_corporal",IF(ISNUMBER(E175),E175,0)+L175,L175)*M175*1000+L175,0)=W175,3,IF(IF((J175&gt;0)*(IF(K175="",-1,K175)&gt;=1)*(IF(K175="",-1,K175)&lt;=3),IF(C175="peso_corporal",IF(ISNUMBER(E175),E175,0)+I175,I175)*J175*1000+I175,0)=W175,2,IF(IF((G175&gt;0)*(IF(H175="",-1,H175)&gt;=1)*(IF(H175="",-1,H175)&lt;=3),IF(C175="peso_corporal",IF(ISNUMBER(E175),E175,0)+F175,F175)*G175*1000+F175,0)=W175,1,0))))))</f>
        <v>0</v>
      </c>
      <c r="Y175" s="69">
        <f>MAX(IF((G175&gt;0)*(IF(H175="",-1,H175)=0)*(1-(IF(H175="",-1,H175)&gt;=1)*(IF(H175="",-1,H175)&lt;=3)),IF(C175="peso_corporal",IF(ISNUMBER(E175),E175,0)+F175,F175)*G175*1000+F175,0),IF((J175&gt;0)*(IF(K175="",-1,K175)=0)*(1-(IF(K175="",-1,K175)&gt;=1)*(IF(K175="",-1,K175)&lt;=3)),IF(C175="peso_corporal",IF(ISNUMBER(E175),E175,0)+I175,I175)*J175*1000+I175,0),IF((M175&gt;0)*(IF(N175="",-1,N175)=0)*(1-(IF(N175="",-1,N175)&gt;=1)*(IF(N175="",-1,N175)&lt;=3)),IF(C175="peso_corporal",IF(ISNUMBER(E175),E175,0)+L175,L175)*M175*1000+L175,0),IF((P175&gt;0)*(IF(Q175="",-1,Q175)=0)*(1-(IF(Q175="",-1,Q175)&gt;=1)*(IF(Q175="",-1,Q175)&lt;=3)),IF(C175="peso_corporal",IF(ISNUMBER(E175),E175,0)+O175,O175)*P175*1000+O175,0),IF((S175&gt;0)*(IF(T175="",-1,T175)=0)*(1-(IF(T175="",-1,T175)&gt;=1)*(IF(T175="",-1,T175)&lt;=3)),IF(C175="peso_corporal",IF(ISNUMBER(E175),E175,0)+R175,R175)*S175*1000+R175,0))</f>
        <v>0</v>
      </c>
      <c r="Z175" s="69">
        <f>IF(Y175=0,0,IF(IF((S175&gt;0)*(IF(T175="",-1,T175)=0)*(1-(IF(T175="",-1,T175)&gt;=1)*(IF(T175="",-1,T175)&lt;=3)),IF(C175="peso_corporal",IF(ISNUMBER(E175),E175,0)+R175,R175)*S175*1000+R175,0)=Y175,5,IF(IF((P175&gt;0)*(IF(Q175="",-1,Q175)=0)*(1-(IF(Q175="",-1,Q175)&gt;=1)*(IF(Q175="",-1,Q175)&lt;=3)),IF(C175="peso_corporal",IF(ISNUMBER(E175),E175,0)+O175,O175)*P175*1000+O175,0)=Y175,4,IF(IF((M175&gt;0)*(IF(N175="",-1,N175)=0)*(1-(IF(N175="",-1,N175)&gt;=1)*(IF(N175="",-1,N175)&lt;=3)),IF(C175="peso_corporal",IF(ISNUMBER(E175),E175,0)+L175,L175)*M175*1000+L175,0)=Y175,3,IF(IF((J175&gt;0)*(IF(K175="",-1,K175)=0)*(1-(IF(K175="",-1,K175)&gt;=1)*(IF(K175="",-1,K175)&lt;=3)),IF(C175="peso_corporal",IF(ISNUMBER(E175),E175,0)+I175,I175)*J175*1000+I175,0)=Y175,2,IF(IF((G175&gt;0)*(IF(H175="",-1,H175)=0)*(1-(IF(H175="",-1,H175)&gt;=1)*(IF(H175="",-1,H175)&lt;=3)),IF(C175="peso_corporal",IF(ISNUMBER(E175),E175,0)+F175,F175)*G175*1000+F175,0)=Y175,1,0))))))</f>
        <v>0</v>
      </c>
      <c r="AA175" s="69">
        <f>MAX(IF((G175&gt;=6)*(1-(IF(H175="",-1,H175)&gt;=1)*(IF(H175="",-1,H175)&lt;=3))*(1-(IF(H175="",-1,H175)=0)),IF(C175="peso_corporal",IF(ISNUMBER(E175),E175,0)+F175,F175)*(30+G175)*100+F175,0),IF((J175&gt;=6)*(1-(IF(K175="",-1,K175)&gt;=1)*(IF(K175="",-1,K175)&lt;=3))*(1-(IF(K175="",-1,K175)=0)),IF(C175="peso_corporal",IF(ISNUMBER(E175),E175,0)+I175,I175)*(30+J175)*100+I175,0),IF((M175&gt;=6)*(1-(IF(N175="",-1,N175)&gt;=1)*(IF(N175="",-1,N175)&lt;=3))*(1-(IF(N175="",-1,N175)=0)),IF(C175="peso_corporal",IF(ISNUMBER(E175),E175,0)+L175,L175)*(30+M175)*100+L175,0),IF((P175&gt;=6)*(1-(IF(Q175="",-1,Q175)&gt;=1)*(IF(Q175="",-1,Q175)&lt;=3))*(1-(IF(Q175="",-1,Q175)=0)),IF(C175="peso_corporal",IF(ISNUMBER(E175),E175,0)+O175,O175)*(30+P175)*100+O175,0),IF((S175&gt;=6)*(1-(IF(T175="",-1,T175)&gt;=1)*(IF(T175="",-1,T175)&lt;=3))*(1-(IF(T175="",-1,T175)=0)),IF(C175="peso_corporal",IF(ISNUMBER(E175),E175,0)+R175,R175)*(30+S175)*100+R175,0))</f>
        <v>0</v>
      </c>
      <c r="AB175" s="69">
        <f>IF(AA175=0,0,IF(IF((S175&gt;=6)*(1-(IF(T175="",-1,T175)&gt;=1)*(IF(T175="",-1,T175)&lt;=3))*(1-(IF(T175="",-1,T175)=0)),IF(C175="peso_corporal",IF(ISNUMBER(E175),E175,0)+R175,R175)*(30+S175)*100+R175,0)=AA175,5,IF(IF((P175&gt;=6)*(1-(IF(Q175="",-1,Q175)&gt;=1)*(IF(Q175="",-1,Q175)&lt;=3))*(1-(IF(Q175="",-1,Q175)=0)),IF(C175="peso_corporal",IF(ISNUMBER(E175),E175,0)+O175,O175)*(30+P175)*100+O175,0)=AA175,4,IF(IF((M175&gt;=6)*(1-(IF(N175="",-1,N175)&gt;=1)*(IF(N175="",-1,N175)&lt;=3))*(1-(IF(N175="",-1,N175)=0)),IF(C175="peso_corporal",IF(ISNUMBER(E175),E175,0)+L175,L175)*(30+M175)*100+L175,0)=AA175,3,IF(IF((J175&gt;=6)*(1-(IF(K175="",-1,K175)&gt;=1)*(IF(K175="",-1,K175)&lt;=3))*(1-(IF(K175="",-1,K175)=0)),IF(C175="peso_corporal",IF(ISNUMBER(E175),E175,0)+I175,I175)*(30+J175)*100+I175,0)=AA175,2,IF(IF((G175&gt;=6)*(1-(IF(H175="",-1,H175)&gt;=1)*(IF(H175="",-1,H175)&lt;=3))*(1-(IF(H175="",-1,H175)=0)),IF(C175="peso_corporal",IF(ISNUMBER(E175),E175,0)+F175,F175)*(30+G175)*100+F175,0)=AA175,1,0))))))</f>
        <v>0</v>
      </c>
      <c r="AC175" s="69" t="str">
        <f>IF(X175&gt;0,"A"&amp;X175,IF(Z175&gt;0,"B"&amp;Z175,IF(AB175&gt;0,"C"&amp;AB175,"")))</f>
        <v/>
      </c>
    </row>
    <row r="176" spans="1:29" ht="20.100000000000001" customHeight="1">
      <c r="A176" s="14" t="s">
        <v>45</v>
      </c>
      <c r="B176" s="15" t="s">
        <v>46</v>
      </c>
      <c r="C176" s="16" t="str">
        <f>IFERROR(INDEX(EJERCICIOS!$D$3:$D$75,MATCH(A176&amp;"|"&amp;B176,EJERCICIOS!$G$3:$G$75,0)),"--")</f>
        <v>mancuerna</v>
      </c>
      <c r="D176" s="17">
        <v>3</v>
      </c>
      <c r="E176" s="18">
        <f>IFERROR(LOOKUP(2,1/(MEDIDAS_Y_PESO!$B$3:$B$10&lt;&gt;""),MEDIDAS_Y_PESO!$B$3:$B$10),"--")</f>
        <v>80</v>
      </c>
      <c r="F176" s="19"/>
      <c r="G176" s="20"/>
      <c r="H176" s="21"/>
      <c r="I176" s="19"/>
      <c r="J176" s="20"/>
      <c r="K176" s="21"/>
      <c r="L176" s="19"/>
      <c r="M176" s="20"/>
      <c r="N176" s="21"/>
      <c r="O176" s="19"/>
      <c r="P176" s="20"/>
      <c r="Q176" s="21"/>
      <c r="R176" s="19"/>
      <c r="S176" s="20"/>
      <c r="T176" s="21"/>
      <c r="U176" s="22" t="str">
        <f>IFERROR(IF(IF(X176&gt;0,X176,IF(Z176&gt;0,Z176,IF(AB176&gt;0,AB176,0)))=0,"--",ROUND(CHOOSE(IF(X176&gt;0,X176,IF(Z176&gt;0,Z176,IF(AB176&gt;0,AB176,0))),IF(C176="peso_corporal",IF(ISNUMBER(E176),E176,0)+F176,F176)*(1+G176/30),IF(C176="peso_corporal",IF(ISNUMBER(E176),E176,0)+I176,I176)*(1+J176/30),IF(C176="peso_corporal",IF(ISNUMBER(E176),E176,0)+L176,L176)*(1+M176/30),IF(C176="peso_corporal",IF(ISNUMBER(E176),E176,0)+O176,O176)*(1+P176/30),IF(C176="peso_corporal",IF(ISNUMBER(E176),E176,0)+R176,R176)*(1+S176/30)),1)),"--")</f>
        <v>--</v>
      </c>
      <c r="V176" s="23" t="str">
        <f>IF(SUGERENCIAS!N451="SIN","Sin datos anteriores",IF(SUGERENCIAS!N451="SUBIR_F","^ SUBIR FUERTE | Kg:"&amp;ROUND(SUGERENCIAS!K451,1)&amp;" R:"&amp;ROUND(SUGERENCIAS!L451,0)&amp;" RIR:"&amp;ROUND(SUGERENCIAS!M451,0),IF(SUGERENCIAS!N451="SUBIR_E","^ SUBIR (Est.) | Kg:"&amp;ROUND(SUGERENCIAS!K451,1)&amp;" R:"&amp;ROUND(SUGERENCIAS!L451,0)&amp;" RIR:"&amp;ROUND(SUGERENCIAS!M451,0),IF(SUGERENCIAS!N451="SUBIR","^ SUBIR | Kg:"&amp;ROUND(SUGERENCIAS!K451,1)&amp;" R:"&amp;ROUND(SUGERENCIAS!L451,0)&amp;" RIR:"&amp;ROUND(SUGERENCIAS!M451,0),IF(SUGERENCIAS!N451="BAJAR","v BAJAR | Kg:"&amp;ROUND(SUGERENCIAS!K451,1)&amp;" R:"&amp;ROUND(SUGERENCIAS!L451,0)&amp;" RIR:"&amp;ROUND(SUGERENCIAS!M451,0),"= MANT | Kg:"&amp;ROUND(SUGERENCIAS!K451,1)&amp;" R:"&amp;ROUND(SUGERENCIAS!L451,0)&amp;" RIR:"&amp;ROUND(SUGERENCIAS!M451,0))))))</f>
        <v>Sin datos anteriores</v>
      </c>
      <c r="W176" s="69">
        <f>MAX(IF((G176&gt;0)*(IF(H176="",-1,H176)&gt;=1)*(IF(H176="",-1,H176)&lt;=3),IF(C176="peso_corporal",IF(ISNUMBER(E176),E176,0)+F176,F176)*G176*1000+F176,0),IF((J176&gt;0)*(IF(K176="",-1,K176)&gt;=1)*(IF(K176="",-1,K176)&lt;=3),IF(C176="peso_corporal",IF(ISNUMBER(E176),E176,0)+I176,I176)*J176*1000+I176,0),IF((M176&gt;0)*(IF(N176="",-1,N176)&gt;=1)*(IF(N176="",-1,N176)&lt;=3),IF(C176="peso_corporal",IF(ISNUMBER(E176),E176,0)+L176,L176)*M176*1000+L176,0),IF((P176&gt;0)*(IF(Q176="",-1,Q176)&gt;=1)*(IF(Q176="",-1,Q176)&lt;=3),IF(C176="peso_corporal",IF(ISNUMBER(E176),E176,0)+O176,O176)*P176*1000+O176,0),IF((S176&gt;0)*(IF(T176="",-1,T176)&gt;=1)*(IF(T176="",-1,T176)&lt;=3),IF(C176="peso_corporal",IF(ISNUMBER(E176),E176,0)+R176,R176)*S176*1000+R176,0))</f>
        <v>0</v>
      </c>
      <c r="X176" s="69">
        <f>IF(W176=0,0,IF(IF((S176&gt;0)*(IF(T176="",-1,T176)&gt;=1)*(IF(T176="",-1,T176)&lt;=3),IF(C176="peso_corporal",IF(ISNUMBER(E176),E176,0)+R176,R176)*S176*1000+R176,0)=W176,5,IF(IF((P176&gt;0)*(IF(Q176="",-1,Q176)&gt;=1)*(IF(Q176="",-1,Q176)&lt;=3),IF(C176="peso_corporal",IF(ISNUMBER(E176),E176,0)+O176,O176)*P176*1000+O176,0)=W176,4,IF(IF((M176&gt;0)*(IF(N176="",-1,N176)&gt;=1)*(IF(N176="",-1,N176)&lt;=3),IF(C176="peso_corporal",IF(ISNUMBER(E176),E176,0)+L176,L176)*M176*1000+L176,0)=W176,3,IF(IF((J176&gt;0)*(IF(K176="",-1,K176)&gt;=1)*(IF(K176="",-1,K176)&lt;=3),IF(C176="peso_corporal",IF(ISNUMBER(E176),E176,0)+I176,I176)*J176*1000+I176,0)=W176,2,IF(IF((G176&gt;0)*(IF(H176="",-1,H176)&gt;=1)*(IF(H176="",-1,H176)&lt;=3),IF(C176="peso_corporal",IF(ISNUMBER(E176),E176,0)+F176,F176)*G176*1000+F176,0)=W176,1,0))))))</f>
        <v>0</v>
      </c>
      <c r="Y176" s="69">
        <f>MAX(IF((G176&gt;0)*(IF(H176="",-1,H176)=0)*(1-(IF(H176="",-1,H176)&gt;=1)*(IF(H176="",-1,H176)&lt;=3)),IF(C176="peso_corporal",IF(ISNUMBER(E176),E176,0)+F176,F176)*G176*1000+F176,0),IF((J176&gt;0)*(IF(K176="",-1,K176)=0)*(1-(IF(K176="",-1,K176)&gt;=1)*(IF(K176="",-1,K176)&lt;=3)),IF(C176="peso_corporal",IF(ISNUMBER(E176),E176,0)+I176,I176)*J176*1000+I176,0),IF((M176&gt;0)*(IF(N176="",-1,N176)=0)*(1-(IF(N176="",-1,N176)&gt;=1)*(IF(N176="",-1,N176)&lt;=3)),IF(C176="peso_corporal",IF(ISNUMBER(E176),E176,0)+L176,L176)*M176*1000+L176,0),IF((P176&gt;0)*(IF(Q176="",-1,Q176)=0)*(1-(IF(Q176="",-1,Q176)&gt;=1)*(IF(Q176="",-1,Q176)&lt;=3)),IF(C176="peso_corporal",IF(ISNUMBER(E176),E176,0)+O176,O176)*P176*1000+O176,0),IF((S176&gt;0)*(IF(T176="",-1,T176)=0)*(1-(IF(T176="",-1,T176)&gt;=1)*(IF(T176="",-1,T176)&lt;=3)),IF(C176="peso_corporal",IF(ISNUMBER(E176),E176,0)+R176,R176)*S176*1000+R176,0))</f>
        <v>0</v>
      </c>
      <c r="Z176" s="69">
        <f>IF(Y176=0,0,IF(IF((S176&gt;0)*(IF(T176="",-1,T176)=0)*(1-(IF(T176="",-1,T176)&gt;=1)*(IF(T176="",-1,T176)&lt;=3)),IF(C176="peso_corporal",IF(ISNUMBER(E176),E176,0)+R176,R176)*S176*1000+R176,0)=Y176,5,IF(IF((P176&gt;0)*(IF(Q176="",-1,Q176)=0)*(1-(IF(Q176="",-1,Q176)&gt;=1)*(IF(Q176="",-1,Q176)&lt;=3)),IF(C176="peso_corporal",IF(ISNUMBER(E176),E176,0)+O176,O176)*P176*1000+O176,0)=Y176,4,IF(IF((M176&gt;0)*(IF(N176="",-1,N176)=0)*(1-(IF(N176="",-1,N176)&gt;=1)*(IF(N176="",-1,N176)&lt;=3)),IF(C176="peso_corporal",IF(ISNUMBER(E176),E176,0)+L176,L176)*M176*1000+L176,0)=Y176,3,IF(IF((J176&gt;0)*(IF(K176="",-1,K176)=0)*(1-(IF(K176="",-1,K176)&gt;=1)*(IF(K176="",-1,K176)&lt;=3)),IF(C176="peso_corporal",IF(ISNUMBER(E176),E176,0)+I176,I176)*J176*1000+I176,0)=Y176,2,IF(IF((G176&gt;0)*(IF(H176="",-1,H176)=0)*(1-(IF(H176="",-1,H176)&gt;=1)*(IF(H176="",-1,H176)&lt;=3)),IF(C176="peso_corporal",IF(ISNUMBER(E176),E176,0)+F176,F176)*G176*1000+F176,0)=Y176,1,0))))))</f>
        <v>0</v>
      </c>
      <c r="AA176" s="69">
        <f>MAX(IF((G176&gt;=6)*(1-(IF(H176="",-1,H176)&gt;=1)*(IF(H176="",-1,H176)&lt;=3))*(1-(IF(H176="",-1,H176)=0)),IF(C176="peso_corporal",IF(ISNUMBER(E176),E176,0)+F176,F176)*(30+G176)*100+F176,0),IF((J176&gt;=6)*(1-(IF(K176="",-1,K176)&gt;=1)*(IF(K176="",-1,K176)&lt;=3))*(1-(IF(K176="",-1,K176)=0)),IF(C176="peso_corporal",IF(ISNUMBER(E176),E176,0)+I176,I176)*(30+J176)*100+I176,0),IF((M176&gt;=6)*(1-(IF(N176="",-1,N176)&gt;=1)*(IF(N176="",-1,N176)&lt;=3))*(1-(IF(N176="",-1,N176)=0)),IF(C176="peso_corporal",IF(ISNUMBER(E176),E176,0)+L176,L176)*(30+M176)*100+L176,0),IF((P176&gt;=6)*(1-(IF(Q176="",-1,Q176)&gt;=1)*(IF(Q176="",-1,Q176)&lt;=3))*(1-(IF(Q176="",-1,Q176)=0)),IF(C176="peso_corporal",IF(ISNUMBER(E176),E176,0)+O176,O176)*(30+P176)*100+O176,0),IF((S176&gt;=6)*(1-(IF(T176="",-1,T176)&gt;=1)*(IF(T176="",-1,T176)&lt;=3))*(1-(IF(T176="",-1,T176)=0)),IF(C176="peso_corporal",IF(ISNUMBER(E176),E176,0)+R176,R176)*(30+S176)*100+R176,0))</f>
        <v>0</v>
      </c>
      <c r="AB176" s="69">
        <f>IF(AA176=0,0,IF(IF((S176&gt;=6)*(1-(IF(T176="",-1,T176)&gt;=1)*(IF(T176="",-1,T176)&lt;=3))*(1-(IF(T176="",-1,T176)=0)),IF(C176="peso_corporal",IF(ISNUMBER(E176),E176,0)+R176,R176)*(30+S176)*100+R176,0)=AA176,5,IF(IF((P176&gt;=6)*(1-(IF(Q176="",-1,Q176)&gt;=1)*(IF(Q176="",-1,Q176)&lt;=3))*(1-(IF(Q176="",-1,Q176)=0)),IF(C176="peso_corporal",IF(ISNUMBER(E176),E176,0)+O176,O176)*(30+P176)*100+O176,0)=AA176,4,IF(IF((M176&gt;=6)*(1-(IF(N176="",-1,N176)&gt;=1)*(IF(N176="",-1,N176)&lt;=3))*(1-(IF(N176="",-1,N176)=0)),IF(C176="peso_corporal",IF(ISNUMBER(E176),E176,0)+L176,L176)*(30+M176)*100+L176,0)=AA176,3,IF(IF((J176&gt;=6)*(1-(IF(K176="",-1,K176)&gt;=1)*(IF(K176="",-1,K176)&lt;=3))*(1-(IF(K176="",-1,K176)=0)),IF(C176="peso_corporal",IF(ISNUMBER(E176),E176,0)+I176,I176)*(30+J176)*100+I176,0)=AA176,2,IF(IF((G176&gt;=6)*(1-(IF(H176="",-1,H176)&gt;=1)*(IF(H176="",-1,H176)&lt;=3))*(1-(IF(H176="",-1,H176)=0)),IF(C176="peso_corporal",IF(ISNUMBER(E176),E176,0)+F176,F176)*(30+G176)*100+F176,0)=AA176,1,0))))))</f>
        <v>0</v>
      </c>
      <c r="AC176" s="69" t="str">
        <f>IF(X176&gt;0,"A"&amp;X176,IF(Z176&gt;0,"B"&amp;Z176,IF(AB176&gt;0,"C"&amp;AB176,"")))</f>
        <v/>
      </c>
    </row>
    <row r="177" spans="1:29" ht="15" customHeight="1">
      <c r="A177" s="82" t="s">
        <v>47</v>
      </c>
      <c r="B177" s="73"/>
      <c r="C177" s="73"/>
      <c r="D177" s="73"/>
      <c r="E177" s="73"/>
      <c r="F177" s="73"/>
      <c r="G177" s="73"/>
      <c r="H177" s="73"/>
      <c r="I177" s="73"/>
      <c r="J177" s="73"/>
      <c r="K177" s="73"/>
      <c r="L177" s="73"/>
      <c r="M177" s="73"/>
      <c r="N177" s="73"/>
      <c r="O177" s="73"/>
      <c r="P177" s="73"/>
      <c r="Q177" s="73"/>
      <c r="R177" s="73"/>
      <c r="S177" s="73"/>
      <c r="T177" s="73"/>
      <c r="U177" s="73"/>
      <c r="V177" s="73"/>
      <c r="W177" s="69"/>
      <c r="X177" s="69"/>
      <c r="Y177" s="69"/>
      <c r="Z177" s="69"/>
      <c r="AA177" s="69"/>
      <c r="AB177" s="69"/>
      <c r="AC177" s="69"/>
    </row>
    <row r="178" spans="1:29" ht="20.100000000000001" customHeight="1">
      <c r="A178" s="14" t="s">
        <v>48</v>
      </c>
      <c r="B178" s="15" t="s">
        <v>64</v>
      </c>
      <c r="C178" s="16" t="str">
        <f>IFERROR(INDEX(EJERCICIOS!$D$3:$D$75,MATCH(A178&amp;"|"&amp;B178,EJERCICIOS!$G$3:$G$75,0)),"--")</f>
        <v>--</v>
      </c>
      <c r="D178" s="17">
        <v>3</v>
      </c>
      <c r="E178" s="18">
        <f>IFERROR(LOOKUP(2,1/(MEDIDAS_Y_PESO!$B$3:$B$10&lt;&gt;""),MEDIDAS_Y_PESO!$B$3:$B$10),"--")</f>
        <v>80</v>
      </c>
      <c r="F178" s="19"/>
      <c r="G178" s="20"/>
      <c r="H178" s="21"/>
      <c r="I178" s="19"/>
      <c r="J178" s="20"/>
      <c r="K178" s="21"/>
      <c r="L178" s="19"/>
      <c r="M178" s="20"/>
      <c r="N178" s="21"/>
      <c r="O178" s="19"/>
      <c r="P178" s="20"/>
      <c r="Q178" s="21"/>
      <c r="R178" s="19"/>
      <c r="S178" s="20"/>
      <c r="T178" s="21"/>
      <c r="U178" s="22" t="str">
        <f>IFERROR(IF(IF(X178&gt;0,X178,IF(Z178&gt;0,Z178,IF(AB178&gt;0,AB178,0)))=0,"--",ROUND(CHOOSE(IF(X178&gt;0,X178,IF(Z178&gt;0,Z178,IF(AB178&gt;0,AB178,0))),IF(C178="peso_corporal",IF(ISNUMBER(E178),E178,0)+F178,F178)*(1+G178/30),IF(C178="peso_corporal",IF(ISNUMBER(E178),E178,0)+I178,I178)*(1+J178/30),IF(C178="peso_corporal",IF(ISNUMBER(E178),E178,0)+L178,L178)*(1+M178/30),IF(C178="peso_corporal",IF(ISNUMBER(E178),E178,0)+O178,O178)*(1+P178/30),IF(C178="peso_corporal",IF(ISNUMBER(E178),E178,0)+R178,R178)*(1+S178/30)),1)),"--")</f>
        <v>--</v>
      </c>
      <c r="V178" s="23" t="str">
        <f>IF(SUGERENCIAS!N452="SIN","Sin datos anteriores",IF(SUGERENCIAS!N452="SUBIR_F","^ SUBIR FUERTE | Kg:"&amp;ROUND(SUGERENCIAS!K452,1)&amp;" R:"&amp;ROUND(SUGERENCIAS!L452,0)&amp;" RIR:"&amp;ROUND(SUGERENCIAS!M452,0),IF(SUGERENCIAS!N452="SUBIR_E","^ SUBIR (Est.) | Kg:"&amp;ROUND(SUGERENCIAS!K452,1)&amp;" R:"&amp;ROUND(SUGERENCIAS!L452,0)&amp;" RIR:"&amp;ROUND(SUGERENCIAS!M452,0),IF(SUGERENCIAS!N452="SUBIR","^ SUBIR | Kg:"&amp;ROUND(SUGERENCIAS!K452,1)&amp;" R:"&amp;ROUND(SUGERENCIAS!L452,0)&amp;" RIR:"&amp;ROUND(SUGERENCIAS!M452,0),IF(SUGERENCIAS!N452="BAJAR","v BAJAR | Kg:"&amp;ROUND(SUGERENCIAS!K452,1)&amp;" R:"&amp;ROUND(SUGERENCIAS!L452,0)&amp;" RIR:"&amp;ROUND(SUGERENCIAS!M452,0),"= MANT | Kg:"&amp;ROUND(SUGERENCIAS!K452,1)&amp;" R:"&amp;ROUND(SUGERENCIAS!L452,0)&amp;" RIR:"&amp;ROUND(SUGERENCIAS!M452,0))))))</f>
        <v>Sin datos anteriores</v>
      </c>
      <c r="W178" s="69">
        <f>MAX(IF((G178&gt;0)*(IF(H178="",-1,H178)&gt;=1)*(IF(H178="",-1,H178)&lt;=3),IF(C178="peso_corporal",IF(ISNUMBER(E178),E178,0)+F178,F178)*G178*1000+F178,0),IF((J178&gt;0)*(IF(K178="",-1,K178)&gt;=1)*(IF(K178="",-1,K178)&lt;=3),IF(C178="peso_corporal",IF(ISNUMBER(E178),E178,0)+I178,I178)*J178*1000+I178,0),IF((M178&gt;0)*(IF(N178="",-1,N178)&gt;=1)*(IF(N178="",-1,N178)&lt;=3),IF(C178="peso_corporal",IF(ISNUMBER(E178),E178,0)+L178,L178)*M178*1000+L178,0),IF((P178&gt;0)*(IF(Q178="",-1,Q178)&gt;=1)*(IF(Q178="",-1,Q178)&lt;=3),IF(C178="peso_corporal",IF(ISNUMBER(E178),E178,0)+O178,O178)*P178*1000+O178,0),IF((S178&gt;0)*(IF(T178="",-1,T178)&gt;=1)*(IF(T178="",-1,T178)&lt;=3),IF(C178="peso_corporal",IF(ISNUMBER(E178),E178,0)+R178,R178)*S178*1000+R178,0))</f>
        <v>0</v>
      </c>
      <c r="X178" s="69">
        <f>IF(W178=0,0,IF(IF((S178&gt;0)*(IF(T178="",-1,T178)&gt;=1)*(IF(T178="",-1,T178)&lt;=3),IF(C178="peso_corporal",IF(ISNUMBER(E178),E178,0)+R178,R178)*S178*1000+R178,0)=W178,5,IF(IF((P178&gt;0)*(IF(Q178="",-1,Q178)&gt;=1)*(IF(Q178="",-1,Q178)&lt;=3),IF(C178="peso_corporal",IF(ISNUMBER(E178),E178,0)+O178,O178)*P178*1000+O178,0)=W178,4,IF(IF((M178&gt;0)*(IF(N178="",-1,N178)&gt;=1)*(IF(N178="",-1,N178)&lt;=3),IF(C178="peso_corporal",IF(ISNUMBER(E178),E178,0)+L178,L178)*M178*1000+L178,0)=W178,3,IF(IF((J178&gt;0)*(IF(K178="",-1,K178)&gt;=1)*(IF(K178="",-1,K178)&lt;=3),IF(C178="peso_corporal",IF(ISNUMBER(E178),E178,0)+I178,I178)*J178*1000+I178,0)=W178,2,IF(IF((G178&gt;0)*(IF(H178="",-1,H178)&gt;=1)*(IF(H178="",-1,H178)&lt;=3),IF(C178="peso_corporal",IF(ISNUMBER(E178),E178,0)+F178,F178)*G178*1000+F178,0)=W178,1,0))))))</f>
        <v>0</v>
      </c>
      <c r="Y178" s="69">
        <f>MAX(IF((G178&gt;0)*(IF(H178="",-1,H178)=0)*(1-(IF(H178="",-1,H178)&gt;=1)*(IF(H178="",-1,H178)&lt;=3)),IF(C178="peso_corporal",IF(ISNUMBER(E178),E178,0)+F178,F178)*G178*1000+F178,0),IF((J178&gt;0)*(IF(K178="",-1,K178)=0)*(1-(IF(K178="",-1,K178)&gt;=1)*(IF(K178="",-1,K178)&lt;=3)),IF(C178="peso_corporal",IF(ISNUMBER(E178),E178,0)+I178,I178)*J178*1000+I178,0),IF((M178&gt;0)*(IF(N178="",-1,N178)=0)*(1-(IF(N178="",-1,N178)&gt;=1)*(IF(N178="",-1,N178)&lt;=3)),IF(C178="peso_corporal",IF(ISNUMBER(E178),E178,0)+L178,L178)*M178*1000+L178,0),IF((P178&gt;0)*(IF(Q178="",-1,Q178)=0)*(1-(IF(Q178="",-1,Q178)&gt;=1)*(IF(Q178="",-1,Q178)&lt;=3)),IF(C178="peso_corporal",IF(ISNUMBER(E178),E178,0)+O178,O178)*P178*1000+O178,0),IF((S178&gt;0)*(IF(T178="",-1,T178)=0)*(1-(IF(T178="",-1,T178)&gt;=1)*(IF(T178="",-1,T178)&lt;=3)),IF(C178="peso_corporal",IF(ISNUMBER(E178),E178,0)+R178,R178)*S178*1000+R178,0))</f>
        <v>0</v>
      </c>
      <c r="Z178" s="69">
        <f>IF(Y178=0,0,IF(IF((S178&gt;0)*(IF(T178="",-1,T178)=0)*(1-(IF(T178="",-1,T178)&gt;=1)*(IF(T178="",-1,T178)&lt;=3)),IF(C178="peso_corporal",IF(ISNUMBER(E178),E178,0)+R178,R178)*S178*1000+R178,0)=Y178,5,IF(IF((P178&gt;0)*(IF(Q178="",-1,Q178)=0)*(1-(IF(Q178="",-1,Q178)&gt;=1)*(IF(Q178="",-1,Q178)&lt;=3)),IF(C178="peso_corporal",IF(ISNUMBER(E178),E178,0)+O178,O178)*P178*1000+O178,0)=Y178,4,IF(IF((M178&gt;0)*(IF(N178="",-1,N178)=0)*(1-(IF(N178="",-1,N178)&gt;=1)*(IF(N178="",-1,N178)&lt;=3)),IF(C178="peso_corporal",IF(ISNUMBER(E178),E178,0)+L178,L178)*M178*1000+L178,0)=Y178,3,IF(IF((J178&gt;0)*(IF(K178="",-1,K178)=0)*(1-(IF(K178="",-1,K178)&gt;=1)*(IF(K178="",-1,K178)&lt;=3)),IF(C178="peso_corporal",IF(ISNUMBER(E178),E178,0)+I178,I178)*J178*1000+I178,0)=Y178,2,IF(IF((G178&gt;0)*(IF(H178="",-1,H178)=0)*(1-(IF(H178="",-1,H178)&gt;=1)*(IF(H178="",-1,H178)&lt;=3)),IF(C178="peso_corporal",IF(ISNUMBER(E178),E178,0)+F178,F178)*G178*1000+F178,0)=Y178,1,0))))))</f>
        <v>0</v>
      </c>
      <c r="AA178" s="69">
        <f>MAX(IF((G178&gt;=6)*(1-(IF(H178="",-1,H178)&gt;=1)*(IF(H178="",-1,H178)&lt;=3))*(1-(IF(H178="",-1,H178)=0)),IF(C178="peso_corporal",IF(ISNUMBER(E178),E178,0)+F178,F178)*(30+G178)*100+F178,0),IF((J178&gt;=6)*(1-(IF(K178="",-1,K178)&gt;=1)*(IF(K178="",-1,K178)&lt;=3))*(1-(IF(K178="",-1,K178)=0)),IF(C178="peso_corporal",IF(ISNUMBER(E178),E178,0)+I178,I178)*(30+J178)*100+I178,0),IF((M178&gt;=6)*(1-(IF(N178="",-1,N178)&gt;=1)*(IF(N178="",-1,N178)&lt;=3))*(1-(IF(N178="",-1,N178)=0)),IF(C178="peso_corporal",IF(ISNUMBER(E178),E178,0)+L178,L178)*(30+M178)*100+L178,0),IF((P178&gt;=6)*(1-(IF(Q178="",-1,Q178)&gt;=1)*(IF(Q178="",-1,Q178)&lt;=3))*(1-(IF(Q178="",-1,Q178)=0)),IF(C178="peso_corporal",IF(ISNUMBER(E178),E178,0)+O178,O178)*(30+P178)*100+O178,0),IF((S178&gt;=6)*(1-(IF(T178="",-1,T178)&gt;=1)*(IF(T178="",-1,T178)&lt;=3))*(1-(IF(T178="",-1,T178)=0)),IF(C178="peso_corporal",IF(ISNUMBER(E178),E178,0)+R178,R178)*(30+S178)*100+R178,0))</f>
        <v>0</v>
      </c>
      <c r="AB178" s="69">
        <f>IF(AA178=0,0,IF(IF((S178&gt;=6)*(1-(IF(T178="",-1,T178)&gt;=1)*(IF(T178="",-1,T178)&lt;=3))*(1-(IF(T178="",-1,T178)=0)),IF(C178="peso_corporal",IF(ISNUMBER(E178),E178,0)+R178,R178)*(30+S178)*100+R178,0)=AA178,5,IF(IF((P178&gt;=6)*(1-(IF(Q178="",-1,Q178)&gt;=1)*(IF(Q178="",-1,Q178)&lt;=3))*(1-(IF(Q178="",-1,Q178)=0)),IF(C178="peso_corporal",IF(ISNUMBER(E178),E178,0)+O178,O178)*(30+P178)*100+O178,0)=AA178,4,IF(IF((M178&gt;=6)*(1-(IF(N178="",-1,N178)&gt;=1)*(IF(N178="",-1,N178)&lt;=3))*(1-(IF(N178="",-1,N178)=0)),IF(C178="peso_corporal",IF(ISNUMBER(E178),E178,0)+L178,L178)*(30+M178)*100+L178,0)=AA178,3,IF(IF((J178&gt;=6)*(1-(IF(K178="",-1,K178)&gt;=1)*(IF(K178="",-1,K178)&lt;=3))*(1-(IF(K178="",-1,K178)=0)),IF(C178="peso_corporal",IF(ISNUMBER(E178),E178,0)+I178,I178)*(30+J178)*100+I178,0)=AA178,2,IF(IF((G178&gt;=6)*(1-(IF(H178="",-1,H178)&gt;=1)*(IF(H178="",-1,H178)&lt;=3))*(1-(IF(H178="",-1,H178)=0)),IF(C178="peso_corporal",IF(ISNUMBER(E178),E178,0)+F178,F178)*(30+G178)*100+F178,0)=AA178,1,0))))))</f>
        <v>0</v>
      </c>
      <c r="AC178" s="69" t="str">
        <f>IF(X178&gt;0,"A"&amp;X178,IF(Z178&gt;0,"B"&amp;Z178,IF(AB178&gt;0,"C"&amp;AB178,"")))</f>
        <v/>
      </c>
    </row>
    <row r="179" spans="1:29" ht="15" customHeight="1">
      <c r="A179" s="88" t="s">
        <v>50</v>
      </c>
      <c r="B179" s="73"/>
      <c r="C179" s="73"/>
      <c r="D179" s="73"/>
      <c r="E179" s="73"/>
      <c r="F179" s="73"/>
      <c r="G179" s="73"/>
      <c r="H179" s="73"/>
      <c r="I179" s="73"/>
      <c r="J179" s="73"/>
      <c r="K179" s="73"/>
      <c r="L179" s="73"/>
      <c r="M179" s="73"/>
      <c r="N179" s="73"/>
      <c r="O179" s="73"/>
      <c r="P179" s="73"/>
      <c r="Q179" s="73"/>
      <c r="R179" s="73"/>
      <c r="S179" s="73"/>
      <c r="T179" s="73"/>
      <c r="U179" s="73"/>
      <c r="V179" s="73"/>
      <c r="W179" s="69"/>
      <c r="X179" s="69"/>
      <c r="Y179" s="69"/>
      <c r="Z179" s="69"/>
      <c r="AA179" s="69"/>
      <c r="AB179" s="69"/>
      <c r="AC179" s="69"/>
    </row>
    <row r="180" spans="1:29" ht="20.100000000000001" customHeight="1">
      <c r="A180" s="14" t="s">
        <v>65</v>
      </c>
      <c r="B180" s="15" t="s">
        <v>66</v>
      </c>
      <c r="C180" s="16" t="str">
        <f>IFERROR(INDEX(EJERCICIOS!$D$3:$D$75,MATCH(A180&amp;"|"&amp;B180,EJERCICIOS!$G$3:$G$75,0)),"--")</f>
        <v>--</v>
      </c>
      <c r="D180" s="17">
        <v>3</v>
      </c>
      <c r="E180" s="18">
        <f>IFERROR(LOOKUP(2,1/(MEDIDAS_Y_PESO!$B$3:$B$10&lt;&gt;""),MEDIDAS_Y_PESO!$B$3:$B$10),"--")</f>
        <v>80</v>
      </c>
      <c r="F180" s="19"/>
      <c r="G180" s="20"/>
      <c r="H180" s="21"/>
      <c r="I180" s="19"/>
      <c r="J180" s="20"/>
      <c r="K180" s="21"/>
      <c r="L180" s="19"/>
      <c r="M180" s="20"/>
      <c r="N180" s="21"/>
      <c r="O180" s="19"/>
      <c r="P180" s="20"/>
      <c r="Q180" s="21"/>
      <c r="R180" s="19"/>
      <c r="S180" s="20"/>
      <c r="T180" s="21"/>
      <c r="U180" s="22" t="str">
        <f>IFERROR(IF(IF(X180&gt;0,X180,IF(Z180&gt;0,Z180,IF(AB180&gt;0,AB180,0)))=0,"--",ROUND(CHOOSE(IF(X180&gt;0,X180,IF(Z180&gt;0,Z180,IF(AB180&gt;0,AB180,0))),IF(C180="peso_corporal",IF(ISNUMBER(E180),E180,0)+F180,F180)*(1+G180/30),IF(C180="peso_corporal",IF(ISNUMBER(E180),E180,0)+I180,I180)*(1+J180/30),IF(C180="peso_corporal",IF(ISNUMBER(E180),E180,0)+L180,L180)*(1+M180/30),IF(C180="peso_corporal",IF(ISNUMBER(E180),E180,0)+O180,O180)*(1+P180/30),IF(C180="peso_corporal",IF(ISNUMBER(E180),E180,0)+R180,R180)*(1+S180/30)),1)),"--")</f>
        <v>--</v>
      </c>
      <c r="V180" s="23" t="str">
        <f>IF(SUGERENCIAS!N453="SIN","Sin datos anteriores",IF(SUGERENCIAS!N453="SUBIR_F","^ SUBIR FUERTE | Kg:"&amp;ROUND(SUGERENCIAS!K453,1)&amp;" R:"&amp;ROUND(SUGERENCIAS!L453,0)&amp;" RIR:"&amp;ROUND(SUGERENCIAS!M453,0),IF(SUGERENCIAS!N453="SUBIR_E","^ SUBIR (Est.) | Kg:"&amp;ROUND(SUGERENCIAS!K453,1)&amp;" R:"&amp;ROUND(SUGERENCIAS!L453,0)&amp;" RIR:"&amp;ROUND(SUGERENCIAS!M453,0),IF(SUGERENCIAS!N453="SUBIR","^ SUBIR | Kg:"&amp;ROUND(SUGERENCIAS!K453,1)&amp;" R:"&amp;ROUND(SUGERENCIAS!L453,0)&amp;" RIR:"&amp;ROUND(SUGERENCIAS!M453,0),IF(SUGERENCIAS!N453="BAJAR","v BAJAR | Kg:"&amp;ROUND(SUGERENCIAS!K453,1)&amp;" R:"&amp;ROUND(SUGERENCIAS!L453,0)&amp;" RIR:"&amp;ROUND(SUGERENCIAS!M453,0),"= MANT | Kg:"&amp;ROUND(SUGERENCIAS!K453,1)&amp;" R:"&amp;ROUND(SUGERENCIAS!L453,0)&amp;" RIR:"&amp;ROUND(SUGERENCIAS!M453,0))))))</f>
        <v>Sin datos anteriores</v>
      </c>
      <c r="W180" s="69">
        <f>MAX(IF((G180&gt;0)*(IF(H180="",-1,H180)&gt;=1)*(IF(H180="",-1,H180)&lt;=3),IF(C180="peso_corporal",IF(ISNUMBER(E180),E180,0)+F180,F180)*G180*1000+F180,0),IF((J180&gt;0)*(IF(K180="",-1,K180)&gt;=1)*(IF(K180="",-1,K180)&lt;=3),IF(C180="peso_corporal",IF(ISNUMBER(E180),E180,0)+I180,I180)*J180*1000+I180,0),IF((M180&gt;0)*(IF(N180="",-1,N180)&gt;=1)*(IF(N180="",-1,N180)&lt;=3),IF(C180="peso_corporal",IF(ISNUMBER(E180),E180,0)+L180,L180)*M180*1000+L180,0),IF((P180&gt;0)*(IF(Q180="",-1,Q180)&gt;=1)*(IF(Q180="",-1,Q180)&lt;=3),IF(C180="peso_corporal",IF(ISNUMBER(E180),E180,0)+O180,O180)*P180*1000+O180,0),IF((S180&gt;0)*(IF(T180="",-1,T180)&gt;=1)*(IF(T180="",-1,T180)&lt;=3),IF(C180="peso_corporal",IF(ISNUMBER(E180),E180,0)+R180,R180)*S180*1000+R180,0))</f>
        <v>0</v>
      </c>
      <c r="X180" s="69">
        <f>IF(W180=0,0,IF(IF((S180&gt;0)*(IF(T180="",-1,T180)&gt;=1)*(IF(T180="",-1,T180)&lt;=3),IF(C180="peso_corporal",IF(ISNUMBER(E180),E180,0)+R180,R180)*S180*1000+R180,0)=W180,5,IF(IF((P180&gt;0)*(IF(Q180="",-1,Q180)&gt;=1)*(IF(Q180="",-1,Q180)&lt;=3),IF(C180="peso_corporal",IF(ISNUMBER(E180),E180,0)+O180,O180)*P180*1000+O180,0)=W180,4,IF(IF((M180&gt;0)*(IF(N180="",-1,N180)&gt;=1)*(IF(N180="",-1,N180)&lt;=3),IF(C180="peso_corporal",IF(ISNUMBER(E180),E180,0)+L180,L180)*M180*1000+L180,0)=W180,3,IF(IF((J180&gt;0)*(IF(K180="",-1,K180)&gt;=1)*(IF(K180="",-1,K180)&lt;=3),IF(C180="peso_corporal",IF(ISNUMBER(E180),E180,0)+I180,I180)*J180*1000+I180,0)=W180,2,IF(IF((G180&gt;0)*(IF(H180="",-1,H180)&gt;=1)*(IF(H180="",-1,H180)&lt;=3),IF(C180="peso_corporal",IF(ISNUMBER(E180),E180,0)+F180,F180)*G180*1000+F180,0)=W180,1,0))))))</f>
        <v>0</v>
      </c>
      <c r="Y180" s="69">
        <f>MAX(IF((G180&gt;0)*(IF(H180="",-1,H180)=0)*(1-(IF(H180="",-1,H180)&gt;=1)*(IF(H180="",-1,H180)&lt;=3)),IF(C180="peso_corporal",IF(ISNUMBER(E180),E180,0)+F180,F180)*G180*1000+F180,0),IF((J180&gt;0)*(IF(K180="",-1,K180)=0)*(1-(IF(K180="",-1,K180)&gt;=1)*(IF(K180="",-1,K180)&lt;=3)),IF(C180="peso_corporal",IF(ISNUMBER(E180),E180,0)+I180,I180)*J180*1000+I180,0),IF((M180&gt;0)*(IF(N180="",-1,N180)=0)*(1-(IF(N180="",-1,N180)&gt;=1)*(IF(N180="",-1,N180)&lt;=3)),IF(C180="peso_corporal",IF(ISNUMBER(E180),E180,0)+L180,L180)*M180*1000+L180,0),IF((P180&gt;0)*(IF(Q180="",-1,Q180)=0)*(1-(IF(Q180="",-1,Q180)&gt;=1)*(IF(Q180="",-1,Q180)&lt;=3)),IF(C180="peso_corporal",IF(ISNUMBER(E180),E180,0)+O180,O180)*P180*1000+O180,0),IF((S180&gt;0)*(IF(T180="",-1,T180)=0)*(1-(IF(T180="",-1,T180)&gt;=1)*(IF(T180="",-1,T180)&lt;=3)),IF(C180="peso_corporal",IF(ISNUMBER(E180),E180,0)+R180,R180)*S180*1000+R180,0))</f>
        <v>0</v>
      </c>
      <c r="Z180" s="69">
        <f>IF(Y180=0,0,IF(IF((S180&gt;0)*(IF(T180="",-1,T180)=0)*(1-(IF(T180="",-1,T180)&gt;=1)*(IF(T180="",-1,T180)&lt;=3)),IF(C180="peso_corporal",IF(ISNUMBER(E180),E180,0)+R180,R180)*S180*1000+R180,0)=Y180,5,IF(IF((P180&gt;0)*(IF(Q180="",-1,Q180)=0)*(1-(IF(Q180="",-1,Q180)&gt;=1)*(IF(Q180="",-1,Q180)&lt;=3)),IF(C180="peso_corporal",IF(ISNUMBER(E180),E180,0)+O180,O180)*P180*1000+O180,0)=Y180,4,IF(IF((M180&gt;0)*(IF(N180="",-1,N180)=0)*(1-(IF(N180="",-1,N180)&gt;=1)*(IF(N180="",-1,N180)&lt;=3)),IF(C180="peso_corporal",IF(ISNUMBER(E180),E180,0)+L180,L180)*M180*1000+L180,0)=Y180,3,IF(IF((J180&gt;0)*(IF(K180="",-1,K180)=0)*(1-(IF(K180="",-1,K180)&gt;=1)*(IF(K180="",-1,K180)&lt;=3)),IF(C180="peso_corporal",IF(ISNUMBER(E180),E180,0)+I180,I180)*J180*1000+I180,0)=Y180,2,IF(IF((G180&gt;0)*(IF(H180="",-1,H180)=0)*(1-(IF(H180="",-1,H180)&gt;=1)*(IF(H180="",-1,H180)&lt;=3)),IF(C180="peso_corporal",IF(ISNUMBER(E180),E180,0)+F180,F180)*G180*1000+F180,0)=Y180,1,0))))))</f>
        <v>0</v>
      </c>
      <c r="AA180" s="69">
        <f>MAX(IF((G180&gt;=6)*(1-(IF(H180="",-1,H180)&gt;=1)*(IF(H180="",-1,H180)&lt;=3))*(1-(IF(H180="",-1,H180)=0)),IF(C180="peso_corporal",IF(ISNUMBER(E180),E180,0)+F180,F180)*(30+G180)*100+F180,0),IF((J180&gt;=6)*(1-(IF(K180="",-1,K180)&gt;=1)*(IF(K180="",-1,K180)&lt;=3))*(1-(IF(K180="",-1,K180)=0)),IF(C180="peso_corporal",IF(ISNUMBER(E180),E180,0)+I180,I180)*(30+J180)*100+I180,0),IF((M180&gt;=6)*(1-(IF(N180="",-1,N180)&gt;=1)*(IF(N180="",-1,N180)&lt;=3))*(1-(IF(N180="",-1,N180)=0)),IF(C180="peso_corporal",IF(ISNUMBER(E180),E180,0)+L180,L180)*(30+M180)*100+L180,0),IF((P180&gt;=6)*(1-(IF(Q180="",-1,Q180)&gt;=1)*(IF(Q180="",-1,Q180)&lt;=3))*(1-(IF(Q180="",-1,Q180)=0)),IF(C180="peso_corporal",IF(ISNUMBER(E180),E180,0)+O180,O180)*(30+P180)*100+O180,0),IF((S180&gt;=6)*(1-(IF(T180="",-1,T180)&gt;=1)*(IF(T180="",-1,T180)&lt;=3))*(1-(IF(T180="",-1,T180)=0)),IF(C180="peso_corporal",IF(ISNUMBER(E180),E180,0)+R180,R180)*(30+S180)*100+R180,0))</f>
        <v>0</v>
      </c>
      <c r="AB180" s="69">
        <f>IF(AA180=0,0,IF(IF((S180&gt;=6)*(1-(IF(T180="",-1,T180)&gt;=1)*(IF(T180="",-1,T180)&lt;=3))*(1-(IF(T180="",-1,T180)=0)),IF(C180="peso_corporal",IF(ISNUMBER(E180),E180,0)+R180,R180)*(30+S180)*100+R180,0)=AA180,5,IF(IF((P180&gt;=6)*(1-(IF(Q180="",-1,Q180)&gt;=1)*(IF(Q180="",-1,Q180)&lt;=3))*(1-(IF(Q180="",-1,Q180)=0)),IF(C180="peso_corporal",IF(ISNUMBER(E180),E180,0)+O180,O180)*(30+P180)*100+O180,0)=AA180,4,IF(IF((M180&gt;=6)*(1-(IF(N180="",-1,N180)&gt;=1)*(IF(N180="",-1,N180)&lt;=3))*(1-(IF(N180="",-1,N180)=0)),IF(C180="peso_corporal",IF(ISNUMBER(E180),E180,0)+L180,L180)*(30+M180)*100+L180,0)=AA180,3,IF(IF((J180&gt;=6)*(1-(IF(K180="",-1,K180)&gt;=1)*(IF(K180="",-1,K180)&lt;=3))*(1-(IF(K180="",-1,K180)=0)),IF(C180="peso_corporal",IF(ISNUMBER(E180),E180,0)+I180,I180)*(30+J180)*100+I180,0)=AA180,2,IF(IF((G180&gt;=6)*(1-(IF(H180="",-1,H180)&gt;=1)*(IF(H180="",-1,H180)&lt;=3))*(1-(IF(H180="",-1,H180)=0)),IF(C180="peso_corporal",IF(ISNUMBER(E180),E180,0)+F180,F180)*(30+G180)*100+F180,0)=AA180,1,0))))))</f>
        <v>0</v>
      </c>
      <c r="AC180" s="69" t="str">
        <f>IF(X180&gt;0,"A"&amp;X180,IF(Z180&gt;0,"B"&amp;Z180,IF(AB180&gt;0,"C"&amp;AB180,"")))</f>
        <v/>
      </c>
    </row>
    <row r="181" spans="1:29" ht="15" customHeight="1">
      <c r="A181" s="81" t="s">
        <v>53</v>
      </c>
      <c r="B181" s="73"/>
      <c r="C181" s="73"/>
      <c r="D181" s="73"/>
      <c r="E181" s="73"/>
      <c r="F181" s="73"/>
      <c r="G181" s="73"/>
      <c r="H181" s="73"/>
      <c r="I181" s="73"/>
      <c r="J181" s="73"/>
      <c r="K181" s="73"/>
      <c r="L181" s="73"/>
      <c r="M181" s="73"/>
      <c r="N181" s="73"/>
      <c r="O181" s="73"/>
      <c r="P181" s="73"/>
      <c r="Q181" s="73"/>
      <c r="R181" s="73"/>
      <c r="S181" s="73"/>
      <c r="T181" s="73"/>
      <c r="U181" s="73"/>
      <c r="V181" s="73"/>
      <c r="W181" s="69"/>
      <c r="X181" s="69"/>
      <c r="Y181" s="69"/>
      <c r="Z181" s="69"/>
      <c r="AA181" s="69"/>
      <c r="AB181" s="69"/>
      <c r="AC181" s="69"/>
    </row>
    <row r="182" spans="1:29" ht="20.100000000000001" customHeight="1">
      <c r="A182" s="14" t="s">
        <v>54</v>
      </c>
      <c r="B182" s="15" t="s">
        <v>67</v>
      </c>
      <c r="C182" s="16" t="str">
        <f>IFERROR(INDEX(EJERCICIOS!$D$3:$D$75,MATCH(A182&amp;"|"&amp;B182,EJERCICIOS!$G$3:$G$75,0)),"--")</f>
        <v>mancuerna</v>
      </c>
      <c r="D182" s="17">
        <v>3</v>
      </c>
      <c r="E182" s="18">
        <f>IFERROR(LOOKUP(2,1/(MEDIDAS_Y_PESO!$B$3:$B$10&lt;&gt;""),MEDIDAS_Y_PESO!$B$3:$B$10),"--")</f>
        <v>80</v>
      </c>
      <c r="F182" s="19"/>
      <c r="G182" s="20"/>
      <c r="H182" s="21"/>
      <c r="I182" s="19"/>
      <c r="J182" s="20"/>
      <c r="K182" s="21"/>
      <c r="L182" s="19"/>
      <c r="M182" s="20"/>
      <c r="N182" s="21"/>
      <c r="O182" s="19"/>
      <c r="P182" s="20"/>
      <c r="Q182" s="21"/>
      <c r="R182" s="19"/>
      <c r="S182" s="20"/>
      <c r="T182" s="21"/>
      <c r="U182" s="22" t="str">
        <f>IFERROR(IF(IF(X182&gt;0,X182,IF(Z182&gt;0,Z182,IF(AB182&gt;0,AB182,0)))=0,"--",ROUND(CHOOSE(IF(X182&gt;0,X182,IF(Z182&gt;0,Z182,IF(AB182&gt;0,AB182,0))),IF(C182="peso_corporal",IF(ISNUMBER(E182),E182,0)+F182,F182)*(1+G182/30),IF(C182="peso_corporal",IF(ISNUMBER(E182),E182,0)+I182,I182)*(1+J182/30),IF(C182="peso_corporal",IF(ISNUMBER(E182),E182,0)+L182,L182)*(1+M182/30),IF(C182="peso_corporal",IF(ISNUMBER(E182),E182,0)+O182,O182)*(1+P182/30),IF(C182="peso_corporal",IF(ISNUMBER(E182),E182,0)+R182,R182)*(1+S182/30)),1)),"--")</f>
        <v>--</v>
      </c>
      <c r="V182" s="23" t="str">
        <f>IF(SUGERENCIAS!N454="SIN","Sin datos anteriores",IF(SUGERENCIAS!N454="SUBIR_F","^ SUBIR FUERTE | Kg:"&amp;ROUND(SUGERENCIAS!K454,1)&amp;" R:"&amp;ROUND(SUGERENCIAS!L454,0)&amp;" RIR:"&amp;ROUND(SUGERENCIAS!M454,0),IF(SUGERENCIAS!N454="SUBIR_E","^ SUBIR (Est.) | Kg:"&amp;ROUND(SUGERENCIAS!K454,1)&amp;" R:"&amp;ROUND(SUGERENCIAS!L454,0)&amp;" RIR:"&amp;ROUND(SUGERENCIAS!M454,0),IF(SUGERENCIAS!N454="SUBIR","^ SUBIR | Kg:"&amp;ROUND(SUGERENCIAS!K454,1)&amp;" R:"&amp;ROUND(SUGERENCIAS!L454,0)&amp;" RIR:"&amp;ROUND(SUGERENCIAS!M454,0),IF(SUGERENCIAS!N454="BAJAR","v BAJAR | Kg:"&amp;ROUND(SUGERENCIAS!K454,1)&amp;" R:"&amp;ROUND(SUGERENCIAS!L454,0)&amp;" RIR:"&amp;ROUND(SUGERENCIAS!M454,0),"= MANT | Kg:"&amp;ROUND(SUGERENCIAS!K454,1)&amp;" R:"&amp;ROUND(SUGERENCIAS!L454,0)&amp;" RIR:"&amp;ROUND(SUGERENCIAS!M454,0))))))</f>
        <v>Sin datos anteriores</v>
      </c>
      <c r="W182" s="69">
        <f>MAX(IF((G182&gt;0)*(IF(H182="",-1,H182)&gt;=1)*(IF(H182="",-1,H182)&lt;=3),IF(C182="peso_corporal",IF(ISNUMBER(E182),E182,0)+F182,F182)*G182*1000+F182,0),IF((J182&gt;0)*(IF(K182="",-1,K182)&gt;=1)*(IF(K182="",-1,K182)&lt;=3),IF(C182="peso_corporal",IF(ISNUMBER(E182),E182,0)+I182,I182)*J182*1000+I182,0),IF((M182&gt;0)*(IF(N182="",-1,N182)&gt;=1)*(IF(N182="",-1,N182)&lt;=3),IF(C182="peso_corporal",IF(ISNUMBER(E182),E182,0)+L182,L182)*M182*1000+L182,0),IF((P182&gt;0)*(IF(Q182="",-1,Q182)&gt;=1)*(IF(Q182="",-1,Q182)&lt;=3),IF(C182="peso_corporal",IF(ISNUMBER(E182),E182,0)+O182,O182)*P182*1000+O182,0),IF((S182&gt;0)*(IF(T182="",-1,T182)&gt;=1)*(IF(T182="",-1,T182)&lt;=3),IF(C182="peso_corporal",IF(ISNUMBER(E182),E182,0)+R182,R182)*S182*1000+R182,0))</f>
        <v>0</v>
      </c>
      <c r="X182" s="69">
        <f>IF(W182=0,0,IF(IF((S182&gt;0)*(IF(T182="",-1,T182)&gt;=1)*(IF(T182="",-1,T182)&lt;=3),IF(C182="peso_corporal",IF(ISNUMBER(E182),E182,0)+R182,R182)*S182*1000+R182,0)=W182,5,IF(IF((P182&gt;0)*(IF(Q182="",-1,Q182)&gt;=1)*(IF(Q182="",-1,Q182)&lt;=3),IF(C182="peso_corporal",IF(ISNUMBER(E182),E182,0)+O182,O182)*P182*1000+O182,0)=W182,4,IF(IF((M182&gt;0)*(IF(N182="",-1,N182)&gt;=1)*(IF(N182="",-1,N182)&lt;=3),IF(C182="peso_corporal",IF(ISNUMBER(E182),E182,0)+L182,L182)*M182*1000+L182,0)=W182,3,IF(IF((J182&gt;0)*(IF(K182="",-1,K182)&gt;=1)*(IF(K182="",-1,K182)&lt;=3),IF(C182="peso_corporal",IF(ISNUMBER(E182),E182,0)+I182,I182)*J182*1000+I182,0)=W182,2,IF(IF((G182&gt;0)*(IF(H182="",-1,H182)&gt;=1)*(IF(H182="",-1,H182)&lt;=3),IF(C182="peso_corporal",IF(ISNUMBER(E182),E182,0)+F182,F182)*G182*1000+F182,0)=W182,1,0))))))</f>
        <v>0</v>
      </c>
      <c r="Y182" s="69">
        <f>MAX(IF((G182&gt;0)*(IF(H182="",-1,H182)=0)*(1-(IF(H182="",-1,H182)&gt;=1)*(IF(H182="",-1,H182)&lt;=3)),IF(C182="peso_corporal",IF(ISNUMBER(E182),E182,0)+F182,F182)*G182*1000+F182,0),IF((J182&gt;0)*(IF(K182="",-1,K182)=0)*(1-(IF(K182="",-1,K182)&gt;=1)*(IF(K182="",-1,K182)&lt;=3)),IF(C182="peso_corporal",IF(ISNUMBER(E182),E182,0)+I182,I182)*J182*1000+I182,0),IF((M182&gt;0)*(IF(N182="",-1,N182)=0)*(1-(IF(N182="",-1,N182)&gt;=1)*(IF(N182="",-1,N182)&lt;=3)),IF(C182="peso_corporal",IF(ISNUMBER(E182),E182,0)+L182,L182)*M182*1000+L182,0),IF((P182&gt;0)*(IF(Q182="",-1,Q182)=0)*(1-(IF(Q182="",-1,Q182)&gt;=1)*(IF(Q182="",-1,Q182)&lt;=3)),IF(C182="peso_corporal",IF(ISNUMBER(E182),E182,0)+O182,O182)*P182*1000+O182,0),IF((S182&gt;0)*(IF(T182="",-1,T182)=0)*(1-(IF(T182="",-1,T182)&gt;=1)*(IF(T182="",-1,T182)&lt;=3)),IF(C182="peso_corporal",IF(ISNUMBER(E182),E182,0)+R182,R182)*S182*1000+R182,0))</f>
        <v>0</v>
      </c>
      <c r="Z182" s="69">
        <f>IF(Y182=0,0,IF(IF((S182&gt;0)*(IF(T182="",-1,T182)=0)*(1-(IF(T182="",-1,T182)&gt;=1)*(IF(T182="",-1,T182)&lt;=3)),IF(C182="peso_corporal",IF(ISNUMBER(E182),E182,0)+R182,R182)*S182*1000+R182,0)=Y182,5,IF(IF((P182&gt;0)*(IF(Q182="",-1,Q182)=0)*(1-(IF(Q182="",-1,Q182)&gt;=1)*(IF(Q182="",-1,Q182)&lt;=3)),IF(C182="peso_corporal",IF(ISNUMBER(E182),E182,0)+O182,O182)*P182*1000+O182,0)=Y182,4,IF(IF((M182&gt;0)*(IF(N182="",-1,N182)=0)*(1-(IF(N182="",-1,N182)&gt;=1)*(IF(N182="",-1,N182)&lt;=3)),IF(C182="peso_corporal",IF(ISNUMBER(E182),E182,0)+L182,L182)*M182*1000+L182,0)=Y182,3,IF(IF((J182&gt;0)*(IF(K182="",-1,K182)=0)*(1-(IF(K182="",-1,K182)&gt;=1)*(IF(K182="",-1,K182)&lt;=3)),IF(C182="peso_corporal",IF(ISNUMBER(E182),E182,0)+I182,I182)*J182*1000+I182,0)=Y182,2,IF(IF((G182&gt;0)*(IF(H182="",-1,H182)=0)*(1-(IF(H182="",-1,H182)&gt;=1)*(IF(H182="",-1,H182)&lt;=3)),IF(C182="peso_corporal",IF(ISNUMBER(E182),E182,0)+F182,F182)*G182*1000+F182,0)=Y182,1,0))))))</f>
        <v>0</v>
      </c>
      <c r="AA182" s="69">
        <f>MAX(IF((G182&gt;=6)*(1-(IF(H182="",-1,H182)&gt;=1)*(IF(H182="",-1,H182)&lt;=3))*(1-(IF(H182="",-1,H182)=0)),IF(C182="peso_corporal",IF(ISNUMBER(E182),E182,0)+F182,F182)*(30+G182)*100+F182,0),IF((J182&gt;=6)*(1-(IF(K182="",-1,K182)&gt;=1)*(IF(K182="",-1,K182)&lt;=3))*(1-(IF(K182="",-1,K182)=0)),IF(C182="peso_corporal",IF(ISNUMBER(E182),E182,0)+I182,I182)*(30+J182)*100+I182,0),IF((M182&gt;=6)*(1-(IF(N182="",-1,N182)&gt;=1)*(IF(N182="",-1,N182)&lt;=3))*(1-(IF(N182="",-1,N182)=0)),IF(C182="peso_corporal",IF(ISNUMBER(E182),E182,0)+L182,L182)*(30+M182)*100+L182,0),IF((P182&gt;=6)*(1-(IF(Q182="",-1,Q182)&gt;=1)*(IF(Q182="",-1,Q182)&lt;=3))*(1-(IF(Q182="",-1,Q182)=0)),IF(C182="peso_corporal",IF(ISNUMBER(E182),E182,0)+O182,O182)*(30+P182)*100+O182,0),IF((S182&gt;=6)*(1-(IF(T182="",-1,T182)&gt;=1)*(IF(T182="",-1,T182)&lt;=3))*(1-(IF(T182="",-1,T182)=0)),IF(C182="peso_corporal",IF(ISNUMBER(E182),E182,0)+R182,R182)*(30+S182)*100+R182,0))</f>
        <v>0</v>
      </c>
      <c r="AB182" s="69">
        <f>IF(AA182=0,0,IF(IF((S182&gt;=6)*(1-(IF(T182="",-1,T182)&gt;=1)*(IF(T182="",-1,T182)&lt;=3))*(1-(IF(T182="",-1,T182)=0)),IF(C182="peso_corporal",IF(ISNUMBER(E182),E182,0)+R182,R182)*(30+S182)*100+R182,0)=AA182,5,IF(IF((P182&gt;=6)*(1-(IF(Q182="",-1,Q182)&gt;=1)*(IF(Q182="",-1,Q182)&lt;=3))*(1-(IF(Q182="",-1,Q182)=0)),IF(C182="peso_corporal",IF(ISNUMBER(E182),E182,0)+O182,O182)*(30+P182)*100+O182,0)=AA182,4,IF(IF((M182&gt;=6)*(1-(IF(N182="",-1,N182)&gt;=1)*(IF(N182="",-1,N182)&lt;=3))*(1-(IF(N182="",-1,N182)=0)),IF(C182="peso_corporal",IF(ISNUMBER(E182),E182,0)+L182,L182)*(30+M182)*100+L182,0)=AA182,3,IF(IF((J182&gt;=6)*(1-(IF(K182="",-1,K182)&gt;=1)*(IF(K182="",-1,K182)&lt;=3))*(1-(IF(K182="",-1,K182)=0)),IF(C182="peso_corporal",IF(ISNUMBER(E182),E182,0)+I182,I182)*(30+J182)*100+I182,0)=AA182,2,IF(IF((G182&gt;=6)*(1-(IF(H182="",-1,H182)&gt;=1)*(IF(H182="",-1,H182)&lt;=3))*(1-(IF(H182="",-1,H182)=0)),IF(C182="peso_corporal",IF(ISNUMBER(E182),E182,0)+F182,F182)*(30+G182)*100+F182,0)=AA182,1,0))))))</f>
        <v>0</v>
      </c>
      <c r="AC182" s="69" t="str">
        <f>IF(X182&gt;0,"A"&amp;X182,IF(Z182&gt;0,"B"&amp;Z182,IF(AB182&gt;0,"C"&amp;AB182,"")))</f>
        <v/>
      </c>
    </row>
    <row r="183" spans="1:29" ht="15" customHeight="1">
      <c r="A183" s="72" t="s">
        <v>56</v>
      </c>
      <c r="B183" s="73"/>
      <c r="C183" s="73"/>
      <c r="D183" s="73"/>
      <c r="E183" s="73"/>
      <c r="F183" s="73"/>
      <c r="G183" s="73"/>
      <c r="H183" s="73"/>
      <c r="I183" s="73"/>
      <c r="J183" s="73"/>
      <c r="K183" s="73"/>
      <c r="L183" s="73"/>
      <c r="M183" s="73"/>
      <c r="N183" s="73"/>
      <c r="O183" s="73"/>
      <c r="P183" s="73"/>
      <c r="Q183" s="73"/>
      <c r="R183" s="73"/>
      <c r="S183" s="73"/>
      <c r="T183" s="73"/>
      <c r="U183" s="73"/>
      <c r="V183" s="73"/>
      <c r="W183" s="69"/>
      <c r="X183" s="69"/>
      <c r="Y183" s="69"/>
      <c r="Z183" s="69"/>
      <c r="AA183" s="69"/>
      <c r="AB183" s="69"/>
      <c r="AC183" s="69"/>
    </row>
    <row r="184" spans="1:29" ht="20.100000000000001" customHeight="1">
      <c r="A184" s="14" t="s">
        <v>57</v>
      </c>
      <c r="B184" s="15" t="s">
        <v>58</v>
      </c>
      <c r="C184" s="16" t="str">
        <f>IFERROR(INDEX(EJERCICIOS!$D$3:$D$75,MATCH(A184&amp;"|"&amp;B184,EJERCICIOS!$G$3:$G$75,0)),"--")</f>
        <v>polea</v>
      </c>
      <c r="D184" s="17">
        <v>3</v>
      </c>
      <c r="E184" s="18">
        <f>IFERROR(LOOKUP(2,1/(MEDIDAS_Y_PESO!$B$3:$B$10&lt;&gt;""),MEDIDAS_Y_PESO!$B$3:$B$10),"--")</f>
        <v>80</v>
      </c>
      <c r="F184" s="19"/>
      <c r="G184" s="20"/>
      <c r="H184" s="21"/>
      <c r="I184" s="19"/>
      <c r="J184" s="20"/>
      <c r="K184" s="21"/>
      <c r="L184" s="19"/>
      <c r="M184" s="20"/>
      <c r="N184" s="21"/>
      <c r="O184" s="19"/>
      <c r="P184" s="20"/>
      <c r="Q184" s="21"/>
      <c r="R184" s="19"/>
      <c r="S184" s="20"/>
      <c r="T184" s="21"/>
      <c r="U184" s="22" t="str">
        <f>IFERROR(IF(IF(X184&gt;0,X184,IF(Z184&gt;0,Z184,IF(AB184&gt;0,AB184,0)))=0,"--",ROUND(CHOOSE(IF(X184&gt;0,X184,IF(Z184&gt;0,Z184,IF(AB184&gt;0,AB184,0))),IF(C184="peso_corporal",IF(ISNUMBER(E184),E184,0)+F184,F184)*(1+G184/30),IF(C184="peso_corporal",IF(ISNUMBER(E184),E184,0)+I184,I184)*(1+J184/30),IF(C184="peso_corporal",IF(ISNUMBER(E184),E184,0)+L184,L184)*(1+M184/30),IF(C184="peso_corporal",IF(ISNUMBER(E184),E184,0)+O184,O184)*(1+P184/30),IF(C184="peso_corporal",IF(ISNUMBER(E184),E184,0)+R184,R184)*(1+S184/30)),1)),"--")</f>
        <v>--</v>
      </c>
      <c r="V184" s="23" t="str">
        <f>IF(SUGERENCIAS!N455="SIN","Sin datos anteriores",IF(SUGERENCIAS!N455="SUBIR_F","^ SUBIR FUERTE | Kg:"&amp;ROUND(SUGERENCIAS!K455,1)&amp;" R:"&amp;ROUND(SUGERENCIAS!L455,0)&amp;" RIR:"&amp;ROUND(SUGERENCIAS!M455,0),IF(SUGERENCIAS!N455="SUBIR_E","^ SUBIR (Est.) | Kg:"&amp;ROUND(SUGERENCIAS!K455,1)&amp;" R:"&amp;ROUND(SUGERENCIAS!L455,0)&amp;" RIR:"&amp;ROUND(SUGERENCIAS!M455,0),IF(SUGERENCIAS!N455="SUBIR","^ SUBIR | Kg:"&amp;ROUND(SUGERENCIAS!K455,1)&amp;" R:"&amp;ROUND(SUGERENCIAS!L455,0)&amp;" RIR:"&amp;ROUND(SUGERENCIAS!M455,0),IF(SUGERENCIAS!N455="BAJAR","v BAJAR | Kg:"&amp;ROUND(SUGERENCIAS!K455,1)&amp;" R:"&amp;ROUND(SUGERENCIAS!L455,0)&amp;" RIR:"&amp;ROUND(SUGERENCIAS!M455,0),"= MANT | Kg:"&amp;ROUND(SUGERENCIAS!K455,1)&amp;" R:"&amp;ROUND(SUGERENCIAS!L455,0)&amp;" RIR:"&amp;ROUND(SUGERENCIAS!M455,0))))))</f>
        <v>Sin datos anteriores</v>
      </c>
      <c r="W184" s="69">
        <f>MAX(IF((G184&gt;0)*(IF(H184="",-1,H184)&gt;=1)*(IF(H184="",-1,H184)&lt;=3),IF(C184="peso_corporal",IF(ISNUMBER(E184),E184,0)+F184,F184)*G184*1000+F184,0),IF((J184&gt;0)*(IF(K184="",-1,K184)&gt;=1)*(IF(K184="",-1,K184)&lt;=3),IF(C184="peso_corporal",IF(ISNUMBER(E184),E184,0)+I184,I184)*J184*1000+I184,0),IF((M184&gt;0)*(IF(N184="",-1,N184)&gt;=1)*(IF(N184="",-1,N184)&lt;=3),IF(C184="peso_corporal",IF(ISNUMBER(E184),E184,0)+L184,L184)*M184*1000+L184,0),IF((P184&gt;0)*(IF(Q184="",-1,Q184)&gt;=1)*(IF(Q184="",-1,Q184)&lt;=3),IF(C184="peso_corporal",IF(ISNUMBER(E184),E184,0)+O184,O184)*P184*1000+O184,0),IF((S184&gt;0)*(IF(T184="",-1,T184)&gt;=1)*(IF(T184="",-1,T184)&lt;=3),IF(C184="peso_corporal",IF(ISNUMBER(E184),E184,0)+R184,R184)*S184*1000+R184,0))</f>
        <v>0</v>
      </c>
      <c r="X184" s="69">
        <f>IF(W184=0,0,IF(IF((S184&gt;0)*(IF(T184="",-1,T184)&gt;=1)*(IF(T184="",-1,T184)&lt;=3),IF(C184="peso_corporal",IF(ISNUMBER(E184),E184,0)+R184,R184)*S184*1000+R184,0)=W184,5,IF(IF((P184&gt;0)*(IF(Q184="",-1,Q184)&gt;=1)*(IF(Q184="",-1,Q184)&lt;=3),IF(C184="peso_corporal",IF(ISNUMBER(E184),E184,0)+O184,O184)*P184*1000+O184,0)=W184,4,IF(IF((M184&gt;0)*(IF(N184="",-1,N184)&gt;=1)*(IF(N184="",-1,N184)&lt;=3),IF(C184="peso_corporal",IF(ISNUMBER(E184),E184,0)+L184,L184)*M184*1000+L184,0)=W184,3,IF(IF((J184&gt;0)*(IF(K184="",-1,K184)&gt;=1)*(IF(K184="",-1,K184)&lt;=3),IF(C184="peso_corporal",IF(ISNUMBER(E184),E184,0)+I184,I184)*J184*1000+I184,0)=W184,2,IF(IF((G184&gt;0)*(IF(H184="",-1,H184)&gt;=1)*(IF(H184="",-1,H184)&lt;=3),IF(C184="peso_corporal",IF(ISNUMBER(E184),E184,0)+F184,F184)*G184*1000+F184,0)=W184,1,0))))))</f>
        <v>0</v>
      </c>
      <c r="Y184" s="69">
        <f>MAX(IF((G184&gt;0)*(IF(H184="",-1,H184)=0)*(1-(IF(H184="",-1,H184)&gt;=1)*(IF(H184="",-1,H184)&lt;=3)),IF(C184="peso_corporal",IF(ISNUMBER(E184),E184,0)+F184,F184)*G184*1000+F184,0),IF((J184&gt;0)*(IF(K184="",-1,K184)=0)*(1-(IF(K184="",-1,K184)&gt;=1)*(IF(K184="",-1,K184)&lt;=3)),IF(C184="peso_corporal",IF(ISNUMBER(E184),E184,0)+I184,I184)*J184*1000+I184,0),IF((M184&gt;0)*(IF(N184="",-1,N184)=0)*(1-(IF(N184="",-1,N184)&gt;=1)*(IF(N184="",-1,N184)&lt;=3)),IF(C184="peso_corporal",IF(ISNUMBER(E184),E184,0)+L184,L184)*M184*1000+L184,0),IF((P184&gt;0)*(IF(Q184="",-1,Q184)=0)*(1-(IF(Q184="",-1,Q184)&gt;=1)*(IF(Q184="",-1,Q184)&lt;=3)),IF(C184="peso_corporal",IF(ISNUMBER(E184),E184,0)+O184,O184)*P184*1000+O184,0),IF((S184&gt;0)*(IF(T184="",-1,T184)=0)*(1-(IF(T184="",-1,T184)&gt;=1)*(IF(T184="",-1,T184)&lt;=3)),IF(C184="peso_corporal",IF(ISNUMBER(E184),E184,0)+R184,R184)*S184*1000+R184,0))</f>
        <v>0</v>
      </c>
      <c r="Z184" s="69">
        <f>IF(Y184=0,0,IF(IF((S184&gt;0)*(IF(T184="",-1,T184)=0)*(1-(IF(T184="",-1,T184)&gt;=1)*(IF(T184="",-1,T184)&lt;=3)),IF(C184="peso_corporal",IF(ISNUMBER(E184),E184,0)+R184,R184)*S184*1000+R184,0)=Y184,5,IF(IF((P184&gt;0)*(IF(Q184="",-1,Q184)=0)*(1-(IF(Q184="",-1,Q184)&gt;=1)*(IF(Q184="",-1,Q184)&lt;=3)),IF(C184="peso_corporal",IF(ISNUMBER(E184),E184,0)+O184,O184)*P184*1000+O184,0)=Y184,4,IF(IF((M184&gt;0)*(IF(N184="",-1,N184)=0)*(1-(IF(N184="",-1,N184)&gt;=1)*(IF(N184="",-1,N184)&lt;=3)),IF(C184="peso_corporal",IF(ISNUMBER(E184),E184,0)+L184,L184)*M184*1000+L184,0)=Y184,3,IF(IF((J184&gt;0)*(IF(K184="",-1,K184)=0)*(1-(IF(K184="",-1,K184)&gt;=1)*(IF(K184="",-1,K184)&lt;=3)),IF(C184="peso_corporal",IF(ISNUMBER(E184),E184,0)+I184,I184)*J184*1000+I184,0)=Y184,2,IF(IF((G184&gt;0)*(IF(H184="",-1,H184)=0)*(1-(IF(H184="",-1,H184)&gt;=1)*(IF(H184="",-1,H184)&lt;=3)),IF(C184="peso_corporal",IF(ISNUMBER(E184),E184,0)+F184,F184)*G184*1000+F184,0)=Y184,1,0))))))</f>
        <v>0</v>
      </c>
      <c r="AA184" s="69">
        <f>MAX(IF((G184&gt;=6)*(1-(IF(H184="",-1,H184)&gt;=1)*(IF(H184="",-1,H184)&lt;=3))*(1-(IF(H184="",-1,H184)=0)),IF(C184="peso_corporal",IF(ISNUMBER(E184),E184,0)+F184,F184)*(30+G184)*100+F184,0),IF((J184&gt;=6)*(1-(IF(K184="",-1,K184)&gt;=1)*(IF(K184="",-1,K184)&lt;=3))*(1-(IF(K184="",-1,K184)=0)),IF(C184="peso_corporal",IF(ISNUMBER(E184),E184,0)+I184,I184)*(30+J184)*100+I184,0),IF((M184&gt;=6)*(1-(IF(N184="",-1,N184)&gt;=1)*(IF(N184="",-1,N184)&lt;=3))*(1-(IF(N184="",-1,N184)=0)),IF(C184="peso_corporal",IF(ISNUMBER(E184),E184,0)+L184,L184)*(30+M184)*100+L184,0),IF((P184&gt;=6)*(1-(IF(Q184="",-1,Q184)&gt;=1)*(IF(Q184="",-1,Q184)&lt;=3))*(1-(IF(Q184="",-1,Q184)=0)),IF(C184="peso_corporal",IF(ISNUMBER(E184),E184,0)+O184,O184)*(30+P184)*100+O184,0),IF((S184&gt;=6)*(1-(IF(T184="",-1,T184)&gt;=1)*(IF(T184="",-1,T184)&lt;=3))*(1-(IF(T184="",-1,T184)=0)),IF(C184="peso_corporal",IF(ISNUMBER(E184),E184,0)+R184,R184)*(30+S184)*100+R184,0))</f>
        <v>0</v>
      </c>
      <c r="AB184" s="69">
        <f>IF(AA184=0,0,IF(IF((S184&gt;=6)*(1-(IF(T184="",-1,T184)&gt;=1)*(IF(T184="",-1,T184)&lt;=3))*(1-(IF(T184="",-1,T184)=0)),IF(C184="peso_corporal",IF(ISNUMBER(E184),E184,0)+R184,R184)*(30+S184)*100+R184,0)=AA184,5,IF(IF((P184&gt;=6)*(1-(IF(Q184="",-1,Q184)&gt;=1)*(IF(Q184="",-1,Q184)&lt;=3))*(1-(IF(Q184="",-1,Q184)=0)),IF(C184="peso_corporal",IF(ISNUMBER(E184),E184,0)+O184,O184)*(30+P184)*100+O184,0)=AA184,4,IF(IF((M184&gt;=6)*(1-(IF(N184="",-1,N184)&gt;=1)*(IF(N184="",-1,N184)&lt;=3))*(1-(IF(N184="",-1,N184)=0)),IF(C184="peso_corporal",IF(ISNUMBER(E184),E184,0)+L184,L184)*(30+M184)*100+L184,0)=AA184,3,IF(IF((J184&gt;=6)*(1-(IF(K184="",-1,K184)&gt;=1)*(IF(K184="",-1,K184)&lt;=3))*(1-(IF(K184="",-1,K184)=0)),IF(C184="peso_corporal",IF(ISNUMBER(E184),E184,0)+I184,I184)*(30+J184)*100+I184,0)=AA184,2,IF(IF((G184&gt;=6)*(1-(IF(H184="",-1,H184)&gt;=1)*(IF(H184="",-1,H184)&lt;=3))*(1-(IF(H184="",-1,H184)=0)),IF(C184="peso_corporal",IF(ISNUMBER(E184),E184,0)+F184,F184)*(30+G184)*100+F184,0)=AA184,1,0))))))</f>
        <v>0</v>
      </c>
      <c r="AC184" s="69" t="str">
        <f>IF(X184&gt;0,"A"&amp;X184,IF(Z184&gt;0,"B"&amp;Z184,IF(AB184&gt;0,"C"&amp;AB184,"")))</f>
        <v/>
      </c>
    </row>
    <row r="185" spans="1:29" ht="6"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69"/>
      <c r="X185" s="69"/>
      <c r="Y185" s="69"/>
      <c r="Z185" s="69"/>
      <c r="AA185" s="69"/>
      <c r="AB185" s="69"/>
      <c r="AC185" s="69"/>
    </row>
    <row r="186" spans="1:29" ht="18" customHeight="1">
      <c r="A186" s="85" t="s">
        <v>74</v>
      </c>
      <c r="B186" s="73"/>
      <c r="C186" s="73"/>
      <c r="D186" s="73"/>
      <c r="E186" s="73"/>
      <c r="F186" s="73"/>
      <c r="G186" s="73"/>
      <c r="H186" s="73"/>
      <c r="I186" s="73"/>
      <c r="J186" s="73"/>
      <c r="K186" s="73"/>
      <c r="L186" s="73"/>
      <c r="M186" s="73"/>
      <c r="N186" s="73"/>
      <c r="O186" s="73"/>
      <c r="P186" s="73"/>
      <c r="Q186" s="73"/>
      <c r="R186" s="73"/>
      <c r="S186" s="73"/>
      <c r="T186" s="73"/>
      <c r="U186" s="73"/>
      <c r="V186" s="73"/>
      <c r="W186" s="69"/>
      <c r="X186" s="69"/>
      <c r="Y186" s="69"/>
      <c r="Z186" s="69"/>
      <c r="AA186" s="69"/>
      <c r="AB186" s="69"/>
      <c r="AC186" s="69"/>
    </row>
    <row r="187" spans="1:29" ht="15" customHeight="1">
      <c r="A187" s="75" t="s">
        <v>28</v>
      </c>
      <c r="B187" s="73"/>
      <c r="C187" s="73"/>
      <c r="D187" s="73"/>
      <c r="E187" s="73"/>
      <c r="F187" s="73"/>
      <c r="G187" s="73"/>
      <c r="H187" s="73"/>
      <c r="I187" s="73"/>
      <c r="J187" s="73"/>
      <c r="K187" s="73"/>
      <c r="L187" s="73"/>
      <c r="M187" s="73"/>
      <c r="N187" s="73"/>
      <c r="O187" s="73"/>
      <c r="P187" s="73"/>
      <c r="Q187" s="73"/>
      <c r="R187" s="73"/>
      <c r="S187" s="73"/>
      <c r="T187" s="73"/>
      <c r="U187" s="73"/>
      <c r="V187" s="73"/>
      <c r="W187" s="69"/>
      <c r="X187" s="69"/>
      <c r="Y187" s="69"/>
      <c r="Z187" s="69"/>
      <c r="AA187" s="69"/>
      <c r="AB187" s="69"/>
      <c r="AC187" s="69"/>
    </row>
    <row r="188" spans="1:29" ht="11.1" customHeight="1">
      <c r="A188" s="76" t="s">
        <v>29</v>
      </c>
      <c r="B188" s="73"/>
      <c r="C188" s="73"/>
      <c r="D188" s="73"/>
      <c r="E188" s="73"/>
      <c r="F188" s="73"/>
      <c r="G188" s="73"/>
      <c r="H188" s="73"/>
      <c r="I188" s="73"/>
      <c r="J188" s="73"/>
      <c r="K188" s="73"/>
      <c r="L188" s="73"/>
      <c r="M188" s="73"/>
      <c r="N188" s="73"/>
      <c r="O188" s="73"/>
      <c r="P188" s="73"/>
      <c r="Q188" s="73"/>
      <c r="R188" s="73"/>
      <c r="S188" s="73"/>
      <c r="T188" s="73"/>
      <c r="U188" s="73"/>
      <c r="V188" s="73"/>
      <c r="W188" s="69"/>
      <c r="X188" s="69"/>
      <c r="Y188" s="69"/>
      <c r="Z188" s="69"/>
      <c r="AA188" s="69"/>
      <c r="AB188" s="69"/>
      <c r="AC188" s="69"/>
    </row>
    <row r="189" spans="1:29" ht="20.100000000000001" customHeight="1">
      <c r="A189" s="14" t="s">
        <v>30</v>
      </c>
      <c r="B189" s="15" t="s">
        <v>60</v>
      </c>
      <c r="C189" s="16" t="str">
        <f>IFERROR(INDEX(EJERCICIOS!$D$3:$D$75,MATCH(A189&amp;"|"&amp;B189,EJERCICIOS!$G$3:$G$75,0)),"--")</f>
        <v>disco</v>
      </c>
      <c r="D189" s="17">
        <v>3</v>
      </c>
      <c r="E189" s="18">
        <f>IFERROR(LOOKUP(2,1/(MEDIDAS_Y_PESO!$B$3:$B$11&lt;&gt;""),MEDIDAS_Y_PESO!$B$3:$B$11),"--")</f>
        <v>80</v>
      </c>
      <c r="F189" s="19"/>
      <c r="G189" s="20"/>
      <c r="H189" s="21"/>
      <c r="I189" s="19"/>
      <c r="J189" s="20"/>
      <c r="K189" s="21"/>
      <c r="L189" s="19"/>
      <c r="M189" s="20"/>
      <c r="N189" s="21"/>
      <c r="O189" s="19"/>
      <c r="P189" s="20"/>
      <c r="Q189" s="21"/>
      <c r="R189" s="19"/>
      <c r="S189" s="20"/>
      <c r="T189" s="21"/>
      <c r="U189" s="22" t="str">
        <f>IFERROR(IF(IF(X189&gt;0,X189,IF(Z189&gt;0,Z189,IF(AB189&gt;0,AB189,0)))=0,"--",ROUND(CHOOSE(IF(X189&gt;0,X189,IF(Z189&gt;0,Z189,IF(AB189&gt;0,AB189,0))),IF(C189="peso_corporal",IF(ISNUMBER(E189),E189,0)+F189,F189)*(1+G189/30),IF(C189="peso_corporal",IF(ISNUMBER(E189),E189,0)+I189,I189)*(1+J189/30),IF(C189="peso_corporal",IF(ISNUMBER(E189),E189,0)+L189,L189)*(1+M189/30),IF(C189="peso_corporal",IF(ISNUMBER(E189),E189,0)+O189,O189)*(1+P189/30),IF(C189="peso_corporal",IF(ISNUMBER(E189),E189,0)+R189,R189)*(1+S189/30)),1)),"--")</f>
        <v>--</v>
      </c>
      <c r="V189" s="23" t="str">
        <f>IF(SUGERENCIAS!N508="SIN","Sin datos anteriores",IF(SUGERENCIAS!N508="SUBIR_F","^ SUBIR FUERTE | Kg:"&amp;ROUND(SUGERENCIAS!K508,1)&amp;" R:"&amp;ROUND(SUGERENCIAS!L508,0)&amp;" RIR:"&amp;ROUND(SUGERENCIAS!M508,0),IF(SUGERENCIAS!N508="SUBIR_E","^ SUBIR (Est.) | Kg:"&amp;ROUND(SUGERENCIAS!K508,1)&amp;" R:"&amp;ROUND(SUGERENCIAS!L508,0)&amp;" RIR:"&amp;ROUND(SUGERENCIAS!M508,0),IF(SUGERENCIAS!N508="SUBIR","^ SUBIR | Kg:"&amp;ROUND(SUGERENCIAS!K508,1)&amp;" R:"&amp;ROUND(SUGERENCIAS!L508,0)&amp;" RIR:"&amp;ROUND(SUGERENCIAS!M508,0),IF(SUGERENCIAS!N508="BAJAR","v BAJAR | Kg:"&amp;ROUND(SUGERENCIAS!K508,1)&amp;" R:"&amp;ROUND(SUGERENCIAS!L508,0)&amp;" RIR:"&amp;ROUND(SUGERENCIAS!M508,0),"= MANT | Kg:"&amp;ROUND(SUGERENCIAS!K508,1)&amp;" R:"&amp;ROUND(SUGERENCIAS!L508,0)&amp;" RIR:"&amp;ROUND(SUGERENCIAS!M508,0))))))</f>
        <v>Sin datos anteriores</v>
      </c>
      <c r="W189" s="69">
        <f>MAX(IF((G189&gt;0)*(IF(H189="",-1,H189)&gt;=0)*(IF(H189="",-1,H189)&lt;=1),IF(C189="peso_corporal",IF(ISNUMBER(E189),E189,0)+F189,F189)*G189*1000+F189,0),IF((J189&gt;0)*(IF(K189="",-1,K189)&gt;=0)*(IF(K189="",-1,K189)&lt;=1),IF(C189="peso_corporal",IF(ISNUMBER(E189),E189,0)+I189,I189)*J189*1000+I189,0),IF((M189&gt;0)*(IF(N189="",-1,N189)&gt;=0)*(IF(N189="",-1,N189)&lt;=1),IF(C189="peso_corporal",IF(ISNUMBER(E189),E189,0)+L189,L189)*M189*1000+L189,0),IF((P189&gt;0)*(IF(Q189="",-1,Q189)&gt;=0)*(IF(Q189="",-1,Q189)&lt;=1),IF(C189="peso_corporal",IF(ISNUMBER(E189),E189,0)+O189,O189)*P189*1000+O189,0),IF((S189&gt;0)*(IF(T189="",-1,T189)&gt;=0)*(IF(T189="",-1,T189)&lt;=1),IF(C189="peso_corporal",IF(ISNUMBER(E189),E189,0)+R189,R189)*S189*1000+R189,0))</f>
        <v>0</v>
      </c>
      <c r="X189" s="69">
        <f>IF(W189=0,0,IF(IF((S189&gt;0)*(IF(T189="",-1,T189)&gt;=0)*(IF(T189="",-1,T189)&lt;=1),IF(C189="peso_corporal",IF(ISNUMBER(E189),E189,0)+R189,R189)*S189*1000+R189,0)=W189,5,IF(IF((P189&gt;0)*(IF(Q189="",-1,Q189)&gt;=0)*(IF(Q189="",-1,Q189)&lt;=1),IF(C189="peso_corporal",IF(ISNUMBER(E189),E189,0)+O189,O189)*P189*1000+O189,0)=W189,4,IF(IF((M189&gt;0)*(IF(N189="",-1,N189)&gt;=0)*(IF(N189="",-1,N189)&lt;=1),IF(C189="peso_corporal",IF(ISNUMBER(E189),E189,0)+L189,L189)*M189*1000+L189,0)=W189,3,IF(IF((J189&gt;0)*(IF(K189="",-1,K189)&gt;=0)*(IF(K189="",-1,K189)&lt;=1),IF(C189="peso_corporal",IF(ISNUMBER(E189),E189,0)+I189,I189)*J189*1000+I189,0)=W189,2,IF(IF((G189&gt;0)*(IF(H189="",-1,H189)&gt;=0)*(IF(H189="",-1,H189)&lt;=1),IF(C189="peso_corporal",IF(ISNUMBER(E189),E189,0)+F189,F189)*G189*1000+F189,0)=W189,1,0))))))</f>
        <v>0</v>
      </c>
      <c r="Y189" s="69">
        <f>MAX(IF((G189&gt;0)*(IF(H189="",-1,H189)=0)*(1-(IF(H189="",-1,H189)&gt;=0)*(IF(H189="",-1,H189)&lt;=1)),IF(C189="peso_corporal",IF(ISNUMBER(E189),E189,0)+F189,F189)*G189*1000+F189,0),IF((J189&gt;0)*(IF(K189="",-1,K189)=0)*(1-(IF(K189="",-1,K189)&gt;=0)*(IF(K189="",-1,K189)&lt;=1)),IF(C189="peso_corporal",IF(ISNUMBER(E189),E189,0)+I189,I189)*J189*1000+I189,0),IF((M189&gt;0)*(IF(N189="",-1,N189)=0)*(1-(IF(N189="",-1,N189)&gt;=0)*(IF(N189="",-1,N189)&lt;=1)),IF(C189="peso_corporal",IF(ISNUMBER(E189),E189,0)+L189,L189)*M189*1000+L189,0),IF((P189&gt;0)*(IF(Q189="",-1,Q189)=0)*(1-(IF(Q189="",-1,Q189)&gt;=0)*(IF(Q189="",-1,Q189)&lt;=1)),IF(C189="peso_corporal",IF(ISNUMBER(E189),E189,0)+O189,O189)*P189*1000+O189,0),IF((S189&gt;0)*(IF(T189="",-1,T189)=0)*(1-(IF(T189="",-1,T189)&gt;=0)*(IF(T189="",-1,T189)&lt;=1)),IF(C189="peso_corporal",IF(ISNUMBER(E189),E189,0)+R189,R189)*S189*1000+R189,0))</f>
        <v>0</v>
      </c>
      <c r="Z189" s="69">
        <f>IF(Y189=0,0,IF(IF((S189&gt;0)*(IF(T189="",-1,T189)=0)*(1-(IF(T189="",-1,T189)&gt;=0)*(IF(T189="",-1,T189)&lt;=1)),IF(C189="peso_corporal",IF(ISNUMBER(E189),E189,0)+R189,R189)*S189*1000+R189,0)=Y189,5,IF(IF((P189&gt;0)*(IF(Q189="",-1,Q189)=0)*(1-(IF(Q189="",-1,Q189)&gt;=0)*(IF(Q189="",-1,Q189)&lt;=1)),IF(C189="peso_corporal",IF(ISNUMBER(E189),E189,0)+O189,O189)*P189*1000+O189,0)=Y189,4,IF(IF((M189&gt;0)*(IF(N189="",-1,N189)=0)*(1-(IF(N189="",-1,N189)&gt;=0)*(IF(N189="",-1,N189)&lt;=1)),IF(C189="peso_corporal",IF(ISNUMBER(E189),E189,0)+L189,L189)*M189*1000+L189,0)=Y189,3,IF(IF((J189&gt;0)*(IF(K189="",-1,K189)=0)*(1-(IF(K189="",-1,K189)&gt;=0)*(IF(K189="",-1,K189)&lt;=1)),IF(C189="peso_corporal",IF(ISNUMBER(E189),E189,0)+I189,I189)*J189*1000+I189,0)=Y189,2,IF(IF((G189&gt;0)*(IF(H189="",-1,H189)=0)*(1-(IF(H189="",-1,H189)&gt;=0)*(IF(H189="",-1,H189)&lt;=1)),IF(C189="peso_corporal",IF(ISNUMBER(E189),E189,0)+F189,F189)*G189*1000+F189,0)=Y189,1,0))))))</f>
        <v>0</v>
      </c>
      <c r="AA189" s="69">
        <f>MAX(IF((G189&gt;=3)*(1-(IF(H189="",-1,H189)&gt;=0)*(IF(H189="",-1,H189)&lt;=1))*(1-(IF(H189="",-1,H189)=0)),IF(C189="peso_corporal",IF(ISNUMBER(E189),E189,0)+F189,F189)*(30+G189)*100+F189,0),IF((J189&gt;=3)*(1-(IF(K189="",-1,K189)&gt;=0)*(IF(K189="",-1,K189)&lt;=1))*(1-(IF(K189="",-1,K189)=0)),IF(C189="peso_corporal",IF(ISNUMBER(E189),E189,0)+I189,I189)*(30+J189)*100+I189,0),IF((M189&gt;=3)*(1-(IF(N189="",-1,N189)&gt;=0)*(IF(N189="",-1,N189)&lt;=1))*(1-(IF(N189="",-1,N189)=0)),IF(C189="peso_corporal",IF(ISNUMBER(E189),E189,0)+L189,L189)*(30+M189)*100+L189,0),IF((P189&gt;=3)*(1-(IF(Q189="",-1,Q189)&gt;=0)*(IF(Q189="",-1,Q189)&lt;=1))*(1-(IF(Q189="",-1,Q189)=0)),IF(C189="peso_corporal",IF(ISNUMBER(E189),E189,0)+O189,O189)*(30+P189)*100+O189,0),IF((S189&gt;=3)*(1-(IF(T189="",-1,T189)&gt;=0)*(IF(T189="",-1,T189)&lt;=1))*(1-(IF(T189="",-1,T189)=0)),IF(C189="peso_corporal",IF(ISNUMBER(E189),E189,0)+R189,R189)*(30+S189)*100+R189,0))</f>
        <v>0</v>
      </c>
      <c r="AB189" s="69">
        <f>IF(AA189=0,0,IF(IF((S189&gt;=3)*(1-(IF(T189="",-1,T189)&gt;=0)*(IF(T189="",-1,T189)&lt;=1))*(1-(IF(T189="",-1,T189)=0)),IF(C189="peso_corporal",IF(ISNUMBER(E189),E189,0)+R189,R189)*(30+S189)*100+R189,0)=AA189,5,IF(IF((P189&gt;=3)*(1-(IF(Q189="",-1,Q189)&gt;=0)*(IF(Q189="",-1,Q189)&lt;=1))*(1-(IF(Q189="",-1,Q189)=0)),IF(C189="peso_corporal",IF(ISNUMBER(E189),E189,0)+O189,O189)*(30+P189)*100+O189,0)=AA189,4,IF(IF((M189&gt;=3)*(1-(IF(N189="",-1,N189)&gt;=0)*(IF(N189="",-1,N189)&lt;=1))*(1-(IF(N189="",-1,N189)=0)),IF(C189="peso_corporal",IF(ISNUMBER(E189),E189,0)+L189,L189)*(30+M189)*100+L189,0)=AA189,3,IF(IF((J189&gt;=3)*(1-(IF(K189="",-1,K189)&gt;=0)*(IF(K189="",-1,K189)&lt;=1))*(1-(IF(K189="",-1,K189)=0)),IF(C189="peso_corporal",IF(ISNUMBER(E189),E189,0)+I189,I189)*(30+J189)*100+I189,0)=AA189,2,IF(IF((G189&gt;=3)*(1-(IF(H189="",-1,H189)&gt;=0)*(IF(H189="",-1,H189)&lt;=1))*(1-(IF(H189="",-1,H189)=0)),IF(C189="peso_corporal",IF(ISNUMBER(E189),E189,0)+F189,F189)*(30+G189)*100+F189,0)=AA189,1,0))))))</f>
        <v>0</v>
      </c>
      <c r="AC189" s="69" t="str">
        <f>IF(X189&gt;0,"A"&amp;X189,IF(Z189&gt;0,"B"&amp;Z189,IF(AB189&gt;0,"C"&amp;AB189,"")))</f>
        <v/>
      </c>
    </row>
    <row r="190" spans="1:29" ht="11.1" customHeight="1">
      <c r="A190" s="84" t="s">
        <v>32</v>
      </c>
      <c r="B190" s="73"/>
      <c r="C190" s="73"/>
      <c r="D190" s="73"/>
      <c r="E190" s="73"/>
      <c r="F190" s="73"/>
      <c r="G190" s="73"/>
      <c r="H190" s="73"/>
      <c r="I190" s="73"/>
      <c r="J190" s="73"/>
      <c r="K190" s="73"/>
      <c r="L190" s="73"/>
      <c r="M190" s="73"/>
      <c r="N190" s="73"/>
      <c r="O190" s="73"/>
      <c r="P190" s="73"/>
      <c r="Q190" s="73"/>
      <c r="R190" s="73"/>
      <c r="S190" s="73"/>
      <c r="T190" s="73"/>
      <c r="U190" s="73"/>
      <c r="V190" s="73"/>
      <c r="W190" s="69"/>
      <c r="X190" s="69"/>
      <c r="Y190" s="69"/>
      <c r="Z190" s="69"/>
      <c r="AA190" s="69"/>
      <c r="AB190" s="69"/>
      <c r="AC190" s="69"/>
    </row>
    <row r="191" spans="1:29" ht="20.100000000000001" customHeight="1">
      <c r="A191" s="14" t="s">
        <v>61</v>
      </c>
      <c r="B191" s="15" t="s">
        <v>31</v>
      </c>
      <c r="C191" s="16" t="str">
        <f>IFERROR(INDEX(EJERCICIOS!$D$3:$D$75,MATCH(A191&amp;"|"&amp;B191,EJERCICIOS!$G$3:$G$75,0)),"--")</f>
        <v>mancuerna</v>
      </c>
      <c r="D191" s="17">
        <v>3</v>
      </c>
      <c r="E191" s="18">
        <f>IFERROR(LOOKUP(2,1/(MEDIDAS_Y_PESO!$B$3:$B$11&lt;&gt;""),MEDIDAS_Y_PESO!$B$3:$B$11),"--")</f>
        <v>80</v>
      </c>
      <c r="F191" s="19"/>
      <c r="G191" s="20"/>
      <c r="H191" s="21"/>
      <c r="I191" s="19"/>
      <c r="J191" s="20"/>
      <c r="K191" s="21"/>
      <c r="L191" s="19"/>
      <c r="M191" s="20"/>
      <c r="N191" s="21"/>
      <c r="O191" s="19"/>
      <c r="P191" s="20"/>
      <c r="Q191" s="21"/>
      <c r="R191" s="19"/>
      <c r="S191" s="20"/>
      <c r="T191" s="21"/>
      <c r="U191" s="22" t="str">
        <f>IFERROR(IF(IF(X191&gt;0,X191,IF(Z191&gt;0,Z191,IF(AB191&gt;0,AB191,0)))=0,"--",ROUND(CHOOSE(IF(X191&gt;0,X191,IF(Z191&gt;0,Z191,IF(AB191&gt;0,AB191,0))),IF(C191="peso_corporal",IF(ISNUMBER(E191),E191,0)+F191,F191)*(1+G191/30),IF(C191="peso_corporal",IF(ISNUMBER(E191),E191,0)+I191,I191)*(1+J191/30),IF(C191="peso_corporal",IF(ISNUMBER(E191),E191,0)+L191,L191)*(1+M191/30),IF(C191="peso_corporal",IF(ISNUMBER(E191),E191,0)+O191,O191)*(1+P191/30),IF(C191="peso_corporal",IF(ISNUMBER(E191),E191,0)+R191,R191)*(1+S191/30)),1)),"--")</f>
        <v>--</v>
      </c>
      <c r="V191" s="23" t="str">
        <f>IF(SUGERENCIAS!N509="SIN","Sin datos anteriores",IF(SUGERENCIAS!N509="SUBIR_F","^ SUBIR FUERTE | Kg:"&amp;ROUND(SUGERENCIAS!K509,1)&amp;" R:"&amp;ROUND(SUGERENCIAS!L509,0)&amp;" RIR:"&amp;ROUND(SUGERENCIAS!M509,0),IF(SUGERENCIAS!N509="SUBIR_E","^ SUBIR (Est.) | Kg:"&amp;ROUND(SUGERENCIAS!K509,1)&amp;" R:"&amp;ROUND(SUGERENCIAS!L509,0)&amp;" RIR:"&amp;ROUND(SUGERENCIAS!M509,0),IF(SUGERENCIAS!N509="SUBIR","^ SUBIR | Kg:"&amp;ROUND(SUGERENCIAS!K509,1)&amp;" R:"&amp;ROUND(SUGERENCIAS!L509,0)&amp;" RIR:"&amp;ROUND(SUGERENCIAS!M509,0),IF(SUGERENCIAS!N509="BAJAR","v BAJAR | Kg:"&amp;ROUND(SUGERENCIAS!K509,1)&amp;" R:"&amp;ROUND(SUGERENCIAS!L509,0)&amp;" RIR:"&amp;ROUND(SUGERENCIAS!M509,0),"= MANT | Kg:"&amp;ROUND(SUGERENCIAS!K509,1)&amp;" R:"&amp;ROUND(SUGERENCIAS!L509,0)&amp;" RIR:"&amp;ROUND(SUGERENCIAS!M509,0))))))</f>
        <v>Sin datos anteriores</v>
      </c>
      <c r="W191" s="69">
        <f>MAX(IF((G191&gt;0)*(IF(H191="",-1,H191)&gt;=0)*(IF(H191="",-1,H191)&lt;=1),IF(C191="peso_corporal",IF(ISNUMBER(E191),E191,0)+F191,F191)*G191*1000+F191,0),IF((J191&gt;0)*(IF(K191="",-1,K191)&gt;=0)*(IF(K191="",-1,K191)&lt;=1),IF(C191="peso_corporal",IF(ISNUMBER(E191),E191,0)+I191,I191)*J191*1000+I191,0),IF((M191&gt;0)*(IF(N191="",-1,N191)&gt;=0)*(IF(N191="",-1,N191)&lt;=1),IF(C191="peso_corporal",IF(ISNUMBER(E191),E191,0)+L191,L191)*M191*1000+L191,0),IF((P191&gt;0)*(IF(Q191="",-1,Q191)&gt;=0)*(IF(Q191="",-1,Q191)&lt;=1),IF(C191="peso_corporal",IF(ISNUMBER(E191),E191,0)+O191,O191)*P191*1000+O191,0),IF((S191&gt;0)*(IF(T191="",-1,T191)&gt;=0)*(IF(T191="",-1,T191)&lt;=1),IF(C191="peso_corporal",IF(ISNUMBER(E191),E191,0)+R191,R191)*S191*1000+R191,0))</f>
        <v>0</v>
      </c>
      <c r="X191" s="69">
        <f>IF(W191=0,0,IF(IF((S191&gt;0)*(IF(T191="",-1,T191)&gt;=0)*(IF(T191="",-1,T191)&lt;=1),IF(C191="peso_corporal",IF(ISNUMBER(E191),E191,0)+R191,R191)*S191*1000+R191,0)=W191,5,IF(IF((P191&gt;0)*(IF(Q191="",-1,Q191)&gt;=0)*(IF(Q191="",-1,Q191)&lt;=1),IF(C191="peso_corporal",IF(ISNUMBER(E191),E191,0)+O191,O191)*P191*1000+O191,0)=W191,4,IF(IF((M191&gt;0)*(IF(N191="",-1,N191)&gt;=0)*(IF(N191="",-1,N191)&lt;=1),IF(C191="peso_corporal",IF(ISNUMBER(E191),E191,0)+L191,L191)*M191*1000+L191,0)=W191,3,IF(IF((J191&gt;0)*(IF(K191="",-1,K191)&gt;=0)*(IF(K191="",-1,K191)&lt;=1),IF(C191="peso_corporal",IF(ISNUMBER(E191),E191,0)+I191,I191)*J191*1000+I191,0)=W191,2,IF(IF((G191&gt;0)*(IF(H191="",-1,H191)&gt;=0)*(IF(H191="",-1,H191)&lt;=1),IF(C191="peso_corporal",IF(ISNUMBER(E191),E191,0)+F191,F191)*G191*1000+F191,0)=W191,1,0))))))</f>
        <v>0</v>
      </c>
      <c r="Y191" s="69">
        <f>MAX(IF((G191&gt;0)*(IF(H191="",-1,H191)=0)*(1-(IF(H191="",-1,H191)&gt;=0)*(IF(H191="",-1,H191)&lt;=1)),IF(C191="peso_corporal",IF(ISNUMBER(E191),E191,0)+F191,F191)*G191*1000+F191,0),IF((J191&gt;0)*(IF(K191="",-1,K191)=0)*(1-(IF(K191="",-1,K191)&gt;=0)*(IF(K191="",-1,K191)&lt;=1)),IF(C191="peso_corporal",IF(ISNUMBER(E191),E191,0)+I191,I191)*J191*1000+I191,0),IF((M191&gt;0)*(IF(N191="",-1,N191)=0)*(1-(IF(N191="",-1,N191)&gt;=0)*(IF(N191="",-1,N191)&lt;=1)),IF(C191="peso_corporal",IF(ISNUMBER(E191),E191,0)+L191,L191)*M191*1000+L191,0),IF((P191&gt;0)*(IF(Q191="",-1,Q191)=0)*(1-(IF(Q191="",-1,Q191)&gt;=0)*(IF(Q191="",-1,Q191)&lt;=1)),IF(C191="peso_corporal",IF(ISNUMBER(E191),E191,0)+O191,O191)*P191*1000+O191,0),IF((S191&gt;0)*(IF(T191="",-1,T191)=0)*(1-(IF(T191="",-1,T191)&gt;=0)*(IF(T191="",-1,T191)&lt;=1)),IF(C191="peso_corporal",IF(ISNUMBER(E191),E191,0)+R191,R191)*S191*1000+R191,0))</f>
        <v>0</v>
      </c>
      <c r="Z191" s="69">
        <f>IF(Y191=0,0,IF(IF((S191&gt;0)*(IF(T191="",-1,T191)=0)*(1-(IF(T191="",-1,T191)&gt;=0)*(IF(T191="",-1,T191)&lt;=1)),IF(C191="peso_corporal",IF(ISNUMBER(E191),E191,0)+R191,R191)*S191*1000+R191,0)=Y191,5,IF(IF((P191&gt;0)*(IF(Q191="",-1,Q191)=0)*(1-(IF(Q191="",-1,Q191)&gt;=0)*(IF(Q191="",-1,Q191)&lt;=1)),IF(C191="peso_corporal",IF(ISNUMBER(E191),E191,0)+O191,O191)*P191*1000+O191,0)=Y191,4,IF(IF((M191&gt;0)*(IF(N191="",-1,N191)=0)*(1-(IF(N191="",-1,N191)&gt;=0)*(IF(N191="",-1,N191)&lt;=1)),IF(C191="peso_corporal",IF(ISNUMBER(E191),E191,0)+L191,L191)*M191*1000+L191,0)=Y191,3,IF(IF((J191&gt;0)*(IF(K191="",-1,K191)=0)*(1-(IF(K191="",-1,K191)&gt;=0)*(IF(K191="",-1,K191)&lt;=1)),IF(C191="peso_corporal",IF(ISNUMBER(E191),E191,0)+I191,I191)*J191*1000+I191,0)=Y191,2,IF(IF((G191&gt;0)*(IF(H191="",-1,H191)=0)*(1-(IF(H191="",-1,H191)&gt;=0)*(IF(H191="",-1,H191)&lt;=1)),IF(C191="peso_corporal",IF(ISNUMBER(E191),E191,0)+F191,F191)*G191*1000+F191,0)=Y191,1,0))))))</f>
        <v>0</v>
      </c>
      <c r="AA191" s="69">
        <f>MAX(IF((G191&gt;=3)*(1-(IF(H191="",-1,H191)&gt;=0)*(IF(H191="",-1,H191)&lt;=1))*(1-(IF(H191="",-1,H191)=0)),IF(C191="peso_corporal",IF(ISNUMBER(E191),E191,0)+F191,F191)*(30+G191)*100+F191,0),IF((J191&gt;=3)*(1-(IF(K191="",-1,K191)&gt;=0)*(IF(K191="",-1,K191)&lt;=1))*(1-(IF(K191="",-1,K191)=0)),IF(C191="peso_corporal",IF(ISNUMBER(E191),E191,0)+I191,I191)*(30+J191)*100+I191,0),IF((M191&gt;=3)*(1-(IF(N191="",-1,N191)&gt;=0)*(IF(N191="",-1,N191)&lt;=1))*(1-(IF(N191="",-1,N191)=0)),IF(C191="peso_corporal",IF(ISNUMBER(E191),E191,0)+L191,L191)*(30+M191)*100+L191,0),IF((P191&gt;=3)*(1-(IF(Q191="",-1,Q191)&gt;=0)*(IF(Q191="",-1,Q191)&lt;=1))*(1-(IF(Q191="",-1,Q191)=0)),IF(C191="peso_corporal",IF(ISNUMBER(E191),E191,0)+O191,O191)*(30+P191)*100+O191,0),IF((S191&gt;=3)*(1-(IF(T191="",-1,T191)&gt;=0)*(IF(T191="",-1,T191)&lt;=1))*(1-(IF(T191="",-1,T191)=0)),IF(C191="peso_corporal",IF(ISNUMBER(E191),E191,0)+R191,R191)*(30+S191)*100+R191,0))</f>
        <v>0</v>
      </c>
      <c r="AB191" s="69">
        <f>IF(AA191=0,0,IF(IF((S191&gt;=3)*(1-(IF(T191="",-1,T191)&gt;=0)*(IF(T191="",-1,T191)&lt;=1))*(1-(IF(T191="",-1,T191)=0)),IF(C191="peso_corporal",IF(ISNUMBER(E191),E191,0)+R191,R191)*(30+S191)*100+R191,0)=AA191,5,IF(IF((P191&gt;=3)*(1-(IF(Q191="",-1,Q191)&gt;=0)*(IF(Q191="",-1,Q191)&lt;=1))*(1-(IF(Q191="",-1,Q191)=0)),IF(C191="peso_corporal",IF(ISNUMBER(E191),E191,0)+O191,O191)*(30+P191)*100+O191,0)=AA191,4,IF(IF((M191&gt;=3)*(1-(IF(N191="",-1,N191)&gt;=0)*(IF(N191="",-1,N191)&lt;=1))*(1-(IF(N191="",-1,N191)=0)),IF(C191="peso_corporal",IF(ISNUMBER(E191),E191,0)+L191,L191)*(30+M191)*100+L191,0)=AA191,3,IF(IF((J191&gt;=3)*(1-(IF(K191="",-1,K191)&gt;=0)*(IF(K191="",-1,K191)&lt;=1))*(1-(IF(K191="",-1,K191)=0)),IF(C191="peso_corporal",IF(ISNUMBER(E191),E191,0)+I191,I191)*(30+J191)*100+I191,0)=AA191,2,IF(IF((G191&gt;=3)*(1-(IF(H191="",-1,H191)&gt;=0)*(IF(H191="",-1,H191)&lt;=1))*(1-(IF(H191="",-1,H191)=0)),IF(C191="peso_corporal",IF(ISNUMBER(E191),E191,0)+F191,F191)*(30+G191)*100+F191,0)=AA191,1,0))))))</f>
        <v>0</v>
      </c>
      <c r="AC191" s="69" t="str">
        <f>IF(X191&gt;0,"A"&amp;X191,IF(Z191&gt;0,"B"&amp;Z191,IF(AB191&gt;0,"C"&amp;AB191,"")))</f>
        <v/>
      </c>
    </row>
    <row r="192" spans="1:29" ht="11.1" customHeight="1">
      <c r="A192" s="87" t="s">
        <v>35</v>
      </c>
      <c r="B192" s="73"/>
      <c r="C192" s="73"/>
      <c r="D192" s="73"/>
      <c r="E192" s="73"/>
      <c r="F192" s="73"/>
      <c r="G192" s="73"/>
      <c r="H192" s="73"/>
      <c r="I192" s="73"/>
      <c r="J192" s="73"/>
      <c r="K192" s="73"/>
      <c r="L192" s="73"/>
      <c r="M192" s="73"/>
      <c r="N192" s="73"/>
      <c r="O192" s="73"/>
      <c r="P192" s="73"/>
      <c r="Q192" s="73"/>
      <c r="R192" s="73"/>
      <c r="S192" s="73"/>
      <c r="T192" s="73"/>
      <c r="U192" s="73"/>
      <c r="V192" s="73"/>
      <c r="W192" s="69"/>
      <c r="X192" s="69"/>
      <c r="Y192" s="69"/>
      <c r="Z192" s="69"/>
      <c r="AA192" s="69"/>
      <c r="AB192" s="69"/>
      <c r="AC192" s="69"/>
    </row>
    <row r="193" spans="1:29" ht="20.100000000000001" customHeight="1">
      <c r="A193" s="14" t="s">
        <v>36</v>
      </c>
      <c r="B193" s="15" t="s">
        <v>37</v>
      </c>
      <c r="C193" s="16" t="str">
        <f>IFERROR(INDEX(EJERCICIOS!$D$3:$D$75,MATCH(A193&amp;"|"&amp;B193,EJERCICIOS!$G$3:$G$75,0)),"--")</f>
        <v>peso_corporal</v>
      </c>
      <c r="D193" s="17">
        <v>3</v>
      </c>
      <c r="E193" s="18">
        <f>IFERROR(LOOKUP(2,1/(MEDIDAS_Y_PESO!$B$3:$B$11&lt;&gt;""),MEDIDAS_Y_PESO!$B$3:$B$11),"--")</f>
        <v>80</v>
      </c>
      <c r="F193" s="19"/>
      <c r="G193" s="20"/>
      <c r="H193" s="21"/>
      <c r="I193" s="19"/>
      <c r="J193" s="20"/>
      <c r="K193" s="21"/>
      <c r="L193" s="19"/>
      <c r="M193" s="20"/>
      <c r="N193" s="21"/>
      <c r="O193" s="19"/>
      <c r="P193" s="20"/>
      <c r="Q193" s="21"/>
      <c r="R193" s="19"/>
      <c r="S193" s="20"/>
      <c r="T193" s="21"/>
      <c r="U193" s="22" t="str">
        <f>IFERROR(IF(IF(X193&gt;0,X193,IF(Z193&gt;0,Z193,IF(AB193&gt;0,AB193,0)))=0,"--",ROUND(CHOOSE(IF(X193&gt;0,X193,IF(Z193&gt;0,Z193,IF(AB193&gt;0,AB193,0))),IF(C193="peso_corporal",IF(ISNUMBER(E193),E193,0)+F193,F193)*(1+G193/30),IF(C193="peso_corporal",IF(ISNUMBER(E193),E193,0)+I193,I193)*(1+J193/30),IF(C193="peso_corporal",IF(ISNUMBER(E193),E193,0)+L193,L193)*(1+M193/30),IF(C193="peso_corporal",IF(ISNUMBER(E193),E193,0)+O193,O193)*(1+P193/30),IF(C193="peso_corporal",IF(ISNUMBER(E193),E193,0)+R193,R193)*(1+S193/30)),1)),"--")</f>
        <v>--</v>
      </c>
      <c r="V193" s="23" t="str">
        <f>IF(SUGERENCIAS!N510="SIN","Sin datos anteriores",IF(SUGERENCIAS!N510="SUBIR_F","^ SUBIR FUERTE | Kg:"&amp;ROUND(SUGERENCIAS!K510,1)&amp;" R:"&amp;ROUND(SUGERENCIAS!L510,0)&amp;" RIR:"&amp;ROUND(SUGERENCIAS!M510,0),IF(SUGERENCIAS!N510="SUBIR_E","^ SUBIR (Est.) | Kg:"&amp;ROUND(SUGERENCIAS!K510,1)&amp;" R:"&amp;ROUND(SUGERENCIAS!L510,0)&amp;" RIR:"&amp;ROUND(SUGERENCIAS!M510,0),IF(SUGERENCIAS!N510="SUBIR","^ SUBIR | Kg:"&amp;ROUND(SUGERENCIAS!K510,1)&amp;" R:"&amp;ROUND(SUGERENCIAS!L510,0)&amp;" RIR:"&amp;ROUND(SUGERENCIAS!M510,0),IF(SUGERENCIAS!N510="BAJAR","v BAJAR | Kg:"&amp;ROUND(SUGERENCIAS!K510,1)&amp;" R:"&amp;ROUND(SUGERENCIAS!L510,0)&amp;" RIR:"&amp;ROUND(SUGERENCIAS!M510,0),"= MANT | Kg:"&amp;ROUND(SUGERENCIAS!K510,1)&amp;" R:"&amp;ROUND(SUGERENCIAS!L510,0)&amp;" RIR:"&amp;ROUND(SUGERENCIAS!M510,0))))))</f>
        <v>^ SUBIR FUERTE | Kg:5 R:6 RIR:2</v>
      </c>
      <c r="W193" s="69">
        <f>MAX(IF((G193&gt;0)*(IF(H193="",-1,H193)&gt;=0)*(IF(H193="",-1,H193)&lt;=1),IF(C193="peso_corporal",IF(ISNUMBER(E193),E193,0)+F193,F193)*G193*1000+F193,0),IF((J193&gt;0)*(IF(K193="",-1,K193)&gt;=0)*(IF(K193="",-1,K193)&lt;=1),IF(C193="peso_corporal",IF(ISNUMBER(E193),E193,0)+I193,I193)*J193*1000+I193,0),IF((M193&gt;0)*(IF(N193="",-1,N193)&gt;=0)*(IF(N193="",-1,N193)&lt;=1),IF(C193="peso_corporal",IF(ISNUMBER(E193),E193,0)+L193,L193)*M193*1000+L193,0),IF((P193&gt;0)*(IF(Q193="",-1,Q193)&gt;=0)*(IF(Q193="",-1,Q193)&lt;=1),IF(C193="peso_corporal",IF(ISNUMBER(E193),E193,0)+O193,O193)*P193*1000+O193,0),IF((S193&gt;0)*(IF(T193="",-1,T193)&gt;=0)*(IF(T193="",-1,T193)&lt;=1),IF(C193="peso_corporal",IF(ISNUMBER(E193),E193,0)+R193,R193)*S193*1000+R193,0))</f>
        <v>0</v>
      </c>
      <c r="X193" s="69">
        <f>IF(W193=0,0,IF(IF((S193&gt;0)*(IF(T193="",-1,T193)&gt;=0)*(IF(T193="",-1,T193)&lt;=1),IF(C193="peso_corporal",IF(ISNUMBER(E193),E193,0)+R193,R193)*S193*1000+R193,0)=W193,5,IF(IF((P193&gt;0)*(IF(Q193="",-1,Q193)&gt;=0)*(IF(Q193="",-1,Q193)&lt;=1),IF(C193="peso_corporal",IF(ISNUMBER(E193),E193,0)+O193,O193)*P193*1000+O193,0)=W193,4,IF(IF((M193&gt;0)*(IF(N193="",-1,N193)&gt;=0)*(IF(N193="",-1,N193)&lt;=1),IF(C193="peso_corporal",IF(ISNUMBER(E193),E193,0)+L193,L193)*M193*1000+L193,0)=W193,3,IF(IF((J193&gt;0)*(IF(K193="",-1,K193)&gt;=0)*(IF(K193="",-1,K193)&lt;=1),IF(C193="peso_corporal",IF(ISNUMBER(E193),E193,0)+I193,I193)*J193*1000+I193,0)=W193,2,IF(IF((G193&gt;0)*(IF(H193="",-1,H193)&gt;=0)*(IF(H193="",-1,H193)&lt;=1),IF(C193="peso_corporal",IF(ISNUMBER(E193),E193,0)+F193,F193)*G193*1000+F193,0)=W193,1,0))))))</f>
        <v>0</v>
      </c>
      <c r="Y193" s="69">
        <f>MAX(IF((G193&gt;0)*(IF(H193="",-1,H193)=0)*(1-(IF(H193="",-1,H193)&gt;=0)*(IF(H193="",-1,H193)&lt;=1)),IF(C193="peso_corporal",IF(ISNUMBER(E193),E193,0)+F193,F193)*G193*1000+F193,0),IF((J193&gt;0)*(IF(K193="",-1,K193)=0)*(1-(IF(K193="",-1,K193)&gt;=0)*(IF(K193="",-1,K193)&lt;=1)),IF(C193="peso_corporal",IF(ISNUMBER(E193),E193,0)+I193,I193)*J193*1000+I193,0),IF((M193&gt;0)*(IF(N193="",-1,N193)=0)*(1-(IF(N193="",-1,N193)&gt;=0)*(IF(N193="",-1,N193)&lt;=1)),IF(C193="peso_corporal",IF(ISNUMBER(E193),E193,0)+L193,L193)*M193*1000+L193,0),IF((P193&gt;0)*(IF(Q193="",-1,Q193)=0)*(1-(IF(Q193="",-1,Q193)&gt;=0)*(IF(Q193="",-1,Q193)&lt;=1)),IF(C193="peso_corporal",IF(ISNUMBER(E193),E193,0)+O193,O193)*P193*1000+O193,0),IF((S193&gt;0)*(IF(T193="",-1,T193)=0)*(1-(IF(T193="",-1,T193)&gt;=0)*(IF(T193="",-1,T193)&lt;=1)),IF(C193="peso_corporal",IF(ISNUMBER(E193),E193,0)+R193,R193)*S193*1000+R193,0))</f>
        <v>0</v>
      </c>
      <c r="Z193" s="69">
        <f>IF(Y193=0,0,IF(IF((S193&gt;0)*(IF(T193="",-1,T193)=0)*(1-(IF(T193="",-1,T193)&gt;=0)*(IF(T193="",-1,T193)&lt;=1)),IF(C193="peso_corporal",IF(ISNUMBER(E193),E193,0)+R193,R193)*S193*1000+R193,0)=Y193,5,IF(IF((P193&gt;0)*(IF(Q193="",-1,Q193)=0)*(1-(IF(Q193="",-1,Q193)&gt;=0)*(IF(Q193="",-1,Q193)&lt;=1)),IF(C193="peso_corporal",IF(ISNUMBER(E193),E193,0)+O193,O193)*P193*1000+O193,0)=Y193,4,IF(IF((M193&gt;0)*(IF(N193="",-1,N193)=0)*(1-(IF(N193="",-1,N193)&gt;=0)*(IF(N193="",-1,N193)&lt;=1)),IF(C193="peso_corporal",IF(ISNUMBER(E193),E193,0)+L193,L193)*M193*1000+L193,0)=Y193,3,IF(IF((J193&gt;0)*(IF(K193="",-1,K193)=0)*(1-(IF(K193="",-1,K193)&gt;=0)*(IF(K193="",-1,K193)&lt;=1)),IF(C193="peso_corporal",IF(ISNUMBER(E193),E193,0)+I193,I193)*J193*1000+I193,0)=Y193,2,IF(IF((G193&gt;0)*(IF(H193="",-1,H193)=0)*(1-(IF(H193="",-1,H193)&gt;=0)*(IF(H193="",-1,H193)&lt;=1)),IF(C193="peso_corporal",IF(ISNUMBER(E193),E193,0)+F193,F193)*G193*1000+F193,0)=Y193,1,0))))))</f>
        <v>0</v>
      </c>
      <c r="AA193" s="69">
        <f>MAX(IF((G193&gt;=3)*(1-(IF(H193="",-1,H193)&gt;=0)*(IF(H193="",-1,H193)&lt;=1))*(1-(IF(H193="",-1,H193)=0)),IF(C193="peso_corporal",IF(ISNUMBER(E193),E193,0)+F193,F193)*(30+G193)*100+F193,0),IF((J193&gt;=3)*(1-(IF(K193="",-1,K193)&gt;=0)*(IF(K193="",-1,K193)&lt;=1))*(1-(IF(K193="",-1,K193)=0)),IF(C193="peso_corporal",IF(ISNUMBER(E193),E193,0)+I193,I193)*(30+J193)*100+I193,0),IF((M193&gt;=3)*(1-(IF(N193="",-1,N193)&gt;=0)*(IF(N193="",-1,N193)&lt;=1))*(1-(IF(N193="",-1,N193)=0)),IF(C193="peso_corporal",IF(ISNUMBER(E193),E193,0)+L193,L193)*(30+M193)*100+L193,0),IF((P193&gt;=3)*(1-(IF(Q193="",-1,Q193)&gt;=0)*(IF(Q193="",-1,Q193)&lt;=1))*(1-(IF(Q193="",-1,Q193)=0)),IF(C193="peso_corporal",IF(ISNUMBER(E193),E193,0)+O193,O193)*(30+P193)*100+O193,0),IF((S193&gt;=3)*(1-(IF(T193="",-1,T193)&gt;=0)*(IF(T193="",-1,T193)&lt;=1))*(1-(IF(T193="",-1,T193)=0)),IF(C193="peso_corporal",IF(ISNUMBER(E193),E193,0)+R193,R193)*(30+S193)*100+R193,0))</f>
        <v>0</v>
      </c>
      <c r="AB193" s="69">
        <f>IF(AA193=0,0,IF(IF((S193&gt;=3)*(1-(IF(T193="",-1,T193)&gt;=0)*(IF(T193="",-1,T193)&lt;=1))*(1-(IF(T193="",-1,T193)=0)),IF(C193="peso_corporal",IF(ISNUMBER(E193),E193,0)+R193,R193)*(30+S193)*100+R193,0)=AA193,5,IF(IF((P193&gt;=3)*(1-(IF(Q193="",-1,Q193)&gt;=0)*(IF(Q193="",-1,Q193)&lt;=1))*(1-(IF(Q193="",-1,Q193)=0)),IF(C193="peso_corporal",IF(ISNUMBER(E193),E193,0)+O193,O193)*(30+P193)*100+O193,0)=AA193,4,IF(IF((M193&gt;=3)*(1-(IF(N193="",-1,N193)&gt;=0)*(IF(N193="",-1,N193)&lt;=1))*(1-(IF(N193="",-1,N193)=0)),IF(C193="peso_corporal",IF(ISNUMBER(E193),E193,0)+L193,L193)*(30+M193)*100+L193,0)=AA193,3,IF(IF((J193&gt;=3)*(1-(IF(K193="",-1,K193)&gt;=0)*(IF(K193="",-1,K193)&lt;=1))*(1-(IF(K193="",-1,K193)=0)),IF(C193="peso_corporal",IF(ISNUMBER(E193),E193,0)+I193,I193)*(30+J193)*100+I193,0)=AA193,2,IF(IF((G193&gt;=3)*(1-(IF(H193="",-1,H193)&gt;=0)*(IF(H193="",-1,H193)&lt;=1))*(1-(IF(H193="",-1,H193)=0)),IF(C193="peso_corporal",IF(ISNUMBER(E193),E193,0)+F193,F193)*(30+G193)*100+F193,0)=AA193,1,0))))))</f>
        <v>0</v>
      </c>
      <c r="AC193" s="69" t="str">
        <f>IF(X193&gt;0,"A"&amp;X193,IF(Z193&gt;0,"B"&amp;Z193,IF(AB193&gt;0,"C"&amp;AB193,"")))</f>
        <v/>
      </c>
    </row>
    <row r="194" spans="1:29" ht="20.100000000000001" customHeight="1">
      <c r="A194" s="14" t="s">
        <v>62</v>
      </c>
      <c r="B194" s="15" t="s">
        <v>39</v>
      </c>
      <c r="C194" s="16" t="str">
        <f>IFERROR(INDEX(EJERCICIOS!$D$3:$D$75,MATCH(A194&amp;"|"&amp;B194,EJERCICIOS!$G$3:$G$75,0)),"--")</f>
        <v>--</v>
      </c>
      <c r="D194" s="17">
        <v>3</v>
      </c>
      <c r="E194" s="18">
        <f>IFERROR(LOOKUP(2,1/(MEDIDAS_Y_PESO!$B$3:$B$11&lt;&gt;""),MEDIDAS_Y_PESO!$B$3:$B$11),"--")</f>
        <v>80</v>
      </c>
      <c r="F194" s="19"/>
      <c r="G194" s="20"/>
      <c r="H194" s="21"/>
      <c r="I194" s="19"/>
      <c r="J194" s="20"/>
      <c r="K194" s="21"/>
      <c r="L194" s="19"/>
      <c r="M194" s="20"/>
      <c r="N194" s="21"/>
      <c r="O194" s="19"/>
      <c r="P194" s="20"/>
      <c r="Q194" s="21"/>
      <c r="R194" s="19"/>
      <c r="S194" s="20"/>
      <c r="T194" s="21"/>
      <c r="U194" s="22" t="str">
        <f>IFERROR(IF(IF(X194&gt;0,X194,IF(Z194&gt;0,Z194,IF(AB194&gt;0,AB194,0)))=0,"--",ROUND(CHOOSE(IF(X194&gt;0,X194,IF(Z194&gt;0,Z194,IF(AB194&gt;0,AB194,0))),IF(C194="peso_corporal",IF(ISNUMBER(E194),E194,0)+F194,F194)*(1+G194/30),IF(C194="peso_corporal",IF(ISNUMBER(E194),E194,0)+I194,I194)*(1+J194/30),IF(C194="peso_corporal",IF(ISNUMBER(E194),E194,0)+L194,L194)*(1+M194/30),IF(C194="peso_corporal",IF(ISNUMBER(E194),E194,0)+O194,O194)*(1+P194/30),IF(C194="peso_corporal",IF(ISNUMBER(E194),E194,0)+R194,R194)*(1+S194/30)),1)),"--")</f>
        <v>--</v>
      </c>
      <c r="V194" s="23" t="str">
        <f>IF(SUGERENCIAS!N511="SIN","Sin datos anteriores",IF(SUGERENCIAS!N511="SUBIR_F","^ SUBIR FUERTE | Kg:"&amp;ROUND(SUGERENCIAS!K511,1)&amp;" R:"&amp;ROUND(SUGERENCIAS!L511,0)&amp;" RIR:"&amp;ROUND(SUGERENCIAS!M511,0),IF(SUGERENCIAS!N511="SUBIR_E","^ SUBIR (Est.) | Kg:"&amp;ROUND(SUGERENCIAS!K511,1)&amp;" R:"&amp;ROUND(SUGERENCIAS!L511,0)&amp;" RIR:"&amp;ROUND(SUGERENCIAS!M511,0),IF(SUGERENCIAS!N511="SUBIR","^ SUBIR | Kg:"&amp;ROUND(SUGERENCIAS!K511,1)&amp;" R:"&amp;ROUND(SUGERENCIAS!L511,0)&amp;" RIR:"&amp;ROUND(SUGERENCIAS!M511,0),IF(SUGERENCIAS!N511="BAJAR","v BAJAR | Kg:"&amp;ROUND(SUGERENCIAS!K511,1)&amp;" R:"&amp;ROUND(SUGERENCIAS!L511,0)&amp;" RIR:"&amp;ROUND(SUGERENCIAS!M511,0),"= MANT | Kg:"&amp;ROUND(SUGERENCIAS!K511,1)&amp;" R:"&amp;ROUND(SUGERENCIAS!L511,0)&amp;" RIR:"&amp;ROUND(SUGERENCIAS!M511,0))))))</f>
        <v>Sin datos anteriores</v>
      </c>
      <c r="W194" s="69">
        <f>MAX(IF((G194&gt;0)*(IF(H194="",-1,H194)&gt;=0)*(IF(H194="",-1,H194)&lt;=1),IF(C194="peso_corporal",IF(ISNUMBER(E194),E194,0)+F194,F194)*G194*1000+F194,0),IF((J194&gt;0)*(IF(K194="",-1,K194)&gt;=0)*(IF(K194="",-1,K194)&lt;=1),IF(C194="peso_corporal",IF(ISNUMBER(E194),E194,0)+I194,I194)*J194*1000+I194,0),IF((M194&gt;0)*(IF(N194="",-1,N194)&gt;=0)*(IF(N194="",-1,N194)&lt;=1),IF(C194="peso_corporal",IF(ISNUMBER(E194),E194,0)+L194,L194)*M194*1000+L194,0),IF((P194&gt;0)*(IF(Q194="",-1,Q194)&gt;=0)*(IF(Q194="",-1,Q194)&lt;=1),IF(C194="peso_corporal",IF(ISNUMBER(E194),E194,0)+O194,O194)*P194*1000+O194,0),IF((S194&gt;0)*(IF(T194="",-1,T194)&gt;=0)*(IF(T194="",-1,T194)&lt;=1),IF(C194="peso_corporal",IF(ISNUMBER(E194),E194,0)+R194,R194)*S194*1000+R194,0))</f>
        <v>0</v>
      </c>
      <c r="X194" s="69">
        <f>IF(W194=0,0,IF(IF((S194&gt;0)*(IF(T194="",-1,T194)&gt;=0)*(IF(T194="",-1,T194)&lt;=1),IF(C194="peso_corporal",IF(ISNUMBER(E194),E194,0)+R194,R194)*S194*1000+R194,0)=W194,5,IF(IF((P194&gt;0)*(IF(Q194="",-1,Q194)&gt;=0)*(IF(Q194="",-1,Q194)&lt;=1),IF(C194="peso_corporal",IF(ISNUMBER(E194),E194,0)+O194,O194)*P194*1000+O194,0)=W194,4,IF(IF((M194&gt;0)*(IF(N194="",-1,N194)&gt;=0)*(IF(N194="",-1,N194)&lt;=1),IF(C194="peso_corporal",IF(ISNUMBER(E194),E194,0)+L194,L194)*M194*1000+L194,0)=W194,3,IF(IF((J194&gt;0)*(IF(K194="",-1,K194)&gt;=0)*(IF(K194="",-1,K194)&lt;=1),IF(C194="peso_corporal",IF(ISNUMBER(E194),E194,0)+I194,I194)*J194*1000+I194,0)=W194,2,IF(IF((G194&gt;0)*(IF(H194="",-1,H194)&gt;=0)*(IF(H194="",-1,H194)&lt;=1),IF(C194="peso_corporal",IF(ISNUMBER(E194),E194,0)+F194,F194)*G194*1000+F194,0)=W194,1,0))))))</f>
        <v>0</v>
      </c>
      <c r="Y194" s="69">
        <f>MAX(IF((G194&gt;0)*(IF(H194="",-1,H194)=0)*(1-(IF(H194="",-1,H194)&gt;=0)*(IF(H194="",-1,H194)&lt;=1)),IF(C194="peso_corporal",IF(ISNUMBER(E194),E194,0)+F194,F194)*G194*1000+F194,0),IF((J194&gt;0)*(IF(K194="",-1,K194)=0)*(1-(IF(K194="",-1,K194)&gt;=0)*(IF(K194="",-1,K194)&lt;=1)),IF(C194="peso_corporal",IF(ISNUMBER(E194),E194,0)+I194,I194)*J194*1000+I194,0),IF((M194&gt;0)*(IF(N194="",-1,N194)=0)*(1-(IF(N194="",-1,N194)&gt;=0)*(IF(N194="",-1,N194)&lt;=1)),IF(C194="peso_corporal",IF(ISNUMBER(E194),E194,0)+L194,L194)*M194*1000+L194,0),IF((P194&gt;0)*(IF(Q194="",-1,Q194)=0)*(1-(IF(Q194="",-1,Q194)&gt;=0)*(IF(Q194="",-1,Q194)&lt;=1)),IF(C194="peso_corporal",IF(ISNUMBER(E194),E194,0)+O194,O194)*P194*1000+O194,0),IF((S194&gt;0)*(IF(T194="",-1,T194)=0)*(1-(IF(T194="",-1,T194)&gt;=0)*(IF(T194="",-1,T194)&lt;=1)),IF(C194="peso_corporal",IF(ISNUMBER(E194),E194,0)+R194,R194)*S194*1000+R194,0))</f>
        <v>0</v>
      </c>
      <c r="Z194" s="69">
        <f>IF(Y194=0,0,IF(IF((S194&gt;0)*(IF(T194="",-1,T194)=0)*(1-(IF(T194="",-1,T194)&gt;=0)*(IF(T194="",-1,T194)&lt;=1)),IF(C194="peso_corporal",IF(ISNUMBER(E194),E194,0)+R194,R194)*S194*1000+R194,0)=Y194,5,IF(IF((P194&gt;0)*(IF(Q194="",-1,Q194)=0)*(1-(IF(Q194="",-1,Q194)&gt;=0)*(IF(Q194="",-1,Q194)&lt;=1)),IF(C194="peso_corporal",IF(ISNUMBER(E194),E194,0)+O194,O194)*P194*1000+O194,0)=Y194,4,IF(IF((M194&gt;0)*(IF(N194="",-1,N194)=0)*(1-(IF(N194="",-1,N194)&gt;=0)*(IF(N194="",-1,N194)&lt;=1)),IF(C194="peso_corporal",IF(ISNUMBER(E194),E194,0)+L194,L194)*M194*1000+L194,0)=Y194,3,IF(IF((J194&gt;0)*(IF(K194="",-1,K194)=0)*(1-(IF(K194="",-1,K194)&gt;=0)*(IF(K194="",-1,K194)&lt;=1)),IF(C194="peso_corporal",IF(ISNUMBER(E194),E194,0)+I194,I194)*J194*1000+I194,0)=Y194,2,IF(IF((G194&gt;0)*(IF(H194="",-1,H194)=0)*(1-(IF(H194="",-1,H194)&gt;=0)*(IF(H194="",-1,H194)&lt;=1)),IF(C194="peso_corporal",IF(ISNUMBER(E194),E194,0)+F194,F194)*G194*1000+F194,0)=Y194,1,0))))))</f>
        <v>0</v>
      </c>
      <c r="AA194" s="69">
        <f>MAX(IF((G194&gt;=3)*(1-(IF(H194="",-1,H194)&gt;=0)*(IF(H194="",-1,H194)&lt;=1))*(1-(IF(H194="",-1,H194)=0)),IF(C194="peso_corporal",IF(ISNUMBER(E194),E194,0)+F194,F194)*(30+G194)*100+F194,0),IF((J194&gt;=3)*(1-(IF(K194="",-1,K194)&gt;=0)*(IF(K194="",-1,K194)&lt;=1))*(1-(IF(K194="",-1,K194)=0)),IF(C194="peso_corporal",IF(ISNUMBER(E194),E194,0)+I194,I194)*(30+J194)*100+I194,0),IF((M194&gt;=3)*(1-(IF(N194="",-1,N194)&gt;=0)*(IF(N194="",-1,N194)&lt;=1))*(1-(IF(N194="",-1,N194)=0)),IF(C194="peso_corporal",IF(ISNUMBER(E194),E194,0)+L194,L194)*(30+M194)*100+L194,0),IF((P194&gt;=3)*(1-(IF(Q194="",-1,Q194)&gt;=0)*(IF(Q194="",-1,Q194)&lt;=1))*(1-(IF(Q194="",-1,Q194)=0)),IF(C194="peso_corporal",IF(ISNUMBER(E194),E194,0)+O194,O194)*(30+P194)*100+O194,0),IF((S194&gt;=3)*(1-(IF(T194="",-1,T194)&gt;=0)*(IF(T194="",-1,T194)&lt;=1))*(1-(IF(T194="",-1,T194)=0)),IF(C194="peso_corporal",IF(ISNUMBER(E194),E194,0)+R194,R194)*(30+S194)*100+R194,0))</f>
        <v>0</v>
      </c>
      <c r="AB194" s="69">
        <f>IF(AA194=0,0,IF(IF((S194&gt;=3)*(1-(IF(T194="",-1,T194)&gt;=0)*(IF(T194="",-1,T194)&lt;=1))*(1-(IF(T194="",-1,T194)=0)),IF(C194="peso_corporal",IF(ISNUMBER(E194),E194,0)+R194,R194)*(30+S194)*100+R194,0)=AA194,5,IF(IF((P194&gt;=3)*(1-(IF(Q194="",-1,Q194)&gt;=0)*(IF(Q194="",-1,Q194)&lt;=1))*(1-(IF(Q194="",-1,Q194)=0)),IF(C194="peso_corporal",IF(ISNUMBER(E194),E194,0)+O194,O194)*(30+P194)*100+O194,0)=AA194,4,IF(IF((M194&gt;=3)*(1-(IF(N194="",-1,N194)&gt;=0)*(IF(N194="",-1,N194)&lt;=1))*(1-(IF(N194="",-1,N194)=0)),IF(C194="peso_corporal",IF(ISNUMBER(E194),E194,0)+L194,L194)*(30+M194)*100+L194,0)=AA194,3,IF(IF((J194&gt;=3)*(1-(IF(K194="",-1,K194)&gt;=0)*(IF(K194="",-1,K194)&lt;=1))*(1-(IF(K194="",-1,K194)=0)),IF(C194="peso_corporal",IF(ISNUMBER(E194),E194,0)+I194,I194)*(30+J194)*100+I194,0)=AA194,2,IF(IF((G194&gt;=3)*(1-(IF(H194="",-1,H194)&gt;=0)*(IF(H194="",-1,H194)&lt;=1))*(1-(IF(H194="",-1,H194)=0)),IF(C194="peso_corporal",IF(ISNUMBER(E194),E194,0)+F194,F194)*(30+G194)*100+F194,0)=AA194,1,0))))))</f>
        <v>0</v>
      </c>
      <c r="AC194" s="69" t="str">
        <f>IF(X194&gt;0,"A"&amp;X194,IF(Z194&gt;0,"B"&amp;Z194,IF(AB194&gt;0,"C"&amp;AB194,"")))</f>
        <v/>
      </c>
    </row>
    <row r="195" spans="1:29" ht="20.100000000000001" customHeight="1">
      <c r="A195" s="14" t="s">
        <v>62</v>
      </c>
      <c r="B195" s="15" t="s">
        <v>63</v>
      </c>
      <c r="C195" s="16" t="str">
        <f>IFERROR(INDEX(EJERCICIOS!$D$3:$D$75,MATCH(A195&amp;"|"&amp;B195,EJERCICIOS!$G$3:$G$75,0)),"--")</f>
        <v>--</v>
      </c>
      <c r="D195" s="17">
        <v>3</v>
      </c>
      <c r="E195" s="18">
        <f>IFERROR(LOOKUP(2,1/(MEDIDAS_Y_PESO!$B$3:$B$11&lt;&gt;""),MEDIDAS_Y_PESO!$B$3:$B$11),"--")</f>
        <v>80</v>
      </c>
      <c r="F195" s="19"/>
      <c r="G195" s="20"/>
      <c r="H195" s="21"/>
      <c r="I195" s="19"/>
      <c r="J195" s="20"/>
      <c r="K195" s="21"/>
      <c r="L195" s="19"/>
      <c r="M195" s="20"/>
      <c r="N195" s="21"/>
      <c r="O195" s="19"/>
      <c r="P195" s="20"/>
      <c r="Q195" s="21"/>
      <c r="R195" s="19"/>
      <c r="S195" s="20"/>
      <c r="T195" s="21"/>
      <c r="U195" s="22" t="str">
        <f>IFERROR(IF(IF(X195&gt;0,X195,IF(Z195&gt;0,Z195,IF(AB195&gt;0,AB195,0)))=0,"--",ROUND(CHOOSE(IF(X195&gt;0,X195,IF(Z195&gt;0,Z195,IF(AB195&gt;0,AB195,0))),IF(C195="peso_corporal",IF(ISNUMBER(E195),E195,0)+F195,F195)*(1+G195/30),IF(C195="peso_corporal",IF(ISNUMBER(E195),E195,0)+I195,I195)*(1+J195/30),IF(C195="peso_corporal",IF(ISNUMBER(E195),E195,0)+L195,L195)*(1+M195/30),IF(C195="peso_corporal",IF(ISNUMBER(E195),E195,0)+O195,O195)*(1+P195/30),IF(C195="peso_corporal",IF(ISNUMBER(E195),E195,0)+R195,R195)*(1+S195/30)),1)),"--")</f>
        <v>--</v>
      </c>
      <c r="V195" s="23" t="str">
        <f>IF(SUGERENCIAS!N512="SIN","Sin datos anteriores",IF(SUGERENCIAS!N512="SUBIR_F","^ SUBIR FUERTE | Kg:"&amp;ROUND(SUGERENCIAS!K512,1)&amp;" R:"&amp;ROUND(SUGERENCIAS!L512,0)&amp;" RIR:"&amp;ROUND(SUGERENCIAS!M512,0),IF(SUGERENCIAS!N512="SUBIR_E","^ SUBIR (Est.) | Kg:"&amp;ROUND(SUGERENCIAS!K512,1)&amp;" R:"&amp;ROUND(SUGERENCIAS!L512,0)&amp;" RIR:"&amp;ROUND(SUGERENCIAS!M512,0),IF(SUGERENCIAS!N512="SUBIR","^ SUBIR | Kg:"&amp;ROUND(SUGERENCIAS!K512,1)&amp;" R:"&amp;ROUND(SUGERENCIAS!L512,0)&amp;" RIR:"&amp;ROUND(SUGERENCIAS!M512,0),IF(SUGERENCIAS!N512="BAJAR","v BAJAR | Kg:"&amp;ROUND(SUGERENCIAS!K512,1)&amp;" R:"&amp;ROUND(SUGERENCIAS!L512,0)&amp;" RIR:"&amp;ROUND(SUGERENCIAS!M512,0),"= MANT | Kg:"&amp;ROUND(SUGERENCIAS!K512,1)&amp;" R:"&amp;ROUND(SUGERENCIAS!L512,0)&amp;" RIR:"&amp;ROUND(SUGERENCIAS!M512,0))))))</f>
        <v>Sin datos anteriores</v>
      </c>
      <c r="W195" s="69">
        <f>MAX(IF((G195&gt;0)*(IF(H195="",-1,H195)&gt;=0)*(IF(H195="",-1,H195)&lt;=1),IF(C195="peso_corporal",IF(ISNUMBER(E195),E195,0)+F195,F195)*G195*1000+F195,0),IF((J195&gt;0)*(IF(K195="",-1,K195)&gt;=0)*(IF(K195="",-1,K195)&lt;=1),IF(C195="peso_corporal",IF(ISNUMBER(E195),E195,0)+I195,I195)*J195*1000+I195,0),IF((M195&gt;0)*(IF(N195="",-1,N195)&gt;=0)*(IF(N195="",-1,N195)&lt;=1),IF(C195="peso_corporal",IF(ISNUMBER(E195),E195,0)+L195,L195)*M195*1000+L195,0),IF((P195&gt;0)*(IF(Q195="",-1,Q195)&gt;=0)*(IF(Q195="",-1,Q195)&lt;=1),IF(C195="peso_corporal",IF(ISNUMBER(E195),E195,0)+O195,O195)*P195*1000+O195,0),IF((S195&gt;0)*(IF(T195="",-1,T195)&gt;=0)*(IF(T195="",-1,T195)&lt;=1),IF(C195="peso_corporal",IF(ISNUMBER(E195),E195,0)+R195,R195)*S195*1000+R195,0))</f>
        <v>0</v>
      </c>
      <c r="X195" s="69">
        <f>IF(W195=0,0,IF(IF((S195&gt;0)*(IF(T195="",-1,T195)&gt;=0)*(IF(T195="",-1,T195)&lt;=1),IF(C195="peso_corporal",IF(ISNUMBER(E195),E195,0)+R195,R195)*S195*1000+R195,0)=W195,5,IF(IF((P195&gt;0)*(IF(Q195="",-1,Q195)&gt;=0)*(IF(Q195="",-1,Q195)&lt;=1),IF(C195="peso_corporal",IF(ISNUMBER(E195),E195,0)+O195,O195)*P195*1000+O195,0)=W195,4,IF(IF((M195&gt;0)*(IF(N195="",-1,N195)&gt;=0)*(IF(N195="",-1,N195)&lt;=1),IF(C195="peso_corporal",IF(ISNUMBER(E195),E195,0)+L195,L195)*M195*1000+L195,0)=W195,3,IF(IF((J195&gt;0)*(IF(K195="",-1,K195)&gt;=0)*(IF(K195="",-1,K195)&lt;=1),IF(C195="peso_corporal",IF(ISNUMBER(E195),E195,0)+I195,I195)*J195*1000+I195,0)=W195,2,IF(IF((G195&gt;0)*(IF(H195="",-1,H195)&gt;=0)*(IF(H195="",-1,H195)&lt;=1),IF(C195="peso_corporal",IF(ISNUMBER(E195),E195,0)+F195,F195)*G195*1000+F195,0)=W195,1,0))))))</f>
        <v>0</v>
      </c>
      <c r="Y195" s="69">
        <f>MAX(IF((G195&gt;0)*(IF(H195="",-1,H195)=0)*(1-(IF(H195="",-1,H195)&gt;=0)*(IF(H195="",-1,H195)&lt;=1)),IF(C195="peso_corporal",IF(ISNUMBER(E195),E195,0)+F195,F195)*G195*1000+F195,0),IF((J195&gt;0)*(IF(K195="",-1,K195)=0)*(1-(IF(K195="",-1,K195)&gt;=0)*(IF(K195="",-1,K195)&lt;=1)),IF(C195="peso_corporal",IF(ISNUMBER(E195),E195,0)+I195,I195)*J195*1000+I195,0),IF((M195&gt;0)*(IF(N195="",-1,N195)=0)*(1-(IF(N195="",-1,N195)&gt;=0)*(IF(N195="",-1,N195)&lt;=1)),IF(C195="peso_corporal",IF(ISNUMBER(E195),E195,0)+L195,L195)*M195*1000+L195,0),IF((P195&gt;0)*(IF(Q195="",-1,Q195)=0)*(1-(IF(Q195="",-1,Q195)&gt;=0)*(IF(Q195="",-1,Q195)&lt;=1)),IF(C195="peso_corporal",IF(ISNUMBER(E195),E195,0)+O195,O195)*P195*1000+O195,0),IF((S195&gt;0)*(IF(T195="",-1,T195)=0)*(1-(IF(T195="",-1,T195)&gt;=0)*(IF(T195="",-1,T195)&lt;=1)),IF(C195="peso_corporal",IF(ISNUMBER(E195),E195,0)+R195,R195)*S195*1000+R195,0))</f>
        <v>0</v>
      </c>
      <c r="Z195" s="69">
        <f>IF(Y195=0,0,IF(IF((S195&gt;0)*(IF(T195="",-1,T195)=0)*(1-(IF(T195="",-1,T195)&gt;=0)*(IF(T195="",-1,T195)&lt;=1)),IF(C195="peso_corporal",IF(ISNUMBER(E195),E195,0)+R195,R195)*S195*1000+R195,0)=Y195,5,IF(IF((P195&gt;0)*(IF(Q195="",-1,Q195)=0)*(1-(IF(Q195="",-1,Q195)&gt;=0)*(IF(Q195="",-1,Q195)&lt;=1)),IF(C195="peso_corporal",IF(ISNUMBER(E195),E195,0)+O195,O195)*P195*1000+O195,0)=Y195,4,IF(IF((M195&gt;0)*(IF(N195="",-1,N195)=0)*(1-(IF(N195="",-1,N195)&gt;=0)*(IF(N195="",-1,N195)&lt;=1)),IF(C195="peso_corporal",IF(ISNUMBER(E195),E195,0)+L195,L195)*M195*1000+L195,0)=Y195,3,IF(IF((J195&gt;0)*(IF(K195="",-1,K195)=0)*(1-(IF(K195="",-1,K195)&gt;=0)*(IF(K195="",-1,K195)&lt;=1)),IF(C195="peso_corporal",IF(ISNUMBER(E195),E195,0)+I195,I195)*J195*1000+I195,0)=Y195,2,IF(IF((G195&gt;0)*(IF(H195="",-1,H195)=0)*(1-(IF(H195="",-1,H195)&gt;=0)*(IF(H195="",-1,H195)&lt;=1)),IF(C195="peso_corporal",IF(ISNUMBER(E195),E195,0)+F195,F195)*G195*1000+F195,0)=Y195,1,0))))))</f>
        <v>0</v>
      </c>
      <c r="AA195" s="69">
        <f>MAX(IF((G195&gt;=3)*(1-(IF(H195="",-1,H195)&gt;=0)*(IF(H195="",-1,H195)&lt;=1))*(1-(IF(H195="",-1,H195)=0)),IF(C195="peso_corporal",IF(ISNUMBER(E195),E195,0)+F195,F195)*(30+G195)*100+F195,0),IF((J195&gt;=3)*(1-(IF(K195="",-1,K195)&gt;=0)*(IF(K195="",-1,K195)&lt;=1))*(1-(IF(K195="",-1,K195)=0)),IF(C195="peso_corporal",IF(ISNUMBER(E195),E195,0)+I195,I195)*(30+J195)*100+I195,0),IF((M195&gt;=3)*(1-(IF(N195="",-1,N195)&gt;=0)*(IF(N195="",-1,N195)&lt;=1))*(1-(IF(N195="",-1,N195)=0)),IF(C195="peso_corporal",IF(ISNUMBER(E195),E195,0)+L195,L195)*(30+M195)*100+L195,0),IF((P195&gt;=3)*(1-(IF(Q195="",-1,Q195)&gt;=0)*(IF(Q195="",-1,Q195)&lt;=1))*(1-(IF(Q195="",-1,Q195)=0)),IF(C195="peso_corporal",IF(ISNUMBER(E195),E195,0)+O195,O195)*(30+P195)*100+O195,0),IF((S195&gt;=3)*(1-(IF(T195="",-1,T195)&gt;=0)*(IF(T195="",-1,T195)&lt;=1))*(1-(IF(T195="",-1,T195)=0)),IF(C195="peso_corporal",IF(ISNUMBER(E195),E195,0)+R195,R195)*(30+S195)*100+R195,0))</f>
        <v>0</v>
      </c>
      <c r="AB195" s="69">
        <f>IF(AA195=0,0,IF(IF((S195&gt;=3)*(1-(IF(T195="",-1,T195)&gt;=0)*(IF(T195="",-1,T195)&lt;=1))*(1-(IF(T195="",-1,T195)=0)),IF(C195="peso_corporal",IF(ISNUMBER(E195),E195,0)+R195,R195)*(30+S195)*100+R195,0)=AA195,5,IF(IF((P195&gt;=3)*(1-(IF(Q195="",-1,Q195)&gt;=0)*(IF(Q195="",-1,Q195)&lt;=1))*(1-(IF(Q195="",-1,Q195)=0)),IF(C195="peso_corporal",IF(ISNUMBER(E195),E195,0)+O195,O195)*(30+P195)*100+O195,0)=AA195,4,IF(IF((M195&gt;=3)*(1-(IF(N195="",-1,N195)&gt;=0)*(IF(N195="",-1,N195)&lt;=1))*(1-(IF(N195="",-1,N195)=0)),IF(C195="peso_corporal",IF(ISNUMBER(E195),E195,0)+L195,L195)*(30+M195)*100+L195,0)=AA195,3,IF(IF((J195&gt;=3)*(1-(IF(K195="",-1,K195)&gt;=0)*(IF(K195="",-1,K195)&lt;=1))*(1-(IF(K195="",-1,K195)=0)),IF(C195="peso_corporal",IF(ISNUMBER(E195),E195,0)+I195,I195)*(30+J195)*100+I195,0)=AA195,2,IF(IF((G195&gt;=3)*(1-(IF(H195="",-1,H195)&gt;=0)*(IF(H195="",-1,H195)&lt;=1))*(1-(IF(H195="",-1,H195)=0)),IF(C195="peso_corporal",IF(ISNUMBER(E195),E195,0)+F195,F195)*(30+G195)*100+F195,0)=AA195,1,0))))))</f>
        <v>0</v>
      </c>
      <c r="AC195" s="69" t="str">
        <f>IF(X195&gt;0,"A"&amp;X195,IF(Z195&gt;0,"B"&amp;Z195,IF(AB195&gt;0,"C"&amp;AB195,"")))</f>
        <v/>
      </c>
    </row>
    <row r="196" spans="1:29" ht="15" customHeight="1">
      <c r="A196" s="81" t="s">
        <v>42</v>
      </c>
      <c r="B196" s="73"/>
      <c r="C196" s="73"/>
      <c r="D196" s="73"/>
      <c r="E196" s="73"/>
      <c r="F196" s="73"/>
      <c r="G196" s="73"/>
      <c r="H196" s="73"/>
      <c r="I196" s="73"/>
      <c r="J196" s="73"/>
      <c r="K196" s="73"/>
      <c r="L196" s="73"/>
      <c r="M196" s="73"/>
      <c r="N196" s="73"/>
      <c r="O196" s="73"/>
      <c r="P196" s="73"/>
      <c r="Q196" s="73"/>
      <c r="R196" s="73"/>
      <c r="S196" s="73"/>
      <c r="T196" s="73"/>
      <c r="U196" s="73"/>
      <c r="V196" s="73"/>
      <c r="W196" s="69"/>
      <c r="X196" s="69"/>
      <c r="Y196" s="69"/>
      <c r="Z196" s="69"/>
      <c r="AA196" s="69"/>
      <c r="AB196" s="69"/>
      <c r="AC196" s="69"/>
    </row>
    <row r="197" spans="1:29" ht="20.100000000000001" customHeight="1">
      <c r="A197" s="14" t="s">
        <v>43</v>
      </c>
      <c r="B197" s="15" t="s">
        <v>44</v>
      </c>
      <c r="C197" s="16" t="str">
        <f>IFERROR(INDEX(EJERCICIOS!$D$3:$D$75,MATCH(A197&amp;"|"&amp;B197,EJERCICIOS!$G$3:$G$75,0)),"--")</f>
        <v>polea</v>
      </c>
      <c r="D197" s="17">
        <v>3</v>
      </c>
      <c r="E197" s="18">
        <f>IFERROR(LOOKUP(2,1/(MEDIDAS_Y_PESO!$B$3:$B$11&lt;&gt;""),MEDIDAS_Y_PESO!$B$3:$B$11),"--")</f>
        <v>80</v>
      </c>
      <c r="F197" s="19"/>
      <c r="G197" s="20"/>
      <c r="H197" s="21"/>
      <c r="I197" s="19"/>
      <c r="J197" s="20"/>
      <c r="K197" s="21"/>
      <c r="L197" s="19"/>
      <c r="M197" s="20"/>
      <c r="N197" s="21"/>
      <c r="O197" s="19"/>
      <c r="P197" s="20"/>
      <c r="Q197" s="21"/>
      <c r="R197" s="19"/>
      <c r="S197" s="20"/>
      <c r="T197" s="21"/>
      <c r="U197" s="22" t="str">
        <f>IFERROR(IF(IF(X197&gt;0,X197,IF(Z197&gt;0,Z197,IF(AB197&gt;0,AB197,0)))=0,"--",ROUND(CHOOSE(IF(X197&gt;0,X197,IF(Z197&gt;0,Z197,IF(AB197&gt;0,AB197,0))),IF(C197="peso_corporal",IF(ISNUMBER(E197),E197,0)+F197,F197)*(1+G197/30),IF(C197="peso_corporal",IF(ISNUMBER(E197),E197,0)+I197,I197)*(1+J197/30),IF(C197="peso_corporal",IF(ISNUMBER(E197),E197,0)+L197,L197)*(1+M197/30),IF(C197="peso_corporal",IF(ISNUMBER(E197),E197,0)+O197,O197)*(1+P197/30),IF(C197="peso_corporal",IF(ISNUMBER(E197),E197,0)+R197,R197)*(1+S197/30)),1)),"--")</f>
        <v>--</v>
      </c>
      <c r="V197" s="23" t="str">
        <f>IF(SUGERENCIAS!N513="SIN","Sin datos anteriores",IF(SUGERENCIAS!N513="SUBIR_F","^ SUBIR FUERTE | Kg:"&amp;ROUND(SUGERENCIAS!K513,1)&amp;" R:"&amp;ROUND(SUGERENCIAS!L513,0)&amp;" RIR:"&amp;ROUND(SUGERENCIAS!M513,0),IF(SUGERENCIAS!N513="SUBIR_E","^ SUBIR (Est.) | Kg:"&amp;ROUND(SUGERENCIAS!K513,1)&amp;" R:"&amp;ROUND(SUGERENCIAS!L513,0)&amp;" RIR:"&amp;ROUND(SUGERENCIAS!M513,0),IF(SUGERENCIAS!N513="SUBIR","^ SUBIR | Kg:"&amp;ROUND(SUGERENCIAS!K513,1)&amp;" R:"&amp;ROUND(SUGERENCIAS!L513,0)&amp;" RIR:"&amp;ROUND(SUGERENCIAS!M513,0),IF(SUGERENCIAS!N513="BAJAR","v BAJAR | Kg:"&amp;ROUND(SUGERENCIAS!K513,1)&amp;" R:"&amp;ROUND(SUGERENCIAS!L513,0)&amp;" RIR:"&amp;ROUND(SUGERENCIAS!M513,0),"= MANT | Kg:"&amp;ROUND(SUGERENCIAS!K513,1)&amp;" R:"&amp;ROUND(SUGERENCIAS!L513,0)&amp;" RIR:"&amp;ROUND(SUGERENCIAS!M513,0))))))</f>
        <v>Sin datos anteriores</v>
      </c>
      <c r="W197" s="69">
        <f>MAX(IF((G197&gt;0)*(IF(H197="",-1,H197)&gt;=0)*(IF(H197="",-1,H197)&lt;=1),IF(C197="peso_corporal",IF(ISNUMBER(E197),E197,0)+F197,F197)*G197*1000+F197,0),IF((J197&gt;0)*(IF(K197="",-1,K197)&gt;=0)*(IF(K197="",-1,K197)&lt;=1),IF(C197="peso_corporal",IF(ISNUMBER(E197),E197,0)+I197,I197)*J197*1000+I197,0),IF((M197&gt;0)*(IF(N197="",-1,N197)&gt;=0)*(IF(N197="",-1,N197)&lt;=1),IF(C197="peso_corporal",IF(ISNUMBER(E197),E197,0)+L197,L197)*M197*1000+L197,0),IF((P197&gt;0)*(IF(Q197="",-1,Q197)&gt;=0)*(IF(Q197="",-1,Q197)&lt;=1),IF(C197="peso_corporal",IF(ISNUMBER(E197),E197,0)+O197,O197)*P197*1000+O197,0),IF((S197&gt;0)*(IF(T197="",-1,T197)&gt;=0)*(IF(T197="",-1,T197)&lt;=1),IF(C197="peso_corporal",IF(ISNUMBER(E197),E197,0)+R197,R197)*S197*1000+R197,0))</f>
        <v>0</v>
      </c>
      <c r="X197" s="69">
        <f>IF(W197=0,0,IF(IF((S197&gt;0)*(IF(T197="",-1,T197)&gt;=0)*(IF(T197="",-1,T197)&lt;=1),IF(C197="peso_corporal",IF(ISNUMBER(E197),E197,0)+R197,R197)*S197*1000+R197,0)=W197,5,IF(IF((P197&gt;0)*(IF(Q197="",-1,Q197)&gt;=0)*(IF(Q197="",-1,Q197)&lt;=1),IF(C197="peso_corporal",IF(ISNUMBER(E197),E197,0)+O197,O197)*P197*1000+O197,0)=W197,4,IF(IF((M197&gt;0)*(IF(N197="",-1,N197)&gt;=0)*(IF(N197="",-1,N197)&lt;=1),IF(C197="peso_corporal",IF(ISNUMBER(E197),E197,0)+L197,L197)*M197*1000+L197,0)=W197,3,IF(IF((J197&gt;0)*(IF(K197="",-1,K197)&gt;=0)*(IF(K197="",-1,K197)&lt;=1),IF(C197="peso_corporal",IF(ISNUMBER(E197),E197,0)+I197,I197)*J197*1000+I197,0)=W197,2,IF(IF((G197&gt;0)*(IF(H197="",-1,H197)&gt;=0)*(IF(H197="",-1,H197)&lt;=1),IF(C197="peso_corporal",IF(ISNUMBER(E197),E197,0)+F197,F197)*G197*1000+F197,0)=W197,1,0))))))</f>
        <v>0</v>
      </c>
      <c r="Y197" s="69">
        <f>MAX(IF((G197&gt;0)*(IF(H197="",-1,H197)=0)*(1-(IF(H197="",-1,H197)&gt;=0)*(IF(H197="",-1,H197)&lt;=1)),IF(C197="peso_corporal",IF(ISNUMBER(E197),E197,0)+F197,F197)*G197*1000+F197,0),IF((J197&gt;0)*(IF(K197="",-1,K197)=0)*(1-(IF(K197="",-1,K197)&gt;=0)*(IF(K197="",-1,K197)&lt;=1)),IF(C197="peso_corporal",IF(ISNUMBER(E197),E197,0)+I197,I197)*J197*1000+I197,0),IF((M197&gt;0)*(IF(N197="",-1,N197)=0)*(1-(IF(N197="",-1,N197)&gt;=0)*(IF(N197="",-1,N197)&lt;=1)),IF(C197="peso_corporal",IF(ISNUMBER(E197),E197,0)+L197,L197)*M197*1000+L197,0),IF((P197&gt;0)*(IF(Q197="",-1,Q197)=0)*(1-(IF(Q197="",-1,Q197)&gt;=0)*(IF(Q197="",-1,Q197)&lt;=1)),IF(C197="peso_corporal",IF(ISNUMBER(E197),E197,0)+O197,O197)*P197*1000+O197,0),IF((S197&gt;0)*(IF(T197="",-1,T197)=0)*(1-(IF(T197="",-1,T197)&gt;=0)*(IF(T197="",-1,T197)&lt;=1)),IF(C197="peso_corporal",IF(ISNUMBER(E197),E197,0)+R197,R197)*S197*1000+R197,0))</f>
        <v>0</v>
      </c>
      <c r="Z197" s="69">
        <f>IF(Y197=0,0,IF(IF((S197&gt;0)*(IF(T197="",-1,T197)=0)*(1-(IF(T197="",-1,T197)&gt;=0)*(IF(T197="",-1,T197)&lt;=1)),IF(C197="peso_corporal",IF(ISNUMBER(E197),E197,0)+R197,R197)*S197*1000+R197,0)=Y197,5,IF(IF((P197&gt;0)*(IF(Q197="",-1,Q197)=0)*(1-(IF(Q197="",-1,Q197)&gt;=0)*(IF(Q197="",-1,Q197)&lt;=1)),IF(C197="peso_corporal",IF(ISNUMBER(E197),E197,0)+O197,O197)*P197*1000+O197,0)=Y197,4,IF(IF((M197&gt;0)*(IF(N197="",-1,N197)=0)*(1-(IF(N197="",-1,N197)&gt;=0)*(IF(N197="",-1,N197)&lt;=1)),IF(C197="peso_corporal",IF(ISNUMBER(E197),E197,0)+L197,L197)*M197*1000+L197,0)=Y197,3,IF(IF((J197&gt;0)*(IF(K197="",-1,K197)=0)*(1-(IF(K197="",-1,K197)&gt;=0)*(IF(K197="",-1,K197)&lt;=1)),IF(C197="peso_corporal",IF(ISNUMBER(E197),E197,0)+I197,I197)*J197*1000+I197,0)=Y197,2,IF(IF((G197&gt;0)*(IF(H197="",-1,H197)=0)*(1-(IF(H197="",-1,H197)&gt;=0)*(IF(H197="",-1,H197)&lt;=1)),IF(C197="peso_corporal",IF(ISNUMBER(E197),E197,0)+F197,F197)*G197*1000+F197,0)=Y197,1,0))))))</f>
        <v>0</v>
      </c>
      <c r="AA197" s="69">
        <f>MAX(IF((G197&gt;=3)*(1-(IF(H197="",-1,H197)&gt;=0)*(IF(H197="",-1,H197)&lt;=1))*(1-(IF(H197="",-1,H197)=0)),IF(C197="peso_corporal",IF(ISNUMBER(E197),E197,0)+F197,F197)*(30+G197)*100+F197,0),IF((J197&gt;=3)*(1-(IF(K197="",-1,K197)&gt;=0)*(IF(K197="",-1,K197)&lt;=1))*(1-(IF(K197="",-1,K197)=0)),IF(C197="peso_corporal",IF(ISNUMBER(E197),E197,0)+I197,I197)*(30+J197)*100+I197,0),IF((M197&gt;=3)*(1-(IF(N197="",-1,N197)&gt;=0)*(IF(N197="",-1,N197)&lt;=1))*(1-(IF(N197="",-1,N197)=0)),IF(C197="peso_corporal",IF(ISNUMBER(E197),E197,0)+L197,L197)*(30+M197)*100+L197,0),IF((P197&gt;=3)*(1-(IF(Q197="",-1,Q197)&gt;=0)*(IF(Q197="",-1,Q197)&lt;=1))*(1-(IF(Q197="",-1,Q197)=0)),IF(C197="peso_corporal",IF(ISNUMBER(E197),E197,0)+O197,O197)*(30+P197)*100+O197,0),IF((S197&gt;=3)*(1-(IF(T197="",-1,T197)&gt;=0)*(IF(T197="",-1,T197)&lt;=1))*(1-(IF(T197="",-1,T197)=0)),IF(C197="peso_corporal",IF(ISNUMBER(E197),E197,0)+R197,R197)*(30+S197)*100+R197,0))</f>
        <v>0</v>
      </c>
      <c r="AB197" s="69">
        <f>IF(AA197=0,0,IF(IF((S197&gt;=3)*(1-(IF(T197="",-1,T197)&gt;=0)*(IF(T197="",-1,T197)&lt;=1))*(1-(IF(T197="",-1,T197)=0)),IF(C197="peso_corporal",IF(ISNUMBER(E197),E197,0)+R197,R197)*(30+S197)*100+R197,0)=AA197,5,IF(IF((P197&gt;=3)*(1-(IF(Q197="",-1,Q197)&gt;=0)*(IF(Q197="",-1,Q197)&lt;=1))*(1-(IF(Q197="",-1,Q197)=0)),IF(C197="peso_corporal",IF(ISNUMBER(E197),E197,0)+O197,O197)*(30+P197)*100+O197,0)=AA197,4,IF(IF((M197&gt;=3)*(1-(IF(N197="",-1,N197)&gt;=0)*(IF(N197="",-1,N197)&lt;=1))*(1-(IF(N197="",-1,N197)=0)),IF(C197="peso_corporal",IF(ISNUMBER(E197),E197,0)+L197,L197)*(30+M197)*100+L197,0)=AA197,3,IF(IF((J197&gt;=3)*(1-(IF(K197="",-1,K197)&gt;=0)*(IF(K197="",-1,K197)&lt;=1))*(1-(IF(K197="",-1,K197)=0)),IF(C197="peso_corporal",IF(ISNUMBER(E197),E197,0)+I197,I197)*(30+J197)*100+I197,0)=AA197,2,IF(IF((G197&gt;=3)*(1-(IF(H197="",-1,H197)&gt;=0)*(IF(H197="",-1,H197)&lt;=1))*(1-(IF(H197="",-1,H197)=0)),IF(C197="peso_corporal",IF(ISNUMBER(E197),E197,0)+F197,F197)*(30+G197)*100+F197,0)=AA197,1,0))))))</f>
        <v>0</v>
      </c>
      <c r="AC197" s="69" t="str">
        <f>IF(X197&gt;0,"A"&amp;X197,IF(Z197&gt;0,"B"&amp;Z197,IF(AB197&gt;0,"C"&amp;AB197,"")))</f>
        <v/>
      </c>
    </row>
    <row r="198" spans="1:29" ht="20.100000000000001" customHeight="1">
      <c r="A198" s="14" t="s">
        <v>45</v>
      </c>
      <c r="B198" s="15" t="s">
        <v>46</v>
      </c>
      <c r="C198" s="16" t="str">
        <f>IFERROR(INDEX(EJERCICIOS!$D$3:$D$75,MATCH(A198&amp;"|"&amp;B198,EJERCICIOS!$G$3:$G$75,0)),"--")</f>
        <v>mancuerna</v>
      </c>
      <c r="D198" s="17">
        <v>3</v>
      </c>
      <c r="E198" s="18">
        <f>IFERROR(LOOKUP(2,1/(MEDIDAS_Y_PESO!$B$3:$B$11&lt;&gt;""),MEDIDAS_Y_PESO!$B$3:$B$11),"--")</f>
        <v>80</v>
      </c>
      <c r="F198" s="19"/>
      <c r="G198" s="20"/>
      <c r="H198" s="21"/>
      <c r="I198" s="19"/>
      <c r="J198" s="20"/>
      <c r="K198" s="21"/>
      <c r="L198" s="19"/>
      <c r="M198" s="20"/>
      <c r="N198" s="21"/>
      <c r="O198" s="19"/>
      <c r="P198" s="20"/>
      <c r="Q198" s="21"/>
      <c r="R198" s="19"/>
      <c r="S198" s="20"/>
      <c r="T198" s="21"/>
      <c r="U198" s="22" t="str">
        <f>IFERROR(IF(IF(X198&gt;0,X198,IF(Z198&gt;0,Z198,IF(AB198&gt;0,AB198,0)))=0,"--",ROUND(CHOOSE(IF(X198&gt;0,X198,IF(Z198&gt;0,Z198,IF(AB198&gt;0,AB198,0))),IF(C198="peso_corporal",IF(ISNUMBER(E198),E198,0)+F198,F198)*(1+G198/30),IF(C198="peso_corporal",IF(ISNUMBER(E198),E198,0)+I198,I198)*(1+J198/30),IF(C198="peso_corporal",IF(ISNUMBER(E198),E198,0)+L198,L198)*(1+M198/30),IF(C198="peso_corporal",IF(ISNUMBER(E198),E198,0)+O198,O198)*(1+P198/30),IF(C198="peso_corporal",IF(ISNUMBER(E198),E198,0)+R198,R198)*(1+S198/30)),1)),"--")</f>
        <v>--</v>
      </c>
      <c r="V198" s="23" t="str">
        <f>IF(SUGERENCIAS!N514="SIN","Sin datos anteriores",IF(SUGERENCIAS!N514="SUBIR_F","^ SUBIR FUERTE | Kg:"&amp;ROUND(SUGERENCIAS!K514,1)&amp;" R:"&amp;ROUND(SUGERENCIAS!L514,0)&amp;" RIR:"&amp;ROUND(SUGERENCIAS!M514,0),IF(SUGERENCIAS!N514="SUBIR_E","^ SUBIR (Est.) | Kg:"&amp;ROUND(SUGERENCIAS!K514,1)&amp;" R:"&amp;ROUND(SUGERENCIAS!L514,0)&amp;" RIR:"&amp;ROUND(SUGERENCIAS!M514,0),IF(SUGERENCIAS!N514="SUBIR","^ SUBIR | Kg:"&amp;ROUND(SUGERENCIAS!K514,1)&amp;" R:"&amp;ROUND(SUGERENCIAS!L514,0)&amp;" RIR:"&amp;ROUND(SUGERENCIAS!M514,0),IF(SUGERENCIAS!N514="BAJAR","v BAJAR | Kg:"&amp;ROUND(SUGERENCIAS!K514,1)&amp;" R:"&amp;ROUND(SUGERENCIAS!L514,0)&amp;" RIR:"&amp;ROUND(SUGERENCIAS!M514,0),"= MANT | Kg:"&amp;ROUND(SUGERENCIAS!K514,1)&amp;" R:"&amp;ROUND(SUGERENCIAS!L514,0)&amp;" RIR:"&amp;ROUND(SUGERENCIAS!M514,0))))))</f>
        <v>Sin datos anteriores</v>
      </c>
      <c r="W198" s="69">
        <f>MAX(IF((G198&gt;0)*(IF(H198="",-1,H198)&gt;=0)*(IF(H198="",-1,H198)&lt;=1),IF(C198="peso_corporal",IF(ISNUMBER(E198),E198,0)+F198,F198)*G198*1000+F198,0),IF((J198&gt;0)*(IF(K198="",-1,K198)&gt;=0)*(IF(K198="",-1,K198)&lt;=1),IF(C198="peso_corporal",IF(ISNUMBER(E198),E198,0)+I198,I198)*J198*1000+I198,0),IF((M198&gt;0)*(IF(N198="",-1,N198)&gt;=0)*(IF(N198="",-1,N198)&lt;=1),IF(C198="peso_corporal",IF(ISNUMBER(E198),E198,0)+L198,L198)*M198*1000+L198,0),IF((P198&gt;0)*(IF(Q198="",-1,Q198)&gt;=0)*(IF(Q198="",-1,Q198)&lt;=1),IF(C198="peso_corporal",IF(ISNUMBER(E198),E198,0)+O198,O198)*P198*1000+O198,0),IF((S198&gt;0)*(IF(T198="",-1,T198)&gt;=0)*(IF(T198="",-1,T198)&lt;=1),IF(C198="peso_corporal",IF(ISNUMBER(E198),E198,0)+R198,R198)*S198*1000+R198,0))</f>
        <v>0</v>
      </c>
      <c r="X198" s="69">
        <f>IF(W198=0,0,IF(IF((S198&gt;0)*(IF(T198="",-1,T198)&gt;=0)*(IF(T198="",-1,T198)&lt;=1),IF(C198="peso_corporal",IF(ISNUMBER(E198),E198,0)+R198,R198)*S198*1000+R198,0)=W198,5,IF(IF((P198&gt;0)*(IF(Q198="",-1,Q198)&gt;=0)*(IF(Q198="",-1,Q198)&lt;=1),IF(C198="peso_corporal",IF(ISNUMBER(E198),E198,0)+O198,O198)*P198*1000+O198,0)=W198,4,IF(IF((M198&gt;0)*(IF(N198="",-1,N198)&gt;=0)*(IF(N198="",-1,N198)&lt;=1),IF(C198="peso_corporal",IF(ISNUMBER(E198),E198,0)+L198,L198)*M198*1000+L198,0)=W198,3,IF(IF((J198&gt;0)*(IF(K198="",-1,K198)&gt;=0)*(IF(K198="",-1,K198)&lt;=1),IF(C198="peso_corporal",IF(ISNUMBER(E198),E198,0)+I198,I198)*J198*1000+I198,0)=W198,2,IF(IF((G198&gt;0)*(IF(H198="",-1,H198)&gt;=0)*(IF(H198="",-1,H198)&lt;=1),IF(C198="peso_corporal",IF(ISNUMBER(E198),E198,0)+F198,F198)*G198*1000+F198,0)=W198,1,0))))))</f>
        <v>0</v>
      </c>
      <c r="Y198" s="69">
        <f>MAX(IF((G198&gt;0)*(IF(H198="",-1,H198)=0)*(1-(IF(H198="",-1,H198)&gt;=0)*(IF(H198="",-1,H198)&lt;=1)),IF(C198="peso_corporal",IF(ISNUMBER(E198),E198,0)+F198,F198)*G198*1000+F198,0),IF((J198&gt;0)*(IF(K198="",-1,K198)=0)*(1-(IF(K198="",-1,K198)&gt;=0)*(IF(K198="",-1,K198)&lt;=1)),IF(C198="peso_corporal",IF(ISNUMBER(E198),E198,0)+I198,I198)*J198*1000+I198,0),IF((M198&gt;0)*(IF(N198="",-1,N198)=0)*(1-(IF(N198="",-1,N198)&gt;=0)*(IF(N198="",-1,N198)&lt;=1)),IF(C198="peso_corporal",IF(ISNUMBER(E198),E198,0)+L198,L198)*M198*1000+L198,0),IF((P198&gt;0)*(IF(Q198="",-1,Q198)=0)*(1-(IF(Q198="",-1,Q198)&gt;=0)*(IF(Q198="",-1,Q198)&lt;=1)),IF(C198="peso_corporal",IF(ISNUMBER(E198),E198,0)+O198,O198)*P198*1000+O198,0),IF((S198&gt;0)*(IF(T198="",-1,T198)=0)*(1-(IF(T198="",-1,T198)&gt;=0)*(IF(T198="",-1,T198)&lt;=1)),IF(C198="peso_corporal",IF(ISNUMBER(E198),E198,0)+R198,R198)*S198*1000+R198,0))</f>
        <v>0</v>
      </c>
      <c r="Z198" s="69">
        <f>IF(Y198=0,0,IF(IF((S198&gt;0)*(IF(T198="",-1,T198)=0)*(1-(IF(T198="",-1,T198)&gt;=0)*(IF(T198="",-1,T198)&lt;=1)),IF(C198="peso_corporal",IF(ISNUMBER(E198),E198,0)+R198,R198)*S198*1000+R198,0)=Y198,5,IF(IF((P198&gt;0)*(IF(Q198="",-1,Q198)=0)*(1-(IF(Q198="",-1,Q198)&gt;=0)*(IF(Q198="",-1,Q198)&lt;=1)),IF(C198="peso_corporal",IF(ISNUMBER(E198),E198,0)+O198,O198)*P198*1000+O198,0)=Y198,4,IF(IF((M198&gt;0)*(IF(N198="",-1,N198)=0)*(1-(IF(N198="",-1,N198)&gt;=0)*(IF(N198="",-1,N198)&lt;=1)),IF(C198="peso_corporal",IF(ISNUMBER(E198),E198,0)+L198,L198)*M198*1000+L198,0)=Y198,3,IF(IF((J198&gt;0)*(IF(K198="",-1,K198)=0)*(1-(IF(K198="",-1,K198)&gt;=0)*(IF(K198="",-1,K198)&lt;=1)),IF(C198="peso_corporal",IF(ISNUMBER(E198),E198,0)+I198,I198)*J198*1000+I198,0)=Y198,2,IF(IF((G198&gt;0)*(IF(H198="",-1,H198)=0)*(1-(IF(H198="",-1,H198)&gt;=0)*(IF(H198="",-1,H198)&lt;=1)),IF(C198="peso_corporal",IF(ISNUMBER(E198),E198,0)+F198,F198)*G198*1000+F198,0)=Y198,1,0))))))</f>
        <v>0</v>
      </c>
      <c r="AA198" s="69">
        <f>MAX(IF((G198&gt;=3)*(1-(IF(H198="",-1,H198)&gt;=0)*(IF(H198="",-1,H198)&lt;=1))*(1-(IF(H198="",-1,H198)=0)),IF(C198="peso_corporal",IF(ISNUMBER(E198),E198,0)+F198,F198)*(30+G198)*100+F198,0),IF((J198&gt;=3)*(1-(IF(K198="",-1,K198)&gt;=0)*(IF(K198="",-1,K198)&lt;=1))*(1-(IF(K198="",-1,K198)=0)),IF(C198="peso_corporal",IF(ISNUMBER(E198),E198,0)+I198,I198)*(30+J198)*100+I198,0),IF((M198&gt;=3)*(1-(IF(N198="",-1,N198)&gt;=0)*(IF(N198="",-1,N198)&lt;=1))*(1-(IF(N198="",-1,N198)=0)),IF(C198="peso_corporal",IF(ISNUMBER(E198),E198,0)+L198,L198)*(30+M198)*100+L198,0),IF((P198&gt;=3)*(1-(IF(Q198="",-1,Q198)&gt;=0)*(IF(Q198="",-1,Q198)&lt;=1))*(1-(IF(Q198="",-1,Q198)=0)),IF(C198="peso_corporal",IF(ISNUMBER(E198),E198,0)+O198,O198)*(30+P198)*100+O198,0),IF((S198&gt;=3)*(1-(IF(T198="",-1,T198)&gt;=0)*(IF(T198="",-1,T198)&lt;=1))*(1-(IF(T198="",-1,T198)=0)),IF(C198="peso_corporal",IF(ISNUMBER(E198),E198,0)+R198,R198)*(30+S198)*100+R198,0))</f>
        <v>0</v>
      </c>
      <c r="AB198" s="69">
        <f>IF(AA198=0,0,IF(IF((S198&gt;=3)*(1-(IF(T198="",-1,T198)&gt;=0)*(IF(T198="",-1,T198)&lt;=1))*(1-(IF(T198="",-1,T198)=0)),IF(C198="peso_corporal",IF(ISNUMBER(E198),E198,0)+R198,R198)*(30+S198)*100+R198,0)=AA198,5,IF(IF((P198&gt;=3)*(1-(IF(Q198="",-1,Q198)&gt;=0)*(IF(Q198="",-1,Q198)&lt;=1))*(1-(IF(Q198="",-1,Q198)=0)),IF(C198="peso_corporal",IF(ISNUMBER(E198),E198,0)+O198,O198)*(30+P198)*100+O198,0)=AA198,4,IF(IF((M198&gt;=3)*(1-(IF(N198="",-1,N198)&gt;=0)*(IF(N198="",-1,N198)&lt;=1))*(1-(IF(N198="",-1,N198)=0)),IF(C198="peso_corporal",IF(ISNUMBER(E198),E198,0)+L198,L198)*(30+M198)*100+L198,0)=AA198,3,IF(IF((J198&gt;=3)*(1-(IF(K198="",-1,K198)&gt;=0)*(IF(K198="",-1,K198)&lt;=1))*(1-(IF(K198="",-1,K198)=0)),IF(C198="peso_corporal",IF(ISNUMBER(E198),E198,0)+I198,I198)*(30+J198)*100+I198,0)=AA198,2,IF(IF((G198&gt;=3)*(1-(IF(H198="",-1,H198)&gt;=0)*(IF(H198="",-1,H198)&lt;=1))*(1-(IF(H198="",-1,H198)=0)),IF(C198="peso_corporal",IF(ISNUMBER(E198),E198,0)+F198,F198)*(30+G198)*100+F198,0)=AA198,1,0))))))</f>
        <v>0</v>
      </c>
      <c r="AC198" s="69" t="str">
        <f>IF(X198&gt;0,"A"&amp;X198,IF(Z198&gt;0,"B"&amp;Z198,IF(AB198&gt;0,"C"&amp;AB198,"")))</f>
        <v/>
      </c>
    </row>
    <row r="199" spans="1:29" ht="15" customHeight="1">
      <c r="A199" s="82" t="s">
        <v>47</v>
      </c>
      <c r="B199" s="73"/>
      <c r="C199" s="73"/>
      <c r="D199" s="73"/>
      <c r="E199" s="73"/>
      <c r="F199" s="73"/>
      <c r="G199" s="73"/>
      <c r="H199" s="73"/>
      <c r="I199" s="73"/>
      <c r="J199" s="73"/>
      <c r="K199" s="73"/>
      <c r="L199" s="73"/>
      <c r="M199" s="73"/>
      <c r="N199" s="73"/>
      <c r="O199" s="73"/>
      <c r="P199" s="73"/>
      <c r="Q199" s="73"/>
      <c r="R199" s="73"/>
      <c r="S199" s="73"/>
      <c r="T199" s="73"/>
      <c r="U199" s="73"/>
      <c r="V199" s="73"/>
      <c r="W199" s="69"/>
      <c r="X199" s="69"/>
      <c r="Y199" s="69"/>
      <c r="Z199" s="69"/>
      <c r="AA199" s="69"/>
      <c r="AB199" s="69"/>
      <c r="AC199" s="69"/>
    </row>
    <row r="200" spans="1:29" ht="20.100000000000001" customHeight="1">
      <c r="A200" s="14" t="s">
        <v>48</v>
      </c>
      <c r="B200" s="15" t="s">
        <v>64</v>
      </c>
      <c r="C200" s="16" t="str">
        <f>IFERROR(INDEX(EJERCICIOS!$D$3:$D$75,MATCH(A200&amp;"|"&amp;B200,EJERCICIOS!$G$3:$G$75,0)),"--")</f>
        <v>--</v>
      </c>
      <c r="D200" s="17">
        <v>3</v>
      </c>
      <c r="E200" s="18">
        <f>IFERROR(LOOKUP(2,1/(MEDIDAS_Y_PESO!$B$3:$B$11&lt;&gt;""),MEDIDAS_Y_PESO!$B$3:$B$11),"--")</f>
        <v>80</v>
      </c>
      <c r="F200" s="19"/>
      <c r="G200" s="20"/>
      <c r="H200" s="21"/>
      <c r="I200" s="19"/>
      <c r="J200" s="20"/>
      <c r="K200" s="21"/>
      <c r="L200" s="19"/>
      <c r="M200" s="20"/>
      <c r="N200" s="21"/>
      <c r="O200" s="19"/>
      <c r="P200" s="20"/>
      <c r="Q200" s="21"/>
      <c r="R200" s="19"/>
      <c r="S200" s="20"/>
      <c r="T200" s="21"/>
      <c r="U200" s="22" t="str">
        <f>IFERROR(IF(IF(X200&gt;0,X200,IF(Z200&gt;0,Z200,IF(AB200&gt;0,AB200,0)))=0,"--",ROUND(CHOOSE(IF(X200&gt;0,X200,IF(Z200&gt;0,Z200,IF(AB200&gt;0,AB200,0))),IF(C200="peso_corporal",IF(ISNUMBER(E200),E200,0)+F200,F200)*(1+G200/30),IF(C200="peso_corporal",IF(ISNUMBER(E200),E200,0)+I200,I200)*(1+J200/30),IF(C200="peso_corporal",IF(ISNUMBER(E200),E200,0)+L200,L200)*(1+M200/30),IF(C200="peso_corporal",IF(ISNUMBER(E200),E200,0)+O200,O200)*(1+P200/30),IF(C200="peso_corporal",IF(ISNUMBER(E200),E200,0)+R200,R200)*(1+S200/30)),1)),"--")</f>
        <v>--</v>
      </c>
      <c r="V200" s="23" t="str">
        <f>IF(SUGERENCIAS!N515="SIN","Sin datos anteriores",IF(SUGERENCIAS!N515="SUBIR_F","^ SUBIR FUERTE | Kg:"&amp;ROUND(SUGERENCIAS!K515,1)&amp;" R:"&amp;ROUND(SUGERENCIAS!L515,0)&amp;" RIR:"&amp;ROUND(SUGERENCIAS!M515,0),IF(SUGERENCIAS!N515="SUBIR_E","^ SUBIR (Est.) | Kg:"&amp;ROUND(SUGERENCIAS!K515,1)&amp;" R:"&amp;ROUND(SUGERENCIAS!L515,0)&amp;" RIR:"&amp;ROUND(SUGERENCIAS!M515,0),IF(SUGERENCIAS!N515="SUBIR","^ SUBIR | Kg:"&amp;ROUND(SUGERENCIAS!K515,1)&amp;" R:"&amp;ROUND(SUGERENCIAS!L515,0)&amp;" RIR:"&amp;ROUND(SUGERENCIAS!M515,0),IF(SUGERENCIAS!N515="BAJAR","v BAJAR | Kg:"&amp;ROUND(SUGERENCIAS!K515,1)&amp;" R:"&amp;ROUND(SUGERENCIAS!L515,0)&amp;" RIR:"&amp;ROUND(SUGERENCIAS!M515,0),"= MANT | Kg:"&amp;ROUND(SUGERENCIAS!K515,1)&amp;" R:"&amp;ROUND(SUGERENCIAS!L515,0)&amp;" RIR:"&amp;ROUND(SUGERENCIAS!M515,0))))))</f>
        <v>Sin datos anteriores</v>
      </c>
      <c r="W200" s="69">
        <f>MAX(IF((G200&gt;0)*(IF(H200="",-1,H200)&gt;=0)*(IF(H200="",-1,H200)&lt;=1),IF(C200="peso_corporal",IF(ISNUMBER(E200),E200,0)+F200,F200)*G200*1000+F200,0),IF((J200&gt;0)*(IF(K200="",-1,K200)&gt;=0)*(IF(K200="",-1,K200)&lt;=1),IF(C200="peso_corporal",IF(ISNUMBER(E200),E200,0)+I200,I200)*J200*1000+I200,0),IF((M200&gt;0)*(IF(N200="",-1,N200)&gt;=0)*(IF(N200="",-1,N200)&lt;=1),IF(C200="peso_corporal",IF(ISNUMBER(E200),E200,0)+L200,L200)*M200*1000+L200,0),IF((P200&gt;0)*(IF(Q200="",-1,Q200)&gt;=0)*(IF(Q200="",-1,Q200)&lt;=1),IF(C200="peso_corporal",IF(ISNUMBER(E200),E200,0)+O200,O200)*P200*1000+O200,0),IF((S200&gt;0)*(IF(T200="",-1,T200)&gt;=0)*(IF(T200="",-1,T200)&lt;=1),IF(C200="peso_corporal",IF(ISNUMBER(E200),E200,0)+R200,R200)*S200*1000+R200,0))</f>
        <v>0</v>
      </c>
      <c r="X200" s="69">
        <f>IF(W200=0,0,IF(IF((S200&gt;0)*(IF(T200="",-1,T200)&gt;=0)*(IF(T200="",-1,T200)&lt;=1),IF(C200="peso_corporal",IF(ISNUMBER(E200),E200,0)+R200,R200)*S200*1000+R200,0)=W200,5,IF(IF((P200&gt;0)*(IF(Q200="",-1,Q200)&gt;=0)*(IF(Q200="",-1,Q200)&lt;=1),IF(C200="peso_corporal",IF(ISNUMBER(E200),E200,0)+O200,O200)*P200*1000+O200,0)=W200,4,IF(IF((M200&gt;0)*(IF(N200="",-1,N200)&gt;=0)*(IF(N200="",-1,N200)&lt;=1),IF(C200="peso_corporal",IF(ISNUMBER(E200),E200,0)+L200,L200)*M200*1000+L200,0)=W200,3,IF(IF((J200&gt;0)*(IF(K200="",-1,K200)&gt;=0)*(IF(K200="",-1,K200)&lt;=1),IF(C200="peso_corporal",IF(ISNUMBER(E200),E200,0)+I200,I200)*J200*1000+I200,0)=W200,2,IF(IF((G200&gt;0)*(IF(H200="",-1,H200)&gt;=0)*(IF(H200="",-1,H200)&lt;=1),IF(C200="peso_corporal",IF(ISNUMBER(E200),E200,0)+F200,F200)*G200*1000+F200,0)=W200,1,0))))))</f>
        <v>0</v>
      </c>
      <c r="Y200" s="69">
        <f>MAX(IF((G200&gt;0)*(IF(H200="",-1,H200)=0)*(1-(IF(H200="",-1,H200)&gt;=0)*(IF(H200="",-1,H200)&lt;=1)),IF(C200="peso_corporal",IF(ISNUMBER(E200),E200,0)+F200,F200)*G200*1000+F200,0),IF((J200&gt;0)*(IF(K200="",-1,K200)=0)*(1-(IF(K200="",-1,K200)&gt;=0)*(IF(K200="",-1,K200)&lt;=1)),IF(C200="peso_corporal",IF(ISNUMBER(E200),E200,0)+I200,I200)*J200*1000+I200,0),IF((M200&gt;0)*(IF(N200="",-1,N200)=0)*(1-(IF(N200="",-1,N200)&gt;=0)*(IF(N200="",-1,N200)&lt;=1)),IF(C200="peso_corporal",IF(ISNUMBER(E200),E200,0)+L200,L200)*M200*1000+L200,0),IF((P200&gt;0)*(IF(Q200="",-1,Q200)=0)*(1-(IF(Q200="",-1,Q200)&gt;=0)*(IF(Q200="",-1,Q200)&lt;=1)),IF(C200="peso_corporal",IF(ISNUMBER(E200),E200,0)+O200,O200)*P200*1000+O200,0),IF((S200&gt;0)*(IF(T200="",-1,T200)=0)*(1-(IF(T200="",-1,T200)&gt;=0)*(IF(T200="",-1,T200)&lt;=1)),IF(C200="peso_corporal",IF(ISNUMBER(E200),E200,0)+R200,R200)*S200*1000+R200,0))</f>
        <v>0</v>
      </c>
      <c r="Z200" s="69">
        <f>IF(Y200=0,0,IF(IF((S200&gt;0)*(IF(T200="",-1,T200)=0)*(1-(IF(T200="",-1,T200)&gt;=0)*(IF(T200="",-1,T200)&lt;=1)),IF(C200="peso_corporal",IF(ISNUMBER(E200),E200,0)+R200,R200)*S200*1000+R200,0)=Y200,5,IF(IF((P200&gt;0)*(IF(Q200="",-1,Q200)=0)*(1-(IF(Q200="",-1,Q200)&gt;=0)*(IF(Q200="",-1,Q200)&lt;=1)),IF(C200="peso_corporal",IF(ISNUMBER(E200),E200,0)+O200,O200)*P200*1000+O200,0)=Y200,4,IF(IF((M200&gt;0)*(IF(N200="",-1,N200)=0)*(1-(IF(N200="",-1,N200)&gt;=0)*(IF(N200="",-1,N200)&lt;=1)),IF(C200="peso_corporal",IF(ISNUMBER(E200),E200,0)+L200,L200)*M200*1000+L200,0)=Y200,3,IF(IF((J200&gt;0)*(IF(K200="",-1,K200)=0)*(1-(IF(K200="",-1,K200)&gt;=0)*(IF(K200="",-1,K200)&lt;=1)),IF(C200="peso_corporal",IF(ISNUMBER(E200),E200,0)+I200,I200)*J200*1000+I200,0)=Y200,2,IF(IF((G200&gt;0)*(IF(H200="",-1,H200)=0)*(1-(IF(H200="",-1,H200)&gt;=0)*(IF(H200="",-1,H200)&lt;=1)),IF(C200="peso_corporal",IF(ISNUMBER(E200),E200,0)+F200,F200)*G200*1000+F200,0)=Y200,1,0))))))</f>
        <v>0</v>
      </c>
      <c r="AA200" s="69">
        <f>MAX(IF((G200&gt;=3)*(1-(IF(H200="",-1,H200)&gt;=0)*(IF(H200="",-1,H200)&lt;=1))*(1-(IF(H200="",-1,H200)=0)),IF(C200="peso_corporal",IF(ISNUMBER(E200),E200,0)+F200,F200)*(30+G200)*100+F200,0),IF((J200&gt;=3)*(1-(IF(K200="",-1,K200)&gt;=0)*(IF(K200="",-1,K200)&lt;=1))*(1-(IF(K200="",-1,K200)=0)),IF(C200="peso_corporal",IF(ISNUMBER(E200),E200,0)+I200,I200)*(30+J200)*100+I200,0),IF((M200&gt;=3)*(1-(IF(N200="",-1,N200)&gt;=0)*(IF(N200="",-1,N200)&lt;=1))*(1-(IF(N200="",-1,N200)=0)),IF(C200="peso_corporal",IF(ISNUMBER(E200),E200,0)+L200,L200)*(30+M200)*100+L200,0),IF((P200&gt;=3)*(1-(IF(Q200="",-1,Q200)&gt;=0)*(IF(Q200="",-1,Q200)&lt;=1))*(1-(IF(Q200="",-1,Q200)=0)),IF(C200="peso_corporal",IF(ISNUMBER(E200),E200,0)+O200,O200)*(30+P200)*100+O200,0),IF((S200&gt;=3)*(1-(IF(T200="",-1,T200)&gt;=0)*(IF(T200="",-1,T200)&lt;=1))*(1-(IF(T200="",-1,T200)=0)),IF(C200="peso_corporal",IF(ISNUMBER(E200),E200,0)+R200,R200)*(30+S200)*100+R200,0))</f>
        <v>0</v>
      </c>
      <c r="AB200" s="69">
        <f>IF(AA200=0,0,IF(IF((S200&gt;=3)*(1-(IF(T200="",-1,T200)&gt;=0)*(IF(T200="",-1,T200)&lt;=1))*(1-(IF(T200="",-1,T200)=0)),IF(C200="peso_corporal",IF(ISNUMBER(E200),E200,0)+R200,R200)*(30+S200)*100+R200,0)=AA200,5,IF(IF((P200&gt;=3)*(1-(IF(Q200="",-1,Q200)&gt;=0)*(IF(Q200="",-1,Q200)&lt;=1))*(1-(IF(Q200="",-1,Q200)=0)),IF(C200="peso_corporal",IF(ISNUMBER(E200),E200,0)+O200,O200)*(30+P200)*100+O200,0)=AA200,4,IF(IF((M200&gt;=3)*(1-(IF(N200="",-1,N200)&gt;=0)*(IF(N200="",-1,N200)&lt;=1))*(1-(IF(N200="",-1,N200)=0)),IF(C200="peso_corporal",IF(ISNUMBER(E200),E200,0)+L200,L200)*(30+M200)*100+L200,0)=AA200,3,IF(IF((J200&gt;=3)*(1-(IF(K200="",-1,K200)&gt;=0)*(IF(K200="",-1,K200)&lt;=1))*(1-(IF(K200="",-1,K200)=0)),IF(C200="peso_corporal",IF(ISNUMBER(E200),E200,0)+I200,I200)*(30+J200)*100+I200,0)=AA200,2,IF(IF((G200&gt;=3)*(1-(IF(H200="",-1,H200)&gt;=0)*(IF(H200="",-1,H200)&lt;=1))*(1-(IF(H200="",-1,H200)=0)),IF(C200="peso_corporal",IF(ISNUMBER(E200),E200,0)+F200,F200)*(30+G200)*100+F200,0)=AA200,1,0))))))</f>
        <v>0</v>
      </c>
      <c r="AC200" s="69" t="str">
        <f>IF(X200&gt;0,"A"&amp;X200,IF(Z200&gt;0,"B"&amp;Z200,IF(AB200&gt;0,"C"&amp;AB200,"")))</f>
        <v/>
      </c>
    </row>
    <row r="201" spans="1:29" ht="15" customHeight="1">
      <c r="A201" s="88" t="s">
        <v>50</v>
      </c>
      <c r="B201" s="73"/>
      <c r="C201" s="73"/>
      <c r="D201" s="73"/>
      <c r="E201" s="73"/>
      <c r="F201" s="73"/>
      <c r="G201" s="73"/>
      <c r="H201" s="73"/>
      <c r="I201" s="73"/>
      <c r="J201" s="73"/>
      <c r="K201" s="73"/>
      <c r="L201" s="73"/>
      <c r="M201" s="73"/>
      <c r="N201" s="73"/>
      <c r="O201" s="73"/>
      <c r="P201" s="73"/>
      <c r="Q201" s="73"/>
      <c r="R201" s="73"/>
      <c r="S201" s="73"/>
      <c r="T201" s="73"/>
      <c r="U201" s="73"/>
      <c r="V201" s="73"/>
      <c r="W201" s="69"/>
      <c r="X201" s="69"/>
      <c r="Y201" s="69"/>
      <c r="Z201" s="69"/>
      <c r="AA201" s="69"/>
      <c r="AB201" s="69"/>
      <c r="AC201" s="69"/>
    </row>
    <row r="202" spans="1:29" ht="20.100000000000001" customHeight="1">
      <c r="A202" s="14" t="s">
        <v>65</v>
      </c>
      <c r="B202" s="15" t="s">
        <v>66</v>
      </c>
      <c r="C202" s="16" t="str">
        <f>IFERROR(INDEX(EJERCICIOS!$D$3:$D$75,MATCH(A202&amp;"|"&amp;B202,EJERCICIOS!$G$3:$G$75,0)),"--")</f>
        <v>--</v>
      </c>
      <c r="D202" s="17">
        <v>3</v>
      </c>
      <c r="E202" s="18">
        <f>IFERROR(LOOKUP(2,1/(MEDIDAS_Y_PESO!$B$3:$B$11&lt;&gt;""),MEDIDAS_Y_PESO!$B$3:$B$11),"--")</f>
        <v>80</v>
      </c>
      <c r="F202" s="19"/>
      <c r="G202" s="20"/>
      <c r="H202" s="21"/>
      <c r="I202" s="19"/>
      <c r="J202" s="20"/>
      <c r="K202" s="21"/>
      <c r="L202" s="19"/>
      <c r="M202" s="20"/>
      <c r="N202" s="21"/>
      <c r="O202" s="19"/>
      <c r="P202" s="20"/>
      <c r="Q202" s="21"/>
      <c r="R202" s="19"/>
      <c r="S202" s="20"/>
      <c r="T202" s="21"/>
      <c r="U202" s="22" t="str">
        <f>IFERROR(IF(IF(X202&gt;0,X202,IF(Z202&gt;0,Z202,IF(AB202&gt;0,AB202,0)))=0,"--",ROUND(CHOOSE(IF(X202&gt;0,X202,IF(Z202&gt;0,Z202,IF(AB202&gt;0,AB202,0))),IF(C202="peso_corporal",IF(ISNUMBER(E202),E202,0)+F202,F202)*(1+G202/30),IF(C202="peso_corporal",IF(ISNUMBER(E202),E202,0)+I202,I202)*(1+J202/30),IF(C202="peso_corporal",IF(ISNUMBER(E202),E202,0)+L202,L202)*(1+M202/30),IF(C202="peso_corporal",IF(ISNUMBER(E202),E202,0)+O202,O202)*(1+P202/30),IF(C202="peso_corporal",IF(ISNUMBER(E202),E202,0)+R202,R202)*(1+S202/30)),1)),"--")</f>
        <v>--</v>
      </c>
      <c r="V202" s="23" t="str">
        <f>IF(SUGERENCIAS!N516="SIN","Sin datos anteriores",IF(SUGERENCIAS!N516="SUBIR_F","^ SUBIR FUERTE | Kg:"&amp;ROUND(SUGERENCIAS!K516,1)&amp;" R:"&amp;ROUND(SUGERENCIAS!L516,0)&amp;" RIR:"&amp;ROUND(SUGERENCIAS!M516,0),IF(SUGERENCIAS!N516="SUBIR_E","^ SUBIR (Est.) | Kg:"&amp;ROUND(SUGERENCIAS!K516,1)&amp;" R:"&amp;ROUND(SUGERENCIAS!L516,0)&amp;" RIR:"&amp;ROUND(SUGERENCIAS!M516,0),IF(SUGERENCIAS!N516="SUBIR","^ SUBIR | Kg:"&amp;ROUND(SUGERENCIAS!K516,1)&amp;" R:"&amp;ROUND(SUGERENCIAS!L516,0)&amp;" RIR:"&amp;ROUND(SUGERENCIAS!M516,0),IF(SUGERENCIAS!N516="BAJAR","v BAJAR | Kg:"&amp;ROUND(SUGERENCIAS!K516,1)&amp;" R:"&amp;ROUND(SUGERENCIAS!L516,0)&amp;" RIR:"&amp;ROUND(SUGERENCIAS!M516,0),"= MANT | Kg:"&amp;ROUND(SUGERENCIAS!K516,1)&amp;" R:"&amp;ROUND(SUGERENCIAS!L516,0)&amp;" RIR:"&amp;ROUND(SUGERENCIAS!M516,0))))))</f>
        <v>Sin datos anteriores</v>
      </c>
      <c r="W202" s="69">
        <f>MAX(IF((G202&gt;0)*(IF(H202="",-1,H202)&gt;=0)*(IF(H202="",-1,H202)&lt;=1),IF(C202="peso_corporal",IF(ISNUMBER(E202),E202,0)+F202,F202)*G202*1000+F202,0),IF((J202&gt;0)*(IF(K202="",-1,K202)&gt;=0)*(IF(K202="",-1,K202)&lt;=1),IF(C202="peso_corporal",IF(ISNUMBER(E202),E202,0)+I202,I202)*J202*1000+I202,0),IF((M202&gt;0)*(IF(N202="",-1,N202)&gt;=0)*(IF(N202="",-1,N202)&lt;=1),IF(C202="peso_corporal",IF(ISNUMBER(E202),E202,0)+L202,L202)*M202*1000+L202,0),IF((P202&gt;0)*(IF(Q202="",-1,Q202)&gt;=0)*(IF(Q202="",-1,Q202)&lt;=1),IF(C202="peso_corporal",IF(ISNUMBER(E202),E202,0)+O202,O202)*P202*1000+O202,0),IF((S202&gt;0)*(IF(T202="",-1,T202)&gt;=0)*(IF(T202="",-1,T202)&lt;=1),IF(C202="peso_corporal",IF(ISNUMBER(E202),E202,0)+R202,R202)*S202*1000+R202,0))</f>
        <v>0</v>
      </c>
      <c r="X202" s="69">
        <f>IF(W202=0,0,IF(IF((S202&gt;0)*(IF(T202="",-1,T202)&gt;=0)*(IF(T202="",-1,T202)&lt;=1),IF(C202="peso_corporal",IF(ISNUMBER(E202),E202,0)+R202,R202)*S202*1000+R202,0)=W202,5,IF(IF((P202&gt;0)*(IF(Q202="",-1,Q202)&gt;=0)*(IF(Q202="",-1,Q202)&lt;=1),IF(C202="peso_corporal",IF(ISNUMBER(E202),E202,0)+O202,O202)*P202*1000+O202,0)=W202,4,IF(IF((M202&gt;0)*(IF(N202="",-1,N202)&gt;=0)*(IF(N202="",-1,N202)&lt;=1),IF(C202="peso_corporal",IF(ISNUMBER(E202),E202,0)+L202,L202)*M202*1000+L202,0)=W202,3,IF(IF((J202&gt;0)*(IF(K202="",-1,K202)&gt;=0)*(IF(K202="",-1,K202)&lt;=1),IF(C202="peso_corporal",IF(ISNUMBER(E202),E202,0)+I202,I202)*J202*1000+I202,0)=W202,2,IF(IF((G202&gt;0)*(IF(H202="",-1,H202)&gt;=0)*(IF(H202="",-1,H202)&lt;=1),IF(C202="peso_corporal",IF(ISNUMBER(E202),E202,0)+F202,F202)*G202*1000+F202,0)=W202,1,0))))))</f>
        <v>0</v>
      </c>
      <c r="Y202" s="69">
        <f>MAX(IF((G202&gt;0)*(IF(H202="",-1,H202)=0)*(1-(IF(H202="",-1,H202)&gt;=0)*(IF(H202="",-1,H202)&lt;=1)),IF(C202="peso_corporal",IF(ISNUMBER(E202),E202,0)+F202,F202)*G202*1000+F202,0),IF((J202&gt;0)*(IF(K202="",-1,K202)=0)*(1-(IF(K202="",-1,K202)&gt;=0)*(IF(K202="",-1,K202)&lt;=1)),IF(C202="peso_corporal",IF(ISNUMBER(E202),E202,0)+I202,I202)*J202*1000+I202,0),IF((M202&gt;0)*(IF(N202="",-1,N202)=0)*(1-(IF(N202="",-1,N202)&gt;=0)*(IF(N202="",-1,N202)&lt;=1)),IF(C202="peso_corporal",IF(ISNUMBER(E202),E202,0)+L202,L202)*M202*1000+L202,0),IF((P202&gt;0)*(IF(Q202="",-1,Q202)=0)*(1-(IF(Q202="",-1,Q202)&gt;=0)*(IF(Q202="",-1,Q202)&lt;=1)),IF(C202="peso_corporal",IF(ISNUMBER(E202),E202,0)+O202,O202)*P202*1000+O202,0),IF((S202&gt;0)*(IF(T202="",-1,T202)=0)*(1-(IF(T202="",-1,T202)&gt;=0)*(IF(T202="",-1,T202)&lt;=1)),IF(C202="peso_corporal",IF(ISNUMBER(E202),E202,0)+R202,R202)*S202*1000+R202,0))</f>
        <v>0</v>
      </c>
      <c r="Z202" s="69">
        <f>IF(Y202=0,0,IF(IF((S202&gt;0)*(IF(T202="",-1,T202)=0)*(1-(IF(T202="",-1,T202)&gt;=0)*(IF(T202="",-1,T202)&lt;=1)),IF(C202="peso_corporal",IF(ISNUMBER(E202),E202,0)+R202,R202)*S202*1000+R202,0)=Y202,5,IF(IF((P202&gt;0)*(IF(Q202="",-1,Q202)=0)*(1-(IF(Q202="",-1,Q202)&gt;=0)*(IF(Q202="",-1,Q202)&lt;=1)),IF(C202="peso_corporal",IF(ISNUMBER(E202),E202,0)+O202,O202)*P202*1000+O202,0)=Y202,4,IF(IF((M202&gt;0)*(IF(N202="",-1,N202)=0)*(1-(IF(N202="",-1,N202)&gt;=0)*(IF(N202="",-1,N202)&lt;=1)),IF(C202="peso_corporal",IF(ISNUMBER(E202),E202,0)+L202,L202)*M202*1000+L202,0)=Y202,3,IF(IF((J202&gt;0)*(IF(K202="",-1,K202)=0)*(1-(IF(K202="",-1,K202)&gt;=0)*(IF(K202="",-1,K202)&lt;=1)),IF(C202="peso_corporal",IF(ISNUMBER(E202),E202,0)+I202,I202)*J202*1000+I202,0)=Y202,2,IF(IF((G202&gt;0)*(IF(H202="",-1,H202)=0)*(1-(IF(H202="",-1,H202)&gt;=0)*(IF(H202="",-1,H202)&lt;=1)),IF(C202="peso_corporal",IF(ISNUMBER(E202),E202,0)+F202,F202)*G202*1000+F202,0)=Y202,1,0))))))</f>
        <v>0</v>
      </c>
      <c r="AA202" s="69">
        <f>MAX(IF((G202&gt;=3)*(1-(IF(H202="",-1,H202)&gt;=0)*(IF(H202="",-1,H202)&lt;=1))*(1-(IF(H202="",-1,H202)=0)),IF(C202="peso_corporal",IF(ISNUMBER(E202),E202,0)+F202,F202)*(30+G202)*100+F202,0),IF((J202&gt;=3)*(1-(IF(K202="",-1,K202)&gt;=0)*(IF(K202="",-1,K202)&lt;=1))*(1-(IF(K202="",-1,K202)=0)),IF(C202="peso_corporal",IF(ISNUMBER(E202),E202,0)+I202,I202)*(30+J202)*100+I202,0),IF((M202&gt;=3)*(1-(IF(N202="",-1,N202)&gt;=0)*(IF(N202="",-1,N202)&lt;=1))*(1-(IF(N202="",-1,N202)=0)),IF(C202="peso_corporal",IF(ISNUMBER(E202),E202,0)+L202,L202)*(30+M202)*100+L202,0),IF((P202&gt;=3)*(1-(IF(Q202="",-1,Q202)&gt;=0)*(IF(Q202="",-1,Q202)&lt;=1))*(1-(IF(Q202="",-1,Q202)=0)),IF(C202="peso_corporal",IF(ISNUMBER(E202),E202,0)+O202,O202)*(30+P202)*100+O202,0),IF((S202&gt;=3)*(1-(IF(T202="",-1,T202)&gt;=0)*(IF(T202="",-1,T202)&lt;=1))*(1-(IF(T202="",-1,T202)=0)),IF(C202="peso_corporal",IF(ISNUMBER(E202),E202,0)+R202,R202)*(30+S202)*100+R202,0))</f>
        <v>0</v>
      </c>
      <c r="AB202" s="69">
        <f>IF(AA202=0,0,IF(IF((S202&gt;=3)*(1-(IF(T202="",-1,T202)&gt;=0)*(IF(T202="",-1,T202)&lt;=1))*(1-(IF(T202="",-1,T202)=0)),IF(C202="peso_corporal",IF(ISNUMBER(E202),E202,0)+R202,R202)*(30+S202)*100+R202,0)=AA202,5,IF(IF((P202&gt;=3)*(1-(IF(Q202="",-1,Q202)&gt;=0)*(IF(Q202="",-1,Q202)&lt;=1))*(1-(IF(Q202="",-1,Q202)=0)),IF(C202="peso_corporal",IF(ISNUMBER(E202),E202,0)+O202,O202)*(30+P202)*100+O202,0)=AA202,4,IF(IF((M202&gt;=3)*(1-(IF(N202="",-1,N202)&gt;=0)*(IF(N202="",-1,N202)&lt;=1))*(1-(IF(N202="",-1,N202)=0)),IF(C202="peso_corporal",IF(ISNUMBER(E202),E202,0)+L202,L202)*(30+M202)*100+L202,0)=AA202,3,IF(IF((J202&gt;=3)*(1-(IF(K202="",-1,K202)&gt;=0)*(IF(K202="",-1,K202)&lt;=1))*(1-(IF(K202="",-1,K202)=0)),IF(C202="peso_corporal",IF(ISNUMBER(E202),E202,0)+I202,I202)*(30+J202)*100+I202,0)=AA202,2,IF(IF((G202&gt;=3)*(1-(IF(H202="",-1,H202)&gt;=0)*(IF(H202="",-1,H202)&lt;=1))*(1-(IF(H202="",-1,H202)=0)),IF(C202="peso_corporal",IF(ISNUMBER(E202),E202,0)+F202,F202)*(30+G202)*100+F202,0)=AA202,1,0))))))</f>
        <v>0</v>
      </c>
      <c r="AC202" s="69" t="str">
        <f>IF(X202&gt;0,"A"&amp;X202,IF(Z202&gt;0,"B"&amp;Z202,IF(AB202&gt;0,"C"&amp;AB202,"")))</f>
        <v/>
      </c>
    </row>
    <row r="203" spans="1:29" ht="15" customHeight="1">
      <c r="A203" s="81" t="s">
        <v>53</v>
      </c>
      <c r="B203" s="73"/>
      <c r="C203" s="73"/>
      <c r="D203" s="73"/>
      <c r="E203" s="73"/>
      <c r="F203" s="73"/>
      <c r="G203" s="73"/>
      <c r="H203" s="73"/>
      <c r="I203" s="73"/>
      <c r="J203" s="73"/>
      <c r="K203" s="73"/>
      <c r="L203" s="73"/>
      <c r="M203" s="73"/>
      <c r="N203" s="73"/>
      <c r="O203" s="73"/>
      <c r="P203" s="73"/>
      <c r="Q203" s="73"/>
      <c r="R203" s="73"/>
      <c r="S203" s="73"/>
      <c r="T203" s="73"/>
      <c r="U203" s="73"/>
      <c r="V203" s="73"/>
      <c r="W203" s="69"/>
      <c r="X203" s="69"/>
      <c r="Y203" s="69"/>
      <c r="Z203" s="69"/>
      <c r="AA203" s="69"/>
      <c r="AB203" s="69"/>
      <c r="AC203" s="69"/>
    </row>
    <row r="204" spans="1:29" ht="20.100000000000001" customHeight="1">
      <c r="A204" s="14" t="s">
        <v>54</v>
      </c>
      <c r="B204" s="15" t="s">
        <v>67</v>
      </c>
      <c r="C204" s="16" t="str">
        <f>IFERROR(INDEX(EJERCICIOS!$D$3:$D$75,MATCH(A204&amp;"|"&amp;B204,EJERCICIOS!$G$3:$G$75,0)),"--")</f>
        <v>mancuerna</v>
      </c>
      <c r="D204" s="17">
        <v>3</v>
      </c>
      <c r="E204" s="18">
        <f>IFERROR(LOOKUP(2,1/(MEDIDAS_Y_PESO!$B$3:$B$11&lt;&gt;""),MEDIDAS_Y_PESO!$B$3:$B$11),"--")</f>
        <v>80</v>
      </c>
      <c r="F204" s="19"/>
      <c r="G204" s="20"/>
      <c r="H204" s="21"/>
      <c r="I204" s="19"/>
      <c r="J204" s="20"/>
      <c r="K204" s="21"/>
      <c r="L204" s="19"/>
      <c r="M204" s="20"/>
      <c r="N204" s="21"/>
      <c r="O204" s="19"/>
      <c r="P204" s="20"/>
      <c r="Q204" s="21"/>
      <c r="R204" s="19"/>
      <c r="S204" s="20"/>
      <c r="T204" s="21"/>
      <c r="U204" s="22" t="str">
        <f>IFERROR(IF(IF(X204&gt;0,X204,IF(Z204&gt;0,Z204,IF(AB204&gt;0,AB204,0)))=0,"--",ROUND(CHOOSE(IF(X204&gt;0,X204,IF(Z204&gt;0,Z204,IF(AB204&gt;0,AB204,0))),IF(C204="peso_corporal",IF(ISNUMBER(E204),E204,0)+F204,F204)*(1+G204/30),IF(C204="peso_corporal",IF(ISNUMBER(E204),E204,0)+I204,I204)*(1+J204/30),IF(C204="peso_corporal",IF(ISNUMBER(E204),E204,0)+L204,L204)*(1+M204/30),IF(C204="peso_corporal",IF(ISNUMBER(E204),E204,0)+O204,O204)*(1+P204/30),IF(C204="peso_corporal",IF(ISNUMBER(E204),E204,0)+R204,R204)*(1+S204/30)),1)),"--")</f>
        <v>--</v>
      </c>
      <c r="V204" s="23" t="str">
        <f>IF(SUGERENCIAS!N517="SIN","Sin datos anteriores",IF(SUGERENCIAS!N517="SUBIR_F","^ SUBIR FUERTE | Kg:"&amp;ROUND(SUGERENCIAS!K517,1)&amp;" R:"&amp;ROUND(SUGERENCIAS!L517,0)&amp;" RIR:"&amp;ROUND(SUGERENCIAS!M517,0),IF(SUGERENCIAS!N517="SUBIR_E","^ SUBIR (Est.) | Kg:"&amp;ROUND(SUGERENCIAS!K517,1)&amp;" R:"&amp;ROUND(SUGERENCIAS!L517,0)&amp;" RIR:"&amp;ROUND(SUGERENCIAS!M517,0),IF(SUGERENCIAS!N517="SUBIR","^ SUBIR | Kg:"&amp;ROUND(SUGERENCIAS!K517,1)&amp;" R:"&amp;ROUND(SUGERENCIAS!L517,0)&amp;" RIR:"&amp;ROUND(SUGERENCIAS!M517,0),IF(SUGERENCIAS!N517="BAJAR","v BAJAR | Kg:"&amp;ROUND(SUGERENCIAS!K517,1)&amp;" R:"&amp;ROUND(SUGERENCIAS!L517,0)&amp;" RIR:"&amp;ROUND(SUGERENCIAS!M517,0),"= MANT | Kg:"&amp;ROUND(SUGERENCIAS!K517,1)&amp;" R:"&amp;ROUND(SUGERENCIAS!L517,0)&amp;" RIR:"&amp;ROUND(SUGERENCIAS!M517,0))))))</f>
        <v>Sin datos anteriores</v>
      </c>
      <c r="W204" s="69">
        <f>MAX(IF((G204&gt;0)*(IF(H204="",-1,H204)&gt;=0)*(IF(H204="",-1,H204)&lt;=1),IF(C204="peso_corporal",IF(ISNUMBER(E204),E204,0)+F204,F204)*G204*1000+F204,0),IF((J204&gt;0)*(IF(K204="",-1,K204)&gt;=0)*(IF(K204="",-1,K204)&lt;=1),IF(C204="peso_corporal",IF(ISNUMBER(E204),E204,0)+I204,I204)*J204*1000+I204,0),IF((M204&gt;0)*(IF(N204="",-1,N204)&gt;=0)*(IF(N204="",-1,N204)&lt;=1),IF(C204="peso_corporal",IF(ISNUMBER(E204),E204,0)+L204,L204)*M204*1000+L204,0),IF((P204&gt;0)*(IF(Q204="",-1,Q204)&gt;=0)*(IF(Q204="",-1,Q204)&lt;=1),IF(C204="peso_corporal",IF(ISNUMBER(E204),E204,0)+O204,O204)*P204*1000+O204,0),IF((S204&gt;0)*(IF(T204="",-1,T204)&gt;=0)*(IF(T204="",-1,T204)&lt;=1),IF(C204="peso_corporal",IF(ISNUMBER(E204),E204,0)+R204,R204)*S204*1000+R204,0))</f>
        <v>0</v>
      </c>
      <c r="X204" s="69">
        <f>IF(W204=0,0,IF(IF((S204&gt;0)*(IF(T204="",-1,T204)&gt;=0)*(IF(T204="",-1,T204)&lt;=1),IF(C204="peso_corporal",IF(ISNUMBER(E204),E204,0)+R204,R204)*S204*1000+R204,0)=W204,5,IF(IF((P204&gt;0)*(IF(Q204="",-1,Q204)&gt;=0)*(IF(Q204="",-1,Q204)&lt;=1),IF(C204="peso_corporal",IF(ISNUMBER(E204),E204,0)+O204,O204)*P204*1000+O204,0)=W204,4,IF(IF((M204&gt;0)*(IF(N204="",-1,N204)&gt;=0)*(IF(N204="",-1,N204)&lt;=1),IF(C204="peso_corporal",IF(ISNUMBER(E204),E204,0)+L204,L204)*M204*1000+L204,0)=W204,3,IF(IF((J204&gt;0)*(IF(K204="",-1,K204)&gt;=0)*(IF(K204="",-1,K204)&lt;=1),IF(C204="peso_corporal",IF(ISNUMBER(E204),E204,0)+I204,I204)*J204*1000+I204,0)=W204,2,IF(IF((G204&gt;0)*(IF(H204="",-1,H204)&gt;=0)*(IF(H204="",-1,H204)&lt;=1),IF(C204="peso_corporal",IF(ISNUMBER(E204),E204,0)+F204,F204)*G204*1000+F204,0)=W204,1,0))))))</f>
        <v>0</v>
      </c>
      <c r="Y204" s="69">
        <f>MAX(IF((G204&gt;0)*(IF(H204="",-1,H204)=0)*(1-(IF(H204="",-1,H204)&gt;=0)*(IF(H204="",-1,H204)&lt;=1)),IF(C204="peso_corporal",IF(ISNUMBER(E204),E204,0)+F204,F204)*G204*1000+F204,0),IF((J204&gt;0)*(IF(K204="",-1,K204)=0)*(1-(IF(K204="",-1,K204)&gt;=0)*(IF(K204="",-1,K204)&lt;=1)),IF(C204="peso_corporal",IF(ISNUMBER(E204),E204,0)+I204,I204)*J204*1000+I204,0),IF((M204&gt;0)*(IF(N204="",-1,N204)=0)*(1-(IF(N204="",-1,N204)&gt;=0)*(IF(N204="",-1,N204)&lt;=1)),IF(C204="peso_corporal",IF(ISNUMBER(E204),E204,0)+L204,L204)*M204*1000+L204,0),IF((P204&gt;0)*(IF(Q204="",-1,Q204)=0)*(1-(IF(Q204="",-1,Q204)&gt;=0)*(IF(Q204="",-1,Q204)&lt;=1)),IF(C204="peso_corporal",IF(ISNUMBER(E204),E204,0)+O204,O204)*P204*1000+O204,0),IF((S204&gt;0)*(IF(T204="",-1,T204)=0)*(1-(IF(T204="",-1,T204)&gt;=0)*(IF(T204="",-1,T204)&lt;=1)),IF(C204="peso_corporal",IF(ISNUMBER(E204),E204,0)+R204,R204)*S204*1000+R204,0))</f>
        <v>0</v>
      </c>
      <c r="Z204" s="69">
        <f>IF(Y204=0,0,IF(IF((S204&gt;0)*(IF(T204="",-1,T204)=0)*(1-(IF(T204="",-1,T204)&gt;=0)*(IF(T204="",-1,T204)&lt;=1)),IF(C204="peso_corporal",IF(ISNUMBER(E204),E204,0)+R204,R204)*S204*1000+R204,0)=Y204,5,IF(IF((P204&gt;0)*(IF(Q204="",-1,Q204)=0)*(1-(IF(Q204="",-1,Q204)&gt;=0)*(IF(Q204="",-1,Q204)&lt;=1)),IF(C204="peso_corporal",IF(ISNUMBER(E204),E204,0)+O204,O204)*P204*1000+O204,0)=Y204,4,IF(IF((M204&gt;0)*(IF(N204="",-1,N204)=0)*(1-(IF(N204="",-1,N204)&gt;=0)*(IF(N204="",-1,N204)&lt;=1)),IF(C204="peso_corporal",IF(ISNUMBER(E204),E204,0)+L204,L204)*M204*1000+L204,0)=Y204,3,IF(IF((J204&gt;0)*(IF(K204="",-1,K204)=0)*(1-(IF(K204="",-1,K204)&gt;=0)*(IF(K204="",-1,K204)&lt;=1)),IF(C204="peso_corporal",IF(ISNUMBER(E204),E204,0)+I204,I204)*J204*1000+I204,0)=Y204,2,IF(IF((G204&gt;0)*(IF(H204="",-1,H204)=0)*(1-(IF(H204="",-1,H204)&gt;=0)*(IF(H204="",-1,H204)&lt;=1)),IF(C204="peso_corporal",IF(ISNUMBER(E204),E204,0)+F204,F204)*G204*1000+F204,0)=Y204,1,0))))))</f>
        <v>0</v>
      </c>
      <c r="AA204" s="69">
        <f>MAX(IF((G204&gt;=3)*(1-(IF(H204="",-1,H204)&gt;=0)*(IF(H204="",-1,H204)&lt;=1))*(1-(IF(H204="",-1,H204)=0)),IF(C204="peso_corporal",IF(ISNUMBER(E204),E204,0)+F204,F204)*(30+G204)*100+F204,0),IF((J204&gt;=3)*(1-(IF(K204="",-1,K204)&gt;=0)*(IF(K204="",-1,K204)&lt;=1))*(1-(IF(K204="",-1,K204)=0)),IF(C204="peso_corporal",IF(ISNUMBER(E204),E204,0)+I204,I204)*(30+J204)*100+I204,0),IF((M204&gt;=3)*(1-(IF(N204="",-1,N204)&gt;=0)*(IF(N204="",-1,N204)&lt;=1))*(1-(IF(N204="",-1,N204)=0)),IF(C204="peso_corporal",IF(ISNUMBER(E204),E204,0)+L204,L204)*(30+M204)*100+L204,0),IF((P204&gt;=3)*(1-(IF(Q204="",-1,Q204)&gt;=0)*(IF(Q204="",-1,Q204)&lt;=1))*(1-(IF(Q204="",-1,Q204)=0)),IF(C204="peso_corporal",IF(ISNUMBER(E204),E204,0)+O204,O204)*(30+P204)*100+O204,0),IF((S204&gt;=3)*(1-(IF(T204="",-1,T204)&gt;=0)*(IF(T204="",-1,T204)&lt;=1))*(1-(IF(T204="",-1,T204)=0)),IF(C204="peso_corporal",IF(ISNUMBER(E204),E204,0)+R204,R204)*(30+S204)*100+R204,0))</f>
        <v>0</v>
      </c>
      <c r="AB204" s="69">
        <f>IF(AA204=0,0,IF(IF((S204&gt;=3)*(1-(IF(T204="",-1,T204)&gt;=0)*(IF(T204="",-1,T204)&lt;=1))*(1-(IF(T204="",-1,T204)=0)),IF(C204="peso_corporal",IF(ISNUMBER(E204),E204,0)+R204,R204)*(30+S204)*100+R204,0)=AA204,5,IF(IF((P204&gt;=3)*(1-(IF(Q204="",-1,Q204)&gt;=0)*(IF(Q204="",-1,Q204)&lt;=1))*(1-(IF(Q204="",-1,Q204)=0)),IF(C204="peso_corporal",IF(ISNUMBER(E204),E204,0)+O204,O204)*(30+P204)*100+O204,0)=AA204,4,IF(IF((M204&gt;=3)*(1-(IF(N204="",-1,N204)&gt;=0)*(IF(N204="",-1,N204)&lt;=1))*(1-(IF(N204="",-1,N204)=0)),IF(C204="peso_corporal",IF(ISNUMBER(E204),E204,0)+L204,L204)*(30+M204)*100+L204,0)=AA204,3,IF(IF((J204&gt;=3)*(1-(IF(K204="",-1,K204)&gt;=0)*(IF(K204="",-1,K204)&lt;=1))*(1-(IF(K204="",-1,K204)=0)),IF(C204="peso_corporal",IF(ISNUMBER(E204),E204,0)+I204,I204)*(30+J204)*100+I204,0)=AA204,2,IF(IF((G204&gt;=3)*(1-(IF(H204="",-1,H204)&gt;=0)*(IF(H204="",-1,H204)&lt;=1))*(1-(IF(H204="",-1,H204)=0)),IF(C204="peso_corporal",IF(ISNUMBER(E204),E204,0)+F204,F204)*(30+G204)*100+F204,0)=AA204,1,0))))))</f>
        <v>0</v>
      </c>
      <c r="AC204" s="69" t="str">
        <f>IF(X204&gt;0,"A"&amp;X204,IF(Z204&gt;0,"B"&amp;Z204,IF(AB204&gt;0,"C"&amp;AB204,"")))</f>
        <v/>
      </c>
    </row>
    <row r="205" spans="1:29" ht="15" customHeight="1">
      <c r="A205" s="72" t="s">
        <v>56</v>
      </c>
      <c r="B205" s="73"/>
      <c r="C205" s="73"/>
      <c r="D205" s="73"/>
      <c r="E205" s="73"/>
      <c r="F205" s="73"/>
      <c r="G205" s="73"/>
      <c r="H205" s="73"/>
      <c r="I205" s="73"/>
      <c r="J205" s="73"/>
      <c r="K205" s="73"/>
      <c r="L205" s="73"/>
      <c r="M205" s="73"/>
      <c r="N205" s="73"/>
      <c r="O205" s="73"/>
      <c r="P205" s="73"/>
      <c r="Q205" s="73"/>
      <c r="R205" s="73"/>
      <c r="S205" s="73"/>
      <c r="T205" s="73"/>
      <c r="U205" s="73"/>
      <c r="V205" s="73"/>
      <c r="W205" s="69"/>
      <c r="X205" s="69"/>
      <c r="Y205" s="69"/>
      <c r="Z205" s="69"/>
      <c r="AA205" s="69"/>
      <c r="AB205" s="69"/>
      <c r="AC205" s="69"/>
    </row>
    <row r="206" spans="1:29" ht="20.100000000000001" customHeight="1">
      <c r="A206" s="14" t="s">
        <v>57</v>
      </c>
      <c r="B206" s="15" t="s">
        <v>58</v>
      </c>
      <c r="C206" s="16" t="str">
        <f>IFERROR(INDEX(EJERCICIOS!$D$3:$D$75,MATCH(A206&amp;"|"&amp;B206,EJERCICIOS!$G$3:$G$75,0)),"--")</f>
        <v>polea</v>
      </c>
      <c r="D206" s="17">
        <v>3</v>
      </c>
      <c r="E206" s="18">
        <f>IFERROR(LOOKUP(2,1/(MEDIDAS_Y_PESO!$B$3:$B$11&lt;&gt;""),MEDIDAS_Y_PESO!$B$3:$B$11),"--")</f>
        <v>80</v>
      </c>
      <c r="F206" s="19"/>
      <c r="G206" s="20"/>
      <c r="H206" s="21"/>
      <c r="I206" s="19"/>
      <c r="J206" s="20"/>
      <c r="K206" s="21"/>
      <c r="L206" s="19"/>
      <c r="M206" s="20"/>
      <c r="N206" s="21"/>
      <c r="O206" s="19"/>
      <c r="P206" s="20"/>
      <c r="Q206" s="21"/>
      <c r="R206" s="19"/>
      <c r="S206" s="20"/>
      <c r="T206" s="21"/>
      <c r="U206" s="22" t="str">
        <f>IFERROR(IF(IF(X206&gt;0,X206,IF(Z206&gt;0,Z206,IF(AB206&gt;0,AB206,0)))=0,"--",ROUND(CHOOSE(IF(X206&gt;0,X206,IF(Z206&gt;0,Z206,IF(AB206&gt;0,AB206,0))),IF(C206="peso_corporal",IF(ISNUMBER(E206),E206,0)+F206,F206)*(1+G206/30),IF(C206="peso_corporal",IF(ISNUMBER(E206),E206,0)+I206,I206)*(1+J206/30),IF(C206="peso_corporal",IF(ISNUMBER(E206),E206,0)+L206,L206)*(1+M206/30),IF(C206="peso_corporal",IF(ISNUMBER(E206),E206,0)+O206,O206)*(1+P206/30),IF(C206="peso_corporal",IF(ISNUMBER(E206),E206,0)+R206,R206)*(1+S206/30)),1)),"--")</f>
        <v>--</v>
      </c>
      <c r="V206" s="23" t="str">
        <f>IF(SUGERENCIAS!N518="SIN","Sin datos anteriores",IF(SUGERENCIAS!N518="SUBIR_F","^ SUBIR FUERTE | Kg:"&amp;ROUND(SUGERENCIAS!K518,1)&amp;" R:"&amp;ROUND(SUGERENCIAS!L518,0)&amp;" RIR:"&amp;ROUND(SUGERENCIAS!M518,0),IF(SUGERENCIAS!N518="SUBIR_E","^ SUBIR (Est.) | Kg:"&amp;ROUND(SUGERENCIAS!K518,1)&amp;" R:"&amp;ROUND(SUGERENCIAS!L518,0)&amp;" RIR:"&amp;ROUND(SUGERENCIAS!M518,0),IF(SUGERENCIAS!N518="SUBIR","^ SUBIR | Kg:"&amp;ROUND(SUGERENCIAS!K518,1)&amp;" R:"&amp;ROUND(SUGERENCIAS!L518,0)&amp;" RIR:"&amp;ROUND(SUGERENCIAS!M518,0),IF(SUGERENCIAS!N518="BAJAR","v BAJAR | Kg:"&amp;ROUND(SUGERENCIAS!K518,1)&amp;" R:"&amp;ROUND(SUGERENCIAS!L518,0)&amp;" RIR:"&amp;ROUND(SUGERENCIAS!M518,0),"= MANT | Kg:"&amp;ROUND(SUGERENCIAS!K518,1)&amp;" R:"&amp;ROUND(SUGERENCIAS!L518,0)&amp;" RIR:"&amp;ROUND(SUGERENCIAS!M518,0))))))</f>
        <v>Sin datos anteriores</v>
      </c>
      <c r="W206" s="69">
        <f>MAX(IF((G206&gt;0)*(IF(H206="",-1,H206)&gt;=0)*(IF(H206="",-1,H206)&lt;=1),IF(C206="peso_corporal",IF(ISNUMBER(E206),E206,0)+F206,F206)*G206*1000+F206,0),IF((J206&gt;0)*(IF(K206="",-1,K206)&gt;=0)*(IF(K206="",-1,K206)&lt;=1),IF(C206="peso_corporal",IF(ISNUMBER(E206),E206,0)+I206,I206)*J206*1000+I206,0),IF((M206&gt;0)*(IF(N206="",-1,N206)&gt;=0)*(IF(N206="",-1,N206)&lt;=1),IF(C206="peso_corporal",IF(ISNUMBER(E206),E206,0)+L206,L206)*M206*1000+L206,0),IF((P206&gt;0)*(IF(Q206="",-1,Q206)&gt;=0)*(IF(Q206="",-1,Q206)&lt;=1),IF(C206="peso_corporal",IF(ISNUMBER(E206),E206,0)+O206,O206)*P206*1000+O206,0),IF((S206&gt;0)*(IF(T206="",-1,T206)&gt;=0)*(IF(T206="",-1,T206)&lt;=1),IF(C206="peso_corporal",IF(ISNUMBER(E206),E206,0)+R206,R206)*S206*1000+R206,0))</f>
        <v>0</v>
      </c>
      <c r="X206" s="69">
        <f>IF(W206=0,0,IF(IF((S206&gt;0)*(IF(T206="",-1,T206)&gt;=0)*(IF(T206="",-1,T206)&lt;=1),IF(C206="peso_corporal",IF(ISNUMBER(E206),E206,0)+R206,R206)*S206*1000+R206,0)=W206,5,IF(IF((P206&gt;0)*(IF(Q206="",-1,Q206)&gt;=0)*(IF(Q206="",-1,Q206)&lt;=1),IF(C206="peso_corporal",IF(ISNUMBER(E206),E206,0)+O206,O206)*P206*1000+O206,0)=W206,4,IF(IF((M206&gt;0)*(IF(N206="",-1,N206)&gt;=0)*(IF(N206="",-1,N206)&lt;=1),IF(C206="peso_corporal",IF(ISNUMBER(E206),E206,0)+L206,L206)*M206*1000+L206,0)=W206,3,IF(IF((J206&gt;0)*(IF(K206="",-1,K206)&gt;=0)*(IF(K206="",-1,K206)&lt;=1),IF(C206="peso_corporal",IF(ISNUMBER(E206),E206,0)+I206,I206)*J206*1000+I206,0)=W206,2,IF(IF((G206&gt;0)*(IF(H206="",-1,H206)&gt;=0)*(IF(H206="",-1,H206)&lt;=1),IF(C206="peso_corporal",IF(ISNUMBER(E206),E206,0)+F206,F206)*G206*1000+F206,0)=W206,1,0))))))</f>
        <v>0</v>
      </c>
      <c r="Y206" s="69">
        <f>MAX(IF((G206&gt;0)*(IF(H206="",-1,H206)=0)*(1-(IF(H206="",-1,H206)&gt;=0)*(IF(H206="",-1,H206)&lt;=1)),IF(C206="peso_corporal",IF(ISNUMBER(E206),E206,0)+F206,F206)*G206*1000+F206,0),IF((J206&gt;0)*(IF(K206="",-1,K206)=0)*(1-(IF(K206="",-1,K206)&gt;=0)*(IF(K206="",-1,K206)&lt;=1)),IF(C206="peso_corporal",IF(ISNUMBER(E206),E206,0)+I206,I206)*J206*1000+I206,0),IF((M206&gt;0)*(IF(N206="",-1,N206)=0)*(1-(IF(N206="",-1,N206)&gt;=0)*(IF(N206="",-1,N206)&lt;=1)),IF(C206="peso_corporal",IF(ISNUMBER(E206),E206,0)+L206,L206)*M206*1000+L206,0),IF((P206&gt;0)*(IF(Q206="",-1,Q206)=0)*(1-(IF(Q206="",-1,Q206)&gt;=0)*(IF(Q206="",-1,Q206)&lt;=1)),IF(C206="peso_corporal",IF(ISNUMBER(E206),E206,0)+O206,O206)*P206*1000+O206,0),IF((S206&gt;0)*(IF(T206="",-1,T206)=0)*(1-(IF(T206="",-1,T206)&gt;=0)*(IF(T206="",-1,T206)&lt;=1)),IF(C206="peso_corporal",IF(ISNUMBER(E206),E206,0)+R206,R206)*S206*1000+R206,0))</f>
        <v>0</v>
      </c>
      <c r="Z206" s="69">
        <f>IF(Y206=0,0,IF(IF((S206&gt;0)*(IF(T206="",-1,T206)=0)*(1-(IF(T206="",-1,T206)&gt;=0)*(IF(T206="",-1,T206)&lt;=1)),IF(C206="peso_corporal",IF(ISNUMBER(E206),E206,0)+R206,R206)*S206*1000+R206,0)=Y206,5,IF(IF((P206&gt;0)*(IF(Q206="",-1,Q206)=0)*(1-(IF(Q206="",-1,Q206)&gt;=0)*(IF(Q206="",-1,Q206)&lt;=1)),IF(C206="peso_corporal",IF(ISNUMBER(E206),E206,0)+O206,O206)*P206*1000+O206,0)=Y206,4,IF(IF((M206&gt;0)*(IF(N206="",-1,N206)=0)*(1-(IF(N206="",-1,N206)&gt;=0)*(IF(N206="",-1,N206)&lt;=1)),IF(C206="peso_corporal",IF(ISNUMBER(E206),E206,0)+L206,L206)*M206*1000+L206,0)=Y206,3,IF(IF((J206&gt;0)*(IF(K206="",-1,K206)=0)*(1-(IF(K206="",-1,K206)&gt;=0)*(IF(K206="",-1,K206)&lt;=1)),IF(C206="peso_corporal",IF(ISNUMBER(E206),E206,0)+I206,I206)*J206*1000+I206,0)=Y206,2,IF(IF((G206&gt;0)*(IF(H206="",-1,H206)=0)*(1-(IF(H206="",-1,H206)&gt;=0)*(IF(H206="",-1,H206)&lt;=1)),IF(C206="peso_corporal",IF(ISNUMBER(E206),E206,0)+F206,F206)*G206*1000+F206,0)=Y206,1,0))))))</f>
        <v>0</v>
      </c>
      <c r="AA206" s="69">
        <f>MAX(IF((G206&gt;=3)*(1-(IF(H206="",-1,H206)&gt;=0)*(IF(H206="",-1,H206)&lt;=1))*(1-(IF(H206="",-1,H206)=0)),IF(C206="peso_corporal",IF(ISNUMBER(E206),E206,0)+F206,F206)*(30+G206)*100+F206,0),IF((J206&gt;=3)*(1-(IF(K206="",-1,K206)&gt;=0)*(IF(K206="",-1,K206)&lt;=1))*(1-(IF(K206="",-1,K206)=0)),IF(C206="peso_corporal",IF(ISNUMBER(E206),E206,0)+I206,I206)*(30+J206)*100+I206,0),IF((M206&gt;=3)*(1-(IF(N206="",-1,N206)&gt;=0)*(IF(N206="",-1,N206)&lt;=1))*(1-(IF(N206="",-1,N206)=0)),IF(C206="peso_corporal",IF(ISNUMBER(E206),E206,0)+L206,L206)*(30+M206)*100+L206,0),IF((P206&gt;=3)*(1-(IF(Q206="",-1,Q206)&gt;=0)*(IF(Q206="",-1,Q206)&lt;=1))*(1-(IF(Q206="",-1,Q206)=0)),IF(C206="peso_corporal",IF(ISNUMBER(E206),E206,0)+O206,O206)*(30+P206)*100+O206,0),IF((S206&gt;=3)*(1-(IF(T206="",-1,T206)&gt;=0)*(IF(T206="",-1,T206)&lt;=1))*(1-(IF(T206="",-1,T206)=0)),IF(C206="peso_corporal",IF(ISNUMBER(E206),E206,0)+R206,R206)*(30+S206)*100+R206,0))</f>
        <v>0</v>
      </c>
      <c r="AB206" s="69">
        <f>IF(AA206=0,0,IF(IF((S206&gt;=3)*(1-(IF(T206="",-1,T206)&gt;=0)*(IF(T206="",-1,T206)&lt;=1))*(1-(IF(T206="",-1,T206)=0)),IF(C206="peso_corporal",IF(ISNUMBER(E206),E206,0)+R206,R206)*(30+S206)*100+R206,0)=AA206,5,IF(IF((P206&gt;=3)*(1-(IF(Q206="",-1,Q206)&gt;=0)*(IF(Q206="",-1,Q206)&lt;=1))*(1-(IF(Q206="",-1,Q206)=0)),IF(C206="peso_corporal",IF(ISNUMBER(E206),E206,0)+O206,O206)*(30+P206)*100+O206,0)=AA206,4,IF(IF((M206&gt;=3)*(1-(IF(N206="",-1,N206)&gt;=0)*(IF(N206="",-1,N206)&lt;=1))*(1-(IF(N206="",-1,N206)=0)),IF(C206="peso_corporal",IF(ISNUMBER(E206),E206,0)+L206,L206)*(30+M206)*100+L206,0)=AA206,3,IF(IF((J206&gt;=3)*(1-(IF(K206="",-1,K206)&gt;=0)*(IF(K206="",-1,K206)&lt;=1))*(1-(IF(K206="",-1,K206)=0)),IF(C206="peso_corporal",IF(ISNUMBER(E206),E206,0)+I206,I206)*(30+J206)*100+I206,0)=AA206,2,IF(IF((G206&gt;=3)*(1-(IF(H206="",-1,H206)&gt;=0)*(IF(H206="",-1,H206)&lt;=1))*(1-(IF(H206="",-1,H206)=0)),IF(C206="peso_corporal",IF(ISNUMBER(E206),E206,0)+F206,F206)*(30+G206)*100+F206,0)=AA206,1,0))))))</f>
        <v>0</v>
      </c>
      <c r="AC206" s="69" t="str">
        <f>IF(X206&gt;0,"A"&amp;X206,IF(Z206&gt;0,"B"&amp;Z206,IF(AB206&gt;0,"C"&amp;AB206,"")))</f>
        <v/>
      </c>
    </row>
    <row r="207" spans="1:29" ht="6"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69"/>
      <c r="X207" s="69"/>
      <c r="Y207" s="69"/>
      <c r="Z207" s="69"/>
      <c r="AA207" s="69"/>
      <c r="AB207" s="69"/>
      <c r="AC207" s="69"/>
    </row>
    <row r="208" spans="1:29" ht="18" customHeight="1">
      <c r="A208" s="85" t="s">
        <v>75</v>
      </c>
      <c r="B208" s="73"/>
      <c r="C208" s="73"/>
      <c r="D208" s="73"/>
      <c r="E208" s="73"/>
      <c r="F208" s="73"/>
      <c r="G208" s="73"/>
      <c r="H208" s="73"/>
      <c r="I208" s="73"/>
      <c r="J208" s="73"/>
      <c r="K208" s="73"/>
      <c r="L208" s="73"/>
      <c r="M208" s="73"/>
      <c r="N208" s="73"/>
      <c r="O208" s="73"/>
      <c r="P208" s="73"/>
      <c r="Q208" s="73"/>
      <c r="R208" s="73"/>
      <c r="S208" s="73"/>
      <c r="T208" s="73"/>
      <c r="U208" s="73"/>
      <c r="V208" s="73"/>
      <c r="W208" s="69"/>
      <c r="X208" s="69"/>
      <c r="Y208" s="69"/>
      <c r="Z208" s="69"/>
      <c r="AA208" s="69"/>
      <c r="AB208" s="69"/>
      <c r="AC208" s="69"/>
    </row>
    <row r="209" spans="1:29" ht="15" customHeight="1">
      <c r="A209" s="75" t="s">
        <v>28</v>
      </c>
      <c r="B209" s="73"/>
      <c r="C209" s="73"/>
      <c r="D209" s="73"/>
      <c r="E209" s="73"/>
      <c r="F209" s="73"/>
      <c r="G209" s="73"/>
      <c r="H209" s="73"/>
      <c r="I209" s="73"/>
      <c r="J209" s="73"/>
      <c r="K209" s="73"/>
      <c r="L209" s="73"/>
      <c r="M209" s="73"/>
      <c r="N209" s="73"/>
      <c r="O209" s="73"/>
      <c r="P209" s="73"/>
      <c r="Q209" s="73"/>
      <c r="R209" s="73"/>
      <c r="S209" s="73"/>
      <c r="T209" s="73"/>
      <c r="U209" s="73"/>
      <c r="V209" s="73"/>
      <c r="W209" s="69"/>
      <c r="X209" s="69"/>
      <c r="Y209" s="69"/>
      <c r="Z209" s="69"/>
      <c r="AA209" s="69"/>
      <c r="AB209" s="69"/>
      <c r="AC209" s="69"/>
    </row>
    <row r="210" spans="1:29" ht="11.1" customHeight="1">
      <c r="A210" s="76" t="s">
        <v>29</v>
      </c>
      <c r="B210" s="73"/>
      <c r="C210" s="73"/>
      <c r="D210" s="73"/>
      <c r="E210" s="73"/>
      <c r="F210" s="73"/>
      <c r="G210" s="73"/>
      <c r="H210" s="73"/>
      <c r="I210" s="73"/>
      <c r="J210" s="73"/>
      <c r="K210" s="73"/>
      <c r="L210" s="73"/>
      <c r="M210" s="73"/>
      <c r="N210" s="73"/>
      <c r="O210" s="73"/>
      <c r="P210" s="73"/>
      <c r="Q210" s="73"/>
      <c r="R210" s="73"/>
      <c r="S210" s="73"/>
      <c r="T210" s="73"/>
      <c r="U210" s="73"/>
      <c r="V210" s="73"/>
      <c r="W210" s="69"/>
      <c r="X210" s="69"/>
      <c r="Y210" s="69"/>
      <c r="Z210" s="69"/>
      <c r="AA210" s="69"/>
      <c r="AB210" s="69"/>
      <c r="AC210" s="69"/>
    </row>
    <row r="211" spans="1:29" ht="20.100000000000001" customHeight="1">
      <c r="A211" s="14" t="s">
        <v>30</v>
      </c>
      <c r="B211" s="15" t="s">
        <v>60</v>
      </c>
      <c r="C211" s="16" t="str">
        <f>IFERROR(INDEX(EJERCICIOS!$D$3:$D$75,MATCH(A211&amp;"|"&amp;B211,EJERCICIOS!$G$3:$G$75,0)),"--")</f>
        <v>disco</v>
      </c>
      <c r="D211" s="17">
        <v>3</v>
      </c>
      <c r="E211" s="18">
        <f>IFERROR(LOOKUP(2,1/(MEDIDAS_Y_PESO!$B$3:$B$12&lt;&gt;""),MEDIDAS_Y_PESO!$B$3:$B$12),"--")</f>
        <v>80</v>
      </c>
      <c r="F211" s="19"/>
      <c r="G211" s="20"/>
      <c r="H211" s="21"/>
      <c r="I211" s="19"/>
      <c r="J211" s="20"/>
      <c r="K211" s="21"/>
      <c r="L211" s="19"/>
      <c r="M211" s="20"/>
      <c r="N211" s="21"/>
      <c r="O211" s="19"/>
      <c r="P211" s="20"/>
      <c r="Q211" s="21"/>
      <c r="R211" s="19"/>
      <c r="S211" s="20"/>
      <c r="T211" s="21"/>
      <c r="U211" s="22" t="str">
        <f>IFERROR(IF(IF(X211&gt;0,X211,IF(Z211&gt;0,Z211,IF(AB211&gt;0,AB211,0)))=0,"--",ROUND(CHOOSE(IF(X211&gt;0,X211,IF(Z211&gt;0,Z211,IF(AB211&gt;0,AB211,0))),IF(C211="peso_corporal",IF(ISNUMBER(E211),E211,0)+F211,F211)*(1+G211/30),IF(C211="peso_corporal",IF(ISNUMBER(E211),E211,0)+I211,I211)*(1+J211/30),IF(C211="peso_corporal",IF(ISNUMBER(E211),E211,0)+L211,L211)*(1+M211/30),IF(C211="peso_corporal",IF(ISNUMBER(E211),E211,0)+O211,O211)*(1+P211/30),IF(C211="peso_corporal",IF(ISNUMBER(E211),E211,0)+R211,R211)*(1+S211/30)),1)),"--")</f>
        <v>--</v>
      </c>
      <c r="V211" s="23" t="str">
        <f>IF(SUGERENCIAS!N571="SIN","Sin datos anteriores",IF(SUGERENCIAS!N571="SUBIR_F","^ SUBIR FUERTE | Kg:"&amp;ROUND(SUGERENCIAS!K571,1)&amp;" R:"&amp;ROUND(SUGERENCIAS!L571,0)&amp;" RIR:"&amp;ROUND(SUGERENCIAS!M571,0),IF(SUGERENCIAS!N571="SUBIR_E","^ SUBIR (Est.) | Kg:"&amp;ROUND(SUGERENCIAS!K571,1)&amp;" R:"&amp;ROUND(SUGERENCIAS!L571,0)&amp;" RIR:"&amp;ROUND(SUGERENCIAS!M571,0),IF(SUGERENCIAS!N571="SUBIR","^ SUBIR | Kg:"&amp;ROUND(SUGERENCIAS!K571,1)&amp;" R:"&amp;ROUND(SUGERENCIAS!L571,0)&amp;" RIR:"&amp;ROUND(SUGERENCIAS!M571,0),IF(SUGERENCIAS!N571="BAJAR","v BAJAR | Kg:"&amp;ROUND(SUGERENCIAS!K571,1)&amp;" R:"&amp;ROUND(SUGERENCIAS!L571,0)&amp;" RIR:"&amp;ROUND(SUGERENCIAS!M571,0),"= MANT | Kg:"&amp;ROUND(SUGERENCIAS!K571,1)&amp;" R:"&amp;ROUND(SUGERENCIAS!L571,0)&amp;" RIR:"&amp;ROUND(SUGERENCIAS!M571,0))))))</f>
        <v>Sin datos anteriores</v>
      </c>
      <c r="W211" s="69">
        <f>MAX(IF((G211&gt;0)*(IF(H211="",-1,H211)&gt;=1)*(IF(H211="",-1,H211)&lt;=3),IF(C211="peso_corporal",IF(ISNUMBER(E211),E211,0)+F211,F211)*G211*1000+F211,0),IF((J211&gt;0)*(IF(K211="",-1,K211)&gt;=1)*(IF(K211="",-1,K211)&lt;=3),IF(C211="peso_corporal",IF(ISNUMBER(E211),E211,0)+I211,I211)*J211*1000+I211,0),IF((M211&gt;0)*(IF(N211="",-1,N211)&gt;=1)*(IF(N211="",-1,N211)&lt;=3),IF(C211="peso_corporal",IF(ISNUMBER(E211),E211,0)+L211,L211)*M211*1000+L211,0),IF((P211&gt;0)*(IF(Q211="",-1,Q211)&gt;=1)*(IF(Q211="",-1,Q211)&lt;=3),IF(C211="peso_corporal",IF(ISNUMBER(E211),E211,0)+O211,O211)*P211*1000+O211,0),IF((S211&gt;0)*(IF(T211="",-1,T211)&gt;=1)*(IF(T211="",-1,T211)&lt;=3),IF(C211="peso_corporal",IF(ISNUMBER(E211),E211,0)+R211,R211)*S211*1000+R211,0))</f>
        <v>0</v>
      </c>
      <c r="X211" s="69">
        <f>IF(W211=0,0,IF(IF((S211&gt;0)*(IF(T211="",-1,T211)&gt;=1)*(IF(T211="",-1,T211)&lt;=3),IF(C211="peso_corporal",IF(ISNUMBER(E211),E211,0)+R211,R211)*S211*1000+R211,0)=W211,5,IF(IF((P211&gt;0)*(IF(Q211="",-1,Q211)&gt;=1)*(IF(Q211="",-1,Q211)&lt;=3),IF(C211="peso_corporal",IF(ISNUMBER(E211),E211,0)+O211,O211)*P211*1000+O211,0)=W211,4,IF(IF((M211&gt;0)*(IF(N211="",-1,N211)&gt;=1)*(IF(N211="",-1,N211)&lt;=3),IF(C211="peso_corporal",IF(ISNUMBER(E211),E211,0)+L211,L211)*M211*1000+L211,0)=W211,3,IF(IF((J211&gt;0)*(IF(K211="",-1,K211)&gt;=1)*(IF(K211="",-1,K211)&lt;=3),IF(C211="peso_corporal",IF(ISNUMBER(E211),E211,0)+I211,I211)*J211*1000+I211,0)=W211,2,IF(IF((G211&gt;0)*(IF(H211="",-1,H211)&gt;=1)*(IF(H211="",-1,H211)&lt;=3),IF(C211="peso_corporal",IF(ISNUMBER(E211),E211,0)+F211,F211)*G211*1000+F211,0)=W211,1,0))))))</f>
        <v>0</v>
      </c>
      <c r="Y211" s="69">
        <f>MAX(IF((G211&gt;0)*(IF(H211="",-1,H211)=0)*(1-(IF(H211="",-1,H211)&gt;=1)*(IF(H211="",-1,H211)&lt;=3)),IF(C211="peso_corporal",IF(ISNUMBER(E211),E211,0)+F211,F211)*G211*1000+F211,0),IF((J211&gt;0)*(IF(K211="",-1,K211)=0)*(1-(IF(K211="",-1,K211)&gt;=1)*(IF(K211="",-1,K211)&lt;=3)),IF(C211="peso_corporal",IF(ISNUMBER(E211),E211,0)+I211,I211)*J211*1000+I211,0),IF((M211&gt;0)*(IF(N211="",-1,N211)=0)*(1-(IF(N211="",-1,N211)&gt;=1)*(IF(N211="",-1,N211)&lt;=3)),IF(C211="peso_corporal",IF(ISNUMBER(E211),E211,0)+L211,L211)*M211*1000+L211,0),IF((P211&gt;0)*(IF(Q211="",-1,Q211)=0)*(1-(IF(Q211="",-1,Q211)&gt;=1)*(IF(Q211="",-1,Q211)&lt;=3)),IF(C211="peso_corporal",IF(ISNUMBER(E211),E211,0)+O211,O211)*P211*1000+O211,0),IF((S211&gt;0)*(IF(T211="",-1,T211)=0)*(1-(IF(T211="",-1,T211)&gt;=1)*(IF(T211="",-1,T211)&lt;=3)),IF(C211="peso_corporal",IF(ISNUMBER(E211),E211,0)+R211,R211)*S211*1000+R211,0))</f>
        <v>0</v>
      </c>
      <c r="Z211" s="69">
        <f>IF(Y211=0,0,IF(IF((S211&gt;0)*(IF(T211="",-1,T211)=0)*(1-(IF(T211="",-1,T211)&gt;=1)*(IF(T211="",-1,T211)&lt;=3)),IF(C211="peso_corporal",IF(ISNUMBER(E211),E211,0)+R211,R211)*S211*1000+R211,0)=Y211,5,IF(IF((P211&gt;0)*(IF(Q211="",-1,Q211)=0)*(1-(IF(Q211="",-1,Q211)&gt;=1)*(IF(Q211="",-1,Q211)&lt;=3)),IF(C211="peso_corporal",IF(ISNUMBER(E211),E211,0)+O211,O211)*P211*1000+O211,0)=Y211,4,IF(IF((M211&gt;0)*(IF(N211="",-1,N211)=0)*(1-(IF(N211="",-1,N211)&gt;=1)*(IF(N211="",-1,N211)&lt;=3)),IF(C211="peso_corporal",IF(ISNUMBER(E211),E211,0)+L211,L211)*M211*1000+L211,0)=Y211,3,IF(IF((J211&gt;0)*(IF(K211="",-1,K211)=0)*(1-(IF(K211="",-1,K211)&gt;=1)*(IF(K211="",-1,K211)&lt;=3)),IF(C211="peso_corporal",IF(ISNUMBER(E211),E211,0)+I211,I211)*J211*1000+I211,0)=Y211,2,IF(IF((G211&gt;0)*(IF(H211="",-1,H211)=0)*(1-(IF(H211="",-1,H211)&gt;=1)*(IF(H211="",-1,H211)&lt;=3)),IF(C211="peso_corporal",IF(ISNUMBER(E211),E211,0)+F211,F211)*G211*1000+F211,0)=Y211,1,0))))))</f>
        <v>0</v>
      </c>
      <c r="AA211" s="69">
        <f>MAX(IF((G211&gt;=6)*(1-(IF(H211="",-1,H211)&gt;=1)*(IF(H211="",-1,H211)&lt;=3))*(1-(IF(H211="",-1,H211)=0)),IF(C211="peso_corporal",IF(ISNUMBER(E211),E211,0)+F211,F211)*(30+G211)*100+F211,0),IF((J211&gt;=6)*(1-(IF(K211="",-1,K211)&gt;=1)*(IF(K211="",-1,K211)&lt;=3))*(1-(IF(K211="",-1,K211)=0)),IF(C211="peso_corporal",IF(ISNUMBER(E211),E211,0)+I211,I211)*(30+J211)*100+I211,0),IF((M211&gt;=6)*(1-(IF(N211="",-1,N211)&gt;=1)*(IF(N211="",-1,N211)&lt;=3))*(1-(IF(N211="",-1,N211)=0)),IF(C211="peso_corporal",IF(ISNUMBER(E211),E211,0)+L211,L211)*(30+M211)*100+L211,0),IF((P211&gt;=6)*(1-(IF(Q211="",-1,Q211)&gt;=1)*(IF(Q211="",-1,Q211)&lt;=3))*(1-(IF(Q211="",-1,Q211)=0)),IF(C211="peso_corporal",IF(ISNUMBER(E211),E211,0)+O211,O211)*(30+P211)*100+O211,0),IF((S211&gt;=6)*(1-(IF(T211="",-1,T211)&gt;=1)*(IF(T211="",-1,T211)&lt;=3))*(1-(IF(T211="",-1,T211)=0)),IF(C211="peso_corporal",IF(ISNUMBER(E211),E211,0)+R211,R211)*(30+S211)*100+R211,0))</f>
        <v>0</v>
      </c>
      <c r="AB211" s="69">
        <f>IF(AA211=0,0,IF(IF((S211&gt;=6)*(1-(IF(T211="",-1,T211)&gt;=1)*(IF(T211="",-1,T211)&lt;=3))*(1-(IF(T211="",-1,T211)=0)),IF(C211="peso_corporal",IF(ISNUMBER(E211),E211,0)+R211,R211)*(30+S211)*100+R211,0)=AA211,5,IF(IF((P211&gt;=6)*(1-(IF(Q211="",-1,Q211)&gt;=1)*(IF(Q211="",-1,Q211)&lt;=3))*(1-(IF(Q211="",-1,Q211)=0)),IF(C211="peso_corporal",IF(ISNUMBER(E211),E211,0)+O211,O211)*(30+P211)*100+O211,0)=AA211,4,IF(IF((M211&gt;=6)*(1-(IF(N211="",-1,N211)&gt;=1)*(IF(N211="",-1,N211)&lt;=3))*(1-(IF(N211="",-1,N211)=0)),IF(C211="peso_corporal",IF(ISNUMBER(E211),E211,0)+L211,L211)*(30+M211)*100+L211,0)=AA211,3,IF(IF((J211&gt;=6)*(1-(IF(K211="",-1,K211)&gt;=1)*(IF(K211="",-1,K211)&lt;=3))*(1-(IF(K211="",-1,K211)=0)),IF(C211="peso_corporal",IF(ISNUMBER(E211),E211,0)+I211,I211)*(30+J211)*100+I211,0)=AA211,2,IF(IF((G211&gt;=6)*(1-(IF(H211="",-1,H211)&gt;=1)*(IF(H211="",-1,H211)&lt;=3))*(1-(IF(H211="",-1,H211)=0)),IF(C211="peso_corporal",IF(ISNUMBER(E211),E211,0)+F211,F211)*(30+G211)*100+F211,0)=AA211,1,0))))))</f>
        <v>0</v>
      </c>
      <c r="AC211" s="69" t="str">
        <f>IF(X211&gt;0,"A"&amp;X211,IF(Z211&gt;0,"B"&amp;Z211,IF(AB211&gt;0,"C"&amp;AB211,"")))</f>
        <v/>
      </c>
    </row>
    <row r="212" spans="1:29" ht="11.1" customHeight="1">
      <c r="A212" s="84" t="s">
        <v>32</v>
      </c>
      <c r="B212" s="73"/>
      <c r="C212" s="73"/>
      <c r="D212" s="73"/>
      <c r="E212" s="73"/>
      <c r="F212" s="73"/>
      <c r="G212" s="73"/>
      <c r="H212" s="73"/>
      <c r="I212" s="73"/>
      <c r="J212" s="73"/>
      <c r="K212" s="73"/>
      <c r="L212" s="73"/>
      <c r="M212" s="73"/>
      <c r="N212" s="73"/>
      <c r="O212" s="73"/>
      <c r="P212" s="73"/>
      <c r="Q212" s="73"/>
      <c r="R212" s="73"/>
      <c r="S212" s="73"/>
      <c r="T212" s="73"/>
      <c r="U212" s="73"/>
      <c r="V212" s="73"/>
      <c r="W212" s="69"/>
      <c r="X212" s="69"/>
      <c r="Y212" s="69"/>
      <c r="Z212" s="69"/>
      <c r="AA212" s="69"/>
      <c r="AB212" s="69"/>
      <c r="AC212" s="69"/>
    </row>
    <row r="213" spans="1:29" ht="20.100000000000001" customHeight="1">
      <c r="A213" s="14" t="s">
        <v>61</v>
      </c>
      <c r="B213" s="15" t="s">
        <v>31</v>
      </c>
      <c r="C213" s="16" t="str">
        <f>IFERROR(INDEX(EJERCICIOS!$D$3:$D$75,MATCH(A213&amp;"|"&amp;B213,EJERCICIOS!$G$3:$G$75,0)),"--")</f>
        <v>mancuerna</v>
      </c>
      <c r="D213" s="17">
        <v>3</v>
      </c>
      <c r="E213" s="18">
        <f>IFERROR(LOOKUP(2,1/(MEDIDAS_Y_PESO!$B$3:$B$12&lt;&gt;""),MEDIDAS_Y_PESO!$B$3:$B$12),"--")</f>
        <v>80</v>
      </c>
      <c r="F213" s="19"/>
      <c r="G213" s="20"/>
      <c r="H213" s="21"/>
      <c r="I213" s="19"/>
      <c r="J213" s="20"/>
      <c r="K213" s="21"/>
      <c r="L213" s="19"/>
      <c r="M213" s="20"/>
      <c r="N213" s="21"/>
      <c r="O213" s="19"/>
      <c r="P213" s="20"/>
      <c r="Q213" s="21"/>
      <c r="R213" s="19"/>
      <c r="S213" s="20"/>
      <c r="T213" s="21"/>
      <c r="U213" s="22" t="str">
        <f>IFERROR(IF(IF(X213&gt;0,X213,IF(Z213&gt;0,Z213,IF(AB213&gt;0,AB213,0)))=0,"--",ROUND(CHOOSE(IF(X213&gt;0,X213,IF(Z213&gt;0,Z213,IF(AB213&gt;0,AB213,0))),IF(C213="peso_corporal",IF(ISNUMBER(E213),E213,0)+F213,F213)*(1+G213/30),IF(C213="peso_corporal",IF(ISNUMBER(E213),E213,0)+I213,I213)*(1+J213/30),IF(C213="peso_corporal",IF(ISNUMBER(E213),E213,0)+L213,L213)*(1+M213/30),IF(C213="peso_corporal",IF(ISNUMBER(E213),E213,0)+O213,O213)*(1+P213/30),IF(C213="peso_corporal",IF(ISNUMBER(E213),E213,0)+R213,R213)*(1+S213/30)),1)),"--")</f>
        <v>--</v>
      </c>
      <c r="V213" s="23" t="str">
        <f>IF(SUGERENCIAS!N572="SIN","Sin datos anteriores",IF(SUGERENCIAS!N572="SUBIR_F","^ SUBIR FUERTE | Kg:"&amp;ROUND(SUGERENCIAS!K572,1)&amp;" R:"&amp;ROUND(SUGERENCIAS!L572,0)&amp;" RIR:"&amp;ROUND(SUGERENCIAS!M572,0),IF(SUGERENCIAS!N572="SUBIR_E","^ SUBIR (Est.) | Kg:"&amp;ROUND(SUGERENCIAS!K572,1)&amp;" R:"&amp;ROUND(SUGERENCIAS!L572,0)&amp;" RIR:"&amp;ROUND(SUGERENCIAS!M572,0),IF(SUGERENCIAS!N572="SUBIR","^ SUBIR | Kg:"&amp;ROUND(SUGERENCIAS!K572,1)&amp;" R:"&amp;ROUND(SUGERENCIAS!L572,0)&amp;" RIR:"&amp;ROUND(SUGERENCIAS!M572,0),IF(SUGERENCIAS!N572="BAJAR","v BAJAR | Kg:"&amp;ROUND(SUGERENCIAS!K572,1)&amp;" R:"&amp;ROUND(SUGERENCIAS!L572,0)&amp;" RIR:"&amp;ROUND(SUGERENCIAS!M572,0),"= MANT | Kg:"&amp;ROUND(SUGERENCIAS!K572,1)&amp;" R:"&amp;ROUND(SUGERENCIAS!L572,0)&amp;" RIR:"&amp;ROUND(SUGERENCIAS!M572,0))))))</f>
        <v>Sin datos anteriores</v>
      </c>
      <c r="W213" s="69">
        <f>MAX(IF((G213&gt;0)*(IF(H213="",-1,H213)&gt;=1)*(IF(H213="",-1,H213)&lt;=3),IF(C213="peso_corporal",IF(ISNUMBER(E213),E213,0)+F213,F213)*G213*1000+F213,0),IF((J213&gt;0)*(IF(K213="",-1,K213)&gt;=1)*(IF(K213="",-1,K213)&lt;=3),IF(C213="peso_corporal",IF(ISNUMBER(E213),E213,0)+I213,I213)*J213*1000+I213,0),IF((M213&gt;0)*(IF(N213="",-1,N213)&gt;=1)*(IF(N213="",-1,N213)&lt;=3),IF(C213="peso_corporal",IF(ISNUMBER(E213),E213,0)+L213,L213)*M213*1000+L213,0),IF((P213&gt;0)*(IF(Q213="",-1,Q213)&gt;=1)*(IF(Q213="",-1,Q213)&lt;=3),IF(C213="peso_corporal",IF(ISNUMBER(E213),E213,0)+O213,O213)*P213*1000+O213,0),IF((S213&gt;0)*(IF(T213="",-1,T213)&gt;=1)*(IF(T213="",-1,T213)&lt;=3),IF(C213="peso_corporal",IF(ISNUMBER(E213),E213,0)+R213,R213)*S213*1000+R213,0))</f>
        <v>0</v>
      </c>
      <c r="X213" s="69">
        <f>IF(W213=0,0,IF(IF((S213&gt;0)*(IF(T213="",-1,T213)&gt;=1)*(IF(T213="",-1,T213)&lt;=3),IF(C213="peso_corporal",IF(ISNUMBER(E213),E213,0)+R213,R213)*S213*1000+R213,0)=W213,5,IF(IF((P213&gt;0)*(IF(Q213="",-1,Q213)&gt;=1)*(IF(Q213="",-1,Q213)&lt;=3),IF(C213="peso_corporal",IF(ISNUMBER(E213),E213,0)+O213,O213)*P213*1000+O213,0)=W213,4,IF(IF((M213&gt;0)*(IF(N213="",-1,N213)&gt;=1)*(IF(N213="",-1,N213)&lt;=3),IF(C213="peso_corporal",IF(ISNUMBER(E213),E213,0)+L213,L213)*M213*1000+L213,0)=W213,3,IF(IF((J213&gt;0)*(IF(K213="",-1,K213)&gt;=1)*(IF(K213="",-1,K213)&lt;=3),IF(C213="peso_corporal",IF(ISNUMBER(E213),E213,0)+I213,I213)*J213*1000+I213,0)=W213,2,IF(IF((G213&gt;0)*(IF(H213="",-1,H213)&gt;=1)*(IF(H213="",-1,H213)&lt;=3),IF(C213="peso_corporal",IF(ISNUMBER(E213),E213,0)+F213,F213)*G213*1000+F213,0)=W213,1,0))))))</f>
        <v>0</v>
      </c>
      <c r="Y213" s="69">
        <f>MAX(IF((G213&gt;0)*(IF(H213="",-1,H213)=0)*(1-(IF(H213="",-1,H213)&gt;=1)*(IF(H213="",-1,H213)&lt;=3)),IF(C213="peso_corporal",IF(ISNUMBER(E213),E213,0)+F213,F213)*G213*1000+F213,0),IF((J213&gt;0)*(IF(K213="",-1,K213)=0)*(1-(IF(K213="",-1,K213)&gt;=1)*(IF(K213="",-1,K213)&lt;=3)),IF(C213="peso_corporal",IF(ISNUMBER(E213),E213,0)+I213,I213)*J213*1000+I213,0),IF((M213&gt;0)*(IF(N213="",-1,N213)=0)*(1-(IF(N213="",-1,N213)&gt;=1)*(IF(N213="",-1,N213)&lt;=3)),IF(C213="peso_corporal",IF(ISNUMBER(E213),E213,0)+L213,L213)*M213*1000+L213,0),IF((P213&gt;0)*(IF(Q213="",-1,Q213)=0)*(1-(IF(Q213="",-1,Q213)&gt;=1)*(IF(Q213="",-1,Q213)&lt;=3)),IF(C213="peso_corporal",IF(ISNUMBER(E213),E213,0)+O213,O213)*P213*1000+O213,0),IF((S213&gt;0)*(IF(T213="",-1,T213)=0)*(1-(IF(T213="",-1,T213)&gt;=1)*(IF(T213="",-1,T213)&lt;=3)),IF(C213="peso_corporal",IF(ISNUMBER(E213),E213,0)+R213,R213)*S213*1000+R213,0))</f>
        <v>0</v>
      </c>
      <c r="Z213" s="69">
        <f>IF(Y213=0,0,IF(IF((S213&gt;0)*(IF(T213="",-1,T213)=0)*(1-(IF(T213="",-1,T213)&gt;=1)*(IF(T213="",-1,T213)&lt;=3)),IF(C213="peso_corporal",IF(ISNUMBER(E213),E213,0)+R213,R213)*S213*1000+R213,0)=Y213,5,IF(IF((P213&gt;0)*(IF(Q213="",-1,Q213)=0)*(1-(IF(Q213="",-1,Q213)&gt;=1)*(IF(Q213="",-1,Q213)&lt;=3)),IF(C213="peso_corporal",IF(ISNUMBER(E213),E213,0)+O213,O213)*P213*1000+O213,0)=Y213,4,IF(IF((M213&gt;0)*(IF(N213="",-1,N213)=0)*(1-(IF(N213="",-1,N213)&gt;=1)*(IF(N213="",-1,N213)&lt;=3)),IF(C213="peso_corporal",IF(ISNUMBER(E213),E213,0)+L213,L213)*M213*1000+L213,0)=Y213,3,IF(IF((J213&gt;0)*(IF(K213="",-1,K213)=0)*(1-(IF(K213="",-1,K213)&gt;=1)*(IF(K213="",-1,K213)&lt;=3)),IF(C213="peso_corporal",IF(ISNUMBER(E213),E213,0)+I213,I213)*J213*1000+I213,0)=Y213,2,IF(IF((G213&gt;0)*(IF(H213="",-1,H213)=0)*(1-(IF(H213="",-1,H213)&gt;=1)*(IF(H213="",-1,H213)&lt;=3)),IF(C213="peso_corporal",IF(ISNUMBER(E213),E213,0)+F213,F213)*G213*1000+F213,0)=Y213,1,0))))))</f>
        <v>0</v>
      </c>
      <c r="AA213" s="69">
        <f>MAX(IF((G213&gt;=6)*(1-(IF(H213="",-1,H213)&gt;=1)*(IF(H213="",-1,H213)&lt;=3))*(1-(IF(H213="",-1,H213)=0)),IF(C213="peso_corporal",IF(ISNUMBER(E213),E213,0)+F213,F213)*(30+G213)*100+F213,0),IF((J213&gt;=6)*(1-(IF(K213="",-1,K213)&gt;=1)*(IF(K213="",-1,K213)&lt;=3))*(1-(IF(K213="",-1,K213)=0)),IF(C213="peso_corporal",IF(ISNUMBER(E213),E213,0)+I213,I213)*(30+J213)*100+I213,0),IF((M213&gt;=6)*(1-(IF(N213="",-1,N213)&gt;=1)*(IF(N213="",-1,N213)&lt;=3))*(1-(IF(N213="",-1,N213)=0)),IF(C213="peso_corporal",IF(ISNUMBER(E213),E213,0)+L213,L213)*(30+M213)*100+L213,0),IF((P213&gt;=6)*(1-(IF(Q213="",-1,Q213)&gt;=1)*(IF(Q213="",-1,Q213)&lt;=3))*(1-(IF(Q213="",-1,Q213)=0)),IF(C213="peso_corporal",IF(ISNUMBER(E213),E213,0)+O213,O213)*(30+P213)*100+O213,0),IF((S213&gt;=6)*(1-(IF(T213="",-1,T213)&gt;=1)*(IF(T213="",-1,T213)&lt;=3))*(1-(IF(T213="",-1,T213)=0)),IF(C213="peso_corporal",IF(ISNUMBER(E213),E213,0)+R213,R213)*(30+S213)*100+R213,0))</f>
        <v>0</v>
      </c>
      <c r="AB213" s="69">
        <f>IF(AA213=0,0,IF(IF((S213&gt;=6)*(1-(IF(T213="",-1,T213)&gt;=1)*(IF(T213="",-1,T213)&lt;=3))*(1-(IF(T213="",-1,T213)=0)),IF(C213="peso_corporal",IF(ISNUMBER(E213),E213,0)+R213,R213)*(30+S213)*100+R213,0)=AA213,5,IF(IF((P213&gt;=6)*(1-(IF(Q213="",-1,Q213)&gt;=1)*(IF(Q213="",-1,Q213)&lt;=3))*(1-(IF(Q213="",-1,Q213)=0)),IF(C213="peso_corporal",IF(ISNUMBER(E213),E213,0)+O213,O213)*(30+P213)*100+O213,0)=AA213,4,IF(IF((M213&gt;=6)*(1-(IF(N213="",-1,N213)&gt;=1)*(IF(N213="",-1,N213)&lt;=3))*(1-(IF(N213="",-1,N213)=0)),IF(C213="peso_corporal",IF(ISNUMBER(E213),E213,0)+L213,L213)*(30+M213)*100+L213,0)=AA213,3,IF(IF((J213&gt;=6)*(1-(IF(K213="",-1,K213)&gt;=1)*(IF(K213="",-1,K213)&lt;=3))*(1-(IF(K213="",-1,K213)=0)),IF(C213="peso_corporal",IF(ISNUMBER(E213),E213,0)+I213,I213)*(30+J213)*100+I213,0)=AA213,2,IF(IF((G213&gt;=6)*(1-(IF(H213="",-1,H213)&gt;=1)*(IF(H213="",-1,H213)&lt;=3))*(1-(IF(H213="",-1,H213)=0)),IF(C213="peso_corporal",IF(ISNUMBER(E213),E213,0)+F213,F213)*(30+G213)*100+F213,0)=AA213,1,0))))))</f>
        <v>0</v>
      </c>
      <c r="AC213" s="69" t="str">
        <f>IF(X213&gt;0,"A"&amp;X213,IF(Z213&gt;0,"B"&amp;Z213,IF(AB213&gt;0,"C"&amp;AB213,"")))</f>
        <v/>
      </c>
    </row>
    <row r="214" spans="1:29" ht="11.1" customHeight="1">
      <c r="A214" s="87" t="s">
        <v>35</v>
      </c>
      <c r="B214" s="73"/>
      <c r="C214" s="73"/>
      <c r="D214" s="73"/>
      <c r="E214" s="73"/>
      <c r="F214" s="73"/>
      <c r="G214" s="73"/>
      <c r="H214" s="73"/>
      <c r="I214" s="73"/>
      <c r="J214" s="73"/>
      <c r="K214" s="73"/>
      <c r="L214" s="73"/>
      <c r="M214" s="73"/>
      <c r="N214" s="73"/>
      <c r="O214" s="73"/>
      <c r="P214" s="73"/>
      <c r="Q214" s="73"/>
      <c r="R214" s="73"/>
      <c r="S214" s="73"/>
      <c r="T214" s="73"/>
      <c r="U214" s="73"/>
      <c r="V214" s="73"/>
      <c r="W214" s="69"/>
      <c r="X214" s="69"/>
      <c r="Y214" s="69"/>
      <c r="Z214" s="69"/>
      <c r="AA214" s="69"/>
      <c r="AB214" s="69"/>
      <c r="AC214" s="69"/>
    </row>
    <row r="215" spans="1:29" ht="20.100000000000001" customHeight="1">
      <c r="A215" s="14" t="s">
        <v>36</v>
      </c>
      <c r="B215" s="15" t="s">
        <v>37</v>
      </c>
      <c r="C215" s="16" t="str">
        <f>IFERROR(INDEX(EJERCICIOS!$D$3:$D$75,MATCH(A215&amp;"|"&amp;B215,EJERCICIOS!$G$3:$G$75,0)),"--")</f>
        <v>peso_corporal</v>
      </c>
      <c r="D215" s="17">
        <v>3</v>
      </c>
      <c r="E215" s="18">
        <f>IFERROR(LOOKUP(2,1/(MEDIDAS_Y_PESO!$B$3:$B$12&lt;&gt;""),MEDIDAS_Y_PESO!$B$3:$B$12),"--")</f>
        <v>80</v>
      </c>
      <c r="F215" s="19"/>
      <c r="G215" s="20"/>
      <c r="H215" s="21"/>
      <c r="I215" s="19"/>
      <c r="J215" s="20"/>
      <c r="K215" s="21"/>
      <c r="L215" s="19"/>
      <c r="M215" s="20"/>
      <c r="N215" s="21"/>
      <c r="O215" s="19"/>
      <c r="P215" s="20"/>
      <c r="Q215" s="21"/>
      <c r="R215" s="19"/>
      <c r="S215" s="20"/>
      <c r="T215" s="21"/>
      <c r="U215" s="22" t="str">
        <f>IFERROR(IF(IF(X215&gt;0,X215,IF(Z215&gt;0,Z215,IF(AB215&gt;0,AB215,0)))=0,"--",ROUND(CHOOSE(IF(X215&gt;0,X215,IF(Z215&gt;0,Z215,IF(AB215&gt;0,AB215,0))),IF(C215="peso_corporal",IF(ISNUMBER(E215),E215,0)+F215,F215)*(1+G215/30),IF(C215="peso_corporal",IF(ISNUMBER(E215),E215,0)+I215,I215)*(1+J215/30),IF(C215="peso_corporal",IF(ISNUMBER(E215),E215,0)+L215,L215)*(1+M215/30),IF(C215="peso_corporal",IF(ISNUMBER(E215),E215,0)+O215,O215)*(1+P215/30),IF(C215="peso_corporal",IF(ISNUMBER(E215),E215,0)+R215,R215)*(1+S215/30)),1)),"--")</f>
        <v>--</v>
      </c>
      <c r="V215" s="23" t="str">
        <f>IF(SUGERENCIAS!N573="SIN","Sin datos anteriores",IF(SUGERENCIAS!N573="SUBIR_F","^ SUBIR FUERTE | Kg:"&amp;ROUND(SUGERENCIAS!K573,1)&amp;" R:"&amp;ROUND(SUGERENCIAS!L573,0)&amp;" RIR:"&amp;ROUND(SUGERENCIAS!M573,0),IF(SUGERENCIAS!N573="SUBIR_E","^ SUBIR (Est.) | Kg:"&amp;ROUND(SUGERENCIAS!K573,1)&amp;" R:"&amp;ROUND(SUGERENCIAS!L573,0)&amp;" RIR:"&amp;ROUND(SUGERENCIAS!M573,0),IF(SUGERENCIAS!N573="SUBIR","^ SUBIR | Kg:"&amp;ROUND(SUGERENCIAS!K573,1)&amp;" R:"&amp;ROUND(SUGERENCIAS!L573,0)&amp;" RIR:"&amp;ROUND(SUGERENCIAS!M573,0),IF(SUGERENCIAS!N573="BAJAR","v BAJAR | Kg:"&amp;ROUND(SUGERENCIAS!K573,1)&amp;" R:"&amp;ROUND(SUGERENCIAS!L573,0)&amp;" RIR:"&amp;ROUND(SUGERENCIAS!M573,0),"= MANT | Kg:"&amp;ROUND(SUGERENCIAS!K573,1)&amp;" R:"&amp;ROUND(SUGERENCIAS!L573,0)&amp;" RIR:"&amp;ROUND(SUGERENCIAS!M573,0))))))</f>
        <v>^ SUBIR FUERTE | Kg:5 R:6 RIR:2</v>
      </c>
      <c r="W215" s="69">
        <f>MAX(IF((G215&gt;0)*(IF(H215="",-1,H215)&gt;=1)*(IF(H215="",-1,H215)&lt;=3),IF(C215="peso_corporal",IF(ISNUMBER(E215),E215,0)+F215,F215)*G215*1000+F215,0),IF((J215&gt;0)*(IF(K215="",-1,K215)&gt;=1)*(IF(K215="",-1,K215)&lt;=3),IF(C215="peso_corporal",IF(ISNUMBER(E215),E215,0)+I215,I215)*J215*1000+I215,0),IF((M215&gt;0)*(IF(N215="",-1,N215)&gt;=1)*(IF(N215="",-1,N215)&lt;=3),IF(C215="peso_corporal",IF(ISNUMBER(E215),E215,0)+L215,L215)*M215*1000+L215,0),IF((P215&gt;0)*(IF(Q215="",-1,Q215)&gt;=1)*(IF(Q215="",-1,Q215)&lt;=3),IF(C215="peso_corporal",IF(ISNUMBER(E215),E215,0)+O215,O215)*P215*1000+O215,0),IF((S215&gt;0)*(IF(T215="",-1,T215)&gt;=1)*(IF(T215="",-1,T215)&lt;=3),IF(C215="peso_corporal",IF(ISNUMBER(E215),E215,0)+R215,R215)*S215*1000+R215,0))</f>
        <v>0</v>
      </c>
      <c r="X215" s="69">
        <f>IF(W215=0,0,IF(IF((S215&gt;0)*(IF(T215="",-1,T215)&gt;=1)*(IF(T215="",-1,T215)&lt;=3),IF(C215="peso_corporal",IF(ISNUMBER(E215),E215,0)+R215,R215)*S215*1000+R215,0)=W215,5,IF(IF((P215&gt;0)*(IF(Q215="",-1,Q215)&gt;=1)*(IF(Q215="",-1,Q215)&lt;=3),IF(C215="peso_corporal",IF(ISNUMBER(E215),E215,0)+O215,O215)*P215*1000+O215,0)=W215,4,IF(IF((M215&gt;0)*(IF(N215="",-1,N215)&gt;=1)*(IF(N215="",-1,N215)&lt;=3),IF(C215="peso_corporal",IF(ISNUMBER(E215),E215,0)+L215,L215)*M215*1000+L215,0)=W215,3,IF(IF((J215&gt;0)*(IF(K215="",-1,K215)&gt;=1)*(IF(K215="",-1,K215)&lt;=3),IF(C215="peso_corporal",IF(ISNUMBER(E215),E215,0)+I215,I215)*J215*1000+I215,0)=W215,2,IF(IF((G215&gt;0)*(IF(H215="",-1,H215)&gt;=1)*(IF(H215="",-1,H215)&lt;=3),IF(C215="peso_corporal",IF(ISNUMBER(E215),E215,0)+F215,F215)*G215*1000+F215,0)=W215,1,0))))))</f>
        <v>0</v>
      </c>
      <c r="Y215" s="69">
        <f>MAX(IF((G215&gt;0)*(IF(H215="",-1,H215)=0)*(1-(IF(H215="",-1,H215)&gt;=1)*(IF(H215="",-1,H215)&lt;=3)),IF(C215="peso_corporal",IF(ISNUMBER(E215),E215,0)+F215,F215)*G215*1000+F215,0),IF((J215&gt;0)*(IF(K215="",-1,K215)=0)*(1-(IF(K215="",-1,K215)&gt;=1)*(IF(K215="",-1,K215)&lt;=3)),IF(C215="peso_corporal",IF(ISNUMBER(E215),E215,0)+I215,I215)*J215*1000+I215,0),IF((M215&gt;0)*(IF(N215="",-1,N215)=0)*(1-(IF(N215="",-1,N215)&gt;=1)*(IF(N215="",-1,N215)&lt;=3)),IF(C215="peso_corporal",IF(ISNUMBER(E215),E215,0)+L215,L215)*M215*1000+L215,0),IF((P215&gt;0)*(IF(Q215="",-1,Q215)=0)*(1-(IF(Q215="",-1,Q215)&gt;=1)*(IF(Q215="",-1,Q215)&lt;=3)),IF(C215="peso_corporal",IF(ISNUMBER(E215),E215,0)+O215,O215)*P215*1000+O215,0),IF((S215&gt;0)*(IF(T215="",-1,T215)=0)*(1-(IF(T215="",-1,T215)&gt;=1)*(IF(T215="",-1,T215)&lt;=3)),IF(C215="peso_corporal",IF(ISNUMBER(E215),E215,0)+R215,R215)*S215*1000+R215,0))</f>
        <v>0</v>
      </c>
      <c r="Z215" s="69">
        <f>IF(Y215=0,0,IF(IF((S215&gt;0)*(IF(T215="",-1,T215)=0)*(1-(IF(T215="",-1,T215)&gt;=1)*(IF(T215="",-1,T215)&lt;=3)),IF(C215="peso_corporal",IF(ISNUMBER(E215),E215,0)+R215,R215)*S215*1000+R215,0)=Y215,5,IF(IF((P215&gt;0)*(IF(Q215="",-1,Q215)=0)*(1-(IF(Q215="",-1,Q215)&gt;=1)*(IF(Q215="",-1,Q215)&lt;=3)),IF(C215="peso_corporal",IF(ISNUMBER(E215),E215,0)+O215,O215)*P215*1000+O215,0)=Y215,4,IF(IF((M215&gt;0)*(IF(N215="",-1,N215)=0)*(1-(IF(N215="",-1,N215)&gt;=1)*(IF(N215="",-1,N215)&lt;=3)),IF(C215="peso_corporal",IF(ISNUMBER(E215),E215,0)+L215,L215)*M215*1000+L215,0)=Y215,3,IF(IF((J215&gt;0)*(IF(K215="",-1,K215)=0)*(1-(IF(K215="",-1,K215)&gt;=1)*(IF(K215="",-1,K215)&lt;=3)),IF(C215="peso_corporal",IF(ISNUMBER(E215),E215,0)+I215,I215)*J215*1000+I215,0)=Y215,2,IF(IF((G215&gt;0)*(IF(H215="",-1,H215)=0)*(1-(IF(H215="",-1,H215)&gt;=1)*(IF(H215="",-1,H215)&lt;=3)),IF(C215="peso_corporal",IF(ISNUMBER(E215),E215,0)+F215,F215)*G215*1000+F215,0)=Y215,1,0))))))</f>
        <v>0</v>
      </c>
      <c r="AA215" s="69">
        <f>MAX(IF((G215&gt;=6)*(1-(IF(H215="",-1,H215)&gt;=1)*(IF(H215="",-1,H215)&lt;=3))*(1-(IF(H215="",-1,H215)=0)),IF(C215="peso_corporal",IF(ISNUMBER(E215),E215,0)+F215,F215)*(30+G215)*100+F215,0),IF((J215&gt;=6)*(1-(IF(K215="",-1,K215)&gt;=1)*(IF(K215="",-1,K215)&lt;=3))*(1-(IF(K215="",-1,K215)=0)),IF(C215="peso_corporal",IF(ISNUMBER(E215),E215,0)+I215,I215)*(30+J215)*100+I215,0),IF((M215&gt;=6)*(1-(IF(N215="",-1,N215)&gt;=1)*(IF(N215="",-1,N215)&lt;=3))*(1-(IF(N215="",-1,N215)=0)),IF(C215="peso_corporal",IF(ISNUMBER(E215),E215,0)+L215,L215)*(30+M215)*100+L215,0),IF((P215&gt;=6)*(1-(IF(Q215="",-1,Q215)&gt;=1)*(IF(Q215="",-1,Q215)&lt;=3))*(1-(IF(Q215="",-1,Q215)=0)),IF(C215="peso_corporal",IF(ISNUMBER(E215),E215,0)+O215,O215)*(30+P215)*100+O215,0),IF((S215&gt;=6)*(1-(IF(T215="",-1,T215)&gt;=1)*(IF(T215="",-1,T215)&lt;=3))*(1-(IF(T215="",-1,T215)=0)),IF(C215="peso_corporal",IF(ISNUMBER(E215),E215,0)+R215,R215)*(30+S215)*100+R215,0))</f>
        <v>0</v>
      </c>
      <c r="AB215" s="69">
        <f>IF(AA215=0,0,IF(IF((S215&gt;=6)*(1-(IF(T215="",-1,T215)&gt;=1)*(IF(T215="",-1,T215)&lt;=3))*(1-(IF(T215="",-1,T215)=0)),IF(C215="peso_corporal",IF(ISNUMBER(E215),E215,0)+R215,R215)*(30+S215)*100+R215,0)=AA215,5,IF(IF((P215&gt;=6)*(1-(IF(Q215="",-1,Q215)&gt;=1)*(IF(Q215="",-1,Q215)&lt;=3))*(1-(IF(Q215="",-1,Q215)=0)),IF(C215="peso_corporal",IF(ISNUMBER(E215),E215,0)+O215,O215)*(30+P215)*100+O215,0)=AA215,4,IF(IF((M215&gt;=6)*(1-(IF(N215="",-1,N215)&gt;=1)*(IF(N215="",-1,N215)&lt;=3))*(1-(IF(N215="",-1,N215)=0)),IF(C215="peso_corporal",IF(ISNUMBER(E215),E215,0)+L215,L215)*(30+M215)*100+L215,0)=AA215,3,IF(IF((J215&gt;=6)*(1-(IF(K215="",-1,K215)&gt;=1)*(IF(K215="",-1,K215)&lt;=3))*(1-(IF(K215="",-1,K215)=0)),IF(C215="peso_corporal",IF(ISNUMBER(E215),E215,0)+I215,I215)*(30+J215)*100+I215,0)=AA215,2,IF(IF((G215&gt;=6)*(1-(IF(H215="",-1,H215)&gt;=1)*(IF(H215="",-1,H215)&lt;=3))*(1-(IF(H215="",-1,H215)=0)),IF(C215="peso_corporal",IF(ISNUMBER(E215),E215,0)+F215,F215)*(30+G215)*100+F215,0)=AA215,1,0))))))</f>
        <v>0</v>
      </c>
      <c r="AC215" s="69" t="str">
        <f>IF(X215&gt;0,"A"&amp;X215,IF(Z215&gt;0,"B"&amp;Z215,IF(AB215&gt;0,"C"&amp;AB215,"")))</f>
        <v/>
      </c>
    </row>
    <row r="216" spans="1:29" ht="20.100000000000001" customHeight="1">
      <c r="A216" s="14" t="s">
        <v>62</v>
      </c>
      <c r="B216" s="15" t="s">
        <v>39</v>
      </c>
      <c r="C216" s="16" t="str">
        <f>IFERROR(INDEX(EJERCICIOS!$D$3:$D$75,MATCH(A216&amp;"|"&amp;B216,EJERCICIOS!$G$3:$G$75,0)),"--")</f>
        <v>--</v>
      </c>
      <c r="D216" s="17">
        <v>3</v>
      </c>
      <c r="E216" s="18">
        <f>IFERROR(LOOKUP(2,1/(MEDIDAS_Y_PESO!$B$3:$B$12&lt;&gt;""),MEDIDAS_Y_PESO!$B$3:$B$12),"--")</f>
        <v>80</v>
      </c>
      <c r="F216" s="19"/>
      <c r="G216" s="20"/>
      <c r="H216" s="21"/>
      <c r="I216" s="19"/>
      <c r="J216" s="20"/>
      <c r="K216" s="21"/>
      <c r="L216" s="19"/>
      <c r="M216" s="20"/>
      <c r="N216" s="21"/>
      <c r="O216" s="19"/>
      <c r="P216" s="20"/>
      <c r="Q216" s="21"/>
      <c r="R216" s="19"/>
      <c r="S216" s="20"/>
      <c r="T216" s="21"/>
      <c r="U216" s="22" t="str">
        <f>IFERROR(IF(IF(X216&gt;0,X216,IF(Z216&gt;0,Z216,IF(AB216&gt;0,AB216,0)))=0,"--",ROUND(CHOOSE(IF(X216&gt;0,X216,IF(Z216&gt;0,Z216,IF(AB216&gt;0,AB216,0))),IF(C216="peso_corporal",IF(ISNUMBER(E216),E216,0)+F216,F216)*(1+G216/30),IF(C216="peso_corporal",IF(ISNUMBER(E216),E216,0)+I216,I216)*(1+J216/30),IF(C216="peso_corporal",IF(ISNUMBER(E216),E216,0)+L216,L216)*(1+M216/30),IF(C216="peso_corporal",IF(ISNUMBER(E216),E216,0)+O216,O216)*(1+P216/30),IF(C216="peso_corporal",IF(ISNUMBER(E216),E216,0)+R216,R216)*(1+S216/30)),1)),"--")</f>
        <v>--</v>
      </c>
      <c r="V216" s="23" t="str">
        <f>IF(SUGERENCIAS!N574="SIN","Sin datos anteriores",IF(SUGERENCIAS!N574="SUBIR_F","^ SUBIR FUERTE | Kg:"&amp;ROUND(SUGERENCIAS!K574,1)&amp;" R:"&amp;ROUND(SUGERENCIAS!L574,0)&amp;" RIR:"&amp;ROUND(SUGERENCIAS!M574,0),IF(SUGERENCIAS!N574="SUBIR_E","^ SUBIR (Est.) | Kg:"&amp;ROUND(SUGERENCIAS!K574,1)&amp;" R:"&amp;ROUND(SUGERENCIAS!L574,0)&amp;" RIR:"&amp;ROUND(SUGERENCIAS!M574,0),IF(SUGERENCIAS!N574="SUBIR","^ SUBIR | Kg:"&amp;ROUND(SUGERENCIAS!K574,1)&amp;" R:"&amp;ROUND(SUGERENCIAS!L574,0)&amp;" RIR:"&amp;ROUND(SUGERENCIAS!M574,0),IF(SUGERENCIAS!N574="BAJAR","v BAJAR | Kg:"&amp;ROUND(SUGERENCIAS!K574,1)&amp;" R:"&amp;ROUND(SUGERENCIAS!L574,0)&amp;" RIR:"&amp;ROUND(SUGERENCIAS!M574,0),"= MANT | Kg:"&amp;ROUND(SUGERENCIAS!K574,1)&amp;" R:"&amp;ROUND(SUGERENCIAS!L574,0)&amp;" RIR:"&amp;ROUND(SUGERENCIAS!M574,0))))))</f>
        <v>Sin datos anteriores</v>
      </c>
      <c r="W216" s="69">
        <f>MAX(IF((G216&gt;0)*(IF(H216="",-1,H216)&gt;=1)*(IF(H216="",-1,H216)&lt;=3),IF(C216="peso_corporal",IF(ISNUMBER(E216),E216,0)+F216,F216)*G216*1000+F216,0),IF((J216&gt;0)*(IF(K216="",-1,K216)&gt;=1)*(IF(K216="",-1,K216)&lt;=3),IF(C216="peso_corporal",IF(ISNUMBER(E216),E216,0)+I216,I216)*J216*1000+I216,0),IF((M216&gt;0)*(IF(N216="",-1,N216)&gt;=1)*(IF(N216="",-1,N216)&lt;=3),IF(C216="peso_corporal",IF(ISNUMBER(E216),E216,0)+L216,L216)*M216*1000+L216,0),IF((P216&gt;0)*(IF(Q216="",-1,Q216)&gt;=1)*(IF(Q216="",-1,Q216)&lt;=3),IF(C216="peso_corporal",IF(ISNUMBER(E216),E216,0)+O216,O216)*P216*1000+O216,0),IF((S216&gt;0)*(IF(T216="",-1,T216)&gt;=1)*(IF(T216="",-1,T216)&lt;=3),IF(C216="peso_corporal",IF(ISNUMBER(E216),E216,0)+R216,R216)*S216*1000+R216,0))</f>
        <v>0</v>
      </c>
      <c r="X216" s="69">
        <f>IF(W216=0,0,IF(IF((S216&gt;0)*(IF(T216="",-1,T216)&gt;=1)*(IF(T216="",-1,T216)&lt;=3),IF(C216="peso_corporal",IF(ISNUMBER(E216),E216,0)+R216,R216)*S216*1000+R216,0)=W216,5,IF(IF((P216&gt;0)*(IF(Q216="",-1,Q216)&gt;=1)*(IF(Q216="",-1,Q216)&lt;=3),IF(C216="peso_corporal",IF(ISNUMBER(E216),E216,0)+O216,O216)*P216*1000+O216,0)=W216,4,IF(IF((M216&gt;0)*(IF(N216="",-1,N216)&gt;=1)*(IF(N216="",-1,N216)&lt;=3),IF(C216="peso_corporal",IF(ISNUMBER(E216),E216,0)+L216,L216)*M216*1000+L216,0)=W216,3,IF(IF((J216&gt;0)*(IF(K216="",-1,K216)&gt;=1)*(IF(K216="",-1,K216)&lt;=3),IF(C216="peso_corporal",IF(ISNUMBER(E216),E216,0)+I216,I216)*J216*1000+I216,0)=W216,2,IF(IF((G216&gt;0)*(IF(H216="",-1,H216)&gt;=1)*(IF(H216="",-1,H216)&lt;=3),IF(C216="peso_corporal",IF(ISNUMBER(E216),E216,0)+F216,F216)*G216*1000+F216,0)=W216,1,0))))))</f>
        <v>0</v>
      </c>
      <c r="Y216" s="69">
        <f>MAX(IF((G216&gt;0)*(IF(H216="",-1,H216)=0)*(1-(IF(H216="",-1,H216)&gt;=1)*(IF(H216="",-1,H216)&lt;=3)),IF(C216="peso_corporal",IF(ISNUMBER(E216),E216,0)+F216,F216)*G216*1000+F216,0),IF((J216&gt;0)*(IF(K216="",-1,K216)=0)*(1-(IF(K216="",-1,K216)&gt;=1)*(IF(K216="",-1,K216)&lt;=3)),IF(C216="peso_corporal",IF(ISNUMBER(E216),E216,0)+I216,I216)*J216*1000+I216,0),IF((M216&gt;0)*(IF(N216="",-1,N216)=0)*(1-(IF(N216="",-1,N216)&gt;=1)*(IF(N216="",-1,N216)&lt;=3)),IF(C216="peso_corporal",IF(ISNUMBER(E216),E216,0)+L216,L216)*M216*1000+L216,0),IF((P216&gt;0)*(IF(Q216="",-1,Q216)=0)*(1-(IF(Q216="",-1,Q216)&gt;=1)*(IF(Q216="",-1,Q216)&lt;=3)),IF(C216="peso_corporal",IF(ISNUMBER(E216),E216,0)+O216,O216)*P216*1000+O216,0),IF((S216&gt;0)*(IF(T216="",-1,T216)=0)*(1-(IF(T216="",-1,T216)&gt;=1)*(IF(T216="",-1,T216)&lt;=3)),IF(C216="peso_corporal",IF(ISNUMBER(E216),E216,0)+R216,R216)*S216*1000+R216,0))</f>
        <v>0</v>
      </c>
      <c r="Z216" s="69">
        <f>IF(Y216=0,0,IF(IF((S216&gt;0)*(IF(T216="",-1,T216)=0)*(1-(IF(T216="",-1,T216)&gt;=1)*(IF(T216="",-1,T216)&lt;=3)),IF(C216="peso_corporal",IF(ISNUMBER(E216),E216,0)+R216,R216)*S216*1000+R216,0)=Y216,5,IF(IF((P216&gt;0)*(IF(Q216="",-1,Q216)=0)*(1-(IF(Q216="",-1,Q216)&gt;=1)*(IF(Q216="",-1,Q216)&lt;=3)),IF(C216="peso_corporal",IF(ISNUMBER(E216),E216,0)+O216,O216)*P216*1000+O216,0)=Y216,4,IF(IF((M216&gt;0)*(IF(N216="",-1,N216)=0)*(1-(IF(N216="",-1,N216)&gt;=1)*(IF(N216="",-1,N216)&lt;=3)),IF(C216="peso_corporal",IF(ISNUMBER(E216),E216,0)+L216,L216)*M216*1000+L216,0)=Y216,3,IF(IF((J216&gt;0)*(IF(K216="",-1,K216)=0)*(1-(IF(K216="",-1,K216)&gt;=1)*(IF(K216="",-1,K216)&lt;=3)),IF(C216="peso_corporal",IF(ISNUMBER(E216),E216,0)+I216,I216)*J216*1000+I216,0)=Y216,2,IF(IF((G216&gt;0)*(IF(H216="",-1,H216)=0)*(1-(IF(H216="",-1,H216)&gt;=1)*(IF(H216="",-1,H216)&lt;=3)),IF(C216="peso_corporal",IF(ISNUMBER(E216),E216,0)+F216,F216)*G216*1000+F216,0)=Y216,1,0))))))</f>
        <v>0</v>
      </c>
      <c r="AA216" s="69">
        <f>MAX(IF((G216&gt;=6)*(1-(IF(H216="",-1,H216)&gt;=1)*(IF(H216="",-1,H216)&lt;=3))*(1-(IF(H216="",-1,H216)=0)),IF(C216="peso_corporal",IF(ISNUMBER(E216),E216,0)+F216,F216)*(30+G216)*100+F216,0),IF((J216&gt;=6)*(1-(IF(K216="",-1,K216)&gt;=1)*(IF(K216="",-1,K216)&lt;=3))*(1-(IF(K216="",-1,K216)=0)),IF(C216="peso_corporal",IF(ISNUMBER(E216),E216,0)+I216,I216)*(30+J216)*100+I216,0),IF((M216&gt;=6)*(1-(IF(N216="",-1,N216)&gt;=1)*(IF(N216="",-1,N216)&lt;=3))*(1-(IF(N216="",-1,N216)=0)),IF(C216="peso_corporal",IF(ISNUMBER(E216),E216,0)+L216,L216)*(30+M216)*100+L216,0),IF((P216&gt;=6)*(1-(IF(Q216="",-1,Q216)&gt;=1)*(IF(Q216="",-1,Q216)&lt;=3))*(1-(IF(Q216="",-1,Q216)=0)),IF(C216="peso_corporal",IF(ISNUMBER(E216),E216,0)+O216,O216)*(30+P216)*100+O216,0),IF((S216&gt;=6)*(1-(IF(T216="",-1,T216)&gt;=1)*(IF(T216="",-1,T216)&lt;=3))*(1-(IF(T216="",-1,T216)=0)),IF(C216="peso_corporal",IF(ISNUMBER(E216),E216,0)+R216,R216)*(30+S216)*100+R216,0))</f>
        <v>0</v>
      </c>
      <c r="AB216" s="69">
        <f>IF(AA216=0,0,IF(IF((S216&gt;=6)*(1-(IF(T216="",-1,T216)&gt;=1)*(IF(T216="",-1,T216)&lt;=3))*(1-(IF(T216="",-1,T216)=0)),IF(C216="peso_corporal",IF(ISNUMBER(E216),E216,0)+R216,R216)*(30+S216)*100+R216,0)=AA216,5,IF(IF((P216&gt;=6)*(1-(IF(Q216="",-1,Q216)&gt;=1)*(IF(Q216="",-1,Q216)&lt;=3))*(1-(IF(Q216="",-1,Q216)=0)),IF(C216="peso_corporal",IF(ISNUMBER(E216),E216,0)+O216,O216)*(30+P216)*100+O216,0)=AA216,4,IF(IF((M216&gt;=6)*(1-(IF(N216="",-1,N216)&gt;=1)*(IF(N216="",-1,N216)&lt;=3))*(1-(IF(N216="",-1,N216)=0)),IF(C216="peso_corporal",IF(ISNUMBER(E216),E216,0)+L216,L216)*(30+M216)*100+L216,0)=AA216,3,IF(IF((J216&gt;=6)*(1-(IF(K216="",-1,K216)&gt;=1)*(IF(K216="",-1,K216)&lt;=3))*(1-(IF(K216="",-1,K216)=0)),IF(C216="peso_corporal",IF(ISNUMBER(E216),E216,0)+I216,I216)*(30+J216)*100+I216,0)=AA216,2,IF(IF((G216&gt;=6)*(1-(IF(H216="",-1,H216)&gt;=1)*(IF(H216="",-1,H216)&lt;=3))*(1-(IF(H216="",-1,H216)=0)),IF(C216="peso_corporal",IF(ISNUMBER(E216),E216,0)+F216,F216)*(30+G216)*100+F216,0)=AA216,1,0))))))</f>
        <v>0</v>
      </c>
      <c r="AC216" s="69" t="str">
        <f>IF(X216&gt;0,"A"&amp;X216,IF(Z216&gt;0,"B"&amp;Z216,IF(AB216&gt;0,"C"&amp;AB216,"")))</f>
        <v/>
      </c>
    </row>
    <row r="217" spans="1:29" ht="20.100000000000001" customHeight="1">
      <c r="A217" s="14" t="s">
        <v>62</v>
      </c>
      <c r="B217" s="15" t="s">
        <v>63</v>
      </c>
      <c r="C217" s="16" t="str">
        <f>IFERROR(INDEX(EJERCICIOS!$D$3:$D$75,MATCH(A217&amp;"|"&amp;B217,EJERCICIOS!$G$3:$G$75,0)),"--")</f>
        <v>--</v>
      </c>
      <c r="D217" s="17">
        <v>3</v>
      </c>
      <c r="E217" s="18">
        <f>IFERROR(LOOKUP(2,1/(MEDIDAS_Y_PESO!$B$3:$B$12&lt;&gt;""),MEDIDAS_Y_PESO!$B$3:$B$12),"--")</f>
        <v>80</v>
      </c>
      <c r="F217" s="19"/>
      <c r="G217" s="20"/>
      <c r="H217" s="21"/>
      <c r="I217" s="19"/>
      <c r="J217" s="20"/>
      <c r="K217" s="21"/>
      <c r="L217" s="19"/>
      <c r="M217" s="20"/>
      <c r="N217" s="21"/>
      <c r="O217" s="19"/>
      <c r="P217" s="20"/>
      <c r="Q217" s="21"/>
      <c r="R217" s="19"/>
      <c r="S217" s="20"/>
      <c r="T217" s="21"/>
      <c r="U217" s="22" t="str">
        <f>IFERROR(IF(IF(X217&gt;0,X217,IF(Z217&gt;0,Z217,IF(AB217&gt;0,AB217,0)))=0,"--",ROUND(CHOOSE(IF(X217&gt;0,X217,IF(Z217&gt;0,Z217,IF(AB217&gt;0,AB217,0))),IF(C217="peso_corporal",IF(ISNUMBER(E217),E217,0)+F217,F217)*(1+G217/30),IF(C217="peso_corporal",IF(ISNUMBER(E217),E217,0)+I217,I217)*(1+J217/30),IF(C217="peso_corporal",IF(ISNUMBER(E217),E217,0)+L217,L217)*(1+M217/30),IF(C217="peso_corporal",IF(ISNUMBER(E217),E217,0)+O217,O217)*(1+P217/30),IF(C217="peso_corporal",IF(ISNUMBER(E217),E217,0)+R217,R217)*(1+S217/30)),1)),"--")</f>
        <v>--</v>
      </c>
      <c r="V217" s="23" t="str">
        <f>IF(SUGERENCIAS!N575="SIN","Sin datos anteriores",IF(SUGERENCIAS!N575="SUBIR_F","^ SUBIR FUERTE | Kg:"&amp;ROUND(SUGERENCIAS!K575,1)&amp;" R:"&amp;ROUND(SUGERENCIAS!L575,0)&amp;" RIR:"&amp;ROUND(SUGERENCIAS!M575,0),IF(SUGERENCIAS!N575="SUBIR_E","^ SUBIR (Est.) | Kg:"&amp;ROUND(SUGERENCIAS!K575,1)&amp;" R:"&amp;ROUND(SUGERENCIAS!L575,0)&amp;" RIR:"&amp;ROUND(SUGERENCIAS!M575,0),IF(SUGERENCIAS!N575="SUBIR","^ SUBIR | Kg:"&amp;ROUND(SUGERENCIAS!K575,1)&amp;" R:"&amp;ROUND(SUGERENCIAS!L575,0)&amp;" RIR:"&amp;ROUND(SUGERENCIAS!M575,0),IF(SUGERENCIAS!N575="BAJAR","v BAJAR | Kg:"&amp;ROUND(SUGERENCIAS!K575,1)&amp;" R:"&amp;ROUND(SUGERENCIAS!L575,0)&amp;" RIR:"&amp;ROUND(SUGERENCIAS!M575,0),"= MANT | Kg:"&amp;ROUND(SUGERENCIAS!K575,1)&amp;" R:"&amp;ROUND(SUGERENCIAS!L575,0)&amp;" RIR:"&amp;ROUND(SUGERENCIAS!M575,0))))))</f>
        <v>Sin datos anteriores</v>
      </c>
      <c r="W217" s="69">
        <f>MAX(IF((G217&gt;0)*(IF(H217="",-1,H217)&gt;=1)*(IF(H217="",-1,H217)&lt;=3),IF(C217="peso_corporal",IF(ISNUMBER(E217),E217,0)+F217,F217)*G217*1000+F217,0),IF((J217&gt;0)*(IF(K217="",-1,K217)&gt;=1)*(IF(K217="",-1,K217)&lt;=3),IF(C217="peso_corporal",IF(ISNUMBER(E217),E217,0)+I217,I217)*J217*1000+I217,0),IF((M217&gt;0)*(IF(N217="",-1,N217)&gt;=1)*(IF(N217="",-1,N217)&lt;=3),IF(C217="peso_corporal",IF(ISNUMBER(E217),E217,0)+L217,L217)*M217*1000+L217,0),IF((P217&gt;0)*(IF(Q217="",-1,Q217)&gt;=1)*(IF(Q217="",-1,Q217)&lt;=3),IF(C217="peso_corporal",IF(ISNUMBER(E217),E217,0)+O217,O217)*P217*1000+O217,0),IF((S217&gt;0)*(IF(T217="",-1,T217)&gt;=1)*(IF(T217="",-1,T217)&lt;=3),IF(C217="peso_corporal",IF(ISNUMBER(E217),E217,0)+R217,R217)*S217*1000+R217,0))</f>
        <v>0</v>
      </c>
      <c r="X217" s="69">
        <f>IF(W217=0,0,IF(IF((S217&gt;0)*(IF(T217="",-1,T217)&gt;=1)*(IF(T217="",-1,T217)&lt;=3),IF(C217="peso_corporal",IF(ISNUMBER(E217),E217,0)+R217,R217)*S217*1000+R217,0)=W217,5,IF(IF((P217&gt;0)*(IF(Q217="",-1,Q217)&gt;=1)*(IF(Q217="",-1,Q217)&lt;=3),IF(C217="peso_corporal",IF(ISNUMBER(E217),E217,0)+O217,O217)*P217*1000+O217,0)=W217,4,IF(IF((M217&gt;0)*(IF(N217="",-1,N217)&gt;=1)*(IF(N217="",-1,N217)&lt;=3),IF(C217="peso_corporal",IF(ISNUMBER(E217),E217,0)+L217,L217)*M217*1000+L217,0)=W217,3,IF(IF((J217&gt;0)*(IF(K217="",-1,K217)&gt;=1)*(IF(K217="",-1,K217)&lt;=3),IF(C217="peso_corporal",IF(ISNUMBER(E217),E217,0)+I217,I217)*J217*1000+I217,0)=W217,2,IF(IF((G217&gt;0)*(IF(H217="",-1,H217)&gt;=1)*(IF(H217="",-1,H217)&lt;=3),IF(C217="peso_corporal",IF(ISNUMBER(E217),E217,0)+F217,F217)*G217*1000+F217,0)=W217,1,0))))))</f>
        <v>0</v>
      </c>
      <c r="Y217" s="69">
        <f>MAX(IF((G217&gt;0)*(IF(H217="",-1,H217)=0)*(1-(IF(H217="",-1,H217)&gt;=1)*(IF(H217="",-1,H217)&lt;=3)),IF(C217="peso_corporal",IF(ISNUMBER(E217),E217,0)+F217,F217)*G217*1000+F217,0),IF((J217&gt;0)*(IF(K217="",-1,K217)=0)*(1-(IF(K217="",-1,K217)&gt;=1)*(IF(K217="",-1,K217)&lt;=3)),IF(C217="peso_corporal",IF(ISNUMBER(E217),E217,0)+I217,I217)*J217*1000+I217,0),IF((M217&gt;0)*(IF(N217="",-1,N217)=0)*(1-(IF(N217="",-1,N217)&gt;=1)*(IF(N217="",-1,N217)&lt;=3)),IF(C217="peso_corporal",IF(ISNUMBER(E217),E217,0)+L217,L217)*M217*1000+L217,0),IF((P217&gt;0)*(IF(Q217="",-1,Q217)=0)*(1-(IF(Q217="",-1,Q217)&gt;=1)*(IF(Q217="",-1,Q217)&lt;=3)),IF(C217="peso_corporal",IF(ISNUMBER(E217),E217,0)+O217,O217)*P217*1000+O217,0),IF((S217&gt;0)*(IF(T217="",-1,T217)=0)*(1-(IF(T217="",-1,T217)&gt;=1)*(IF(T217="",-1,T217)&lt;=3)),IF(C217="peso_corporal",IF(ISNUMBER(E217),E217,0)+R217,R217)*S217*1000+R217,0))</f>
        <v>0</v>
      </c>
      <c r="Z217" s="69">
        <f>IF(Y217=0,0,IF(IF((S217&gt;0)*(IF(T217="",-1,T217)=0)*(1-(IF(T217="",-1,T217)&gt;=1)*(IF(T217="",-1,T217)&lt;=3)),IF(C217="peso_corporal",IF(ISNUMBER(E217),E217,0)+R217,R217)*S217*1000+R217,0)=Y217,5,IF(IF((P217&gt;0)*(IF(Q217="",-1,Q217)=0)*(1-(IF(Q217="",-1,Q217)&gt;=1)*(IF(Q217="",-1,Q217)&lt;=3)),IF(C217="peso_corporal",IF(ISNUMBER(E217),E217,0)+O217,O217)*P217*1000+O217,0)=Y217,4,IF(IF((M217&gt;0)*(IF(N217="",-1,N217)=0)*(1-(IF(N217="",-1,N217)&gt;=1)*(IF(N217="",-1,N217)&lt;=3)),IF(C217="peso_corporal",IF(ISNUMBER(E217),E217,0)+L217,L217)*M217*1000+L217,0)=Y217,3,IF(IF((J217&gt;0)*(IF(K217="",-1,K217)=0)*(1-(IF(K217="",-1,K217)&gt;=1)*(IF(K217="",-1,K217)&lt;=3)),IF(C217="peso_corporal",IF(ISNUMBER(E217),E217,0)+I217,I217)*J217*1000+I217,0)=Y217,2,IF(IF((G217&gt;0)*(IF(H217="",-1,H217)=0)*(1-(IF(H217="",-1,H217)&gt;=1)*(IF(H217="",-1,H217)&lt;=3)),IF(C217="peso_corporal",IF(ISNUMBER(E217),E217,0)+F217,F217)*G217*1000+F217,0)=Y217,1,0))))))</f>
        <v>0</v>
      </c>
      <c r="AA217" s="69">
        <f>MAX(IF((G217&gt;=6)*(1-(IF(H217="",-1,H217)&gt;=1)*(IF(H217="",-1,H217)&lt;=3))*(1-(IF(H217="",-1,H217)=0)),IF(C217="peso_corporal",IF(ISNUMBER(E217),E217,0)+F217,F217)*(30+G217)*100+F217,0),IF((J217&gt;=6)*(1-(IF(K217="",-1,K217)&gt;=1)*(IF(K217="",-1,K217)&lt;=3))*(1-(IF(K217="",-1,K217)=0)),IF(C217="peso_corporal",IF(ISNUMBER(E217),E217,0)+I217,I217)*(30+J217)*100+I217,0),IF((M217&gt;=6)*(1-(IF(N217="",-1,N217)&gt;=1)*(IF(N217="",-1,N217)&lt;=3))*(1-(IF(N217="",-1,N217)=0)),IF(C217="peso_corporal",IF(ISNUMBER(E217),E217,0)+L217,L217)*(30+M217)*100+L217,0),IF((P217&gt;=6)*(1-(IF(Q217="",-1,Q217)&gt;=1)*(IF(Q217="",-1,Q217)&lt;=3))*(1-(IF(Q217="",-1,Q217)=0)),IF(C217="peso_corporal",IF(ISNUMBER(E217),E217,0)+O217,O217)*(30+P217)*100+O217,0),IF((S217&gt;=6)*(1-(IF(T217="",-1,T217)&gt;=1)*(IF(T217="",-1,T217)&lt;=3))*(1-(IF(T217="",-1,T217)=0)),IF(C217="peso_corporal",IF(ISNUMBER(E217),E217,0)+R217,R217)*(30+S217)*100+R217,0))</f>
        <v>0</v>
      </c>
      <c r="AB217" s="69">
        <f>IF(AA217=0,0,IF(IF((S217&gt;=6)*(1-(IF(T217="",-1,T217)&gt;=1)*(IF(T217="",-1,T217)&lt;=3))*(1-(IF(T217="",-1,T217)=0)),IF(C217="peso_corporal",IF(ISNUMBER(E217),E217,0)+R217,R217)*(30+S217)*100+R217,0)=AA217,5,IF(IF((P217&gt;=6)*(1-(IF(Q217="",-1,Q217)&gt;=1)*(IF(Q217="",-1,Q217)&lt;=3))*(1-(IF(Q217="",-1,Q217)=0)),IF(C217="peso_corporal",IF(ISNUMBER(E217),E217,0)+O217,O217)*(30+P217)*100+O217,0)=AA217,4,IF(IF((M217&gt;=6)*(1-(IF(N217="",-1,N217)&gt;=1)*(IF(N217="",-1,N217)&lt;=3))*(1-(IF(N217="",-1,N217)=0)),IF(C217="peso_corporal",IF(ISNUMBER(E217),E217,0)+L217,L217)*(30+M217)*100+L217,0)=AA217,3,IF(IF((J217&gt;=6)*(1-(IF(K217="",-1,K217)&gt;=1)*(IF(K217="",-1,K217)&lt;=3))*(1-(IF(K217="",-1,K217)=0)),IF(C217="peso_corporal",IF(ISNUMBER(E217),E217,0)+I217,I217)*(30+J217)*100+I217,0)=AA217,2,IF(IF((G217&gt;=6)*(1-(IF(H217="",-1,H217)&gt;=1)*(IF(H217="",-1,H217)&lt;=3))*(1-(IF(H217="",-1,H217)=0)),IF(C217="peso_corporal",IF(ISNUMBER(E217),E217,0)+F217,F217)*(30+G217)*100+F217,0)=AA217,1,0))))))</f>
        <v>0</v>
      </c>
      <c r="AC217" s="69" t="str">
        <f>IF(X217&gt;0,"A"&amp;X217,IF(Z217&gt;0,"B"&amp;Z217,IF(AB217&gt;0,"C"&amp;AB217,"")))</f>
        <v/>
      </c>
    </row>
    <row r="218" spans="1:29" ht="15" customHeight="1">
      <c r="A218" s="81" t="s">
        <v>42</v>
      </c>
      <c r="B218" s="73"/>
      <c r="C218" s="73"/>
      <c r="D218" s="73"/>
      <c r="E218" s="73"/>
      <c r="F218" s="73"/>
      <c r="G218" s="73"/>
      <c r="H218" s="73"/>
      <c r="I218" s="73"/>
      <c r="J218" s="73"/>
      <c r="K218" s="73"/>
      <c r="L218" s="73"/>
      <c r="M218" s="73"/>
      <c r="N218" s="73"/>
      <c r="O218" s="73"/>
      <c r="P218" s="73"/>
      <c r="Q218" s="73"/>
      <c r="R218" s="73"/>
      <c r="S218" s="73"/>
      <c r="T218" s="73"/>
      <c r="U218" s="73"/>
      <c r="V218" s="73"/>
      <c r="W218" s="69"/>
      <c r="X218" s="69"/>
      <c r="Y218" s="69"/>
      <c r="Z218" s="69"/>
      <c r="AA218" s="69"/>
      <c r="AB218" s="69"/>
      <c r="AC218" s="69"/>
    </row>
    <row r="219" spans="1:29" ht="20.100000000000001" customHeight="1">
      <c r="A219" s="14" t="s">
        <v>43</v>
      </c>
      <c r="B219" s="15" t="s">
        <v>44</v>
      </c>
      <c r="C219" s="16" t="str">
        <f>IFERROR(INDEX(EJERCICIOS!$D$3:$D$75,MATCH(A219&amp;"|"&amp;B219,EJERCICIOS!$G$3:$G$75,0)),"--")</f>
        <v>polea</v>
      </c>
      <c r="D219" s="17">
        <v>3</v>
      </c>
      <c r="E219" s="18">
        <f>IFERROR(LOOKUP(2,1/(MEDIDAS_Y_PESO!$B$3:$B$12&lt;&gt;""),MEDIDAS_Y_PESO!$B$3:$B$12),"--")</f>
        <v>80</v>
      </c>
      <c r="F219" s="19"/>
      <c r="G219" s="20"/>
      <c r="H219" s="21"/>
      <c r="I219" s="19"/>
      <c r="J219" s="20"/>
      <c r="K219" s="21"/>
      <c r="L219" s="19"/>
      <c r="M219" s="20"/>
      <c r="N219" s="21"/>
      <c r="O219" s="19"/>
      <c r="P219" s="20"/>
      <c r="Q219" s="21"/>
      <c r="R219" s="19"/>
      <c r="S219" s="20"/>
      <c r="T219" s="21"/>
      <c r="U219" s="22" t="str">
        <f>IFERROR(IF(IF(X219&gt;0,X219,IF(Z219&gt;0,Z219,IF(AB219&gt;0,AB219,0)))=0,"--",ROUND(CHOOSE(IF(X219&gt;0,X219,IF(Z219&gt;0,Z219,IF(AB219&gt;0,AB219,0))),IF(C219="peso_corporal",IF(ISNUMBER(E219),E219,0)+F219,F219)*(1+G219/30),IF(C219="peso_corporal",IF(ISNUMBER(E219),E219,0)+I219,I219)*(1+J219/30),IF(C219="peso_corporal",IF(ISNUMBER(E219),E219,0)+L219,L219)*(1+M219/30),IF(C219="peso_corporal",IF(ISNUMBER(E219),E219,0)+O219,O219)*(1+P219/30),IF(C219="peso_corporal",IF(ISNUMBER(E219),E219,0)+R219,R219)*(1+S219/30)),1)),"--")</f>
        <v>--</v>
      </c>
      <c r="V219" s="23" t="str">
        <f>IF(SUGERENCIAS!N576="SIN","Sin datos anteriores",IF(SUGERENCIAS!N576="SUBIR_F","^ SUBIR FUERTE | Kg:"&amp;ROUND(SUGERENCIAS!K576,1)&amp;" R:"&amp;ROUND(SUGERENCIAS!L576,0)&amp;" RIR:"&amp;ROUND(SUGERENCIAS!M576,0),IF(SUGERENCIAS!N576="SUBIR_E","^ SUBIR (Est.) | Kg:"&amp;ROUND(SUGERENCIAS!K576,1)&amp;" R:"&amp;ROUND(SUGERENCIAS!L576,0)&amp;" RIR:"&amp;ROUND(SUGERENCIAS!M576,0),IF(SUGERENCIAS!N576="SUBIR","^ SUBIR | Kg:"&amp;ROUND(SUGERENCIAS!K576,1)&amp;" R:"&amp;ROUND(SUGERENCIAS!L576,0)&amp;" RIR:"&amp;ROUND(SUGERENCIAS!M576,0),IF(SUGERENCIAS!N576="BAJAR","v BAJAR | Kg:"&amp;ROUND(SUGERENCIAS!K576,1)&amp;" R:"&amp;ROUND(SUGERENCIAS!L576,0)&amp;" RIR:"&amp;ROUND(SUGERENCIAS!M576,0),"= MANT | Kg:"&amp;ROUND(SUGERENCIAS!K576,1)&amp;" R:"&amp;ROUND(SUGERENCIAS!L576,0)&amp;" RIR:"&amp;ROUND(SUGERENCIAS!M576,0))))))</f>
        <v>Sin datos anteriores</v>
      </c>
      <c r="W219" s="69">
        <f>MAX(IF((G219&gt;0)*(IF(H219="",-1,H219)&gt;=1)*(IF(H219="",-1,H219)&lt;=3),IF(C219="peso_corporal",IF(ISNUMBER(E219),E219,0)+F219,F219)*G219*1000+F219,0),IF((J219&gt;0)*(IF(K219="",-1,K219)&gt;=1)*(IF(K219="",-1,K219)&lt;=3),IF(C219="peso_corporal",IF(ISNUMBER(E219),E219,0)+I219,I219)*J219*1000+I219,0),IF((M219&gt;0)*(IF(N219="",-1,N219)&gt;=1)*(IF(N219="",-1,N219)&lt;=3),IF(C219="peso_corporal",IF(ISNUMBER(E219),E219,0)+L219,L219)*M219*1000+L219,0),IF((P219&gt;0)*(IF(Q219="",-1,Q219)&gt;=1)*(IF(Q219="",-1,Q219)&lt;=3),IF(C219="peso_corporal",IF(ISNUMBER(E219),E219,0)+O219,O219)*P219*1000+O219,0),IF((S219&gt;0)*(IF(T219="",-1,T219)&gt;=1)*(IF(T219="",-1,T219)&lt;=3),IF(C219="peso_corporal",IF(ISNUMBER(E219),E219,0)+R219,R219)*S219*1000+R219,0))</f>
        <v>0</v>
      </c>
      <c r="X219" s="69">
        <f>IF(W219=0,0,IF(IF((S219&gt;0)*(IF(T219="",-1,T219)&gt;=1)*(IF(T219="",-1,T219)&lt;=3),IF(C219="peso_corporal",IF(ISNUMBER(E219),E219,0)+R219,R219)*S219*1000+R219,0)=W219,5,IF(IF((P219&gt;0)*(IF(Q219="",-1,Q219)&gt;=1)*(IF(Q219="",-1,Q219)&lt;=3),IF(C219="peso_corporal",IF(ISNUMBER(E219),E219,0)+O219,O219)*P219*1000+O219,0)=W219,4,IF(IF((M219&gt;0)*(IF(N219="",-1,N219)&gt;=1)*(IF(N219="",-1,N219)&lt;=3),IF(C219="peso_corporal",IF(ISNUMBER(E219),E219,0)+L219,L219)*M219*1000+L219,0)=W219,3,IF(IF((J219&gt;0)*(IF(K219="",-1,K219)&gt;=1)*(IF(K219="",-1,K219)&lt;=3),IF(C219="peso_corporal",IF(ISNUMBER(E219),E219,0)+I219,I219)*J219*1000+I219,0)=W219,2,IF(IF((G219&gt;0)*(IF(H219="",-1,H219)&gt;=1)*(IF(H219="",-1,H219)&lt;=3),IF(C219="peso_corporal",IF(ISNUMBER(E219),E219,0)+F219,F219)*G219*1000+F219,0)=W219,1,0))))))</f>
        <v>0</v>
      </c>
      <c r="Y219" s="69">
        <f>MAX(IF((G219&gt;0)*(IF(H219="",-1,H219)=0)*(1-(IF(H219="",-1,H219)&gt;=1)*(IF(H219="",-1,H219)&lt;=3)),IF(C219="peso_corporal",IF(ISNUMBER(E219),E219,0)+F219,F219)*G219*1000+F219,0),IF((J219&gt;0)*(IF(K219="",-1,K219)=0)*(1-(IF(K219="",-1,K219)&gt;=1)*(IF(K219="",-1,K219)&lt;=3)),IF(C219="peso_corporal",IF(ISNUMBER(E219),E219,0)+I219,I219)*J219*1000+I219,0),IF((M219&gt;0)*(IF(N219="",-1,N219)=0)*(1-(IF(N219="",-1,N219)&gt;=1)*(IF(N219="",-1,N219)&lt;=3)),IF(C219="peso_corporal",IF(ISNUMBER(E219),E219,0)+L219,L219)*M219*1000+L219,0),IF((P219&gt;0)*(IF(Q219="",-1,Q219)=0)*(1-(IF(Q219="",-1,Q219)&gt;=1)*(IF(Q219="",-1,Q219)&lt;=3)),IF(C219="peso_corporal",IF(ISNUMBER(E219),E219,0)+O219,O219)*P219*1000+O219,0),IF((S219&gt;0)*(IF(T219="",-1,T219)=0)*(1-(IF(T219="",-1,T219)&gt;=1)*(IF(T219="",-1,T219)&lt;=3)),IF(C219="peso_corporal",IF(ISNUMBER(E219),E219,0)+R219,R219)*S219*1000+R219,0))</f>
        <v>0</v>
      </c>
      <c r="Z219" s="69">
        <f>IF(Y219=0,0,IF(IF((S219&gt;0)*(IF(T219="",-1,T219)=0)*(1-(IF(T219="",-1,T219)&gt;=1)*(IF(T219="",-1,T219)&lt;=3)),IF(C219="peso_corporal",IF(ISNUMBER(E219),E219,0)+R219,R219)*S219*1000+R219,0)=Y219,5,IF(IF((P219&gt;0)*(IF(Q219="",-1,Q219)=0)*(1-(IF(Q219="",-1,Q219)&gt;=1)*(IF(Q219="",-1,Q219)&lt;=3)),IF(C219="peso_corporal",IF(ISNUMBER(E219),E219,0)+O219,O219)*P219*1000+O219,0)=Y219,4,IF(IF((M219&gt;0)*(IF(N219="",-1,N219)=0)*(1-(IF(N219="",-1,N219)&gt;=1)*(IF(N219="",-1,N219)&lt;=3)),IF(C219="peso_corporal",IF(ISNUMBER(E219),E219,0)+L219,L219)*M219*1000+L219,0)=Y219,3,IF(IF((J219&gt;0)*(IF(K219="",-1,K219)=0)*(1-(IF(K219="",-1,K219)&gt;=1)*(IF(K219="",-1,K219)&lt;=3)),IF(C219="peso_corporal",IF(ISNUMBER(E219),E219,0)+I219,I219)*J219*1000+I219,0)=Y219,2,IF(IF((G219&gt;0)*(IF(H219="",-1,H219)=0)*(1-(IF(H219="",-1,H219)&gt;=1)*(IF(H219="",-1,H219)&lt;=3)),IF(C219="peso_corporal",IF(ISNUMBER(E219),E219,0)+F219,F219)*G219*1000+F219,0)=Y219,1,0))))))</f>
        <v>0</v>
      </c>
      <c r="AA219" s="69">
        <f>MAX(IF((G219&gt;=6)*(1-(IF(H219="",-1,H219)&gt;=1)*(IF(H219="",-1,H219)&lt;=3))*(1-(IF(H219="",-1,H219)=0)),IF(C219="peso_corporal",IF(ISNUMBER(E219),E219,0)+F219,F219)*(30+G219)*100+F219,0),IF((J219&gt;=6)*(1-(IF(K219="",-1,K219)&gt;=1)*(IF(K219="",-1,K219)&lt;=3))*(1-(IF(K219="",-1,K219)=0)),IF(C219="peso_corporal",IF(ISNUMBER(E219),E219,0)+I219,I219)*(30+J219)*100+I219,0),IF((M219&gt;=6)*(1-(IF(N219="",-1,N219)&gt;=1)*(IF(N219="",-1,N219)&lt;=3))*(1-(IF(N219="",-1,N219)=0)),IF(C219="peso_corporal",IF(ISNUMBER(E219),E219,0)+L219,L219)*(30+M219)*100+L219,0),IF((P219&gt;=6)*(1-(IF(Q219="",-1,Q219)&gt;=1)*(IF(Q219="",-1,Q219)&lt;=3))*(1-(IF(Q219="",-1,Q219)=0)),IF(C219="peso_corporal",IF(ISNUMBER(E219),E219,0)+O219,O219)*(30+P219)*100+O219,0),IF((S219&gt;=6)*(1-(IF(T219="",-1,T219)&gt;=1)*(IF(T219="",-1,T219)&lt;=3))*(1-(IF(T219="",-1,T219)=0)),IF(C219="peso_corporal",IF(ISNUMBER(E219),E219,0)+R219,R219)*(30+S219)*100+R219,0))</f>
        <v>0</v>
      </c>
      <c r="AB219" s="69">
        <f>IF(AA219=0,0,IF(IF((S219&gt;=6)*(1-(IF(T219="",-1,T219)&gt;=1)*(IF(T219="",-1,T219)&lt;=3))*(1-(IF(T219="",-1,T219)=0)),IF(C219="peso_corporal",IF(ISNUMBER(E219),E219,0)+R219,R219)*(30+S219)*100+R219,0)=AA219,5,IF(IF((P219&gt;=6)*(1-(IF(Q219="",-1,Q219)&gt;=1)*(IF(Q219="",-1,Q219)&lt;=3))*(1-(IF(Q219="",-1,Q219)=0)),IF(C219="peso_corporal",IF(ISNUMBER(E219),E219,0)+O219,O219)*(30+P219)*100+O219,0)=AA219,4,IF(IF((M219&gt;=6)*(1-(IF(N219="",-1,N219)&gt;=1)*(IF(N219="",-1,N219)&lt;=3))*(1-(IF(N219="",-1,N219)=0)),IF(C219="peso_corporal",IF(ISNUMBER(E219),E219,0)+L219,L219)*(30+M219)*100+L219,0)=AA219,3,IF(IF((J219&gt;=6)*(1-(IF(K219="",-1,K219)&gt;=1)*(IF(K219="",-1,K219)&lt;=3))*(1-(IF(K219="",-1,K219)=0)),IF(C219="peso_corporal",IF(ISNUMBER(E219),E219,0)+I219,I219)*(30+J219)*100+I219,0)=AA219,2,IF(IF((G219&gt;=6)*(1-(IF(H219="",-1,H219)&gt;=1)*(IF(H219="",-1,H219)&lt;=3))*(1-(IF(H219="",-1,H219)=0)),IF(C219="peso_corporal",IF(ISNUMBER(E219),E219,0)+F219,F219)*(30+G219)*100+F219,0)=AA219,1,0))))))</f>
        <v>0</v>
      </c>
      <c r="AC219" s="69" t="str">
        <f>IF(X219&gt;0,"A"&amp;X219,IF(Z219&gt;0,"B"&amp;Z219,IF(AB219&gt;0,"C"&amp;AB219,"")))</f>
        <v/>
      </c>
    </row>
    <row r="220" spans="1:29" ht="20.100000000000001" customHeight="1">
      <c r="A220" s="14" t="s">
        <v>45</v>
      </c>
      <c r="B220" s="15" t="s">
        <v>46</v>
      </c>
      <c r="C220" s="16" t="str">
        <f>IFERROR(INDEX(EJERCICIOS!$D$3:$D$75,MATCH(A220&amp;"|"&amp;B220,EJERCICIOS!$G$3:$G$75,0)),"--")</f>
        <v>mancuerna</v>
      </c>
      <c r="D220" s="17">
        <v>3</v>
      </c>
      <c r="E220" s="18">
        <f>IFERROR(LOOKUP(2,1/(MEDIDAS_Y_PESO!$B$3:$B$12&lt;&gt;""),MEDIDAS_Y_PESO!$B$3:$B$12),"--")</f>
        <v>80</v>
      </c>
      <c r="F220" s="19"/>
      <c r="G220" s="20"/>
      <c r="H220" s="21"/>
      <c r="I220" s="19"/>
      <c r="J220" s="20"/>
      <c r="K220" s="21"/>
      <c r="L220" s="19"/>
      <c r="M220" s="20"/>
      <c r="N220" s="21"/>
      <c r="O220" s="19"/>
      <c r="P220" s="20"/>
      <c r="Q220" s="21"/>
      <c r="R220" s="19"/>
      <c r="S220" s="20"/>
      <c r="T220" s="21"/>
      <c r="U220" s="22" t="str">
        <f>IFERROR(IF(IF(X220&gt;0,X220,IF(Z220&gt;0,Z220,IF(AB220&gt;0,AB220,0)))=0,"--",ROUND(CHOOSE(IF(X220&gt;0,X220,IF(Z220&gt;0,Z220,IF(AB220&gt;0,AB220,0))),IF(C220="peso_corporal",IF(ISNUMBER(E220),E220,0)+F220,F220)*(1+G220/30),IF(C220="peso_corporal",IF(ISNUMBER(E220),E220,0)+I220,I220)*(1+J220/30),IF(C220="peso_corporal",IF(ISNUMBER(E220),E220,0)+L220,L220)*(1+M220/30),IF(C220="peso_corporal",IF(ISNUMBER(E220),E220,0)+O220,O220)*(1+P220/30),IF(C220="peso_corporal",IF(ISNUMBER(E220),E220,0)+R220,R220)*(1+S220/30)),1)),"--")</f>
        <v>--</v>
      </c>
      <c r="V220" s="23" t="str">
        <f>IF(SUGERENCIAS!N577="SIN","Sin datos anteriores",IF(SUGERENCIAS!N577="SUBIR_F","^ SUBIR FUERTE | Kg:"&amp;ROUND(SUGERENCIAS!K577,1)&amp;" R:"&amp;ROUND(SUGERENCIAS!L577,0)&amp;" RIR:"&amp;ROUND(SUGERENCIAS!M577,0),IF(SUGERENCIAS!N577="SUBIR_E","^ SUBIR (Est.) | Kg:"&amp;ROUND(SUGERENCIAS!K577,1)&amp;" R:"&amp;ROUND(SUGERENCIAS!L577,0)&amp;" RIR:"&amp;ROUND(SUGERENCIAS!M577,0),IF(SUGERENCIAS!N577="SUBIR","^ SUBIR | Kg:"&amp;ROUND(SUGERENCIAS!K577,1)&amp;" R:"&amp;ROUND(SUGERENCIAS!L577,0)&amp;" RIR:"&amp;ROUND(SUGERENCIAS!M577,0),IF(SUGERENCIAS!N577="BAJAR","v BAJAR | Kg:"&amp;ROUND(SUGERENCIAS!K577,1)&amp;" R:"&amp;ROUND(SUGERENCIAS!L577,0)&amp;" RIR:"&amp;ROUND(SUGERENCIAS!M577,0),"= MANT | Kg:"&amp;ROUND(SUGERENCIAS!K577,1)&amp;" R:"&amp;ROUND(SUGERENCIAS!L577,0)&amp;" RIR:"&amp;ROUND(SUGERENCIAS!M577,0))))))</f>
        <v>Sin datos anteriores</v>
      </c>
      <c r="W220" s="69">
        <f>MAX(IF((G220&gt;0)*(IF(H220="",-1,H220)&gt;=1)*(IF(H220="",-1,H220)&lt;=3),IF(C220="peso_corporal",IF(ISNUMBER(E220),E220,0)+F220,F220)*G220*1000+F220,0),IF((J220&gt;0)*(IF(K220="",-1,K220)&gt;=1)*(IF(K220="",-1,K220)&lt;=3),IF(C220="peso_corporal",IF(ISNUMBER(E220),E220,0)+I220,I220)*J220*1000+I220,0),IF((M220&gt;0)*(IF(N220="",-1,N220)&gt;=1)*(IF(N220="",-1,N220)&lt;=3),IF(C220="peso_corporal",IF(ISNUMBER(E220),E220,0)+L220,L220)*M220*1000+L220,0),IF((P220&gt;0)*(IF(Q220="",-1,Q220)&gt;=1)*(IF(Q220="",-1,Q220)&lt;=3),IF(C220="peso_corporal",IF(ISNUMBER(E220),E220,0)+O220,O220)*P220*1000+O220,0),IF((S220&gt;0)*(IF(T220="",-1,T220)&gt;=1)*(IF(T220="",-1,T220)&lt;=3),IF(C220="peso_corporal",IF(ISNUMBER(E220),E220,0)+R220,R220)*S220*1000+R220,0))</f>
        <v>0</v>
      </c>
      <c r="X220" s="69">
        <f>IF(W220=0,0,IF(IF((S220&gt;0)*(IF(T220="",-1,T220)&gt;=1)*(IF(T220="",-1,T220)&lt;=3),IF(C220="peso_corporal",IF(ISNUMBER(E220),E220,0)+R220,R220)*S220*1000+R220,0)=W220,5,IF(IF((P220&gt;0)*(IF(Q220="",-1,Q220)&gt;=1)*(IF(Q220="",-1,Q220)&lt;=3),IF(C220="peso_corporal",IF(ISNUMBER(E220),E220,0)+O220,O220)*P220*1000+O220,0)=W220,4,IF(IF((M220&gt;0)*(IF(N220="",-1,N220)&gt;=1)*(IF(N220="",-1,N220)&lt;=3),IF(C220="peso_corporal",IF(ISNUMBER(E220),E220,0)+L220,L220)*M220*1000+L220,0)=W220,3,IF(IF((J220&gt;0)*(IF(K220="",-1,K220)&gt;=1)*(IF(K220="",-1,K220)&lt;=3),IF(C220="peso_corporal",IF(ISNUMBER(E220),E220,0)+I220,I220)*J220*1000+I220,0)=W220,2,IF(IF((G220&gt;0)*(IF(H220="",-1,H220)&gt;=1)*(IF(H220="",-1,H220)&lt;=3),IF(C220="peso_corporal",IF(ISNUMBER(E220),E220,0)+F220,F220)*G220*1000+F220,0)=W220,1,0))))))</f>
        <v>0</v>
      </c>
      <c r="Y220" s="69">
        <f>MAX(IF((G220&gt;0)*(IF(H220="",-1,H220)=0)*(1-(IF(H220="",-1,H220)&gt;=1)*(IF(H220="",-1,H220)&lt;=3)),IF(C220="peso_corporal",IF(ISNUMBER(E220),E220,0)+F220,F220)*G220*1000+F220,0),IF((J220&gt;0)*(IF(K220="",-1,K220)=0)*(1-(IF(K220="",-1,K220)&gt;=1)*(IF(K220="",-1,K220)&lt;=3)),IF(C220="peso_corporal",IF(ISNUMBER(E220),E220,0)+I220,I220)*J220*1000+I220,0),IF((M220&gt;0)*(IF(N220="",-1,N220)=0)*(1-(IF(N220="",-1,N220)&gt;=1)*(IF(N220="",-1,N220)&lt;=3)),IF(C220="peso_corporal",IF(ISNUMBER(E220),E220,0)+L220,L220)*M220*1000+L220,0),IF((P220&gt;0)*(IF(Q220="",-1,Q220)=0)*(1-(IF(Q220="",-1,Q220)&gt;=1)*(IF(Q220="",-1,Q220)&lt;=3)),IF(C220="peso_corporal",IF(ISNUMBER(E220),E220,0)+O220,O220)*P220*1000+O220,0),IF((S220&gt;0)*(IF(T220="",-1,T220)=0)*(1-(IF(T220="",-1,T220)&gt;=1)*(IF(T220="",-1,T220)&lt;=3)),IF(C220="peso_corporal",IF(ISNUMBER(E220),E220,0)+R220,R220)*S220*1000+R220,0))</f>
        <v>0</v>
      </c>
      <c r="Z220" s="69">
        <f>IF(Y220=0,0,IF(IF((S220&gt;0)*(IF(T220="",-1,T220)=0)*(1-(IF(T220="",-1,T220)&gt;=1)*(IF(T220="",-1,T220)&lt;=3)),IF(C220="peso_corporal",IF(ISNUMBER(E220),E220,0)+R220,R220)*S220*1000+R220,0)=Y220,5,IF(IF((P220&gt;0)*(IF(Q220="",-1,Q220)=0)*(1-(IF(Q220="",-1,Q220)&gt;=1)*(IF(Q220="",-1,Q220)&lt;=3)),IF(C220="peso_corporal",IF(ISNUMBER(E220),E220,0)+O220,O220)*P220*1000+O220,0)=Y220,4,IF(IF((M220&gt;0)*(IF(N220="",-1,N220)=0)*(1-(IF(N220="",-1,N220)&gt;=1)*(IF(N220="",-1,N220)&lt;=3)),IF(C220="peso_corporal",IF(ISNUMBER(E220),E220,0)+L220,L220)*M220*1000+L220,0)=Y220,3,IF(IF((J220&gt;0)*(IF(K220="",-1,K220)=0)*(1-(IF(K220="",-1,K220)&gt;=1)*(IF(K220="",-1,K220)&lt;=3)),IF(C220="peso_corporal",IF(ISNUMBER(E220),E220,0)+I220,I220)*J220*1000+I220,0)=Y220,2,IF(IF((G220&gt;0)*(IF(H220="",-1,H220)=0)*(1-(IF(H220="",-1,H220)&gt;=1)*(IF(H220="",-1,H220)&lt;=3)),IF(C220="peso_corporal",IF(ISNUMBER(E220),E220,0)+F220,F220)*G220*1000+F220,0)=Y220,1,0))))))</f>
        <v>0</v>
      </c>
      <c r="AA220" s="69">
        <f>MAX(IF((G220&gt;=6)*(1-(IF(H220="",-1,H220)&gt;=1)*(IF(H220="",-1,H220)&lt;=3))*(1-(IF(H220="",-1,H220)=0)),IF(C220="peso_corporal",IF(ISNUMBER(E220),E220,0)+F220,F220)*(30+G220)*100+F220,0),IF((J220&gt;=6)*(1-(IF(K220="",-1,K220)&gt;=1)*(IF(K220="",-1,K220)&lt;=3))*(1-(IF(K220="",-1,K220)=0)),IF(C220="peso_corporal",IF(ISNUMBER(E220),E220,0)+I220,I220)*(30+J220)*100+I220,0),IF((M220&gt;=6)*(1-(IF(N220="",-1,N220)&gt;=1)*(IF(N220="",-1,N220)&lt;=3))*(1-(IF(N220="",-1,N220)=0)),IF(C220="peso_corporal",IF(ISNUMBER(E220),E220,0)+L220,L220)*(30+M220)*100+L220,0),IF((P220&gt;=6)*(1-(IF(Q220="",-1,Q220)&gt;=1)*(IF(Q220="",-1,Q220)&lt;=3))*(1-(IF(Q220="",-1,Q220)=0)),IF(C220="peso_corporal",IF(ISNUMBER(E220),E220,0)+O220,O220)*(30+P220)*100+O220,0),IF((S220&gt;=6)*(1-(IF(T220="",-1,T220)&gt;=1)*(IF(T220="",-1,T220)&lt;=3))*(1-(IF(T220="",-1,T220)=0)),IF(C220="peso_corporal",IF(ISNUMBER(E220),E220,0)+R220,R220)*(30+S220)*100+R220,0))</f>
        <v>0</v>
      </c>
      <c r="AB220" s="69">
        <f>IF(AA220=0,0,IF(IF((S220&gt;=6)*(1-(IF(T220="",-1,T220)&gt;=1)*(IF(T220="",-1,T220)&lt;=3))*(1-(IF(T220="",-1,T220)=0)),IF(C220="peso_corporal",IF(ISNUMBER(E220),E220,0)+R220,R220)*(30+S220)*100+R220,0)=AA220,5,IF(IF((P220&gt;=6)*(1-(IF(Q220="",-1,Q220)&gt;=1)*(IF(Q220="",-1,Q220)&lt;=3))*(1-(IF(Q220="",-1,Q220)=0)),IF(C220="peso_corporal",IF(ISNUMBER(E220),E220,0)+O220,O220)*(30+P220)*100+O220,0)=AA220,4,IF(IF((M220&gt;=6)*(1-(IF(N220="",-1,N220)&gt;=1)*(IF(N220="",-1,N220)&lt;=3))*(1-(IF(N220="",-1,N220)=0)),IF(C220="peso_corporal",IF(ISNUMBER(E220),E220,0)+L220,L220)*(30+M220)*100+L220,0)=AA220,3,IF(IF((J220&gt;=6)*(1-(IF(K220="",-1,K220)&gt;=1)*(IF(K220="",-1,K220)&lt;=3))*(1-(IF(K220="",-1,K220)=0)),IF(C220="peso_corporal",IF(ISNUMBER(E220),E220,0)+I220,I220)*(30+J220)*100+I220,0)=AA220,2,IF(IF((G220&gt;=6)*(1-(IF(H220="",-1,H220)&gt;=1)*(IF(H220="",-1,H220)&lt;=3))*(1-(IF(H220="",-1,H220)=0)),IF(C220="peso_corporal",IF(ISNUMBER(E220),E220,0)+F220,F220)*(30+G220)*100+F220,0)=AA220,1,0))))))</f>
        <v>0</v>
      </c>
      <c r="AC220" s="69" t="str">
        <f>IF(X220&gt;0,"A"&amp;X220,IF(Z220&gt;0,"B"&amp;Z220,IF(AB220&gt;0,"C"&amp;AB220,"")))</f>
        <v/>
      </c>
    </row>
    <row r="221" spans="1:29" ht="15" customHeight="1">
      <c r="A221" s="82" t="s">
        <v>47</v>
      </c>
      <c r="B221" s="73"/>
      <c r="C221" s="73"/>
      <c r="D221" s="73"/>
      <c r="E221" s="73"/>
      <c r="F221" s="73"/>
      <c r="G221" s="73"/>
      <c r="H221" s="73"/>
      <c r="I221" s="73"/>
      <c r="J221" s="73"/>
      <c r="K221" s="73"/>
      <c r="L221" s="73"/>
      <c r="M221" s="73"/>
      <c r="N221" s="73"/>
      <c r="O221" s="73"/>
      <c r="P221" s="73"/>
      <c r="Q221" s="73"/>
      <c r="R221" s="73"/>
      <c r="S221" s="73"/>
      <c r="T221" s="73"/>
      <c r="U221" s="73"/>
      <c r="V221" s="73"/>
      <c r="W221" s="69"/>
      <c r="X221" s="69"/>
      <c r="Y221" s="69"/>
      <c r="Z221" s="69"/>
      <c r="AA221" s="69"/>
      <c r="AB221" s="69"/>
      <c r="AC221" s="69"/>
    </row>
    <row r="222" spans="1:29" ht="20.100000000000001" customHeight="1">
      <c r="A222" s="14" t="s">
        <v>48</v>
      </c>
      <c r="B222" s="15" t="s">
        <v>64</v>
      </c>
      <c r="C222" s="16" t="str">
        <f>IFERROR(INDEX(EJERCICIOS!$D$3:$D$75,MATCH(A222&amp;"|"&amp;B222,EJERCICIOS!$G$3:$G$75,0)),"--")</f>
        <v>--</v>
      </c>
      <c r="D222" s="17">
        <v>3</v>
      </c>
      <c r="E222" s="18">
        <f>IFERROR(LOOKUP(2,1/(MEDIDAS_Y_PESO!$B$3:$B$12&lt;&gt;""),MEDIDAS_Y_PESO!$B$3:$B$12),"--")</f>
        <v>80</v>
      </c>
      <c r="F222" s="19"/>
      <c r="G222" s="20"/>
      <c r="H222" s="21"/>
      <c r="I222" s="19"/>
      <c r="J222" s="20"/>
      <c r="K222" s="21"/>
      <c r="L222" s="19"/>
      <c r="M222" s="20"/>
      <c r="N222" s="21"/>
      <c r="O222" s="19"/>
      <c r="P222" s="20"/>
      <c r="Q222" s="21"/>
      <c r="R222" s="19"/>
      <c r="S222" s="20"/>
      <c r="T222" s="21"/>
      <c r="U222" s="22" t="str">
        <f>IFERROR(IF(IF(X222&gt;0,X222,IF(Z222&gt;0,Z222,IF(AB222&gt;0,AB222,0)))=0,"--",ROUND(CHOOSE(IF(X222&gt;0,X222,IF(Z222&gt;0,Z222,IF(AB222&gt;0,AB222,0))),IF(C222="peso_corporal",IF(ISNUMBER(E222),E222,0)+F222,F222)*(1+G222/30),IF(C222="peso_corporal",IF(ISNUMBER(E222),E222,0)+I222,I222)*(1+J222/30),IF(C222="peso_corporal",IF(ISNUMBER(E222),E222,0)+L222,L222)*(1+M222/30),IF(C222="peso_corporal",IF(ISNUMBER(E222),E222,0)+O222,O222)*(1+P222/30),IF(C222="peso_corporal",IF(ISNUMBER(E222),E222,0)+R222,R222)*(1+S222/30)),1)),"--")</f>
        <v>--</v>
      </c>
      <c r="V222" s="23" t="str">
        <f>IF(SUGERENCIAS!N578="SIN","Sin datos anteriores",IF(SUGERENCIAS!N578="SUBIR_F","^ SUBIR FUERTE | Kg:"&amp;ROUND(SUGERENCIAS!K578,1)&amp;" R:"&amp;ROUND(SUGERENCIAS!L578,0)&amp;" RIR:"&amp;ROUND(SUGERENCIAS!M578,0),IF(SUGERENCIAS!N578="SUBIR_E","^ SUBIR (Est.) | Kg:"&amp;ROUND(SUGERENCIAS!K578,1)&amp;" R:"&amp;ROUND(SUGERENCIAS!L578,0)&amp;" RIR:"&amp;ROUND(SUGERENCIAS!M578,0),IF(SUGERENCIAS!N578="SUBIR","^ SUBIR | Kg:"&amp;ROUND(SUGERENCIAS!K578,1)&amp;" R:"&amp;ROUND(SUGERENCIAS!L578,0)&amp;" RIR:"&amp;ROUND(SUGERENCIAS!M578,0),IF(SUGERENCIAS!N578="BAJAR","v BAJAR | Kg:"&amp;ROUND(SUGERENCIAS!K578,1)&amp;" R:"&amp;ROUND(SUGERENCIAS!L578,0)&amp;" RIR:"&amp;ROUND(SUGERENCIAS!M578,0),"= MANT | Kg:"&amp;ROUND(SUGERENCIAS!K578,1)&amp;" R:"&amp;ROUND(SUGERENCIAS!L578,0)&amp;" RIR:"&amp;ROUND(SUGERENCIAS!M578,0))))))</f>
        <v>Sin datos anteriores</v>
      </c>
      <c r="W222" s="69">
        <f>MAX(IF((G222&gt;0)*(IF(H222="",-1,H222)&gt;=1)*(IF(H222="",-1,H222)&lt;=3),IF(C222="peso_corporal",IF(ISNUMBER(E222),E222,0)+F222,F222)*G222*1000+F222,0),IF((J222&gt;0)*(IF(K222="",-1,K222)&gt;=1)*(IF(K222="",-1,K222)&lt;=3),IF(C222="peso_corporal",IF(ISNUMBER(E222),E222,0)+I222,I222)*J222*1000+I222,0),IF((M222&gt;0)*(IF(N222="",-1,N222)&gt;=1)*(IF(N222="",-1,N222)&lt;=3),IF(C222="peso_corporal",IF(ISNUMBER(E222),E222,0)+L222,L222)*M222*1000+L222,0),IF((P222&gt;0)*(IF(Q222="",-1,Q222)&gt;=1)*(IF(Q222="",-1,Q222)&lt;=3),IF(C222="peso_corporal",IF(ISNUMBER(E222),E222,0)+O222,O222)*P222*1000+O222,0),IF((S222&gt;0)*(IF(T222="",-1,T222)&gt;=1)*(IF(T222="",-1,T222)&lt;=3),IF(C222="peso_corporal",IF(ISNUMBER(E222),E222,0)+R222,R222)*S222*1000+R222,0))</f>
        <v>0</v>
      </c>
      <c r="X222" s="69">
        <f>IF(W222=0,0,IF(IF((S222&gt;0)*(IF(T222="",-1,T222)&gt;=1)*(IF(T222="",-1,T222)&lt;=3),IF(C222="peso_corporal",IF(ISNUMBER(E222),E222,0)+R222,R222)*S222*1000+R222,0)=W222,5,IF(IF((P222&gt;0)*(IF(Q222="",-1,Q222)&gt;=1)*(IF(Q222="",-1,Q222)&lt;=3),IF(C222="peso_corporal",IF(ISNUMBER(E222),E222,0)+O222,O222)*P222*1000+O222,0)=W222,4,IF(IF((M222&gt;0)*(IF(N222="",-1,N222)&gt;=1)*(IF(N222="",-1,N222)&lt;=3),IF(C222="peso_corporal",IF(ISNUMBER(E222),E222,0)+L222,L222)*M222*1000+L222,0)=W222,3,IF(IF((J222&gt;0)*(IF(K222="",-1,K222)&gt;=1)*(IF(K222="",-1,K222)&lt;=3),IF(C222="peso_corporal",IF(ISNUMBER(E222),E222,0)+I222,I222)*J222*1000+I222,0)=W222,2,IF(IF((G222&gt;0)*(IF(H222="",-1,H222)&gt;=1)*(IF(H222="",-1,H222)&lt;=3),IF(C222="peso_corporal",IF(ISNUMBER(E222),E222,0)+F222,F222)*G222*1000+F222,0)=W222,1,0))))))</f>
        <v>0</v>
      </c>
      <c r="Y222" s="69">
        <f>MAX(IF((G222&gt;0)*(IF(H222="",-1,H222)=0)*(1-(IF(H222="",-1,H222)&gt;=1)*(IF(H222="",-1,H222)&lt;=3)),IF(C222="peso_corporal",IF(ISNUMBER(E222),E222,0)+F222,F222)*G222*1000+F222,0),IF((J222&gt;0)*(IF(K222="",-1,K222)=0)*(1-(IF(K222="",-1,K222)&gt;=1)*(IF(K222="",-1,K222)&lt;=3)),IF(C222="peso_corporal",IF(ISNUMBER(E222),E222,0)+I222,I222)*J222*1000+I222,0),IF((M222&gt;0)*(IF(N222="",-1,N222)=0)*(1-(IF(N222="",-1,N222)&gt;=1)*(IF(N222="",-1,N222)&lt;=3)),IF(C222="peso_corporal",IF(ISNUMBER(E222),E222,0)+L222,L222)*M222*1000+L222,0),IF((P222&gt;0)*(IF(Q222="",-1,Q222)=0)*(1-(IF(Q222="",-1,Q222)&gt;=1)*(IF(Q222="",-1,Q222)&lt;=3)),IF(C222="peso_corporal",IF(ISNUMBER(E222),E222,0)+O222,O222)*P222*1000+O222,0),IF((S222&gt;0)*(IF(T222="",-1,T222)=0)*(1-(IF(T222="",-1,T222)&gt;=1)*(IF(T222="",-1,T222)&lt;=3)),IF(C222="peso_corporal",IF(ISNUMBER(E222),E222,0)+R222,R222)*S222*1000+R222,0))</f>
        <v>0</v>
      </c>
      <c r="Z222" s="69">
        <f>IF(Y222=0,0,IF(IF((S222&gt;0)*(IF(T222="",-1,T222)=0)*(1-(IF(T222="",-1,T222)&gt;=1)*(IF(T222="",-1,T222)&lt;=3)),IF(C222="peso_corporal",IF(ISNUMBER(E222),E222,0)+R222,R222)*S222*1000+R222,0)=Y222,5,IF(IF((P222&gt;0)*(IF(Q222="",-1,Q222)=0)*(1-(IF(Q222="",-1,Q222)&gt;=1)*(IF(Q222="",-1,Q222)&lt;=3)),IF(C222="peso_corporal",IF(ISNUMBER(E222),E222,0)+O222,O222)*P222*1000+O222,0)=Y222,4,IF(IF((M222&gt;0)*(IF(N222="",-1,N222)=0)*(1-(IF(N222="",-1,N222)&gt;=1)*(IF(N222="",-1,N222)&lt;=3)),IF(C222="peso_corporal",IF(ISNUMBER(E222),E222,0)+L222,L222)*M222*1000+L222,0)=Y222,3,IF(IF((J222&gt;0)*(IF(K222="",-1,K222)=0)*(1-(IF(K222="",-1,K222)&gt;=1)*(IF(K222="",-1,K222)&lt;=3)),IF(C222="peso_corporal",IF(ISNUMBER(E222),E222,0)+I222,I222)*J222*1000+I222,0)=Y222,2,IF(IF((G222&gt;0)*(IF(H222="",-1,H222)=0)*(1-(IF(H222="",-1,H222)&gt;=1)*(IF(H222="",-1,H222)&lt;=3)),IF(C222="peso_corporal",IF(ISNUMBER(E222),E222,0)+F222,F222)*G222*1000+F222,0)=Y222,1,0))))))</f>
        <v>0</v>
      </c>
      <c r="AA222" s="69">
        <f>MAX(IF((G222&gt;=6)*(1-(IF(H222="",-1,H222)&gt;=1)*(IF(H222="",-1,H222)&lt;=3))*(1-(IF(H222="",-1,H222)=0)),IF(C222="peso_corporal",IF(ISNUMBER(E222),E222,0)+F222,F222)*(30+G222)*100+F222,0),IF((J222&gt;=6)*(1-(IF(K222="",-1,K222)&gt;=1)*(IF(K222="",-1,K222)&lt;=3))*(1-(IF(K222="",-1,K222)=0)),IF(C222="peso_corporal",IF(ISNUMBER(E222),E222,0)+I222,I222)*(30+J222)*100+I222,0),IF((M222&gt;=6)*(1-(IF(N222="",-1,N222)&gt;=1)*(IF(N222="",-1,N222)&lt;=3))*(1-(IF(N222="",-1,N222)=0)),IF(C222="peso_corporal",IF(ISNUMBER(E222),E222,0)+L222,L222)*(30+M222)*100+L222,0),IF((P222&gt;=6)*(1-(IF(Q222="",-1,Q222)&gt;=1)*(IF(Q222="",-1,Q222)&lt;=3))*(1-(IF(Q222="",-1,Q222)=0)),IF(C222="peso_corporal",IF(ISNUMBER(E222),E222,0)+O222,O222)*(30+P222)*100+O222,0),IF((S222&gt;=6)*(1-(IF(T222="",-1,T222)&gt;=1)*(IF(T222="",-1,T222)&lt;=3))*(1-(IF(T222="",-1,T222)=0)),IF(C222="peso_corporal",IF(ISNUMBER(E222),E222,0)+R222,R222)*(30+S222)*100+R222,0))</f>
        <v>0</v>
      </c>
      <c r="AB222" s="69">
        <f>IF(AA222=0,0,IF(IF((S222&gt;=6)*(1-(IF(T222="",-1,T222)&gt;=1)*(IF(T222="",-1,T222)&lt;=3))*(1-(IF(T222="",-1,T222)=0)),IF(C222="peso_corporal",IF(ISNUMBER(E222),E222,0)+R222,R222)*(30+S222)*100+R222,0)=AA222,5,IF(IF((P222&gt;=6)*(1-(IF(Q222="",-1,Q222)&gt;=1)*(IF(Q222="",-1,Q222)&lt;=3))*(1-(IF(Q222="",-1,Q222)=0)),IF(C222="peso_corporal",IF(ISNUMBER(E222),E222,0)+O222,O222)*(30+P222)*100+O222,0)=AA222,4,IF(IF((M222&gt;=6)*(1-(IF(N222="",-1,N222)&gt;=1)*(IF(N222="",-1,N222)&lt;=3))*(1-(IF(N222="",-1,N222)=0)),IF(C222="peso_corporal",IF(ISNUMBER(E222),E222,0)+L222,L222)*(30+M222)*100+L222,0)=AA222,3,IF(IF((J222&gt;=6)*(1-(IF(K222="",-1,K222)&gt;=1)*(IF(K222="",-1,K222)&lt;=3))*(1-(IF(K222="",-1,K222)=0)),IF(C222="peso_corporal",IF(ISNUMBER(E222),E222,0)+I222,I222)*(30+J222)*100+I222,0)=AA222,2,IF(IF((G222&gt;=6)*(1-(IF(H222="",-1,H222)&gt;=1)*(IF(H222="",-1,H222)&lt;=3))*(1-(IF(H222="",-1,H222)=0)),IF(C222="peso_corporal",IF(ISNUMBER(E222),E222,0)+F222,F222)*(30+G222)*100+F222,0)=AA222,1,0))))))</f>
        <v>0</v>
      </c>
      <c r="AC222" s="69" t="str">
        <f>IF(X222&gt;0,"A"&amp;X222,IF(Z222&gt;0,"B"&amp;Z222,IF(AB222&gt;0,"C"&amp;AB222,"")))</f>
        <v/>
      </c>
    </row>
    <row r="223" spans="1:29" ht="15" customHeight="1">
      <c r="A223" s="88" t="s">
        <v>50</v>
      </c>
      <c r="B223" s="73"/>
      <c r="C223" s="73"/>
      <c r="D223" s="73"/>
      <c r="E223" s="73"/>
      <c r="F223" s="73"/>
      <c r="G223" s="73"/>
      <c r="H223" s="73"/>
      <c r="I223" s="73"/>
      <c r="J223" s="73"/>
      <c r="K223" s="73"/>
      <c r="L223" s="73"/>
      <c r="M223" s="73"/>
      <c r="N223" s="73"/>
      <c r="O223" s="73"/>
      <c r="P223" s="73"/>
      <c r="Q223" s="73"/>
      <c r="R223" s="73"/>
      <c r="S223" s="73"/>
      <c r="T223" s="73"/>
      <c r="U223" s="73"/>
      <c r="V223" s="73"/>
      <c r="W223" s="69"/>
      <c r="X223" s="69"/>
      <c r="Y223" s="69"/>
      <c r="Z223" s="69"/>
      <c r="AA223" s="69"/>
      <c r="AB223" s="69"/>
      <c r="AC223" s="69"/>
    </row>
    <row r="224" spans="1:29" ht="20.100000000000001" customHeight="1">
      <c r="A224" s="14" t="s">
        <v>65</v>
      </c>
      <c r="B224" s="15" t="s">
        <v>66</v>
      </c>
      <c r="C224" s="16" t="str">
        <f>IFERROR(INDEX(EJERCICIOS!$D$3:$D$75,MATCH(A224&amp;"|"&amp;B224,EJERCICIOS!$G$3:$G$75,0)),"--")</f>
        <v>--</v>
      </c>
      <c r="D224" s="17">
        <v>3</v>
      </c>
      <c r="E224" s="18">
        <f>IFERROR(LOOKUP(2,1/(MEDIDAS_Y_PESO!$B$3:$B$12&lt;&gt;""),MEDIDAS_Y_PESO!$B$3:$B$12),"--")</f>
        <v>80</v>
      </c>
      <c r="F224" s="19"/>
      <c r="G224" s="20"/>
      <c r="H224" s="21"/>
      <c r="I224" s="19"/>
      <c r="J224" s="20"/>
      <c r="K224" s="21"/>
      <c r="L224" s="19"/>
      <c r="M224" s="20"/>
      <c r="N224" s="21"/>
      <c r="O224" s="19"/>
      <c r="P224" s="20"/>
      <c r="Q224" s="21"/>
      <c r="R224" s="19"/>
      <c r="S224" s="20"/>
      <c r="T224" s="21"/>
      <c r="U224" s="22" t="str">
        <f>IFERROR(IF(IF(X224&gt;0,X224,IF(Z224&gt;0,Z224,IF(AB224&gt;0,AB224,0)))=0,"--",ROUND(CHOOSE(IF(X224&gt;0,X224,IF(Z224&gt;0,Z224,IF(AB224&gt;0,AB224,0))),IF(C224="peso_corporal",IF(ISNUMBER(E224),E224,0)+F224,F224)*(1+G224/30),IF(C224="peso_corporal",IF(ISNUMBER(E224),E224,0)+I224,I224)*(1+J224/30),IF(C224="peso_corporal",IF(ISNUMBER(E224),E224,0)+L224,L224)*(1+M224/30),IF(C224="peso_corporal",IF(ISNUMBER(E224),E224,0)+O224,O224)*(1+P224/30),IF(C224="peso_corporal",IF(ISNUMBER(E224),E224,0)+R224,R224)*(1+S224/30)),1)),"--")</f>
        <v>--</v>
      </c>
      <c r="V224" s="23" t="str">
        <f>IF(SUGERENCIAS!N579="SIN","Sin datos anteriores",IF(SUGERENCIAS!N579="SUBIR_F","^ SUBIR FUERTE | Kg:"&amp;ROUND(SUGERENCIAS!K579,1)&amp;" R:"&amp;ROUND(SUGERENCIAS!L579,0)&amp;" RIR:"&amp;ROUND(SUGERENCIAS!M579,0),IF(SUGERENCIAS!N579="SUBIR_E","^ SUBIR (Est.) | Kg:"&amp;ROUND(SUGERENCIAS!K579,1)&amp;" R:"&amp;ROUND(SUGERENCIAS!L579,0)&amp;" RIR:"&amp;ROUND(SUGERENCIAS!M579,0),IF(SUGERENCIAS!N579="SUBIR","^ SUBIR | Kg:"&amp;ROUND(SUGERENCIAS!K579,1)&amp;" R:"&amp;ROUND(SUGERENCIAS!L579,0)&amp;" RIR:"&amp;ROUND(SUGERENCIAS!M579,0),IF(SUGERENCIAS!N579="BAJAR","v BAJAR | Kg:"&amp;ROUND(SUGERENCIAS!K579,1)&amp;" R:"&amp;ROUND(SUGERENCIAS!L579,0)&amp;" RIR:"&amp;ROUND(SUGERENCIAS!M579,0),"= MANT | Kg:"&amp;ROUND(SUGERENCIAS!K579,1)&amp;" R:"&amp;ROUND(SUGERENCIAS!L579,0)&amp;" RIR:"&amp;ROUND(SUGERENCIAS!M579,0))))))</f>
        <v>Sin datos anteriores</v>
      </c>
      <c r="W224" s="69">
        <f>MAX(IF((G224&gt;0)*(IF(H224="",-1,H224)&gt;=1)*(IF(H224="",-1,H224)&lt;=3),IF(C224="peso_corporal",IF(ISNUMBER(E224),E224,0)+F224,F224)*G224*1000+F224,0),IF((J224&gt;0)*(IF(K224="",-1,K224)&gt;=1)*(IF(K224="",-1,K224)&lt;=3),IF(C224="peso_corporal",IF(ISNUMBER(E224),E224,0)+I224,I224)*J224*1000+I224,0),IF((M224&gt;0)*(IF(N224="",-1,N224)&gt;=1)*(IF(N224="",-1,N224)&lt;=3),IF(C224="peso_corporal",IF(ISNUMBER(E224),E224,0)+L224,L224)*M224*1000+L224,0),IF((P224&gt;0)*(IF(Q224="",-1,Q224)&gt;=1)*(IF(Q224="",-1,Q224)&lt;=3),IF(C224="peso_corporal",IF(ISNUMBER(E224),E224,0)+O224,O224)*P224*1000+O224,0),IF((S224&gt;0)*(IF(T224="",-1,T224)&gt;=1)*(IF(T224="",-1,T224)&lt;=3),IF(C224="peso_corporal",IF(ISNUMBER(E224),E224,0)+R224,R224)*S224*1000+R224,0))</f>
        <v>0</v>
      </c>
      <c r="X224" s="69">
        <f>IF(W224=0,0,IF(IF((S224&gt;0)*(IF(T224="",-1,T224)&gt;=1)*(IF(T224="",-1,T224)&lt;=3),IF(C224="peso_corporal",IF(ISNUMBER(E224),E224,0)+R224,R224)*S224*1000+R224,0)=W224,5,IF(IF((P224&gt;0)*(IF(Q224="",-1,Q224)&gt;=1)*(IF(Q224="",-1,Q224)&lt;=3),IF(C224="peso_corporal",IF(ISNUMBER(E224),E224,0)+O224,O224)*P224*1000+O224,0)=W224,4,IF(IF((M224&gt;0)*(IF(N224="",-1,N224)&gt;=1)*(IF(N224="",-1,N224)&lt;=3),IF(C224="peso_corporal",IF(ISNUMBER(E224),E224,0)+L224,L224)*M224*1000+L224,0)=W224,3,IF(IF((J224&gt;0)*(IF(K224="",-1,K224)&gt;=1)*(IF(K224="",-1,K224)&lt;=3),IF(C224="peso_corporal",IF(ISNUMBER(E224),E224,0)+I224,I224)*J224*1000+I224,0)=W224,2,IF(IF((G224&gt;0)*(IF(H224="",-1,H224)&gt;=1)*(IF(H224="",-1,H224)&lt;=3),IF(C224="peso_corporal",IF(ISNUMBER(E224),E224,0)+F224,F224)*G224*1000+F224,0)=W224,1,0))))))</f>
        <v>0</v>
      </c>
      <c r="Y224" s="69">
        <f>MAX(IF((G224&gt;0)*(IF(H224="",-1,H224)=0)*(1-(IF(H224="",-1,H224)&gt;=1)*(IF(H224="",-1,H224)&lt;=3)),IF(C224="peso_corporal",IF(ISNUMBER(E224),E224,0)+F224,F224)*G224*1000+F224,0),IF((J224&gt;0)*(IF(K224="",-1,K224)=0)*(1-(IF(K224="",-1,K224)&gt;=1)*(IF(K224="",-1,K224)&lt;=3)),IF(C224="peso_corporal",IF(ISNUMBER(E224),E224,0)+I224,I224)*J224*1000+I224,0),IF((M224&gt;0)*(IF(N224="",-1,N224)=0)*(1-(IF(N224="",-1,N224)&gt;=1)*(IF(N224="",-1,N224)&lt;=3)),IF(C224="peso_corporal",IF(ISNUMBER(E224),E224,0)+L224,L224)*M224*1000+L224,0),IF((P224&gt;0)*(IF(Q224="",-1,Q224)=0)*(1-(IF(Q224="",-1,Q224)&gt;=1)*(IF(Q224="",-1,Q224)&lt;=3)),IF(C224="peso_corporal",IF(ISNUMBER(E224),E224,0)+O224,O224)*P224*1000+O224,0),IF((S224&gt;0)*(IF(T224="",-1,T224)=0)*(1-(IF(T224="",-1,T224)&gt;=1)*(IF(T224="",-1,T224)&lt;=3)),IF(C224="peso_corporal",IF(ISNUMBER(E224),E224,0)+R224,R224)*S224*1000+R224,0))</f>
        <v>0</v>
      </c>
      <c r="Z224" s="69">
        <f>IF(Y224=0,0,IF(IF((S224&gt;0)*(IF(T224="",-1,T224)=0)*(1-(IF(T224="",-1,T224)&gt;=1)*(IF(T224="",-1,T224)&lt;=3)),IF(C224="peso_corporal",IF(ISNUMBER(E224),E224,0)+R224,R224)*S224*1000+R224,0)=Y224,5,IF(IF((P224&gt;0)*(IF(Q224="",-1,Q224)=0)*(1-(IF(Q224="",-1,Q224)&gt;=1)*(IF(Q224="",-1,Q224)&lt;=3)),IF(C224="peso_corporal",IF(ISNUMBER(E224),E224,0)+O224,O224)*P224*1000+O224,0)=Y224,4,IF(IF((M224&gt;0)*(IF(N224="",-1,N224)=0)*(1-(IF(N224="",-1,N224)&gt;=1)*(IF(N224="",-1,N224)&lt;=3)),IF(C224="peso_corporal",IF(ISNUMBER(E224),E224,0)+L224,L224)*M224*1000+L224,0)=Y224,3,IF(IF((J224&gt;0)*(IF(K224="",-1,K224)=0)*(1-(IF(K224="",-1,K224)&gt;=1)*(IF(K224="",-1,K224)&lt;=3)),IF(C224="peso_corporal",IF(ISNUMBER(E224),E224,0)+I224,I224)*J224*1000+I224,0)=Y224,2,IF(IF((G224&gt;0)*(IF(H224="",-1,H224)=0)*(1-(IF(H224="",-1,H224)&gt;=1)*(IF(H224="",-1,H224)&lt;=3)),IF(C224="peso_corporal",IF(ISNUMBER(E224),E224,0)+F224,F224)*G224*1000+F224,0)=Y224,1,0))))))</f>
        <v>0</v>
      </c>
      <c r="AA224" s="69">
        <f>MAX(IF((G224&gt;=6)*(1-(IF(H224="",-1,H224)&gt;=1)*(IF(H224="",-1,H224)&lt;=3))*(1-(IF(H224="",-1,H224)=0)),IF(C224="peso_corporal",IF(ISNUMBER(E224),E224,0)+F224,F224)*(30+G224)*100+F224,0),IF((J224&gt;=6)*(1-(IF(K224="",-1,K224)&gt;=1)*(IF(K224="",-1,K224)&lt;=3))*(1-(IF(K224="",-1,K224)=0)),IF(C224="peso_corporal",IF(ISNUMBER(E224),E224,0)+I224,I224)*(30+J224)*100+I224,0),IF((M224&gt;=6)*(1-(IF(N224="",-1,N224)&gt;=1)*(IF(N224="",-1,N224)&lt;=3))*(1-(IF(N224="",-1,N224)=0)),IF(C224="peso_corporal",IF(ISNUMBER(E224),E224,0)+L224,L224)*(30+M224)*100+L224,0),IF((P224&gt;=6)*(1-(IF(Q224="",-1,Q224)&gt;=1)*(IF(Q224="",-1,Q224)&lt;=3))*(1-(IF(Q224="",-1,Q224)=0)),IF(C224="peso_corporal",IF(ISNUMBER(E224),E224,0)+O224,O224)*(30+P224)*100+O224,0),IF((S224&gt;=6)*(1-(IF(T224="",-1,T224)&gt;=1)*(IF(T224="",-1,T224)&lt;=3))*(1-(IF(T224="",-1,T224)=0)),IF(C224="peso_corporal",IF(ISNUMBER(E224),E224,0)+R224,R224)*(30+S224)*100+R224,0))</f>
        <v>0</v>
      </c>
      <c r="AB224" s="69">
        <f>IF(AA224=0,0,IF(IF((S224&gt;=6)*(1-(IF(T224="",-1,T224)&gt;=1)*(IF(T224="",-1,T224)&lt;=3))*(1-(IF(T224="",-1,T224)=0)),IF(C224="peso_corporal",IF(ISNUMBER(E224),E224,0)+R224,R224)*(30+S224)*100+R224,0)=AA224,5,IF(IF((P224&gt;=6)*(1-(IF(Q224="",-1,Q224)&gt;=1)*(IF(Q224="",-1,Q224)&lt;=3))*(1-(IF(Q224="",-1,Q224)=0)),IF(C224="peso_corporal",IF(ISNUMBER(E224),E224,0)+O224,O224)*(30+P224)*100+O224,0)=AA224,4,IF(IF((M224&gt;=6)*(1-(IF(N224="",-1,N224)&gt;=1)*(IF(N224="",-1,N224)&lt;=3))*(1-(IF(N224="",-1,N224)=0)),IF(C224="peso_corporal",IF(ISNUMBER(E224),E224,0)+L224,L224)*(30+M224)*100+L224,0)=AA224,3,IF(IF((J224&gt;=6)*(1-(IF(K224="",-1,K224)&gt;=1)*(IF(K224="",-1,K224)&lt;=3))*(1-(IF(K224="",-1,K224)=0)),IF(C224="peso_corporal",IF(ISNUMBER(E224),E224,0)+I224,I224)*(30+J224)*100+I224,0)=AA224,2,IF(IF((G224&gt;=6)*(1-(IF(H224="",-1,H224)&gt;=1)*(IF(H224="",-1,H224)&lt;=3))*(1-(IF(H224="",-1,H224)=0)),IF(C224="peso_corporal",IF(ISNUMBER(E224),E224,0)+F224,F224)*(30+G224)*100+F224,0)=AA224,1,0))))))</f>
        <v>0</v>
      </c>
      <c r="AC224" s="69" t="str">
        <f>IF(X224&gt;0,"A"&amp;X224,IF(Z224&gt;0,"B"&amp;Z224,IF(AB224&gt;0,"C"&amp;AB224,"")))</f>
        <v/>
      </c>
    </row>
    <row r="225" spans="1:29" ht="15" customHeight="1">
      <c r="A225" s="81" t="s">
        <v>53</v>
      </c>
      <c r="B225" s="73"/>
      <c r="C225" s="73"/>
      <c r="D225" s="73"/>
      <c r="E225" s="73"/>
      <c r="F225" s="73"/>
      <c r="G225" s="73"/>
      <c r="H225" s="73"/>
      <c r="I225" s="73"/>
      <c r="J225" s="73"/>
      <c r="K225" s="73"/>
      <c r="L225" s="73"/>
      <c r="M225" s="73"/>
      <c r="N225" s="73"/>
      <c r="O225" s="73"/>
      <c r="P225" s="73"/>
      <c r="Q225" s="73"/>
      <c r="R225" s="73"/>
      <c r="S225" s="73"/>
      <c r="T225" s="73"/>
      <c r="U225" s="73"/>
      <c r="V225" s="73"/>
      <c r="W225" s="69"/>
      <c r="X225" s="69"/>
      <c r="Y225" s="69"/>
      <c r="Z225" s="69"/>
      <c r="AA225" s="69"/>
      <c r="AB225" s="69"/>
      <c r="AC225" s="69"/>
    </row>
    <row r="226" spans="1:29" ht="20.100000000000001" customHeight="1">
      <c r="A226" s="14" t="s">
        <v>54</v>
      </c>
      <c r="B226" s="15" t="s">
        <v>67</v>
      </c>
      <c r="C226" s="16" t="str">
        <f>IFERROR(INDEX(EJERCICIOS!$D$3:$D$75,MATCH(A226&amp;"|"&amp;B226,EJERCICIOS!$G$3:$G$75,0)),"--")</f>
        <v>mancuerna</v>
      </c>
      <c r="D226" s="17">
        <v>3</v>
      </c>
      <c r="E226" s="18">
        <f>IFERROR(LOOKUP(2,1/(MEDIDAS_Y_PESO!$B$3:$B$12&lt;&gt;""),MEDIDAS_Y_PESO!$B$3:$B$12),"--")</f>
        <v>80</v>
      </c>
      <c r="F226" s="19"/>
      <c r="G226" s="20"/>
      <c r="H226" s="21"/>
      <c r="I226" s="19"/>
      <c r="J226" s="20"/>
      <c r="K226" s="21"/>
      <c r="L226" s="19"/>
      <c r="M226" s="20"/>
      <c r="N226" s="21"/>
      <c r="O226" s="19"/>
      <c r="P226" s="20"/>
      <c r="Q226" s="21"/>
      <c r="R226" s="19"/>
      <c r="S226" s="20"/>
      <c r="T226" s="21"/>
      <c r="U226" s="22" t="str">
        <f>IFERROR(IF(IF(X226&gt;0,X226,IF(Z226&gt;0,Z226,IF(AB226&gt;0,AB226,0)))=0,"--",ROUND(CHOOSE(IF(X226&gt;0,X226,IF(Z226&gt;0,Z226,IF(AB226&gt;0,AB226,0))),IF(C226="peso_corporal",IF(ISNUMBER(E226),E226,0)+F226,F226)*(1+G226/30),IF(C226="peso_corporal",IF(ISNUMBER(E226),E226,0)+I226,I226)*(1+J226/30),IF(C226="peso_corporal",IF(ISNUMBER(E226),E226,0)+L226,L226)*(1+M226/30),IF(C226="peso_corporal",IF(ISNUMBER(E226),E226,0)+O226,O226)*(1+P226/30),IF(C226="peso_corporal",IF(ISNUMBER(E226),E226,0)+R226,R226)*(1+S226/30)),1)),"--")</f>
        <v>--</v>
      </c>
      <c r="V226" s="23" t="str">
        <f>IF(SUGERENCIAS!N580="SIN","Sin datos anteriores",IF(SUGERENCIAS!N580="SUBIR_F","^ SUBIR FUERTE | Kg:"&amp;ROUND(SUGERENCIAS!K580,1)&amp;" R:"&amp;ROUND(SUGERENCIAS!L580,0)&amp;" RIR:"&amp;ROUND(SUGERENCIAS!M580,0),IF(SUGERENCIAS!N580="SUBIR_E","^ SUBIR (Est.) | Kg:"&amp;ROUND(SUGERENCIAS!K580,1)&amp;" R:"&amp;ROUND(SUGERENCIAS!L580,0)&amp;" RIR:"&amp;ROUND(SUGERENCIAS!M580,0),IF(SUGERENCIAS!N580="SUBIR","^ SUBIR | Kg:"&amp;ROUND(SUGERENCIAS!K580,1)&amp;" R:"&amp;ROUND(SUGERENCIAS!L580,0)&amp;" RIR:"&amp;ROUND(SUGERENCIAS!M580,0),IF(SUGERENCIAS!N580="BAJAR","v BAJAR | Kg:"&amp;ROUND(SUGERENCIAS!K580,1)&amp;" R:"&amp;ROUND(SUGERENCIAS!L580,0)&amp;" RIR:"&amp;ROUND(SUGERENCIAS!M580,0),"= MANT | Kg:"&amp;ROUND(SUGERENCIAS!K580,1)&amp;" R:"&amp;ROUND(SUGERENCIAS!L580,0)&amp;" RIR:"&amp;ROUND(SUGERENCIAS!M580,0))))))</f>
        <v>Sin datos anteriores</v>
      </c>
      <c r="W226" s="69">
        <f>MAX(IF((G226&gt;0)*(IF(H226="",-1,H226)&gt;=1)*(IF(H226="",-1,H226)&lt;=3),IF(C226="peso_corporal",IF(ISNUMBER(E226),E226,0)+F226,F226)*G226*1000+F226,0),IF((J226&gt;0)*(IF(K226="",-1,K226)&gt;=1)*(IF(K226="",-1,K226)&lt;=3),IF(C226="peso_corporal",IF(ISNUMBER(E226),E226,0)+I226,I226)*J226*1000+I226,0),IF((M226&gt;0)*(IF(N226="",-1,N226)&gt;=1)*(IF(N226="",-1,N226)&lt;=3),IF(C226="peso_corporal",IF(ISNUMBER(E226),E226,0)+L226,L226)*M226*1000+L226,0),IF((P226&gt;0)*(IF(Q226="",-1,Q226)&gt;=1)*(IF(Q226="",-1,Q226)&lt;=3),IF(C226="peso_corporal",IF(ISNUMBER(E226),E226,0)+O226,O226)*P226*1000+O226,0),IF((S226&gt;0)*(IF(T226="",-1,T226)&gt;=1)*(IF(T226="",-1,T226)&lt;=3),IF(C226="peso_corporal",IF(ISNUMBER(E226),E226,0)+R226,R226)*S226*1000+R226,0))</f>
        <v>0</v>
      </c>
      <c r="X226" s="69">
        <f>IF(W226=0,0,IF(IF((S226&gt;0)*(IF(T226="",-1,T226)&gt;=1)*(IF(T226="",-1,T226)&lt;=3),IF(C226="peso_corporal",IF(ISNUMBER(E226),E226,0)+R226,R226)*S226*1000+R226,0)=W226,5,IF(IF((P226&gt;0)*(IF(Q226="",-1,Q226)&gt;=1)*(IF(Q226="",-1,Q226)&lt;=3),IF(C226="peso_corporal",IF(ISNUMBER(E226),E226,0)+O226,O226)*P226*1000+O226,0)=W226,4,IF(IF((M226&gt;0)*(IF(N226="",-1,N226)&gt;=1)*(IF(N226="",-1,N226)&lt;=3),IF(C226="peso_corporal",IF(ISNUMBER(E226),E226,0)+L226,L226)*M226*1000+L226,0)=W226,3,IF(IF((J226&gt;0)*(IF(K226="",-1,K226)&gt;=1)*(IF(K226="",-1,K226)&lt;=3),IF(C226="peso_corporal",IF(ISNUMBER(E226),E226,0)+I226,I226)*J226*1000+I226,0)=W226,2,IF(IF((G226&gt;0)*(IF(H226="",-1,H226)&gt;=1)*(IF(H226="",-1,H226)&lt;=3),IF(C226="peso_corporal",IF(ISNUMBER(E226),E226,0)+F226,F226)*G226*1000+F226,0)=W226,1,0))))))</f>
        <v>0</v>
      </c>
      <c r="Y226" s="69">
        <f>MAX(IF((G226&gt;0)*(IF(H226="",-1,H226)=0)*(1-(IF(H226="",-1,H226)&gt;=1)*(IF(H226="",-1,H226)&lt;=3)),IF(C226="peso_corporal",IF(ISNUMBER(E226),E226,0)+F226,F226)*G226*1000+F226,0),IF((J226&gt;0)*(IF(K226="",-1,K226)=0)*(1-(IF(K226="",-1,K226)&gt;=1)*(IF(K226="",-1,K226)&lt;=3)),IF(C226="peso_corporal",IF(ISNUMBER(E226),E226,0)+I226,I226)*J226*1000+I226,0),IF((M226&gt;0)*(IF(N226="",-1,N226)=0)*(1-(IF(N226="",-1,N226)&gt;=1)*(IF(N226="",-1,N226)&lt;=3)),IF(C226="peso_corporal",IF(ISNUMBER(E226),E226,0)+L226,L226)*M226*1000+L226,0),IF((P226&gt;0)*(IF(Q226="",-1,Q226)=0)*(1-(IF(Q226="",-1,Q226)&gt;=1)*(IF(Q226="",-1,Q226)&lt;=3)),IF(C226="peso_corporal",IF(ISNUMBER(E226),E226,0)+O226,O226)*P226*1000+O226,0),IF((S226&gt;0)*(IF(T226="",-1,T226)=0)*(1-(IF(T226="",-1,T226)&gt;=1)*(IF(T226="",-1,T226)&lt;=3)),IF(C226="peso_corporal",IF(ISNUMBER(E226),E226,0)+R226,R226)*S226*1000+R226,0))</f>
        <v>0</v>
      </c>
      <c r="Z226" s="69">
        <f>IF(Y226=0,0,IF(IF((S226&gt;0)*(IF(T226="",-1,T226)=0)*(1-(IF(T226="",-1,T226)&gt;=1)*(IF(T226="",-1,T226)&lt;=3)),IF(C226="peso_corporal",IF(ISNUMBER(E226),E226,0)+R226,R226)*S226*1000+R226,0)=Y226,5,IF(IF((P226&gt;0)*(IF(Q226="",-1,Q226)=0)*(1-(IF(Q226="",-1,Q226)&gt;=1)*(IF(Q226="",-1,Q226)&lt;=3)),IF(C226="peso_corporal",IF(ISNUMBER(E226),E226,0)+O226,O226)*P226*1000+O226,0)=Y226,4,IF(IF((M226&gt;0)*(IF(N226="",-1,N226)=0)*(1-(IF(N226="",-1,N226)&gt;=1)*(IF(N226="",-1,N226)&lt;=3)),IF(C226="peso_corporal",IF(ISNUMBER(E226),E226,0)+L226,L226)*M226*1000+L226,0)=Y226,3,IF(IF((J226&gt;0)*(IF(K226="",-1,K226)=0)*(1-(IF(K226="",-1,K226)&gt;=1)*(IF(K226="",-1,K226)&lt;=3)),IF(C226="peso_corporal",IF(ISNUMBER(E226),E226,0)+I226,I226)*J226*1000+I226,0)=Y226,2,IF(IF((G226&gt;0)*(IF(H226="",-1,H226)=0)*(1-(IF(H226="",-1,H226)&gt;=1)*(IF(H226="",-1,H226)&lt;=3)),IF(C226="peso_corporal",IF(ISNUMBER(E226),E226,0)+F226,F226)*G226*1000+F226,0)=Y226,1,0))))))</f>
        <v>0</v>
      </c>
      <c r="AA226" s="69">
        <f>MAX(IF((G226&gt;=6)*(1-(IF(H226="",-1,H226)&gt;=1)*(IF(H226="",-1,H226)&lt;=3))*(1-(IF(H226="",-1,H226)=0)),IF(C226="peso_corporal",IF(ISNUMBER(E226),E226,0)+F226,F226)*(30+G226)*100+F226,0),IF((J226&gt;=6)*(1-(IF(K226="",-1,K226)&gt;=1)*(IF(K226="",-1,K226)&lt;=3))*(1-(IF(K226="",-1,K226)=0)),IF(C226="peso_corporal",IF(ISNUMBER(E226),E226,0)+I226,I226)*(30+J226)*100+I226,0),IF((M226&gt;=6)*(1-(IF(N226="",-1,N226)&gt;=1)*(IF(N226="",-1,N226)&lt;=3))*(1-(IF(N226="",-1,N226)=0)),IF(C226="peso_corporal",IF(ISNUMBER(E226),E226,0)+L226,L226)*(30+M226)*100+L226,0),IF((P226&gt;=6)*(1-(IF(Q226="",-1,Q226)&gt;=1)*(IF(Q226="",-1,Q226)&lt;=3))*(1-(IF(Q226="",-1,Q226)=0)),IF(C226="peso_corporal",IF(ISNUMBER(E226),E226,0)+O226,O226)*(30+P226)*100+O226,0),IF((S226&gt;=6)*(1-(IF(T226="",-1,T226)&gt;=1)*(IF(T226="",-1,T226)&lt;=3))*(1-(IF(T226="",-1,T226)=0)),IF(C226="peso_corporal",IF(ISNUMBER(E226),E226,0)+R226,R226)*(30+S226)*100+R226,0))</f>
        <v>0</v>
      </c>
      <c r="AB226" s="69">
        <f>IF(AA226=0,0,IF(IF((S226&gt;=6)*(1-(IF(T226="",-1,T226)&gt;=1)*(IF(T226="",-1,T226)&lt;=3))*(1-(IF(T226="",-1,T226)=0)),IF(C226="peso_corporal",IF(ISNUMBER(E226),E226,0)+R226,R226)*(30+S226)*100+R226,0)=AA226,5,IF(IF((P226&gt;=6)*(1-(IF(Q226="",-1,Q226)&gt;=1)*(IF(Q226="",-1,Q226)&lt;=3))*(1-(IF(Q226="",-1,Q226)=0)),IF(C226="peso_corporal",IF(ISNUMBER(E226),E226,0)+O226,O226)*(30+P226)*100+O226,0)=AA226,4,IF(IF((M226&gt;=6)*(1-(IF(N226="",-1,N226)&gt;=1)*(IF(N226="",-1,N226)&lt;=3))*(1-(IF(N226="",-1,N226)=0)),IF(C226="peso_corporal",IF(ISNUMBER(E226),E226,0)+L226,L226)*(30+M226)*100+L226,0)=AA226,3,IF(IF((J226&gt;=6)*(1-(IF(K226="",-1,K226)&gt;=1)*(IF(K226="",-1,K226)&lt;=3))*(1-(IF(K226="",-1,K226)=0)),IF(C226="peso_corporal",IF(ISNUMBER(E226),E226,0)+I226,I226)*(30+J226)*100+I226,0)=AA226,2,IF(IF((G226&gt;=6)*(1-(IF(H226="",-1,H226)&gt;=1)*(IF(H226="",-1,H226)&lt;=3))*(1-(IF(H226="",-1,H226)=0)),IF(C226="peso_corporal",IF(ISNUMBER(E226),E226,0)+F226,F226)*(30+G226)*100+F226,0)=AA226,1,0))))))</f>
        <v>0</v>
      </c>
      <c r="AC226" s="69" t="str">
        <f>IF(X226&gt;0,"A"&amp;X226,IF(Z226&gt;0,"B"&amp;Z226,IF(AB226&gt;0,"C"&amp;AB226,"")))</f>
        <v/>
      </c>
    </row>
    <row r="227" spans="1:29" ht="15" customHeight="1">
      <c r="A227" s="72" t="s">
        <v>56</v>
      </c>
      <c r="B227" s="73"/>
      <c r="C227" s="73"/>
      <c r="D227" s="73"/>
      <c r="E227" s="73"/>
      <c r="F227" s="73"/>
      <c r="G227" s="73"/>
      <c r="H227" s="73"/>
      <c r="I227" s="73"/>
      <c r="J227" s="73"/>
      <c r="K227" s="73"/>
      <c r="L227" s="73"/>
      <c r="M227" s="73"/>
      <c r="N227" s="73"/>
      <c r="O227" s="73"/>
      <c r="P227" s="73"/>
      <c r="Q227" s="73"/>
      <c r="R227" s="73"/>
      <c r="S227" s="73"/>
      <c r="T227" s="73"/>
      <c r="U227" s="73"/>
      <c r="V227" s="73"/>
      <c r="W227" s="69"/>
      <c r="X227" s="69"/>
      <c r="Y227" s="69"/>
      <c r="Z227" s="69"/>
      <c r="AA227" s="69"/>
      <c r="AB227" s="69"/>
      <c r="AC227" s="69"/>
    </row>
    <row r="228" spans="1:29" ht="20.100000000000001" customHeight="1">
      <c r="A228" s="14" t="s">
        <v>57</v>
      </c>
      <c r="B228" s="15" t="s">
        <v>58</v>
      </c>
      <c r="C228" s="16" t="str">
        <f>IFERROR(INDEX(EJERCICIOS!$D$3:$D$75,MATCH(A228&amp;"|"&amp;B228,EJERCICIOS!$G$3:$G$75,0)),"--")</f>
        <v>polea</v>
      </c>
      <c r="D228" s="17">
        <v>3</v>
      </c>
      <c r="E228" s="18">
        <f>IFERROR(LOOKUP(2,1/(MEDIDAS_Y_PESO!$B$3:$B$12&lt;&gt;""),MEDIDAS_Y_PESO!$B$3:$B$12),"--")</f>
        <v>80</v>
      </c>
      <c r="F228" s="19"/>
      <c r="G228" s="20"/>
      <c r="H228" s="21"/>
      <c r="I228" s="19"/>
      <c r="J228" s="20"/>
      <c r="K228" s="21"/>
      <c r="L228" s="19"/>
      <c r="M228" s="20"/>
      <c r="N228" s="21"/>
      <c r="O228" s="19"/>
      <c r="P228" s="20"/>
      <c r="Q228" s="21"/>
      <c r="R228" s="19"/>
      <c r="S228" s="20"/>
      <c r="T228" s="21"/>
      <c r="U228" s="22" t="str">
        <f>IFERROR(IF(IF(X228&gt;0,X228,IF(Z228&gt;0,Z228,IF(AB228&gt;0,AB228,0)))=0,"--",ROUND(CHOOSE(IF(X228&gt;0,X228,IF(Z228&gt;0,Z228,IF(AB228&gt;0,AB228,0))),IF(C228="peso_corporal",IF(ISNUMBER(E228),E228,0)+F228,F228)*(1+G228/30),IF(C228="peso_corporal",IF(ISNUMBER(E228),E228,0)+I228,I228)*(1+J228/30),IF(C228="peso_corporal",IF(ISNUMBER(E228),E228,0)+L228,L228)*(1+M228/30),IF(C228="peso_corporal",IF(ISNUMBER(E228),E228,0)+O228,O228)*(1+P228/30),IF(C228="peso_corporal",IF(ISNUMBER(E228),E228,0)+R228,R228)*(1+S228/30)),1)),"--")</f>
        <v>--</v>
      </c>
      <c r="V228" s="23" t="str">
        <f>IF(SUGERENCIAS!N581="SIN","Sin datos anteriores",IF(SUGERENCIAS!N581="SUBIR_F","^ SUBIR FUERTE | Kg:"&amp;ROUND(SUGERENCIAS!K581,1)&amp;" R:"&amp;ROUND(SUGERENCIAS!L581,0)&amp;" RIR:"&amp;ROUND(SUGERENCIAS!M581,0),IF(SUGERENCIAS!N581="SUBIR_E","^ SUBIR (Est.) | Kg:"&amp;ROUND(SUGERENCIAS!K581,1)&amp;" R:"&amp;ROUND(SUGERENCIAS!L581,0)&amp;" RIR:"&amp;ROUND(SUGERENCIAS!M581,0),IF(SUGERENCIAS!N581="SUBIR","^ SUBIR | Kg:"&amp;ROUND(SUGERENCIAS!K581,1)&amp;" R:"&amp;ROUND(SUGERENCIAS!L581,0)&amp;" RIR:"&amp;ROUND(SUGERENCIAS!M581,0),IF(SUGERENCIAS!N581="BAJAR","v BAJAR | Kg:"&amp;ROUND(SUGERENCIAS!K581,1)&amp;" R:"&amp;ROUND(SUGERENCIAS!L581,0)&amp;" RIR:"&amp;ROUND(SUGERENCIAS!M581,0),"= MANT | Kg:"&amp;ROUND(SUGERENCIAS!K581,1)&amp;" R:"&amp;ROUND(SUGERENCIAS!L581,0)&amp;" RIR:"&amp;ROUND(SUGERENCIAS!M581,0))))))</f>
        <v>Sin datos anteriores</v>
      </c>
      <c r="W228" s="69">
        <f>MAX(IF((G228&gt;0)*(IF(H228="",-1,H228)&gt;=1)*(IF(H228="",-1,H228)&lt;=3),IF(C228="peso_corporal",IF(ISNUMBER(E228),E228,0)+F228,F228)*G228*1000+F228,0),IF((J228&gt;0)*(IF(K228="",-1,K228)&gt;=1)*(IF(K228="",-1,K228)&lt;=3),IF(C228="peso_corporal",IF(ISNUMBER(E228),E228,0)+I228,I228)*J228*1000+I228,0),IF((M228&gt;0)*(IF(N228="",-1,N228)&gt;=1)*(IF(N228="",-1,N228)&lt;=3),IF(C228="peso_corporal",IF(ISNUMBER(E228),E228,0)+L228,L228)*M228*1000+L228,0),IF((P228&gt;0)*(IF(Q228="",-1,Q228)&gt;=1)*(IF(Q228="",-1,Q228)&lt;=3),IF(C228="peso_corporal",IF(ISNUMBER(E228),E228,0)+O228,O228)*P228*1000+O228,0),IF((S228&gt;0)*(IF(T228="",-1,T228)&gt;=1)*(IF(T228="",-1,T228)&lt;=3),IF(C228="peso_corporal",IF(ISNUMBER(E228),E228,0)+R228,R228)*S228*1000+R228,0))</f>
        <v>0</v>
      </c>
      <c r="X228" s="69">
        <f>IF(W228=0,0,IF(IF((S228&gt;0)*(IF(T228="",-1,T228)&gt;=1)*(IF(T228="",-1,T228)&lt;=3),IF(C228="peso_corporal",IF(ISNUMBER(E228),E228,0)+R228,R228)*S228*1000+R228,0)=W228,5,IF(IF((P228&gt;0)*(IF(Q228="",-1,Q228)&gt;=1)*(IF(Q228="",-1,Q228)&lt;=3),IF(C228="peso_corporal",IF(ISNUMBER(E228),E228,0)+O228,O228)*P228*1000+O228,0)=W228,4,IF(IF((M228&gt;0)*(IF(N228="",-1,N228)&gt;=1)*(IF(N228="",-1,N228)&lt;=3),IF(C228="peso_corporal",IF(ISNUMBER(E228),E228,0)+L228,L228)*M228*1000+L228,0)=W228,3,IF(IF((J228&gt;0)*(IF(K228="",-1,K228)&gt;=1)*(IF(K228="",-1,K228)&lt;=3),IF(C228="peso_corporal",IF(ISNUMBER(E228),E228,0)+I228,I228)*J228*1000+I228,0)=W228,2,IF(IF((G228&gt;0)*(IF(H228="",-1,H228)&gt;=1)*(IF(H228="",-1,H228)&lt;=3),IF(C228="peso_corporal",IF(ISNUMBER(E228),E228,0)+F228,F228)*G228*1000+F228,0)=W228,1,0))))))</f>
        <v>0</v>
      </c>
      <c r="Y228" s="69">
        <f>MAX(IF((G228&gt;0)*(IF(H228="",-1,H228)=0)*(1-(IF(H228="",-1,H228)&gt;=1)*(IF(H228="",-1,H228)&lt;=3)),IF(C228="peso_corporal",IF(ISNUMBER(E228),E228,0)+F228,F228)*G228*1000+F228,0),IF((J228&gt;0)*(IF(K228="",-1,K228)=0)*(1-(IF(K228="",-1,K228)&gt;=1)*(IF(K228="",-1,K228)&lt;=3)),IF(C228="peso_corporal",IF(ISNUMBER(E228),E228,0)+I228,I228)*J228*1000+I228,0),IF((M228&gt;0)*(IF(N228="",-1,N228)=0)*(1-(IF(N228="",-1,N228)&gt;=1)*(IF(N228="",-1,N228)&lt;=3)),IF(C228="peso_corporal",IF(ISNUMBER(E228),E228,0)+L228,L228)*M228*1000+L228,0),IF((P228&gt;0)*(IF(Q228="",-1,Q228)=0)*(1-(IF(Q228="",-1,Q228)&gt;=1)*(IF(Q228="",-1,Q228)&lt;=3)),IF(C228="peso_corporal",IF(ISNUMBER(E228),E228,0)+O228,O228)*P228*1000+O228,0),IF((S228&gt;0)*(IF(T228="",-1,T228)=0)*(1-(IF(T228="",-1,T228)&gt;=1)*(IF(T228="",-1,T228)&lt;=3)),IF(C228="peso_corporal",IF(ISNUMBER(E228),E228,0)+R228,R228)*S228*1000+R228,0))</f>
        <v>0</v>
      </c>
      <c r="Z228" s="69">
        <f>IF(Y228=0,0,IF(IF((S228&gt;0)*(IF(T228="",-1,T228)=0)*(1-(IF(T228="",-1,T228)&gt;=1)*(IF(T228="",-1,T228)&lt;=3)),IF(C228="peso_corporal",IF(ISNUMBER(E228),E228,0)+R228,R228)*S228*1000+R228,0)=Y228,5,IF(IF((P228&gt;0)*(IF(Q228="",-1,Q228)=0)*(1-(IF(Q228="",-1,Q228)&gt;=1)*(IF(Q228="",-1,Q228)&lt;=3)),IF(C228="peso_corporal",IF(ISNUMBER(E228),E228,0)+O228,O228)*P228*1000+O228,0)=Y228,4,IF(IF((M228&gt;0)*(IF(N228="",-1,N228)=0)*(1-(IF(N228="",-1,N228)&gt;=1)*(IF(N228="",-1,N228)&lt;=3)),IF(C228="peso_corporal",IF(ISNUMBER(E228),E228,0)+L228,L228)*M228*1000+L228,0)=Y228,3,IF(IF((J228&gt;0)*(IF(K228="",-1,K228)=0)*(1-(IF(K228="",-1,K228)&gt;=1)*(IF(K228="",-1,K228)&lt;=3)),IF(C228="peso_corporal",IF(ISNUMBER(E228),E228,0)+I228,I228)*J228*1000+I228,0)=Y228,2,IF(IF((G228&gt;0)*(IF(H228="",-1,H228)=0)*(1-(IF(H228="",-1,H228)&gt;=1)*(IF(H228="",-1,H228)&lt;=3)),IF(C228="peso_corporal",IF(ISNUMBER(E228),E228,0)+F228,F228)*G228*1000+F228,0)=Y228,1,0))))))</f>
        <v>0</v>
      </c>
      <c r="AA228" s="69">
        <f>MAX(IF((G228&gt;=6)*(1-(IF(H228="",-1,H228)&gt;=1)*(IF(H228="",-1,H228)&lt;=3))*(1-(IF(H228="",-1,H228)=0)),IF(C228="peso_corporal",IF(ISNUMBER(E228),E228,0)+F228,F228)*(30+G228)*100+F228,0),IF((J228&gt;=6)*(1-(IF(K228="",-1,K228)&gt;=1)*(IF(K228="",-1,K228)&lt;=3))*(1-(IF(K228="",-1,K228)=0)),IF(C228="peso_corporal",IF(ISNUMBER(E228),E228,0)+I228,I228)*(30+J228)*100+I228,0),IF((M228&gt;=6)*(1-(IF(N228="",-1,N228)&gt;=1)*(IF(N228="",-1,N228)&lt;=3))*(1-(IF(N228="",-1,N228)=0)),IF(C228="peso_corporal",IF(ISNUMBER(E228),E228,0)+L228,L228)*(30+M228)*100+L228,0),IF((P228&gt;=6)*(1-(IF(Q228="",-1,Q228)&gt;=1)*(IF(Q228="",-1,Q228)&lt;=3))*(1-(IF(Q228="",-1,Q228)=0)),IF(C228="peso_corporal",IF(ISNUMBER(E228),E228,0)+O228,O228)*(30+P228)*100+O228,0),IF((S228&gt;=6)*(1-(IF(T228="",-1,T228)&gt;=1)*(IF(T228="",-1,T228)&lt;=3))*(1-(IF(T228="",-1,T228)=0)),IF(C228="peso_corporal",IF(ISNUMBER(E228),E228,0)+R228,R228)*(30+S228)*100+R228,0))</f>
        <v>0</v>
      </c>
      <c r="AB228" s="69">
        <f>IF(AA228=0,0,IF(IF((S228&gt;=6)*(1-(IF(T228="",-1,T228)&gt;=1)*(IF(T228="",-1,T228)&lt;=3))*(1-(IF(T228="",-1,T228)=0)),IF(C228="peso_corporal",IF(ISNUMBER(E228),E228,0)+R228,R228)*(30+S228)*100+R228,0)=AA228,5,IF(IF((P228&gt;=6)*(1-(IF(Q228="",-1,Q228)&gt;=1)*(IF(Q228="",-1,Q228)&lt;=3))*(1-(IF(Q228="",-1,Q228)=0)),IF(C228="peso_corporal",IF(ISNUMBER(E228),E228,0)+O228,O228)*(30+P228)*100+O228,0)=AA228,4,IF(IF((M228&gt;=6)*(1-(IF(N228="",-1,N228)&gt;=1)*(IF(N228="",-1,N228)&lt;=3))*(1-(IF(N228="",-1,N228)=0)),IF(C228="peso_corporal",IF(ISNUMBER(E228),E228,0)+L228,L228)*(30+M228)*100+L228,0)=AA228,3,IF(IF((J228&gt;=6)*(1-(IF(K228="",-1,K228)&gt;=1)*(IF(K228="",-1,K228)&lt;=3))*(1-(IF(K228="",-1,K228)=0)),IF(C228="peso_corporal",IF(ISNUMBER(E228),E228,0)+I228,I228)*(30+J228)*100+I228,0)=AA228,2,IF(IF((G228&gt;=6)*(1-(IF(H228="",-1,H228)&gt;=1)*(IF(H228="",-1,H228)&lt;=3))*(1-(IF(H228="",-1,H228)=0)),IF(C228="peso_corporal",IF(ISNUMBER(E228),E228,0)+F228,F228)*(30+G228)*100+F228,0)=AA228,1,0))))))</f>
        <v>0</v>
      </c>
      <c r="AC228" s="69" t="str">
        <f>IF(X228&gt;0,"A"&amp;X228,IF(Z228&gt;0,"B"&amp;Z228,IF(AB228&gt;0,"C"&amp;AB228,"")))</f>
        <v/>
      </c>
    </row>
    <row r="229" spans="1:29" ht="6"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69"/>
      <c r="X229" s="69"/>
      <c r="Y229" s="69"/>
      <c r="Z229" s="69"/>
      <c r="AA229" s="69"/>
      <c r="AB229" s="69"/>
      <c r="AC229" s="69"/>
    </row>
    <row r="230" spans="1:29" ht="18" customHeight="1">
      <c r="A230" s="85" t="s">
        <v>76</v>
      </c>
      <c r="B230" s="73"/>
      <c r="C230" s="73"/>
      <c r="D230" s="73"/>
      <c r="E230" s="73"/>
      <c r="F230" s="73"/>
      <c r="G230" s="73"/>
      <c r="H230" s="73"/>
      <c r="I230" s="73"/>
      <c r="J230" s="73"/>
      <c r="K230" s="73"/>
      <c r="L230" s="73"/>
      <c r="M230" s="73"/>
      <c r="N230" s="73"/>
      <c r="O230" s="73"/>
      <c r="P230" s="73"/>
      <c r="Q230" s="73"/>
      <c r="R230" s="73"/>
      <c r="S230" s="73"/>
      <c r="T230" s="73"/>
      <c r="U230" s="73"/>
      <c r="V230" s="73"/>
      <c r="W230" s="69"/>
      <c r="X230" s="69"/>
      <c r="Y230" s="69"/>
      <c r="Z230" s="69"/>
      <c r="AA230" s="69"/>
      <c r="AB230" s="69"/>
      <c r="AC230" s="69"/>
    </row>
    <row r="231" spans="1:29" ht="15" customHeight="1">
      <c r="A231" s="75" t="s">
        <v>28</v>
      </c>
      <c r="B231" s="73"/>
      <c r="C231" s="73"/>
      <c r="D231" s="73"/>
      <c r="E231" s="73"/>
      <c r="F231" s="73"/>
      <c r="G231" s="73"/>
      <c r="H231" s="73"/>
      <c r="I231" s="73"/>
      <c r="J231" s="73"/>
      <c r="K231" s="73"/>
      <c r="L231" s="73"/>
      <c r="M231" s="73"/>
      <c r="N231" s="73"/>
      <c r="O231" s="73"/>
      <c r="P231" s="73"/>
      <c r="Q231" s="73"/>
      <c r="R231" s="73"/>
      <c r="S231" s="73"/>
      <c r="T231" s="73"/>
      <c r="U231" s="73"/>
      <c r="V231" s="73"/>
      <c r="W231" s="69"/>
      <c r="X231" s="69"/>
      <c r="Y231" s="69"/>
      <c r="Z231" s="69"/>
      <c r="AA231" s="69"/>
      <c r="AB231" s="69"/>
      <c r="AC231" s="69"/>
    </row>
    <row r="232" spans="1:29" ht="11.1" customHeight="1">
      <c r="A232" s="76" t="s">
        <v>29</v>
      </c>
      <c r="B232" s="73"/>
      <c r="C232" s="73"/>
      <c r="D232" s="73"/>
      <c r="E232" s="73"/>
      <c r="F232" s="73"/>
      <c r="G232" s="73"/>
      <c r="H232" s="73"/>
      <c r="I232" s="73"/>
      <c r="J232" s="73"/>
      <c r="K232" s="73"/>
      <c r="L232" s="73"/>
      <c r="M232" s="73"/>
      <c r="N232" s="73"/>
      <c r="O232" s="73"/>
      <c r="P232" s="73"/>
      <c r="Q232" s="73"/>
      <c r="R232" s="73"/>
      <c r="S232" s="73"/>
      <c r="T232" s="73"/>
      <c r="U232" s="73"/>
      <c r="V232" s="73"/>
      <c r="W232" s="69"/>
      <c r="X232" s="69"/>
      <c r="Y232" s="69"/>
      <c r="Z232" s="69"/>
      <c r="AA232" s="69"/>
      <c r="AB232" s="69"/>
      <c r="AC232" s="69"/>
    </row>
    <row r="233" spans="1:29" ht="20.100000000000001" customHeight="1">
      <c r="A233" s="14" t="s">
        <v>30</v>
      </c>
      <c r="B233" s="15" t="s">
        <v>60</v>
      </c>
      <c r="C233" s="16" t="str">
        <f>IFERROR(INDEX(EJERCICIOS!$D$3:$D$75,MATCH(A233&amp;"|"&amp;B233,EJERCICIOS!$G$3:$G$75,0)),"--")</f>
        <v>disco</v>
      </c>
      <c r="D233" s="17">
        <v>3</v>
      </c>
      <c r="E233" s="18">
        <f>IFERROR(LOOKUP(2,1/(MEDIDAS_Y_PESO!$B$3:$B$13&lt;&gt;""),MEDIDAS_Y_PESO!$B$3:$B$13),"--")</f>
        <v>80</v>
      </c>
      <c r="F233" s="19"/>
      <c r="G233" s="20"/>
      <c r="H233" s="21"/>
      <c r="I233" s="19"/>
      <c r="J233" s="20"/>
      <c r="K233" s="21"/>
      <c r="L233" s="19"/>
      <c r="M233" s="20"/>
      <c r="N233" s="21"/>
      <c r="O233" s="19"/>
      <c r="P233" s="20"/>
      <c r="Q233" s="21"/>
      <c r="R233" s="19"/>
      <c r="S233" s="20"/>
      <c r="T233" s="21"/>
      <c r="U233" s="22" t="str">
        <f>IFERROR(IF(IF(X233&gt;0,X233,IF(Z233&gt;0,Z233,IF(AB233&gt;0,AB233,0)))=0,"--",ROUND(CHOOSE(IF(X233&gt;0,X233,IF(Z233&gt;0,Z233,IF(AB233&gt;0,AB233,0))),IF(C233="peso_corporal",IF(ISNUMBER(E233),E233,0)+F233,F233)*(1+G233/30),IF(C233="peso_corporal",IF(ISNUMBER(E233),E233,0)+I233,I233)*(1+J233/30),IF(C233="peso_corporal",IF(ISNUMBER(E233),E233,0)+L233,L233)*(1+M233/30),IF(C233="peso_corporal",IF(ISNUMBER(E233),E233,0)+O233,O233)*(1+P233/30),IF(C233="peso_corporal",IF(ISNUMBER(E233),E233,0)+R233,R233)*(1+S233/30)),1)),"--")</f>
        <v>--</v>
      </c>
      <c r="V233" s="23" t="str">
        <f>IF(SUGERENCIAS!N634="SIN","Sin datos anteriores",IF(SUGERENCIAS!N634="SUBIR_F","^ SUBIR FUERTE | Kg:"&amp;ROUND(SUGERENCIAS!K634,1)&amp;" R:"&amp;ROUND(SUGERENCIAS!L634,0)&amp;" RIR:"&amp;ROUND(SUGERENCIAS!M634,0),IF(SUGERENCIAS!N634="SUBIR_E","^ SUBIR (Est.) | Kg:"&amp;ROUND(SUGERENCIAS!K634,1)&amp;" R:"&amp;ROUND(SUGERENCIAS!L634,0)&amp;" RIR:"&amp;ROUND(SUGERENCIAS!M634,0),IF(SUGERENCIAS!N634="SUBIR","^ SUBIR | Kg:"&amp;ROUND(SUGERENCIAS!K634,1)&amp;" R:"&amp;ROUND(SUGERENCIAS!L634,0)&amp;" RIR:"&amp;ROUND(SUGERENCIAS!M634,0),IF(SUGERENCIAS!N634="BAJAR","v BAJAR | Kg:"&amp;ROUND(SUGERENCIAS!K634,1)&amp;" R:"&amp;ROUND(SUGERENCIAS!L634,0)&amp;" RIR:"&amp;ROUND(SUGERENCIAS!M634,0),"= MANT | Kg:"&amp;ROUND(SUGERENCIAS!K634,1)&amp;" R:"&amp;ROUND(SUGERENCIAS!L634,0)&amp;" RIR:"&amp;ROUND(SUGERENCIAS!M634,0))))))</f>
        <v>Sin datos anteriores</v>
      </c>
      <c r="W233" s="69">
        <f>MAX(IF((G233&gt;0)*(IF(H233="",-1,H233)&gt;=0)*(IF(H233="",-1,H233)&lt;=1),IF(C233="peso_corporal",IF(ISNUMBER(E233),E233,0)+F233,F233)*G233*1000+F233,0),IF((J233&gt;0)*(IF(K233="",-1,K233)&gt;=0)*(IF(K233="",-1,K233)&lt;=1),IF(C233="peso_corporal",IF(ISNUMBER(E233),E233,0)+I233,I233)*J233*1000+I233,0),IF((M233&gt;0)*(IF(N233="",-1,N233)&gt;=0)*(IF(N233="",-1,N233)&lt;=1),IF(C233="peso_corporal",IF(ISNUMBER(E233),E233,0)+L233,L233)*M233*1000+L233,0),IF((P233&gt;0)*(IF(Q233="",-1,Q233)&gt;=0)*(IF(Q233="",-1,Q233)&lt;=1),IF(C233="peso_corporal",IF(ISNUMBER(E233),E233,0)+O233,O233)*P233*1000+O233,0),IF((S233&gt;0)*(IF(T233="",-1,T233)&gt;=0)*(IF(T233="",-1,T233)&lt;=1),IF(C233="peso_corporal",IF(ISNUMBER(E233),E233,0)+R233,R233)*S233*1000+R233,0))</f>
        <v>0</v>
      </c>
      <c r="X233" s="69">
        <f>IF(W233=0,0,IF(IF((S233&gt;0)*(IF(T233="",-1,T233)&gt;=0)*(IF(T233="",-1,T233)&lt;=1),IF(C233="peso_corporal",IF(ISNUMBER(E233),E233,0)+R233,R233)*S233*1000+R233,0)=W233,5,IF(IF((P233&gt;0)*(IF(Q233="",-1,Q233)&gt;=0)*(IF(Q233="",-1,Q233)&lt;=1),IF(C233="peso_corporal",IF(ISNUMBER(E233),E233,0)+O233,O233)*P233*1000+O233,0)=W233,4,IF(IF((M233&gt;0)*(IF(N233="",-1,N233)&gt;=0)*(IF(N233="",-1,N233)&lt;=1),IF(C233="peso_corporal",IF(ISNUMBER(E233),E233,0)+L233,L233)*M233*1000+L233,0)=W233,3,IF(IF((J233&gt;0)*(IF(K233="",-1,K233)&gt;=0)*(IF(K233="",-1,K233)&lt;=1),IF(C233="peso_corporal",IF(ISNUMBER(E233),E233,0)+I233,I233)*J233*1000+I233,0)=W233,2,IF(IF((G233&gt;0)*(IF(H233="",-1,H233)&gt;=0)*(IF(H233="",-1,H233)&lt;=1),IF(C233="peso_corporal",IF(ISNUMBER(E233),E233,0)+F233,F233)*G233*1000+F233,0)=W233,1,0))))))</f>
        <v>0</v>
      </c>
      <c r="Y233" s="69">
        <f>MAX(IF((G233&gt;0)*(IF(H233="",-1,H233)=0)*(1-(IF(H233="",-1,H233)&gt;=0)*(IF(H233="",-1,H233)&lt;=1)),IF(C233="peso_corporal",IF(ISNUMBER(E233),E233,0)+F233,F233)*G233*1000+F233,0),IF((J233&gt;0)*(IF(K233="",-1,K233)=0)*(1-(IF(K233="",-1,K233)&gt;=0)*(IF(K233="",-1,K233)&lt;=1)),IF(C233="peso_corporal",IF(ISNUMBER(E233),E233,0)+I233,I233)*J233*1000+I233,0),IF((M233&gt;0)*(IF(N233="",-1,N233)=0)*(1-(IF(N233="",-1,N233)&gt;=0)*(IF(N233="",-1,N233)&lt;=1)),IF(C233="peso_corporal",IF(ISNUMBER(E233),E233,0)+L233,L233)*M233*1000+L233,0),IF((P233&gt;0)*(IF(Q233="",-1,Q233)=0)*(1-(IF(Q233="",-1,Q233)&gt;=0)*(IF(Q233="",-1,Q233)&lt;=1)),IF(C233="peso_corporal",IF(ISNUMBER(E233),E233,0)+O233,O233)*P233*1000+O233,0),IF((S233&gt;0)*(IF(T233="",-1,T233)=0)*(1-(IF(T233="",-1,T233)&gt;=0)*(IF(T233="",-1,T233)&lt;=1)),IF(C233="peso_corporal",IF(ISNUMBER(E233),E233,0)+R233,R233)*S233*1000+R233,0))</f>
        <v>0</v>
      </c>
      <c r="Z233" s="69">
        <f>IF(Y233=0,0,IF(IF((S233&gt;0)*(IF(T233="",-1,T233)=0)*(1-(IF(T233="",-1,T233)&gt;=0)*(IF(T233="",-1,T233)&lt;=1)),IF(C233="peso_corporal",IF(ISNUMBER(E233),E233,0)+R233,R233)*S233*1000+R233,0)=Y233,5,IF(IF((P233&gt;0)*(IF(Q233="",-1,Q233)=0)*(1-(IF(Q233="",-1,Q233)&gt;=0)*(IF(Q233="",-1,Q233)&lt;=1)),IF(C233="peso_corporal",IF(ISNUMBER(E233),E233,0)+O233,O233)*P233*1000+O233,0)=Y233,4,IF(IF((M233&gt;0)*(IF(N233="",-1,N233)=0)*(1-(IF(N233="",-1,N233)&gt;=0)*(IF(N233="",-1,N233)&lt;=1)),IF(C233="peso_corporal",IF(ISNUMBER(E233),E233,0)+L233,L233)*M233*1000+L233,0)=Y233,3,IF(IF((J233&gt;0)*(IF(K233="",-1,K233)=0)*(1-(IF(K233="",-1,K233)&gt;=0)*(IF(K233="",-1,K233)&lt;=1)),IF(C233="peso_corporal",IF(ISNUMBER(E233),E233,0)+I233,I233)*J233*1000+I233,0)=Y233,2,IF(IF((G233&gt;0)*(IF(H233="",-1,H233)=0)*(1-(IF(H233="",-1,H233)&gt;=0)*(IF(H233="",-1,H233)&lt;=1)),IF(C233="peso_corporal",IF(ISNUMBER(E233),E233,0)+F233,F233)*G233*1000+F233,0)=Y233,1,0))))))</f>
        <v>0</v>
      </c>
      <c r="AA233" s="69">
        <f>MAX(IF((G233&gt;=3)*(1-(IF(H233="",-1,H233)&gt;=0)*(IF(H233="",-1,H233)&lt;=1))*(1-(IF(H233="",-1,H233)=0)),IF(C233="peso_corporal",IF(ISNUMBER(E233),E233,0)+F233,F233)*(30+G233)*100+F233,0),IF((J233&gt;=3)*(1-(IF(K233="",-1,K233)&gt;=0)*(IF(K233="",-1,K233)&lt;=1))*(1-(IF(K233="",-1,K233)=0)),IF(C233="peso_corporal",IF(ISNUMBER(E233),E233,0)+I233,I233)*(30+J233)*100+I233,0),IF((M233&gt;=3)*(1-(IF(N233="",-1,N233)&gt;=0)*(IF(N233="",-1,N233)&lt;=1))*(1-(IF(N233="",-1,N233)=0)),IF(C233="peso_corporal",IF(ISNUMBER(E233),E233,0)+L233,L233)*(30+M233)*100+L233,0),IF((P233&gt;=3)*(1-(IF(Q233="",-1,Q233)&gt;=0)*(IF(Q233="",-1,Q233)&lt;=1))*(1-(IF(Q233="",-1,Q233)=0)),IF(C233="peso_corporal",IF(ISNUMBER(E233),E233,0)+O233,O233)*(30+P233)*100+O233,0),IF((S233&gt;=3)*(1-(IF(T233="",-1,T233)&gt;=0)*(IF(T233="",-1,T233)&lt;=1))*(1-(IF(T233="",-1,T233)=0)),IF(C233="peso_corporal",IF(ISNUMBER(E233),E233,0)+R233,R233)*(30+S233)*100+R233,0))</f>
        <v>0</v>
      </c>
      <c r="AB233" s="69">
        <f>IF(AA233=0,0,IF(IF((S233&gt;=3)*(1-(IF(T233="",-1,T233)&gt;=0)*(IF(T233="",-1,T233)&lt;=1))*(1-(IF(T233="",-1,T233)=0)),IF(C233="peso_corporal",IF(ISNUMBER(E233),E233,0)+R233,R233)*(30+S233)*100+R233,0)=AA233,5,IF(IF((P233&gt;=3)*(1-(IF(Q233="",-1,Q233)&gt;=0)*(IF(Q233="",-1,Q233)&lt;=1))*(1-(IF(Q233="",-1,Q233)=0)),IF(C233="peso_corporal",IF(ISNUMBER(E233),E233,0)+O233,O233)*(30+P233)*100+O233,0)=AA233,4,IF(IF((M233&gt;=3)*(1-(IF(N233="",-1,N233)&gt;=0)*(IF(N233="",-1,N233)&lt;=1))*(1-(IF(N233="",-1,N233)=0)),IF(C233="peso_corporal",IF(ISNUMBER(E233),E233,0)+L233,L233)*(30+M233)*100+L233,0)=AA233,3,IF(IF((J233&gt;=3)*(1-(IF(K233="",-1,K233)&gt;=0)*(IF(K233="",-1,K233)&lt;=1))*(1-(IF(K233="",-1,K233)=0)),IF(C233="peso_corporal",IF(ISNUMBER(E233),E233,0)+I233,I233)*(30+J233)*100+I233,0)=AA233,2,IF(IF((G233&gt;=3)*(1-(IF(H233="",-1,H233)&gt;=0)*(IF(H233="",-1,H233)&lt;=1))*(1-(IF(H233="",-1,H233)=0)),IF(C233="peso_corporal",IF(ISNUMBER(E233),E233,0)+F233,F233)*(30+G233)*100+F233,0)=AA233,1,0))))))</f>
        <v>0</v>
      </c>
      <c r="AC233" s="69" t="str">
        <f>IF(X233&gt;0,"A"&amp;X233,IF(Z233&gt;0,"B"&amp;Z233,IF(AB233&gt;0,"C"&amp;AB233,"")))</f>
        <v/>
      </c>
    </row>
    <row r="234" spans="1:29" ht="11.1" customHeight="1">
      <c r="A234" s="84" t="s">
        <v>32</v>
      </c>
      <c r="B234" s="73"/>
      <c r="C234" s="73"/>
      <c r="D234" s="73"/>
      <c r="E234" s="73"/>
      <c r="F234" s="73"/>
      <c r="G234" s="73"/>
      <c r="H234" s="73"/>
      <c r="I234" s="73"/>
      <c r="J234" s="73"/>
      <c r="K234" s="73"/>
      <c r="L234" s="73"/>
      <c r="M234" s="73"/>
      <c r="N234" s="73"/>
      <c r="O234" s="73"/>
      <c r="P234" s="73"/>
      <c r="Q234" s="73"/>
      <c r="R234" s="73"/>
      <c r="S234" s="73"/>
      <c r="T234" s="73"/>
      <c r="U234" s="73"/>
      <c r="V234" s="73"/>
      <c r="W234" s="69"/>
      <c r="X234" s="69"/>
      <c r="Y234" s="69"/>
      <c r="Z234" s="69"/>
      <c r="AA234" s="69"/>
      <c r="AB234" s="69"/>
      <c r="AC234" s="69"/>
    </row>
    <row r="235" spans="1:29" ht="20.100000000000001" customHeight="1">
      <c r="A235" s="14" t="s">
        <v>61</v>
      </c>
      <c r="B235" s="15" t="s">
        <v>31</v>
      </c>
      <c r="C235" s="16" t="str">
        <f>IFERROR(INDEX(EJERCICIOS!$D$3:$D$75,MATCH(A235&amp;"|"&amp;B235,EJERCICIOS!$G$3:$G$75,0)),"--")</f>
        <v>mancuerna</v>
      </c>
      <c r="D235" s="17">
        <v>3</v>
      </c>
      <c r="E235" s="18">
        <f>IFERROR(LOOKUP(2,1/(MEDIDAS_Y_PESO!$B$3:$B$13&lt;&gt;""),MEDIDAS_Y_PESO!$B$3:$B$13),"--")</f>
        <v>80</v>
      </c>
      <c r="F235" s="19"/>
      <c r="G235" s="20"/>
      <c r="H235" s="21"/>
      <c r="I235" s="19"/>
      <c r="J235" s="20"/>
      <c r="K235" s="21"/>
      <c r="L235" s="19"/>
      <c r="M235" s="20"/>
      <c r="N235" s="21"/>
      <c r="O235" s="19"/>
      <c r="P235" s="20"/>
      <c r="Q235" s="21"/>
      <c r="R235" s="19"/>
      <c r="S235" s="20"/>
      <c r="T235" s="21"/>
      <c r="U235" s="22" t="str">
        <f>IFERROR(IF(IF(X235&gt;0,X235,IF(Z235&gt;0,Z235,IF(AB235&gt;0,AB235,0)))=0,"--",ROUND(CHOOSE(IF(X235&gt;0,X235,IF(Z235&gt;0,Z235,IF(AB235&gt;0,AB235,0))),IF(C235="peso_corporal",IF(ISNUMBER(E235),E235,0)+F235,F235)*(1+G235/30),IF(C235="peso_corporal",IF(ISNUMBER(E235),E235,0)+I235,I235)*(1+J235/30),IF(C235="peso_corporal",IF(ISNUMBER(E235),E235,0)+L235,L235)*(1+M235/30),IF(C235="peso_corporal",IF(ISNUMBER(E235),E235,0)+O235,O235)*(1+P235/30),IF(C235="peso_corporal",IF(ISNUMBER(E235),E235,0)+R235,R235)*(1+S235/30)),1)),"--")</f>
        <v>--</v>
      </c>
      <c r="V235" s="23" t="str">
        <f>IF(SUGERENCIAS!N635="SIN","Sin datos anteriores",IF(SUGERENCIAS!N635="SUBIR_F","^ SUBIR FUERTE | Kg:"&amp;ROUND(SUGERENCIAS!K635,1)&amp;" R:"&amp;ROUND(SUGERENCIAS!L635,0)&amp;" RIR:"&amp;ROUND(SUGERENCIAS!M635,0),IF(SUGERENCIAS!N635="SUBIR_E","^ SUBIR (Est.) | Kg:"&amp;ROUND(SUGERENCIAS!K635,1)&amp;" R:"&amp;ROUND(SUGERENCIAS!L635,0)&amp;" RIR:"&amp;ROUND(SUGERENCIAS!M635,0),IF(SUGERENCIAS!N635="SUBIR","^ SUBIR | Kg:"&amp;ROUND(SUGERENCIAS!K635,1)&amp;" R:"&amp;ROUND(SUGERENCIAS!L635,0)&amp;" RIR:"&amp;ROUND(SUGERENCIAS!M635,0),IF(SUGERENCIAS!N635="BAJAR","v BAJAR | Kg:"&amp;ROUND(SUGERENCIAS!K635,1)&amp;" R:"&amp;ROUND(SUGERENCIAS!L635,0)&amp;" RIR:"&amp;ROUND(SUGERENCIAS!M635,0),"= MANT | Kg:"&amp;ROUND(SUGERENCIAS!K635,1)&amp;" R:"&amp;ROUND(SUGERENCIAS!L635,0)&amp;" RIR:"&amp;ROUND(SUGERENCIAS!M635,0))))))</f>
        <v>Sin datos anteriores</v>
      </c>
      <c r="W235" s="69">
        <f>MAX(IF((G235&gt;0)*(IF(H235="",-1,H235)&gt;=0)*(IF(H235="",-1,H235)&lt;=1),IF(C235="peso_corporal",IF(ISNUMBER(E235),E235,0)+F235,F235)*G235*1000+F235,0),IF((J235&gt;0)*(IF(K235="",-1,K235)&gt;=0)*(IF(K235="",-1,K235)&lt;=1),IF(C235="peso_corporal",IF(ISNUMBER(E235),E235,0)+I235,I235)*J235*1000+I235,0),IF((M235&gt;0)*(IF(N235="",-1,N235)&gt;=0)*(IF(N235="",-1,N235)&lt;=1),IF(C235="peso_corporal",IF(ISNUMBER(E235),E235,0)+L235,L235)*M235*1000+L235,0),IF((P235&gt;0)*(IF(Q235="",-1,Q235)&gt;=0)*(IF(Q235="",-1,Q235)&lt;=1),IF(C235="peso_corporal",IF(ISNUMBER(E235),E235,0)+O235,O235)*P235*1000+O235,0),IF((S235&gt;0)*(IF(T235="",-1,T235)&gt;=0)*(IF(T235="",-1,T235)&lt;=1),IF(C235="peso_corporal",IF(ISNUMBER(E235),E235,0)+R235,R235)*S235*1000+R235,0))</f>
        <v>0</v>
      </c>
      <c r="X235" s="69">
        <f>IF(W235=0,0,IF(IF((S235&gt;0)*(IF(T235="",-1,T235)&gt;=0)*(IF(T235="",-1,T235)&lt;=1),IF(C235="peso_corporal",IF(ISNUMBER(E235),E235,0)+R235,R235)*S235*1000+R235,0)=W235,5,IF(IF((P235&gt;0)*(IF(Q235="",-1,Q235)&gt;=0)*(IF(Q235="",-1,Q235)&lt;=1),IF(C235="peso_corporal",IF(ISNUMBER(E235),E235,0)+O235,O235)*P235*1000+O235,0)=W235,4,IF(IF((M235&gt;0)*(IF(N235="",-1,N235)&gt;=0)*(IF(N235="",-1,N235)&lt;=1),IF(C235="peso_corporal",IF(ISNUMBER(E235),E235,0)+L235,L235)*M235*1000+L235,0)=W235,3,IF(IF((J235&gt;0)*(IF(K235="",-1,K235)&gt;=0)*(IF(K235="",-1,K235)&lt;=1),IF(C235="peso_corporal",IF(ISNUMBER(E235),E235,0)+I235,I235)*J235*1000+I235,0)=W235,2,IF(IF((G235&gt;0)*(IF(H235="",-1,H235)&gt;=0)*(IF(H235="",-1,H235)&lt;=1),IF(C235="peso_corporal",IF(ISNUMBER(E235),E235,0)+F235,F235)*G235*1000+F235,0)=W235,1,0))))))</f>
        <v>0</v>
      </c>
      <c r="Y235" s="69">
        <f>MAX(IF((G235&gt;0)*(IF(H235="",-1,H235)=0)*(1-(IF(H235="",-1,H235)&gt;=0)*(IF(H235="",-1,H235)&lt;=1)),IF(C235="peso_corporal",IF(ISNUMBER(E235),E235,0)+F235,F235)*G235*1000+F235,0),IF((J235&gt;0)*(IF(K235="",-1,K235)=0)*(1-(IF(K235="",-1,K235)&gt;=0)*(IF(K235="",-1,K235)&lt;=1)),IF(C235="peso_corporal",IF(ISNUMBER(E235),E235,0)+I235,I235)*J235*1000+I235,0),IF((M235&gt;0)*(IF(N235="",-1,N235)=0)*(1-(IF(N235="",-1,N235)&gt;=0)*(IF(N235="",-1,N235)&lt;=1)),IF(C235="peso_corporal",IF(ISNUMBER(E235),E235,0)+L235,L235)*M235*1000+L235,0),IF((P235&gt;0)*(IF(Q235="",-1,Q235)=0)*(1-(IF(Q235="",-1,Q235)&gt;=0)*(IF(Q235="",-1,Q235)&lt;=1)),IF(C235="peso_corporal",IF(ISNUMBER(E235),E235,0)+O235,O235)*P235*1000+O235,0),IF((S235&gt;0)*(IF(T235="",-1,T235)=0)*(1-(IF(T235="",-1,T235)&gt;=0)*(IF(T235="",-1,T235)&lt;=1)),IF(C235="peso_corporal",IF(ISNUMBER(E235),E235,0)+R235,R235)*S235*1000+R235,0))</f>
        <v>0</v>
      </c>
      <c r="Z235" s="69">
        <f>IF(Y235=0,0,IF(IF((S235&gt;0)*(IF(T235="",-1,T235)=0)*(1-(IF(T235="",-1,T235)&gt;=0)*(IF(T235="",-1,T235)&lt;=1)),IF(C235="peso_corporal",IF(ISNUMBER(E235),E235,0)+R235,R235)*S235*1000+R235,0)=Y235,5,IF(IF((P235&gt;0)*(IF(Q235="",-1,Q235)=0)*(1-(IF(Q235="",-1,Q235)&gt;=0)*(IF(Q235="",-1,Q235)&lt;=1)),IF(C235="peso_corporal",IF(ISNUMBER(E235),E235,0)+O235,O235)*P235*1000+O235,0)=Y235,4,IF(IF((M235&gt;0)*(IF(N235="",-1,N235)=0)*(1-(IF(N235="",-1,N235)&gt;=0)*(IF(N235="",-1,N235)&lt;=1)),IF(C235="peso_corporal",IF(ISNUMBER(E235),E235,0)+L235,L235)*M235*1000+L235,0)=Y235,3,IF(IF((J235&gt;0)*(IF(K235="",-1,K235)=0)*(1-(IF(K235="",-1,K235)&gt;=0)*(IF(K235="",-1,K235)&lt;=1)),IF(C235="peso_corporal",IF(ISNUMBER(E235),E235,0)+I235,I235)*J235*1000+I235,0)=Y235,2,IF(IF((G235&gt;0)*(IF(H235="",-1,H235)=0)*(1-(IF(H235="",-1,H235)&gt;=0)*(IF(H235="",-1,H235)&lt;=1)),IF(C235="peso_corporal",IF(ISNUMBER(E235),E235,0)+F235,F235)*G235*1000+F235,0)=Y235,1,0))))))</f>
        <v>0</v>
      </c>
      <c r="AA235" s="69">
        <f>MAX(IF((G235&gt;=3)*(1-(IF(H235="",-1,H235)&gt;=0)*(IF(H235="",-1,H235)&lt;=1))*(1-(IF(H235="",-1,H235)=0)),IF(C235="peso_corporal",IF(ISNUMBER(E235),E235,0)+F235,F235)*(30+G235)*100+F235,0),IF((J235&gt;=3)*(1-(IF(K235="",-1,K235)&gt;=0)*(IF(K235="",-1,K235)&lt;=1))*(1-(IF(K235="",-1,K235)=0)),IF(C235="peso_corporal",IF(ISNUMBER(E235),E235,0)+I235,I235)*(30+J235)*100+I235,0),IF((M235&gt;=3)*(1-(IF(N235="",-1,N235)&gt;=0)*(IF(N235="",-1,N235)&lt;=1))*(1-(IF(N235="",-1,N235)=0)),IF(C235="peso_corporal",IF(ISNUMBER(E235),E235,0)+L235,L235)*(30+M235)*100+L235,0),IF((P235&gt;=3)*(1-(IF(Q235="",-1,Q235)&gt;=0)*(IF(Q235="",-1,Q235)&lt;=1))*(1-(IF(Q235="",-1,Q235)=0)),IF(C235="peso_corporal",IF(ISNUMBER(E235),E235,0)+O235,O235)*(30+P235)*100+O235,0),IF((S235&gt;=3)*(1-(IF(T235="",-1,T235)&gt;=0)*(IF(T235="",-1,T235)&lt;=1))*(1-(IF(T235="",-1,T235)=0)),IF(C235="peso_corporal",IF(ISNUMBER(E235),E235,0)+R235,R235)*(30+S235)*100+R235,0))</f>
        <v>0</v>
      </c>
      <c r="AB235" s="69">
        <f>IF(AA235=0,0,IF(IF((S235&gt;=3)*(1-(IF(T235="",-1,T235)&gt;=0)*(IF(T235="",-1,T235)&lt;=1))*(1-(IF(T235="",-1,T235)=0)),IF(C235="peso_corporal",IF(ISNUMBER(E235),E235,0)+R235,R235)*(30+S235)*100+R235,0)=AA235,5,IF(IF((P235&gt;=3)*(1-(IF(Q235="",-1,Q235)&gt;=0)*(IF(Q235="",-1,Q235)&lt;=1))*(1-(IF(Q235="",-1,Q235)=0)),IF(C235="peso_corporal",IF(ISNUMBER(E235),E235,0)+O235,O235)*(30+P235)*100+O235,0)=AA235,4,IF(IF((M235&gt;=3)*(1-(IF(N235="",-1,N235)&gt;=0)*(IF(N235="",-1,N235)&lt;=1))*(1-(IF(N235="",-1,N235)=0)),IF(C235="peso_corporal",IF(ISNUMBER(E235),E235,0)+L235,L235)*(30+M235)*100+L235,0)=AA235,3,IF(IF((J235&gt;=3)*(1-(IF(K235="",-1,K235)&gt;=0)*(IF(K235="",-1,K235)&lt;=1))*(1-(IF(K235="",-1,K235)=0)),IF(C235="peso_corporal",IF(ISNUMBER(E235),E235,0)+I235,I235)*(30+J235)*100+I235,0)=AA235,2,IF(IF((G235&gt;=3)*(1-(IF(H235="",-1,H235)&gt;=0)*(IF(H235="",-1,H235)&lt;=1))*(1-(IF(H235="",-1,H235)=0)),IF(C235="peso_corporal",IF(ISNUMBER(E235),E235,0)+F235,F235)*(30+G235)*100+F235,0)=AA235,1,0))))))</f>
        <v>0</v>
      </c>
      <c r="AC235" s="69" t="str">
        <f>IF(X235&gt;0,"A"&amp;X235,IF(Z235&gt;0,"B"&amp;Z235,IF(AB235&gt;0,"C"&amp;AB235,"")))</f>
        <v/>
      </c>
    </row>
    <row r="236" spans="1:29" ht="11.1" customHeight="1">
      <c r="A236" s="87" t="s">
        <v>35</v>
      </c>
      <c r="B236" s="73"/>
      <c r="C236" s="73"/>
      <c r="D236" s="73"/>
      <c r="E236" s="73"/>
      <c r="F236" s="73"/>
      <c r="G236" s="73"/>
      <c r="H236" s="73"/>
      <c r="I236" s="73"/>
      <c r="J236" s="73"/>
      <c r="K236" s="73"/>
      <c r="L236" s="73"/>
      <c r="M236" s="73"/>
      <c r="N236" s="73"/>
      <c r="O236" s="73"/>
      <c r="P236" s="73"/>
      <c r="Q236" s="73"/>
      <c r="R236" s="73"/>
      <c r="S236" s="73"/>
      <c r="T236" s="73"/>
      <c r="U236" s="73"/>
      <c r="V236" s="73"/>
      <c r="W236" s="69"/>
      <c r="X236" s="69"/>
      <c r="Y236" s="69"/>
      <c r="Z236" s="69"/>
      <c r="AA236" s="69"/>
      <c r="AB236" s="69"/>
      <c r="AC236" s="69"/>
    </row>
    <row r="237" spans="1:29" ht="20.100000000000001" customHeight="1">
      <c r="A237" s="14" t="s">
        <v>36</v>
      </c>
      <c r="B237" s="15" t="s">
        <v>37</v>
      </c>
      <c r="C237" s="16" t="str">
        <f>IFERROR(INDEX(EJERCICIOS!$D$3:$D$75,MATCH(A237&amp;"|"&amp;B237,EJERCICIOS!$G$3:$G$75,0)),"--")</f>
        <v>peso_corporal</v>
      </c>
      <c r="D237" s="17">
        <v>3</v>
      </c>
      <c r="E237" s="18">
        <f>IFERROR(LOOKUP(2,1/(MEDIDAS_Y_PESO!$B$3:$B$13&lt;&gt;""),MEDIDAS_Y_PESO!$B$3:$B$13),"--")</f>
        <v>80</v>
      </c>
      <c r="F237" s="19"/>
      <c r="G237" s="20"/>
      <c r="H237" s="21"/>
      <c r="I237" s="19"/>
      <c r="J237" s="20"/>
      <c r="K237" s="21"/>
      <c r="L237" s="19"/>
      <c r="M237" s="20"/>
      <c r="N237" s="21"/>
      <c r="O237" s="19"/>
      <c r="P237" s="20"/>
      <c r="Q237" s="21"/>
      <c r="R237" s="19"/>
      <c r="S237" s="20"/>
      <c r="T237" s="21"/>
      <c r="U237" s="22" t="str">
        <f>IFERROR(IF(IF(X237&gt;0,X237,IF(Z237&gt;0,Z237,IF(AB237&gt;0,AB237,0)))=0,"--",ROUND(CHOOSE(IF(X237&gt;0,X237,IF(Z237&gt;0,Z237,IF(AB237&gt;0,AB237,0))),IF(C237="peso_corporal",IF(ISNUMBER(E237),E237,0)+F237,F237)*(1+G237/30),IF(C237="peso_corporal",IF(ISNUMBER(E237),E237,0)+I237,I237)*(1+J237/30),IF(C237="peso_corporal",IF(ISNUMBER(E237),E237,0)+L237,L237)*(1+M237/30),IF(C237="peso_corporal",IF(ISNUMBER(E237),E237,0)+O237,O237)*(1+P237/30),IF(C237="peso_corporal",IF(ISNUMBER(E237),E237,0)+R237,R237)*(1+S237/30)),1)),"--")</f>
        <v>--</v>
      </c>
      <c r="V237" s="23" t="str">
        <f>IF(SUGERENCIAS!N636="SIN","Sin datos anteriores",IF(SUGERENCIAS!N636="SUBIR_F","^ SUBIR FUERTE | Kg:"&amp;ROUND(SUGERENCIAS!K636,1)&amp;" R:"&amp;ROUND(SUGERENCIAS!L636,0)&amp;" RIR:"&amp;ROUND(SUGERENCIAS!M636,0),IF(SUGERENCIAS!N636="SUBIR_E","^ SUBIR (Est.) | Kg:"&amp;ROUND(SUGERENCIAS!K636,1)&amp;" R:"&amp;ROUND(SUGERENCIAS!L636,0)&amp;" RIR:"&amp;ROUND(SUGERENCIAS!M636,0),IF(SUGERENCIAS!N636="SUBIR","^ SUBIR | Kg:"&amp;ROUND(SUGERENCIAS!K636,1)&amp;" R:"&amp;ROUND(SUGERENCIAS!L636,0)&amp;" RIR:"&amp;ROUND(SUGERENCIAS!M636,0),IF(SUGERENCIAS!N636="BAJAR","v BAJAR | Kg:"&amp;ROUND(SUGERENCIAS!K636,1)&amp;" R:"&amp;ROUND(SUGERENCIAS!L636,0)&amp;" RIR:"&amp;ROUND(SUGERENCIAS!M636,0),"= MANT | Kg:"&amp;ROUND(SUGERENCIAS!K636,1)&amp;" R:"&amp;ROUND(SUGERENCIAS!L636,0)&amp;" RIR:"&amp;ROUND(SUGERENCIAS!M636,0))))))</f>
        <v>^ SUBIR FUERTE | Kg:5 R:6 RIR:2</v>
      </c>
      <c r="W237" s="69">
        <f>MAX(IF((G237&gt;0)*(IF(H237="",-1,H237)&gt;=0)*(IF(H237="",-1,H237)&lt;=1),IF(C237="peso_corporal",IF(ISNUMBER(E237),E237,0)+F237,F237)*G237*1000+F237,0),IF((J237&gt;0)*(IF(K237="",-1,K237)&gt;=0)*(IF(K237="",-1,K237)&lt;=1),IF(C237="peso_corporal",IF(ISNUMBER(E237),E237,0)+I237,I237)*J237*1000+I237,0),IF((M237&gt;0)*(IF(N237="",-1,N237)&gt;=0)*(IF(N237="",-1,N237)&lt;=1),IF(C237="peso_corporal",IF(ISNUMBER(E237),E237,0)+L237,L237)*M237*1000+L237,0),IF((P237&gt;0)*(IF(Q237="",-1,Q237)&gt;=0)*(IF(Q237="",-1,Q237)&lt;=1),IF(C237="peso_corporal",IF(ISNUMBER(E237),E237,0)+O237,O237)*P237*1000+O237,0),IF((S237&gt;0)*(IF(T237="",-1,T237)&gt;=0)*(IF(T237="",-1,T237)&lt;=1),IF(C237="peso_corporal",IF(ISNUMBER(E237),E237,0)+R237,R237)*S237*1000+R237,0))</f>
        <v>0</v>
      </c>
      <c r="X237" s="69">
        <f>IF(W237=0,0,IF(IF((S237&gt;0)*(IF(T237="",-1,T237)&gt;=0)*(IF(T237="",-1,T237)&lt;=1),IF(C237="peso_corporal",IF(ISNUMBER(E237),E237,0)+R237,R237)*S237*1000+R237,0)=W237,5,IF(IF((P237&gt;0)*(IF(Q237="",-1,Q237)&gt;=0)*(IF(Q237="",-1,Q237)&lt;=1),IF(C237="peso_corporal",IF(ISNUMBER(E237),E237,0)+O237,O237)*P237*1000+O237,0)=W237,4,IF(IF((M237&gt;0)*(IF(N237="",-1,N237)&gt;=0)*(IF(N237="",-1,N237)&lt;=1),IF(C237="peso_corporal",IF(ISNUMBER(E237),E237,0)+L237,L237)*M237*1000+L237,0)=W237,3,IF(IF((J237&gt;0)*(IF(K237="",-1,K237)&gt;=0)*(IF(K237="",-1,K237)&lt;=1),IF(C237="peso_corporal",IF(ISNUMBER(E237),E237,0)+I237,I237)*J237*1000+I237,0)=W237,2,IF(IF((G237&gt;0)*(IF(H237="",-1,H237)&gt;=0)*(IF(H237="",-1,H237)&lt;=1),IF(C237="peso_corporal",IF(ISNUMBER(E237),E237,0)+F237,F237)*G237*1000+F237,0)=W237,1,0))))))</f>
        <v>0</v>
      </c>
      <c r="Y237" s="69">
        <f>MAX(IF((G237&gt;0)*(IF(H237="",-1,H237)=0)*(1-(IF(H237="",-1,H237)&gt;=0)*(IF(H237="",-1,H237)&lt;=1)),IF(C237="peso_corporal",IF(ISNUMBER(E237),E237,0)+F237,F237)*G237*1000+F237,0),IF((J237&gt;0)*(IF(K237="",-1,K237)=0)*(1-(IF(K237="",-1,K237)&gt;=0)*(IF(K237="",-1,K237)&lt;=1)),IF(C237="peso_corporal",IF(ISNUMBER(E237),E237,0)+I237,I237)*J237*1000+I237,0),IF((M237&gt;0)*(IF(N237="",-1,N237)=0)*(1-(IF(N237="",-1,N237)&gt;=0)*(IF(N237="",-1,N237)&lt;=1)),IF(C237="peso_corporal",IF(ISNUMBER(E237),E237,0)+L237,L237)*M237*1000+L237,0),IF((P237&gt;0)*(IF(Q237="",-1,Q237)=0)*(1-(IF(Q237="",-1,Q237)&gt;=0)*(IF(Q237="",-1,Q237)&lt;=1)),IF(C237="peso_corporal",IF(ISNUMBER(E237),E237,0)+O237,O237)*P237*1000+O237,0),IF((S237&gt;0)*(IF(T237="",-1,T237)=0)*(1-(IF(T237="",-1,T237)&gt;=0)*(IF(T237="",-1,T237)&lt;=1)),IF(C237="peso_corporal",IF(ISNUMBER(E237),E237,0)+R237,R237)*S237*1000+R237,0))</f>
        <v>0</v>
      </c>
      <c r="Z237" s="69">
        <f>IF(Y237=0,0,IF(IF((S237&gt;0)*(IF(T237="",-1,T237)=0)*(1-(IF(T237="",-1,T237)&gt;=0)*(IF(T237="",-1,T237)&lt;=1)),IF(C237="peso_corporal",IF(ISNUMBER(E237),E237,0)+R237,R237)*S237*1000+R237,0)=Y237,5,IF(IF((P237&gt;0)*(IF(Q237="",-1,Q237)=0)*(1-(IF(Q237="",-1,Q237)&gt;=0)*(IF(Q237="",-1,Q237)&lt;=1)),IF(C237="peso_corporal",IF(ISNUMBER(E237),E237,0)+O237,O237)*P237*1000+O237,0)=Y237,4,IF(IF((M237&gt;0)*(IF(N237="",-1,N237)=0)*(1-(IF(N237="",-1,N237)&gt;=0)*(IF(N237="",-1,N237)&lt;=1)),IF(C237="peso_corporal",IF(ISNUMBER(E237),E237,0)+L237,L237)*M237*1000+L237,0)=Y237,3,IF(IF((J237&gt;0)*(IF(K237="",-1,K237)=0)*(1-(IF(K237="",-1,K237)&gt;=0)*(IF(K237="",-1,K237)&lt;=1)),IF(C237="peso_corporal",IF(ISNUMBER(E237),E237,0)+I237,I237)*J237*1000+I237,0)=Y237,2,IF(IF((G237&gt;0)*(IF(H237="",-1,H237)=0)*(1-(IF(H237="",-1,H237)&gt;=0)*(IF(H237="",-1,H237)&lt;=1)),IF(C237="peso_corporal",IF(ISNUMBER(E237),E237,0)+F237,F237)*G237*1000+F237,0)=Y237,1,0))))))</f>
        <v>0</v>
      </c>
      <c r="AA237" s="69">
        <f>MAX(IF((G237&gt;=3)*(1-(IF(H237="",-1,H237)&gt;=0)*(IF(H237="",-1,H237)&lt;=1))*(1-(IF(H237="",-1,H237)=0)),IF(C237="peso_corporal",IF(ISNUMBER(E237),E237,0)+F237,F237)*(30+G237)*100+F237,0),IF((J237&gt;=3)*(1-(IF(K237="",-1,K237)&gt;=0)*(IF(K237="",-1,K237)&lt;=1))*(1-(IF(K237="",-1,K237)=0)),IF(C237="peso_corporal",IF(ISNUMBER(E237),E237,0)+I237,I237)*(30+J237)*100+I237,0),IF((M237&gt;=3)*(1-(IF(N237="",-1,N237)&gt;=0)*(IF(N237="",-1,N237)&lt;=1))*(1-(IF(N237="",-1,N237)=0)),IF(C237="peso_corporal",IF(ISNUMBER(E237),E237,0)+L237,L237)*(30+M237)*100+L237,0),IF((P237&gt;=3)*(1-(IF(Q237="",-1,Q237)&gt;=0)*(IF(Q237="",-1,Q237)&lt;=1))*(1-(IF(Q237="",-1,Q237)=0)),IF(C237="peso_corporal",IF(ISNUMBER(E237),E237,0)+O237,O237)*(30+P237)*100+O237,0),IF((S237&gt;=3)*(1-(IF(T237="",-1,T237)&gt;=0)*(IF(T237="",-1,T237)&lt;=1))*(1-(IF(T237="",-1,T237)=0)),IF(C237="peso_corporal",IF(ISNUMBER(E237),E237,0)+R237,R237)*(30+S237)*100+R237,0))</f>
        <v>0</v>
      </c>
      <c r="AB237" s="69">
        <f>IF(AA237=0,0,IF(IF((S237&gt;=3)*(1-(IF(T237="",-1,T237)&gt;=0)*(IF(T237="",-1,T237)&lt;=1))*(1-(IF(T237="",-1,T237)=0)),IF(C237="peso_corporal",IF(ISNUMBER(E237),E237,0)+R237,R237)*(30+S237)*100+R237,0)=AA237,5,IF(IF((P237&gt;=3)*(1-(IF(Q237="",-1,Q237)&gt;=0)*(IF(Q237="",-1,Q237)&lt;=1))*(1-(IF(Q237="",-1,Q237)=0)),IF(C237="peso_corporal",IF(ISNUMBER(E237),E237,0)+O237,O237)*(30+P237)*100+O237,0)=AA237,4,IF(IF((M237&gt;=3)*(1-(IF(N237="",-1,N237)&gt;=0)*(IF(N237="",-1,N237)&lt;=1))*(1-(IF(N237="",-1,N237)=0)),IF(C237="peso_corporal",IF(ISNUMBER(E237),E237,0)+L237,L237)*(30+M237)*100+L237,0)=AA237,3,IF(IF((J237&gt;=3)*(1-(IF(K237="",-1,K237)&gt;=0)*(IF(K237="",-1,K237)&lt;=1))*(1-(IF(K237="",-1,K237)=0)),IF(C237="peso_corporal",IF(ISNUMBER(E237),E237,0)+I237,I237)*(30+J237)*100+I237,0)=AA237,2,IF(IF((G237&gt;=3)*(1-(IF(H237="",-1,H237)&gt;=0)*(IF(H237="",-1,H237)&lt;=1))*(1-(IF(H237="",-1,H237)=0)),IF(C237="peso_corporal",IF(ISNUMBER(E237),E237,0)+F237,F237)*(30+G237)*100+F237,0)=AA237,1,0))))))</f>
        <v>0</v>
      </c>
      <c r="AC237" s="69" t="str">
        <f>IF(X237&gt;0,"A"&amp;X237,IF(Z237&gt;0,"B"&amp;Z237,IF(AB237&gt;0,"C"&amp;AB237,"")))</f>
        <v/>
      </c>
    </row>
    <row r="238" spans="1:29" ht="20.100000000000001" customHeight="1">
      <c r="A238" s="14" t="s">
        <v>62</v>
      </c>
      <c r="B238" s="15" t="s">
        <v>39</v>
      </c>
      <c r="C238" s="16" t="str">
        <f>IFERROR(INDEX(EJERCICIOS!$D$3:$D$75,MATCH(A238&amp;"|"&amp;B238,EJERCICIOS!$G$3:$G$75,0)),"--")</f>
        <v>--</v>
      </c>
      <c r="D238" s="17">
        <v>3</v>
      </c>
      <c r="E238" s="18">
        <f>IFERROR(LOOKUP(2,1/(MEDIDAS_Y_PESO!$B$3:$B$13&lt;&gt;""),MEDIDAS_Y_PESO!$B$3:$B$13),"--")</f>
        <v>80</v>
      </c>
      <c r="F238" s="19"/>
      <c r="G238" s="20"/>
      <c r="H238" s="21"/>
      <c r="I238" s="19"/>
      <c r="J238" s="20"/>
      <c r="K238" s="21"/>
      <c r="L238" s="19"/>
      <c r="M238" s="20"/>
      <c r="N238" s="21"/>
      <c r="O238" s="19"/>
      <c r="P238" s="20"/>
      <c r="Q238" s="21"/>
      <c r="R238" s="19"/>
      <c r="S238" s="20"/>
      <c r="T238" s="21"/>
      <c r="U238" s="22" t="str">
        <f>IFERROR(IF(IF(X238&gt;0,X238,IF(Z238&gt;0,Z238,IF(AB238&gt;0,AB238,0)))=0,"--",ROUND(CHOOSE(IF(X238&gt;0,X238,IF(Z238&gt;0,Z238,IF(AB238&gt;0,AB238,0))),IF(C238="peso_corporal",IF(ISNUMBER(E238),E238,0)+F238,F238)*(1+G238/30),IF(C238="peso_corporal",IF(ISNUMBER(E238),E238,0)+I238,I238)*(1+J238/30),IF(C238="peso_corporal",IF(ISNUMBER(E238),E238,0)+L238,L238)*(1+M238/30),IF(C238="peso_corporal",IF(ISNUMBER(E238),E238,0)+O238,O238)*(1+P238/30),IF(C238="peso_corporal",IF(ISNUMBER(E238),E238,0)+R238,R238)*(1+S238/30)),1)),"--")</f>
        <v>--</v>
      </c>
      <c r="V238" s="23" t="str">
        <f>IF(SUGERENCIAS!N637="SIN","Sin datos anteriores",IF(SUGERENCIAS!N637="SUBIR_F","^ SUBIR FUERTE | Kg:"&amp;ROUND(SUGERENCIAS!K637,1)&amp;" R:"&amp;ROUND(SUGERENCIAS!L637,0)&amp;" RIR:"&amp;ROUND(SUGERENCIAS!M637,0),IF(SUGERENCIAS!N637="SUBIR_E","^ SUBIR (Est.) | Kg:"&amp;ROUND(SUGERENCIAS!K637,1)&amp;" R:"&amp;ROUND(SUGERENCIAS!L637,0)&amp;" RIR:"&amp;ROUND(SUGERENCIAS!M637,0),IF(SUGERENCIAS!N637="SUBIR","^ SUBIR | Kg:"&amp;ROUND(SUGERENCIAS!K637,1)&amp;" R:"&amp;ROUND(SUGERENCIAS!L637,0)&amp;" RIR:"&amp;ROUND(SUGERENCIAS!M637,0),IF(SUGERENCIAS!N637="BAJAR","v BAJAR | Kg:"&amp;ROUND(SUGERENCIAS!K637,1)&amp;" R:"&amp;ROUND(SUGERENCIAS!L637,0)&amp;" RIR:"&amp;ROUND(SUGERENCIAS!M637,0),"= MANT | Kg:"&amp;ROUND(SUGERENCIAS!K637,1)&amp;" R:"&amp;ROUND(SUGERENCIAS!L637,0)&amp;" RIR:"&amp;ROUND(SUGERENCIAS!M637,0))))))</f>
        <v>Sin datos anteriores</v>
      </c>
      <c r="W238" s="69">
        <f>MAX(IF((G238&gt;0)*(IF(H238="",-1,H238)&gt;=0)*(IF(H238="",-1,H238)&lt;=1),IF(C238="peso_corporal",IF(ISNUMBER(E238),E238,0)+F238,F238)*G238*1000+F238,0),IF((J238&gt;0)*(IF(K238="",-1,K238)&gt;=0)*(IF(K238="",-1,K238)&lt;=1),IF(C238="peso_corporal",IF(ISNUMBER(E238),E238,0)+I238,I238)*J238*1000+I238,0),IF((M238&gt;0)*(IF(N238="",-1,N238)&gt;=0)*(IF(N238="",-1,N238)&lt;=1),IF(C238="peso_corporal",IF(ISNUMBER(E238),E238,0)+L238,L238)*M238*1000+L238,0),IF((P238&gt;0)*(IF(Q238="",-1,Q238)&gt;=0)*(IF(Q238="",-1,Q238)&lt;=1),IF(C238="peso_corporal",IF(ISNUMBER(E238),E238,0)+O238,O238)*P238*1000+O238,0),IF((S238&gt;0)*(IF(T238="",-1,T238)&gt;=0)*(IF(T238="",-1,T238)&lt;=1),IF(C238="peso_corporal",IF(ISNUMBER(E238),E238,0)+R238,R238)*S238*1000+R238,0))</f>
        <v>0</v>
      </c>
      <c r="X238" s="69">
        <f>IF(W238=0,0,IF(IF((S238&gt;0)*(IF(T238="",-1,T238)&gt;=0)*(IF(T238="",-1,T238)&lt;=1),IF(C238="peso_corporal",IF(ISNUMBER(E238),E238,0)+R238,R238)*S238*1000+R238,0)=W238,5,IF(IF((P238&gt;0)*(IF(Q238="",-1,Q238)&gt;=0)*(IF(Q238="",-1,Q238)&lt;=1),IF(C238="peso_corporal",IF(ISNUMBER(E238),E238,0)+O238,O238)*P238*1000+O238,0)=W238,4,IF(IF((M238&gt;0)*(IF(N238="",-1,N238)&gt;=0)*(IF(N238="",-1,N238)&lt;=1),IF(C238="peso_corporal",IF(ISNUMBER(E238),E238,0)+L238,L238)*M238*1000+L238,0)=W238,3,IF(IF((J238&gt;0)*(IF(K238="",-1,K238)&gt;=0)*(IF(K238="",-1,K238)&lt;=1),IF(C238="peso_corporal",IF(ISNUMBER(E238),E238,0)+I238,I238)*J238*1000+I238,0)=W238,2,IF(IF((G238&gt;0)*(IF(H238="",-1,H238)&gt;=0)*(IF(H238="",-1,H238)&lt;=1),IF(C238="peso_corporal",IF(ISNUMBER(E238),E238,0)+F238,F238)*G238*1000+F238,0)=W238,1,0))))))</f>
        <v>0</v>
      </c>
      <c r="Y238" s="69">
        <f>MAX(IF((G238&gt;0)*(IF(H238="",-1,H238)=0)*(1-(IF(H238="",-1,H238)&gt;=0)*(IF(H238="",-1,H238)&lt;=1)),IF(C238="peso_corporal",IF(ISNUMBER(E238),E238,0)+F238,F238)*G238*1000+F238,0),IF((J238&gt;0)*(IF(K238="",-1,K238)=0)*(1-(IF(K238="",-1,K238)&gt;=0)*(IF(K238="",-1,K238)&lt;=1)),IF(C238="peso_corporal",IF(ISNUMBER(E238),E238,0)+I238,I238)*J238*1000+I238,0),IF((M238&gt;0)*(IF(N238="",-1,N238)=0)*(1-(IF(N238="",-1,N238)&gt;=0)*(IF(N238="",-1,N238)&lt;=1)),IF(C238="peso_corporal",IF(ISNUMBER(E238),E238,0)+L238,L238)*M238*1000+L238,0),IF((P238&gt;0)*(IF(Q238="",-1,Q238)=0)*(1-(IF(Q238="",-1,Q238)&gt;=0)*(IF(Q238="",-1,Q238)&lt;=1)),IF(C238="peso_corporal",IF(ISNUMBER(E238),E238,0)+O238,O238)*P238*1000+O238,0),IF((S238&gt;0)*(IF(T238="",-1,T238)=0)*(1-(IF(T238="",-1,T238)&gt;=0)*(IF(T238="",-1,T238)&lt;=1)),IF(C238="peso_corporal",IF(ISNUMBER(E238),E238,0)+R238,R238)*S238*1000+R238,0))</f>
        <v>0</v>
      </c>
      <c r="Z238" s="69">
        <f>IF(Y238=0,0,IF(IF((S238&gt;0)*(IF(T238="",-1,T238)=0)*(1-(IF(T238="",-1,T238)&gt;=0)*(IF(T238="",-1,T238)&lt;=1)),IF(C238="peso_corporal",IF(ISNUMBER(E238),E238,0)+R238,R238)*S238*1000+R238,0)=Y238,5,IF(IF((P238&gt;0)*(IF(Q238="",-1,Q238)=0)*(1-(IF(Q238="",-1,Q238)&gt;=0)*(IF(Q238="",-1,Q238)&lt;=1)),IF(C238="peso_corporal",IF(ISNUMBER(E238),E238,0)+O238,O238)*P238*1000+O238,0)=Y238,4,IF(IF((M238&gt;0)*(IF(N238="",-1,N238)=0)*(1-(IF(N238="",-1,N238)&gt;=0)*(IF(N238="",-1,N238)&lt;=1)),IF(C238="peso_corporal",IF(ISNUMBER(E238),E238,0)+L238,L238)*M238*1000+L238,0)=Y238,3,IF(IF((J238&gt;0)*(IF(K238="",-1,K238)=0)*(1-(IF(K238="",-1,K238)&gt;=0)*(IF(K238="",-1,K238)&lt;=1)),IF(C238="peso_corporal",IF(ISNUMBER(E238),E238,0)+I238,I238)*J238*1000+I238,0)=Y238,2,IF(IF((G238&gt;0)*(IF(H238="",-1,H238)=0)*(1-(IF(H238="",-1,H238)&gt;=0)*(IF(H238="",-1,H238)&lt;=1)),IF(C238="peso_corporal",IF(ISNUMBER(E238),E238,0)+F238,F238)*G238*1000+F238,0)=Y238,1,0))))))</f>
        <v>0</v>
      </c>
      <c r="AA238" s="69">
        <f>MAX(IF((G238&gt;=3)*(1-(IF(H238="",-1,H238)&gt;=0)*(IF(H238="",-1,H238)&lt;=1))*(1-(IF(H238="",-1,H238)=0)),IF(C238="peso_corporal",IF(ISNUMBER(E238),E238,0)+F238,F238)*(30+G238)*100+F238,0),IF((J238&gt;=3)*(1-(IF(K238="",-1,K238)&gt;=0)*(IF(K238="",-1,K238)&lt;=1))*(1-(IF(K238="",-1,K238)=0)),IF(C238="peso_corporal",IF(ISNUMBER(E238),E238,0)+I238,I238)*(30+J238)*100+I238,0),IF((M238&gt;=3)*(1-(IF(N238="",-1,N238)&gt;=0)*(IF(N238="",-1,N238)&lt;=1))*(1-(IF(N238="",-1,N238)=0)),IF(C238="peso_corporal",IF(ISNUMBER(E238),E238,0)+L238,L238)*(30+M238)*100+L238,0),IF((P238&gt;=3)*(1-(IF(Q238="",-1,Q238)&gt;=0)*(IF(Q238="",-1,Q238)&lt;=1))*(1-(IF(Q238="",-1,Q238)=0)),IF(C238="peso_corporal",IF(ISNUMBER(E238),E238,0)+O238,O238)*(30+P238)*100+O238,0),IF((S238&gt;=3)*(1-(IF(T238="",-1,T238)&gt;=0)*(IF(T238="",-1,T238)&lt;=1))*(1-(IF(T238="",-1,T238)=0)),IF(C238="peso_corporal",IF(ISNUMBER(E238),E238,0)+R238,R238)*(30+S238)*100+R238,0))</f>
        <v>0</v>
      </c>
      <c r="AB238" s="69">
        <f>IF(AA238=0,0,IF(IF((S238&gt;=3)*(1-(IF(T238="",-1,T238)&gt;=0)*(IF(T238="",-1,T238)&lt;=1))*(1-(IF(T238="",-1,T238)=0)),IF(C238="peso_corporal",IF(ISNUMBER(E238),E238,0)+R238,R238)*(30+S238)*100+R238,0)=AA238,5,IF(IF((P238&gt;=3)*(1-(IF(Q238="",-1,Q238)&gt;=0)*(IF(Q238="",-1,Q238)&lt;=1))*(1-(IF(Q238="",-1,Q238)=0)),IF(C238="peso_corporal",IF(ISNUMBER(E238),E238,0)+O238,O238)*(30+P238)*100+O238,0)=AA238,4,IF(IF((M238&gt;=3)*(1-(IF(N238="",-1,N238)&gt;=0)*(IF(N238="",-1,N238)&lt;=1))*(1-(IF(N238="",-1,N238)=0)),IF(C238="peso_corporal",IF(ISNUMBER(E238),E238,0)+L238,L238)*(30+M238)*100+L238,0)=AA238,3,IF(IF((J238&gt;=3)*(1-(IF(K238="",-1,K238)&gt;=0)*(IF(K238="",-1,K238)&lt;=1))*(1-(IF(K238="",-1,K238)=0)),IF(C238="peso_corporal",IF(ISNUMBER(E238),E238,0)+I238,I238)*(30+J238)*100+I238,0)=AA238,2,IF(IF((G238&gt;=3)*(1-(IF(H238="",-1,H238)&gt;=0)*(IF(H238="",-1,H238)&lt;=1))*(1-(IF(H238="",-1,H238)=0)),IF(C238="peso_corporal",IF(ISNUMBER(E238),E238,0)+F238,F238)*(30+G238)*100+F238,0)=AA238,1,0))))))</f>
        <v>0</v>
      </c>
      <c r="AC238" s="69" t="str">
        <f>IF(X238&gt;0,"A"&amp;X238,IF(Z238&gt;0,"B"&amp;Z238,IF(AB238&gt;0,"C"&amp;AB238,"")))</f>
        <v/>
      </c>
    </row>
    <row r="239" spans="1:29" ht="20.100000000000001" customHeight="1">
      <c r="A239" s="14" t="s">
        <v>62</v>
      </c>
      <c r="B239" s="15" t="s">
        <v>63</v>
      </c>
      <c r="C239" s="16" t="str">
        <f>IFERROR(INDEX(EJERCICIOS!$D$3:$D$75,MATCH(A239&amp;"|"&amp;B239,EJERCICIOS!$G$3:$G$75,0)),"--")</f>
        <v>--</v>
      </c>
      <c r="D239" s="17">
        <v>3</v>
      </c>
      <c r="E239" s="18">
        <f>IFERROR(LOOKUP(2,1/(MEDIDAS_Y_PESO!$B$3:$B$13&lt;&gt;""),MEDIDAS_Y_PESO!$B$3:$B$13),"--")</f>
        <v>80</v>
      </c>
      <c r="F239" s="19"/>
      <c r="G239" s="20"/>
      <c r="H239" s="21"/>
      <c r="I239" s="19"/>
      <c r="J239" s="20"/>
      <c r="K239" s="21"/>
      <c r="L239" s="19"/>
      <c r="M239" s="20"/>
      <c r="N239" s="21"/>
      <c r="O239" s="19"/>
      <c r="P239" s="20"/>
      <c r="Q239" s="21"/>
      <c r="R239" s="19"/>
      <c r="S239" s="20"/>
      <c r="T239" s="21"/>
      <c r="U239" s="22" t="str">
        <f>IFERROR(IF(IF(X239&gt;0,X239,IF(Z239&gt;0,Z239,IF(AB239&gt;0,AB239,0)))=0,"--",ROUND(CHOOSE(IF(X239&gt;0,X239,IF(Z239&gt;0,Z239,IF(AB239&gt;0,AB239,0))),IF(C239="peso_corporal",IF(ISNUMBER(E239),E239,0)+F239,F239)*(1+G239/30),IF(C239="peso_corporal",IF(ISNUMBER(E239),E239,0)+I239,I239)*(1+J239/30),IF(C239="peso_corporal",IF(ISNUMBER(E239),E239,0)+L239,L239)*(1+M239/30),IF(C239="peso_corporal",IF(ISNUMBER(E239),E239,0)+O239,O239)*(1+P239/30),IF(C239="peso_corporal",IF(ISNUMBER(E239),E239,0)+R239,R239)*(1+S239/30)),1)),"--")</f>
        <v>--</v>
      </c>
      <c r="V239" s="23" t="str">
        <f>IF(SUGERENCIAS!N638="SIN","Sin datos anteriores",IF(SUGERENCIAS!N638="SUBIR_F","^ SUBIR FUERTE | Kg:"&amp;ROUND(SUGERENCIAS!K638,1)&amp;" R:"&amp;ROUND(SUGERENCIAS!L638,0)&amp;" RIR:"&amp;ROUND(SUGERENCIAS!M638,0),IF(SUGERENCIAS!N638="SUBIR_E","^ SUBIR (Est.) | Kg:"&amp;ROUND(SUGERENCIAS!K638,1)&amp;" R:"&amp;ROUND(SUGERENCIAS!L638,0)&amp;" RIR:"&amp;ROUND(SUGERENCIAS!M638,0),IF(SUGERENCIAS!N638="SUBIR","^ SUBIR | Kg:"&amp;ROUND(SUGERENCIAS!K638,1)&amp;" R:"&amp;ROUND(SUGERENCIAS!L638,0)&amp;" RIR:"&amp;ROUND(SUGERENCIAS!M638,0),IF(SUGERENCIAS!N638="BAJAR","v BAJAR | Kg:"&amp;ROUND(SUGERENCIAS!K638,1)&amp;" R:"&amp;ROUND(SUGERENCIAS!L638,0)&amp;" RIR:"&amp;ROUND(SUGERENCIAS!M638,0),"= MANT | Kg:"&amp;ROUND(SUGERENCIAS!K638,1)&amp;" R:"&amp;ROUND(SUGERENCIAS!L638,0)&amp;" RIR:"&amp;ROUND(SUGERENCIAS!M638,0))))))</f>
        <v>Sin datos anteriores</v>
      </c>
      <c r="W239" s="69">
        <f>MAX(IF((G239&gt;0)*(IF(H239="",-1,H239)&gt;=0)*(IF(H239="",-1,H239)&lt;=1),IF(C239="peso_corporal",IF(ISNUMBER(E239),E239,0)+F239,F239)*G239*1000+F239,0),IF((J239&gt;0)*(IF(K239="",-1,K239)&gt;=0)*(IF(K239="",-1,K239)&lt;=1),IF(C239="peso_corporal",IF(ISNUMBER(E239),E239,0)+I239,I239)*J239*1000+I239,0),IF((M239&gt;0)*(IF(N239="",-1,N239)&gt;=0)*(IF(N239="",-1,N239)&lt;=1),IF(C239="peso_corporal",IF(ISNUMBER(E239),E239,0)+L239,L239)*M239*1000+L239,0),IF((P239&gt;0)*(IF(Q239="",-1,Q239)&gt;=0)*(IF(Q239="",-1,Q239)&lt;=1),IF(C239="peso_corporal",IF(ISNUMBER(E239),E239,0)+O239,O239)*P239*1000+O239,0),IF((S239&gt;0)*(IF(T239="",-1,T239)&gt;=0)*(IF(T239="",-1,T239)&lt;=1),IF(C239="peso_corporal",IF(ISNUMBER(E239),E239,0)+R239,R239)*S239*1000+R239,0))</f>
        <v>0</v>
      </c>
      <c r="X239" s="69">
        <f>IF(W239=0,0,IF(IF((S239&gt;0)*(IF(T239="",-1,T239)&gt;=0)*(IF(T239="",-1,T239)&lt;=1),IF(C239="peso_corporal",IF(ISNUMBER(E239),E239,0)+R239,R239)*S239*1000+R239,0)=W239,5,IF(IF((P239&gt;0)*(IF(Q239="",-1,Q239)&gt;=0)*(IF(Q239="",-1,Q239)&lt;=1),IF(C239="peso_corporal",IF(ISNUMBER(E239),E239,0)+O239,O239)*P239*1000+O239,0)=W239,4,IF(IF((M239&gt;0)*(IF(N239="",-1,N239)&gt;=0)*(IF(N239="",-1,N239)&lt;=1),IF(C239="peso_corporal",IF(ISNUMBER(E239),E239,0)+L239,L239)*M239*1000+L239,0)=W239,3,IF(IF((J239&gt;0)*(IF(K239="",-1,K239)&gt;=0)*(IF(K239="",-1,K239)&lt;=1),IF(C239="peso_corporal",IF(ISNUMBER(E239),E239,0)+I239,I239)*J239*1000+I239,0)=W239,2,IF(IF((G239&gt;0)*(IF(H239="",-1,H239)&gt;=0)*(IF(H239="",-1,H239)&lt;=1),IF(C239="peso_corporal",IF(ISNUMBER(E239),E239,0)+F239,F239)*G239*1000+F239,0)=W239,1,0))))))</f>
        <v>0</v>
      </c>
      <c r="Y239" s="69">
        <f>MAX(IF((G239&gt;0)*(IF(H239="",-1,H239)=0)*(1-(IF(H239="",-1,H239)&gt;=0)*(IF(H239="",-1,H239)&lt;=1)),IF(C239="peso_corporal",IF(ISNUMBER(E239),E239,0)+F239,F239)*G239*1000+F239,0),IF((J239&gt;0)*(IF(K239="",-1,K239)=0)*(1-(IF(K239="",-1,K239)&gt;=0)*(IF(K239="",-1,K239)&lt;=1)),IF(C239="peso_corporal",IF(ISNUMBER(E239),E239,0)+I239,I239)*J239*1000+I239,0),IF((M239&gt;0)*(IF(N239="",-1,N239)=0)*(1-(IF(N239="",-1,N239)&gt;=0)*(IF(N239="",-1,N239)&lt;=1)),IF(C239="peso_corporal",IF(ISNUMBER(E239),E239,0)+L239,L239)*M239*1000+L239,0),IF((P239&gt;0)*(IF(Q239="",-1,Q239)=0)*(1-(IF(Q239="",-1,Q239)&gt;=0)*(IF(Q239="",-1,Q239)&lt;=1)),IF(C239="peso_corporal",IF(ISNUMBER(E239),E239,0)+O239,O239)*P239*1000+O239,0),IF((S239&gt;0)*(IF(T239="",-1,T239)=0)*(1-(IF(T239="",-1,T239)&gt;=0)*(IF(T239="",-1,T239)&lt;=1)),IF(C239="peso_corporal",IF(ISNUMBER(E239),E239,0)+R239,R239)*S239*1000+R239,0))</f>
        <v>0</v>
      </c>
      <c r="Z239" s="69">
        <f>IF(Y239=0,0,IF(IF((S239&gt;0)*(IF(T239="",-1,T239)=0)*(1-(IF(T239="",-1,T239)&gt;=0)*(IF(T239="",-1,T239)&lt;=1)),IF(C239="peso_corporal",IF(ISNUMBER(E239),E239,0)+R239,R239)*S239*1000+R239,0)=Y239,5,IF(IF((P239&gt;0)*(IF(Q239="",-1,Q239)=0)*(1-(IF(Q239="",-1,Q239)&gt;=0)*(IF(Q239="",-1,Q239)&lt;=1)),IF(C239="peso_corporal",IF(ISNUMBER(E239),E239,0)+O239,O239)*P239*1000+O239,0)=Y239,4,IF(IF((M239&gt;0)*(IF(N239="",-1,N239)=0)*(1-(IF(N239="",-1,N239)&gt;=0)*(IF(N239="",-1,N239)&lt;=1)),IF(C239="peso_corporal",IF(ISNUMBER(E239),E239,0)+L239,L239)*M239*1000+L239,0)=Y239,3,IF(IF((J239&gt;0)*(IF(K239="",-1,K239)=0)*(1-(IF(K239="",-1,K239)&gt;=0)*(IF(K239="",-1,K239)&lt;=1)),IF(C239="peso_corporal",IF(ISNUMBER(E239),E239,0)+I239,I239)*J239*1000+I239,0)=Y239,2,IF(IF((G239&gt;0)*(IF(H239="",-1,H239)=0)*(1-(IF(H239="",-1,H239)&gt;=0)*(IF(H239="",-1,H239)&lt;=1)),IF(C239="peso_corporal",IF(ISNUMBER(E239),E239,0)+F239,F239)*G239*1000+F239,0)=Y239,1,0))))))</f>
        <v>0</v>
      </c>
      <c r="AA239" s="69">
        <f>MAX(IF((G239&gt;=3)*(1-(IF(H239="",-1,H239)&gt;=0)*(IF(H239="",-1,H239)&lt;=1))*(1-(IF(H239="",-1,H239)=0)),IF(C239="peso_corporal",IF(ISNUMBER(E239),E239,0)+F239,F239)*(30+G239)*100+F239,0),IF((J239&gt;=3)*(1-(IF(K239="",-1,K239)&gt;=0)*(IF(K239="",-1,K239)&lt;=1))*(1-(IF(K239="",-1,K239)=0)),IF(C239="peso_corporal",IF(ISNUMBER(E239),E239,0)+I239,I239)*(30+J239)*100+I239,0),IF((M239&gt;=3)*(1-(IF(N239="",-1,N239)&gt;=0)*(IF(N239="",-1,N239)&lt;=1))*(1-(IF(N239="",-1,N239)=0)),IF(C239="peso_corporal",IF(ISNUMBER(E239),E239,0)+L239,L239)*(30+M239)*100+L239,0),IF((P239&gt;=3)*(1-(IF(Q239="",-1,Q239)&gt;=0)*(IF(Q239="",-1,Q239)&lt;=1))*(1-(IF(Q239="",-1,Q239)=0)),IF(C239="peso_corporal",IF(ISNUMBER(E239),E239,0)+O239,O239)*(30+P239)*100+O239,0),IF((S239&gt;=3)*(1-(IF(T239="",-1,T239)&gt;=0)*(IF(T239="",-1,T239)&lt;=1))*(1-(IF(T239="",-1,T239)=0)),IF(C239="peso_corporal",IF(ISNUMBER(E239),E239,0)+R239,R239)*(30+S239)*100+R239,0))</f>
        <v>0</v>
      </c>
      <c r="AB239" s="69">
        <f>IF(AA239=0,0,IF(IF((S239&gt;=3)*(1-(IF(T239="",-1,T239)&gt;=0)*(IF(T239="",-1,T239)&lt;=1))*(1-(IF(T239="",-1,T239)=0)),IF(C239="peso_corporal",IF(ISNUMBER(E239),E239,0)+R239,R239)*(30+S239)*100+R239,0)=AA239,5,IF(IF((P239&gt;=3)*(1-(IF(Q239="",-1,Q239)&gt;=0)*(IF(Q239="",-1,Q239)&lt;=1))*(1-(IF(Q239="",-1,Q239)=0)),IF(C239="peso_corporal",IF(ISNUMBER(E239),E239,0)+O239,O239)*(30+P239)*100+O239,0)=AA239,4,IF(IF((M239&gt;=3)*(1-(IF(N239="",-1,N239)&gt;=0)*(IF(N239="",-1,N239)&lt;=1))*(1-(IF(N239="",-1,N239)=0)),IF(C239="peso_corporal",IF(ISNUMBER(E239),E239,0)+L239,L239)*(30+M239)*100+L239,0)=AA239,3,IF(IF((J239&gt;=3)*(1-(IF(K239="",-1,K239)&gt;=0)*(IF(K239="",-1,K239)&lt;=1))*(1-(IF(K239="",-1,K239)=0)),IF(C239="peso_corporal",IF(ISNUMBER(E239),E239,0)+I239,I239)*(30+J239)*100+I239,0)=AA239,2,IF(IF((G239&gt;=3)*(1-(IF(H239="",-1,H239)&gt;=0)*(IF(H239="",-1,H239)&lt;=1))*(1-(IF(H239="",-1,H239)=0)),IF(C239="peso_corporal",IF(ISNUMBER(E239),E239,0)+F239,F239)*(30+G239)*100+F239,0)=AA239,1,0))))))</f>
        <v>0</v>
      </c>
      <c r="AC239" s="69" t="str">
        <f>IF(X239&gt;0,"A"&amp;X239,IF(Z239&gt;0,"B"&amp;Z239,IF(AB239&gt;0,"C"&amp;AB239,"")))</f>
        <v/>
      </c>
    </row>
    <row r="240" spans="1:29" ht="15" customHeight="1">
      <c r="A240" s="81" t="s">
        <v>42</v>
      </c>
      <c r="B240" s="73"/>
      <c r="C240" s="73"/>
      <c r="D240" s="73"/>
      <c r="E240" s="73"/>
      <c r="F240" s="73"/>
      <c r="G240" s="73"/>
      <c r="H240" s="73"/>
      <c r="I240" s="73"/>
      <c r="J240" s="73"/>
      <c r="K240" s="73"/>
      <c r="L240" s="73"/>
      <c r="M240" s="73"/>
      <c r="N240" s="73"/>
      <c r="O240" s="73"/>
      <c r="P240" s="73"/>
      <c r="Q240" s="73"/>
      <c r="R240" s="73"/>
      <c r="S240" s="73"/>
      <c r="T240" s="73"/>
      <c r="U240" s="73"/>
      <c r="V240" s="73"/>
      <c r="W240" s="69"/>
      <c r="X240" s="69"/>
      <c r="Y240" s="69"/>
      <c r="Z240" s="69"/>
      <c r="AA240" s="69"/>
      <c r="AB240" s="69"/>
      <c r="AC240" s="69"/>
    </row>
    <row r="241" spans="1:29" ht="20.100000000000001" customHeight="1">
      <c r="A241" s="14" t="s">
        <v>43</v>
      </c>
      <c r="B241" s="15" t="s">
        <v>44</v>
      </c>
      <c r="C241" s="16" t="str">
        <f>IFERROR(INDEX(EJERCICIOS!$D$3:$D$75,MATCH(A241&amp;"|"&amp;B241,EJERCICIOS!$G$3:$G$75,0)),"--")</f>
        <v>polea</v>
      </c>
      <c r="D241" s="17">
        <v>3</v>
      </c>
      <c r="E241" s="18">
        <f>IFERROR(LOOKUP(2,1/(MEDIDAS_Y_PESO!$B$3:$B$13&lt;&gt;""),MEDIDAS_Y_PESO!$B$3:$B$13),"--")</f>
        <v>80</v>
      </c>
      <c r="F241" s="19"/>
      <c r="G241" s="20"/>
      <c r="H241" s="21"/>
      <c r="I241" s="19"/>
      <c r="J241" s="20"/>
      <c r="K241" s="21"/>
      <c r="L241" s="19"/>
      <c r="M241" s="20"/>
      <c r="N241" s="21"/>
      <c r="O241" s="19"/>
      <c r="P241" s="20"/>
      <c r="Q241" s="21"/>
      <c r="R241" s="19"/>
      <c r="S241" s="20"/>
      <c r="T241" s="21"/>
      <c r="U241" s="22" t="str">
        <f>IFERROR(IF(IF(X241&gt;0,X241,IF(Z241&gt;0,Z241,IF(AB241&gt;0,AB241,0)))=0,"--",ROUND(CHOOSE(IF(X241&gt;0,X241,IF(Z241&gt;0,Z241,IF(AB241&gt;0,AB241,0))),IF(C241="peso_corporal",IF(ISNUMBER(E241),E241,0)+F241,F241)*(1+G241/30),IF(C241="peso_corporal",IF(ISNUMBER(E241),E241,0)+I241,I241)*(1+J241/30),IF(C241="peso_corporal",IF(ISNUMBER(E241),E241,0)+L241,L241)*(1+M241/30),IF(C241="peso_corporal",IF(ISNUMBER(E241),E241,0)+O241,O241)*(1+P241/30),IF(C241="peso_corporal",IF(ISNUMBER(E241),E241,0)+R241,R241)*(1+S241/30)),1)),"--")</f>
        <v>--</v>
      </c>
      <c r="V241" s="23" t="str">
        <f>IF(SUGERENCIAS!N639="SIN","Sin datos anteriores",IF(SUGERENCIAS!N639="SUBIR_F","^ SUBIR FUERTE | Kg:"&amp;ROUND(SUGERENCIAS!K639,1)&amp;" R:"&amp;ROUND(SUGERENCIAS!L639,0)&amp;" RIR:"&amp;ROUND(SUGERENCIAS!M639,0),IF(SUGERENCIAS!N639="SUBIR_E","^ SUBIR (Est.) | Kg:"&amp;ROUND(SUGERENCIAS!K639,1)&amp;" R:"&amp;ROUND(SUGERENCIAS!L639,0)&amp;" RIR:"&amp;ROUND(SUGERENCIAS!M639,0),IF(SUGERENCIAS!N639="SUBIR","^ SUBIR | Kg:"&amp;ROUND(SUGERENCIAS!K639,1)&amp;" R:"&amp;ROUND(SUGERENCIAS!L639,0)&amp;" RIR:"&amp;ROUND(SUGERENCIAS!M639,0),IF(SUGERENCIAS!N639="BAJAR","v BAJAR | Kg:"&amp;ROUND(SUGERENCIAS!K639,1)&amp;" R:"&amp;ROUND(SUGERENCIAS!L639,0)&amp;" RIR:"&amp;ROUND(SUGERENCIAS!M639,0),"= MANT | Kg:"&amp;ROUND(SUGERENCIAS!K639,1)&amp;" R:"&amp;ROUND(SUGERENCIAS!L639,0)&amp;" RIR:"&amp;ROUND(SUGERENCIAS!M639,0))))))</f>
        <v>Sin datos anteriores</v>
      </c>
      <c r="W241" s="69">
        <f>MAX(IF((G241&gt;0)*(IF(H241="",-1,H241)&gt;=0)*(IF(H241="",-1,H241)&lt;=1),IF(C241="peso_corporal",IF(ISNUMBER(E241),E241,0)+F241,F241)*G241*1000+F241,0),IF((J241&gt;0)*(IF(K241="",-1,K241)&gt;=0)*(IF(K241="",-1,K241)&lt;=1),IF(C241="peso_corporal",IF(ISNUMBER(E241),E241,0)+I241,I241)*J241*1000+I241,0),IF((M241&gt;0)*(IF(N241="",-1,N241)&gt;=0)*(IF(N241="",-1,N241)&lt;=1),IF(C241="peso_corporal",IF(ISNUMBER(E241),E241,0)+L241,L241)*M241*1000+L241,0),IF((P241&gt;0)*(IF(Q241="",-1,Q241)&gt;=0)*(IF(Q241="",-1,Q241)&lt;=1),IF(C241="peso_corporal",IF(ISNUMBER(E241),E241,0)+O241,O241)*P241*1000+O241,0),IF((S241&gt;0)*(IF(T241="",-1,T241)&gt;=0)*(IF(T241="",-1,T241)&lt;=1),IF(C241="peso_corporal",IF(ISNUMBER(E241),E241,0)+R241,R241)*S241*1000+R241,0))</f>
        <v>0</v>
      </c>
      <c r="X241" s="69">
        <f>IF(W241=0,0,IF(IF((S241&gt;0)*(IF(T241="",-1,T241)&gt;=0)*(IF(T241="",-1,T241)&lt;=1),IF(C241="peso_corporal",IF(ISNUMBER(E241),E241,0)+R241,R241)*S241*1000+R241,0)=W241,5,IF(IF((P241&gt;0)*(IF(Q241="",-1,Q241)&gt;=0)*(IF(Q241="",-1,Q241)&lt;=1),IF(C241="peso_corporal",IF(ISNUMBER(E241),E241,0)+O241,O241)*P241*1000+O241,0)=W241,4,IF(IF((M241&gt;0)*(IF(N241="",-1,N241)&gt;=0)*(IF(N241="",-1,N241)&lt;=1),IF(C241="peso_corporal",IF(ISNUMBER(E241),E241,0)+L241,L241)*M241*1000+L241,0)=W241,3,IF(IF((J241&gt;0)*(IF(K241="",-1,K241)&gt;=0)*(IF(K241="",-1,K241)&lt;=1),IF(C241="peso_corporal",IF(ISNUMBER(E241),E241,0)+I241,I241)*J241*1000+I241,0)=W241,2,IF(IF((G241&gt;0)*(IF(H241="",-1,H241)&gt;=0)*(IF(H241="",-1,H241)&lt;=1),IF(C241="peso_corporal",IF(ISNUMBER(E241),E241,0)+F241,F241)*G241*1000+F241,0)=W241,1,0))))))</f>
        <v>0</v>
      </c>
      <c r="Y241" s="69">
        <f>MAX(IF((G241&gt;0)*(IF(H241="",-1,H241)=0)*(1-(IF(H241="",-1,H241)&gt;=0)*(IF(H241="",-1,H241)&lt;=1)),IF(C241="peso_corporal",IF(ISNUMBER(E241),E241,0)+F241,F241)*G241*1000+F241,0),IF((J241&gt;0)*(IF(K241="",-1,K241)=0)*(1-(IF(K241="",-1,K241)&gt;=0)*(IF(K241="",-1,K241)&lt;=1)),IF(C241="peso_corporal",IF(ISNUMBER(E241),E241,0)+I241,I241)*J241*1000+I241,0),IF((M241&gt;0)*(IF(N241="",-1,N241)=0)*(1-(IF(N241="",-1,N241)&gt;=0)*(IF(N241="",-1,N241)&lt;=1)),IF(C241="peso_corporal",IF(ISNUMBER(E241),E241,0)+L241,L241)*M241*1000+L241,0),IF((P241&gt;0)*(IF(Q241="",-1,Q241)=0)*(1-(IF(Q241="",-1,Q241)&gt;=0)*(IF(Q241="",-1,Q241)&lt;=1)),IF(C241="peso_corporal",IF(ISNUMBER(E241),E241,0)+O241,O241)*P241*1000+O241,0),IF((S241&gt;0)*(IF(T241="",-1,T241)=0)*(1-(IF(T241="",-1,T241)&gt;=0)*(IF(T241="",-1,T241)&lt;=1)),IF(C241="peso_corporal",IF(ISNUMBER(E241),E241,0)+R241,R241)*S241*1000+R241,0))</f>
        <v>0</v>
      </c>
      <c r="Z241" s="69">
        <f>IF(Y241=0,0,IF(IF((S241&gt;0)*(IF(T241="",-1,T241)=0)*(1-(IF(T241="",-1,T241)&gt;=0)*(IF(T241="",-1,T241)&lt;=1)),IF(C241="peso_corporal",IF(ISNUMBER(E241),E241,0)+R241,R241)*S241*1000+R241,0)=Y241,5,IF(IF((P241&gt;0)*(IF(Q241="",-1,Q241)=0)*(1-(IF(Q241="",-1,Q241)&gt;=0)*(IF(Q241="",-1,Q241)&lt;=1)),IF(C241="peso_corporal",IF(ISNUMBER(E241),E241,0)+O241,O241)*P241*1000+O241,0)=Y241,4,IF(IF((M241&gt;0)*(IF(N241="",-1,N241)=0)*(1-(IF(N241="",-1,N241)&gt;=0)*(IF(N241="",-1,N241)&lt;=1)),IF(C241="peso_corporal",IF(ISNUMBER(E241),E241,0)+L241,L241)*M241*1000+L241,0)=Y241,3,IF(IF((J241&gt;0)*(IF(K241="",-1,K241)=0)*(1-(IF(K241="",-1,K241)&gt;=0)*(IF(K241="",-1,K241)&lt;=1)),IF(C241="peso_corporal",IF(ISNUMBER(E241),E241,0)+I241,I241)*J241*1000+I241,0)=Y241,2,IF(IF((G241&gt;0)*(IF(H241="",-1,H241)=0)*(1-(IF(H241="",-1,H241)&gt;=0)*(IF(H241="",-1,H241)&lt;=1)),IF(C241="peso_corporal",IF(ISNUMBER(E241),E241,0)+F241,F241)*G241*1000+F241,0)=Y241,1,0))))))</f>
        <v>0</v>
      </c>
      <c r="AA241" s="69">
        <f>MAX(IF((G241&gt;=3)*(1-(IF(H241="",-1,H241)&gt;=0)*(IF(H241="",-1,H241)&lt;=1))*(1-(IF(H241="",-1,H241)=0)),IF(C241="peso_corporal",IF(ISNUMBER(E241),E241,0)+F241,F241)*(30+G241)*100+F241,0),IF((J241&gt;=3)*(1-(IF(K241="",-1,K241)&gt;=0)*(IF(K241="",-1,K241)&lt;=1))*(1-(IF(K241="",-1,K241)=0)),IF(C241="peso_corporal",IF(ISNUMBER(E241),E241,0)+I241,I241)*(30+J241)*100+I241,0),IF((M241&gt;=3)*(1-(IF(N241="",-1,N241)&gt;=0)*(IF(N241="",-1,N241)&lt;=1))*(1-(IF(N241="",-1,N241)=0)),IF(C241="peso_corporal",IF(ISNUMBER(E241),E241,0)+L241,L241)*(30+M241)*100+L241,0),IF((P241&gt;=3)*(1-(IF(Q241="",-1,Q241)&gt;=0)*(IF(Q241="",-1,Q241)&lt;=1))*(1-(IF(Q241="",-1,Q241)=0)),IF(C241="peso_corporal",IF(ISNUMBER(E241),E241,0)+O241,O241)*(30+P241)*100+O241,0),IF((S241&gt;=3)*(1-(IF(T241="",-1,T241)&gt;=0)*(IF(T241="",-1,T241)&lt;=1))*(1-(IF(T241="",-1,T241)=0)),IF(C241="peso_corporal",IF(ISNUMBER(E241),E241,0)+R241,R241)*(30+S241)*100+R241,0))</f>
        <v>0</v>
      </c>
      <c r="AB241" s="69">
        <f>IF(AA241=0,0,IF(IF((S241&gt;=3)*(1-(IF(T241="",-1,T241)&gt;=0)*(IF(T241="",-1,T241)&lt;=1))*(1-(IF(T241="",-1,T241)=0)),IF(C241="peso_corporal",IF(ISNUMBER(E241),E241,0)+R241,R241)*(30+S241)*100+R241,0)=AA241,5,IF(IF((P241&gt;=3)*(1-(IF(Q241="",-1,Q241)&gt;=0)*(IF(Q241="",-1,Q241)&lt;=1))*(1-(IF(Q241="",-1,Q241)=0)),IF(C241="peso_corporal",IF(ISNUMBER(E241),E241,0)+O241,O241)*(30+P241)*100+O241,0)=AA241,4,IF(IF((M241&gt;=3)*(1-(IF(N241="",-1,N241)&gt;=0)*(IF(N241="",-1,N241)&lt;=1))*(1-(IF(N241="",-1,N241)=0)),IF(C241="peso_corporal",IF(ISNUMBER(E241),E241,0)+L241,L241)*(30+M241)*100+L241,0)=AA241,3,IF(IF((J241&gt;=3)*(1-(IF(K241="",-1,K241)&gt;=0)*(IF(K241="",-1,K241)&lt;=1))*(1-(IF(K241="",-1,K241)=0)),IF(C241="peso_corporal",IF(ISNUMBER(E241),E241,0)+I241,I241)*(30+J241)*100+I241,0)=AA241,2,IF(IF((G241&gt;=3)*(1-(IF(H241="",-1,H241)&gt;=0)*(IF(H241="",-1,H241)&lt;=1))*(1-(IF(H241="",-1,H241)=0)),IF(C241="peso_corporal",IF(ISNUMBER(E241),E241,0)+F241,F241)*(30+G241)*100+F241,0)=AA241,1,0))))))</f>
        <v>0</v>
      </c>
      <c r="AC241" s="69" t="str">
        <f>IF(X241&gt;0,"A"&amp;X241,IF(Z241&gt;0,"B"&amp;Z241,IF(AB241&gt;0,"C"&amp;AB241,"")))</f>
        <v/>
      </c>
    </row>
    <row r="242" spans="1:29" ht="20.100000000000001" customHeight="1">
      <c r="A242" s="14" t="s">
        <v>45</v>
      </c>
      <c r="B242" s="15" t="s">
        <v>46</v>
      </c>
      <c r="C242" s="16" t="str">
        <f>IFERROR(INDEX(EJERCICIOS!$D$3:$D$75,MATCH(A242&amp;"|"&amp;B242,EJERCICIOS!$G$3:$G$75,0)),"--")</f>
        <v>mancuerna</v>
      </c>
      <c r="D242" s="17">
        <v>3</v>
      </c>
      <c r="E242" s="18">
        <f>IFERROR(LOOKUP(2,1/(MEDIDAS_Y_PESO!$B$3:$B$13&lt;&gt;""),MEDIDAS_Y_PESO!$B$3:$B$13),"--")</f>
        <v>80</v>
      </c>
      <c r="F242" s="19"/>
      <c r="G242" s="20"/>
      <c r="H242" s="21"/>
      <c r="I242" s="19"/>
      <c r="J242" s="20"/>
      <c r="K242" s="21"/>
      <c r="L242" s="19"/>
      <c r="M242" s="20"/>
      <c r="N242" s="21"/>
      <c r="O242" s="19"/>
      <c r="P242" s="20"/>
      <c r="Q242" s="21"/>
      <c r="R242" s="19"/>
      <c r="S242" s="20"/>
      <c r="T242" s="21"/>
      <c r="U242" s="22" t="str">
        <f>IFERROR(IF(IF(X242&gt;0,X242,IF(Z242&gt;0,Z242,IF(AB242&gt;0,AB242,0)))=0,"--",ROUND(CHOOSE(IF(X242&gt;0,X242,IF(Z242&gt;0,Z242,IF(AB242&gt;0,AB242,0))),IF(C242="peso_corporal",IF(ISNUMBER(E242),E242,0)+F242,F242)*(1+G242/30),IF(C242="peso_corporal",IF(ISNUMBER(E242),E242,0)+I242,I242)*(1+J242/30),IF(C242="peso_corporal",IF(ISNUMBER(E242),E242,0)+L242,L242)*(1+M242/30),IF(C242="peso_corporal",IF(ISNUMBER(E242),E242,0)+O242,O242)*(1+P242/30),IF(C242="peso_corporal",IF(ISNUMBER(E242),E242,0)+R242,R242)*(1+S242/30)),1)),"--")</f>
        <v>--</v>
      </c>
      <c r="V242" s="23" t="str">
        <f>IF(SUGERENCIAS!N640="SIN","Sin datos anteriores",IF(SUGERENCIAS!N640="SUBIR_F","^ SUBIR FUERTE | Kg:"&amp;ROUND(SUGERENCIAS!K640,1)&amp;" R:"&amp;ROUND(SUGERENCIAS!L640,0)&amp;" RIR:"&amp;ROUND(SUGERENCIAS!M640,0),IF(SUGERENCIAS!N640="SUBIR_E","^ SUBIR (Est.) | Kg:"&amp;ROUND(SUGERENCIAS!K640,1)&amp;" R:"&amp;ROUND(SUGERENCIAS!L640,0)&amp;" RIR:"&amp;ROUND(SUGERENCIAS!M640,0),IF(SUGERENCIAS!N640="SUBIR","^ SUBIR | Kg:"&amp;ROUND(SUGERENCIAS!K640,1)&amp;" R:"&amp;ROUND(SUGERENCIAS!L640,0)&amp;" RIR:"&amp;ROUND(SUGERENCIAS!M640,0),IF(SUGERENCIAS!N640="BAJAR","v BAJAR | Kg:"&amp;ROUND(SUGERENCIAS!K640,1)&amp;" R:"&amp;ROUND(SUGERENCIAS!L640,0)&amp;" RIR:"&amp;ROUND(SUGERENCIAS!M640,0),"= MANT | Kg:"&amp;ROUND(SUGERENCIAS!K640,1)&amp;" R:"&amp;ROUND(SUGERENCIAS!L640,0)&amp;" RIR:"&amp;ROUND(SUGERENCIAS!M640,0))))))</f>
        <v>Sin datos anteriores</v>
      </c>
      <c r="W242" s="69">
        <f>MAX(IF((G242&gt;0)*(IF(H242="",-1,H242)&gt;=0)*(IF(H242="",-1,H242)&lt;=1),IF(C242="peso_corporal",IF(ISNUMBER(E242),E242,0)+F242,F242)*G242*1000+F242,0),IF((J242&gt;0)*(IF(K242="",-1,K242)&gt;=0)*(IF(K242="",-1,K242)&lt;=1),IF(C242="peso_corporal",IF(ISNUMBER(E242),E242,0)+I242,I242)*J242*1000+I242,0),IF((M242&gt;0)*(IF(N242="",-1,N242)&gt;=0)*(IF(N242="",-1,N242)&lt;=1),IF(C242="peso_corporal",IF(ISNUMBER(E242),E242,0)+L242,L242)*M242*1000+L242,0),IF((P242&gt;0)*(IF(Q242="",-1,Q242)&gt;=0)*(IF(Q242="",-1,Q242)&lt;=1),IF(C242="peso_corporal",IF(ISNUMBER(E242),E242,0)+O242,O242)*P242*1000+O242,0),IF((S242&gt;0)*(IF(T242="",-1,T242)&gt;=0)*(IF(T242="",-1,T242)&lt;=1),IF(C242="peso_corporal",IF(ISNUMBER(E242),E242,0)+R242,R242)*S242*1000+R242,0))</f>
        <v>0</v>
      </c>
      <c r="X242" s="69">
        <f>IF(W242=0,0,IF(IF((S242&gt;0)*(IF(T242="",-1,T242)&gt;=0)*(IF(T242="",-1,T242)&lt;=1),IF(C242="peso_corporal",IF(ISNUMBER(E242),E242,0)+R242,R242)*S242*1000+R242,0)=W242,5,IF(IF((P242&gt;0)*(IF(Q242="",-1,Q242)&gt;=0)*(IF(Q242="",-1,Q242)&lt;=1),IF(C242="peso_corporal",IF(ISNUMBER(E242),E242,0)+O242,O242)*P242*1000+O242,0)=W242,4,IF(IF((M242&gt;0)*(IF(N242="",-1,N242)&gt;=0)*(IF(N242="",-1,N242)&lt;=1),IF(C242="peso_corporal",IF(ISNUMBER(E242),E242,0)+L242,L242)*M242*1000+L242,0)=W242,3,IF(IF((J242&gt;0)*(IF(K242="",-1,K242)&gt;=0)*(IF(K242="",-1,K242)&lt;=1),IF(C242="peso_corporal",IF(ISNUMBER(E242),E242,0)+I242,I242)*J242*1000+I242,0)=W242,2,IF(IF((G242&gt;0)*(IF(H242="",-1,H242)&gt;=0)*(IF(H242="",-1,H242)&lt;=1),IF(C242="peso_corporal",IF(ISNUMBER(E242),E242,0)+F242,F242)*G242*1000+F242,0)=W242,1,0))))))</f>
        <v>0</v>
      </c>
      <c r="Y242" s="69">
        <f>MAX(IF((G242&gt;0)*(IF(H242="",-1,H242)=0)*(1-(IF(H242="",-1,H242)&gt;=0)*(IF(H242="",-1,H242)&lt;=1)),IF(C242="peso_corporal",IF(ISNUMBER(E242),E242,0)+F242,F242)*G242*1000+F242,0),IF((J242&gt;0)*(IF(K242="",-1,K242)=0)*(1-(IF(K242="",-1,K242)&gt;=0)*(IF(K242="",-1,K242)&lt;=1)),IF(C242="peso_corporal",IF(ISNUMBER(E242),E242,0)+I242,I242)*J242*1000+I242,0),IF((M242&gt;0)*(IF(N242="",-1,N242)=0)*(1-(IF(N242="",-1,N242)&gt;=0)*(IF(N242="",-1,N242)&lt;=1)),IF(C242="peso_corporal",IF(ISNUMBER(E242),E242,0)+L242,L242)*M242*1000+L242,0),IF((P242&gt;0)*(IF(Q242="",-1,Q242)=0)*(1-(IF(Q242="",-1,Q242)&gt;=0)*(IF(Q242="",-1,Q242)&lt;=1)),IF(C242="peso_corporal",IF(ISNUMBER(E242),E242,0)+O242,O242)*P242*1000+O242,0),IF((S242&gt;0)*(IF(T242="",-1,T242)=0)*(1-(IF(T242="",-1,T242)&gt;=0)*(IF(T242="",-1,T242)&lt;=1)),IF(C242="peso_corporal",IF(ISNUMBER(E242),E242,0)+R242,R242)*S242*1000+R242,0))</f>
        <v>0</v>
      </c>
      <c r="Z242" s="69">
        <f>IF(Y242=0,0,IF(IF((S242&gt;0)*(IF(T242="",-1,T242)=0)*(1-(IF(T242="",-1,T242)&gt;=0)*(IF(T242="",-1,T242)&lt;=1)),IF(C242="peso_corporal",IF(ISNUMBER(E242),E242,0)+R242,R242)*S242*1000+R242,0)=Y242,5,IF(IF((P242&gt;0)*(IF(Q242="",-1,Q242)=0)*(1-(IF(Q242="",-1,Q242)&gt;=0)*(IF(Q242="",-1,Q242)&lt;=1)),IF(C242="peso_corporal",IF(ISNUMBER(E242),E242,0)+O242,O242)*P242*1000+O242,0)=Y242,4,IF(IF((M242&gt;0)*(IF(N242="",-1,N242)=0)*(1-(IF(N242="",-1,N242)&gt;=0)*(IF(N242="",-1,N242)&lt;=1)),IF(C242="peso_corporal",IF(ISNUMBER(E242),E242,0)+L242,L242)*M242*1000+L242,0)=Y242,3,IF(IF((J242&gt;0)*(IF(K242="",-1,K242)=0)*(1-(IF(K242="",-1,K242)&gt;=0)*(IF(K242="",-1,K242)&lt;=1)),IF(C242="peso_corporal",IF(ISNUMBER(E242),E242,0)+I242,I242)*J242*1000+I242,0)=Y242,2,IF(IF((G242&gt;0)*(IF(H242="",-1,H242)=0)*(1-(IF(H242="",-1,H242)&gt;=0)*(IF(H242="",-1,H242)&lt;=1)),IF(C242="peso_corporal",IF(ISNUMBER(E242),E242,0)+F242,F242)*G242*1000+F242,0)=Y242,1,0))))))</f>
        <v>0</v>
      </c>
      <c r="AA242" s="69">
        <f>MAX(IF((G242&gt;=3)*(1-(IF(H242="",-1,H242)&gt;=0)*(IF(H242="",-1,H242)&lt;=1))*(1-(IF(H242="",-1,H242)=0)),IF(C242="peso_corporal",IF(ISNUMBER(E242),E242,0)+F242,F242)*(30+G242)*100+F242,0),IF((J242&gt;=3)*(1-(IF(K242="",-1,K242)&gt;=0)*(IF(K242="",-1,K242)&lt;=1))*(1-(IF(K242="",-1,K242)=0)),IF(C242="peso_corporal",IF(ISNUMBER(E242),E242,0)+I242,I242)*(30+J242)*100+I242,0),IF((M242&gt;=3)*(1-(IF(N242="",-1,N242)&gt;=0)*(IF(N242="",-1,N242)&lt;=1))*(1-(IF(N242="",-1,N242)=0)),IF(C242="peso_corporal",IF(ISNUMBER(E242),E242,0)+L242,L242)*(30+M242)*100+L242,0),IF((P242&gt;=3)*(1-(IF(Q242="",-1,Q242)&gt;=0)*(IF(Q242="",-1,Q242)&lt;=1))*(1-(IF(Q242="",-1,Q242)=0)),IF(C242="peso_corporal",IF(ISNUMBER(E242),E242,0)+O242,O242)*(30+P242)*100+O242,0),IF((S242&gt;=3)*(1-(IF(T242="",-1,T242)&gt;=0)*(IF(T242="",-1,T242)&lt;=1))*(1-(IF(T242="",-1,T242)=0)),IF(C242="peso_corporal",IF(ISNUMBER(E242),E242,0)+R242,R242)*(30+S242)*100+R242,0))</f>
        <v>0</v>
      </c>
      <c r="AB242" s="69">
        <f>IF(AA242=0,0,IF(IF((S242&gt;=3)*(1-(IF(T242="",-1,T242)&gt;=0)*(IF(T242="",-1,T242)&lt;=1))*(1-(IF(T242="",-1,T242)=0)),IF(C242="peso_corporal",IF(ISNUMBER(E242),E242,0)+R242,R242)*(30+S242)*100+R242,0)=AA242,5,IF(IF((P242&gt;=3)*(1-(IF(Q242="",-1,Q242)&gt;=0)*(IF(Q242="",-1,Q242)&lt;=1))*(1-(IF(Q242="",-1,Q242)=0)),IF(C242="peso_corporal",IF(ISNUMBER(E242),E242,0)+O242,O242)*(30+P242)*100+O242,0)=AA242,4,IF(IF((M242&gt;=3)*(1-(IF(N242="",-1,N242)&gt;=0)*(IF(N242="",-1,N242)&lt;=1))*(1-(IF(N242="",-1,N242)=0)),IF(C242="peso_corporal",IF(ISNUMBER(E242),E242,0)+L242,L242)*(30+M242)*100+L242,0)=AA242,3,IF(IF((J242&gt;=3)*(1-(IF(K242="",-1,K242)&gt;=0)*(IF(K242="",-1,K242)&lt;=1))*(1-(IF(K242="",-1,K242)=0)),IF(C242="peso_corporal",IF(ISNUMBER(E242),E242,0)+I242,I242)*(30+J242)*100+I242,0)=AA242,2,IF(IF((G242&gt;=3)*(1-(IF(H242="",-1,H242)&gt;=0)*(IF(H242="",-1,H242)&lt;=1))*(1-(IF(H242="",-1,H242)=0)),IF(C242="peso_corporal",IF(ISNUMBER(E242),E242,0)+F242,F242)*(30+G242)*100+F242,0)=AA242,1,0))))))</f>
        <v>0</v>
      </c>
      <c r="AC242" s="69" t="str">
        <f>IF(X242&gt;0,"A"&amp;X242,IF(Z242&gt;0,"B"&amp;Z242,IF(AB242&gt;0,"C"&amp;AB242,"")))</f>
        <v/>
      </c>
    </row>
    <row r="243" spans="1:29" ht="15" customHeight="1">
      <c r="A243" s="82" t="s">
        <v>47</v>
      </c>
      <c r="B243" s="73"/>
      <c r="C243" s="73"/>
      <c r="D243" s="73"/>
      <c r="E243" s="73"/>
      <c r="F243" s="73"/>
      <c r="G243" s="73"/>
      <c r="H243" s="73"/>
      <c r="I243" s="73"/>
      <c r="J243" s="73"/>
      <c r="K243" s="73"/>
      <c r="L243" s="73"/>
      <c r="M243" s="73"/>
      <c r="N243" s="73"/>
      <c r="O243" s="73"/>
      <c r="P243" s="73"/>
      <c r="Q243" s="73"/>
      <c r="R243" s="73"/>
      <c r="S243" s="73"/>
      <c r="T243" s="73"/>
      <c r="U243" s="73"/>
      <c r="V243" s="73"/>
      <c r="W243" s="69"/>
      <c r="X243" s="69"/>
      <c r="Y243" s="69"/>
      <c r="Z243" s="69"/>
      <c r="AA243" s="69"/>
      <c r="AB243" s="69"/>
      <c r="AC243" s="69"/>
    </row>
    <row r="244" spans="1:29" ht="20.100000000000001" customHeight="1">
      <c r="A244" s="14" t="s">
        <v>48</v>
      </c>
      <c r="B244" s="15" t="s">
        <v>64</v>
      </c>
      <c r="C244" s="16" t="str">
        <f>IFERROR(INDEX(EJERCICIOS!$D$3:$D$75,MATCH(A244&amp;"|"&amp;B244,EJERCICIOS!$G$3:$G$75,0)),"--")</f>
        <v>--</v>
      </c>
      <c r="D244" s="17">
        <v>3</v>
      </c>
      <c r="E244" s="18">
        <f>IFERROR(LOOKUP(2,1/(MEDIDAS_Y_PESO!$B$3:$B$13&lt;&gt;""),MEDIDAS_Y_PESO!$B$3:$B$13),"--")</f>
        <v>80</v>
      </c>
      <c r="F244" s="19"/>
      <c r="G244" s="20"/>
      <c r="H244" s="21"/>
      <c r="I244" s="19"/>
      <c r="J244" s="20"/>
      <c r="K244" s="21"/>
      <c r="L244" s="19"/>
      <c r="M244" s="20"/>
      <c r="N244" s="21"/>
      <c r="O244" s="19"/>
      <c r="P244" s="20"/>
      <c r="Q244" s="21"/>
      <c r="R244" s="19"/>
      <c r="S244" s="20"/>
      <c r="T244" s="21"/>
      <c r="U244" s="22" t="str">
        <f>IFERROR(IF(IF(X244&gt;0,X244,IF(Z244&gt;0,Z244,IF(AB244&gt;0,AB244,0)))=0,"--",ROUND(CHOOSE(IF(X244&gt;0,X244,IF(Z244&gt;0,Z244,IF(AB244&gt;0,AB244,0))),IF(C244="peso_corporal",IF(ISNUMBER(E244),E244,0)+F244,F244)*(1+G244/30),IF(C244="peso_corporal",IF(ISNUMBER(E244),E244,0)+I244,I244)*(1+J244/30),IF(C244="peso_corporal",IF(ISNUMBER(E244),E244,0)+L244,L244)*(1+M244/30),IF(C244="peso_corporal",IF(ISNUMBER(E244),E244,0)+O244,O244)*(1+P244/30),IF(C244="peso_corporal",IF(ISNUMBER(E244),E244,0)+R244,R244)*(1+S244/30)),1)),"--")</f>
        <v>--</v>
      </c>
      <c r="V244" s="23" t="str">
        <f>IF(SUGERENCIAS!N641="SIN","Sin datos anteriores",IF(SUGERENCIAS!N641="SUBIR_F","^ SUBIR FUERTE | Kg:"&amp;ROUND(SUGERENCIAS!K641,1)&amp;" R:"&amp;ROUND(SUGERENCIAS!L641,0)&amp;" RIR:"&amp;ROUND(SUGERENCIAS!M641,0),IF(SUGERENCIAS!N641="SUBIR_E","^ SUBIR (Est.) | Kg:"&amp;ROUND(SUGERENCIAS!K641,1)&amp;" R:"&amp;ROUND(SUGERENCIAS!L641,0)&amp;" RIR:"&amp;ROUND(SUGERENCIAS!M641,0),IF(SUGERENCIAS!N641="SUBIR","^ SUBIR | Kg:"&amp;ROUND(SUGERENCIAS!K641,1)&amp;" R:"&amp;ROUND(SUGERENCIAS!L641,0)&amp;" RIR:"&amp;ROUND(SUGERENCIAS!M641,0),IF(SUGERENCIAS!N641="BAJAR","v BAJAR | Kg:"&amp;ROUND(SUGERENCIAS!K641,1)&amp;" R:"&amp;ROUND(SUGERENCIAS!L641,0)&amp;" RIR:"&amp;ROUND(SUGERENCIAS!M641,0),"= MANT | Kg:"&amp;ROUND(SUGERENCIAS!K641,1)&amp;" R:"&amp;ROUND(SUGERENCIAS!L641,0)&amp;" RIR:"&amp;ROUND(SUGERENCIAS!M641,0))))))</f>
        <v>Sin datos anteriores</v>
      </c>
      <c r="W244" s="69">
        <f>MAX(IF((G244&gt;0)*(IF(H244="",-1,H244)&gt;=0)*(IF(H244="",-1,H244)&lt;=1),IF(C244="peso_corporal",IF(ISNUMBER(E244),E244,0)+F244,F244)*G244*1000+F244,0),IF((J244&gt;0)*(IF(K244="",-1,K244)&gt;=0)*(IF(K244="",-1,K244)&lt;=1),IF(C244="peso_corporal",IF(ISNUMBER(E244),E244,0)+I244,I244)*J244*1000+I244,0),IF((M244&gt;0)*(IF(N244="",-1,N244)&gt;=0)*(IF(N244="",-1,N244)&lt;=1),IF(C244="peso_corporal",IF(ISNUMBER(E244),E244,0)+L244,L244)*M244*1000+L244,0),IF((P244&gt;0)*(IF(Q244="",-1,Q244)&gt;=0)*(IF(Q244="",-1,Q244)&lt;=1),IF(C244="peso_corporal",IF(ISNUMBER(E244),E244,0)+O244,O244)*P244*1000+O244,0),IF((S244&gt;0)*(IF(T244="",-1,T244)&gt;=0)*(IF(T244="",-1,T244)&lt;=1),IF(C244="peso_corporal",IF(ISNUMBER(E244),E244,0)+R244,R244)*S244*1000+R244,0))</f>
        <v>0</v>
      </c>
      <c r="X244" s="69">
        <f>IF(W244=0,0,IF(IF((S244&gt;0)*(IF(T244="",-1,T244)&gt;=0)*(IF(T244="",-1,T244)&lt;=1),IF(C244="peso_corporal",IF(ISNUMBER(E244),E244,0)+R244,R244)*S244*1000+R244,0)=W244,5,IF(IF((P244&gt;0)*(IF(Q244="",-1,Q244)&gt;=0)*(IF(Q244="",-1,Q244)&lt;=1),IF(C244="peso_corporal",IF(ISNUMBER(E244),E244,0)+O244,O244)*P244*1000+O244,0)=W244,4,IF(IF((M244&gt;0)*(IF(N244="",-1,N244)&gt;=0)*(IF(N244="",-1,N244)&lt;=1),IF(C244="peso_corporal",IF(ISNUMBER(E244),E244,0)+L244,L244)*M244*1000+L244,0)=W244,3,IF(IF((J244&gt;0)*(IF(K244="",-1,K244)&gt;=0)*(IF(K244="",-1,K244)&lt;=1),IF(C244="peso_corporal",IF(ISNUMBER(E244),E244,0)+I244,I244)*J244*1000+I244,0)=W244,2,IF(IF((G244&gt;0)*(IF(H244="",-1,H244)&gt;=0)*(IF(H244="",-1,H244)&lt;=1),IF(C244="peso_corporal",IF(ISNUMBER(E244),E244,0)+F244,F244)*G244*1000+F244,0)=W244,1,0))))))</f>
        <v>0</v>
      </c>
      <c r="Y244" s="69">
        <f>MAX(IF((G244&gt;0)*(IF(H244="",-1,H244)=0)*(1-(IF(H244="",-1,H244)&gt;=0)*(IF(H244="",-1,H244)&lt;=1)),IF(C244="peso_corporal",IF(ISNUMBER(E244),E244,0)+F244,F244)*G244*1000+F244,0),IF((J244&gt;0)*(IF(K244="",-1,K244)=0)*(1-(IF(K244="",-1,K244)&gt;=0)*(IF(K244="",-1,K244)&lt;=1)),IF(C244="peso_corporal",IF(ISNUMBER(E244),E244,0)+I244,I244)*J244*1000+I244,0),IF((M244&gt;0)*(IF(N244="",-1,N244)=0)*(1-(IF(N244="",-1,N244)&gt;=0)*(IF(N244="",-1,N244)&lt;=1)),IF(C244="peso_corporal",IF(ISNUMBER(E244),E244,0)+L244,L244)*M244*1000+L244,0),IF((P244&gt;0)*(IF(Q244="",-1,Q244)=0)*(1-(IF(Q244="",-1,Q244)&gt;=0)*(IF(Q244="",-1,Q244)&lt;=1)),IF(C244="peso_corporal",IF(ISNUMBER(E244),E244,0)+O244,O244)*P244*1000+O244,0),IF((S244&gt;0)*(IF(T244="",-1,T244)=0)*(1-(IF(T244="",-1,T244)&gt;=0)*(IF(T244="",-1,T244)&lt;=1)),IF(C244="peso_corporal",IF(ISNUMBER(E244),E244,0)+R244,R244)*S244*1000+R244,0))</f>
        <v>0</v>
      </c>
      <c r="Z244" s="69">
        <f>IF(Y244=0,0,IF(IF((S244&gt;0)*(IF(T244="",-1,T244)=0)*(1-(IF(T244="",-1,T244)&gt;=0)*(IF(T244="",-1,T244)&lt;=1)),IF(C244="peso_corporal",IF(ISNUMBER(E244),E244,0)+R244,R244)*S244*1000+R244,0)=Y244,5,IF(IF((P244&gt;0)*(IF(Q244="",-1,Q244)=0)*(1-(IF(Q244="",-1,Q244)&gt;=0)*(IF(Q244="",-1,Q244)&lt;=1)),IF(C244="peso_corporal",IF(ISNUMBER(E244),E244,0)+O244,O244)*P244*1000+O244,0)=Y244,4,IF(IF((M244&gt;0)*(IF(N244="",-1,N244)=0)*(1-(IF(N244="",-1,N244)&gt;=0)*(IF(N244="",-1,N244)&lt;=1)),IF(C244="peso_corporal",IF(ISNUMBER(E244),E244,0)+L244,L244)*M244*1000+L244,0)=Y244,3,IF(IF((J244&gt;0)*(IF(K244="",-1,K244)=0)*(1-(IF(K244="",-1,K244)&gt;=0)*(IF(K244="",-1,K244)&lt;=1)),IF(C244="peso_corporal",IF(ISNUMBER(E244),E244,0)+I244,I244)*J244*1000+I244,0)=Y244,2,IF(IF((G244&gt;0)*(IF(H244="",-1,H244)=0)*(1-(IF(H244="",-1,H244)&gt;=0)*(IF(H244="",-1,H244)&lt;=1)),IF(C244="peso_corporal",IF(ISNUMBER(E244),E244,0)+F244,F244)*G244*1000+F244,0)=Y244,1,0))))))</f>
        <v>0</v>
      </c>
      <c r="AA244" s="69">
        <f>MAX(IF((G244&gt;=3)*(1-(IF(H244="",-1,H244)&gt;=0)*(IF(H244="",-1,H244)&lt;=1))*(1-(IF(H244="",-1,H244)=0)),IF(C244="peso_corporal",IF(ISNUMBER(E244),E244,0)+F244,F244)*(30+G244)*100+F244,0),IF((J244&gt;=3)*(1-(IF(K244="",-1,K244)&gt;=0)*(IF(K244="",-1,K244)&lt;=1))*(1-(IF(K244="",-1,K244)=0)),IF(C244="peso_corporal",IF(ISNUMBER(E244),E244,0)+I244,I244)*(30+J244)*100+I244,0),IF((M244&gt;=3)*(1-(IF(N244="",-1,N244)&gt;=0)*(IF(N244="",-1,N244)&lt;=1))*(1-(IF(N244="",-1,N244)=0)),IF(C244="peso_corporal",IF(ISNUMBER(E244),E244,0)+L244,L244)*(30+M244)*100+L244,0),IF((P244&gt;=3)*(1-(IF(Q244="",-1,Q244)&gt;=0)*(IF(Q244="",-1,Q244)&lt;=1))*(1-(IF(Q244="",-1,Q244)=0)),IF(C244="peso_corporal",IF(ISNUMBER(E244),E244,0)+O244,O244)*(30+P244)*100+O244,0),IF((S244&gt;=3)*(1-(IF(T244="",-1,T244)&gt;=0)*(IF(T244="",-1,T244)&lt;=1))*(1-(IF(T244="",-1,T244)=0)),IF(C244="peso_corporal",IF(ISNUMBER(E244),E244,0)+R244,R244)*(30+S244)*100+R244,0))</f>
        <v>0</v>
      </c>
      <c r="AB244" s="69">
        <f>IF(AA244=0,0,IF(IF((S244&gt;=3)*(1-(IF(T244="",-1,T244)&gt;=0)*(IF(T244="",-1,T244)&lt;=1))*(1-(IF(T244="",-1,T244)=0)),IF(C244="peso_corporal",IF(ISNUMBER(E244),E244,0)+R244,R244)*(30+S244)*100+R244,0)=AA244,5,IF(IF((P244&gt;=3)*(1-(IF(Q244="",-1,Q244)&gt;=0)*(IF(Q244="",-1,Q244)&lt;=1))*(1-(IF(Q244="",-1,Q244)=0)),IF(C244="peso_corporal",IF(ISNUMBER(E244),E244,0)+O244,O244)*(30+P244)*100+O244,0)=AA244,4,IF(IF((M244&gt;=3)*(1-(IF(N244="",-1,N244)&gt;=0)*(IF(N244="",-1,N244)&lt;=1))*(1-(IF(N244="",-1,N244)=0)),IF(C244="peso_corporal",IF(ISNUMBER(E244),E244,0)+L244,L244)*(30+M244)*100+L244,0)=AA244,3,IF(IF((J244&gt;=3)*(1-(IF(K244="",-1,K244)&gt;=0)*(IF(K244="",-1,K244)&lt;=1))*(1-(IF(K244="",-1,K244)=0)),IF(C244="peso_corporal",IF(ISNUMBER(E244),E244,0)+I244,I244)*(30+J244)*100+I244,0)=AA244,2,IF(IF((G244&gt;=3)*(1-(IF(H244="",-1,H244)&gt;=0)*(IF(H244="",-1,H244)&lt;=1))*(1-(IF(H244="",-1,H244)=0)),IF(C244="peso_corporal",IF(ISNUMBER(E244),E244,0)+F244,F244)*(30+G244)*100+F244,0)=AA244,1,0))))))</f>
        <v>0</v>
      </c>
      <c r="AC244" s="69" t="str">
        <f>IF(X244&gt;0,"A"&amp;X244,IF(Z244&gt;0,"B"&amp;Z244,IF(AB244&gt;0,"C"&amp;AB244,"")))</f>
        <v/>
      </c>
    </row>
    <row r="245" spans="1:29" ht="15" customHeight="1">
      <c r="A245" s="88" t="s">
        <v>50</v>
      </c>
      <c r="B245" s="73"/>
      <c r="C245" s="73"/>
      <c r="D245" s="73"/>
      <c r="E245" s="73"/>
      <c r="F245" s="73"/>
      <c r="G245" s="73"/>
      <c r="H245" s="73"/>
      <c r="I245" s="73"/>
      <c r="J245" s="73"/>
      <c r="K245" s="73"/>
      <c r="L245" s="73"/>
      <c r="M245" s="73"/>
      <c r="N245" s="73"/>
      <c r="O245" s="73"/>
      <c r="P245" s="73"/>
      <c r="Q245" s="73"/>
      <c r="R245" s="73"/>
      <c r="S245" s="73"/>
      <c r="T245" s="73"/>
      <c r="U245" s="73"/>
      <c r="V245" s="73"/>
      <c r="W245" s="69"/>
      <c r="X245" s="69"/>
      <c r="Y245" s="69"/>
      <c r="Z245" s="69"/>
      <c r="AA245" s="69"/>
      <c r="AB245" s="69"/>
      <c r="AC245" s="69"/>
    </row>
    <row r="246" spans="1:29" ht="20.100000000000001" customHeight="1">
      <c r="A246" s="14" t="s">
        <v>65</v>
      </c>
      <c r="B246" s="15" t="s">
        <v>66</v>
      </c>
      <c r="C246" s="16" t="str">
        <f>IFERROR(INDEX(EJERCICIOS!$D$3:$D$75,MATCH(A246&amp;"|"&amp;B246,EJERCICIOS!$G$3:$G$75,0)),"--")</f>
        <v>--</v>
      </c>
      <c r="D246" s="17">
        <v>3</v>
      </c>
      <c r="E246" s="18">
        <f>IFERROR(LOOKUP(2,1/(MEDIDAS_Y_PESO!$B$3:$B$13&lt;&gt;""),MEDIDAS_Y_PESO!$B$3:$B$13),"--")</f>
        <v>80</v>
      </c>
      <c r="F246" s="19"/>
      <c r="G246" s="20"/>
      <c r="H246" s="21"/>
      <c r="I246" s="19"/>
      <c r="J246" s="20"/>
      <c r="K246" s="21"/>
      <c r="L246" s="19"/>
      <c r="M246" s="20"/>
      <c r="N246" s="21"/>
      <c r="O246" s="19"/>
      <c r="P246" s="20"/>
      <c r="Q246" s="21"/>
      <c r="R246" s="19"/>
      <c r="S246" s="20"/>
      <c r="T246" s="21"/>
      <c r="U246" s="22" t="str">
        <f>IFERROR(IF(IF(X246&gt;0,X246,IF(Z246&gt;0,Z246,IF(AB246&gt;0,AB246,0)))=0,"--",ROUND(CHOOSE(IF(X246&gt;0,X246,IF(Z246&gt;0,Z246,IF(AB246&gt;0,AB246,0))),IF(C246="peso_corporal",IF(ISNUMBER(E246),E246,0)+F246,F246)*(1+G246/30),IF(C246="peso_corporal",IF(ISNUMBER(E246),E246,0)+I246,I246)*(1+J246/30),IF(C246="peso_corporal",IF(ISNUMBER(E246),E246,0)+L246,L246)*(1+M246/30),IF(C246="peso_corporal",IF(ISNUMBER(E246),E246,0)+O246,O246)*(1+P246/30),IF(C246="peso_corporal",IF(ISNUMBER(E246),E246,0)+R246,R246)*(1+S246/30)),1)),"--")</f>
        <v>--</v>
      </c>
      <c r="V246" s="23" t="str">
        <f>IF(SUGERENCIAS!N642="SIN","Sin datos anteriores",IF(SUGERENCIAS!N642="SUBIR_F","^ SUBIR FUERTE | Kg:"&amp;ROUND(SUGERENCIAS!K642,1)&amp;" R:"&amp;ROUND(SUGERENCIAS!L642,0)&amp;" RIR:"&amp;ROUND(SUGERENCIAS!M642,0),IF(SUGERENCIAS!N642="SUBIR_E","^ SUBIR (Est.) | Kg:"&amp;ROUND(SUGERENCIAS!K642,1)&amp;" R:"&amp;ROUND(SUGERENCIAS!L642,0)&amp;" RIR:"&amp;ROUND(SUGERENCIAS!M642,0),IF(SUGERENCIAS!N642="SUBIR","^ SUBIR | Kg:"&amp;ROUND(SUGERENCIAS!K642,1)&amp;" R:"&amp;ROUND(SUGERENCIAS!L642,0)&amp;" RIR:"&amp;ROUND(SUGERENCIAS!M642,0),IF(SUGERENCIAS!N642="BAJAR","v BAJAR | Kg:"&amp;ROUND(SUGERENCIAS!K642,1)&amp;" R:"&amp;ROUND(SUGERENCIAS!L642,0)&amp;" RIR:"&amp;ROUND(SUGERENCIAS!M642,0),"= MANT | Kg:"&amp;ROUND(SUGERENCIAS!K642,1)&amp;" R:"&amp;ROUND(SUGERENCIAS!L642,0)&amp;" RIR:"&amp;ROUND(SUGERENCIAS!M642,0))))))</f>
        <v>Sin datos anteriores</v>
      </c>
      <c r="W246" s="69">
        <f>MAX(IF((G246&gt;0)*(IF(H246="",-1,H246)&gt;=0)*(IF(H246="",-1,H246)&lt;=1),IF(C246="peso_corporal",IF(ISNUMBER(E246),E246,0)+F246,F246)*G246*1000+F246,0),IF((J246&gt;0)*(IF(K246="",-1,K246)&gt;=0)*(IF(K246="",-1,K246)&lt;=1),IF(C246="peso_corporal",IF(ISNUMBER(E246),E246,0)+I246,I246)*J246*1000+I246,0),IF((M246&gt;0)*(IF(N246="",-1,N246)&gt;=0)*(IF(N246="",-1,N246)&lt;=1),IF(C246="peso_corporal",IF(ISNUMBER(E246),E246,0)+L246,L246)*M246*1000+L246,0),IF((P246&gt;0)*(IF(Q246="",-1,Q246)&gt;=0)*(IF(Q246="",-1,Q246)&lt;=1),IF(C246="peso_corporal",IF(ISNUMBER(E246),E246,0)+O246,O246)*P246*1000+O246,0),IF((S246&gt;0)*(IF(T246="",-1,T246)&gt;=0)*(IF(T246="",-1,T246)&lt;=1),IF(C246="peso_corporal",IF(ISNUMBER(E246),E246,0)+R246,R246)*S246*1000+R246,0))</f>
        <v>0</v>
      </c>
      <c r="X246" s="69">
        <f>IF(W246=0,0,IF(IF((S246&gt;0)*(IF(T246="",-1,T246)&gt;=0)*(IF(T246="",-1,T246)&lt;=1),IF(C246="peso_corporal",IF(ISNUMBER(E246),E246,0)+R246,R246)*S246*1000+R246,0)=W246,5,IF(IF((P246&gt;0)*(IF(Q246="",-1,Q246)&gt;=0)*(IF(Q246="",-1,Q246)&lt;=1),IF(C246="peso_corporal",IF(ISNUMBER(E246),E246,0)+O246,O246)*P246*1000+O246,0)=W246,4,IF(IF((M246&gt;0)*(IF(N246="",-1,N246)&gt;=0)*(IF(N246="",-1,N246)&lt;=1),IF(C246="peso_corporal",IF(ISNUMBER(E246),E246,0)+L246,L246)*M246*1000+L246,0)=W246,3,IF(IF((J246&gt;0)*(IF(K246="",-1,K246)&gt;=0)*(IF(K246="",-1,K246)&lt;=1),IF(C246="peso_corporal",IF(ISNUMBER(E246),E246,0)+I246,I246)*J246*1000+I246,0)=W246,2,IF(IF((G246&gt;0)*(IF(H246="",-1,H246)&gt;=0)*(IF(H246="",-1,H246)&lt;=1),IF(C246="peso_corporal",IF(ISNUMBER(E246),E246,0)+F246,F246)*G246*1000+F246,0)=W246,1,0))))))</f>
        <v>0</v>
      </c>
      <c r="Y246" s="69">
        <f>MAX(IF((G246&gt;0)*(IF(H246="",-1,H246)=0)*(1-(IF(H246="",-1,H246)&gt;=0)*(IF(H246="",-1,H246)&lt;=1)),IF(C246="peso_corporal",IF(ISNUMBER(E246),E246,0)+F246,F246)*G246*1000+F246,0),IF((J246&gt;0)*(IF(K246="",-1,K246)=0)*(1-(IF(K246="",-1,K246)&gt;=0)*(IF(K246="",-1,K246)&lt;=1)),IF(C246="peso_corporal",IF(ISNUMBER(E246),E246,0)+I246,I246)*J246*1000+I246,0),IF((M246&gt;0)*(IF(N246="",-1,N246)=0)*(1-(IF(N246="",-1,N246)&gt;=0)*(IF(N246="",-1,N246)&lt;=1)),IF(C246="peso_corporal",IF(ISNUMBER(E246),E246,0)+L246,L246)*M246*1000+L246,0),IF((P246&gt;0)*(IF(Q246="",-1,Q246)=0)*(1-(IF(Q246="",-1,Q246)&gt;=0)*(IF(Q246="",-1,Q246)&lt;=1)),IF(C246="peso_corporal",IF(ISNUMBER(E246),E246,0)+O246,O246)*P246*1000+O246,0),IF((S246&gt;0)*(IF(T246="",-1,T246)=0)*(1-(IF(T246="",-1,T246)&gt;=0)*(IF(T246="",-1,T246)&lt;=1)),IF(C246="peso_corporal",IF(ISNUMBER(E246),E246,0)+R246,R246)*S246*1000+R246,0))</f>
        <v>0</v>
      </c>
      <c r="Z246" s="69">
        <f>IF(Y246=0,0,IF(IF((S246&gt;0)*(IF(T246="",-1,T246)=0)*(1-(IF(T246="",-1,T246)&gt;=0)*(IF(T246="",-1,T246)&lt;=1)),IF(C246="peso_corporal",IF(ISNUMBER(E246),E246,0)+R246,R246)*S246*1000+R246,0)=Y246,5,IF(IF((P246&gt;0)*(IF(Q246="",-1,Q246)=0)*(1-(IF(Q246="",-1,Q246)&gt;=0)*(IF(Q246="",-1,Q246)&lt;=1)),IF(C246="peso_corporal",IF(ISNUMBER(E246),E246,0)+O246,O246)*P246*1000+O246,0)=Y246,4,IF(IF((M246&gt;0)*(IF(N246="",-1,N246)=0)*(1-(IF(N246="",-1,N246)&gt;=0)*(IF(N246="",-1,N246)&lt;=1)),IF(C246="peso_corporal",IF(ISNUMBER(E246),E246,0)+L246,L246)*M246*1000+L246,0)=Y246,3,IF(IF((J246&gt;0)*(IF(K246="",-1,K246)=0)*(1-(IF(K246="",-1,K246)&gt;=0)*(IF(K246="",-1,K246)&lt;=1)),IF(C246="peso_corporal",IF(ISNUMBER(E246),E246,0)+I246,I246)*J246*1000+I246,0)=Y246,2,IF(IF((G246&gt;0)*(IF(H246="",-1,H246)=0)*(1-(IF(H246="",-1,H246)&gt;=0)*(IF(H246="",-1,H246)&lt;=1)),IF(C246="peso_corporal",IF(ISNUMBER(E246),E246,0)+F246,F246)*G246*1000+F246,0)=Y246,1,0))))))</f>
        <v>0</v>
      </c>
      <c r="AA246" s="69">
        <f>MAX(IF((G246&gt;=3)*(1-(IF(H246="",-1,H246)&gt;=0)*(IF(H246="",-1,H246)&lt;=1))*(1-(IF(H246="",-1,H246)=0)),IF(C246="peso_corporal",IF(ISNUMBER(E246),E246,0)+F246,F246)*(30+G246)*100+F246,0),IF((J246&gt;=3)*(1-(IF(K246="",-1,K246)&gt;=0)*(IF(K246="",-1,K246)&lt;=1))*(1-(IF(K246="",-1,K246)=0)),IF(C246="peso_corporal",IF(ISNUMBER(E246),E246,0)+I246,I246)*(30+J246)*100+I246,0),IF((M246&gt;=3)*(1-(IF(N246="",-1,N246)&gt;=0)*(IF(N246="",-1,N246)&lt;=1))*(1-(IF(N246="",-1,N246)=0)),IF(C246="peso_corporal",IF(ISNUMBER(E246),E246,0)+L246,L246)*(30+M246)*100+L246,0),IF((P246&gt;=3)*(1-(IF(Q246="",-1,Q246)&gt;=0)*(IF(Q246="",-1,Q246)&lt;=1))*(1-(IF(Q246="",-1,Q246)=0)),IF(C246="peso_corporal",IF(ISNUMBER(E246),E246,0)+O246,O246)*(30+P246)*100+O246,0),IF((S246&gt;=3)*(1-(IF(T246="",-1,T246)&gt;=0)*(IF(T246="",-1,T246)&lt;=1))*(1-(IF(T246="",-1,T246)=0)),IF(C246="peso_corporal",IF(ISNUMBER(E246),E246,0)+R246,R246)*(30+S246)*100+R246,0))</f>
        <v>0</v>
      </c>
      <c r="AB246" s="69">
        <f>IF(AA246=0,0,IF(IF((S246&gt;=3)*(1-(IF(T246="",-1,T246)&gt;=0)*(IF(T246="",-1,T246)&lt;=1))*(1-(IF(T246="",-1,T246)=0)),IF(C246="peso_corporal",IF(ISNUMBER(E246),E246,0)+R246,R246)*(30+S246)*100+R246,0)=AA246,5,IF(IF((P246&gt;=3)*(1-(IF(Q246="",-1,Q246)&gt;=0)*(IF(Q246="",-1,Q246)&lt;=1))*(1-(IF(Q246="",-1,Q246)=0)),IF(C246="peso_corporal",IF(ISNUMBER(E246),E246,0)+O246,O246)*(30+P246)*100+O246,0)=AA246,4,IF(IF((M246&gt;=3)*(1-(IF(N246="",-1,N246)&gt;=0)*(IF(N246="",-1,N246)&lt;=1))*(1-(IF(N246="",-1,N246)=0)),IF(C246="peso_corporal",IF(ISNUMBER(E246),E246,0)+L246,L246)*(30+M246)*100+L246,0)=AA246,3,IF(IF((J246&gt;=3)*(1-(IF(K246="",-1,K246)&gt;=0)*(IF(K246="",-1,K246)&lt;=1))*(1-(IF(K246="",-1,K246)=0)),IF(C246="peso_corporal",IF(ISNUMBER(E246),E246,0)+I246,I246)*(30+J246)*100+I246,0)=AA246,2,IF(IF((G246&gt;=3)*(1-(IF(H246="",-1,H246)&gt;=0)*(IF(H246="",-1,H246)&lt;=1))*(1-(IF(H246="",-1,H246)=0)),IF(C246="peso_corporal",IF(ISNUMBER(E246),E246,0)+F246,F246)*(30+G246)*100+F246,0)=AA246,1,0))))))</f>
        <v>0</v>
      </c>
      <c r="AC246" s="69" t="str">
        <f>IF(X246&gt;0,"A"&amp;X246,IF(Z246&gt;0,"B"&amp;Z246,IF(AB246&gt;0,"C"&amp;AB246,"")))</f>
        <v/>
      </c>
    </row>
    <row r="247" spans="1:29" ht="15" customHeight="1">
      <c r="A247" s="81" t="s">
        <v>53</v>
      </c>
      <c r="B247" s="73"/>
      <c r="C247" s="73"/>
      <c r="D247" s="73"/>
      <c r="E247" s="73"/>
      <c r="F247" s="73"/>
      <c r="G247" s="73"/>
      <c r="H247" s="73"/>
      <c r="I247" s="73"/>
      <c r="J247" s="73"/>
      <c r="K247" s="73"/>
      <c r="L247" s="73"/>
      <c r="M247" s="73"/>
      <c r="N247" s="73"/>
      <c r="O247" s="73"/>
      <c r="P247" s="73"/>
      <c r="Q247" s="73"/>
      <c r="R247" s="73"/>
      <c r="S247" s="73"/>
      <c r="T247" s="73"/>
      <c r="U247" s="73"/>
      <c r="V247" s="73"/>
      <c r="W247" s="69"/>
      <c r="X247" s="69"/>
      <c r="Y247" s="69"/>
      <c r="Z247" s="69"/>
      <c r="AA247" s="69"/>
      <c r="AB247" s="69"/>
      <c r="AC247" s="69"/>
    </row>
    <row r="248" spans="1:29" ht="20.100000000000001" customHeight="1">
      <c r="A248" s="14" t="s">
        <v>54</v>
      </c>
      <c r="B248" s="15" t="s">
        <v>67</v>
      </c>
      <c r="C248" s="16" t="str">
        <f>IFERROR(INDEX(EJERCICIOS!$D$3:$D$75,MATCH(A248&amp;"|"&amp;B248,EJERCICIOS!$G$3:$G$75,0)),"--")</f>
        <v>mancuerna</v>
      </c>
      <c r="D248" s="17">
        <v>3</v>
      </c>
      <c r="E248" s="18">
        <f>IFERROR(LOOKUP(2,1/(MEDIDAS_Y_PESO!$B$3:$B$13&lt;&gt;""),MEDIDAS_Y_PESO!$B$3:$B$13),"--")</f>
        <v>80</v>
      </c>
      <c r="F248" s="19"/>
      <c r="G248" s="20"/>
      <c r="H248" s="21"/>
      <c r="I248" s="19"/>
      <c r="J248" s="20"/>
      <c r="K248" s="21"/>
      <c r="L248" s="19"/>
      <c r="M248" s="20"/>
      <c r="N248" s="21"/>
      <c r="O248" s="19"/>
      <c r="P248" s="20"/>
      <c r="Q248" s="21"/>
      <c r="R248" s="19"/>
      <c r="S248" s="20"/>
      <c r="T248" s="21"/>
      <c r="U248" s="22" t="str">
        <f>IFERROR(IF(IF(X248&gt;0,X248,IF(Z248&gt;0,Z248,IF(AB248&gt;0,AB248,0)))=0,"--",ROUND(CHOOSE(IF(X248&gt;0,X248,IF(Z248&gt;0,Z248,IF(AB248&gt;0,AB248,0))),IF(C248="peso_corporal",IF(ISNUMBER(E248),E248,0)+F248,F248)*(1+G248/30),IF(C248="peso_corporal",IF(ISNUMBER(E248),E248,0)+I248,I248)*(1+J248/30),IF(C248="peso_corporal",IF(ISNUMBER(E248),E248,0)+L248,L248)*(1+M248/30),IF(C248="peso_corporal",IF(ISNUMBER(E248),E248,0)+O248,O248)*(1+P248/30),IF(C248="peso_corporal",IF(ISNUMBER(E248),E248,0)+R248,R248)*(1+S248/30)),1)),"--")</f>
        <v>--</v>
      </c>
      <c r="V248" s="23" t="str">
        <f>IF(SUGERENCIAS!N643="SIN","Sin datos anteriores",IF(SUGERENCIAS!N643="SUBIR_F","^ SUBIR FUERTE | Kg:"&amp;ROUND(SUGERENCIAS!K643,1)&amp;" R:"&amp;ROUND(SUGERENCIAS!L643,0)&amp;" RIR:"&amp;ROUND(SUGERENCIAS!M643,0),IF(SUGERENCIAS!N643="SUBIR_E","^ SUBIR (Est.) | Kg:"&amp;ROUND(SUGERENCIAS!K643,1)&amp;" R:"&amp;ROUND(SUGERENCIAS!L643,0)&amp;" RIR:"&amp;ROUND(SUGERENCIAS!M643,0),IF(SUGERENCIAS!N643="SUBIR","^ SUBIR | Kg:"&amp;ROUND(SUGERENCIAS!K643,1)&amp;" R:"&amp;ROUND(SUGERENCIAS!L643,0)&amp;" RIR:"&amp;ROUND(SUGERENCIAS!M643,0),IF(SUGERENCIAS!N643="BAJAR","v BAJAR | Kg:"&amp;ROUND(SUGERENCIAS!K643,1)&amp;" R:"&amp;ROUND(SUGERENCIAS!L643,0)&amp;" RIR:"&amp;ROUND(SUGERENCIAS!M643,0),"= MANT | Kg:"&amp;ROUND(SUGERENCIAS!K643,1)&amp;" R:"&amp;ROUND(SUGERENCIAS!L643,0)&amp;" RIR:"&amp;ROUND(SUGERENCIAS!M643,0))))))</f>
        <v>Sin datos anteriores</v>
      </c>
      <c r="W248" s="69">
        <f>MAX(IF((G248&gt;0)*(IF(H248="",-1,H248)&gt;=0)*(IF(H248="",-1,H248)&lt;=1),IF(C248="peso_corporal",IF(ISNUMBER(E248),E248,0)+F248,F248)*G248*1000+F248,0),IF((J248&gt;0)*(IF(K248="",-1,K248)&gt;=0)*(IF(K248="",-1,K248)&lt;=1),IF(C248="peso_corporal",IF(ISNUMBER(E248),E248,0)+I248,I248)*J248*1000+I248,0),IF((M248&gt;0)*(IF(N248="",-1,N248)&gt;=0)*(IF(N248="",-1,N248)&lt;=1),IF(C248="peso_corporal",IF(ISNUMBER(E248),E248,0)+L248,L248)*M248*1000+L248,0),IF((P248&gt;0)*(IF(Q248="",-1,Q248)&gt;=0)*(IF(Q248="",-1,Q248)&lt;=1),IF(C248="peso_corporal",IF(ISNUMBER(E248),E248,0)+O248,O248)*P248*1000+O248,0),IF((S248&gt;0)*(IF(T248="",-1,T248)&gt;=0)*(IF(T248="",-1,T248)&lt;=1),IF(C248="peso_corporal",IF(ISNUMBER(E248),E248,0)+R248,R248)*S248*1000+R248,0))</f>
        <v>0</v>
      </c>
      <c r="X248" s="69">
        <f>IF(W248=0,0,IF(IF((S248&gt;0)*(IF(T248="",-1,T248)&gt;=0)*(IF(T248="",-1,T248)&lt;=1),IF(C248="peso_corporal",IF(ISNUMBER(E248),E248,0)+R248,R248)*S248*1000+R248,0)=W248,5,IF(IF((P248&gt;0)*(IF(Q248="",-1,Q248)&gt;=0)*(IF(Q248="",-1,Q248)&lt;=1),IF(C248="peso_corporal",IF(ISNUMBER(E248),E248,0)+O248,O248)*P248*1000+O248,0)=W248,4,IF(IF((M248&gt;0)*(IF(N248="",-1,N248)&gt;=0)*(IF(N248="",-1,N248)&lt;=1),IF(C248="peso_corporal",IF(ISNUMBER(E248),E248,0)+L248,L248)*M248*1000+L248,0)=W248,3,IF(IF((J248&gt;0)*(IF(K248="",-1,K248)&gt;=0)*(IF(K248="",-1,K248)&lt;=1),IF(C248="peso_corporal",IF(ISNUMBER(E248),E248,0)+I248,I248)*J248*1000+I248,0)=W248,2,IF(IF((G248&gt;0)*(IF(H248="",-1,H248)&gt;=0)*(IF(H248="",-1,H248)&lt;=1),IF(C248="peso_corporal",IF(ISNUMBER(E248),E248,0)+F248,F248)*G248*1000+F248,0)=W248,1,0))))))</f>
        <v>0</v>
      </c>
      <c r="Y248" s="69">
        <f>MAX(IF((G248&gt;0)*(IF(H248="",-1,H248)=0)*(1-(IF(H248="",-1,H248)&gt;=0)*(IF(H248="",-1,H248)&lt;=1)),IF(C248="peso_corporal",IF(ISNUMBER(E248),E248,0)+F248,F248)*G248*1000+F248,0),IF((J248&gt;0)*(IF(K248="",-1,K248)=0)*(1-(IF(K248="",-1,K248)&gt;=0)*(IF(K248="",-1,K248)&lt;=1)),IF(C248="peso_corporal",IF(ISNUMBER(E248),E248,0)+I248,I248)*J248*1000+I248,0),IF((M248&gt;0)*(IF(N248="",-1,N248)=0)*(1-(IF(N248="",-1,N248)&gt;=0)*(IF(N248="",-1,N248)&lt;=1)),IF(C248="peso_corporal",IF(ISNUMBER(E248),E248,0)+L248,L248)*M248*1000+L248,0),IF((P248&gt;0)*(IF(Q248="",-1,Q248)=0)*(1-(IF(Q248="",-1,Q248)&gt;=0)*(IF(Q248="",-1,Q248)&lt;=1)),IF(C248="peso_corporal",IF(ISNUMBER(E248),E248,0)+O248,O248)*P248*1000+O248,0),IF((S248&gt;0)*(IF(T248="",-1,T248)=0)*(1-(IF(T248="",-1,T248)&gt;=0)*(IF(T248="",-1,T248)&lt;=1)),IF(C248="peso_corporal",IF(ISNUMBER(E248),E248,0)+R248,R248)*S248*1000+R248,0))</f>
        <v>0</v>
      </c>
      <c r="Z248" s="69">
        <f>IF(Y248=0,0,IF(IF((S248&gt;0)*(IF(T248="",-1,T248)=0)*(1-(IF(T248="",-1,T248)&gt;=0)*(IF(T248="",-1,T248)&lt;=1)),IF(C248="peso_corporal",IF(ISNUMBER(E248),E248,0)+R248,R248)*S248*1000+R248,0)=Y248,5,IF(IF((P248&gt;0)*(IF(Q248="",-1,Q248)=0)*(1-(IF(Q248="",-1,Q248)&gt;=0)*(IF(Q248="",-1,Q248)&lt;=1)),IF(C248="peso_corporal",IF(ISNUMBER(E248),E248,0)+O248,O248)*P248*1000+O248,0)=Y248,4,IF(IF((M248&gt;0)*(IF(N248="",-1,N248)=0)*(1-(IF(N248="",-1,N248)&gt;=0)*(IF(N248="",-1,N248)&lt;=1)),IF(C248="peso_corporal",IF(ISNUMBER(E248),E248,0)+L248,L248)*M248*1000+L248,0)=Y248,3,IF(IF((J248&gt;0)*(IF(K248="",-1,K248)=0)*(1-(IF(K248="",-1,K248)&gt;=0)*(IF(K248="",-1,K248)&lt;=1)),IF(C248="peso_corporal",IF(ISNUMBER(E248),E248,0)+I248,I248)*J248*1000+I248,0)=Y248,2,IF(IF((G248&gt;0)*(IF(H248="",-1,H248)=0)*(1-(IF(H248="",-1,H248)&gt;=0)*(IF(H248="",-1,H248)&lt;=1)),IF(C248="peso_corporal",IF(ISNUMBER(E248),E248,0)+F248,F248)*G248*1000+F248,0)=Y248,1,0))))))</f>
        <v>0</v>
      </c>
      <c r="AA248" s="69">
        <f>MAX(IF((G248&gt;=3)*(1-(IF(H248="",-1,H248)&gt;=0)*(IF(H248="",-1,H248)&lt;=1))*(1-(IF(H248="",-1,H248)=0)),IF(C248="peso_corporal",IF(ISNUMBER(E248),E248,0)+F248,F248)*(30+G248)*100+F248,0),IF((J248&gt;=3)*(1-(IF(K248="",-1,K248)&gt;=0)*(IF(K248="",-1,K248)&lt;=1))*(1-(IF(K248="",-1,K248)=0)),IF(C248="peso_corporal",IF(ISNUMBER(E248),E248,0)+I248,I248)*(30+J248)*100+I248,0),IF((M248&gt;=3)*(1-(IF(N248="",-1,N248)&gt;=0)*(IF(N248="",-1,N248)&lt;=1))*(1-(IF(N248="",-1,N248)=0)),IF(C248="peso_corporal",IF(ISNUMBER(E248),E248,0)+L248,L248)*(30+M248)*100+L248,0),IF((P248&gt;=3)*(1-(IF(Q248="",-1,Q248)&gt;=0)*(IF(Q248="",-1,Q248)&lt;=1))*(1-(IF(Q248="",-1,Q248)=0)),IF(C248="peso_corporal",IF(ISNUMBER(E248),E248,0)+O248,O248)*(30+P248)*100+O248,0),IF((S248&gt;=3)*(1-(IF(T248="",-1,T248)&gt;=0)*(IF(T248="",-1,T248)&lt;=1))*(1-(IF(T248="",-1,T248)=0)),IF(C248="peso_corporal",IF(ISNUMBER(E248),E248,0)+R248,R248)*(30+S248)*100+R248,0))</f>
        <v>0</v>
      </c>
      <c r="AB248" s="69">
        <f>IF(AA248=0,0,IF(IF((S248&gt;=3)*(1-(IF(T248="",-1,T248)&gt;=0)*(IF(T248="",-1,T248)&lt;=1))*(1-(IF(T248="",-1,T248)=0)),IF(C248="peso_corporal",IF(ISNUMBER(E248),E248,0)+R248,R248)*(30+S248)*100+R248,0)=AA248,5,IF(IF((P248&gt;=3)*(1-(IF(Q248="",-1,Q248)&gt;=0)*(IF(Q248="",-1,Q248)&lt;=1))*(1-(IF(Q248="",-1,Q248)=0)),IF(C248="peso_corporal",IF(ISNUMBER(E248),E248,0)+O248,O248)*(30+P248)*100+O248,0)=AA248,4,IF(IF((M248&gt;=3)*(1-(IF(N248="",-1,N248)&gt;=0)*(IF(N248="",-1,N248)&lt;=1))*(1-(IF(N248="",-1,N248)=0)),IF(C248="peso_corporal",IF(ISNUMBER(E248),E248,0)+L248,L248)*(30+M248)*100+L248,0)=AA248,3,IF(IF((J248&gt;=3)*(1-(IF(K248="",-1,K248)&gt;=0)*(IF(K248="",-1,K248)&lt;=1))*(1-(IF(K248="",-1,K248)=0)),IF(C248="peso_corporal",IF(ISNUMBER(E248),E248,0)+I248,I248)*(30+J248)*100+I248,0)=AA248,2,IF(IF((G248&gt;=3)*(1-(IF(H248="",-1,H248)&gt;=0)*(IF(H248="",-1,H248)&lt;=1))*(1-(IF(H248="",-1,H248)=0)),IF(C248="peso_corporal",IF(ISNUMBER(E248),E248,0)+F248,F248)*(30+G248)*100+F248,0)=AA248,1,0))))))</f>
        <v>0</v>
      </c>
      <c r="AC248" s="69" t="str">
        <f>IF(X248&gt;0,"A"&amp;X248,IF(Z248&gt;0,"B"&amp;Z248,IF(AB248&gt;0,"C"&amp;AB248,"")))</f>
        <v/>
      </c>
    </row>
    <row r="249" spans="1:29" ht="15" customHeight="1">
      <c r="A249" s="72" t="s">
        <v>56</v>
      </c>
      <c r="B249" s="73"/>
      <c r="C249" s="73"/>
      <c r="D249" s="73"/>
      <c r="E249" s="73"/>
      <c r="F249" s="73"/>
      <c r="G249" s="73"/>
      <c r="H249" s="73"/>
      <c r="I249" s="73"/>
      <c r="J249" s="73"/>
      <c r="K249" s="73"/>
      <c r="L249" s="73"/>
      <c r="M249" s="73"/>
      <c r="N249" s="73"/>
      <c r="O249" s="73"/>
      <c r="P249" s="73"/>
      <c r="Q249" s="73"/>
      <c r="R249" s="73"/>
      <c r="S249" s="73"/>
      <c r="T249" s="73"/>
      <c r="U249" s="73"/>
      <c r="V249" s="73"/>
      <c r="W249" s="69"/>
      <c r="X249" s="69"/>
      <c r="Y249" s="69"/>
      <c r="Z249" s="69"/>
      <c r="AA249" s="69"/>
      <c r="AB249" s="69"/>
      <c r="AC249" s="69"/>
    </row>
    <row r="250" spans="1:29" ht="20.100000000000001" customHeight="1">
      <c r="A250" s="14" t="s">
        <v>57</v>
      </c>
      <c r="B250" s="15" t="s">
        <v>58</v>
      </c>
      <c r="C250" s="16" t="str">
        <f>IFERROR(INDEX(EJERCICIOS!$D$3:$D$75,MATCH(A250&amp;"|"&amp;B250,EJERCICIOS!$G$3:$G$75,0)),"--")</f>
        <v>polea</v>
      </c>
      <c r="D250" s="17">
        <v>3</v>
      </c>
      <c r="E250" s="18">
        <f>IFERROR(LOOKUP(2,1/(MEDIDAS_Y_PESO!$B$3:$B$13&lt;&gt;""),MEDIDAS_Y_PESO!$B$3:$B$13),"--")</f>
        <v>80</v>
      </c>
      <c r="F250" s="19"/>
      <c r="G250" s="20"/>
      <c r="H250" s="21"/>
      <c r="I250" s="19"/>
      <c r="J250" s="20"/>
      <c r="K250" s="21"/>
      <c r="L250" s="19"/>
      <c r="M250" s="20"/>
      <c r="N250" s="21"/>
      <c r="O250" s="19"/>
      <c r="P250" s="20"/>
      <c r="Q250" s="21"/>
      <c r="R250" s="19"/>
      <c r="S250" s="20"/>
      <c r="T250" s="21"/>
      <c r="U250" s="22" t="str">
        <f>IFERROR(IF(IF(X250&gt;0,X250,IF(Z250&gt;0,Z250,IF(AB250&gt;0,AB250,0)))=0,"--",ROUND(CHOOSE(IF(X250&gt;0,X250,IF(Z250&gt;0,Z250,IF(AB250&gt;0,AB250,0))),IF(C250="peso_corporal",IF(ISNUMBER(E250),E250,0)+F250,F250)*(1+G250/30),IF(C250="peso_corporal",IF(ISNUMBER(E250),E250,0)+I250,I250)*(1+J250/30),IF(C250="peso_corporal",IF(ISNUMBER(E250),E250,0)+L250,L250)*(1+M250/30),IF(C250="peso_corporal",IF(ISNUMBER(E250),E250,0)+O250,O250)*(1+P250/30),IF(C250="peso_corporal",IF(ISNUMBER(E250),E250,0)+R250,R250)*(1+S250/30)),1)),"--")</f>
        <v>--</v>
      </c>
      <c r="V250" s="23" t="str">
        <f>IF(SUGERENCIAS!N644="SIN","Sin datos anteriores",IF(SUGERENCIAS!N644="SUBIR_F","^ SUBIR FUERTE | Kg:"&amp;ROUND(SUGERENCIAS!K644,1)&amp;" R:"&amp;ROUND(SUGERENCIAS!L644,0)&amp;" RIR:"&amp;ROUND(SUGERENCIAS!M644,0),IF(SUGERENCIAS!N644="SUBIR_E","^ SUBIR (Est.) | Kg:"&amp;ROUND(SUGERENCIAS!K644,1)&amp;" R:"&amp;ROUND(SUGERENCIAS!L644,0)&amp;" RIR:"&amp;ROUND(SUGERENCIAS!M644,0),IF(SUGERENCIAS!N644="SUBIR","^ SUBIR | Kg:"&amp;ROUND(SUGERENCIAS!K644,1)&amp;" R:"&amp;ROUND(SUGERENCIAS!L644,0)&amp;" RIR:"&amp;ROUND(SUGERENCIAS!M644,0),IF(SUGERENCIAS!N644="BAJAR","v BAJAR | Kg:"&amp;ROUND(SUGERENCIAS!K644,1)&amp;" R:"&amp;ROUND(SUGERENCIAS!L644,0)&amp;" RIR:"&amp;ROUND(SUGERENCIAS!M644,0),"= MANT | Kg:"&amp;ROUND(SUGERENCIAS!K644,1)&amp;" R:"&amp;ROUND(SUGERENCIAS!L644,0)&amp;" RIR:"&amp;ROUND(SUGERENCIAS!M644,0))))))</f>
        <v>Sin datos anteriores</v>
      </c>
      <c r="W250" s="69">
        <f>MAX(IF((G250&gt;0)*(IF(H250="",-1,H250)&gt;=0)*(IF(H250="",-1,H250)&lt;=1),IF(C250="peso_corporal",IF(ISNUMBER(E250),E250,0)+F250,F250)*G250*1000+F250,0),IF((J250&gt;0)*(IF(K250="",-1,K250)&gt;=0)*(IF(K250="",-1,K250)&lt;=1),IF(C250="peso_corporal",IF(ISNUMBER(E250),E250,0)+I250,I250)*J250*1000+I250,0),IF((M250&gt;0)*(IF(N250="",-1,N250)&gt;=0)*(IF(N250="",-1,N250)&lt;=1),IF(C250="peso_corporal",IF(ISNUMBER(E250),E250,0)+L250,L250)*M250*1000+L250,0),IF((P250&gt;0)*(IF(Q250="",-1,Q250)&gt;=0)*(IF(Q250="",-1,Q250)&lt;=1),IF(C250="peso_corporal",IF(ISNUMBER(E250),E250,0)+O250,O250)*P250*1000+O250,0),IF((S250&gt;0)*(IF(T250="",-1,T250)&gt;=0)*(IF(T250="",-1,T250)&lt;=1),IF(C250="peso_corporal",IF(ISNUMBER(E250),E250,0)+R250,R250)*S250*1000+R250,0))</f>
        <v>0</v>
      </c>
      <c r="X250" s="69">
        <f>IF(W250=0,0,IF(IF((S250&gt;0)*(IF(T250="",-1,T250)&gt;=0)*(IF(T250="",-1,T250)&lt;=1),IF(C250="peso_corporal",IF(ISNUMBER(E250),E250,0)+R250,R250)*S250*1000+R250,0)=W250,5,IF(IF((P250&gt;0)*(IF(Q250="",-1,Q250)&gt;=0)*(IF(Q250="",-1,Q250)&lt;=1),IF(C250="peso_corporal",IF(ISNUMBER(E250),E250,0)+O250,O250)*P250*1000+O250,0)=W250,4,IF(IF((M250&gt;0)*(IF(N250="",-1,N250)&gt;=0)*(IF(N250="",-1,N250)&lt;=1),IF(C250="peso_corporal",IF(ISNUMBER(E250),E250,0)+L250,L250)*M250*1000+L250,0)=W250,3,IF(IF((J250&gt;0)*(IF(K250="",-1,K250)&gt;=0)*(IF(K250="",-1,K250)&lt;=1),IF(C250="peso_corporal",IF(ISNUMBER(E250),E250,0)+I250,I250)*J250*1000+I250,0)=W250,2,IF(IF((G250&gt;0)*(IF(H250="",-1,H250)&gt;=0)*(IF(H250="",-1,H250)&lt;=1),IF(C250="peso_corporal",IF(ISNUMBER(E250),E250,0)+F250,F250)*G250*1000+F250,0)=W250,1,0))))))</f>
        <v>0</v>
      </c>
      <c r="Y250" s="69">
        <f>MAX(IF((G250&gt;0)*(IF(H250="",-1,H250)=0)*(1-(IF(H250="",-1,H250)&gt;=0)*(IF(H250="",-1,H250)&lt;=1)),IF(C250="peso_corporal",IF(ISNUMBER(E250),E250,0)+F250,F250)*G250*1000+F250,0),IF((J250&gt;0)*(IF(K250="",-1,K250)=0)*(1-(IF(K250="",-1,K250)&gt;=0)*(IF(K250="",-1,K250)&lt;=1)),IF(C250="peso_corporal",IF(ISNUMBER(E250),E250,0)+I250,I250)*J250*1000+I250,0),IF((M250&gt;0)*(IF(N250="",-1,N250)=0)*(1-(IF(N250="",-1,N250)&gt;=0)*(IF(N250="",-1,N250)&lt;=1)),IF(C250="peso_corporal",IF(ISNUMBER(E250),E250,0)+L250,L250)*M250*1000+L250,0),IF((P250&gt;0)*(IF(Q250="",-1,Q250)=0)*(1-(IF(Q250="",-1,Q250)&gt;=0)*(IF(Q250="",-1,Q250)&lt;=1)),IF(C250="peso_corporal",IF(ISNUMBER(E250),E250,0)+O250,O250)*P250*1000+O250,0),IF((S250&gt;0)*(IF(T250="",-1,T250)=0)*(1-(IF(T250="",-1,T250)&gt;=0)*(IF(T250="",-1,T250)&lt;=1)),IF(C250="peso_corporal",IF(ISNUMBER(E250),E250,0)+R250,R250)*S250*1000+R250,0))</f>
        <v>0</v>
      </c>
      <c r="Z250" s="69">
        <f>IF(Y250=0,0,IF(IF((S250&gt;0)*(IF(T250="",-1,T250)=0)*(1-(IF(T250="",-1,T250)&gt;=0)*(IF(T250="",-1,T250)&lt;=1)),IF(C250="peso_corporal",IF(ISNUMBER(E250),E250,0)+R250,R250)*S250*1000+R250,0)=Y250,5,IF(IF((P250&gt;0)*(IF(Q250="",-1,Q250)=0)*(1-(IF(Q250="",-1,Q250)&gt;=0)*(IF(Q250="",-1,Q250)&lt;=1)),IF(C250="peso_corporal",IF(ISNUMBER(E250),E250,0)+O250,O250)*P250*1000+O250,0)=Y250,4,IF(IF((M250&gt;0)*(IF(N250="",-1,N250)=0)*(1-(IF(N250="",-1,N250)&gt;=0)*(IF(N250="",-1,N250)&lt;=1)),IF(C250="peso_corporal",IF(ISNUMBER(E250),E250,0)+L250,L250)*M250*1000+L250,0)=Y250,3,IF(IF((J250&gt;0)*(IF(K250="",-1,K250)=0)*(1-(IF(K250="",-1,K250)&gt;=0)*(IF(K250="",-1,K250)&lt;=1)),IF(C250="peso_corporal",IF(ISNUMBER(E250),E250,0)+I250,I250)*J250*1000+I250,0)=Y250,2,IF(IF((G250&gt;0)*(IF(H250="",-1,H250)=0)*(1-(IF(H250="",-1,H250)&gt;=0)*(IF(H250="",-1,H250)&lt;=1)),IF(C250="peso_corporal",IF(ISNUMBER(E250),E250,0)+F250,F250)*G250*1000+F250,0)=Y250,1,0))))))</f>
        <v>0</v>
      </c>
      <c r="AA250" s="69">
        <f>MAX(IF((G250&gt;=3)*(1-(IF(H250="",-1,H250)&gt;=0)*(IF(H250="",-1,H250)&lt;=1))*(1-(IF(H250="",-1,H250)=0)),IF(C250="peso_corporal",IF(ISNUMBER(E250),E250,0)+F250,F250)*(30+G250)*100+F250,0),IF((J250&gt;=3)*(1-(IF(K250="",-1,K250)&gt;=0)*(IF(K250="",-1,K250)&lt;=1))*(1-(IF(K250="",-1,K250)=0)),IF(C250="peso_corporal",IF(ISNUMBER(E250),E250,0)+I250,I250)*(30+J250)*100+I250,0),IF((M250&gt;=3)*(1-(IF(N250="",-1,N250)&gt;=0)*(IF(N250="",-1,N250)&lt;=1))*(1-(IF(N250="",-1,N250)=0)),IF(C250="peso_corporal",IF(ISNUMBER(E250),E250,0)+L250,L250)*(30+M250)*100+L250,0),IF((P250&gt;=3)*(1-(IF(Q250="",-1,Q250)&gt;=0)*(IF(Q250="",-1,Q250)&lt;=1))*(1-(IF(Q250="",-1,Q250)=0)),IF(C250="peso_corporal",IF(ISNUMBER(E250),E250,0)+O250,O250)*(30+P250)*100+O250,0),IF((S250&gt;=3)*(1-(IF(T250="",-1,T250)&gt;=0)*(IF(T250="",-1,T250)&lt;=1))*(1-(IF(T250="",-1,T250)=0)),IF(C250="peso_corporal",IF(ISNUMBER(E250),E250,0)+R250,R250)*(30+S250)*100+R250,0))</f>
        <v>0</v>
      </c>
      <c r="AB250" s="69">
        <f>IF(AA250=0,0,IF(IF((S250&gt;=3)*(1-(IF(T250="",-1,T250)&gt;=0)*(IF(T250="",-1,T250)&lt;=1))*(1-(IF(T250="",-1,T250)=0)),IF(C250="peso_corporal",IF(ISNUMBER(E250),E250,0)+R250,R250)*(30+S250)*100+R250,0)=AA250,5,IF(IF((P250&gt;=3)*(1-(IF(Q250="",-1,Q250)&gt;=0)*(IF(Q250="",-1,Q250)&lt;=1))*(1-(IF(Q250="",-1,Q250)=0)),IF(C250="peso_corporal",IF(ISNUMBER(E250),E250,0)+O250,O250)*(30+P250)*100+O250,0)=AA250,4,IF(IF((M250&gt;=3)*(1-(IF(N250="",-1,N250)&gt;=0)*(IF(N250="",-1,N250)&lt;=1))*(1-(IF(N250="",-1,N250)=0)),IF(C250="peso_corporal",IF(ISNUMBER(E250),E250,0)+L250,L250)*(30+M250)*100+L250,0)=AA250,3,IF(IF((J250&gt;=3)*(1-(IF(K250="",-1,K250)&gt;=0)*(IF(K250="",-1,K250)&lt;=1))*(1-(IF(K250="",-1,K250)=0)),IF(C250="peso_corporal",IF(ISNUMBER(E250),E250,0)+I250,I250)*(30+J250)*100+I250,0)=AA250,2,IF(IF((G250&gt;=3)*(1-(IF(H250="",-1,H250)&gt;=0)*(IF(H250="",-1,H250)&lt;=1))*(1-(IF(H250="",-1,H250)=0)),IF(C250="peso_corporal",IF(ISNUMBER(E250),E250,0)+F250,F250)*(30+G250)*100+F250,0)=AA250,1,0))))))</f>
        <v>0</v>
      </c>
      <c r="AC250" s="69" t="str">
        <f>IF(X250&gt;0,"A"&amp;X250,IF(Z250&gt;0,"B"&amp;Z250,IF(AB250&gt;0,"C"&amp;AB250,"")))</f>
        <v/>
      </c>
    </row>
    <row r="251" spans="1:29" ht="6"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69"/>
      <c r="X251" s="69"/>
      <c r="Y251" s="69"/>
      <c r="Z251" s="69"/>
      <c r="AA251" s="69"/>
      <c r="AB251" s="69"/>
      <c r="AC251" s="69"/>
    </row>
    <row r="252" spans="1:29" ht="18" customHeight="1">
      <c r="A252" s="85" t="s">
        <v>77</v>
      </c>
      <c r="B252" s="73"/>
      <c r="C252" s="73"/>
      <c r="D252" s="73"/>
      <c r="E252" s="73"/>
      <c r="F252" s="73"/>
      <c r="G252" s="73"/>
      <c r="H252" s="73"/>
      <c r="I252" s="73"/>
      <c r="J252" s="73"/>
      <c r="K252" s="73"/>
      <c r="L252" s="73"/>
      <c r="M252" s="73"/>
      <c r="N252" s="73"/>
      <c r="O252" s="73"/>
      <c r="P252" s="73"/>
      <c r="Q252" s="73"/>
      <c r="R252" s="73"/>
      <c r="S252" s="73"/>
      <c r="T252" s="73"/>
      <c r="U252" s="73"/>
      <c r="V252" s="73"/>
      <c r="W252" s="69"/>
      <c r="X252" s="69"/>
      <c r="Y252" s="69"/>
      <c r="Z252" s="69"/>
      <c r="AA252" s="69"/>
      <c r="AB252" s="69"/>
      <c r="AC252" s="69"/>
    </row>
    <row r="253" spans="1:29" ht="15" customHeight="1">
      <c r="A253" s="75" t="s">
        <v>28</v>
      </c>
      <c r="B253" s="73"/>
      <c r="C253" s="73"/>
      <c r="D253" s="73"/>
      <c r="E253" s="73"/>
      <c r="F253" s="73"/>
      <c r="G253" s="73"/>
      <c r="H253" s="73"/>
      <c r="I253" s="73"/>
      <c r="J253" s="73"/>
      <c r="K253" s="73"/>
      <c r="L253" s="73"/>
      <c r="M253" s="73"/>
      <c r="N253" s="73"/>
      <c r="O253" s="73"/>
      <c r="P253" s="73"/>
      <c r="Q253" s="73"/>
      <c r="R253" s="73"/>
      <c r="S253" s="73"/>
      <c r="T253" s="73"/>
      <c r="U253" s="73"/>
      <c r="V253" s="73"/>
      <c r="W253" s="69"/>
      <c r="X253" s="69"/>
      <c r="Y253" s="69"/>
      <c r="Z253" s="69"/>
      <c r="AA253" s="69"/>
      <c r="AB253" s="69"/>
      <c r="AC253" s="69"/>
    </row>
    <row r="254" spans="1:29" ht="11.1" customHeight="1">
      <c r="A254" s="76" t="s">
        <v>29</v>
      </c>
      <c r="B254" s="73"/>
      <c r="C254" s="73"/>
      <c r="D254" s="73"/>
      <c r="E254" s="73"/>
      <c r="F254" s="73"/>
      <c r="G254" s="73"/>
      <c r="H254" s="73"/>
      <c r="I254" s="73"/>
      <c r="J254" s="73"/>
      <c r="K254" s="73"/>
      <c r="L254" s="73"/>
      <c r="M254" s="73"/>
      <c r="N254" s="73"/>
      <c r="O254" s="73"/>
      <c r="P254" s="73"/>
      <c r="Q254" s="73"/>
      <c r="R254" s="73"/>
      <c r="S254" s="73"/>
      <c r="T254" s="73"/>
      <c r="U254" s="73"/>
      <c r="V254" s="73"/>
      <c r="W254" s="69"/>
      <c r="X254" s="69"/>
      <c r="Y254" s="69"/>
      <c r="Z254" s="69"/>
      <c r="AA254" s="69"/>
      <c r="AB254" s="69"/>
      <c r="AC254" s="69"/>
    </row>
    <row r="255" spans="1:29" ht="20.100000000000001" customHeight="1">
      <c r="A255" s="14" t="s">
        <v>30</v>
      </c>
      <c r="B255" s="15" t="s">
        <v>60</v>
      </c>
      <c r="C255" s="16" t="str">
        <f>IFERROR(INDEX(EJERCICIOS!$D$3:$D$75,MATCH(A255&amp;"|"&amp;B255,EJERCICIOS!$G$3:$G$75,0)),"--")</f>
        <v>disco</v>
      </c>
      <c r="D255" s="17">
        <v>3</v>
      </c>
      <c r="E255" s="18">
        <f>IFERROR(LOOKUP(2,1/(MEDIDAS_Y_PESO!$B$3:$B$14&lt;&gt;""),MEDIDAS_Y_PESO!$B$3:$B$14),"--")</f>
        <v>80</v>
      </c>
      <c r="F255" s="19"/>
      <c r="G255" s="20"/>
      <c r="H255" s="21"/>
      <c r="I255" s="19"/>
      <c r="J255" s="20"/>
      <c r="K255" s="21"/>
      <c r="L255" s="19"/>
      <c r="M255" s="20"/>
      <c r="N255" s="21"/>
      <c r="O255" s="19"/>
      <c r="P255" s="20"/>
      <c r="Q255" s="21"/>
      <c r="R255" s="19"/>
      <c r="S255" s="20"/>
      <c r="T255" s="21"/>
      <c r="U255" s="22" t="str">
        <f>IFERROR(IF(IF(X255&gt;0,X255,IF(Z255&gt;0,Z255,IF(AB255&gt;0,AB255,0)))=0,"--",ROUND(CHOOSE(IF(X255&gt;0,X255,IF(Z255&gt;0,Z255,IF(AB255&gt;0,AB255,0))),IF(C255="peso_corporal",IF(ISNUMBER(E255),E255,0)+F255,F255)*(1+G255/30),IF(C255="peso_corporal",IF(ISNUMBER(E255),E255,0)+I255,I255)*(1+J255/30),IF(C255="peso_corporal",IF(ISNUMBER(E255),E255,0)+L255,L255)*(1+M255/30),IF(C255="peso_corporal",IF(ISNUMBER(E255),E255,0)+O255,O255)*(1+P255/30),IF(C255="peso_corporal",IF(ISNUMBER(E255),E255,0)+R255,R255)*(1+S255/30)),1)),"--")</f>
        <v>--</v>
      </c>
      <c r="V255" s="23" t="str">
        <f>IF(SUGERENCIAS!N697="SIN","Sin datos anteriores",IF(SUGERENCIAS!N697="SUBIR_F","^ SUBIR FUERTE | Kg:"&amp;ROUND(SUGERENCIAS!K697,1)&amp;" R:"&amp;ROUND(SUGERENCIAS!L697,0)&amp;" RIR:"&amp;ROUND(SUGERENCIAS!M697,0),IF(SUGERENCIAS!N697="SUBIR_E","^ SUBIR (Est.) | Kg:"&amp;ROUND(SUGERENCIAS!K697,1)&amp;" R:"&amp;ROUND(SUGERENCIAS!L697,0)&amp;" RIR:"&amp;ROUND(SUGERENCIAS!M697,0),IF(SUGERENCIAS!N697="SUBIR","^ SUBIR | Kg:"&amp;ROUND(SUGERENCIAS!K697,1)&amp;" R:"&amp;ROUND(SUGERENCIAS!L697,0)&amp;" RIR:"&amp;ROUND(SUGERENCIAS!M697,0),IF(SUGERENCIAS!N697="BAJAR","v BAJAR | Kg:"&amp;ROUND(SUGERENCIAS!K697,1)&amp;" R:"&amp;ROUND(SUGERENCIAS!L697,0)&amp;" RIR:"&amp;ROUND(SUGERENCIAS!M697,0),"= MANT | Kg:"&amp;ROUND(SUGERENCIAS!K697,1)&amp;" R:"&amp;ROUND(SUGERENCIAS!L697,0)&amp;" RIR:"&amp;ROUND(SUGERENCIAS!M697,0))))))</f>
        <v>Sin datos anteriores</v>
      </c>
      <c r="W255" s="69">
        <f>MAX(IF((G255&gt;0)*(IF(H255="",-1,H255)&gt;=3)*(IF(H255="",-1,H255)&lt;=4),IF(C255="peso_corporal",IF(ISNUMBER(E255),E255,0)+F255,F255)*G255*1000+F255,0),IF((J255&gt;0)*(IF(K255="",-1,K255)&gt;=3)*(IF(K255="",-1,K255)&lt;=4),IF(C255="peso_corporal",IF(ISNUMBER(E255),E255,0)+I255,I255)*J255*1000+I255,0),IF((M255&gt;0)*(IF(N255="",-1,N255)&gt;=3)*(IF(N255="",-1,N255)&lt;=4),IF(C255="peso_corporal",IF(ISNUMBER(E255),E255,0)+L255,L255)*M255*1000+L255,0),IF((P255&gt;0)*(IF(Q255="",-1,Q255)&gt;=3)*(IF(Q255="",-1,Q255)&lt;=4),IF(C255="peso_corporal",IF(ISNUMBER(E255),E255,0)+O255,O255)*P255*1000+O255,0),IF((S255&gt;0)*(IF(T255="",-1,T255)&gt;=3)*(IF(T255="",-1,T255)&lt;=4),IF(C255="peso_corporal",IF(ISNUMBER(E255),E255,0)+R255,R255)*S255*1000+R255,0))</f>
        <v>0</v>
      </c>
      <c r="X255" s="69">
        <f>IF(W255=0,0,IF(IF((S255&gt;0)*(IF(T255="",-1,T255)&gt;=3)*(IF(T255="",-1,T255)&lt;=4),IF(C255="peso_corporal",IF(ISNUMBER(E255),E255,0)+R255,R255)*S255*1000+R255,0)=W255,5,IF(IF((P255&gt;0)*(IF(Q255="",-1,Q255)&gt;=3)*(IF(Q255="",-1,Q255)&lt;=4),IF(C255="peso_corporal",IF(ISNUMBER(E255),E255,0)+O255,O255)*P255*1000+O255,0)=W255,4,IF(IF((M255&gt;0)*(IF(N255="",-1,N255)&gt;=3)*(IF(N255="",-1,N255)&lt;=4),IF(C255="peso_corporal",IF(ISNUMBER(E255),E255,0)+L255,L255)*M255*1000+L255,0)=W255,3,IF(IF((J255&gt;0)*(IF(K255="",-1,K255)&gt;=3)*(IF(K255="",-1,K255)&lt;=4),IF(C255="peso_corporal",IF(ISNUMBER(E255),E255,0)+I255,I255)*J255*1000+I255,0)=W255,2,IF(IF((G255&gt;0)*(IF(H255="",-1,H255)&gt;=3)*(IF(H255="",-1,H255)&lt;=4),IF(C255="peso_corporal",IF(ISNUMBER(E255),E255,0)+F255,F255)*G255*1000+F255,0)=W255,1,0))))))</f>
        <v>0</v>
      </c>
      <c r="Y255" s="69">
        <f>MAX(IF((G255&gt;0)*(IF(H255="",-1,H255)=0)*(1-(IF(H255="",-1,H255)&gt;=3)*(IF(H255="",-1,H255)&lt;=4)),IF(C255="peso_corporal",IF(ISNUMBER(E255),E255,0)+F255,F255)*G255*1000+F255,0),IF((J255&gt;0)*(IF(K255="",-1,K255)=0)*(1-(IF(K255="",-1,K255)&gt;=3)*(IF(K255="",-1,K255)&lt;=4)),IF(C255="peso_corporal",IF(ISNUMBER(E255),E255,0)+I255,I255)*J255*1000+I255,0),IF((M255&gt;0)*(IF(N255="",-1,N255)=0)*(1-(IF(N255="",-1,N255)&gt;=3)*(IF(N255="",-1,N255)&lt;=4)),IF(C255="peso_corporal",IF(ISNUMBER(E255),E255,0)+L255,L255)*M255*1000+L255,0),IF((P255&gt;0)*(IF(Q255="",-1,Q255)=0)*(1-(IF(Q255="",-1,Q255)&gt;=3)*(IF(Q255="",-1,Q255)&lt;=4)),IF(C255="peso_corporal",IF(ISNUMBER(E255),E255,0)+O255,O255)*P255*1000+O255,0),IF((S255&gt;0)*(IF(T255="",-1,T255)=0)*(1-(IF(T255="",-1,T255)&gt;=3)*(IF(T255="",-1,T255)&lt;=4)),IF(C255="peso_corporal",IF(ISNUMBER(E255),E255,0)+R255,R255)*S255*1000+R255,0))</f>
        <v>0</v>
      </c>
      <c r="Z255" s="69">
        <f>IF(Y255=0,0,IF(IF((S255&gt;0)*(IF(T255="",-1,T255)=0)*(1-(IF(T255="",-1,T255)&gt;=3)*(IF(T255="",-1,T255)&lt;=4)),IF(C255="peso_corporal",IF(ISNUMBER(E255),E255,0)+R255,R255)*S255*1000+R255,0)=Y255,5,IF(IF((P255&gt;0)*(IF(Q255="",-1,Q255)=0)*(1-(IF(Q255="",-1,Q255)&gt;=3)*(IF(Q255="",-1,Q255)&lt;=4)),IF(C255="peso_corporal",IF(ISNUMBER(E255),E255,0)+O255,O255)*P255*1000+O255,0)=Y255,4,IF(IF((M255&gt;0)*(IF(N255="",-1,N255)=0)*(1-(IF(N255="",-1,N255)&gt;=3)*(IF(N255="",-1,N255)&lt;=4)),IF(C255="peso_corporal",IF(ISNUMBER(E255),E255,0)+L255,L255)*M255*1000+L255,0)=Y255,3,IF(IF((J255&gt;0)*(IF(K255="",-1,K255)=0)*(1-(IF(K255="",-1,K255)&gt;=3)*(IF(K255="",-1,K255)&lt;=4)),IF(C255="peso_corporal",IF(ISNUMBER(E255),E255,0)+I255,I255)*J255*1000+I255,0)=Y255,2,IF(IF((G255&gt;0)*(IF(H255="",-1,H255)=0)*(1-(IF(H255="",-1,H255)&gt;=3)*(IF(H255="",-1,H255)&lt;=4)),IF(C255="peso_corporal",IF(ISNUMBER(E255),E255,0)+F255,F255)*G255*1000+F255,0)=Y255,1,0))))))</f>
        <v>0</v>
      </c>
      <c r="AA255" s="69">
        <f>MAX(IF((G255&gt;=12)*(1-(IF(H255="",-1,H255)&gt;=3)*(IF(H255="",-1,H255)&lt;=4))*(1-(IF(H255="",-1,H255)=0)),IF(C255="peso_corporal",IF(ISNUMBER(E255),E255,0)+F255,F255)*(30+G255)*100+F255,0),IF((J255&gt;=12)*(1-(IF(K255="",-1,K255)&gt;=3)*(IF(K255="",-1,K255)&lt;=4))*(1-(IF(K255="",-1,K255)=0)),IF(C255="peso_corporal",IF(ISNUMBER(E255),E255,0)+I255,I255)*(30+J255)*100+I255,0),IF((M255&gt;=12)*(1-(IF(N255="",-1,N255)&gt;=3)*(IF(N255="",-1,N255)&lt;=4))*(1-(IF(N255="",-1,N255)=0)),IF(C255="peso_corporal",IF(ISNUMBER(E255),E255,0)+L255,L255)*(30+M255)*100+L255,0),IF((P255&gt;=12)*(1-(IF(Q255="",-1,Q255)&gt;=3)*(IF(Q255="",-1,Q255)&lt;=4))*(1-(IF(Q255="",-1,Q255)=0)),IF(C255="peso_corporal",IF(ISNUMBER(E255),E255,0)+O255,O255)*(30+P255)*100+O255,0),IF((S255&gt;=12)*(1-(IF(T255="",-1,T255)&gt;=3)*(IF(T255="",-1,T255)&lt;=4))*(1-(IF(T255="",-1,T255)=0)),IF(C255="peso_corporal",IF(ISNUMBER(E255),E255,0)+R255,R255)*(30+S255)*100+R255,0))</f>
        <v>0</v>
      </c>
      <c r="AB255" s="69">
        <f>IF(AA255=0,0,IF(IF((S255&gt;=12)*(1-(IF(T255="",-1,T255)&gt;=3)*(IF(T255="",-1,T255)&lt;=4))*(1-(IF(T255="",-1,T255)=0)),IF(C255="peso_corporal",IF(ISNUMBER(E255),E255,0)+R255,R255)*(30+S255)*100+R255,0)=AA255,5,IF(IF((P255&gt;=12)*(1-(IF(Q255="",-1,Q255)&gt;=3)*(IF(Q255="",-1,Q255)&lt;=4))*(1-(IF(Q255="",-1,Q255)=0)),IF(C255="peso_corporal",IF(ISNUMBER(E255),E255,0)+O255,O255)*(30+P255)*100+O255,0)=AA255,4,IF(IF((M255&gt;=12)*(1-(IF(N255="",-1,N255)&gt;=3)*(IF(N255="",-1,N255)&lt;=4))*(1-(IF(N255="",-1,N255)=0)),IF(C255="peso_corporal",IF(ISNUMBER(E255),E255,0)+L255,L255)*(30+M255)*100+L255,0)=AA255,3,IF(IF((J255&gt;=12)*(1-(IF(K255="",-1,K255)&gt;=3)*(IF(K255="",-1,K255)&lt;=4))*(1-(IF(K255="",-1,K255)=0)),IF(C255="peso_corporal",IF(ISNUMBER(E255),E255,0)+I255,I255)*(30+J255)*100+I255,0)=AA255,2,IF(IF((G255&gt;=12)*(1-(IF(H255="",-1,H255)&gt;=3)*(IF(H255="",-1,H255)&lt;=4))*(1-(IF(H255="",-1,H255)=0)),IF(C255="peso_corporal",IF(ISNUMBER(E255),E255,0)+F255,F255)*(30+G255)*100+F255,0)=AA255,1,0))))))</f>
        <v>0</v>
      </c>
      <c r="AC255" s="69" t="str">
        <f>IF(X255&gt;0,"A"&amp;X255,IF(Z255&gt;0,"B"&amp;Z255,IF(AB255&gt;0,"C"&amp;AB255,"")))</f>
        <v/>
      </c>
    </row>
    <row r="256" spans="1:29" ht="11.1" customHeight="1">
      <c r="A256" s="84" t="s">
        <v>32</v>
      </c>
      <c r="B256" s="73"/>
      <c r="C256" s="73"/>
      <c r="D256" s="73"/>
      <c r="E256" s="73"/>
      <c r="F256" s="73"/>
      <c r="G256" s="73"/>
      <c r="H256" s="73"/>
      <c r="I256" s="73"/>
      <c r="J256" s="73"/>
      <c r="K256" s="73"/>
      <c r="L256" s="73"/>
      <c r="M256" s="73"/>
      <c r="N256" s="73"/>
      <c r="O256" s="73"/>
      <c r="P256" s="73"/>
      <c r="Q256" s="73"/>
      <c r="R256" s="73"/>
      <c r="S256" s="73"/>
      <c r="T256" s="73"/>
      <c r="U256" s="73"/>
      <c r="V256" s="73"/>
      <c r="W256" s="69"/>
      <c r="X256" s="69"/>
      <c r="Y256" s="69"/>
      <c r="Z256" s="69"/>
      <c r="AA256" s="69"/>
      <c r="AB256" s="69"/>
      <c r="AC256" s="69"/>
    </row>
    <row r="257" spans="1:29" ht="20.100000000000001" customHeight="1">
      <c r="A257" s="14" t="s">
        <v>61</v>
      </c>
      <c r="B257" s="15" t="s">
        <v>31</v>
      </c>
      <c r="C257" s="16" t="str">
        <f>IFERROR(INDEX(EJERCICIOS!$D$3:$D$75,MATCH(A257&amp;"|"&amp;B257,EJERCICIOS!$G$3:$G$75,0)),"--")</f>
        <v>mancuerna</v>
      </c>
      <c r="D257" s="17">
        <v>3</v>
      </c>
      <c r="E257" s="18">
        <f>IFERROR(LOOKUP(2,1/(MEDIDAS_Y_PESO!$B$3:$B$14&lt;&gt;""),MEDIDAS_Y_PESO!$B$3:$B$14),"--")</f>
        <v>80</v>
      </c>
      <c r="F257" s="19"/>
      <c r="G257" s="20"/>
      <c r="H257" s="21"/>
      <c r="I257" s="19"/>
      <c r="J257" s="20"/>
      <c r="K257" s="21"/>
      <c r="L257" s="19"/>
      <c r="M257" s="20"/>
      <c r="N257" s="21"/>
      <c r="O257" s="19"/>
      <c r="P257" s="20"/>
      <c r="Q257" s="21"/>
      <c r="R257" s="19"/>
      <c r="S257" s="20"/>
      <c r="T257" s="21"/>
      <c r="U257" s="22" t="str">
        <f>IFERROR(IF(IF(X257&gt;0,X257,IF(Z257&gt;0,Z257,IF(AB257&gt;0,AB257,0)))=0,"--",ROUND(CHOOSE(IF(X257&gt;0,X257,IF(Z257&gt;0,Z257,IF(AB257&gt;0,AB257,0))),IF(C257="peso_corporal",IF(ISNUMBER(E257),E257,0)+F257,F257)*(1+G257/30),IF(C257="peso_corporal",IF(ISNUMBER(E257),E257,0)+I257,I257)*(1+J257/30),IF(C257="peso_corporal",IF(ISNUMBER(E257),E257,0)+L257,L257)*(1+M257/30),IF(C257="peso_corporal",IF(ISNUMBER(E257),E257,0)+O257,O257)*(1+P257/30),IF(C257="peso_corporal",IF(ISNUMBER(E257),E257,0)+R257,R257)*(1+S257/30)),1)),"--")</f>
        <v>--</v>
      </c>
      <c r="V257" s="23" t="str">
        <f>IF(SUGERENCIAS!N698="SIN","Sin datos anteriores",IF(SUGERENCIAS!N698="SUBIR_F","^ SUBIR FUERTE | Kg:"&amp;ROUND(SUGERENCIAS!K698,1)&amp;" R:"&amp;ROUND(SUGERENCIAS!L698,0)&amp;" RIR:"&amp;ROUND(SUGERENCIAS!M698,0),IF(SUGERENCIAS!N698="SUBIR_E","^ SUBIR (Est.) | Kg:"&amp;ROUND(SUGERENCIAS!K698,1)&amp;" R:"&amp;ROUND(SUGERENCIAS!L698,0)&amp;" RIR:"&amp;ROUND(SUGERENCIAS!M698,0),IF(SUGERENCIAS!N698="SUBIR","^ SUBIR | Kg:"&amp;ROUND(SUGERENCIAS!K698,1)&amp;" R:"&amp;ROUND(SUGERENCIAS!L698,0)&amp;" RIR:"&amp;ROUND(SUGERENCIAS!M698,0),IF(SUGERENCIAS!N698="BAJAR","v BAJAR | Kg:"&amp;ROUND(SUGERENCIAS!K698,1)&amp;" R:"&amp;ROUND(SUGERENCIAS!L698,0)&amp;" RIR:"&amp;ROUND(SUGERENCIAS!M698,0),"= MANT | Kg:"&amp;ROUND(SUGERENCIAS!K698,1)&amp;" R:"&amp;ROUND(SUGERENCIAS!L698,0)&amp;" RIR:"&amp;ROUND(SUGERENCIAS!M698,0))))))</f>
        <v>Sin datos anteriores</v>
      </c>
      <c r="W257" s="69">
        <f>MAX(IF((G257&gt;0)*(IF(H257="",-1,H257)&gt;=3)*(IF(H257="",-1,H257)&lt;=4),IF(C257="peso_corporal",IF(ISNUMBER(E257),E257,0)+F257,F257)*G257*1000+F257,0),IF((J257&gt;0)*(IF(K257="",-1,K257)&gt;=3)*(IF(K257="",-1,K257)&lt;=4),IF(C257="peso_corporal",IF(ISNUMBER(E257),E257,0)+I257,I257)*J257*1000+I257,0),IF((M257&gt;0)*(IF(N257="",-1,N257)&gt;=3)*(IF(N257="",-1,N257)&lt;=4),IF(C257="peso_corporal",IF(ISNUMBER(E257),E257,0)+L257,L257)*M257*1000+L257,0),IF((P257&gt;0)*(IF(Q257="",-1,Q257)&gt;=3)*(IF(Q257="",-1,Q257)&lt;=4),IF(C257="peso_corporal",IF(ISNUMBER(E257),E257,0)+O257,O257)*P257*1000+O257,0),IF((S257&gt;0)*(IF(T257="",-1,T257)&gt;=3)*(IF(T257="",-1,T257)&lt;=4),IF(C257="peso_corporal",IF(ISNUMBER(E257),E257,0)+R257,R257)*S257*1000+R257,0))</f>
        <v>0</v>
      </c>
      <c r="X257" s="69">
        <f>IF(W257=0,0,IF(IF((S257&gt;0)*(IF(T257="",-1,T257)&gt;=3)*(IF(T257="",-1,T257)&lt;=4),IF(C257="peso_corporal",IF(ISNUMBER(E257),E257,0)+R257,R257)*S257*1000+R257,0)=W257,5,IF(IF((P257&gt;0)*(IF(Q257="",-1,Q257)&gt;=3)*(IF(Q257="",-1,Q257)&lt;=4),IF(C257="peso_corporal",IF(ISNUMBER(E257),E257,0)+O257,O257)*P257*1000+O257,0)=W257,4,IF(IF((M257&gt;0)*(IF(N257="",-1,N257)&gt;=3)*(IF(N257="",-1,N257)&lt;=4),IF(C257="peso_corporal",IF(ISNUMBER(E257),E257,0)+L257,L257)*M257*1000+L257,0)=W257,3,IF(IF((J257&gt;0)*(IF(K257="",-1,K257)&gt;=3)*(IF(K257="",-1,K257)&lt;=4),IF(C257="peso_corporal",IF(ISNUMBER(E257),E257,0)+I257,I257)*J257*1000+I257,0)=W257,2,IF(IF((G257&gt;0)*(IF(H257="",-1,H257)&gt;=3)*(IF(H257="",-1,H257)&lt;=4),IF(C257="peso_corporal",IF(ISNUMBER(E257),E257,0)+F257,F257)*G257*1000+F257,0)=W257,1,0))))))</f>
        <v>0</v>
      </c>
      <c r="Y257" s="69">
        <f>MAX(IF((G257&gt;0)*(IF(H257="",-1,H257)=0)*(1-(IF(H257="",-1,H257)&gt;=3)*(IF(H257="",-1,H257)&lt;=4)),IF(C257="peso_corporal",IF(ISNUMBER(E257),E257,0)+F257,F257)*G257*1000+F257,0),IF((J257&gt;0)*(IF(K257="",-1,K257)=0)*(1-(IF(K257="",-1,K257)&gt;=3)*(IF(K257="",-1,K257)&lt;=4)),IF(C257="peso_corporal",IF(ISNUMBER(E257),E257,0)+I257,I257)*J257*1000+I257,0),IF((M257&gt;0)*(IF(N257="",-1,N257)=0)*(1-(IF(N257="",-1,N257)&gt;=3)*(IF(N257="",-1,N257)&lt;=4)),IF(C257="peso_corporal",IF(ISNUMBER(E257),E257,0)+L257,L257)*M257*1000+L257,0),IF((P257&gt;0)*(IF(Q257="",-1,Q257)=0)*(1-(IF(Q257="",-1,Q257)&gt;=3)*(IF(Q257="",-1,Q257)&lt;=4)),IF(C257="peso_corporal",IF(ISNUMBER(E257),E257,0)+O257,O257)*P257*1000+O257,0),IF((S257&gt;0)*(IF(T257="",-1,T257)=0)*(1-(IF(T257="",-1,T257)&gt;=3)*(IF(T257="",-1,T257)&lt;=4)),IF(C257="peso_corporal",IF(ISNUMBER(E257),E257,0)+R257,R257)*S257*1000+R257,0))</f>
        <v>0</v>
      </c>
      <c r="Z257" s="69">
        <f>IF(Y257=0,0,IF(IF((S257&gt;0)*(IF(T257="",-1,T257)=0)*(1-(IF(T257="",-1,T257)&gt;=3)*(IF(T257="",-1,T257)&lt;=4)),IF(C257="peso_corporal",IF(ISNUMBER(E257),E257,0)+R257,R257)*S257*1000+R257,0)=Y257,5,IF(IF((P257&gt;0)*(IF(Q257="",-1,Q257)=0)*(1-(IF(Q257="",-1,Q257)&gt;=3)*(IF(Q257="",-1,Q257)&lt;=4)),IF(C257="peso_corporal",IF(ISNUMBER(E257),E257,0)+O257,O257)*P257*1000+O257,0)=Y257,4,IF(IF((M257&gt;0)*(IF(N257="",-1,N257)=0)*(1-(IF(N257="",-1,N257)&gt;=3)*(IF(N257="",-1,N257)&lt;=4)),IF(C257="peso_corporal",IF(ISNUMBER(E257),E257,0)+L257,L257)*M257*1000+L257,0)=Y257,3,IF(IF((J257&gt;0)*(IF(K257="",-1,K257)=0)*(1-(IF(K257="",-1,K257)&gt;=3)*(IF(K257="",-1,K257)&lt;=4)),IF(C257="peso_corporal",IF(ISNUMBER(E257),E257,0)+I257,I257)*J257*1000+I257,0)=Y257,2,IF(IF((G257&gt;0)*(IF(H257="",-1,H257)=0)*(1-(IF(H257="",-1,H257)&gt;=3)*(IF(H257="",-1,H257)&lt;=4)),IF(C257="peso_corporal",IF(ISNUMBER(E257),E257,0)+F257,F257)*G257*1000+F257,0)=Y257,1,0))))))</f>
        <v>0</v>
      </c>
      <c r="AA257" s="69">
        <f>MAX(IF((G257&gt;=12)*(1-(IF(H257="",-1,H257)&gt;=3)*(IF(H257="",-1,H257)&lt;=4))*(1-(IF(H257="",-1,H257)=0)),IF(C257="peso_corporal",IF(ISNUMBER(E257),E257,0)+F257,F257)*(30+G257)*100+F257,0),IF((J257&gt;=12)*(1-(IF(K257="",-1,K257)&gt;=3)*(IF(K257="",-1,K257)&lt;=4))*(1-(IF(K257="",-1,K257)=0)),IF(C257="peso_corporal",IF(ISNUMBER(E257),E257,0)+I257,I257)*(30+J257)*100+I257,0),IF((M257&gt;=12)*(1-(IF(N257="",-1,N257)&gt;=3)*(IF(N257="",-1,N257)&lt;=4))*(1-(IF(N257="",-1,N257)=0)),IF(C257="peso_corporal",IF(ISNUMBER(E257),E257,0)+L257,L257)*(30+M257)*100+L257,0),IF((P257&gt;=12)*(1-(IF(Q257="",-1,Q257)&gt;=3)*(IF(Q257="",-1,Q257)&lt;=4))*(1-(IF(Q257="",-1,Q257)=0)),IF(C257="peso_corporal",IF(ISNUMBER(E257),E257,0)+O257,O257)*(30+P257)*100+O257,0),IF((S257&gt;=12)*(1-(IF(T257="",-1,T257)&gt;=3)*(IF(T257="",-1,T257)&lt;=4))*(1-(IF(T257="",-1,T257)=0)),IF(C257="peso_corporal",IF(ISNUMBER(E257),E257,0)+R257,R257)*(30+S257)*100+R257,0))</f>
        <v>0</v>
      </c>
      <c r="AB257" s="69">
        <f>IF(AA257=0,0,IF(IF((S257&gt;=12)*(1-(IF(T257="",-1,T257)&gt;=3)*(IF(T257="",-1,T257)&lt;=4))*(1-(IF(T257="",-1,T257)=0)),IF(C257="peso_corporal",IF(ISNUMBER(E257),E257,0)+R257,R257)*(30+S257)*100+R257,0)=AA257,5,IF(IF((P257&gt;=12)*(1-(IF(Q257="",-1,Q257)&gt;=3)*(IF(Q257="",-1,Q257)&lt;=4))*(1-(IF(Q257="",-1,Q257)=0)),IF(C257="peso_corporal",IF(ISNUMBER(E257),E257,0)+O257,O257)*(30+P257)*100+O257,0)=AA257,4,IF(IF((M257&gt;=12)*(1-(IF(N257="",-1,N257)&gt;=3)*(IF(N257="",-1,N257)&lt;=4))*(1-(IF(N257="",-1,N257)=0)),IF(C257="peso_corporal",IF(ISNUMBER(E257),E257,0)+L257,L257)*(30+M257)*100+L257,0)=AA257,3,IF(IF((J257&gt;=12)*(1-(IF(K257="",-1,K257)&gt;=3)*(IF(K257="",-1,K257)&lt;=4))*(1-(IF(K257="",-1,K257)=0)),IF(C257="peso_corporal",IF(ISNUMBER(E257),E257,0)+I257,I257)*(30+J257)*100+I257,0)=AA257,2,IF(IF((G257&gt;=12)*(1-(IF(H257="",-1,H257)&gt;=3)*(IF(H257="",-1,H257)&lt;=4))*(1-(IF(H257="",-1,H257)=0)),IF(C257="peso_corporal",IF(ISNUMBER(E257),E257,0)+F257,F257)*(30+G257)*100+F257,0)=AA257,1,0))))))</f>
        <v>0</v>
      </c>
      <c r="AC257" s="69" t="str">
        <f>IF(X257&gt;0,"A"&amp;X257,IF(Z257&gt;0,"B"&amp;Z257,IF(AB257&gt;0,"C"&amp;AB257,"")))</f>
        <v/>
      </c>
    </row>
    <row r="258" spans="1:29" ht="11.1" customHeight="1">
      <c r="A258" s="87" t="s">
        <v>35</v>
      </c>
      <c r="B258" s="73"/>
      <c r="C258" s="73"/>
      <c r="D258" s="73"/>
      <c r="E258" s="73"/>
      <c r="F258" s="73"/>
      <c r="G258" s="73"/>
      <c r="H258" s="73"/>
      <c r="I258" s="73"/>
      <c r="J258" s="73"/>
      <c r="K258" s="73"/>
      <c r="L258" s="73"/>
      <c r="M258" s="73"/>
      <c r="N258" s="73"/>
      <c r="O258" s="73"/>
      <c r="P258" s="73"/>
      <c r="Q258" s="73"/>
      <c r="R258" s="73"/>
      <c r="S258" s="73"/>
      <c r="T258" s="73"/>
      <c r="U258" s="73"/>
      <c r="V258" s="73"/>
      <c r="W258" s="69"/>
      <c r="X258" s="69"/>
      <c r="Y258" s="69"/>
      <c r="Z258" s="69"/>
      <c r="AA258" s="69"/>
      <c r="AB258" s="69"/>
      <c r="AC258" s="69"/>
    </row>
    <row r="259" spans="1:29" ht="20.100000000000001" customHeight="1">
      <c r="A259" s="14" t="s">
        <v>36</v>
      </c>
      <c r="B259" s="15" t="s">
        <v>37</v>
      </c>
      <c r="C259" s="16" t="str">
        <f>IFERROR(INDEX(EJERCICIOS!$D$3:$D$75,MATCH(A259&amp;"|"&amp;B259,EJERCICIOS!$G$3:$G$75,0)),"--")</f>
        <v>peso_corporal</v>
      </c>
      <c r="D259" s="17">
        <v>3</v>
      </c>
      <c r="E259" s="18">
        <f>IFERROR(LOOKUP(2,1/(MEDIDAS_Y_PESO!$B$3:$B$14&lt;&gt;""),MEDIDAS_Y_PESO!$B$3:$B$14),"--")</f>
        <v>80</v>
      </c>
      <c r="F259" s="19"/>
      <c r="G259" s="20"/>
      <c r="H259" s="21"/>
      <c r="I259" s="19"/>
      <c r="J259" s="20"/>
      <c r="K259" s="21"/>
      <c r="L259" s="19"/>
      <c r="M259" s="20"/>
      <c r="N259" s="21"/>
      <c r="O259" s="19"/>
      <c r="P259" s="20"/>
      <c r="Q259" s="21"/>
      <c r="R259" s="19"/>
      <c r="S259" s="20"/>
      <c r="T259" s="21"/>
      <c r="U259" s="22" t="str">
        <f>IFERROR(IF(IF(X259&gt;0,X259,IF(Z259&gt;0,Z259,IF(AB259&gt;0,AB259,0)))=0,"--",ROUND(CHOOSE(IF(X259&gt;0,X259,IF(Z259&gt;0,Z259,IF(AB259&gt;0,AB259,0))),IF(C259="peso_corporal",IF(ISNUMBER(E259),E259,0)+F259,F259)*(1+G259/30),IF(C259="peso_corporal",IF(ISNUMBER(E259),E259,0)+I259,I259)*(1+J259/30),IF(C259="peso_corporal",IF(ISNUMBER(E259),E259,0)+L259,L259)*(1+M259/30),IF(C259="peso_corporal",IF(ISNUMBER(E259),E259,0)+O259,O259)*(1+P259/30),IF(C259="peso_corporal",IF(ISNUMBER(E259),E259,0)+R259,R259)*(1+S259/30)),1)),"--")</f>
        <v>--</v>
      </c>
      <c r="V259" s="23" t="str">
        <f>IF(SUGERENCIAS!N699="SIN","Sin datos anteriores",IF(SUGERENCIAS!N699="SUBIR_F","^ SUBIR FUERTE | Kg:"&amp;ROUND(SUGERENCIAS!K699,1)&amp;" R:"&amp;ROUND(SUGERENCIAS!L699,0)&amp;" RIR:"&amp;ROUND(SUGERENCIAS!M699,0),IF(SUGERENCIAS!N699="SUBIR_E","^ SUBIR (Est.) | Kg:"&amp;ROUND(SUGERENCIAS!K699,1)&amp;" R:"&amp;ROUND(SUGERENCIAS!L699,0)&amp;" RIR:"&amp;ROUND(SUGERENCIAS!M699,0),IF(SUGERENCIAS!N699="SUBIR","^ SUBIR | Kg:"&amp;ROUND(SUGERENCIAS!K699,1)&amp;" R:"&amp;ROUND(SUGERENCIAS!L699,0)&amp;" RIR:"&amp;ROUND(SUGERENCIAS!M699,0),IF(SUGERENCIAS!N699="BAJAR","v BAJAR | Kg:"&amp;ROUND(SUGERENCIAS!K699,1)&amp;" R:"&amp;ROUND(SUGERENCIAS!L699,0)&amp;" RIR:"&amp;ROUND(SUGERENCIAS!M699,0),"= MANT | Kg:"&amp;ROUND(SUGERENCIAS!K699,1)&amp;" R:"&amp;ROUND(SUGERENCIAS!L699,0)&amp;" RIR:"&amp;ROUND(SUGERENCIAS!M699,0))))))</f>
        <v>^ SUBIR FUERTE | Kg:5 R:6 RIR:2</v>
      </c>
      <c r="W259" s="69">
        <f>MAX(IF((G259&gt;0)*(IF(H259="",-1,H259)&gt;=3)*(IF(H259="",-1,H259)&lt;=4),IF(C259="peso_corporal",IF(ISNUMBER(E259),E259,0)+F259,F259)*G259*1000+F259,0),IF((J259&gt;0)*(IF(K259="",-1,K259)&gt;=3)*(IF(K259="",-1,K259)&lt;=4),IF(C259="peso_corporal",IF(ISNUMBER(E259),E259,0)+I259,I259)*J259*1000+I259,0),IF((M259&gt;0)*(IF(N259="",-1,N259)&gt;=3)*(IF(N259="",-1,N259)&lt;=4),IF(C259="peso_corporal",IF(ISNUMBER(E259),E259,0)+L259,L259)*M259*1000+L259,0),IF((P259&gt;0)*(IF(Q259="",-1,Q259)&gt;=3)*(IF(Q259="",-1,Q259)&lt;=4),IF(C259="peso_corporal",IF(ISNUMBER(E259),E259,0)+O259,O259)*P259*1000+O259,0),IF((S259&gt;0)*(IF(T259="",-1,T259)&gt;=3)*(IF(T259="",-1,T259)&lt;=4),IF(C259="peso_corporal",IF(ISNUMBER(E259),E259,0)+R259,R259)*S259*1000+R259,0))</f>
        <v>0</v>
      </c>
      <c r="X259" s="69">
        <f>IF(W259=0,0,IF(IF((S259&gt;0)*(IF(T259="",-1,T259)&gt;=3)*(IF(T259="",-1,T259)&lt;=4),IF(C259="peso_corporal",IF(ISNUMBER(E259),E259,0)+R259,R259)*S259*1000+R259,0)=W259,5,IF(IF((P259&gt;0)*(IF(Q259="",-1,Q259)&gt;=3)*(IF(Q259="",-1,Q259)&lt;=4),IF(C259="peso_corporal",IF(ISNUMBER(E259),E259,0)+O259,O259)*P259*1000+O259,0)=W259,4,IF(IF((M259&gt;0)*(IF(N259="",-1,N259)&gt;=3)*(IF(N259="",-1,N259)&lt;=4),IF(C259="peso_corporal",IF(ISNUMBER(E259),E259,0)+L259,L259)*M259*1000+L259,0)=W259,3,IF(IF((J259&gt;0)*(IF(K259="",-1,K259)&gt;=3)*(IF(K259="",-1,K259)&lt;=4),IF(C259="peso_corporal",IF(ISNUMBER(E259),E259,0)+I259,I259)*J259*1000+I259,0)=W259,2,IF(IF((G259&gt;0)*(IF(H259="",-1,H259)&gt;=3)*(IF(H259="",-1,H259)&lt;=4),IF(C259="peso_corporal",IF(ISNUMBER(E259),E259,0)+F259,F259)*G259*1000+F259,0)=W259,1,0))))))</f>
        <v>0</v>
      </c>
      <c r="Y259" s="69">
        <f>MAX(IF((G259&gt;0)*(IF(H259="",-1,H259)=0)*(1-(IF(H259="",-1,H259)&gt;=3)*(IF(H259="",-1,H259)&lt;=4)),IF(C259="peso_corporal",IF(ISNUMBER(E259),E259,0)+F259,F259)*G259*1000+F259,0),IF((J259&gt;0)*(IF(K259="",-1,K259)=0)*(1-(IF(K259="",-1,K259)&gt;=3)*(IF(K259="",-1,K259)&lt;=4)),IF(C259="peso_corporal",IF(ISNUMBER(E259),E259,0)+I259,I259)*J259*1000+I259,0),IF((M259&gt;0)*(IF(N259="",-1,N259)=0)*(1-(IF(N259="",-1,N259)&gt;=3)*(IF(N259="",-1,N259)&lt;=4)),IF(C259="peso_corporal",IF(ISNUMBER(E259),E259,0)+L259,L259)*M259*1000+L259,0),IF((P259&gt;0)*(IF(Q259="",-1,Q259)=0)*(1-(IF(Q259="",-1,Q259)&gt;=3)*(IF(Q259="",-1,Q259)&lt;=4)),IF(C259="peso_corporal",IF(ISNUMBER(E259),E259,0)+O259,O259)*P259*1000+O259,0),IF((S259&gt;0)*(IF(T259="",-1,T259)=0)*(1-(IF(T259="",-1,T259)&gt;=3)*(IF(T259="",-1,T259)&lt;=4)),IF(C259="peso_corporal",IF(ISNUMBER(E259),E259,0)+R259,R259)*S259*1000+R259,0))</f>
        <v>0</v>
      </c>
      <c r="Z259" s="69">
        <f>IF(Y259=0,0,IF(IF((S259&gt;0)*(IF(T259="",-1,T259)=0)*(1-(IF(T259="",-1,T259)&gt;=3)*(IF(T259="",-1,T259)&lt;=4)),IF(C259="peso_corporal",IF(ISNUMBER(E259),E259,0)+R259,R259)*S259*1000+R259,0)=Y259,5,IF(IF((P259&gt;0)*(IF(Q259="",-1,Q259)=0)*(1-(IF(Q259="",-1,Q259)&gt;=3)*(IF(Q259="",-1,Q259)&lt;=4)),IF(C259="peso_corporal",IF(ISNUMBER(E259),E259,0)+O259,O259)*P259*1000+O259,0)=Y259,4,IF(IF((M259&gt;0)*(IF(N259="",-1,N259)=0)*(1-(IF(N259="",-1,N259)&gt;=3)*(IF(N259="",-1,N259)&lt;=4)),IF(C259="peso_corporal",IF(ISNUMBER(E259),E259,0)+L259,L259)*M259*1000+L259,0)=Y259,3,IF(IF((J259&gt;0)*(IF(K259="",-1,K259)=0)*(1-(IF(K259="",-1,K259)&gt;=3)*(IF(K259="",-1,K259)&lt;=4)),IF(C259="peso_corporal",IF(ISNUMBER(E259),E259,0)+I259,I259)*J259*1000+I259,0)=Y259,2,IF(IF((G259&gt;0)*(IF(H259="",-1,H259)=0)*(1-(IF(H259="",-1,H259)&gt;=3)*(IF(H259="",-1,H259)&lt;=4)),IF(C259="peso_corporal",IF(ISNUMBER(E259),E259,0)+F259,F259)*G259*1000+F259,0)=Y259,1,0))))))</f>
        <v>0</v>
      </c>
      <c r="AA259" s="69">
        <f>MAX(IF((G259&gt;=12)*(1-(IF(H259="",-1,H259)&gt;=3)*(IF(H259="",-1,H259)&lt;=4))*(1-(IF(H259="",-1,H259)=0)),IF(C259="peso_corporal",IF(ISNUMBER(E259),E259,0)+F259,F259)*(30+G259)*100+F259,0),IF((J259&gt;=12)*(1-(IF(K259="",-1,K259)&gt;=3)*(IF(K259="",-1,K259)&lt;=4))*(1-(IF(K259="",-1,K259)=0)),IF(C259="peso_corporal",IF(ISNUMBER(E259),E259,0)+I259,I259)*(30+J259)*100+I259,0),IF((M259&gt;=12)*(1-(IF(N259="",-1,N259)&gt;=3)*(IF(N259="",-1,N259)&lt;=4))*(1-(IF(N259="",-1,N259)=0)),IF(C259="peso_corporal",IF(ISNUMBER(E259),E259,0)+L259,L259)*(30+M259)*100+L259,0),IF((P259&gt;=12)*(1-(IF(Q259="",-1,Q259)&gt;=3)*(IF(Q259="",-1,Q259)&lt;=4))*(1-(IF(Q259="",-1,Q259)=0)),IF(C259="peso_corporal",IF(ISNUMBER(E259),E259,0)+O259,O259)*(30+P259)*100+O259,0),IF((S259&gt;=12)*(1-(IF(T259="",-1,T259)&gt;=3)*(IF(T259="",-1,T259)&lt;=4))*(1-(IF(T259="",-1,T259)=0)),IF(C259="peso_corporal",IF(ISNUMBER(E259),E259,0)+R259,R259)*(30+S259)*100+R259,0))</f>
        <v>0</v>
      </c>
      <c r="AB259" s="69">
        <f>IF(AA259=0,0,IF(IF((S259&gt;=12)*(1-(IF(T259="",-1,T259)&gt;=3)*(IF(T259="",-1,T259)&lt;=4))*(1-(IF(T259="",-1,T259)=0)),IF(C259="peso_corporal",IF(ISNUMBER(E259),E259,0)+R259,R259)*(30+S259)*100+R259,0)=AA259,5,IF(IF((P259&gt;=12)*(1-(IF(Q259="",-1,Q259)&gt;=3)*(IF(Q259="",-1,Q259)&lt;=4))*(1-(IF(Q259="",-1,Q259)=0)),IF(C259="peso_corporal",IF(ISNUMBER(E259),E259,0)+O259,O259)*(30+P259)*100+O259,0)=AA259,4,IF(IF((M259&gt;=12)*(1-(IF(N259="",-1,N259)&gt;=3)*(IF(N259="",-1,N259)&lt;=4))*(1-(IF(N259="",-1,N259)=0)),IF(C259="peso_corporal",IF(ISNUMBER(E259),E259,0)+L259,L259)*(30+M259)*100+L259,0)=AA259,3,IF(IF((J259&gt;=12)*(1-(IF(K259="",-1,K259)&gt;=3)*(IF(K259="",-1,K259)&lt;=4))*(1-(IF(K259="",-1,K259)=0)),IF(C259="peso_corporal",IF(ISNUMBER(E259),E259,0)+I259,I259)*(30+J259)*100+I259,0)=AA259,2,IF(IF((G259&gt;=12)*(1-(IF(H259="",-1,H259)&gt;=3)*(IF(H259="",-1,H259)&lt;=4))*(1-(IF(H259="",-1,H259)=0)),IF(C259="peso_corporal",IF(ISNUMBER(E259),E259,0)+F259,F259)*(30+G259)*100+F259,0)=AA259,1,0))))))</f>
        <v>0</v>
      </c>
      <c r="AC259" s="69" t="str">
        <f>IF(X259&gt;0,"A"&amp;X259,IF(Z259&gt;0,"B"&amp;Z259,IF(AB259&gt;0,"C"&amp;AB259,"")))</f>
        <v/>
      </c>
    </row>
    <row r="260" spans="1:29" ht="20.100000000000001" customHeight="1">
      <c r="A260" s="14" t="s">
        <v>62</v>
      </c>
      <c r="B260" s="15" t="s">
        <v>39</v>
      </c>
      <c r="C260" s="16" t="str">
        <f>IFERROR(INDEX(EJERCICIOS!$D$3:$D$75,MATCH(A260&amp;"|"&amp;B260,EJERCICIOS!$G$3:$G$75,0)),"--")</f>
        <v>--</v>
      </c>
      <c r="D260" s="17">
        <v>3</v>
      </c>
      <c r="E260" s="18">
        <f>IFERROR(LOOKUP(2,1/(MEDIDAS_Y_PESO!$B$3:$B$14&lt;&gt;""),MEDIDAS_Y_PESO!$B$3:$B$14),"--")</f>
        <v>80</v>
      </c>
      <c r="F260" s="19"/>
      <c r="G260" s="20"/>
      <c r="H260" s="21"/>
      <c r="I260" s="19"/>
      <c r="J260" s="20"/>
      <c r="K260" s="21"/>
      <c r="L260" s="19"/>
      <c r="M260" s="20"/>
      <c r="N260" s="21"/>
      <c r="O260" s="19"/>
      <c r="P260" s="20"/>
      <c r="Q260" s="21"/>
      <c r="R260" s="19"/>
      <c r="S260" s="20"/>
      <c r="T260" s="21"/>
      <c r="U260" s="22" t="str">
        <f>IFERROR(IF(IF(X260&gt;0,X260,IF(Z260&gt;0,Z260,IF(AB260&gt;0,AB260,0)))=0,"--",ROUND(CHOOSE(IF(X260&gt;0,X260,IF(Z260&gt;0,Z260,IF(AB260&gt;0,AB260,0))),IF(C260="peso_corporal",IF(ISNUMBER(E260),E260,0)+F260,F260)*(1+G260/30),IF(C260="peso_corporal",IF(ISNUMBER(E260),E260,0)+I260,I260)*(1+J260/30),IF(C260="peso_corporal",IF(ISNUMBER(E260),E260,0)+L260,L260)*(1+M260/30),IF(C260="peso_corporal",IF(ISNUMBER(E260),E260,0)+O260,O260)*(1+P260/30),IF(C260="peso_corporal",IF(ISNUMBER(E260),E260,0)+R260,R260)*(1+S260/30)),1)),"--")</f>
        <v>--</v>
      </c>
      <c r="V260" s="23" t="str">
        <f>IF(SUGERENCIAS!N700="SIN","Sin datos anteriores",IF(SUGERENCIAS!N700="SUBIR_F","^ SUBIR FUERTE | Kg:"&amp;ROUND(SUGERENCIAS!K700,1)&amp;" R:"&amp;ROUND(SUGERENCIAS!L700,0)&amp;" RIR:"&amp;ROUND(SUGERENCIAS!M700,0),IF(SUGERENCIAS!N700="SUBIR_E","^ SUBIR (Est.) | Kg:"&amp;ROUND(SUGERENCIAS!K700,1)&amp;" R:"&amp;ROUND(SUGERENCIAS!L700,0)&amp;" RIR:"&amp;ROUND(SUGERENCIAS!M700,0),IF(SUGERENCIAS!N700="SUBIR","^ SUBIR | Kg:"&amp;ROUND(SUGERENCIAS!K700,1)&amp;" R:"&amp;ROUND(SUGERENCIAS!L700,0)&amp;" RIR:"&amp;ROUND(SUGERENCIAS!M700,0),IF(SUGERENCIAS!N700="BAJAR","v BAJAR | Kg:"&amp;ROUND(SUGERENCIAS!K700,1)&amp;" R:"&amp;ROUND(SUGERENCIAS!L700,0)&amp;" RIR:"&amp;ROUND(SUGERENCIAS!M700,0),"= MANT | Kg:"&amp;ROUND(SUGERENCIAS!K700,1)&amp;" R:"&amp;ROUND(SUGERENCIAS!L700,0)&amp;" RIR:"&amp;ROUND(SUGERENCIAS!M700,0))))))</f>
        <v>Sin datos anteriores</v>
      </c>
      <c r="W260" s="69">
        <f>MAX(IF((G260&gt;0)*(IF(H260="",-1,H260)&gt;=3)*(IF(H260="",-1,H260)&lt;=4),IF(C260="peso_corporal",IF(ISNUMBER(E260),E260,0)+F260,F260)*G260*1000+F260,0),IF((J260&gt;0)*(IF(K260="",-1,K260)&gt;=3)*(IF(K260="",-1,K260)&lt;=4),IF(C260="peso_corporal",IF(ISNUMBER(E260),E260,0)+I260,I260)*J260*1000+I260,0),IF((M260&gt;0)*(IF(N260="",-1,N260)&gt;=3)*(IF(N260="",-1,N260)&lt;=4),IF(C260="peso_corporal",IF(ISNUMBER(E260),E260,0)+L260,L260)*M260*1000+L260,0),IF((P260&gt;0)*(IF(Q260="",-1,Q260)&gt;=3)*(IF(Q260="",-1,Q260)&lt;=4),IF(C260="peso_corporal",IF(ISNUMBER(E260),E260,0)+O260,O260)*P260*1000+O260,0),IF((S260&gt;0)*(IF(T260="",-1,T260)&gt;=3)*(IF(T260="",-1,T260)&lt;=4),IF(C260="peso_corporal",IF(ISNUMBER(E260),E260,0)+R260,R260)*S260*1000+R260,0))</f>
        <v>0</v>
      </c>
      <c r="X260" s="69">
        <f>IF(W260=0,0,IF(IF((S260&gt;0)*(IF(T260="",-1,T260)&gt;=3)*(IF(T260="",-1,T260)&lt;=4),IF(C260="peso_corporal",IF(ISNUMBER(E260),E260,0)+R260,R260)*S260*1000+R260,0)=W260,5,IF(IF((P260&gt;0)*(IF(Q260="",-1,Q260)&gt;=3)*(IF(Q260="",-1,Q260)&lt;=4),IF(C260="peso_corporal",IF(ISNUMBER(E260),E260,0)+O260,O260)*P260*1000+O260,0)=W260,4,IF(IF((M260&gt;0)*(IF(N260="",-1,N260)&gt;=3)*(IF(N260="",-1,N260)&lt;=4),IF(C260="peso_corporal",IF(ISNUMBER(E260),E260,0)+L260,L260)*M260*1000+L260,0)=W260,3,IF(IF((J260&gt;0)*(IF(K260="",-1,K260)&gt;=3)*(IF(K260="",-1,K260)&lt;=4),IF(C260="peso_corporal",IF(ISNUMBER(E260),E260,0)+I260,I260)*J260*1000+I260,0)=W260,2,IF(IF((G260&gt;0)*(IF(H260="",-1,H260)&gt;=3)*(IF(H260="",-1,H260)&lt;=4),IF(C260="peso_corporal",IF(ISNUMBER(E260),E260,0)+F260,F260)*G260*1000+F260,0)=W260,1,0))))))</f>
        <v>0</v>
      </c>
      <c r="Y260" s="69">
        <f>MAX(IF((G260&gt;0)*(IF(H260="",-1,H260)=0)*(1-(IF(H260="",-1,H260)&gt;=3)*(IF(H260="",-1,H260)&lt;=4)),IF(C260="peso_corporal",IF(ISNUMBER(E260),E260,0)+F260,F260)*G260*1000+F260,0),IF((J260&gt;0)*(IF(K260="",-1,K260)=0)*(1-(IF(K260="",-1,K260)&gt;=3)*(IF(K260="",-1,K260)&lt;=4)),IF(C260="peso_corporal",IF(ISNUMBER(E260),E260,0)+I260,I260)*J260*1000+I260,0),IF((M260&gt;0)*(IF(N260="",-1,N260)=0)*(1-(IF(N260="",-1,N260)&gt;=3)*(IF(N260="",-1,N260)&lt;=4)),IF(C260="peso_corporal",IF(ISNUMBER(E260),E260,0)+L260,L260)*M260*1000+L260,0),IF((P260&gt;0)*(IF(Q260="",-1,Q260)=0)*(1-(IF(Q260="",-1,Q260)&gt;=3)*(IF(Q260="",-1,Q260)&lt;=4)),IF(C260="peso_corporal",IF(ISNUMBER(E260),E260,0)+O260,O260)*P260*1000+O260,0),IF((S260&gt;0)*(IF(T260="",-1,T260)=0)*(1-(IF(T260="",-1,T260)&gt;=3)*(IF(T260="",-1,T260)&lt;=4)),IF(C260="peso_corporal",IF(ISNUMBER(E260),E260,0)+R260,R260)*S260*1000+R260,0))</f>
        <v>0</v>
      </c>
      <c r="Z260" s="69">
        <f>IF(Y260=0,0,IF(IF((S260&gt;0)*(IF(T260="",-1,T260)=0)*(1-(IF(T260="",-1,T260)&gt;=3)*(IF(T260="",-1,T260)&lt;=4)),IF(C260="peso_corporal",IF(ISNUMBER(E260),E260,0)+R260,R260)*S260*1000+R260,0)=Y260,5,IF(IF((P260&gt;0)*(IF(Q260="",-1,Q260)=0)*(1-(IF(Q260="",-1,Q260)&gt;=3)*(IF(Q260="",-1,Q260)&lt;=4)),IF(C260="peso_corporal",IF(ISNUMBER(E260),E260,0)+O260,O260)*P260*1000+O260,0)=Y260,4,IF(IF((M260&gt;0)*(IF(N260="",-1,N260)=0)*(1-(IF(N260="",-1,N260)&gt;=3)*(IF(N260="",-1,N260)&lt;=4)),IF(C260="peso_corporal",IF(ISNUMBER(E260),E260,0)+L260,L260)*M260*1000+L260,0)=Y260,3,IF(IF((J260&gt;0)*(IF(K260="",-1,K260)=0)*(1-(IF(K260="",-1,K260)&gt;=3)*(IF(K260="",-1,K260)&lt;=4)),IF(C260="peso_corporal",IF(ISNUMBER(E260),E260,0)+I260,I260)*J260*1000+I260,0)=Y260,2,IF(IF((G260&gt;0)*(IF(H260="",-1,H260)=0)*(1-(IF(H260="",-1,H260)&gt;=3)*(IF(H260="",-1,H260)&lt;=4)),IF(C260="peso_corporal",IF(ISNUMBER(E260),E260,0)+F260,F260)*G260*1000+F260,0)=Y260,1,0))))))</f>
        <v>0</v>
      </c>
      <c r="AA260" s="69">
        <f>MAX(IF((G260&gt;=12)*(1-(IF(H260="",-1,H260)&gt;=3)*(IF(H260="",-1,H260)&lt;=4))*(1-(IF(H260="",-1,H260)=0)),IF(C260="peso_corporal",IF(ISNUMBER(E260),E260,0)+F260,F260)*(30+G260)*100+F260,0),IF((J260&gt;=12)*(1-(IF(K260="",-1,K260)&gt;=3)*(IF(K260="",-1,K260)&lt;=4))*(1-(IF(K260="",-1,K260)=0)),IF(C260="peso_corporal",IF(ISNUMBER(E260),E260,0)+I260,I260)*(30+J260)*100+I260,0),IF((M260&gt;=12)*(1-(IF(N260="",-1,N260)&gt;=3)*(IF(N260="",-1,N260)&lt;=4))*(1-(IF(N260="",-1,N260)=0)),IF(C260="peso_corporal",IF(ISNUMBER(E260),E260,0)+L260,L260)*(30+M260)*100+L260,0),IF((P260&gt;=12)*(1-(IF(Q260="",-1,Q260)&gt;=3)*(IF(Q260="",-1,Q260)&lt;=4))*(1-(IF(Q260="",-1,Q260)=0)),IF(C260="peso_corporal",IF(ISNUMBER(E260),E260,0)+O260,O260)*(30+P260)*100+O260,0),IF((S260&gt;=12)*(1-(IF(T260="",-1,T260)&gt;=3)*(IF(T260="",-1,T260)&lt;=4))*(1-(IF(T260="",-1,T260)=0)),IF(C260="peso_corporal",IF(ISNUMBER(E260),E260,0)+R260,R260)*(30+S260)*100+R260,0))</f>
        <v>0</v>
      </c>
      <c r="AB260" s="69">
        <f>IF(AA260=0,0,IF(IF((S260&gt;=12)*(1-(IF(T260="",-1,T260)&gt;=3)*(IF(T260="",-1,T260)&lt;=4))*(1-(IF(T260="",-1,T260)=0)),IF(C260="peso_corporal",IF(ISNUMBER(E260),E260,0)+R260,R260)*(30+S260)*100+R260,0)=AA260,5,IF(IF((P260&gt;=12)*(1-(IF(Q260="",-1,Q260)&gt;=3)*(IF(Q260="",-1,Q260)&lt;=4))*(1-(IF(Q260="",-1,Q260)=0)),IF(C260="peso_corporal",IF(ISNUMBER(E260),E260,0)+O260,O260)*(30+P260)*100+O260,0)=AA260,4,IF(IF((M260&gt;=12)*(1-(IF(N260="",-1,N260)&gt;=3)*(IF(N260="",-1,N260)&lt;=4))*(1-(IF(N260="",-1,N260)=0)),IF(C260="peso_corporal",IF(ISNUMBER(E260),E260,0)+L260,L260)*(30+M260)*100+L260,0)=AA260,3,IF(IF((J260&gt;=12)*(1-(IF(K260="",-1,K260)&gt;=3)*(IF(K260="",-1,K260)&lt;=4))*(1-(IF(K260="",-1,K260)=0)),IF(C260="peso_corporal",IF(ISNUMBER(E260),E260,0)+I260,I260)*(30+J260)*100+I260,0)=AA260,2,IF(IF((G260&gt;=12)*(1-(IF(H260="",-1,H260)&gt;=3)*(IF(H260="",-1,H260)&lt;=4))*(1-(IF(H260="",-1,H260)=0)),IF(C260="peso_corporal",IF(ISNUMBER(E260),E260,0)+F260,F260)*(30+G260)*100+F260,0)=AA260,1,0))))))</f>
        <v>0</v>
      </c>
      <c r="AC260" s="69" t="str">
        <f>IF(X260&gt;0,"A"&amp;X260,IF(Z260&gt;0,"B"&amp;Z260,IF(AB260&gt;0,"C"&amp;AB260,"")))</f>
        <v/>
      </c>
    </row>
    <row r="261" spans="1:29" ht="20.100000000000001" customHeight="1">
      <c r="A261" s="14" t="s">
        <v>62</v>
      </c>
      <c r="B261" s="15" t="s">
        <v>63</v>
      </c>
      <c r="C261" s="16" t="str">
        <f>IFERROR(INDEX(EJERCICIOS!$D$3:$D$75,MATCH(A261&amp;"|"&amp;B261,EJERCICIOS!$G$3:$G$75,0)),"--")</f>
        <v>--</v>
      </c>
      <c r="D261" s="17">
        <v>3</v>
      </c>
      <c r="E261" s="18">
        <f>IFERROR(LOOKUP(2,1/(MEDIDAS_Y_PESO!$B$3:$B$14&lt;&gt;""),MEDIDAS_Y_PESO!$B$3:$B$14),"--")</f>
        <v>80</v>
      </c>
      <c r="F261" s="19"/>
      <c r="G261" s="20"/>
      <c r="H261" s="21"/>
      <c r="I261" s="19"/>
      <c r="J261" s="20"/>
      <c r="K261" s="21"/>
      <c r="L261" s="19"/>
      <c r="M261" s="20"/>
      <c r="N261" s="21"/>
      <c r="O261" s="19"/>
      <c r="P261" s="20"/>
      <c r="Q261" s="21"/>
      <c r="R261" s="19"/>
      <c r="S261" s="20"/>
      <c r="T261" s="21"/>
      <c r="U261" s="22" t="str">
        <f>IFERROR(IF(IF(X261&gt;0,X261,IF(Z261&gt;0,Z261,IF(AB261&gt;0,AB261,0)))=0,"--",ROUND(CHOOSE(IF(X261&gt;0,X261,IF(Z261&gt;0,Z261,IF(AB261&gt;0,AB261,0))),IF(C261="peso_corporal",IF(ISNUMBER(E261),E261,0)+F261,F261)*(1+G261/30),IF(C261="peso_corporal",IF(ISNUMBER(E261),E261,0)+I261,I261)*(1+J261/30),IF(C261="peso_corporal",IF(ISNUMBER(E261),E261,0)+L261,L261)*(1+M261/30),IF(C261="peso_corporal",IF(ISNUMBER(E261),E261,0)+O261,O261)*(1+P261/30),IF(C261="peso_corporal",IF(ISNUMBER(E261),E261,0)+R261,R261)*(1+S261/30)),1)),"--")</f>
        <v>--</v>
      </c>
      <c r="V261" s="23" t="str">
        <f>IF(SUGERENCIAS!N701="SIN","Sin datos anteriores",IF(SUGERENCIAS!N701="SUBIR_F","^ SUBIR FUERTE | Kg:"&amp;ROUND(SUGERENCIAS!K701,1)&amp;" R:"&amp;ROUND(SUGERENCIAS!L701,0)&amp;" RIR:"&amp;ROUND(SUGERENCIAS!M701,0),IF(SUGERENCIAS!N701="SUBIR_E","^ SUBIR (Est.) | Kg:"&amp;ROUND(SUGERENCIAS!K701,1)&amp;" R:"&amp;ROUND(SUGERENCIAS!L701,0)&amp;" RIR:"&amp;ROUND(SUGERENCIAS!M701,0),IF(SUGERENCIAS!N701="SUBIR","^ SUBIR | Kg:"&amp;ROUND(SUGERENCIAS!K701,1)&amp;" R:"&amp;ROUND(SUGERENCIAS!L701,0)&amp;" RIR:"&amp;ROUND(SUGERENCIAS!M701,0),IF(SUGERENCIAS!N701="BAJAR","v BAJAR | Kg:"&amp;ROUND(SUGERENCIAS!K701,1)&amp;" R:"&amp;ROUND(SUGERENCIAS!L701,0)&amp;" RIR:"&amp;ROUND(SUGERENCIAS!M701,0),"= MANT | Kg:"&amp;ROUND(SUGERENCIAS!K701,1)&amp;" R:"&amp;ROUND(SUGERENCIAS!L701,0)&amp;" RIR:"&amp;ROUND(SUGERENCIAS!M701,0))))))</f>
        <v>Sin datos anteriores</v>
      </c>
      <c r="W261" s="69">
        <f>MAX(IF((G261&gt;0)*(IF(H261="",-1,H261)&gt;=3)*(IF(H261="",-1,H261)&lt;=4),IF(C261="peso_corporal",IF(ISNUMBER(E261),E261,0)+F261,F261)*G261*1000+F261,0),IF((J261&gt;0)*(IF(K261="",-1,K261)&gt;=3)*(IF(K261="",-1,K261)&lt;=4),IF(C261="peso_corporal",IF(ISNUMBER(E261),E261,0)+I261,I261)*J261*1000+I261,0),IF((M261&gt;0)*(IF(N261="",-1,N261)&gt;=3)*(IF(N261="",-1,N261)&lt;=4),IF(C261="peso_corporal",IF(ISNUMBER(E261),E261,0)+L261,L261)*M261*1000+L261,0),IF((P261&gt;0)*(IF(Q261="",-1,Q261)&gt;=3)*(IF(Q261="",-1,Q261)&lt;=4),IF(C261="peso_corporal",IF(ISNUMBER(E261),E261,0)+O261,O261)*P261*1000+O261,0),IF((S261&gt;0)*(IF(T261="",-1,T261)&gt;=3)*(IF(T261="",-1,T261)&lt;=4),IF(C261="peso_corporal",IF(ISNUMBER(E261),E261,0)+R261,R261)*S261*1000+R261,0))</f>
        <v>0</v>
      </c>
      <c r="X261" s="69">
        <f>IF(W261=0,0,IF(IF((S261&gt;0)*(IF(T261="",-1,T261)&gt;=3)*(IF(T261="",-1,T261)&lt;=4),IF(C261="peso_corporal",IF(ISNUMBER(E261),E261,0)+R261,R261)*S261*1000+R261,0)=W261,5,IF(IF((P261&gt;0)*(IF(Q261="",-1,Q261)&gt;=3)*(IF(Q261="",-1,Q261)&lt;=4),IF(C261="peso_corporal",IF(ISNUMBER(E261),E261,0)+O261,O261)*P261*1000+O261,0)=W261,4,IF(IF((M261&gt;0)*(IF(N261="",-1,N261)&gt;=3)*(IF(N261="",-1,N261)&lt;=4),IF(C261="peso_corporal",IF(ISNUMBER(E261),E261,0)+L261,L261)*M261*1000+L261,0)=W261,3,IF(IF((J261&gt;0)*(IF(K261="",-1,K261)&gt;=3)*(IF(K261="",-1,K261)&lt;=4),IF(C261="peso_corporal",IF(ISNUMBER(E261),E261,0)+I261,I261)*J261*1000+I261,0)=W261,2,IF(IF((G261&gt;0)*(IF(H261="",-1,H261)&gt;=3)*(IF(H261="",-1,H261)&lt;=4),IF(C261="peso_corporal",IF(ISNUMBER(E261),E261,0)+F261,F261)*G261*1000+F261,0)=W261,1,0))))))</f>
        <v>0</v>
      </c>
      <c r="Y261" s="69">
        <f>MAX(IF((G261&gt;0)*(IF(H261="",-1,H261)=0)*(1-(IF(H261="",-1,H261)&gt;=3)*(IF(H261="",-1,H261)&lt;=4)),IF(C261="peso_corporal",IF(ISNUMBER(E261),E261,0)+F261,F261)*G261*1000+F261,0),IF((J261&gt;0)*(IF(K261="",-1,K261)=0)*(1-(IF(K261="",-1,K261)&gt;=3)*(IF(K261="",-1,K261)&lt;=4)),IF(C261="peso_corporal",IF(ISNUMBER(E261),E261,0)+I261,I261)*J261*1000+I261,0),IF((M261&gt;0)*(IF(N261="",-1,N261)=0)*(1-(IF(N261="",-1,N261)&gt;=3)*(IF(N261="",-1,N261)&lt;=4)),IF(C261="peso_corporal",IF(ISNUMBER(E261),E261,0)+L261,L261)*M261*1000+L261,0),IF((P261&gt;0)*(IF(Q261="",-1,Q261)=0)*(1-(IF(Q261="",-1,Q261)&gt;=3)*(IF(Q261="",-1,Q261)&lt;=4)),IF(C261="peso_corporal",IF(ISNUMBER(E261),E261,0)+O261,O261)*P261*1000+O261,0),IF((S261&gt;0)*(IF(T261="",-1,T261)=0)*(1-(IF(T261="",-1,T261)&gt;=3)*(IF(T261="",-1,T261)&lt;=4)),IF(C261="peso_corporal",IF(ISNUMBER(E261),E261,0)+R261,R261)*S261*1000+R261,0))</f>
        <v>0</v>
      </c>
      <c r="Z261" s="69">
        <f>IF(Y261=0,0,IF(IF((S261&gt;0)*(IF(T261="",-1,T261)=0)*(1-(IF(T261="",-1,T261)&gt;=3)*(IF(T261="",-1,T261)&lt;=4)),IF(C261="peso_corporal",IF(ISNUMBER(E261),E261,0)+R261,R261)*S261*1000+R261,0)=Y261,5,IF(IF((P261&gt;0)*(IF(Q261="",-1,Q261)=0)*(1-(IF(Q261="",-1,Q261)&gt;=3)*(IF(Q261="",-1,Q261)&lt;=4)),IF(C261="peso_corporal",IF(ISNUMBER(E261),E261,0)+O261,O261)*P261*1000+O261,0)=Y261,4,IF(IF((M261&gt;0)*(IF(N261="",-1,N261)=0)*(1-(IF(N261="",-1,N261)&gt;=3)*(IF(N261="",-1,N261)&lt;=4)),IF(C261="peso_corporal",IF(ISNUMBER(E261),E261,0)+L261,L261)*M261*1000+L261,0)=Y261,3,IF(IF((J261&gt;0)*(IF(K261="",-1,K261)=0)*(1-(IF(K261="",-1,K261)&gt;=3)*(IF(K261="",-1,K261)&lt;=4)),IF(C261="peso_corporal",IF(ISNUMBER(E261),E261,0)+I261,I261)*J261*1000+I261,0)=Y261,2,IF(IF((G261&gt;0)*(IF(H261="",-1,H261)=0)*(1-(IF(H261="",-1,H261)&gt;=3)*(IF(H261="",-1,H261)&lt;=4)),IF(C261="peso_corporal",IF(ISNUMBER(E261),E261,0)+F261,F261)*G261*1000+F261,0)=Y261,1,0))))))</f>
        <v>0</v>
      </c>
      <c r="AA261" s="69">
        <f>MAX(IF((G261&gt;=12)*(1-(IF(H261="",-1,H261)&gt;=3)*(IF(H261="",-1,H261)&lt;=4))*(1-(IF(H261="",-1,H261)=0)),IF(C261="peso_corporal",IF(ISNUMBER(E261),E261,0)+F261,F261)*(30+G261)*100+F261,0),IF((J261&gt;=12)*(1-(IF(K261="",-1,K261)&gt;=3)*(IF(K261="",-1,K261)&lt;=4))*(1-(IF(K261="",-1,K261)=0)),IF(C261="peso_corporal",IF(ISNUMBER(E261),E261,0)+I261,I261)*(30+J261)*100+I261,0),IF((M261&gt;=12)*(1-(IF(N261="",-1,N261)&gt;=3)*(IF(N261="",-1,N261)&lt;=4))*(1-(IF(N261="",-1,N261)=0)),IF(C261="peso_corporal",IF(ISNUMBER(E261),E261,0)+L261,L261)*(30+M261)*100+L261,0),IF((P261&gt;=12)*(1-(IF(Q261="",-1,Q261)&gt;=3)*(IF(Q261="",-1,Q261)&lt;=4))*(1-(IF(Q261="",-1,Q261)=0)),IF(C261="peso_corporal",IF(ISNUMBER(E261),E261,0)+O261,O261)*(30+P261)*100+O261,0),IF((S261&gt;=12)*(1-(IF(T261="",-1,T261)&gt;=3)*(IF(T261="",-1,T261)&lt;=4))*(1-(IF(T261="",-1,T261)=0)),IF(C261="peso_corporal",IF(ISNUMBER(E261),E261,0)+R261,R261)*(30+S261)*100+R261,0))</f>
        <v>0</v>
      </c>
      <c r="AB261" s="69">
        <f>IF(AA261=0,0,IF(IF((S261&gt;=12)*(1-(IF(T261="",-1,T261)&gt;=3)*(IF(T261="",-1,T261)&lt;=4))*(1-(IF(T261="",-1,T261)=0)),IF(C261="peso_corporal",IF(ISNUMBER(E261),E261,0)+R261,R261)*(30+S261)*100+R261,0)=AA261,5,IF(IF((P261&gt;=12)*(1-(IF(Q261="",-1,Q261)&gt;=3)*(IF(Q261="",-1,Q261)&lt;=4))*(1-(IF(Q261="",-1,Q261)=0)),IF(C261="peso_corporal",IF(ISNUMBER(E261),E261,0)+O261,O261)*(30+P261)*100+O261,0)=AA261,4,IF(IF((M261&gt;=12)*(1-(IF(N261="",-1,N261)&gt;=3)*(IF(N261="",-1,N261)&lt;=4))*(1-(IF(N261="",-1,N261)=0)),IF(C261="peso_corporal",IF(ISNUMBER(E261),E261,0)+L261,L261)*(30+M261)*100+L261,0)=AA261,3,IF(IF((J261&gt;=12)*(1-(IF(K261="",-1,K261)&gt;=3)*(IF(K261="",-1,K261)&lt;=4))*(1-(IF(K261="",-1,K261)=0)),IF(C261="peso_corporal",IF(ISNUMBER(E261),E261,0)+I261,I261)*(30+J261)*100+I261,0)=AA261,2,IF(IF((G261&gt;=12)*(1-(IF(H261="",-1,H261)&gt;=3)*(IF(H261="",-1,H261)&lt;=4))*(1-(IF(H261="",-1,H261)=0)),IF(C261="peso_corporal",IF(ISNUMBER(E261),E261,0)+F261,F261)*(30+G261)*100+F261,0)=AA261,1,0))))))</f>
        <v>0</v>
      </c>
      <c r="AC261" s="69" t="str">
        <f>IF(X261&gt;0,"A"&amp;X261,IF(Z261&gt;0,"B"&amp;Z261,IF(AB261&gt;0,"C"&amp;AB261,"")))</f>
        <v/>
      </c>
    </row>
    <row r="262" spans="1:29" ht="15" customHeight="1">
      <c r="A262" s="81" t="s">
        <v>42</v>
      </c>
      <c r="B262" s="73"/>
      <c r="C262" s="73"/>
      <c r="D262" s="73"/>
      <c r="E262" s="73"/>
      <c r="F262" s="73"/>
      <c r="G262" s="73"/>
      <c r="H262" s="73"/>
      <c r="I262" s="73"/>
      <c r="J262" s="73"/>
      <c r="K262" s="73"/>
      <c r="L262" s="73"/>
      <c r="M262" s="73"/>
      <c r="N262" s="73"/>
      <c r="O262" s="73"/>
      <c r="P262" s="73"/>
      <c r="Q262" s="73"/>
      <c r="R262" s="73"/>
      <c r="S262" s="73"/>
      <c r="T262" s="73"/>
      <c r="U262" s="73"/>
      <c r="V262" s="73"/>
      <c r="W262" s="69"/>
      <c r="X262" s="69"/>
      <c r="Y262" s="69"/>
      <c r="Z262" s="69"/>
      <c r="AA262" s="69"/>
      <c r="AB262" s="69"/>
      <c r="AC262" s="69"/>
    </row>
    <row r="263" spans="1:29" ht="20.100000000000001" customHeight="1">
      <c r="A263" s="14" t="s">
        <v>43</v>
      </c>
      <c r="B263" s="15" t="s">
        <v>44</v>
      </c>
      <c r="C263" s="16" t="str">
        <f>IFERROR(INDEX(EJERCICIOS!$D$3:$D$75,MATCH(A263&amp;"|"&amp;B263,EJERCICIOS!$G$3:$G$75,0)),"--")</f>
        <v>polea</v>
      </c>
      <c r="D263" s="17">
        <v>3</v>
      </c>
      <c r="E263" s="18">
        <f>IFERROR(LOOKUP(2,1/(MEDIDAS_Y_PESO!$B$3:$B$14&lt;&gt;""),MEDIDAS_Y_PESO!$B$3:$B$14),"--")</f>
        <v>80</v>
      </c>
      <c r="F263" s="19"/>
      <c r="G263" s="20"/>
      <c r="H263" s="21"/>
      <c r="I263" s="19"/>
      <c r="J263" s="20"/>
      <c r="K263" s="21"/>
      <c r="L263" s="19"/>
      <c r="M263" s="20"/>
      <c r="N263" s="21"/>
      <c r="O263" s="19"/>
      <c r="P263" s="20"/>
      <c r="Q263" s="21"/>
      <c r="R263" s="19"/>
      <c r="S263" s="20"/>
      <c r="T263" s="21"/>
      <c r="U263" s="22" t="str">
        <f>IFERROR(IF(IF(X263&gt;0,X263,IF(Z263&gt;0,Z263,IF(AB263&gt;0,AB263,0)))=0,"--",ROUND(CHOOSE(IF(X263&gt;0,X263,IF(Z263&gt;0,Z263,IF(AB263&gt;0,AB263,0))),IF(C263="peso_corporal",IF(ISNUMBER(E263),E263,0)+F263,F263)*(1+G263/30),IF(C263="peso_corporal",IF(ISNUMBER(E263),E263,0)+I263,I263)*(1+J263/30),IF(C263="peso_corporal",IF(ISNUMBER(E263),E263,0)+L263,L263)*(1+M263/30),IF(C263="peso_corporal",IF(ISNUMBER(E263),E263,0)+O263,O263)*(1+P263/30),IF(C263="peso_corporal",IF(ISNUMBER(E263),E263,0)+R263,R263)*(1+S263/30)),1)),"--")</f>
        <v>--</v>
      </c>
      <c r="V263" s="23" t="str">
        <f>IF(SUGERENCIAS!N702="SIN","Sin datos anteriores",IF(SUGERENCIAS!N702="SUBIR_F","^ SUBIR FUERTE | Kg:"&amp;ROUND(SUGERENCIAS!K702,1)&amp;" R:"&amp;ROUND(SUGERENCIAS!L702,0)&amp;" RIR:"&amp;ROUND(SUGERENCIAS!M702,0),IF(SUGERENCIAS!N702="SUBIR_E","^ SUBIR (Est.) | Kg:"&amp;ROUND(SUGERENCIAS!K702,1)&amp;" R:"&amp;ROUND(SUGERENCIAS!L702,0)&amp;" RIR:"&amp;ROUND(SUGERENCIAS!M702,0),IF(SUGERENCIAS!N702="SUBIR","^ SUBIR | Kg:"&amp;ROUND(SUGERENCIAS!K702,1)&amp;" R:"&amp;ROUND(SUGERENCIAS!L702,0)&amp;" RIR:"&amp;ROUND(SUGERENCIAS!M702,0),IF(SUGERENCIAS!N702="BAJAR","v BAJAR | Kg:"&amp;ROUND(SUGERENCIAS!K702,1)&amp;" R:"&amp;ROUND(SUGERENCIAS!L702,0)&amp;" RIR:"&amp;ROUND(SUGERENCIAS!M702,0),"= MANT | Kg:"&amp;ROUND(SUGERENCIAS!K702,1)&amp;" R:"&amp;ROUND(SUGERENCIAS!L702,0)&amp;" RIR:"&amp;ROUND(SUGERENCIAS!M702,0))))))</f>
        <v>Sin datos anteriores</v>
      </c>
      <c r="W263" s="69">
        <f>MAX(IF((G263&gt;0)*(IF(H263="",-1,H263)&gt;=3)*(IF(H263="",-1,H263)&lt;=4),IF(C263="peso_corporal",IF(ISNUMBER(E263),E263,0)+F263,F263)*G263*1000+F263,0),IF((J263&gt;0)*(IF(K263="",-1,K263)&gt;=3)*(IF(K263="",-1,K263)&lt;=4),IF(C263="peso_corporal",IF(ISNUMBER(E263),E263,0)+I263,I263)*J263*1000+I263,0),IF((M263&gt;0)*(IF(N263="",-1,N263)&gt;=3)*(IF(N263="",-1,N263)&lt;=4),IF(C263="peso_corporal",IF(ISNUMBER(E263),E263,0)+L263,L263)*M263*1000+L263,0),IF((P263&gt;0)*(IF(Q263="",-1,Q263)&gt;=3)*(IF(Q263="",-1,Q263)&lt;=4),IF(C263="peso_corporal",IF(ISNUMBER(E263),E263,0)+O263,O263)*P263*1000+O263,0),IF((S263&gt;0)*(IF(T263="",-1,T263)&gt;=3)*(IF(T263="",-1,T263)&lt;=4),IF(C263="peso_corporal",IF(ISNUMBER(E263),E263,0)+R263,R263)*S263*1000+R263,0))</f>
        <v>0</v>
      </c>
      <c r="X263" s="69">
        <f>IF(W263=0,0,IF(IF((S263&gt;0)*(IF(T263="",-1,T263)&gt;=3)*(IF(T263="",-1,T263)&lt;=4),IF(C263="peso_corporal",IF(ISNUMBER(E263),E263,0)+R263,R263)*S263*1000+R263,0)=W263,5,IF(IF((P263&gt;0)*(IF(Q263="",-1,Q263)&gt;=3)*(IF(Q263="",-1,Q263)&lt;=4),IF(C263="peso_corporal",IF(ISNUMBER(E263),E263,0)+O263,O263)*P263*1000+O263,0)=W263,4,IF(IF((M263&gt;0)*(IF(N263="",-1,N263)&gt;=3)*(IF(N263="",-1,N263)&lt;=4),IF(C263="peso_corporal",IF(ISNUMBER(E263),E263,0)+L263,L263)*M263*1000+L263,0)=W263,3,IF(IF((J263&gt;0)*(IF(K263="",-1,K263)&gt;=3)*(IF(K263="",-1,K263)&lt;=4),IF(C263="peso_corporal",IF(ISNUMBER(E263),E263,0)+I263,I263)*J263*1000+I263,0)=W263,2,IF(IF((G263&gt;0)*(IF(H263="",-1,H263)&gt;=3)*(IF(H263="",-1,H263)&lt;=4),IF(C263="peso_corporal",IF(ISNUMBER(E263),E263,0)+F263,F263)*G263*1000+F263,0)=W263,1,0))))))</f>
        <v>0</v>
      </c>
      <c r="Y263" s="69">
        <f>MAX(IF((G263&gt;0)*(IF(H263="",-1,H263)=0)*(1-(IF(H263="",-1,H263)&gt;=3)*(IF(H263="",-1,H263)&lt;=4)),IF(C263="peso_corporal",IF(ISNUMBER(E263),E263,0)+F263,F263)*G263*1000+F263,0),IF((J263&gt;0)*(IF(K263="",-1,K263)=0)*(1-(IF(K263="",-1,K263)&gt;=3)*(IF(K263="",-1,K263)&lt;=4)),IF(C263="peso_corporal",IF(ISNUMBER(E263),E263,0)+I263,I263)*J263*1000+I263,0),IF((M263&gt;0)*(IF(N263="",-1,N263)=0)*(1-(IF(N263="",-1,N263)&gt;=3)*(IF(N263="",-1,N263)&lt;=4)),IF(C263="peso_corporal",IF(ISNUMBER(E263),E263,0)+L263,L263)*M263*1000+L263,0),IF((P263&gt;0)*(IF(Q263="",-1,Q263)=0)*(1-(IF(Q263="",-1,Q263)&gt;=3)*(IF(Q263="",-1,Q263)&lt;=4)),IF(C263="peso_corporal",IF(ISNUMBER(E263),E263,0)+O263,O263)*P263*1000+O263,0),IF((S263&gt;0)*(IF(T263="",-1,T263)=0)*(1-(IF(T263="",-1,T263)&gt;=3)*(IF(T263="",-1,T263)&lt;=4)),IF(C263="peso_corporal",IF(ISNUMBER(E263),E263,0)+R263,R263)*S263*1000+R263,0))</f>
        <v>0</v>
      </c>
      <c r="Z263" s="69">
        <f>IF(Y263=0,0,IF(IF((S263&gt;0)*(IF(T263="",-1,T263)=0)*(1-(IF(T263="",-1,T263)&gt;=3)*(IF(T263="",-1,T263)&lt;=4)),IF(C263="peso_corporal",IF(ISNUMBER(E263),E263,0)+R263,R263)*S263*1000+R263,0)=Y263,5,IF(IF((P263&gt;0)*(IF(Q263="",-1,Q263)=0)*(1-(IF(Q263="",-1,Q263)&gt;=3)*(IF(Q263="",-1,Q263)&lt;=4)),IF(C263="peso_corporal",IF(ISNUMBER(E263),E263,0)+O263,O263)*P263*1000+O263,0)=Y263,4,IF(IF((M263&gt;0)*(IF(N263="",-1,N263)=0)*(1-(IF(N263="",-1,N263)&gt;=3)*(IF(N263="",-1,N263)&lt;=4)),IF(C263="peso_corporal",IF(ISNUMBER(E263),E263,0)+L263,L263)*M263*1000+L263,0)=Y263,3,IF(IF((J263&gt;0)*(IF(K263="",-1,K263)=0)*(1-(IF(K263="",-1,K263)&gt;=3)*(IF(K263="",-1,K263)&lt;=4)),IF(C263="peso_corporal",IF(ISNUMBER(E263),E263,0)+I263,I263)*J263*1000+I263,0)=Y263,2,IF(IF((G263&gt;0)*(IF(H263="",-1,H263)=0)*(1-(IF(H263="",-1,H263)&gt;=3)*(IF(H263="",-1,H263)&lt;=4)),IF(C263="peso_corporal",IF(ISNUMBER(E263),E263,0)+F263,F263)*G263*1000+F263,0)=Y263,1,0))))))</f>
        <v>0</v>
      </c>
      <c r="AA263" s="69">
        <f>MAX(IF((G263&gt;=12)*(1-(IF(H263="",-1,H263)&gt;=3)*(IF(H263="",-1,H263)&lt;=4))*(1-(IF(H263="",-1,H263)=0)),IF(C263="peso_corporal",IF(ISNUMBER(E263),E263,0)+F263,F263)*(30+G263)*100+F263,0),IF((J263&gt;=12)*(1-(IF(K263="",-1,K263)&gt;=3)*(IF(K263="",-1,K263)&lt;=4))*(1-(IF(K263="",-1,K263)=0)),IF(C263="peso_corporal",IF(ISNUMBER(E263),E263,0)+I263,I263)*(30+J263)*100+I263,0),IF((M263&gt;=12)*(1-(IF(N263="",-1,N263)&gt;=3)*(IF(N263="",-1,N263)&lt;=4))*(1-(IF(N263="",-1,N263)=0)),IF(C263="peso_corporal",IF(ISNUMBER(E263),E263,0)+L263,L263)*(30+M263)*100+L263,0),IF((P263&gt;=12)*(1-(IF(Q263="",-1,Q263)&gt;=3)*(IF(Q263="",-1,Q263)&lt;=4))*(1-(IF(Q263="",-1,Q263)=0)),IF(C263="peso_corporal",IF(ISNUMBER(E263),E263,0)+O263,O263)*(30+P263)*100+O263,0),IF((S263&gt;=12)*(1-(IF(T263="",-1,T263)&gt;=3)*(IF(T263="",-1,T263)&lt;=4))*(1-(IF(T263="",-1,T263)=0)),IF(C263="peso_corporal",IF(ISNUMBER(E263),E263,0)+R263,R263)*(30+S263)*100+R263,0))</f>
        <v>0</v>
      </c>
      <c r="AB263" s="69">
        <f>IF(AA263=0,0,IF(IF((S263&gt;=12)*(1-(IF(T263="",-1,T263)&gt;=3)*(IF(T263="",-1,T263)&lt;=4))*(1-(IF(T263="",-1,T263)=0)),IF(C263="peso_corporal",IF(ISNUMBER(E263),E263,0)+R263,R263)*(30+S263)*100+R263,0)=AA263,5,IF(IF((P263&gt;=12)*(1-(IF(Q263="",-1,Q263)&gt;=3)*(IF(Q263="",-1,Q263)&lt;=4))*(1-(IF(Q263="",-1,Q263)=0)),IF(C263="peso_corporal",IF(ISNUMBER(E263),E263,0)+O263,O263)*(30+P263)*100+O263,0)=AA263,4,IF(IF((M263&gt;=12)*(1-(IF(N263="",-1,N263)&gt;=3)*(IF(N263="",-1,N263)&lt;=4))*(1-(IF(N263="",-1,N263)=0)),IF(C263="peso_corporal",IF(ISNUMBER(E263),E263,0)+L263,L263)*(30+M263)*100+L263,0)=AA263,3,IF(IF((J263&gt;=12)*(1-(IF(K263="",-1,K263)&gt;=3)*(IF(K263="",-1,K263)&lt;=4))*(1-(IF(K263="",-1,K263)=0)),IF(C263="peso_corporal",IF(ISNUMBER(E263),E263,0)+I263,I263)*(30+J263)*100+I263,0)=AA263,2,IF(IF((G263&gt;=12)*(1-(IF(H263="",-1,H263)&gt;=3)*(IF(H263="",-1,H263)&lt;=4))*(1-(IF(H263="",-1,H263)=0)),IF(C263="peso_corporal",IF(ISNUMBER(E263),E263,0)+F263,F263)*(30+G263)*100+F263,0)=AA263,1,0))))))</f>
        <v>0</v>
      </c>
      <c r="AC263" s="69" t="str">
        <f>IF(X263&gt;0,"A"&amp;X263,IF(Z263&gt;0,"B"&amp;Z263,IF(AB263&gt;0,"C"&amp;AB263,"")))</f>
        <v/>
      </c>
    </row>
    <row r="264" spans="1:29" ht="20.100000000000001" customHeight="1">
      <c r="A264" s="14" t="s">
        <v>45</v>
      </c>
      <c r="B264" s="15" t="s">
        <v>46</v>
      </c>
      <c r="C264" s="16" t="str">
        <f>IFERROR(INDEX(EJERCICIOS!$D$3:$D$75,MATCH(A264&amp;"|"&amp;B264,EJERCICIOS!$G$3:$G$75,0)),"--")</f>
        <v>mancuerna</v>
      </c>
      <c r="D264" s="17">
        <v>3</v>
      </c>
      <c r="E264" s="18">
        <f>IFERROR(LOOKUP(2,1/(MEDIDAS_Y_PESO!$B$3:$B$14&lt;&gt;""),MEDIDAS_Y_PESO!$B$3:$B$14),"--")</f>
        <v>80</v>
      </c>
      <c r="F264" s="19"/>
      <c r="G264" s="20"/>
      <c r="H264" s="21"/>
      <c r="I264" s="19"/>
      <c r="J264" s="20"/>
      <c r="K264" s="21"/>
      <c r="L264" s="19"/>
      <c r="M264" s="20"/>
      <c r="N264" s="21"/>
      <c r="O264" s="19"/>
      <c r="P264" s="20"/>
      <c r="Q264" s="21"/>
      <c r="R264" s="19"/>
      <c r="S264" s="20"/>
      <c r="T264" s="21"/>
      <c r="U264" s="22" t="str">
        <f>IFERROR(IF(IF(X264&gt;0,X264,IF(Z264&gt;0,Z264,IF(AB264&gt;0,AB264,0)))=0,"--",ROUND(CHOOSE(IF(X264&gt;0,X264,IF(Z264&gt;0,Z264,IF(AB264&gt;0,AB264,0))),IF(C264="peso_corporal",IF(ISNUMBER(E264),E264,0)+F264,F264)*(1+G264/30),IF(C264="peso_corporal",IF(ISNUMBER(E264),E264,0)+I264,I264)*(1+J264/30),IF(C264="peso_corporal",IF(ISNUMBER(E264),E264,0)+L264,L264)*(1+M264/30),IF(C264="peso_corporal",IF(ISNUMBER(E264),E264,0)+O264,O264)*(1+P264/30),IF(C264="peso_corporal",IF(ISNUMBER(E264),E264,0)+R264,R264)*(1+S264/30)),1)),"--")</f>
        <v>--</v>
      </c>
      <c r="V264" s="23" t="str">
        <f>IF(SUGERENCIAS!N703="SIN","Sin datos anteriores",IF(SUGERENCIAS!N703="SUBIR_F","^ SUBIR FUERTE | Kg:"&amp;ROUND(SUGERENCIAS!K703,1)&amp;" R:"&amp;ROUND(SUGERENCIAS!L703,0)&amp;" RIR:"&amp;ROUND(SUGERENCIAS!M703,0),IF(SUGERENCIAS!N703="SUBIR_E","^ SUBIR (Est.) | Kg:"&amp;ROUND(SUGERENCIAS!K703,1)&amp;" R:"&amp;ROUND(SUGERENCIAS!L703,0)&amp;" RIR:"&amp;ROUND(SUGERENCIAS!M703,0),IF(SUGERENCIAS!N703="SUBIR","^ SUBIR | Kg:"&amp;ROUND(SUGERENCIAS!K703,1)&amp;" R:"&amp;ROUND(SUGERENCIAS!L703,0)&amp;" RIR:"&amp;ROUND(SUGERENCIAS!M703,0),IF(SUGERENCIAS!N703="BAJAR","v BAJAR | Kg:"&amp;ROUND(SUGERENCIAS!K703,1)&amp;" R:"&amp;ROUND(SUGERENCIAS!L703,0)&amp;" RIR:"&amp;ROUND(SUGERENCIAS!M703,0),"= MANT | Kg:"&amp;ROUND(SUGERENCIAS!K703,1)&amp;" R:"&amp;ROUND(SUGERENCIAS!L703,0)&amp;" RIR:"&amp;ROUND(SUGERENCIAS!M703,0))))))</f>
        <v>Sin datos anteriores</v>
      </c>
      <c r="W264" s="69">
        <f>MAX(IF((G264&gt;0)*(IF(H264="",-1,H264)&gt;=3)*(IF(H264="",-1,H264)&lt;=4),IF(C264="peso_corporal",IF(ISNUMBER(E264),E264,0)+F264,F264)*G264*1000+F264,0),IF((J264&gt;0)*(IF(K264="",-1,K264)&gt;=3)*(IF(K264="",-1,K264)&lt;=4),IF(C264="peso_corporal",IF(ISNUMBER(E264),E264,0)+I264,I264)*J264*1000+I264,0),IF((M264&gt;0)*(IF(N264="",-1,N264)&gt;=3)*(IF(N264="",-1,N264)&lt;=4),IF(C264="peso_corporal",IF(ISNUMBER(E264),E264,0)+L264,L264)*M264*1000+L264,0),IF((P264&gt;0)*(IF(Q264="",-1,Q264)&gt;=3)*(IF(Q264="",-1,Q264)&lt;=4),IF(C264="peso_corporal",IF(ISNUMBER(E264),E264,0)+O264,O264)*P264*1000+O264,0),IF((S264&gt;0)*(IF(T264="",-1,T264)&gt;=3)*(IF(T264="",-1,T264)&lt;=4),IF(C264="peso_corporal",IF(ISNUMBER(E264),E264,0)+R264,R264)*S264*1000+R264,0))</f>
        <v>0</v>
      </c>
      <c r="X264" s="69">
        <f>IF(W264=0,0,IF(IF((S264&gt;0)*(IF(T264="",-1,T264)&gt;=3)*(IF(T264="",-1,T264)&lt;=4),IF(C264="peso_corporal",IF(ISNUMBER(E264),E264,0)+R264,R264)*S264*1000+R264,0)=W264,5,IF(IF((P264&gt;0)*(IF(Q264="",-1,Q264)&gt;=3)*(IF(Q264="",-1,Q264)&lt;=4),IF(C264="peso_corporal",IF(ISNUMBER(E264),E264,0)+O264,O264)*P264*1000+O264,0)=W264,4,IF(IF((M264&gt;0)*(IF(N264="",-1,N264)&gt;=3)*(IF(N264="",-1,N264)&lt;=4),IF(C264="peso_corporal",IF(ISNUMBER(E264),E264,0)+L264,L264)*M264*1000+L264,0)=W264,3,IF(IF((J264&gt;0)*(IF(K264="",-1,K264)&gt;=3)*(IF(K264="",-1,K264)&lt;=4),IF(C264="peso_corporal",IF(ISNUMBER(E264),E264,0)+I264,I264)*J264*1000+I264,0)=W264,2,IF(IF((G264&gt;0)*(IF(H264="",-1,H264)&gt;=3)*(IF(H264="",-1,H264)&lt;=4),IF(C264="peso_corporal",IF(ISNUMBER(E264),E264,0)+F264,F264)*G264*1000+F264,0)=W264,1,0))))))</f>
        <v>0</v>
      </c>
      <c r="Y264" s="69">
        <f>MAX(IF((G264&gt;0)*(IF(H264="",-1,H264)=0)*(1-(IF(H264="",-1,H264)&gt;=3)*(IF(H264="",-1,H264)&lt;=4)),IF(C264="peso_corporal",IF(ISNUMBER(E264),E264,0)+F264,F264)*G264*1000+F264,0),IF((J264&gt;0)*(IF(K264="",-1,K264)=0)*(1-(IF(K264="",-1,K264)&gt;=3)*(IF(K264="",-1,K264)&lt;=4)),IF(C264="peso_corporal",IF(ISNUMBER(E264),E264,0)+I264,I264)*J264*1000+I264,0),IF((M264&gt;0)*(IF(N264="",-1,N264)=0)*(1-(IF(N264="",-1,N264)&gt;=3)*(IF(N264="",-1,N264)&lt;=4)),IF(C264="peso_corporal",IF(ISNUMBER(E264),E264,0)+L264,L264)*M264*1000+L264,0),IF((P264&gt;0)*(IF(Q264="",-1,Q264)=0)*(1-(IF(Q264="",-1,Q264)&gt;=3)*(IF(Q264="",-1,Q264)&lt;=4)),IF(C264="peso_corporal",IF(ISNUMBER(E264),E264,0)+O264,O264)*P264*1000+O264,0),IF((S264&gt;0)*(IF(T264="",-1,T264)=0)*(1-(IF(T264="",-1,T264)&gt;=3)*(IF(T264="",-1,T264)&lt;=4)),IF(C264="peso_corporal",IF(ISNUMBER(E264),E264,0)+R264,R264)*S264*1000+R264,0))</f>
        <v>0</v>
      </c>
      <c r="Z264" s="69">
        <f>IF(Y264=0,0,IF(IF((S264&gt;0)*(IF(T264="",-1,T264)=0)*(1-(IF(T264="",-1,T264)&gt;=3)*(IF(T264="",-1,T264)&lt;=4)),IF(C264="peso_corporal",IF(ISNUMBER(E264),E264,0)+R264,R264)*S264*1000+R264,0)=Y264,5,IF(IF((P264&gt;0)*(IF(Q264="",-1,Q264)=0)*(1-(IF(Q264="",-1,Q264)&gt;=3)*(IF(Q264="",-1,Q264)&lt;=4)),IF(C264="peso_corporal",IF(ISNUMBER(E264),E264,0)+O264,O264)*P264*1000+O264,0)=Y264,4,IF(IF((M264&gt;0)*(IF(N264="",-1,N264)=0)*(1-(IF(N264="",-1,N264)&gt;=3)*(IF(N264="",-1,N264)&lt;=4)),IF(C264="peso_corporal",IF(ISNUMBER(E264),E264,0)+L264,L264)*M264*1000+L264,0)=Y264,3,IF(IF((J264&gt;0)*(IF(K264="",-1,K264)=0)*(1-(IF(K264="",-1,K264)&gt;=3)*(IF(K264="",-1,K264)&lt;=4)),IF(C264="peso_corporal",IF(ISNUMBER(E264),E264,0)+I264,I264)*J264*1000+I264,0)=Y264,2,IF(IF((G264&gt;0)*(IF(H264="",-1,H264)=0)*(1-(IF(H264="",-1,H264)&gt;=3)*(IF(H264="",-1,H264)&lt;=4)),IF(C264="peso_corporal",IF(ISNUMBER(E264),E264,0)+F264,F264)*G264*1000+F264,0)=Y264,1,0))))))</f>
        <v>0</v>
      </c>
      <c r="AA264" s="69">
        <f>MAX(IF((G264&gt;=12)*(1-(IF(H264="",-1,H264)&gt;=3)*(IF(H264="",-1,H264)&lt;=4))*(1-(IF(H264="",-1,H264)=0)),IF(C264="peso_corporal",IF(ISNUMBER(E264),E264,0)+F264,F264)*(30+G264)*100+F264,0),IF((J264&gt;=12)*(1-(IF(K264="",-1,K264)&gt;=3)*(IF(K264="",-1,K264)&lt;=4))*(1-(IF(K264="",-1,K264)=0)),IF(C264="peso_corporal",IF(ISNUMBER(E264),E264,0)+I264,I264)*(30+J264)*100+I264,0),IF((M264&gt;=12)*(1-(IF(N264="",-1,N264)&gt;=3)*(IF(N264="",-1,N264)&lt;=4))*(1-(IF(N264="",-1,N264)=0)),IF(C264="peso_corporal",IF(ISNUMBER(E264),E264,0)+L264,L264)*(30+M264)*100+L264,0),IF((P264&gt;=12)*(1-(IF(Q264="",-1,Q264)&gt;=3)*(IF(Q264="",-1,Q264)&lt;=4))*(1-(IF(Q264="",-1,Q264)=0)),IF(C264="peso_corporal",IF(ISNUMBER(E264),E264,0)+O264,O264)*(30+P264)*100+O264,0),IF((S264&gt;=12)*(1-(IF(T264="",-1,T264)&gt;=3)*(IF(T264="",-1,T264)&lt;=4))*(1-(IF(T264="",-1,T264)=0)),IF(C264="peso_corporal",IF(ISNUMBER(E264),E264,0)+R264,R264)*(30+S264)*100+R264,0))</f>
        <v>0</v>
      </c>
      <c r="AB264" s="69">
        <f>IF(AA264=0,0,IF(IF((S264&gt;=12)*(1-(IF(T264="",-1,T264)&gt;=3)*(IF(T264="",-1,T264)&lt;=4))*(1-(IF(T264="",-1,T264)=0)),IF(C264="peso_corporal",IF(ISNUMBER(E264),E264,0)+R264,R264)*(30+S264)*100+R264,0)=AA264,5,IF(IF((P264&gt;=12)*(1-(IF(Q264="",-1,Q264)&gt;=3)*(IF(Q264="",-1,Q264)&lt;=4))*(1-(IF(Q264="",-1,Q264)=0)),IF(C264="peso_corporal",IF(ISNUMBER(E264),E264,0)+O264,O264)*(30+P264)*100+O264,0)=AA264,4,IF(IF((M264&gt;=12)*(1-(IF(N264="",-1,N264)&gt;=3)*(IF(N264="",-1,N264)&lt;=4))*(1-(IF(N264="",-1,N264)=0)),IF(C264="peso_corporal",IF(ISNUMBER(E264),E264,0)+L264,L264)*(30+M264)*100+L264,0)=AA264,3,IF(IF((J264&gt;=12)*(1-(IF(K264="",-1,K264)&gt;=3)*(IF(K264="",-1,K264)&lt;=4))*(1-(IF(K264="",-1,K264)=0)),IF(C264="peso_corporal",IF(ISNUMBER(E264),E264,0)+I264,I264)*(30+J264)*100+I264,0)=AA264,2,IF(IF((G264&gt;=12)*(1-(IF(H264="",-1,H264)&gt;=3)*(IF(H264="",-1,H264)&lt;=4))*(1-(IF(H264="",-1,H264)=0)),IF(C264="peso_corporal",IF(ISNUMBER(E264),E264,0)+F264,F264)*(30+G264)*100+F264,0)=AA264,1,0))))))</f>
        <v>0</v>
      </c>
      <c r="AC264" s="69" t="str">
        <f>IF(X264&gt;0,"A"&amp;X264,IF(Z264&gt;0,"B"&amp;Z264,IF(AB264&gt;0,"C"&amp;AB264,"")))</f>
        <v/>
      </c>
    </row>
    <row r="265" spans="1:29" ht="15" customHeight="1">
      <c r="A265" s="82" t="s">
        <v>47</v>
      </c>
      <c r="B265" s="73"/>
      <c r="C265" s="73"/>
      <c r="D265" s="73"/>
      <c r="E265" s="73"/>
      <c r="F265" s="73"/>
      <c r="G265" s="73"/>
      <c r="H265" s="73"/>
      <c r="I265" s="73"/>
      <c r="J265" s="73"/>
      <c r="K265" s="73"/>
      <c r="L265" s="73"/>
      <c r="M265" s="73"/>
      <c r="N265" s="73"/>
      <c r="O265" s="73"/>
      <c r="P265" s="73"/>
      <c r="Q265" s="73"/>
      <c r="R265" s="73"/>
      <c r="S265" s="73"/>
      <c r="T265" s="73"/>
      <c r="U265" s="73"/>
      <c r="V265" s="73"/>
      <c r="W265" s="69"/>
      <c r="X265" s="69"/>
      <c r="Y265" s="69"/>
      <c r="Z265" s="69"/>
      <c r="AA265" s="69"/>
      <c r="AB265" s="69"/>
      <c r="AC265" s="69"/>
    </row>
    <row r="266" spans="1:29" ht="20.100000000000001" customHeight="1">
      <c r="A266" s="14" t="s">
        <v>48</v>
      </c>
      <c r="B266" s="15" t="s">
        <v>64</v>
      </c>
      <c r="C266" s="16" t="str">
        <f>IFERROR(INDEX(EJERCICIOS!$D$3:$D$75,MATCH(A266&amp;"|"&amp;B266,EJERCICIOS!$G$3:$G$75,0)),"--")</f>
        <v>--</v>
      </c>
      <c r="D266" s="17">
        <v>3</v>
      </c>
      <c r="E266" s="18">
        <f>IFERROR(LOOKUP(2,1/(MEDIDAS_Y_PESO!$B$3:$B$14&lt;&gt;""),MEDIDAS_Y_PESO!$B$3:$B$14),"--")</f>
        <v>80</v>
      </c>
      <c r="F266" s="19"/>
      <c r="G266" s="20"/>
      <c r="H266" s="21"/>
      <c r="I266" s="19"/>
      <c r="J266" s="20"/>
      <c r="K266" s="21"/>
      <c r="L266" s="19"/>
      <c r="M266" s="20"/>
      <c r="N266" s="21"/>
      <c r="O266" s="19"/>
      <c r="P266" s="20"/>
      <c r="Q266" s="21"/>
      <c r="R266" s="19"/>
      <c r="S266" s="20"/>
      <c r="T266" s="21"/>
      <c r="U266" s="22" t="str">
        <f>IFERROR(IF(IF(X266&gt;0,X266,IF(Z266&gt;0,Z266,IF(AB266&gt;0,AB266,0)))=0,"--",ROUND(CHOOSE(IF(X266&gt;0,X266,IF(Z266&gt;0,Z266,IF(AB266&gt;0,AB266,0))),IF(C266="peso_corporal",IF(ISNUMBER(E266),E266,0)+F266,F266)*(1+G266/30),IF(C266="peso_corporal",IF(ISNUMBER(E266),E266,0)+I266,I266)*(1+J266/30),IF(C266="peso_corporal",IF(ISNUMBER(E266),E266,0)+L266,L266)*(1+M266/30),IF(C266="peso_corporal",IF(ISNUMBER(E266),E266,0)+O266,O266)*(1+P266/30),IF(C266="peso_corporal",IF(ISNUMBER(E266),E266,0)+R266,R266)*(1+S266/30)),1)),"--")</f>
        <v>--</v>
      </c>
      <c r="V266" s="23" t="str">
        <f>IF(SUGERENCIAS!N704="SIN","Sin datos anteriores",IF(SUGERENCIAS!N704="SUBIR_F","^ SUBIR FUERTE | Kg:"&amp;ROUND(SUGERENCIAS!K704,1)&amp;" R:"&amp;ROUND(SUGERENCIAS!L704,0)&amp;" RIR:"&amp;ROUND(SUGERENCIAS!M704,0),IF(SUGERENCIAS!N704="SUBIR_E","^ SUBIR (Est.) | Kg:"&amp;ROUND(SUGERENCIAS!K704,1)&amp;" R:"&amp;ROUND(SUGERENCIAS!L704,0)&amp;" RIR:"&amp;ROUND(SUGERENCIAS!M704,0),IF(SUGERENCIAS!N704="SUBIR","^ SUBIR | Kg:"&amp;ROUND(SUGERENCIAS!K704,1)&amp;" R:"&amp;ROUND(SUGERENCIAS!L704,0)&amp;" RIR:"&amp;ROUND(SUGERENCIAS!M704,0),IF(SUGERENCIAS!N704="BAJAR","v BAJAR | Kg:"&amp;ROUND(SUGERENCIAS!K704,1)&amp;" R:"&amp;ROUND(SUGERENCIAS!L704,0)&amp;" RIR:"&amp;ROUND(SUGERENCIAS!M704,0),"= MANT | Kg:"&amp;ROUND(SUGERENCIAS!K704,1)&amp;" R:"&amp;ROUND(SUGERENCIAS!L704,0)&amp;" RIR:"&amp;ROUND(SUGERENCIAS!M704,0))))))</f>
        <v>Sin datos anteriores</v>
      </c>
      <c r="W266" s="69">
        <f>MAX(IF((G266&gt;0)*(IF(H266="",-1,H266)&gt;=3)*(IF(H266="",-1,H266)&lt;=4),IF(C266="peso_corporal",IF(ISNUMBER(E266),E266,0)+F266,F266)*G266*1000+F266,0),IF((J266&gt;0)*(IF(K266="",-1,K266)&gt;=3)*(IF(K266="",-1,K266)&lt;=4),IF(C266="peso_corporal",IF(ISNUMBER(E266),E266,0)+I266,I266)*J266*1000+I266,0),IF((M266&gt;0)*(IF(N266="",-1,N266)&gt;=3)*(IF(N266="",-1,N266)&lt;=4),IF(C266="peso_corporal",IF(ISNUMBER(E266),E266,0)+L266,L266)*M266*1000+L266,0),IF((P266&gt;0)*(IF(Q266="",-1,Q266)&gt;=3)*(IF(Q266="",-1,Q266)&lt;=4),IF(C266="peso_corporal",IF(ISNUMBER(E266),E266,0)+O266,O266)*P266*1000+O266,0),IF((S266&gt;0)*(IF(T266="",-1,T266)&gt;=3)*(IF(T266="",-1,T266)&lt;=4),IF(C266="peso_corporal",IF(ISNUMBER(E266),E266,0)+R266,R266)*S266*1000+R266,0))</f>
        <v>0</v>
      </c>
      <c r="X266" s="69">
        <f>IF(W266=0,0,IF(IF((S266&gt;0)*(IF(T266="",-1,T266)&gt;=3)*(IF(T266="",-1,T266)&lt;=4),IF(C266="peso_corporal",IF(ISNUMBER(E266),E266,0)+R266,R266)*S266*1000+R266,0)=W266,5,IF(IF((P266&gt;0)*(IF(Q266="",-1,Q266)&gt;=3)*(IF(Q266="",-1,Q266)&lt;=4),IF(C266="peso_corporal",IF(ISNUMBER(E266),E266,0)+O266,O266)*P266*1000+O266,0)=W266,4,IF(IF((M266&gt;0)*(IF(N266="",-1,N266)&gt;=3)*(IF(N266="",-1,N266)&lt;=4),IF(C266="peso_corporal",IF(ISNUMBER(E266),E266,0)+L266,L266)*M266*1000+L266,0)=W266,3,IF(IF((J266&gt;0)*(IF(K266="",-1,K266)&gt;=3)*(IF(K266="",-1,K266)&lt;=4),IF(C266="peso_corporal",IF(ISNUMBER(E266),E266,0)+I266,I266)*J266*1000+I266,0)=W266,2,IF(IF((G266&gt;0)*(IF(H266="",-1,H266)&gt;=3)*(IF(H266="",-1,H266)&lt;=4),IF(C266="peso_corporal",IF(ISNUMBER(E266),E266,0)+F266,F266)*G266*1000+F266,0)=W266,1,0))))))</f>
        <v>0</v>
      </c>
      <c r="Y266" s="69">
        <f>MAX(IF((G266&gt;0)*(IF(H266="",-1,H266)=0)*(1-(IF(H266="",-1,H266)&gt;=3)*(IF(H266="",-1,H266)&lt;=4)),IF(C266="peso_corporal",IF(ISNUMBER(E266),E266,0)+F266,F266)*G266*1000+F266,0),IF((J266&gt;0)*(IF(K266="",-1,K266)=0)*(1-(IF(K266="",-1,K266)&gt;=3)*(IF(K266="",-1,K266)&lt;=4)),IF(C266="peso_corporal",IF(ISNUMBER(E266),E266,0)+I266,I266)*J266*1000+I266,0),IF((M266&gt;0)*(IF(N266="",-1,N266)=0)*(1-(IF(N266="",-1,N266)&gt;=3)*(IF(N266="",-1,N266)&lt;=4)),IF(C266="peso_corporal",IF(ISNUMBER(E266),E266,0)+L266,L266)*M266*1000+L266,0),IF((P266&gt;0)*(IF(Q266="",-1,Q266)=0)*(1-(IF(Q266="",-1,Q266)&gt;=3)*(IF(Q266="",-1,Q266)&lt;=4)),IF(C266="peso_corporal",IF(ISNUMBER(E266),E266,0)+O266,O266)*P266*1000+O266,0),IF((S266&gt;0)*(IF(T266="",-1,T266)=0)*(1-(IF(T266="",-1,T266)&gt;=3)*(IF(T266="",-1,T266)&lt;=4)),IF(C266="peso_corporal",IF(ISNUMBER(E266),E266,0)+R266,R266)*S266*1000+R266,0))</f>
        <v>0</v>
      </c>
      <c r="Z266" s="69">
        <f>IF(Y266=0,0,IF(IF((S266&gt;0)*(IF(T266="",-1,T266)=0)*(1-(IF(T266="",-1,T266)&gt;=3)*(IF(T266="",-1,T266)&lt;=4)),IF(C266="peso_corporal",IF(ISNUMBER(E266),E266,0)+R266,R266)*S266*1000+R266,0)=Y266,5,IF(IF((P266&gt;0)*(IF(Q266="",-1,Q266)=0)*(1-(IF(Q266="",-1,Q266)&gt;=3)*(IF(Q266="",-1,Q266)&lt;=4)),IF(C266="peso_corporal",IF(ISNUMBER(E266),E266,0)+O266,O266)*P266*1000+O266,0)=Y266,4,IF(IF((M266&gt;0)*(IF(N266="",-1,N266)=0)*(1-(IF(N266="",-1,N266)&gt;=3)*(IF(N266="",-1,N266)&lt;=4)),IF(C266="peso_corporal",IF(ISNUMBER(E266),E266,0)+L266,L266)*M266*1000+L266,0)=Y266,3,IF(IF((J266&gt;0)*(IF(K266="",-1,K266)=0)*(1-(IF(K266="",-1,K266)&gt;=3)*(IF(K266="",-1,K266)&lt;=4)),IF(C266="peso_corporal",IF(ISNUMBER(E266),E266,0)+I266,I266)*J266*1000+I266,0)=Y266,2,IF(IF((G266&gt;0)*(IF(H266="",-1,H266)=0)*(1-(IF(H266="",-1,H266)&gt;=3)*(IF(H266="",-1,H266)&lt;=4)),IF(C266="peso_corporal",IF(ISNUMBER(E266),E266,0)+F266,F266)*G266*1000+F266,0)=Y266,1,0))))))</f>
        <v>0</v>
      </c>
      <c r="AA266" s="69">
        <f>MAX(IF((G266&gt;=12)*(1-(IF(H266="",-1,H266)&gt;=3)*(IF(H266="",-1,H266)&lt;=4))*(1-(IF(H266="",-1,H266)=0)),IF(C266="peso_corporal",IF(ISNUMBER(E266),E266,0)+F266,F266)*(30+G266)*100+F266,0),IF((J266&gt;=12)*(1-(IF(K266="",-1,K266)&gt;=3)*(IF(K266="",-1,K266)&lt;=4))*(1-(IF(K266="",-1,K266)=0)),IF(C266="peso_corporal",IF(ISNUMBER(E266),E266,0)+I266,I266)*(30+J266)*100+I266,0),IF((M266&gt;=12)*(1-(IF(N266="",-1,N266)&gt;=3)*(IF(N266="",-1,N266)&lt;=4))*(1-(IF(N266="",-1,N266)=0)),IF(C266="peso_corporal",IF(ISNUMBER(E266),E266,0)+L266,L266)*(30+M266)*100+L266,0),IF((P266&gt;=12)*(1-(IF(Q266="",-1,Q266)&gt;=3)*(IF(Q266="",-1,Q266)&lt;=4))*(1-(IF(Q266="",-1,Q266)=0)),IF(C266="peso_corporal",IF(ISNUMBER(E266),E266,0)+O266,O266)*(30+P266)*100+O266,0),IF((S266&gt;=12)*(1-(IF(T266="",-1,T266)&gt;=3)*(IF(T266="",-1,T266)&lt;=4))*(1-(IF(T266="",-1,T266)=0)),IF(C266="peso_corporal",IF(ISNUMBER(E266),E266,0)+R266,R266)*(30+S266)*100+R266,0))</f>
        <v>0</v>
      </c>
      <c r="AB266" s="69">
        <f>IF(AA266=0,0,IF(IF((S266&gt;=12)*(1-(IF(T266="",-1,T266)&gt;=3)*(IF(T266="",-1,T266)&lt;=4))*(1-(IF(T266="",-1,T266)=0)),IF(C266="peso_corporal",IF(ISNUMBER(E266),E266,0)+R266,R266)*(30+S266)*100+R266,0)=AA266,5,IF(IF((P266&gt;=12)*(1-(IF(Q266="",-1,Q266)&gt;=3)*(IF(Q266="",-1,Q266)&lt;=4))*(1-(IF(Q266="",-1,Q266)=0)),IF(C266="peso_corporal",IF(ISNUMBER(E266),E266,0)+O266,O266)*(30+P266)*100+O266,0)=AA266,4,IF(IF((M266&gt;=12)*(1-(IF(N266="",-1,N266)&gt;=3)*(IF(N266="",-1,N266)&lt;=4))*(1-(IF(N266="",-1,N266)=0)),IF(C266="peso_corporal",IF(ISNUMBER(E266),E266,0)+L266,L266)*(30+M266)*100+L266,0)=AA266,3,IF(IF((J266&gt;=12)*(1-(IF(K266="",-1,K266)&gt;=3)*(IF(K266="",-1,K266)&lt;=4))*(1-(IF(K266="",-1,K266)=0)),IF(C266="peso_corporal",IF(ISNUMBER(E266),E266,0)+I266,I266)*(30+J266)*100+I266,0)=AA266,2,IF(IF((G266&gt;=12)*(1-(IF(H266="",-1,H266)&gt;=3)*(IF(H266="",-1,H266)&lt;=4))*(1-(IF(H266="",-1,H266)=0)),IF(C266="peso_corporal",IF(ISNUMBER(E266),E266,0)+F266,F266)*(30+G266)*100+F266,0)=AA266,1,0))))))</f>
        <v>0</v>
      </c>
      <c r="AC266" s="69" t="str">
        <f>IF(X266&gt;0,"A"&amp;X266,IF(Z266&gt;0,"B"&amp;Z266,IF(AB266&gt;0,"C"&amp;AB266,"")))</f>
        <v/>
      </c>
    </row>
    <row r="267" spans="1:29" ht="15" customHeight="1">
      <c r="A267" s="88" t="s">
        <v>50</v>
      </c>
      <c r="B267" s="73"/>
      <c r="C267" s="73"/>
      <c r="D267" s="73"/>
      <c r="E267" s="73"/>
      <c r="F267" s="73"/>
      <c r="G267" s="73"/>
      <c r="H267" s="73"/>
      <c r="I267" s="73"/>
      <c r="J267" s="73"/>
      <c r="K267" s="73"/>
      <c r="L267" s="73"/>
      <c r="M267" s="73"/>
      <c r="N267" s="73"/>
      <c r="O267" s="73"/>
      <c r="P267" s="73"/>
      <c r="Q267" s="73"/>
      <c r="R267" s="73"/>
      <c r="S267" s="73"/>
      <c r="T267" s="73"/>
      <c r="U267" s="73"/>
      <c r="V267" s="73"/>
      <c r="W267" s="69"/>
      <c r="X267" s="69"/>
      <c r="Y267" s="69"/>
      <c r="Z267" s="69"/>
      <c r="AA267" s="69"/>
      <c r="AB267" s="69"/>
      <c r="AC267" s="69"/>
    </row>
    <row r="268" spans="1:29" ht="20.100000000000001" customHeight="1">
      <c r="A268" s="14" t="s">
        <v>65</v>
      </c>
      <c r="B268" s="15" t="s">
        <v>66</v>
      </c>
      <c r="C268" s="16" t="str">
        <f>IFERROR(INDEX(EJERCICIOS!$D$3:$D$75,MATCH(A268&amp;"|"&amp;B268,EJERCICIOS!$G$3:$G$75,0)),"--")</f>
        <v>--</v>
      </c>
      <c r="D268" s="17">
        <v>3</v>
      </c>
      <c r="E268" s="18">
        <f>IFERROR(LOOKUP(2,1/(MEDIDAS_Y_PESO!$B$3:$B$14&lt;&gt;""),MEDIDAS_Y_PESO!$B$3:$B$14),"--")</f>
        <v>80</v>
      </c>
      <c r="F268" s="19"/>
      <c r="G268" s="20"/>
      <c r="H268" s="21"/>
      <c r="I268" s="19"/>
      <c r="J268" s="20"/>
      <c r="K268" s="21"/>
      <c r="L268" s="19"/>
      <c r="M268" s="20"/>
      <c r="N268" s="21"/>
      <c r="O268" s="19"/>
      <c r="P268" s="20"/>
      <c r="Q268" s="21"/>
      <c r="R268" s="19"/>
      <c r="S268" s="20"/>
      <c r="T268" s="21"/>
      <c r="U268" s="22" t="str">
        <f>IFERROR(IF(IF(X268&gt;0,X268,IF(Z268&gt;0,Z268,IF(AB268&gt;0,AB268,0)))=0,"--",ROUND(CHOOSE(IF(X268&gt;0,X268,IF(Z268&gt;0,Z268,IF(AB268&gt;0,AB268,0))),IF(C268="peso_corporal",IF(ISNUMBER(E268),E268,0)+F268,F268)*(1+G268/30),IF(C268="peso_corporal",IF(ISNUMBER(E268),E268,0)+I268,I268)*(1+J268/30),IF(C268="peso_corporal",IF(ISNUMBER(E268),E268,0)+L268,L268)*(1+M268/30),IF(C268="peso_corporal",IF(ISNUMBER(E268),E268,0)+O268,O268)*(1+P268/30),IF(C268="peso_corporal",IF(ISNUMBER(E268),E268,0)+R268,R268)*(1+S268/30)),1)),"--")</f>
        <v>--</v>
      </c>
      <c r="V268" s="23" t="str">
        <f>IF(SUGERENCIAS!N705="SIN","Sin datos anteriores",IF(SUGERENCIAS!N705="SUBIR_F","^ SUBIR FUERTE | Kg:"&amp;ROUND(SUGERENCIAS!K705,1)&amp;" R:"&amp;ROUND(SUGERENCIAS!L705,0)&amp;" RIR:"&amp;ROUND(SUGERENCIAS!M705,0),IF(SUGERENCIAS!N705="SUBIR_E","^ SUBIR (Est.) | Kg:"&amp;ROUND(SUGERENCIAS!K705,1)&amp;" R:"&amp;ROUND(SUGERENCIAS!L705,0)&amp;" RIR:"&amp;ROUND(SUGERENCIAS!M705,0),IF(SUGERENCIAS!N705="SUBIR","^ SUBIR | Kg:"&amp;ROUND(SUGERENCIAS!K705,1)&amp;" R:"&amp;ROUND(SUGERENCIAS!L705,0)&amp;" RIR:"&amp;ROUND(SUGERENCIAS!M705,0),IF(SUGERENCIAS!N705="BAJAR","v BAJAR | Kg:"&amp;ROUND(SUGERENCIAS!K705,1)&amp;" R:"&amp;ROUND(SUGERENCIAS!L705,0)&amp;" RIR:"&amp;ROUND(SUGERENCIAS!M705,0),"= MANT | Kg:"&amp;ROUND(SUGERENCIAS!K705,1)&amp;" R:"&amp;ROUND(SUGERENCIAS!L705,0)&amp;" RIR:"&amp;ROUND(SUGERENCIAS!M705,0))))))</f>
        <v>Sin datos anteriores</v>
      </c>
      <c r="W268" s="69">
        <f>MAX(IF((G268&gt;0)*(IF(H268="",-1,H268)&gt;=3)*(IF(H268="",-1,H268)&lt;=4),IF(C268="peso_corporal",IF(ISNUMBER(E268),E268,0)+F268,F268)*G268*1000+F268,0),IF((J268&gt;0)*(IF(K268="",-1,K268)&gt;=3)*(IF(K268="",-1,K268)&lt;=4),IF(C268="peso_corporal",IF(ISNUMBER(E268),E268,0)+I268,I268)*J268*1000+I268,0),IF((M268&gt;0)*(IF(N268="",-1,N268)&gt;=3)*(IF(N268="",-1,N268)&lt;=4),IF(C268="peso_corporal",IF(ISNUMBER(E268),E268,0)+L268,L268)*M268*1000+L268,0),IF((P268&gt;0)*(IF(Q268="",-1,Q268)&gt;=3)*(IF(Q268="",-1,Q268)&lt;=4),IF(C268="peso_corporal",IF(ISNUMBER(E268),E268,0)+O268,O268)*P268*1000+O268,0),IF((S268&gt;0)*(IF(T268="",-1,T268)&gt;=3)*(IF(T268="",-1,T268)&lt;=4),IF(C268="peso_corporal",IF(ISNUMBER(E268),E268,0)+R268,R268)*S268*1000+R268,0))</f>
        <v>0</v>
      </c>
      <c r="X268" s="69">
        <f>IF(W268=0,0,IF(IF((S268&gt;0)*(IF(T268="",-1,T268)&gt;=3)*(IF(T268="",-1,T268)&lt;=4),IF(C268="peso_corporal",IF(ISNUMBER(E268),E268,0)+R268,R268)*S268*1000+R268,0)=W268,5,IF(IF((P268&gt;0)*(IF(Q268="",-1,Q268)&gt;=3)*(IF(Q268="",-1,Q268)&lt;=4),IF(C268="peso_corporal",IF(ISNUMBER(E268),E268,0)+O268,O268)*P268*1000+O268,0)=W268,4,IF(IF((M268&gt;0)*(IF(N268="",-1,N268)&gt;=3)*(IF(N268="",-1,N268)&lt;=4),IF(C268="peso_corporal",IF(ISNUMBER(E268),E268,0)+L268,L268)*M268*1000+L268,0)=W268,3,IF(IF((J268&gt;0)*(IF(K268="",-1,K268)&gt;=3)*(IF(K268="",-1,K268)&lt;=4),IF(C268="peso_corporal",IF(ISNUMBER(E268),E268,0)+I268,I268)*J268*1000+I268,0)=W268,2,IF(IF((G268&gt;0)*(IF(H268="",-1,H268)&gt;=3)*(IF(H268="",-1,H268)&lt;=4),IF(C268="peso_corporal",IF(ISNUMBER(E268),E268,0)+F268,F268)*G268*1000+F268,0)=W268,1,0))))))</f>
        <v>0</v>
      </c>
      <c r="Y268" s="69">
        <f>MAX(IF((G268&gt;0)*(IF(H268="",-1,H268)=0)*(1-(IF(H268="",-1,H268)&gt;=3)*(IF(H268="",-1,H268)&lt;=4)),IF(C268="peso_corporal",IF(ISNUMBER(E268),E268,0)+F268,F268)*G268*1000+F268,0),IF((J268&gt;0)*(IF(K268="",-1,K268)=0)*(1-(IF(K268="",-1,K268)&gt;=3)*(IF(K268="",-1,K268)&lt;=4)),IF(C268="peso_corporal",IF(ISNUMBER(E268),E268,0)+I268,I268)*J268*1000+I268,0),IF((M268&gt;0)*(IF(N268="",-1,N268)=0)*(1-(IF(N268="",-1,N268)&gt;=3)*(IF(N268="",-1,N268)&lt;=4)),IF(C268="peso_corporal",IF(ISNUMBER(E268),E268,0)+L268,L268)*M268*1000+L268,0),IF((P268&gt;0)*(IF(Q268="",-1,Q268)=0)*(1-(IF(Q268="",-1,Q268)&gt;=3)*(IF(Q268="",-1,Q268)&lt;=4)),IF(C268="peso_corporal",IF(ISNUMBER(E268),E268,0)+O268,O268)*P268*1000+O268,0),IF((S268&gt;0)*(IF(T268="",-1,T268)=0)*(1-(IF(T268="",-1,T268)&gt;=3)*(IF(T268="",-1,T268)&lt;=4)),IF(C268="peso_corporal",IF(ISNUMBER(E268),E268,0)+R268,R268)*S268*1000+R268,0))</f>
        <v>0</v>
      </c>
      <c r="Z268" s="69">
        <f>IF(Y268=0,0,IF(IF((S268&gt;0)*(IF(T268="",-1,T268)=0)*(1-(IF(T268="",-1,T268)&gt;=3)*(IF(T268="",-1,T268)&lt;=4)),IF(C268="peso_corporal",IF(ISNUMBER(E268),E268,0)+R268,R268)*S268*1000+R268,0)=Y268,5,IF(IF((P268&gt;0)*(IF(Q268="",-1,Q268)=0)*(1-(IF(Q268="",-1,Q268)&gt;=3)*(IF(Q268="",-1,Q268)&lt;=4)),IF(C268="peso_corporal",IF(ISNUMBER(E268),E268,0)+O268,O268)*P268*1000+O268,0)=Y268,4,IF(IF((M268&gt;0)*(IF(N268="",-1,N268)=0)*(1-(IF(N268="",-1,N268)&gt;=3)*(IF(N268="",-1,N268)&lt;=4)),IF(C268="peso_corporal",IF(ISNUMBER(E268),E268,0)+L268,L268)*M268*1000+L268,0)=Y268,3,IF(IF((J268&gt;0)*(IF(K268="",-1,K268)=0)*(1-(IF(K268="",-1,K268)&gt;=3)*(IF(K268="",-1,K268)&lt;=4)),IF(C268="peso_corporal",IF(ISNUMBER(E268),E268,0)+I268,I268)*J268*1000+I268,0)=Y268,2,IF(IF((G268&gt;0)*(IF(H268="",-1,H268)=0)*(1-(IF(H268="",-1,H268)&gt;=3)*(IF(H268="",-1,H268)&lt;=4)),IF(C268="peso_corporal",IF(ISNUMBER(E268),E268,0)+F268,F268)*G268*1000+F268,0)=Y268,1,0))))))</f>
        <v>0</v>
      </c>
      <c r="AA268" s="69">
        <f>MAX(IF((G268&gt;=12)*(1-(IF(H268="",-1,H268)&gt;=3)*(IF(H268="",-1,H268)&lt;=4))*(1-(IF(H268="",-1,H268)=0)),IF(C268="peso_corporal",IF(ISNUMBER(E268),E268,0)+F268,F268)*(30+G268)*100+F268,0),IF((J268&gt;=12)*(1-(IF(K268="",-1,K268)&gt;=3)*(IF(K268="",-1,K268)&lt;=4))*(1-(IF(K268="",-1,K268)=0)),IF(C268="peso_corporal",IF(ISNUMBER(E268),E268,0)+I268,I268)*(30+J268)*100+I268,0),IF((M268&gt;=12)*(1-(IF(N268="",-1,N268)&gt;=3)*(IF(N268="",-1,N268)&lt;=4))*(1-(IF(N268="",-1,N268)=0)),IF(C268="peso_corporal",IF(ISNUMBER(E268),E268,0)+L268,L268)*(30+M268)*100+L268,0),IF((P268&gt;=12)*(1-(IF(Q268="",-1,Q268)&gt;=3)*(IF(Q268="",-1,Q268)&lt;=4))*(1-(IF(Q268="",-1,Q268)=0)),IF(C268="peso_corporal",IF(ISNUMBER(E268),E268,0)+O268,O268)*(30+P268)*100+O268,0),IF((S268&gt;=12)*(1-(IF(T268="",-1,T268)&gt;=3)*(IF(T268="",-1,T268)&lt;=4))*(1-(IF(T268="",-1,T268)=0)),IF(C268="peso_corporal",IF(ISNUMBER(E268),E268,0)+R268,R268)*(30+S268)*100+R268,0))</f>
        <v>0</v>
      </c>
      <c r="AB268" s="69">
        <f>IF(AA268=0,0,IF(IF((S268&gt;=12)*(1-(IF(T268="",-1,T268)&gt;=3)*(IF(T268="",-1,T268)&lt;=4))*(1-(IF(T268="",-1,T268)=0)),IF(C268="peso_corporal",IF(ISNUMBER(E268),E268,0)+R268,R268)*(30+S268)*100+R268,0)=AA268,5,IF(IF((P268&gt;=12)*(1-(IF(Q268="",-1,Q268)&gt;=3)*(IF(Q268="",-1,Q268)&lt;=4))*(1-(IF(Q268="",-1,Q268)=0)),IF(C268="peso_corporal",IF(ISNUMBER(E268),E268,0)+O268,O268)*(30+P268)*100+O268,0)=AA268,4,IF(IF((M268&gt;=12)*(1-(IF(N268="",-1,N268)&gt;=3)*(IF(N268="",-1,N268)&lt;=4))*(1-(IF(N268="",-1,N268)=0)),IF(C268="peso_corporal",IF(ISNUMBER(E268),E268,0)+L268,L268)*(30+M268)*100+L268,0)=AA268,3,IF(IF((J268&gt;=12)*(1-(IF(K268="",-1,K268)&gt;=3)*(IF(K268="",-1,K268)&lt;=4))*(1-(IF(K268="",-1,K268)=0)),IF(C268="peso_corporal",IF(ISNUMBER(E268),E268,0)+I268,I268)*(30+J268)*100+I268,0)=AA268,2,IF(IF((G268&gt;=12)*(1-(IF(H268="",-1,H268)&gt;=3)*(IF(H268="",-1,H268)&lt;=4))*(1-(IF(H268="",-1,H268)=0)),IF(C268="peso_corporal",IF(ISNUMBER(E268),E268,0)+F268,F268)*(30+G268)*100+F268,0)=AA268,1,0))))))</f>
        <v>0</v>
      </c>
      <c r="AC268" s="69" t="str">
        <f>IF(X268&gt;0,"A"&amp;X268,IF(Z268&gt;0,"B"&amp;Z268,IF(AB268&gt;0,"C"&amp;AB268,"")))</f>
        <v/>
      </c>
    </row>
    <row r="269" spans="1:29" ht="15" customHeight="1">
      <c r="A269" s="81" t="s">
        <v>53</v>
      </c>
      <c r="B269" s="73"/>
      <c r="C269" s="73"/>
      <c r="D269" s="73"/>
      <c r="E269" s="73"/>
      <c r="F269" s="73"/>
      <c r="G269" s="73"/>
      <c r="H269" s="73"/>
      <c r="I269" s="73"/>
      <c r="J269" s="73"/>
      <c r="K269" s="73"/>
      <c r="L269" s="73"/>
      <c r="M269" s="73"/>
      <c r="N269" s="73"/>
      <c r="O269" s="73"/>
      <c r="P269" s="73"/>
      <c r="Q269" s="73"/>
      <c r="R269" s="73"/>
      <c r="S269" s="73"/>
      <c r="T269" s="73"/>
      <c r="U269" s="73"/>
      <c r="V269" s="73"/>
      <c r="W269" s="69"/>
      <c r="X269" s="69"/>
      <c r="Y269" s="69"/>
      <c r="Z269" s="69"/>
      <c r="AA269" s="69"/>
      <c r="AB269" s="69"/>
      <c r="AC269" s="69"/>
    </row>
    <row r="270" spans="1:29" ht="20.100000000000001" customHeight="1">
      <c r="A270" s="14" t="s">
        <v>54</v>
      </c>
      <c r="B270" s="15" t="s">
        <v>67</v>
      </c>
      <c r="C270" s="16" t="str">
        <f>IFERROR(INDEX(EJERCICIOS!$D$3:$D$75,MATCH(A270&amp;"|"&amp;B270,EJERCICIOS!$G$3:$G$75,0)),"--")</f>
        <v>mancuerna</v>
      </c>
      <c r="D270" s="17">
        <v>3</v>
      </c>
      <c r="E270" s="18">
        <f>IFERROR(LOOKUP(2,1/(MEDIDAS_Y_PESO!$B$3:$B$14&lt;&gt;""),MEDIDAS_Y_PESO!$B$3:$B$14),"--")</f>
        <v>80</v>
      </c>
      <c r="F270" s="19"/>
      <c r="G270" s="20"/>
      <c r="H270" s="21"/>
      <c r="I270" s="19"/>
      <c r="J270" s="20"/>
      <c r="K270" s="21"/>
      <c r="L270" s="19"/>
      <c r="M270" s="20"/>
      <c r="N270" s="21"/>
      <c r="O270" s="19"/>
      <c r="P270" s="20"/>
      <c r="Q270" s="21"/>
      <c r="R270" s="19"/>
      <c r="S270" s="20"/>
      <c r="T270" s="21"/>
      <c r="U270" s="22" t="str">
        <f>IFERROR(IF(IF(X270&gt;0,X270,IF(Z270&gt;0,Z270,IF(AB270&gt;0,AB270,0)))=0,"--",ROUND(CHOOSE(IF(X270&gt;0,X270,IF(Z270&gt;0,Z270,IF(AB270&gt;0,AB270,0))),IF(C270="peso_corporal",IF(ISNUMBER(E270),E270,0)+F270,F270)*(1+G270/30),IF(C270="peso_corporal",IF(ISNUMBER(E270),E270,0)+I270,I270)*(1+J270/30),IF(C270="peso_corporal",IF(ISNUMBER(E270),E270,0)+L270,L270)*(1+M270/30),IF(C270="peso_corporal",IF(ISNUMBER(E270),E270,0)+O270,O270)*(1+P270/30),IF(C270="peso_corporal",IF(ISNUMBER(E270),E270,0)+R270,R270)*(1+S270/30)),1)),"--")</f>
        <v>--</v>
      </c>
      <c r="V270" s="23" t="str">
        <f>IF(SUGERENCIAS!N706="SIN","Sin datos anteriores",IF(SUGERENCIAS!N706="SUBIR_F","^ SUBIR FUERTE | Kg:"&amp;ROUND(SUGERENCIAS!K706,1)&amp;" R:"&amp;ROUND(SUGERENCIAS!L706,0)&amp;" RIR:"&amp;ROUND(SUGERENCIAS!M706,0),IF(SUGERENCIAS!N706="SUBIR_E","^ SUBIR (Est.) | Kg:"&amp;ROUND(SUGERENCIAS!K706,1)&amp;" R:"&amp;ROUND(SUGERENCIAS!L706,0)&amp;" RIR:"&amp;ROUND(SUGERENCIAS!M706,0),IF(SUGERENCIAS!N706="SUBIR","^ SUBIR | Kg:"&amp;ROUND(SUGERENCIAS!K706,1)&amp;" R:"&amp;ROUND(SUGERENCIAS!L706,0)&amp;" RIR:"&amp;ROUND(SUGERENCIAS!M706,0),IF(SUGERENCIAS!N706="BAJAR","v BAJAR | Kg:"&amp;ROUND(SUGERENCIAS!K706,1)&amp;" R:"&amp;ROUND(SUGERENCIAS!L706,0)&amp;" RIR:"&amp;ROUND(SUGERENCIAS!M706,0),"= MANT | Kg:"&amp;ROUND(SUGERENCIAS!K706,1)&amp;" R:"&amp;ROUND(SUGERENCIAS!L706,0)&amp;" RIR:"&amp;ROUND(SUGERENCIAS!M706,0))))))</f>
        <v>Sin datos anteriores</v>
      </c>
      <c r="W270" s="69">
        <f>MAX(IF((G270&gt;0)*(IF(H270="",-1,H270)&gt;=3)*(IF(H270="",-1,H270)&lt;=4),IF(C270="peso_corporal",IF(ISNUMBER(E270),E270,0)+F270,F270)*G270*1000+F270,0),IF((J270&gt;0)*(IF(K270="",-1,K270)&gt;=3)*(IF(K270="",-1,K270)&lt;=4),IF(C270="peso_corporal",IF(ISNUMBER(E270),E270,0)+I270,I270)*J270*1000+I270,0),IF((M270&gt;0)*(IF(N270="",-1,N270)&gt;=3)*(IF(N270="",-1,N270)&lt;=4),IF(C270="peso_corporal",IF(ISNUMBER(E270),E270,0)+L270,L270)*M270*1000+L270,0),IF((P270&gt;0)*(IF(Q270="",-1,Q270)&gt;=3)*(IF(Q270="",-1,Q270)&lt;=4),IF(C270="peso_corporal",IF(ISNUMBER(E270),E270,0)+O270,O270)*P270*1000+O270,0),IF((S270&gt;0)*(IF(T270="",-1,T270)&gt;=3)*(IF(T270="",-1,T270)&lt;=4),IF(C270="peso_corporal",IF(ISNUMBER(E270),E270,0)+R270,R270)*S270*1000+R270,0))</f>
        <v>0</v>
      </c>
      <c r="X270" s="69">
        <f>IF(W270=0,0,IF(IF((S270&gt;0)*(IF(T270="",-1,T270)&gt;=3)*(IF(T270="",-1,T270)&lt;=4),IF(C270="peso_corporal",IF(ISNUMBER(E270),E270,0)+R270,R270)*S270*1000+R270,0)=W270,5,IF(IF((P270&gt;0)*(IF(Q270="",-1,Q270)&gt;=3)*(IF(Q270="",-1,Q270)&lt;=4),IF(C270="peso_corporal",IF(ISNUMBER(E270),E270,0)+O270,O270)*P270*1000+O270,0)=W270,4,IF(IF((M270&gt;0)*(IF(N270="",-1,N270)&gt;=3)*(IF(N270="",-1,N270)&lt;=4),IF(C270="peso_corporal",IF(ISNUMBER(E270),E270,0)+L270,L270)*M270*1000+L270,0)=W270,3,IF(IF((J270&gt;0)*(IF(K270="",-1,K270)&gt;=3)*(IF(K270="",-1,K270)&lt;=4),IF(C270="peso_corporal",IF(ISNUMBER(E270),E270,0)+I270,I270)*J270*1000+I270,0)=W270,2,IF(IF((G270&gt;0)*(IF(H270="",-1,H270)&gt;=3)*(IF(H270="",-1,H270)&lt;=4),IF(C270="peso_corporal",IF(ISNUMBER(E270),E270,0)+F270,F270)*G270*1000+F270,0)=W270,1,0))))))</f>
        <v>0</v>
      </c>
      <c r="Y270" s="69">
        <f>MAX(IF((G270&gt;0)*(IF(H270="",-1,H270)=0)*(1-(IF(H270="",-1,H270)&gt;=3)*(IF(H270="",-1,H270)&lt;=4)),IF(C270="peso_corporal",IF(ISNUMBER(E270),E270,0)+F270,F270)*G270*1000+F270,0),IF((J270&gt;0)*(IF(K270="",-1,K270)=0)*(1-(IF(K270="",-1,K270)&gt;=3)*(IF(K270="",-1,K270)&lt;=4)),IF(C270="peso_corporal",IF(ISNUMBER(E270),E270,0)+I270,I270)*J270*1000+I270,0),IF((M270&gt;0)*(IF(N270="",-1,N270)=0)*(1-(IF(N270="",-1,N270)&gt;=3)*(IF(N270="",-1,N270)&lt;=4)),IF(C270="peso_corporal",IF(ISNUMBER(E270),E270,0)+L270,L270)*M270*1000+L270,0),IF((P270&gt;0)*(IF(Q270="",-1,Q270)=0)*(1-(IF(Q270="",-1,Q270)&gt;=3)*(IF(Q270="",-1,Q270)&lt;=4)),IF(C270="peso_corporal",IF(ISNUMBER(E270),E270,0)+O270,O270)*P270*1000+O270,0),IF((S270&gt;0)*(IF(T270="",-1,T270)=0)*(1-(IF(T270="",-1,T270)&gt;=3)*(IF(T270="",-1,T270)&lt;=4)),IF(C270="peso_corporal",IF(ISNUMBER(E270),E270,0)+R270,R270)*S270*1000+R270,0))</f>
        <v>0</v>
      </c>
      <c r="Z270" s="69">
        <f>IF(Y270=0,0,IF(IF((S270&gt;0)*(IF(T270="",-1,T270)=0)*(1-(IF(T270="",-1,T270)&gt;=3)*(IF(T270="",-1,T270)&lt;=4)),IF(C270="peso_corporal",IF(ISNUMBER(E270),E270,0)+R270,R270)*S270*1000+R270,0)=Y270,5,IF(IF((P270&gt;0)*(IF(Q270="",-1,Q270)=0)*(1-(IF(Q270="",-1,Q270)&gt;=3)*(IF(Q270="",-1,Q270)&lt;=4)),IF(C270="peso_corporal",IF(ISNUMBER(E270),E270,0)+O270,O270)*P270*1000+O270,0)=Y270,4,IF(IF((M270&gt;0)*(IF(N270="",-1,N270)=0)*(1-(IF(N270="",-1,N270)&gt;=3)*(IF(N270="",-1,N270)&lt;=4)),IF(C270="peso_corporal",IF(ISNUMBER(E270),E270,0)+L270,L270)*M270*1000+L270,0)=Y270,3,IF(IF((J270&gt;0)*(IF(K270="",-1,K270)=0)*(1-(IF(K270="",-1,K270)&gt;=3)*(IF(K270="",-1,K270)&lt;=4)),IF(C270="peso_corporal",IF(ISNUMBER(E270),E270,0)+I270,I270)*J270*1000+I270,0)=Y270,2,IF(IF((G270&gt;0)*(IF(H270="",-1,H270)=0)*(1-(IF(H270="",-1,H270)&gt;=3)*(IF(H270="",-1,H270)&lt;=4)),IF(C270="peso_corporal",IF(ISNUMBER(E270),E270,0)+F270,F270)*G270*1000+F270,0)=Y270,1,0))))))</f>
        <v>0</v>
      </c>
      <c r="AA270" s="69">
        <f>MAX(IF((G270&gt;=12)*(1-(IF(H270="",-1,H270)&gt;=3)*(IF(H270="",-1,H270)&lt;=4))*(1-(IF(H270="",-1,H270)=0)),IF(C270="peso_corporal",IF(ISNUMBER(E270),E270,0)+F270,F270)*(30+G270)*100+F270,0),IF((J270&gt;=12)*(1-(IF(K270="",-1,K270)&gt;=3)*(IF(K270="",-1,K270)&lt;=4))*(1-(IF(K270="",-1,K270)=0)),IF(C270="peso_corporal",IF(ISNUMBER(E270),E270,0)+I270,I270)*(30+J270)*100+I270,0),IF((M270&gt;=12)*(1-(IF(N270="",-1,N270)&gt;=3)*(IF(N270="",-1,N270)&lt;=4))*(1-(IF(N270="",-1,N270)=0)),IF(C270="peso_corporal",IF(ISNUMBER(E270),E270,0)+L270,L270)*(30+M270)*100+L270,0),IF((P270&gt;=12)*(1-(IF(Q270="",-1,Q270)&gt;=3)*(IF(Q270="",-1,Q270)&lt;=4))*(1-(IF(Q270="",-1,Q270)=0)),IF(C270="peso_corporal",IF(ISNUMBER(E270),E270,0)+O270,O270)*(30+P270)*100+O270,0),IF((S270&gt;=12)*(1-(IF(T270="",-1,T270)&gt;=3)*(IF(T270="",-1,T270)&lt;=4))*(1-(IF(T270="",-1,T270)=0)),IF(C270="peso_corporal",IF(ISNUMBER(E270),E270,0)+R270,R270)*(30+S270)*100+R270,0))</f>
        <v>0</v>
      </c>
      <c r="AB270" s="69">
        <f>IF(AA270=0,0,IF(IF((S270&gt;=12)*(1-(IF(T270="",-1,T270)&gt;=3)*(IF(T270="",-1,T270)&lt;=4))*(1-(IF(T270="",-1,T270)=0)),IF(C270="peso_corporal",IF(ISNUMBER(E270),E270,0)+R270,R270)*(30+S270)*100+R270,0)=AA270,5,IF(IF((P270&gt;=12)*(1-(IF(Q270="",-1,Q270)&gt;=3)*(IF(Q270="",-1,Q270)&lt;=4))*(1-(IF(Q270="",-1,Q270)=0)),IF(C270="peso_corporal",IF(ISNUMBER(E270),E270,0)+O270,O270)*(30+P270)*100+O270,0)=AA270,4,IF(IF((M270&gt;=12)*(1-(IF(N270="",-1,N270)&gt;=3)*(IF(N270="",-1,N270)&lt;=4))*(1-(IF(N270="",-1,N270)=0)),IF(C270="peso_corporal",IF(ISNUMBER(E270),E270,0)+L270,L270)*(30+M270)*100+L270,0)=AA270,3,IF(IF((J270&gt;=12)*(1-(IF(K270="",-1,K270)&gt;=3)*(IF(K270="",-1,K270)&lt;=4))*(1-(IF(K270="",-1,K270)=0)),IF(C270="peso_corporal",IF(ISNUMBER(E270),E270,0)+I270,I270)*(30+J270)*100+I270,0)=AA270,2,IF(IF((G270&gt;=12)*(1-(IF(H270="",-1,H270)&gt;=3)*(IF(H270="",-1,H270)&lt;=4))*(1-(IF(H270="",-1,H270)=0)),IF(C270="peso_corporal",IF(ISNUMBER(E270),E270,0)+F270,F270)*(30+G270)*100+F270,0)=AA270,1,0))))))</f>
        <v>0</v>
      </c>
      <c r="AC270" s="69" t="str">
        <f>IF(X270&gt;0,"A"&amp;X270,IF(Z270&gt;0,"B"&amp;Z270,IF(AB270&gt;0,"C"&amp;AB270,"")))</f>
        <v/>
      </c>
    </row>
    <row r="271" spans="1:29" ht="15" customHeight="1">
      <c r="A271" s="72" t="s">
        <v>56</v>
      </c>
      <c r="B271" s="73"/>
      <c r="C271" s="73"/>
      <c r="D271" s="73"/>
      <c r="E271" s="73"/>
      <c r="F271" s="73"/>
      <c r="G271" s="73"/>
      <c r="H271" s="73"/>
      <c r="I271" s="73"/>
      <c r="J271" s="73"/>
      <c r="K271" s="73"/>
      <c r="L271" s="73"/>
      <c r="M271" s="73"/>
      <c r="N271" s="73"/>
      <c r="O271" s="73"/>
      <c r="P271" s="73"/>
      <c r="Q271" s="73"/>
      <c r="R271" s="73"/>
      <c r="S271" s="73"/>
      <c r="T271" s="73"/>
      <c r="U271" s="73"/>
      <c r="V271" s="73"/>
      <c r="W271" s="69"/>
      <c r="X271" s="69"/>
      <c r="Y271" s="69"/>
      <c r="Z271" s="69"/>
      <c r="AA271" s="69"/>
      <c r="AB271" s="69"/>
      <c r="AC271" s="69"/>
    </row>
    <row r="272" spans="1:29" ht="20.100000000000001" customHeight="1">
      <c r="A272" s="14" t="s">
        <v>57</v>
      </c>
      <c r="B272" s="15" t="s">
        <v>58</v>
      </c>
      <c r="C272" s="16" t="str">
        <f>IFERROR(INDEX(EJERCICIOS!$D$3:$D$75,MATCH(A272&amp;"|"&amp;B272,EJERCICIOS!$G$3:$G$75,0)),"--")</f>
        <v>polea</v>
      </c>
      <c r="D272" s="17">
        <v>3</v>
      </c>
      <c r="E272" s="18">
        <f>IFERROR(LOOKUP(2,1/(MEDIDAS_Y_PESO!$B$3:$B$14&lt;&gt;""),MEDIDAS_Y_PESO!$B$3:$B$14),"--")</f>
        <v>80</v>
      </c>
      <c r="F272" s="19"/>
      <c r="G272" s="20"/>
      <c r="H272" s="21"/>
      <c r="I272" s="19"/>
      <c r="J272" s="20"/>
      <c r="K272" s="21"/>
      <c r="L272" s="19"/>
      <c r="M272" s="20"/>
      <c r="N272" s="21"/>
      <c r="O272" s="19"/>
      <c r="P272" s="20"/>
      <c r="Q272" s="21"/>
      <c r="R272" s="19"/>
      <c r="S272" s="20"/>
      <c r="T272" s="21"/>
      <c r="U272" s="22" t="str">
        <f>IFERROR(IF(IF(X272&gt;0,X272,IF(Z272&gt;0,Z272,IF(AB272&gt;0,AB272,0)))=0,"--",ROUND(CHOOSE(IF(X272&gt;0,X272,IF(Z272&gt;0,Z272,IF(AB272&gt;0,AB272,0))),IF(C272="peso_corporal",IF(ISNUMBER(E272),E272,0)+F272,F272)*(1+G272/30),IF(C272="peso_corporal",IF(ISNUMBER(E272),E272,0)+I272,I272)*(1+J272/30),IF(C272="peso_corporal",IF(ISNUMBER(E272),E272,0)+L272,L272)*(1+M272/30),IF(C272="peso_corporal",IF(ISNUMBER(E272),E272,0)+O272,O272)*(1+P272/30),IF(C272="peso_corporal",IF(ISNUMBER(E272),E272,0)+R272,R272)*(1+S272/30)),1)),"--")</f>
        <v>--</v>
      </c>
      <c r="V272" s="23" t="str">
        <f>IF(SUGERENCIAS!N707="SIN","Sin datos anteriores",IF(SUGERENCIAS!N707="SUBIR_F","^ SUBIR FUERTE | Kg:"&amp;ROUND(SUGERENCIAS!K707,1)&amp;" R:"&amp;ROUND(SUGERENCIAS!L707,0)&amp;" RIR:"&amp;ROUND(SUGERENCIAS!M707,0),IF(SUGERENCIAS!N707="SUBIR_E","^ SUBIR (Est.) | Kg:"&amp;ROUND(SUGERENCIAS!K707,1)&amp;" R:"&amp;ROUND(SUGERENCIAS!L707,0)&amp;" RIR:"&amp;ROUND(SUGERENCIAS!M707,0),IF(SUGERENCIAS!N707="SUBIR","^ SUBIR | Kg:"&amp;ROUND(SUGERENCIAS!K707,1)&amp;" R:"&amp;ROUND(SUGERENCIAS!L707,0)&amp;" RIR:"&amp;ROUND(SUGERENCIAS!M707,0),IF(SUGERENCIAS!N707="BAJAR","v BAJAR | Kg:"&amp;ROUND(SUGERENCIAS!K707,1)&amp;" R:"&amp;ROUND(SUGERENCIAS!L707,0)&amp;" RIR:"&amp;ROUND(SUGERENCIAS!M707,0),"= MANT | Kg:"&amp;ROUND(SUGERENCIAS!K707,1)&amp;" R:"&amp;ROUND(SUGERENCIAS!L707,0)&amp;" RIR:"&amp;ROUND(SUGERENCIAS!M707,0))))))</f>
        <v>Sin datos anteriores</v>
      </c>
      <c r="W272" s="69">
        <f>MAX(IF((G272&gt;0)*(IF(H272="",-1,H272)&gt;=3)*(IF(H272="",-1,H272)&lt;=4),IF(C272="peso_corporal",IF(ISNUMBER(E272),E272,0)+F272,F272)*G272*1000+F272,0),IF((J272&gt;0)*(IF(K272="",-1,K272)&gt;=3)*(IF(K272="",-1,K272)&lt;=4),IF(C272="peso_corporal",IF(ISNUMBER(E272),E272,0)+I272,I272)*J272*1000+I272,0),IF((M272&gt;0)*(IF(N272="",-1,N272)&gt;=3)*(IF(N272="",-1,N272)&lt;=4),IF(C272="peso_corporal",IF(ISNUMBER(E272),E272,0)+L272,L272)*M272*1000+L272,0),IF((P272&gt;0)*(IF(Q272="",-1,Q272)&gt;=3)*(IF(Q272="",-1,Q272)&lt;=4),IF(C272="peso_corporal",IF(ISNUMBER(E272),E272,0)+O272,O272)*P272*1000+O272,0),IF((S272&gt;0)*(IF(T272="",-1,T272)&gt;=3)*(IF(T272="",-1,T272)&lt;=4),IF(C272="peso_corporal",IF(ISNUMBER(E272),E272,0)+R272,R272)*S272*1000+R272,0))</f>
        <v>0</v>
      </c>
      <c r="X272" s="69">
        <f>IF(W272=0,0,IF(IF((S272&gt;0)*(IF(T272="",-1,T272)&gt;=3)*(IF(T272="",-1,T272)&lt;=4),IF(C272="peso_corporal",IF(ISNUMBER(E272),E272,0)+R272,R272)*S272*1000+R272,0)=W272,5,IF(IF((P272&gt;0)*(IF(Q272="",-1,Q272)&gt;=3)*(IF(Q272="",-1,Q272)&lt;=4),IF(C272="peso_corporal",IF(ISNUMBER(E272),E272,0)+O272,O272)*P272*1000+O272,0)=W272,4,IF(IF((M272&gt;0)*(IF(N272="",-1,N272)&gt;=3)*(IF(N272="",-1,N272)&lt;=4),IF(C272="peso_corporal",IF(ISNUMBER(E272),E272,0)+L272,L272)*M272*1000+L272,0)=W272,3,IF(IF((J272&gt;0)*(IF(K272="",-1,K272)&gt;=3)*(IF(K272="",-1,K272)&lt;=4),IF(C272="peso_corporal",IF(ISNUMBER(E272),E272,0)+I272,I272)*J272*1000+I272,0)=W272,2,IF(IF((G272&gt;0)*(IF(H272="",-1,H272)&gt;=3)*(IF(H272="",-1,H272)&lt;=4),IF(C272="peso_corporal",IF(ISNUMBER(E272),E272,0)+F272,F272)*G272*1000+F272,0)=W272,1,0))))))</f>
        <v>0</v>
      </c>
      <c r="Y272" s="69">
        <f>MAX(IF((G272&gt;0)*(IF(H272="",-1,H272)=0)*(1-(IF(H272="",-1,H272)&gt;=3)*(IF(H272="",-1,H272)&lt;=4)),IF(C272="peso_corporal",IF(ISNUMBER(E272),E272,0)+F272,F272)*G272*1000+F272,0),IF((J272&gt;0)*(IF(K272="",-1,K272)=0)*(1-(IF(K272="",-1,K272)&gt;=3)*(IF(K272="",-1,K272)&lt;=4)),IF(C272="peso_corporal",IF(ISNUMBER(E272),E272,0)+I272,I272)*J272*1000+I272,0),IF((M272&gt;0)*(IF(N272="",-1,N272)=0)*(1-(IF(N272="",-1,N272)&gt;=3)*(IF(N272="",-1,N272)&lt;=4)),IF(C272="peso_corporal",IF(ISNUMBER(E272),E272,0)+L272,L272)*M272*1000+L272,0),IF((P272&gt;0)*(IF(Q272="",-1,Q272)=0)*(1-(IF(Q272="",-1,Q272)&gt;=3)*(IF(Q272="",-1,Q272)&lt;=4)),IF(C272="peso_corporal",IF(ISNUMBER(E272),E272,0)+O272,O272)*P272*1000+O272,0),IF((S272&gt;0)*(IF(T272="",-1,T272)=0)*(1-(IF(T272="",-1,T272)&gt;=3)*(IF(T272="",-1,T272)&lt;=4)),IF(C272="peso_corporal",IF(ISNUMBER(E272),E272,0)+R272,R272)*S272*1000+R272,0))</f>
        <v>0</v>
      </c>
      <c r="Z272" s="69">
        <f>IF(Y272=0,0,IF(IF((S272&gt;0)*(IF(T272="",-1,T272)=0)*(1-(IF(T272="",-1,T272)&gt;=3)*(IF(T272="",-1,T272)&lt;=4)),IF(C272="peso_corporal",IF(ISNUMBER(E272),E272,0)+R272,R272)*S272*1000+R272,0)=Y272,5,IF(IF((P272&gt;0)*(IF(Q272="",-1,Q272)=0)*(1-(IF(Q272="",-1,Q272)&gt;=3)*(IF(Q272="",-1,Q272)&lt;=4)),IF(C272="peso_corporal",IF(ISNUMBER(E272),E272,0)+O272,O272)*P272*1000+O272,0)=Y272,4,IF(IF((M272&gt;0)*(IF(N272="",-1,N272)=0)*(1-(IF(N272="",-1,N272)&gt;=3)*(IF(N272="",-1,N272)&lt;=4)),IF(C272="peso_corporal",IF(ISNUMBER(E272),E272,0)+L272,L272)*M272*1000+L272,0)=Y272,3,IF(IF((J272&gt;0)*(IF(K272="",-1,K272)=0)*(1-(IF(K272="",-1,K272)&gt;=3)*(IF(K272="",-1,K272)&lt;=4)),IF(C272="peso_corporal",IF(ISNUMBER(E272),E272,0)+I272,I272)*J272*1000+I272,0)=Y272,2,IF(IF((G272&gt;0)*(IF(H272="",-1,H272)=0)*(1-(IF(H272="",-1,H272)&gt;=3)*(IF(H272="",-1,H272)&lt;=4)),IF(C272="peso_corporal",IF(ISNUMBER(E272),E272,0)+F272,F272)*G272*1000+F272,0)=Y272,1,0))))))</f>
        <v>0</v>
      </c>
      <c r="AA272" s="69">
        <f>MAX(IF((G272&gt;=12)*(1-(IF(H272="",-1,H272)&gt;=3)*(IF(H272="",-1,H272)&lt;=4))*(1-(IF(H272="",-1,H272)=0)),IF(C272="peso_corporal",IF(ISNUMBER(E272),E272,0)+F272,F272)*(30+G272)*100+F272,0),IF((J272&gt;=12)*(1-(IF(K272="",-1,K272)&gt;=3)*(IF(K272="",-1,K272)&lt;=4))*(1-(IF(K272="",-1,K272)=0)),IF(C272="peso_corporal",IF(ISNUMBER(E272),E272,0)+I272,I272)*(30+J272)*100+I272,0),IF((M272&gt;=12)*(1-(IF(N272="",-1,N272)&gt;=3)*(IF(N272="",-1,N272)&lt;=4))*(1-(IF(N272="",-1,N272)=0)),IF(C272="peso_corporal",IF(ISNUMBER(E272),E272,0)+L272,L272)*(30+M272)*100+L272,0),IF((P272&gt;=12)*(1-(IF(Q272="",-1,Q272)&gt;=3)*(IF(Q272="",-1,Q272)&lt;=4))*(1-(IF(Q272="",-1,Q272)=0)),IF(C272="peso_corporal",IF(ISNUMBER(E272),E272,0)+O272,O272)*(30+P272)*100+O272,0),IF((S272&gt;=12)*(1-(IF(T272="",-1,T272)&gt;=3)*(IF(T272="",-1,T272)&lt;=4))*(1-(IF(T272="",-1,T272)=0)),IF(C272="peso_corporal",IF(ISNUMBER(E272),E272,0)+R272,R272)*(30+S272)*100+R272,0))</f>
        <v>0</v>
      </c>
      <c r="AB272" s="69">
        <f>IF(AA272=0,0,IF(IF((S272&gt;=12)*(1-(IF(T272="",-1,T272)&gt;=3)*(IF(T272="",-1,T272)&lt;=4))*(1-(IF(T272="",-1,T272)=0)),IF(C272="peso_corporal",IF(ISNUMBER(E272),E272,0)+R272,R272)*(30+S272)*100+R272,0)=AA272,5,IF(IF((P272&gt;=12)*(1-(IF(Q272="",-1,Q272)&gt;=3)*(IF(Q272="",-1,Q272)&lt;=4))*(1-(IF(Q272="",-1,Q272)=0)),IF(C272="peso_corporal",IF(ISNUMBER(E272),E272,0)+O272,O272)*(30+P272)*100+O272,0)=AA272,4,IF(IF((M272&gt;=12)*(1-(IF(N272="",-1,N272)&gt;=3)*(IF(N272="",-1,N272)&lt;=4))*(1-(IF(N272="",-1,N272)=0)),IF(C272="peso_corporal",IF(ISNUMBER(E272),E272,0)+L272,L272)*(30+M272)*100+L272,0)=AA272,3,IF(IF((J272&gt;=12)*(1-(IF(K272="",-1,K272)&gt;=3)*(IF(K272="",-1,K272)&lt;=4))*(1-(IF(K272="",-1,K272)=0)),IF(C272="peso_corporal",IF(ISNUMBER(E272),E272,0)+I272,I272)*(30+J272)*100+I272,0)=AA272,2,IF(IF((G272&gt;=12)*(1-(IF(H272="",-1,H272)&gt;=3)*(IF(H272="",-1,H272)&lt;=4))*(1-(IF(H272="",-1,H272)=0)),IF(C272="peso_corporal",IF(ISNUMBER(E272),E272,0)+F272,F272)*(30+G272)*100+F272,0)=AA272,1,0))))))</f>
        <v>0</v>
      </c>
      <c r="AC272" s="69" t="str">
        <f>IF(X272&gt;0,"A"&amp;X272,IF(Z272&gt;0,"B"&amp;Z272,IF(AB272&gt;0,"C"&amp;AB272,"")))</f>
        <v/>
      </c>
    </row>
    <row r="273" spans="1:22" ht="6" customHeight="1">
      <c r="A273" s="13"/>
      <c r="B273" s="13"/>
      <c r="C273" s="13"/>
      <c r="D273" s="13"/>
      <c r="E273" s="13"/>
      <c r="F273" s="13"/>
      <c r="G273" s="13"/>
      <c r="H273" s="13"/>
      <c r="I273" s="13"/>
      <c r="J273" s="13"/>
      <c r="K273" s="13"/>
      <c r="L273" s="13"/>
      <c r="M273" s="13"/>
      <c r="N273" s="13"/>
      <c r="O273" s="13"/>
      <c r="P273" s="13"/>
      <c r="Q273" s="13"/>
      <c r="R273" s="13"/>
      <c r="S273" s="13"/>
      <c r="T273" s="13"/>
      <c r="U273" s="13"/>
      <c r="V273" s="13"/>
    </row>
  </sheetData>
  <mergeCells count="128">
    <mergeCell ref="A1:V1"/>
    <mergeCell ref="A45:V45"/>
    <mergeCell ref="A168:V168"/>
    <mergeCell ref="A78:V78"/>
    <mergeCell ref="A271:V271"/>
    <mergeCell ref="L2:N2"/>
    <mergeCell ref="A218:V218"/>
    <mergeCell ref="A80:V80"/>
    <mergeCell ref="A208:V208"/>
    <mergeCell ref="A89:V89"/>
    <mergeCell ref="A192:V192"/>
    <mergeCell ref="A113:V113"/>
    <mergeCell ref="A210:V210"/>
    <mergeCell ref="A179:V179"/>
    <mergeCell ref="A247:V247"/>
    <mergeCell ref="A71:V71"/>
    <mergeCell ref="A23:V23"/>
    <mergeCell ref="A234:V234"/>
    <mergeCell ref="A181:V181"/>
    <mergeCell ref="A91:V91"/>
    <mergeCell ref="A165:V165"/>
    <mergeCell ref="A155:V155"/>
    <mergeCell ref="A93:V93"/>
    <mergeCell ref="A130:V130"/>
    <mergeCell ref="A267:V267"/>
    <mergeCell ref="A76:V76"/>
    <mergeCell ref="A33:V33"/>
    <mergeCell ref="A203:V203"/>
    <mergeCell ref="A269:V269"/>
    <mergeCell ref="A100:V100"/>
    <mergeCell ref="A253:V253"/>
    <mergeCell ref="A231:V231"/>
    <mergeCell ref="A240:V240"/>
    <mergeCell ref="A115:V115"/>
    <mergeCell ref="A102:V102"/>
    <mergeCell ref="A117:V117"/>
    <mergeCell ref="A230:V230"/>
    <mergeCell ref="A111:V111"/>
    <mergeCell ref="A143:V143"/>
    <mergeCell ref="A245:V245"/>
    <mergeCell ref="A166:V166"/>
    <mergeCell ref="A232:V232"/>
    <mergeCell ref="A142:V142"/>
    <mergeCell ref="A36:V36"/>
    <mergeCell ref="A77:V77"/>
    <mergeCell ref="A34:V34"/>
    <mergeCell ref="A148:V148"/>
    <mergeCell ref="A201:V201"/>
    <mergeCell ref="A262:V262"/>
    <mergeCell ref="A144:V144"/>
    <mergeCell ref="A122:V122"/>
    <mergeCell ref="A20:V20"/>
    <mergeCell ref="A190:V190"/>
    <mergeCell ref="A199:V199"/>
    <mergeCell ref="A64:V64"/>
    <mergeCell ref="A98:V98"/>
    <mergeCell ref="A225:V225"/>
    <mergeCell ref="A227:V227"/>
    <mergeCell ref="A54:V54"/>
    <mergeCell ref="A137:V137"/>
    <mergeCell ref="A177:V177"/>
    <mergeCell ref="A164:V164"/>
    <mergeCell ref="A56:V56"/>
    <mergeCell ref="A27:V27"/>
    <mergeCell ref="A139:V139"/>
    <mergeCell ref="A157:V157"/>
    <mergeCell ref="A49:V49"/>
    <mergeCell ref="A69:V69"/>
    <mergeCell ref="A196:V196"/>
    <mergeCell ref="A25:V25"/>
    <mergeCell ref="A174:V174"/>
    <mergeCell ref="A256:V256"/>
    <mergeCell ref="A214:V214"/>
    <mergeCell ref="A223:V223"/>
    <mergeCell ref="A86:V86"/>
    <mergeCell ref="A42:V42"/>
    <mergeCell ref="A47:V47"/>
    <mergeCell ref="A188:V188"/>
    <mergeCell ref="A126:V126"/>
    <mergeCell ref="A254:V254"/>
    <mergeCell ref="A135:V135"/>
    <mergeCell ref="A205:V205"/>
    <mergeCell ref="A183:V183"/>
    <mergeCell ref="A133:V133"/>
    <mergeCell ref="A120:V120"/>
    <mergeCell ref="A55:V55"/>
    <mergeCell ref="A95:V95"/>
    <mergeCell ref="A104:V104"/>
    <mergeCell ref="A265:V265"/>
    <mergeCell ref="A152:V152"/>
    <mergeCell ref="A121:V121"/>
    <mergeCell ref="A209:V209"/>
    <mergeCell ref="A161:V161"/>
    <mergeCell ref="A170:V170"/>
    <mergeCell ref="A249:V249"/>
    <mergeCell ref="A258:V258"/>
    <mergeCell ref="A58:V58"/>
    <mergeCell ref="A67:V67"/>
    <mergeCell ref="A186:V186"/>
    <mergeCell ref="A73:V73"/>
    <mergeCell ref="A82:V82"/>
    <mergeCell ref="A60:V60"/>
    <mergeCell ref="A146:V146"/>
    <mergeCell ref="A124:V124"/>
    <mergeCell ref="A212:V212"/>
    <mergeCell ref="A187:V187"/>
    <mergeCell ref="A243:V243"/>
    <mergeCell ref="A252:V252"/>
    <mergeCell ref="A99:V99"/>
    <mergeCell ref="A221:V221"/>
    <mergeCell ref="A108:V108"/>
    <mergeCell ref="A236:V236"/>
    <mergeCell ref="A5:V5"/>
    <mergeCell ref="A32:V32"/>
    <mergeCell ref="A14:V14"/>
    <mergeCell ref="A159:V159"/>
    <mergeCell ref="F2:H2"/>
    <mergeCell ref="A29:V29"/>
    <mergeCell ref="A4:V4"/>
    <mergeCell ref="A38:V38"/>
    <mergeCell ref="A51:V51"/>
    <mergeCell ref="A16:V16"/>
    <mergeCell ref="I2:K2"/>
    <mergeCell ref="A10:V10"/>
    <mergeCell ref="R2:T2"/>
    <mergeCell ref="A11:V11"/>
    <mergeCell ref="O2:Q2"/>
    <mergeCell ref="A12:V12"/>
  </mergeCells>
  <conditionalFormatting sqref="I13:K13">
    <cfRule type="expression" dxfId="4574" priority="4">
      <formula>$D$13&lt;2</formula>
    </cfRule>
  </conditionalFormatting>
  <conditionalFormatting sqref="I15:K15">
    <cfRule type="expression" dxfId="4573" priority="19">
      <formula>$D$15&lt;2</formula>
    </cfRule>
  </conditionalFormatting>
  <conditionalFormatting sqref="I17:K17">
    <cfRule type="expression" dxfId="4572" priority="34">
      <formula>$D$17&lt;2</formula>
    </cfRule>
  </conditionalFormatting>
  <conditionalFormatting sqref="I18:K18">
    <cfRule type="expression" dxfId="4571" priority="49">
      <formula>$D$18&lt;2</formula>
    </cfRule>
  </conditionalFormatting>
  <conditionalFormatting sqref="I19:K19">
    <cfRule type="expression" dxfId="4570" priority="64">
      <formula>$D$19&lt;2</formula>
    </cfRule>
  </conditionalFormatting>
  <conditionalFormatting sqref="I21:K21">
    <cfRule type="expression" dxfId="4569" priority="79">
      <formula>$D$21&lt;2</formula>
    </cfRule>
  </conditionalFormatting>
  <conditionalFormatting sqref="I22:K22">
    <cfRule type="expression" dxfId="4568" priority="94">
      <formula>$D$22&lt;2</formula>
    </cfRule>
  </conditionalFormatting>
  <conditionalFormatting sqref="I24:K24">
    <cfRule type="expression" dxfId="4567" priority="109">
      <formula>$D$24&lt;2</formula>
    </cfRule>
  </conditionalFormatting>
  <conditionalFormatting sqref="I26:K26">
    <cfRule type="expression" dxfId="4566" priority="124">
      <formula>$D$26&lt;2</formula>
    </cfRule>
  </conditionalFormatting>
  <conditionalFormatting sqref="I28:K28">
    <cfRule type="expression" dxfId="4565" priority="139">
      <formula>$D$28&lt;2</formula>
    </cfRule>
  </conditionalFormatting>
  <conditionalFormatting sqref="I30:K30">
    <cfRule type="expression" dxfId="4564" priority="154">
      <formula>$D$30&lt;2</formula>
    </cfRule>
  </conditionalFormatting>
  <conditionalFormatting sqref="I35:K35">
    <cfRule type="expression" dxfId="4563" priority="169">
      <formula>$D$35&lt;2</formula>
    </cfRule>
  </conditionalFormatting>
  <conditionalFormatting sqref="I37:K37">
    <cfRule type="expression" dxfId="4562" priority="184">
      <formula>$D$37&lt;2</formula>
    </cfRule>
  </conditionalFormatting>
  <conditionalFormatting sqref="I39:K39">
    <cfRule type="expression" dxfId="4561" priority="199">
      <formula>$D$39&lt;2</formula>
    </cfRule>
  </conditionalFormatting>
  <conditionalFormatting sqref="I40:K40">
    <cfRule type="expression" dxfId="4560" priority="214">
      <formula>$D$40&lt;2</formula>
    </cfRule>
  </conditionalFormatting>
  <conditionalFormatting sqref="I41:K41">
    <cfRule type="expression" dxfId="4559" priority="229">
      <formula>$D$41&lt;2</formula>
    </cfRule>
  </conditionalFormatting>
  <conditionalFormatting sqref="I43:K43">
    <cfRule type="expression" dxfId="4558" priority="244">
      <formula>$D$43&lt;2</formula>
    </cfRule>
  </conditionalFormatting>
  <conditionalFormatting sqref="I44:K44">
    <cfRule type="expression" dxfId="4557" priority="259">
      <formula>$D$44&lt;2</formula>
    </cfRule>
  </conditionalFormatting>
  <conditionalFormatting sqref="I46:K46">
    <cfRule type="expression" dxfId="4556" priority="274">
      <formula>$D$46&lt;2</formula>
    </cfRule>
  </conditionalFormatting>
  <conditionalFormatting sqref="I48:K48">
    <cfRule type="expression" dxfId="4555" priority="289">
      <formula>$D$48&lt;2</formula>
    </cfRule>
  </conditionalFormatting>
  <conditionalFormatting sqref="I50:K50">
    <cfRule type="expression" dxfId="4554" priority="304">
      <formula>$D$50&lt;2</formula>
    </cfRule>
  </conditionalFormatting>
  <conditionalFormatting sqref="I52:K52">
    <cfRule type="expression" dxfId="4553" priority="319">
      <formula>$D$52&lt;2</formula>
    </cfRule>
  </conditionalFormatting>
  <conditionalFormatting sqref="I57:K57">
    <cfRule type="expression" dxfId="4552" priority="334">
      <formula>$D$57&lt;2</formula>
    </cfRule>
  </conditionalFormatting>
  <conditionalFormatting sqref="I59:K59">
    <cfRule type="expression" dxfId="4551" priority="349">
      <formula>$D$59&lt;2</formula>
    </cfRule>
  </conditionalFormatting>
  <conditionalFormatting sqref="I61:K61">
    <cfRule type="expression" dxfId="4550" priority="364">
      <formula>$D$61&lt;2</formula>
    </cfRule>
  </conditionalFormatting>
  <conditionalFormatting sqref="I62:K62">
    <cfRule type="expression" dxfId="4549" priority="379">
      <formula>$D$62&lt;2</formula>
    </cfRule>
  </conditionalFormatting>
  <conditionalFormatting sqref="I63:K63">
    <cfRule type="expression" dxfId="4548" priority="394">
      <formula>$D$63&lt;2</formula>
    </cfRule>
  </conditionalFormatting>
  <conditionalFormatting sqref="I65:K65">
    <cfRule type="expression" dxfId="4547" priority="409">
      <formula>$D$65&lt;2</formula>
    </cfRule>
  </conditionalFormatting>
  <conditionalFormatting sqref="I66:K66">
    <cfRule type="expression" dxfId="4546" priority="424">
      <formula>$D$66&lt;2</formula>
    </cfRule>
  </conditionalFormatting>
  <conditionalFormatting sqref="I68:K68">
    <cfRule type="expression" dxfId="4545" priority="439">
      <formula>$D$68&lt;2</formula>
    </cfRule>
  </conditionalFormatting>
  <conditionalFormatting sqref="I70:K70">
    <cfRule type="expression" dxfId="4544" priority="454">
      <formula>$D$70&lt;2</formula>
    </cfRule>
  </conditionalFormatting>
  <conditionalFormatting sqref="I72:K72">
    <cfRule type="expression" dxfId="4543" priority="469">
      <formula>$D$72&lt;2</formula>
    </cfRule>
  </conditionalFormatting>
  <conditionalFormatting sqref="I74:K74">
    <cfRule type="expression" dxfId="4542" priority="484">
      <formula>$D$74&lt;2</formula>
    </cfRule>
  </conditionalFormatting>
  <conditionalFormatting sqref="I79:K79">
    <cfRule type="expression" dxfId="4541" priority="499">
      <formula>$D$79&lt;2</formula>
    </cfRule>
  </conditionalFormatting>
  <conditionalFormatting sqref="I81:K81">
    <cfRule type="expression" dxfId="4540" priority="514">
      <formula>$D$81&lt;2</formula>
    </cfRule>
  </conditionalFormatting>
  <conditionalFormatting sqref="I83:K83">
    <cfRule type="expression" dxfId="4539" priority="529">
      <formula>$D$83&lt;2</formula>
    </cfRule>
  </conditionalFormatting>
  <conditionalFormatting sqref="I84:K84">
    <cfRule type="expression" dxfId="4538" priority="544">
      <formula>$D$84&lt;2</formula>
    </cfRule>
  </conditionalFormatting>
  <conditionalFormatting sqref="I85:K85">
    <cfRule type="expression" dxfId="4537" priority="559">
      <formula>$D$85&lt;2</formula>
    </cfRule>
  </conditionalFormatting>
  <conditionalFormatting sqref="I87:K87">
    <cfRule type="expression" dxfId="4536" priority="574">
      <formula>$D$87&lt;2</formula>
    </cfRule>
  </conditionalFormatting>
  <conditionalFormatting sqref="I88:K88">
    <cfRule type="expression" dxfId="4535" priority="589">
      <formula>$D$88&lt;2</formula>
    </cfRule>
  </conditionalFormatting>
  <conditionalFormatting sqref="I90:K90">
    <cfRule type="expression" dxfId="4534" priority="604">
      <formula>$D$90&lt;2</formula>
    </cfRule>
  </conditionalFormatting>
  <conditionalFormatting sqref="I92:K92">
    <cfRule type="expression" dxfId="4533" priority="619">
      <formula>$D$92&lt;2</formula>
    </cfRule>
  </conditionalFormatting>
  <conditionalFormatting sqref="I94:K94">
    <cfRule type="expression" dxfId="4532" priority="634">
      <formula>$D$94&lt;2</formula>
    </cfRule>
  </conditionalFormatting>
  <conditionalFormatting sqref="I96:K96">
    <cfRule type="expression" dxfId="4531" priority="649">
      <formula>$D$96&lt;2</formula>
    </cfRule>
  </conditionalFormatting>
  <conditionalFormatting sqref="I101:K101">
    <cfRule type="expression" dxfId="4530" priority="664">
      <formula>$D$101&lt;2</formula>
    </cfRule>
  </conditionalFormatting>
  <conditionalFormatting sqref="I103:K103">
    <cfRule type="expression" dxfId="4529" priority="679">
      <formula>$D$103&lt;2</formula>
    </cfRule>
  </conditionalFormatting>
  <conditionalFormatting sqref="I105:K105">
    <cfRule type="expression" dxfId="4528" priority="694">
      <formula>$D$105&lt;2</formula>
    </cfRule>
  </conditionalFormatting>
  <conditionalFormatting sqref="I106:K106">
    <cfRule type="expression" dxfId="4527" priority="709">
      <formula>$D$106&lt;2</formula>
    </cfRule>
  </conditionalFormatting>
  <conditionalFormatting sqref="I107:K107">
    <cfRule type="expression" dxfId="4526" priority="724">
      <formula>$D$107&lt;2</formula>
    </cfRule>
  </conditionalFormatting>
  <conditionalFormatting sqref="I109:K109">
    <cfRule type="expression" dxfId="4525" priority="739">
      <formula>$D$109&lt;2</formula>
    </cfRule>
  </conditionalFormatting>
  <conditionalFormatting sqref="I110:K110">
    <cfRule type="expression" dxfId="4524" priority="754">
      <formula>$D$110&lt;2</formula>
    </cfRule>
  </conditionalFormatting>
  <conditionalFormatting sqref="I112:K112">
    <cfRule type="expression" dxfId="4523" priority="769">
      <formula>$D$112&lt;2</formula>
    </cfRule>
  </conditionalFormatting>
  <conditionalFormatting sqref="I114:K114">
    <cfRule type="expression" dxfId="4522" priority="784">
      <formula>$D$114&lt;2</formula>
    </cfRule>
  </conditionalFormatting>
  <conditionalFormatting sqref="I116:K116">
    <cfRule type="expression" dxfId="4521" priority="799">
      <formula>$D$116&lt;2</formula>
    </cfRule>
  </conditionalFormatting>
  <conditionalFormatting sqref="I118:K118">
    <cfRule type="expression" dxfId="4520" priority="814">
      <formula>$D$118&lt;2</formula>
    </cfRule>
  </conditionalFormatting>
  <conditionalFormatting sqref="I123:K123">
    <cfRule type="expression" dxfId="4519" priority="829">
      <formula>$D$123&lt;2</formula>
    </cfRule>
  </conditionalFormatting>
  <conditionalFormatting sqref="I125:K125">
    <cfRule type="expression" dxfId="4518" priority="844">
      <formula>$D$125&lt;2</formula>
    </cfRule>
  </conditionalFormatting>
  <conditionalFormatting sqref="I127:K127">
    <cfRule type="expression" dxfId="4517" priority="859">
      <formula>$D$127&lt;2</formula>
    </cfRule>
  </conditionalFormatting>
  <conditionalFormatting sqref="I128:K128">
    <cfRule type="expression" dxfId="4516" priority="874">
      <formula>$D$128&lt;2</formula>
    </cfRule>
  </conditionalFormatting>
  <conditionalFormatting sqref="I129:K129">
    <cfRule type="expression" dxfId="4515" priority="889">
      <formula>$D$129&lt;2</formula>
    </cfRule>
  </conditionalFormatting>
  <conditionalFormatting sqref="I131:K131">
    <cfRule type="expression" dxfId="4514" priority="904">
      <formula>$D$131&lt;2</formula>
    </cfRule>
  </conditionalFormatting>
  <conditionalFormatting sqref="I132:K132">
    <cfRule type="expression" dxfId="4513" priority="919">
      <formula>$D$132&lt;2</formula>
    </cfRule>
  </conditionalFormatting>
  <conditionalFormatting sqref="I134:K134">
    <cfRule type="expression" dxfId="4512" priority="934">
      <formula>$D$134&lt;2</formula>
    </cfRule>
  </conditionalFormatting>
  <conditionalFormatting sqref="I136:K136">
    <cfRule type="expression" dxfId="4511" priority="949">
      <formula>$D$136&lt;2</formula>
    </cfRule>
  </conditionalFormatting>
  <conditionalFormatting sqref="I138:K138">
    <cfRule type="expression" dxfId="4510" priority="964">
      <formula>$D$138&lt;2</formula>
    </cfRule>
  </conditionalFormatting>
  <conditionalFormatting sqref="I140:K140">
    <cfRule type="expression" dxfId="4509" priority="979">
      <formula>$D$140&lt;2</formula>
    </cfRule>
  </conditionalFormatting>
  <conditionalFormatting sqref="I145:K145">
    <cfRule type="expression" dxfId="4508" priority="994">
      <formula>$D$145&lt;2</formula>
    </cfRule>
  </conditionalFormatting>
  <conditionalFormatting sqref="I147:K147">
    <cfRule type="expression" dxfId="4507" priority="1009">
      <formula>$D$147&lt;2</formula>
    </cfRule>
  </conditionalFormatting>
  <conditionalFormatting sqref="I149:K149">
    <cfRule type="expression" dxfId="4506" priority="1024">
      <formula>$D$149&lt;2</formula>
    </cfRule>
  </conditionalFormatting>
  <conditionalFormatting sqref="I150:K150">
    <cfRule type="expression" dxfId="4505" priority="1039">
      <formula>$D$150&lt;2</formula>
    </cfRule>
  </conditionalFormatting>
  <conditionalFormatting sqref="I151:K151">
    <cfRule type="expression" dxfId="4504" priority="1054">
      <formula>$D$151&lt;2</formula>
    </cfRule>
  </conditionalFormatting>
  <conditionalFormatting sqref="I153:K153">
    <cfRule type="expression" dxfId="4503" priority="1069">
      <formula>$D$153&lt;2</formula>
    </cfRule>
  </conditionalFormatting>
  <conditionalFormatting sqref="I154:K154">
    <cfRule type="expression" dxfId="4502" priority="1084">
      <formula>$D$154&lt;2</formula>
    </cfRule>
  </conditionalFormatting>
  <conditionalFormatting sqref="I156:K156">
    <cfRule type="expression" dxfId="4501" priority="1099">
      <formula>$D$156&lt;2</formula>
    </cfRule>
  </conditionalFormatting>
  <conditionalFormatting sqref="I158:K158">
    <cfRule type="expression" dxfId="4500" priority="1114">
      <formula>$D$158&lt;2</formula>
    </cfRule>
  </conditionalFormatting>
  <conditionalFormatting sqref="I160:K160">
    <cfRule type="expression" dxfId="4499" priority="1129">
      <formula>$D$160&lt;2</formula>
    </cfRule>
  </conditionalFormatting>
  <conditionalFormatting sqref="I162:K162">
    <cfRule type="expression" dxfId="4498" priority="1144">
      <formula>$D$162&lt;2</formula>
    </cfRule>
  </conditionalFormatting>
  <conditionalFormatting sqref="I167:K167">
    <cfRule type="expression" dxfId="4497" priority="1159">
      <formula>$D$167&lt;2</formula>
    </cfRule>
  </conditionalFormatting>
  <conditionalFormatting sqref="I169:K169">
    <cfRule type="expression" dxfId="4496" priority="1174">
      <formula>$D$169&lt;2</formula>
    </cfRule>
  </conditionalFormatting>
  <conditionalFormatting sqref="I171:K171">
    <cfRule type="expression" dxfId="4495" priority="1189">
      <formula>$D$171&lt;2</formula>
    </cfRule>
  </conditionalFormatting>
  <conditionalFormatting sqref="I172:K172">
    <cfRule type="expression" dxfId="4494" priority="1204">
      <formula>$D$172&lt;2</formula>
    </cfRule>
  </conditionalFormatting>
  <conditionalFormatting sqref="I173:K173">
    <cfRule type="expression" dxfId="4493" priority="1219">
      <formula>$D$173&lt;2</formula>
    </cfRule>
  </conditionalFormatting>
  <conditionalFormatting sqref="I175:K175">
    <cfRule type="expression" dxfId="4492" priority="1234">
      <formula>$D$175&lt;2</formula>
    </cfRule>
  </conditionalFormatting>
  <conditionalFormatting sqref="I176:K176">
    <cfRule type="expression" dxfId="4491" priority="1249">
      <formula>$D$176&lt;2</formula>
    </cfRule>
  </conditionalFormatting>
  <conditionalFormatting sqref="I178:K178">
    <cfRule type="expression" dxfId="4490" priority="1264">
      <formula>$D$178&lt;2</formula>
    </cfRule>
  </conditionalFormatting>
  <conditionalFormatting sqref="I180:K180">
    <cfRule type="expression" dxfId="4489" priority="1279">
      <formula>$D$180&lt;2</formula>
    </cfRule>
  </conditionalFormatting>
  <conditionalFormatting sqref="I182:K182">
    <cfRule type="expression" dxfId="4488" priority="1294">
      <formula>$D$182&lt;2</formula>
    </cfRule>
  </conditionalFormatting>
  <conditionalFormatting sqref="I184:K184">
    <cfRule type="expression" dxfId="4487" priority="1309">
      <formula>$D$184&lt;2</formula>
    </cfRule>
  </conditionalFormatting>
  <conditionalFormatting sqref="I189:K189">
    <cfRule type="expression" dxfId="4486" priority="1324">
      <formula>$D$189&lt;2</formula>
    </cfRule>
  </conditionalFormatting>
  <conditionalFormatting sqref="I191:K191">
    <cfRule type="expression" dxfId="4485" priority="1339">
      <formula>$D$191&lt;2</formula>
    </cfRule>
  </conditionalFormatting>
  <conditionalFormatting sqref="I193:K193">
    <cfRule type="expression" dxfId="4484" priority="1354">
      <formula>$D$193&lt;2</formula>
    </cfRule>
  </conditionalFormatting>
  <conditionalFormatting sqref="I194:K194">
    <cfRule type="expression" dxfId="4483" priority="1369">
      <formula>$D$194&lt;2</formula>
    </cfRule>
  </conditionalFormatting>
  <conditionalFormatting sqref="I195:K195">
    <cfRule type="expression" dxfId="4482" priority="1384">
      <formula>$D$195&lt;2</formula>
    </cfRule>
  </conditionalFormatting>
  <conditionalFormatting sqref="I197:K197">
    <cfRule type="expression" dxfId="4481" priority="1399">
      <formula>$D$197&lt;2</formula>
    </cfRule>
  </conditionalFormatting>
  <conditionalFormatting sqref="I198:K198">
    <cfRule type="expression" dxfId="4480" priority="1414">
      <formula>$D$198&lt;2</formula>
    </cfRule>
  </conditionalFormatting>
  <conditionalFormatting sqref="I200:K200">
    <cfRule type="expression" dxfId="4479" priority="1429">
      <formula>$D$200&lt;2</formula>
    </cfRule>
  </conditionalFormatting>
  <conditionalFormatting sqref="I202:K202">
    <cfRule type="expression" dxfId="4478" priority="1444">
      <formula>$D$202&lt;2</formula>
    </cfRule>
  </conditionalFormatting>
  <conditionalFormatting sqref="I204:K204">
    <cfRule type="expression" dxfId="4477" priority="1459">
      <formula>$D$204&lt;2</formula>
    </cfRule>
  </conditionalFormatting>
  <conditionalFormatting sqref="I206:K206">
    <cfRule type="expression" dxfId="4476" priority="1474">
      <formula>$D$206&lt;2</formula>
    </cfRule>
  </conditionalFormatting>
  <conditionalFormatting sqref="I211:K211">
    <cfRule type="expression" dxfId="4475" priority="1489">
      <formula>$D$211&lt;2</formula>
    </cfRule>
  </conditionalFormatting>
  <conditionalFormatting sqref="I213:K213">
    <cfRule type="expression" dxfId="4474" priority="1504">
      <formula>$D$213&lt;2</formula>
    </cfRule>
  </conditionalFormatting>
  <conditionalFormatting sqref="I215:K215">
    <cfRule type="expression" dxfId="4473" priority="1519">
      <formula>$D$215&lt;2</formula>
    </cfRule>
  </conditionalFormatting>
  <conditionalFormatting sqref="I216:K216">
    <cfRule type="expression" dxfId="4472" priority="1534">
      <formula>$D$216&lt;2</formula>
    </cfRule>
  </conditionalFormatting>
  <conditionalFormatting sqref="I217:K217">
    <cfRule type="expression" dxfId="4471" priority="1549">
      <formula>$D$217&lt;2</formula>
    </cfRule>
  </conditionalFormatting>
  <conditionalFormatting sqref="I219:K219">
    <cfRule type="expression" dxfId="4470" priority="1564">
      <formula>$D$219&lt;2</formula>
    </cfRule>
  </conditionalFormatting>
  <conditionalFormatting sqref="I220:K220">
    <cfRule type="expression" dxfId="4469" priority="1579">
      <formula>$D$220&lt;2</formula>
    </cfRule>
  </conditionalFormatting>
  <conditionalFormatting sqref="I222:K222">
    <cfRule type="expression" dxfId="4468" priority="1594">
      <formula>$D$222&lt;2</formula>
    </cfRule>
  </conditionalFormatting>
  <conditionalFormatting sqref="I224:K224">
    <cfRule type="expression" dxfId="4467" priority="1609">
      <formula>$D$224&lt;2</formula>
    </cfRule>
  </conditionalFormatting>
  <conditionalFormatting sqref="I226:K226">
    <cfRule type="expression" dxfId="4466" priority="1624">
      <formula>$D$226&lt;2</formula>
    </cfRule>
  </conditionalFormatting>
  <conditionalFormatting sqref="I228:K228">
    <cfRule type="expression" dxfId="4465" priority="1639">
      <formula>$D$228&lt;2</formula>
    </cfRule>
  </conditionalFormatting>
  <conditionalFormatting sqref="I233:K233">
    <cfRule type="expression" dxfId="4464" priority="1654">
      <formula>$D$233&lt;2</formula>
    </cfRule>
  </conditionalFormatting>
  <conditionalFormatting sqref="I235:K235">
    <cfRule type="expression" dxfId="4463" priority="1669">
      <formula>$D$235&lt;2</formula>
    </cfRule>
  </conditionalFormatting>
  <conditionalFormatting sqref="I237:K237">
    <cfRule type="expression" dxfId="4462" priority="1684">
      <formula>$D$237&lt;2</formula>
    </cfRule>
  </conditionalFormatting>
  <conditionalFormatting sqref="I238:K238">
    <cfRule type="expression" dxfId="4461" priority="1699">
      <formula>$D$238&lt;2</formula>
    </cfRule>
  </conditionalFormatting>
  <conditionalFormatting sqref="I239:K239">
    <cfRule type="expression" dxfId="4460" priority="1714">
      <formula>$D$239&lt;2</formula>
    </cfRule>
  </conditionalFormatting>
  <conditionalFormatting sqref="I241:K241">
    <cfRule type="expression" dxfId="4459" priority="1729">
      <formula>$D$241&lt;2</formula>
    </cfRule>
  </conditionalFormatting>
  <conditionalFormatting sqref="I242:K242">
    <cfRule type="expression" dxfId="4458" priority="1744">
      <formula>$D$242&lt;2</formula>
    </cfRule>
  </conditionalFormatting>
  <conditionalFormatting sqref="I244:K244">
    <cfRule type="expression" dxfId="4457" priority="1759">
      <formula>$D$244&lt;2</formula>
    </cfRule>
  </conditionalFormatting>
  <conditionalFormatting sqref="I246:K246">
    <cfRule type="expression" dxfId="4456" priority="1774">
      <formula>$D$246&lt;2</formula>
    </cfRule>
  </conditionalFormatting>
  <conditionalFormatting sqref="I248:K248">
    <cfRule type="expression" dxfId="4455" priority="1789">
      <formula>$D$248&lt;2</formula>
    </cfRule>
  </conditionalFormatting>
  <conditionalFormatting sqref="I250:K250">
    <cfRule type="expression" dxfId="4454" priority="1804">
      <formula>$D$250&lt;2</formula>
    </cfRule>
  </conditionalFormatting>
  <conditionalFormatting sqref="I255:K255">
    <cfRule type="expression" dxfId="4453" priority="1819">
      <formula>$D$255&lt;2</formula>
    </cfRule>
  </conditionalFormatting>
  <conditionalFormatting sqref="I257:K257">
    <cfRule type="expression" dxfId="4452" priority="1834">
      <formula>$D$257&lt;2</formula>
    </cfRule>
  </conditionalFormatting>
  <conditionalFormatting sqref="I259:K259">
    <cfRule type="expression" dxfId="4451" priority="1849">
      <formula>$D$259&lt;2</formula>
    </cfRule>
  </conditionalFormatting>
  <conditionalFormatting sqref="I260:K260">
    <cfRule type="expression" dxfId="4450" priority="1864">
      <formula>$D$260&lt;2</formula>
    </cfRule>
  </conditionalFormatting>
  <conditionalFormatting sqref="I261:K261">
    <cfRule type="expression" dxfId="4449" priority="1879">
      <formula>$D$261&lt;2</formula>
    </cfRule>
  </conditionalFormatting>
  <conditionalFormatting sqref="I263:K263">
    <cfRule type="expression" dxfId="4448" priority="1894">
      <formula>$D$263&lt;2</formula>
    </cfRule>
  </conditionalFormatting>
  <conditionalFormatting sqref="I264:K264">
    <cfRule type="expression" dxfId="4447" priority="1909">
      <formula>$D$264&lt;2</formula>
    </cfRule>
  </conditionalFormatting>
  <conditionalFormatting sqref="I266:K266">
    <cfRule type="expression" dxfId="4446" priority="1924">
      <formula>$D$266&lt;2</formula>
    </cfRule>
  </conditionalFormatting>
  <conditionalFormatting sqref="I268:K268">
    <cfRule type="expression" dxfId="4445" priority="1939">
      <formula>$D$268&lt;2</formula>
    </cfRule>
  </conditionalFormatting>
  <conditionalFormatting sqref="I270:K270">
    <cfRule type="expression" dxfId="4444" priority="1954">
      <formula>$D$270&lt;2</formula>
    </cfRule>
  </conditionalFormatting>
  <conditionalFormatting sqref="I272:K272">
    <cfRule type="expression" dxfId="4443" priority="1969">
      <formula>$D$272&lt;2</formula>
    </cfRule>
  </conditionalFormatting>
  <conditionalFormatting sqref="L13:N13">
    <cfRule type="expression" dxfId="4442" priority="7">
      <formula>$D$13&lt;3</formula>
    </cfRule>
  </conditionalFormatting>
  <conditionalFormatting sqref="L15:N15">
    <cfRule type="expression" dxfId="4441" priority="22">
      <formula>$D$15&lt;3</formula>
    </cfRule>
  </conditionalFormatting>
  <conditionalFormatting sqref="L17:N17">
    <cfRule type="expression" dxfId="4440" priority="37">
      <formula>$D$17&lt;3</formula>
    </cfRule>
  </conditionalFormatting>
  <conditionalFormatting sqref="L18:N18">
    <cfRule type="expression" dxfId="4439" priority="52">
      <formula>$D$18&lt;3</formula>
    </cfRule>
  </conditionalFormatting>
  <conditionalFormatting sqref="L19:N19">
    <cfRule type="expression" dxfId="4438" priority="67">
      <formula>$D$19&lt;3</formula>
    </cfRule>
  </conditionalFormatting>
  <conditionalFormatting sqref="L21:N21">
    <cfRule type="expression" dxfId="4437" priority="82">
      <formula>$D$21&lt;3</formula>
    </cfRule>
  </conditionalFormatting>
  <conditionalFormatting sqref="L22:N22">
    <cfRule type="expression" dxfId="4436" priority="97">
      <formula>$D$22&lt;3</formula>
    </cfRule>
  </conditionalFormatting>
  <conditionalFormatting sqref="L24:N24">
    <cfRule type="expression" dxfId="4435" priority="112">
      <formula>$D$24&lt;3</formula>
    </cfRule>
  </conditionalFormatting>
  <conditionalFormatting sqref="L26:N26">
    <cfRule type="expression" dxfId="4434" priority="127">
      <formula>$D$26&lt;3</formula>
    </cfRule>
  </conditionalFormatting>
  <conditionalFormatting sqref="L28:N28">
    <cfRule type="expression" dxfId="4433" priority="142">
      <formula>$D$28&lt;3</formula>
    </cfRule>
  </conditionalFormatting>
  <conditionalFormatting sqref="L30:N30">
    <cfRule type="expression" dxfId="4432" priority="157">
      <formula>$D$30&lt;3</formula>
    </cfRule>
  </conditionalFormatting>
  <conditionalFormatting sqref="L35:N35">
    <cfRule type="expression" dxfId="4431" priority="172">
      <formula>$D$35&lt;3</formula>
    </cfRule>
  </conditionalFormatting>
  <conditionalFormatting sqref="L37:N37">
    <cfRule type="expression" dxfId="4430" priority="187">
      <formula>$D$37&lt;3</formula>
    </cfRule>
  </conditionalFormatting>
  <conditionalFormatting sqref="L39:N39">
    <cfRule type="expression" dxfId="4429" priority="202">
      <formula>$D$39&lt;3</formula>
    </cfRule>
  </conditionalFormatting>
  <conditionalFormatting sqref="L40:N40">
    <cfRule type="expression" dxfId="4428" priority="217">
      <formula>$D$40&lt;3</formula>
    </cfRule>
  </conditionalFormatting>
  <conditionalFormatting sqref="L41:N41">
    <cfRule type="expression" dxfId="4427" priority="232">
      <formula>$D$41&lt;3</formula>
    </cfRule>
  </conditionalFormatting>
  <conditionalFormatting sqref="L43:N43">
    <cfRule type="expression" dxfId="4426" priority="247">
      <formula>$D$43&lt;3</formula>
    </cfRule>
  </conditionalFormatting>
  <conditionalFormatting sqref="L44:N44">
    <cfRule type="expression" dxfId="4425" priority="262">
      <formula>$D$44&lt;3</formula>
    </cfRule>
  </conditionalFormatting>
  <conditionalFormatting sqref="L46:N46">
    <cfRule type="expression" dxfId="4424" priority="277">
      <formula>$D$46&lt;3</formula>
    </cfRule>
  </conditionalFormatting>
  <conditionalFormatting sqref="L48:N48">
    <cfRule type="expression" dxfId="4423" priority="292">
      <formula>$D$48&lt;3</formula>
    </cfRule>
  </conditionalFormatting>
  <conditionalFormatting sqref="L50:N50">
    <cfRule type="expression" dxfId="4422" priority="307">
      <formula>$D$50&lt;3</formula>
    </cfRule>
  </conditionalFormatting>
  <conditionalFormatting sqref="L52:N52">
    <cfRule type="expression" dxfId="4421" priority="322">
      <formula>$D$52&lt;3</formula>
    </cfRule>
  </conditionalFormatting>
  <conditionalFormatting sqref="L57:N57">
    <cfRule type="expression" dxfId="4420" priority="337">
      <formula>$D$57&lt;3</formula>
    </cfRule>
  </conditionalFormatting>
  <conditionalFormatting sqref="L59:N59">
    <cfRule type="expression" dxfId="4419" priority="352">
      <formula>$D$59&lt;3</formula>
    </cfRule>
  </conditionalFormatting>
  <conditionalFormatting sqref="L61:N61">
    <cfRule type="expression" dxfId="4418" priority="367">
      <formula>$D$61&lt;3</formula>
    </cfRule>
  </conditionalFormatting>
  <conditionalFormatting sqref="L62:N62">
    <cfRule type="expression" dxfId="4417" priority="382">
      <formula>$D$62&lt;3</formula>
    </cfRule>
  </conditionalFormatting>
  <conditionalFormatting sqref="L63:N63">
    <cfRule type="expression" dxfId="4416" priority="397">
      <formula>$D$63&lt;3</formula>
    </cfRule>
  </conditionalFormatting>
  <conditionalFormatting sqref="L65:N65">
    <cfRule type="expression" dxfId="4415" priority="412">
      <formula>$D$65&lt;3</formula>
    </cfRule>
  </conditionalFormatting>
  <conditionalFormatting sqref="L66:N66">
    <cfRule type="expression" dxfId="4414" priority="427">
      <formula>$D$66&lt;3</formula>
    </cfRule>
  </conditionalFormatting>
  <conditionalFormatting sqref="L68:N68">
    <cfRule type="expression" dxfId="4413" priority="442">
      <formula>$D$68&lt;3</formula>
    </cfRule>
  </conditionalFormatting>
  <conditionalFormatting sqref="L70:N70">
    <cfRule type="expression" dxfId="4412" priority="457">
      <formula>$D$70&lt;3</formula>
    </cfRule>
  </conditionalFormatting>
  <conditionalFormatting sqref="L72:N72">
    <cfRule type="expression" dxfId="4411" priority="472">
      <formula>$D$72&lt;3</formula>
    </cfRule>
  </conditionalFormatting>
  <conditionalFormatting sqref="L74:N74">
    <cfRule type="expression" dxfId="4410" priority="487">
      <formula>$D$74&lt;3</formula>
    </cfRule>
  </conditionalFormatting>
  <conditionalFormatting sqref="L79:N79">
    <cfRule type="expression" dxfId="4409" priority="502">
      <formula>$D$79&lt;3</formula>
    </cfRule>
  </conditionalFormatting>
  <conditionalFormatting sqref="L81:N81">
    <cfRule type="expression" dxfId="4408" priority="517">
      <formula>$D$81&lt;3</formula>
    </cfRule>
  </conditionalFormatting>
  <conditionalFormatting sqref="L83:N83">
    <cfRule type="expression" dxfId="4407" priority="532">
      <formula>$D$83&lt;3</formula>
    </cfRule>
  </conditionalFormatting>
  <conditionalFormatting sqref="L84:N84">
    <cfRule type="expression" dxfId="4406" priority="547">
      <formula>$D$84&lt;3</formula>
    </cfRule>
  </conditionalFormatting>
  <conditionalFormatting sqref="L85:N85">
    <cfRule type="expression" dxfId="4405" priority="562">
      <formula>$D$85&lt;3</formula>
    </cfRule>
  </conditionalFormatting>
  <conditionalFormatting sqref="L87:N87">
    <cfRule type="expression" dxfId="4404" priority="577">
      <formula>$D$87&lt;3</formula>
    </cfRule>
  </conditionalFormatting>
  <conditionalFormatting sqref="L88:N88">
    <cfRule type="expression" dxfId="4403" priority="592">
      <formula>$D$88&lt;3</formula>
    </cfRule>
  </conditionalFormatting>
  <conditionalFormatting sqref="L90:N90">
    <cfRule type="expression" dxfId="4402" priority="607">
      <formula>$D$90&lt;3</formula>
    </cfRule>
  </conditionalFormatting>
  <conditionalFormatting sqref="L92:N92">
    <cfRule type="expression" dxfId="4401" priority="622">
      <formula>$D$92&lt;3</formula>
    </cfRule>
  </conditionalFormatting>
  <conditionalFormatting sqref="L94:N94">
    <cfRule type="expression" dxfId="4400" priority="637">
      <formula>$D$94&lt;3</formula>
    </cfRule>
  </conditionalFormatting>
  <conditionalFormatting sqref="L96:N96">
    <cfRule type="expression" dxfId="4399" priority="652">
      <formula>$D$96&lt;3</formula>
    </cfRule>
  </conditionalFormatting>
  <conditionalFormatting sqref="L101:N101">
    <cfRule type="expression" dxfId="4398" priority="667">
      <formula>$D$101&lt;3</formula>
    </cfRule>
  </conditionalFormatting>
  <conditionalFormatting sqref="L103:N103">
    <cfRule type="expression" dxfId="4397" priority="682">
      <formula>$D$103&lt;3</formula>
    </cfRule>
  </conditionalFormatting>
  <conditionalFormatting sqref="L105:N105">
    <cfRule type="expression" dxfId="4396" priority="697">
      <formula>$D$105&lt;3</formula>
    </cfRule>
  </conditionalFormatting>
  <conditionalFormatting sqref="L106:N106">
    <cfRule type="expression" dxfId="4395" priority="712">
      <formula>$D$106&lt;3</formula>
    </cfRule>
  </conditionalFormatting>
  <conditionalFormatting sqref="L107:N107">
    <cfRule type="expression" dxfId="4394" priority="727">
      <formula>$D$107&lt;3</formula>
    </cfRule>
  </conditionalFormatting>
  <conditionalFormatting sqref="L109:N109">
    <cfRule type="expression" dxfId="4393" priority="742">
      <formula>$D$109&lt;3</formula>
    </cfRule>
  </conditionalFormatting>
  <conditionalFormatting sqref="L110:N110">
    <cfRule type="expression" dxfId="4392" priority="757">
      <formula>$D$110&lt;3</formula>
    </cfRule>
  </conditionalFormatting>
  <conditionalFormatting sqref="L112:N112">
    <cfRule type="expression" dxfId="4391" priority="772">
      <formula>$D$112&lt;3</formula>
    </cfRule>
  </conditionalFormatting>
  <conditionalFormatting sqref="L114:N114">
    <cfRule type="expression" dxfId="4390" priority="787">
      <formula>$D$114&lt;3</formula>
    </cfRule>
  </conditionalFormatting>
  <conditionalFormatting sqref="L116:N116">
    <cfRule type="expression" dxfId="4389" priority="802">
      <formula>$D$116&lt;3</formula>
    </cfRule>
  </conditionalFormatting>
  <conditionalFormatting sqref="L118:N118">
    <cfRule type="expression" dxfId="4388" priority="817">
      <formula>$D$118&lt;3</formula>
    </cfRule>
  </conditionalFormatting>
  <conditionalFormatting sqref="L123:N123">
    <cfRule type="expression" dxfId="4387" priority="832">
      <formula>$D$123&lt;3</formula>
    </cfRule>
  </conditionalFormatting>
  <conditionalFormatting sqref="L125:N125">
    <cfRule type="expression" dxfId="4386" priority="847">
      <formula>$D$125&lt;3</formula>
    </cfRule>
  </conditionalFormatting>
  <conditionalFormatting sqref="L127:N127">
    <cfRule type="expression" dxfId="4385" priority="862">
      <formula>$D$127&lt;3</formula>
    </cfRule>
  </conditionalFormatting>
  <conditionalFormatting sqref="L128:N128">
    <cfRule type="expression" dxfId="4384" priority="877">
      <formula>$D$128&lt;3</formula>
    </cfRule>
  </conditionalFormatting>
  <conditionalFormatting sqref="L129:N129">
    <cfRule type="expression" dxfId="4383" priority="892">
      <formula>$D$129&lt;3</formula>
    </cfRule>
  </conditionalFormatting>
  <conditionalFormatting sqref="L131:N131">
    <cfRule type="expression" dxfId="4382" priority="907">
      <formula>$D$131&lt;3</formula>
    </cfRule>
  </conditionalFormatting>
  <conditionalFormatting sqref="L132:N132">
    <cfRule type="expression" dxfId="4381" priority="922">
      <formula>$D$132&lt;3</formula>
    </cfRule>
  </conditionalFormatting>
  <conditionalFormatting sqref="L134:N134">
    <cfRule type="expression" dxfId="4380" priority="937">
      <formula>$D$134&lt;3</formula>
    </cfRule>
  </conditionalFormatting>
  <conditionalFormatting sqref="L136:N136">
    <cfRule type="expression" dxfId="4379" priority="952">
      <formula>$D$136&lt;3</formula>
    </cfRule>
  </conditionalFormatting>
  <conditionalFormatting sqref="L138:N138">
    <cfRule type="expression" dxfId="4378" priority="967">
      <formula>$D$138&lt;3</formula>
    </cfRule>
  </conditionalFormatting>
  <conditionalFormatting sqref="L140:N140">
    <cfRule type="expression" dxfId="4377" priority="982">
      <formula>$D$140&lt;3</formula>
    </cfRule>
  </conditionalFormatting>
  <conditionalFormatting sqref="L145:N145">
    <cfRule type="expression" dxfId="4376" priority="997">
      <formula>$D$145&lt;3</formula>
    </cfRule>
  </conditionalFormatting>
  <conditionalFormatting sqref="L147:N147">
    <cfRule type="expression" dxfId="4375" priority="1012">
      <formula>$D$147&lt;3</formula>
    </cfRule>
  </conditionalFormatting>
  <conditionalFormatting sqref="L149:N149">
    <cfRule type="expression" dxfId="4374" priority="1027">
      <formula>$D$149&lt;3</formula>
    </cfRule>
  </conditionalFormatting>
  <conditionalFormatting sqref="L150:N150">
    <cfRule type="expression" dxfId="4373" priority="1042">
      <formula>$D$150&lt;3</formula>
    </cfRule>
  </conditionalFormatting>
  <conditionalFormatting sqref="L151:N151">
    <cfRule type="expression" dxfId="4372" priority="1057">
      <formula>$D$151&lt;3</formula>
    </cfRule>
  </conditionalFormatting>
  <conditionalFormatting sqref="L153:N153">
    <cfRule type="expression" dxfId="4371" priority="1072">
      <formula>$D$153&lt;3</formula>
    </cfRule>
  </conditionalFormatting>
  <conditionalFormatting sqref="L154:N154">
    <cfRule type="expression" dxfId="4370" priority="1087">
      <formula>$D$154&lt;3</formula>
    </cfRule>
  </conditionalFormatting>
  <conditionalFormatting sqref="L156:N156">
    <cfRule type="expression" dxfId="4369" priority="1102">
      <formula>$D$156&lt;3</formula>
    </cfRule>
  </conditionalFormatting>
  <conditionalFormatting sqref="L158:N158">
    <cfRule type="expression" dxfId="4368" priority="1117">
      <formula>$D$158&lt;3</formula>
    </cfRule>
  </conditionalFormatting>
  <conditionalFormatting sqref="L160:N160">
    <cfRule type="expression" dxfId="4367" priority="1132">
      <formula>$D$160&lt;3</formula>
    </cfRule>
  </conditionalFormatting>
  <conditionalFormatting sqref="L162:N162">
    <cfRule type="expression" dxfId="4366" priority="1147">
      <formula>$D$162&lt;3</formula>
    </cfRule>
  </conditionalFormatting>
  <conditionalFormatting sqref="L167:N167">
    <cfRule type="expression" dxfId="4365" priority="1162">
      <formula>$D$167&lt;3</formula>
    </cfRule>
  </conditionalFormatting>
  <conditionalFormatting sqref="L169:N169">
    <cfRule type="expression" dxfId="4364" priority="1177">
      <formula>$D$169&lt;3</formula>
    </cfRule>
  </conditionalFormatting>
  <conditionalFormatting sqref="L171:N171">
    <cfRule type="expression" dxfId="4363" priority="1192">
      <formula>$D$171&lt;3</formula>
    </cfRule>
  </conditionalFormatting>
  <conditionalFormatting sqref="L172:N172">
    <cfRule type="expression" dxfId="4362" priority="1207">
      <formula>$D$172&lt;3</formula>
    </cfRule>
  </conditionalFormatting>
  <conditionalFormatting sqref="L173:N173">
    <cfRule type="expression" dxfId="4361" priority="1222">
      <formula>$D$173&lt;3</formula>
    </cfRule>
  </conditionalFormatting>
  <conditionalFormatting sqref="L175:N175">
    <cfRule type="expression" dxfId="4360" priority="1237">
      <formula>$D$175&lt;3</formula>
    </cfRule>
  </conditionalFormatting>
  <conditionalFormatting sqref="L176:N176">
    <cfRule type="expression" dxfId="4359" priority="1252">
      <formula>$D$176&lt;3</formula>
    </cfRule>
  </conditionalFormatting>
  <conditionalFormatting sqref="L178:N178">
    <cfRule type="expression" dxfId="4358" priority="1267">
      <formula>$D$178&lt;3</formula>
    </cfRule>
  </conditionalFormatting>
  <conditionalFormatting sqref="L180:N180">
    <cfRule type="expression" dxfId="4357" priority="1282">
      <formula>$D$180&lt;3</formula>
    </cfRule>
  </conditionalFormatting>
  <conditionalFormatting sqref="L182:N182">
    <cfRule type="expression" dxfId="4356" priority="1297">
      <formula>$D$182&lt;3</formula>
    </cfRule>
  </conditionalFormatting>
  <conditionalFormatting sqref="L184:N184">
    <cfRule type="expression" dxfId="4355" priority="1312">
      <formula>$D$184&lt;3</formula>
    </cfRule>
  </conditionalFormatting>
  <conditionalFormatting sqref="L189:N189">
    <cfRule type="expression" dxfId="4354" priority="1327">
      <formula>$D$189&lt;3</formula>
    </cfRule>
  </conditionalFormatting>
  <conditionalFormatting sqref="L191:N191">
    <cfRule type="expression" dxfId="4353" priority="1342">
      <formula>$D$191&lt;3</formula>
    </cfRule>
  </conditionalFormatting>
  <conditionalFormatting sqref="L193:N193">
    <cfRule type="expression" dxfId="4352" priority="1357">
      <formula>$D$193&lt;3</formula>
    </cfRule>
  </conditionalFormatting>
  <conditionalFormatting sqref="L194:N194">
    <cfRule type="expression" dxfId="4351" priority="1372">
      <formula>$D$194&lt;3</formula>
    </cfRule>
  </conditionalFormatting>
  <conditionalFormatting sqref="L195:N195">
    <cfRule type="expression" dxfId="4350" priority="1387">
      <formula>$D$195&lt;3</formula>
    </cfRule>
  </conditionalFormatting>
  <conditionalFormatting sqref="L197:N197">
    <cfRule type="expression" dxfId="4349" priority="1402">
      <formula>$D$197&lt;3</formula>
    </cfRule>
  </conditionalFormatting>
  <conditionalFormatting sqref="L198:N198">
    <cfRule type="expression" dxfId="4348" priority="1417">
      <formula>$D$198&lt;3</formula>
    </cfRule>
  </conditionalFormatting>
  <conditionalFormatting sqref="L200:N200">
    <cfRule type="expression" dxfId="4347" priority="1432">
      <formula>$D$200&lt;3</formula>
    </cfRule>
  </conditionalFormatting>
  <conditionalFormatting sqref="L202:N202">
    <cfRule type="expression" dxfId="4346" priority="1447">
      <formula>$D$202&lt;3</formula>
    </cfRule>
  </conditionalFormatting>
  <conditionalFormatting sqref="L204:N204">
    <cfRule type="expression" dxfId="4345" priority="1462">
      <formula>$D$204&lt;3</formula>
    </cfRule>
  </conditionalFormatting>
  <conditionalFormatting sqref="L206:N206">
    <cfRule type="expression" dxfId="4344" priority="1477">
      <formula>$D$206&lt;3</formula>
    </cfRule>
  </conditionalFormatting>
  <conditionalFormatting sqref="L211:N211">
    <cfRule type="expression" dxfId="4343" priority="1492">
      <formula>$D$211&lt;3</formula>
    </cfRule>
  </conditionalFormatting>
  <conditionalFormatting sqref="L213:N213">
    <cfRule type="expression" dxfId="4342" priority="1507">
      <formula>$D$213&lt;3</formula>
    </cfRule>
  </conditionalFormatting>
  <conditionalFormatting sqref="L215:N215">
    <cfRule type="expression" dxfId="4341" priority="1522">
      <formula>$D$215&lt;3</formula>
    </cfRule>
  </conditionalFormatting>
  <conditionalFormatting sqref="L216:N216">
    <cfRule type="expression" dxfId="4340" priority="1537">
      <formula>$D$216&lt;3</formula>
    </cfRule>
  </conditionalFormatting>
  <conditionalFormatting sqref="L217:N217">
    <cfRule type="expression" dxfId="4339" priority="1552">
      <formula>$D$217&lt;3</formula>
    </cfRule>
  </conditionalFormatting>
  <conditionalFormatting sqref="L219:N219">
    <cfRule type="expression" dxfId="4338" priority="1567">
      <formula>$D$219&lt;3</formula>
    </cfRule>
  </conditionalFormatting>
  <conditionalFormatting sqref="L220:N220">
    <cfRule type="expression" dxfId="4337" priority="1582">
      <formula>$D$220&lt;3</formula>
    </cfRule>
  </conditionalFormatting>
  <conditionalFormatting sqref="L222:N222">
    <cfRule type="expression" dxfId="4336" priority="1597">
      <formula>$D$222&lt;3</formula>
    </cfRule>
  </conditionalFormatting>
  <conditionalFormatting sqref="L224:N224">
    <cfRule type="expression" dxfId="4335" priority="1612">
      <formula>$D$224&lt;3</formula>
    </cfRule>
  </conditionalFormatting>
  <conditionalFormatting sqref="L226:N226">
    <cfRule type="expression" dxfId="4334" priority="1627">
      <formula>$D$226&lt;3</formula>
    </cfRule>
  </conditionalFormatting>
  <conditionalFormatting sqref="L228:N228">
    <cfRule type="expression" dxfId="4333" priority="1642">
      <formula>$D$228&lt;3</formula>
    </cfRule>
  </conditionalFormatting>
  <conditionalFormatting sqref="L233:N233">
    <cfRule type="expression" dxfId="4332" priority="1657">
      <formula>$D$233&lt;3</formula>
    </cfRule>
  </conditionalFormatting>
  <conditionalFormatting sqref="L235:N235">
    <cfRule type="expression" dxfId="4331" priority="1672">
      <formula>$D$235&lt;3</formula>
    </cfRule>
  </conditionalFormatting>
  <conditionalFormatting sqref="L237:N237">
    <cfRule type="expression" dxfId="4330" priority="1687">
      <formula>$D$237&lt;3</formula>
    </cfRule>
  </conditionalFormatting>
  <conditionalFormatting sqref="L238:N238">
    <cfRule type="expression" dxfId="4329" priority="1702">
      <formula>$D$238&lt;3</formula>
    </cfRule>
  </conditionalFormatting>
  <conditionalFormatting sqref="L239:N239">
    <cfRule type="expression" dxfId="4328" priority="1717">
      <formula>$D$239&lt;3</formula>
    </cfRule>
  </conditionalFormatting>
  <conditionalFormatting sqref="L241:N241">
    <cfRule type="expression" dxfId="4327" priority="1732">
      <formula>$D$241&lt;3</formula>
    </cfRule>
  </conditionalFormatting>
  <conditionalFormatting sqref="L242:N242">
    <cfRule type="expression" dxfId="4326" priority="1747">
      <formula>$D$242&lt;3</formula>
    </cfRule>
  </conditionalFormatting>
  <conditionalFormatting sqref="L244:N244">
    <cfRule type="expression" dxfId="4325" priority="1762">
      <formula>$D$244&lt;3</formula>
    </cfRule>
  </conditionalFormatting>
  <conditionalFormatting sqref="L246:N246">
    <cfRule type="expression" dxfId="4324" priority="1777">
      <formula>$D$246&lt;3</formula>
    </cfRule>
  </conditionalFormatting>
  <conditionalFormatting sqref="L248:N248">
    <cfRule type="expression" dxfId="4323" priority="1792">
      <formula>$D$248&lt;3</formula>
    </cfRule>
  </conditionalFormatting>
  <conditionalFormatting sqref="L250:N250">
    <cfRule type="expression" dxfId="4322" priority="1807">
      <formula>$D$250&lt;3</formula>
    </cfRule>
  </conditionalFormatting>
  <conditionalFormatting sqref="L255:N255">
    <cfRule type="expression" dxfId="4321" priority="1822">
      <formula>$D$255&lt;3</formula>
    </cfRule>
  </conditionalFormatting>
  <conditionalFormatting sqref="L257:N257">
    <cfRule type="expression" dxfId="4320" priority="1837">
      <formula>$D$257&lt;3</formula>
    </cfRule>
  </conditionalFormatting>
  <conditionalFormatting sqref="L259:N259">
    <cfRule type="expression" dxfId="4319" priority="1852">
      <formula>$D$259&lt;3</formula>
    </cfRule>
  </conditionalFormatting>
  <conditionalFormatting sqref="L260:N260">
    <cfRule type="expression" dxfId="4318" priority="1867">
      <formula>$D$260&lt;3</formula>
    </cfRule>
  </conditionalFormatting>
  <conditionalFormatting sqref="L261:N261">
    <cfRule type="expression" dxfId="4317" priority="1882">
      <formula>$D$261&lt;3</formula>
    </cfRule>
  </conditionalFormatting>
  <conditionalFormatting sqref="L263:N263">
    <cfRule type="expression" dxfId="4316" priority="1897">
      <formula>$D$263&lt;3</formula>
    </cfRule>
  </conditionalFormatting>
  <conditionalFormatting sqref="L264:N264">
    <cfRule type="expression" dxfId="4315" priority="1912">
      <formula>$D$264&lt;3</formula>
    </cfRule>
  </conditionalFormatting>
  <conditionalFormatting sqref="L266:N266">
    <cfRule type="expression" dxfId="4314" priority="1927">
      <formula>$D$266&lt;3</formula>
    </cfRule>
  </conditionalFormatting>
  <conditionalFormatting sqref="L268:N268">
    <cfRule type="expression" dxfId="4313" priority="1942">
      <formula>$D$268&lt;3</formula>
    </cfRule>
  </conditionalFormatting>
  <conditionalFormatting sqref="L270:N270">
    <cfRule type="expression" dxfId="4312" priority="1957">
      <formula>$D$270&lt;3</formula>
    </cfRule>
  </conditionalFormatting>
  <conditionalFormatting sqref="L272:N272">
    <cfRule type="expression" dxfId="4311" priority="1972">
      <formula>$D$272&lt;3</formula>
    </cfRule>
  </conditionalFormatting>
  <conditionalFormatting sqref="O13:Q13">
    <cfRule type="expression" dxfId="4310" priority="10">
      <formula>$D$13&lt;4</formula>
    </cfRule>
  </conditionalFormatting>
  <conditionalFormatting sqref="O15:Q15">
    <cfRule type="expression" dxfId="4309" priority="25">
      <formula>$D$15&lt;4</formula>
    </cfRule>
  </conditionalFormatting>
  <conditionalFormatting sqref="O17:Q17">
    <cfRule type="expression" dxfId="4308" priority="40">
      <formula>$D$17&lt;4</formula>
    </cfRule>
  </conditionalFormatting>
  <conditionalFormatting sqref="O18:Q18">
    <cfRule type="expression" dxfId="4307" priority="55">
      <formula>$D$18&lt;4</formula>
    </cfRule>
  </conditionalFormatting>
  <conditionalFormatting sqref="O19:Q19">
    <cfRule type="expression" dxfId="4306" priority="70">
      <formula>$D$19&lt;4</formula>
    </cfRule>
  </conditionalFormatting>
  <conditionalFormatting sqref="O21:Q21">
    <cfRule type="expression" dxfId="4305" priority="85">
      <formula>$D$21&lt;4</formula>
    </cfRule>
  </conditionalFormatting>
  <conditionalFormatting sqref="O22:Q22">
    <cfRule type="expression" dxfId="4304" priority="100">
      <formula>$D$22&lt;4</formula>
    </cfRule>
  </conditionalFormatting>
  <conditionalFormatting sqref="O24:Q24">
    <cfRule type="expression" dxfId="4303" priority="115">
      <formula>$D$24&lt;4</formula>
    </cfRule>
  </conditionalFormatting>
  <conditionalFormatting sqref="O26:Q26">
    <cfRule type="expression" dxfId="4302" priority="130">
      <formula>$D$26&lt;4</formula>
    </cfRule>
  </conditionalFormatting>
  <conditionalFormatting sqref="O28:Q28">
    <cfRule type="expression" dxfId="4301" priority="145">
      <formula>$D$28&lt;4</formula>
    </cfRule>
  </conditionalFormatting>
  <conditionalFormatting sqref="O30:Q30">
    <cfRule type="expression" dxfId="4300" priority="160">
      <formula>$D$30&lt;4</formula>
    </cfRule>
  </conditionalFormatting>
  <conditionalFormatting sqref="O35:Q35">
    <cfRule type="expression" dxfId="4299" priority="175">
      <formula>$D$35&lt;4</formula>
    </cfRule>
  </conditionalFormatting>
  <conditionalFormatting sqref="O37:Q37">
    <cfRule type="expression" dxfId="4298" priority="190">
      <formula>$D$37&lt;4</formula>
    </cfRule>
  </conditionalFormatting>
  <conditionalFormatting sqref="O39:Q39">
    <cfRule type="expression" dxfId="4297" priority="205">
      <formula>$D$39&lt;4</formula>
    </cfRule>
  </conditionalFormatting>
  <conditionalFormatting sqref="O40:Q40">
    <cfRule type="expression" dxfId="4296" priority="220">
      <formula>$D$40&lt;4</formula>
    </cfRule>
  </conditionalFormatting>
  <conditionalFormatting sqref="O41:Q41">
    <cfRule type="expression" dxfId="4295" priority="235">
      <formula>$D$41&lt;4</formula>
    </cfRule>
  </conditionalFormatting>
  <conditionalFormatting sqref="O43:Q43">
    <cfRule type="expression" dxfId="4294" priority="250">
      <formula>$D$43&lt;4</formula>
    </cfRule>
  </conditionalFormatting>
  <conditionalFormatting sqref="O44:Q44">
    <cfRule type="expression" dxfId="4293" priority="265">
      <formula>$D$44&lt;4</formula>
    </cfRule>
  </conditionalFormatting>
  <conditionalFormatting sqref="O46:Q46">
    <cfRule type="expression" dxfId="4292" priority="280">
      <formula>$D$46&lt;4</formula>
    </cfRule>
  </conditionalFormatting>
  <conditionalFormatting sqref="O48:Q48">
    <cfRule type="expression" dxfId="4291" priority="295">
      <formula>$D$48&lt;4</formula>
    </cfRule>
  </conditionalFormatting>
  <conditionalFormatting sqref="O50:Q50">
    <cfRule type="expression" dxfId="4290" priority="310">
      <formula>$D$50&lt;4</formula>
    </cfRule>
  </conditionalFormatting>
  <conditionalFormatting sqref="O52:Q52">
    <cfRule type="expression" dxfId="4289" priority="325">
      <formula>$D$52&lt;4</formula>
    </cfRule>
  </conditionalFormatting>
  <conditionalFormatting sqref="O57:Q57">
    <cfRule type="expression" dxfId="4288" priority="340">
      <formula>$D$57&lt;4</formula>
    </cfRule>
  </conditionalFormatting>
  <conditionalFormatting sqref="O59:Q59">
    <cfRule type="expression" dxfId="4287" priority="355">
      <formula>$D$59&lt;4</formula>
    </cfRule>
  </conditionalFormatting>
  <conditionalFormatting sqref="O61:Q61">
    <cfRule type="expression" dxfId="4286" priority="370">
      <formula>$D$61&lt;4</formula>
    </cfRule>
  </conditionalFormatting>
  <conditionalFormatting sqref="O62:Q62">
    <cfRule type="expression" dxfId="4285" priority="385">
      <formula>$D$62&lt;4</formula>
    </cfRule>
  </conditionalFormatting>
  <conditionalFormatting sqref="O63:Q63">
    <cfRule type="expression" dxfId="4284" priority="400">
      <formula>$D$63&lt;4</formula>
    </cfRule>
  </conditionalFormatting>
  <conditionalFormatting sqref="O65:Q65">
    <cfRule type="expression" dxfId="4283" priority="415">
      <formula>$D$65&lt;4</formula>
    </cfRule>
  </conditionalFormatting>
  <conditionalFormatting sqref="O66:Q66">
    <cfRule type="expression" dxfId="4282" priority="430">
      <formula>$D$66&lt;4</formula>
    </cfRule>
  </conditionalFormatting>
  <conditionalFormatting sqref="O68:Q68">
    <cfRule type="expression" dxfId="4281" priority="445">
      <formula>$D$68&lt;4</formula>
    </cfRule>
  </conditionalFormatting>
  <conditionalFormatting sqref="O70:Q70">
    <cfRule type="expression" dxfId="4280" priority="460">
      <formula>$D$70&lt;4</formula>
    </cfRule>
  </conditionalFormatting>
  <conditionalFormatting sqref="O72:Q72">
    <cfRule type="expression" dxfId="4279" priority="475">
      <formula>$D$72&lt;4</formula>
    </cfRule>
  </conditionalFormatting>
  <conditionalFormatting sqref="O74:Q74">
    <cfRule type="expression" dxfId="4278" priority="490">
      <formula>$D$74&lt;4</formula>
    </cfRule>
  </conditionalFormatting>
  <conditionalFormatting sqref="O79:Q79">
    <cfRule type="expression" dxfId="4277" priority="505">
      <formula>$D$79&lt;4</formula>
    </cfRule>
  </conditionalFormatting>
  <conditionalFormatting sqref="O81:Q81">
    <cfRule type="expression" dxfId="4276" priority="520">
      <formula>$D$81&lt;4</formula>
    </cfRule>
  </conditionalFormatting>
  <conditionalFormatting sqref="O83:Q83">
    <cfRule type="expression" dxfId="4275" priority="535">
      <formula>$D$83&lt;4</formula>
    </cfRule>
  </conditionalFormatting>
  <conditionalFormatting sqref="O84:Q84">
    <cfRule type="expression" dxfId="4274" priority="550">
      <formula>$D$84&lt;4</formula>
    </cfRule>
  </conditionalFormatting>
  <conditionalFormatting sqref="O85:Q85">
    <cfRule type="expression" dxfId="4273" priority="565">
      <formula>$D$85&lt;4</formula>
    </cfRule>
  </conditionalFormatting>
  <conditionalFormatting sqref="O87:Q87">
    <cfRule type="expression" dxfId="4272" priority="580">
      <formula>$D$87&lt;4</formula>
    </cfRule>
  </conditionalFormatting>
  <conditionalFormatting sqref="O88:Q88">
    <cfRule type="expression" dxfId="4271" priority="595">
      <formula>$D$88&lt;4</formula>
    </cfRule>
  </conditionalFormatting>
  <conditionalFormatting sqref="O90:Q90">
    <cfRule type="expression" dxfId="4270" priority="610">
      <formula>$D$90&lt;4</formula>
    </cfRule>
  </conditionalFormatting>
  <conditionalFormatting sqref="O92:Q92">
    <cfRule type="expression" dxfId="4269" priority="625">
      <formula>$D$92&lt;4</formula>
    </cfRule>
  </conditionalFormatting>
  <conditionalFormatting sqref="O94:Q94">
    <cfRule type="expression" dxfId="4268" priority="640">
      <formula>$D$94&lt;4</formula>
    </cfRule>
  </conditionalFormatting>
  <conditionalFormatting sqref="O96:Q96">
    <cfRule type="expression" dxfId="4267" priority="655">
      <formula>$D$96&lt;4</formula>
    </cfRule>
  </conditionalFormatting>
  <conditionalFormatting sqref="O101:Q101">
    <cfRule type="expression" dxfId="4266" priority="670">
      <formula>$D$101&lt;4</formula>
    </cfRule>
  </conditionalFormatting>
  <conditionalFormatting sqref="O103:Q103">
    <cfRule type="expression" dxfId="4265" priority="685">
      <formula>$D$103&lt;4</formula>
    </cfRule>
  </conditionalFormatting>
  <conditionalFormatting sqref="O105:Q105">
    <cfRule type="expression" dxfId="4264" priority="700">
      <formula>$D$105&lt;4</formula>
    </cfRule>
  </conditionalFormatting>
  <conditionalFormatting sqref="O106:Q106">
    <cfRule type="expression" dxfId="4263" priority="715">
      <formula>$D$106&lt;4</formula>
    </cfRule>
  </conditionalFormatting>
  <conditionalFormatting sqref="O107:Q107">
    <cfRule type="expression" dxfId="4262" priority="730">
      <formula>$D$107&lt;4</formula>
    </cfRule>
  </conditionalFormatting>
  <conditionalFormatting sqref="O109:Q109">
    <cfRule type="expression" dxfId="4261" priority="745">
      <formula>$D$109&lt;4</formula>
    </cfRule>
  </conditionalFormatting>
  <conditionalFormatting sqref="O110:Q110">
    <cfRule type="expression" dxfId="4260" priority="760">
      <formula>$D$110&lt;4</formula>
    </cfRule>
  </conditionalFormatting>
  <conditionalFormatting sqref="O112:Q112">
    <cfRule type="expression" dxfId="4259" priority="775">
      <formula>$D$112&lt;4</formula>
    </cfRule>
  </conditionalFormatting>
  <conditionalFormatting sqref="O114:Q114">
    <cfRule type="expression" dxfId="4258" priority="790">
      <formula>$D$114&lt;4</formula>
    </cfRule>
  </conditionalFormatting>
  <conditionalFormatting sqref="O116:Q116">
    <cfRule type="expression" dxfId="4257" priority="805">
      <formula>$D$116&lt;4</formula>
    </cfRule>
  </conditionalFormatting>
  <conditionalFormatting sqref="O118:Q118">
    <cfRule type="expression" dxfId="4256" priority="820">
      <formula>$D$118&lt;4</formula>
    </cfRule>
  </conditionalFormatting>
  <conditionalFormatting sqref="O123:Q123">
    <cfRule type="expression" dxfId="4255" priority="835">
      <formula>$D$123&lt;4</formula>
    </cfRule>
  </conditionalFormatting>
  <conditionalFormatting sqref="O125:Q125">
    <cfRule type="expression" dxfId="4254" priority="850">
      <formula>$D$125&lt;4</formula>
    </cfRule>
  </conditionalFormatting>
  <conditionalFormatting sqref="O127:Q127">
    <cfRule type="expression" dxfId="4253" priority="865">
      <formula>$D$127&lt;4</formula>
    </cfRule>
  </conditionalFormatting>
  <conditionalFormatting sqref="O128:Q128">
    <cfRule type="expression" dxfId="4252" priority="880">
      <formula>$D$128&lt;4</formula>
    </cfRule>
  </conditionalFormatting>
  <conditionalFormatting sqref="O129:Q129">
    <cfRule type="expression" dxfId="4251" priority="895">
      <formula>$D$129&lt;4</formula>
    </cfRule>
  </conditionalFormatting>
  <conditionalFormatting sqref="O131:Q131">
    <cfRule type="expression" dxfId="4250" priority="910">
      <formula>$D$131&lt;4</formula>
    </cfRule>
  </conditionalFormatting>
  <conditionalFormatting sqref="O132:Q132">
    <cfRule type="expression" dxfId="4249" priority="925">
      <formula>$D$132&lt;4</formula>
    </cfRule>
  </conditionalFormatting>
  <conditionalFormatting sqref="O134:Q134">
    <cfRule type="expression" dxfId="4248" priority="940">
      <formula>$D$134&lt;4</formula>
    </cfRule>
  </conditionalFormatting>
  <conditionalFormatting sqref="O136:Q136">
    <cfRule type="expression" dxfId="4247" priority="955">
      <formula>$D$136&lt;4</formula>
    </cfRule>
  </conditionalFormatting>
  <conditionalFormatting sqref="O138:Q138">
    <cfRule type="expression" dxfId="4246" priority="970">
      <formula>$D$138&lt;4</formula>
    </cfRule>
  </conditionalFormatting>
  <conditionalFormatting sqref="O140:Q140">
    <cfRule type="expression" dxfId="4245" priority="985">
      <formula>$D$140&lt;4</formula>
    </cfRule>
  </conditionalFormatting>
  <conditionalFormatting sqref="O145:Q145">
    <cfRule type="expression" dxfId="4244" priority="1000">
      <formula>$D$145&lt;4</formula>
    </cfRule>
  </conditionalFormatting>
  <conditionalFormatting sqref="O147:Q147">
    <cfRule type="expression" dxfId="4243" priority="1015">
      <formula>$D$147&lt;4</formula>
    </cfRule>
  </conditionalFormatting>
  <conditionalFormatting sqref="O149:Q149">
    <cfRule type="expression" dxfId="4242" priority="1030">
      <formula>$D$149&lt;4</formula>
    </cfRule>
  </conditionalFormatting>
  <conditionalFormatting sqref="O150:Q150">
    <cfRule type="expression" dxfId="4241" priority="1045">
      <formula>$D$150&lt;4</formula>
    </cfRule>
  </conditionalFormatting>
  <conditionalFormatting sqref="O151:Q151">
    <cfRule type="expression" dxfId="4240" priority="1060">
      <formula>$D$151&lt;4</formula>
    </cfRule>
  </conditionalFormatting>
  <conditionalFormatting sqref="O153:Q153">
    <cfRule type="expression" dxfId="4239" priority="1075">
      <formula>$D$153&lt;4</formula>
    </cfRule>
  </conditionalFormatting>
  <conditionalFormatting sqref="O154:Q154">
    <cfRule type="expression" dxfId="4238" priority="1090">
      <formula>$D$154&lt;4</formula>
    </cfRule>
  </conditionalFormatting>
  <conditionalFormatting sqref="O156:Q156">
    <cfRule type="expression" dxfId="4237" priority="1105">
      <formula>$D$156&lt;4</formula>
    </cfRule>
  </conditionalFormatting>
  <conditionalFormatting sqref="O158:Q158">
    <cfRule type="expression" dxfId="4236" priority="1120">
      <formula>$D$158&lt;4</formula>
    </cfRule>
  </conditionalFormatting>
  <conditionalFormatting sqref="O160:Q160">
    <cfRule type="expression" dxfId="4235" priority="1135">
      <formula>$D$160&lt;4</formula>
    </cfRule>
  </conditionalFormatting>
  <conditionalFormatting sqref="O162:Q162">
    <cfRule type="expression" dxfId="4234" priority="1150">
      <formula>$D$162&lt;4</formula>
    </cfRule>
  </conditionalFormatting>
  <conditionalFormatting sqref="O167:Q167">
    <cfRule type="expression" dxfId="4233" priority="1165">
      <formula>$D$167&lt;4</formula>
    </cfRule>
  </conditionalFormatting>
  <conditionalFormatting sqref="O169:Q169">
    <cfRule type="expression" dxfId="4232" priority="1180">
      <formula>$D$169&lt;4</formula>
    </cfRule>
  </conditionalFormatting>
  <conditionalFormatting sqref="O171:Q171">
    <cfRule type="expression" dxfId="4231" priority="1195">
      <formula>$D$171&lt;4</formula>
    </cfRule>
  </conditionalFormatting>
  <conditionalFormatting sqref="O172:Q172">
    <cfRule type="expression" dxfId="4230" priority="1210">
      <formula>$D$172&lt;4</formula>
    </cfRule>
  </conditionalFormatting>
  <conditionalFormatting sqref="O173:Q173">
    <cfRule type="expression" dxfId="4229" priority="1225">
      <formula>$D$173&lt;4</formula>
    </cfRule>
  </conditionalFormatting>
  <conditionalFormatting sqref="O175:Q175">
    <cfRule type="expression" dxfId="4228" priority="1240">
      <formula>$D$175&lt;4</formula>
    </cfRule>
  </conditionalFormatting>
  <conditionalFormatting sqref="O176:Q176">
    <cfRule type="expression" dxfId="4227" priority="1255">
      <formula>$D$176&lt;4</formula>
    </cfRule>
  </conditionalFormatting>
  <conditionalFormatting sqref="O178:Q178">
    <cfRule type="expression" dxfId="4226" priority="1270">
      <formula>$D$178&lt;4</formula>
    </cfRule>
  </conditionalFormatting>
  <conditionalFormatting sqref="O180:Q180">
    <cfRule type="expression" dxfId="4225" priority="1285">
      <formula>$D$180&lt;4</formula>
    </cfRule>
  </conditionalFormatting>
  <conditionalFormatting sqref="O182:Q182">
    <cfRule type="expression" dxfId="4224" priority="1300">
      <formula>$D$182&lt;4</formula>
    </cfRule>
  </conditionalFormatting>
  <conditionalFormatting sqref="O184:Q184">
    <cfRule type="expression" dxfId="4223" priority="1315">
      <formula>$D$184&lt;4</formula>
    </cfRule>
  </conditionalFormatting>
  <conditionalFormatting sqref="O189:Q189">
    <cfRule type="expression" dxfId="4222" priority="1330">
      <formula>$D$189&lt;4</formula>
    </cfRule>
  </conditionalFormatting>
  <conditionalFormatting sqref="O191:Q191">
    <cfRule type="expression" dxfId="4221" priority="1345">
      <formula>$D$191&lt;4</formula>
    </cfRule>
  </conditionalFormatting>
  <conditionalFormatting sqref="O193:Q193">
    <cfRule type="expression" dxfId="4220" priority="1360">
      <formula>$D$193&lt;4</formula>
    </cfRule>
  </conditionalFormatting>
  <conditionalFormatting sqref="O194:Q194">
    <cfRule type="expression" dxfId="4219" priority="1375">
      <formula>$D$194&lt;4</formula>
    </cfRule>
  </conditionalFormatting>
  <conditionalFormatting sqref="O195:Q195">
    <cfRule type="expression" dxfId="4218" priority="1390">
      <formula>$D$195&lt;4</formula>
    </cfRule>
  </conditionalFormatting>
  <conditionalFormatting sqref="O197:Q197">
    <cfRule type="expression" dxfId="4217" priority="1405">
      <formula>$D$197&lt;4</formula>
    </cfRule>
  </conditionalFormatting>
  <conditionalFormatting sqref="O198:Q198">
    <cfRule type="expression" dxfId="4216" priority="1420">
      <formula>$D$198&lt;4</formula>
    </cfRule>
  </conditionalFormatting>
  <conditionalFormatting sqref="O200:Q200">
    <cfRule type="expression" dxfId="4215" priority="1435">
      <formula>$D$200&lt;4</formula>
    </cfRule>
  </conditionalFormatting>
  <conditionalFormatting sqref="O202:Q202">
    <cfRule type="expression" dxfId="4214" priority="1450">
      <formula>$D$202&lt;4</formula>
    </cfRule>
  </conditionalFormatting>
  <conditionalFormatting sqref="O204:Q204">
    <cfRule type="expression" dxfId="4213" priority="1465">
      <formula>$D$204&lt;4</formula>
    </cfRule>
  </conditionalFormatting>
  <conditionalFormatting sqref="O206:Q206">
    <cfRule type="expression" dxfId="4212" priority="1480">
      <formula>$D$206&lt;4</formula>
    </cfRule>
  </conditionalFormatting>
  <conditionalFormatting sqref="O211:Q211">
    <cfRule type="expression" dxfId="4211" priority="1495">
      <formula>$D$211&lt;4</formula>
    </cfRule>
  </conditionalFormatting>
  <conditionalFormatting sqref="O213:Q213">
    <cfRule type="expression" dxfId="4210" priority="1510">
      <formula>$D$213&lt;4</formula>
    </cfRule>
  </conditionalFormatting>
  <conditionalFormatting sqref="O215:Q215">
    <cfRule type="expression" dxfId="4209" priority="1525">
      <formula>$D$215&lt;4</formula>
    </cfRule>
  </conditionalFormatting>
  <conditionalFormatting sqref="O216:Q216">
    <cfRule type="expression" dxfId="4208" priority="1540">
      <formula>$D$216&lt;4</formula>
    </cfRule>
  </conditionalFormatting>
  <conditionalFormatting sqref="O217:Q217">
    <cfRule type="expression" dxfId="4207" priority="1555">
      <formula>$D$217&lt;4</formula>
    </cfRule>
  </conditionalFormatting>
  <conditionalFormatting sqref="O219:Q219">
    <cfRule type="expression" dxfId="4206" priority="1570">
      <formula>$D$219&lt;4</formula>
    </cfRule>
  </conditionalFormatting>
  <conditionalFormatting sqref="O220:Q220">
    <cfRule type="expression" dxfId="4205" priority="1585">
      <formula>$D$220&lt;4</formula>
    </cfRule>
  </conditionalFormatting>
  <conditionalFormatting sqref="O222:Q222">
    <cfRule type="expression" dxfId="4204" priority="1600">
      <formula>$D$222&lt;4</formula>
    </cfRule>
  </conditionalFormatting>
  <conditionalFormatting sqref="O224:Q224">
    <cfRule type="expression" dxfId="4203" priority="1615">
      <formula>$D$224&lt;4</formula>
    </cfRule>
  </conditionalFormatting>
  <conditionalFormatting sqref="O226:Q226">
    <cfRule type="expression" dxfId="4202" priority="1630">
      <formula>$D$226&lt;4</formula>
    </cfRule>
  </conditionalFormatting>
  <conditionalFormatting sqref="O228:Q228">
    <cfRule type="expression" dxfId="4201" priority="1645">
      <formula>$D$228&lt;4</formula>
    </cfRule>
  </conditionalFormatting>
  <conditionalFormatting sqref="O233:Q233">
    <cfRule type="expression" dxfId="4200" priority="1660">
      <formula>$D$233&lt;4</formula>
    </cfRule>
  </conditionalFormatting>
  <conditionalFormatting sqref="O235:Q235">
    <cfRule type="expression" dxfId="4199" priority="1675">
      <formula>$D$235&lt;4</formula>
    </cfRule>
  </conditionalFormatting>
  <conditionalFormatting sqref="O237:Q237">
    <cfRule type="expression" dxfId="4198" priority="1690">
      <formula>$D$237&lt;4</formula>
    </cfRule>
  </conditionalFormatting>
  <conditionalFormatting sqref="O238:Q238">
    <cfRule type="expression" dxfId="4197" priority="1705">
      <formula>$D$238&lt;4</formula>
    </cfRule>
  </conditionalFormatting>
  <conditionalFormatting sqref="O239:Q239">
    <cfRule type="expression" dxfId="4196" priority="1720">
      <formula>$D$239&lt;4</formula>
    </cfRule>
  </conditionalFormatting>
  <conditionalFormatting sqref="O241:Q241">
    <cfRule type="expression" dxfId="4195" priority="1735">
      <formula>$D$241&lt;4</formula>
    </cfRule>
  </conditionalFormatting>
  <conditionalFormatting sqref="O242:Q242">
    <cfRule type="expression" dxfId="4194" priority="1750">
      <formula>$D$242&lt;4</formula>
    </cfRule>
  </conditionalFormatting>
  <conditionalFormatting sqref="O244:Q244">
    <cfRule type="expression" dxfId="4193" priority="1765">
      <formula>$D$244&lt;4</formula>
    </cfRule>
  </conditionalFormatting>
  <conditionalFormatting sqref="O246:Q246">
    <cfRule type="expression" dxfId="4192" priority="1780">
      <formula>$D$246&lt;4</formula>
    </cfRule>
  </conditionalFormatting>
  <conditionalFormatting sqref="O248:Q248">
    <cfRule type="expression" dxfId="4191" priority="1795">
      <formula>$D$248&lt;4</formula>
    </cfRule>
  </conditionalFormatting>
  <conditionalFormatting sqref="O250:Q250">
    <cfRule type="expression" dxfId="4190" priority="1810">
      <formula>$D$250&lt;4</formula>
    </cfRule>
  </conditionalFormatting>
  <conditionalFormatting sqref="O255:Q255">
    <cfRule type="expression" dxfId="4189" priority="1825">
      <formula>$D$255&lt;4</formula>
    </cfRule>
  </conditionalFormatting>
  <conditionalFormatting sqref="O257:Q257">
    <cfRule type="expression" dxfId="4188" priority="1840">
      <formula>$D$257&lt;4</formula>
    </cfRule>
  </conditionalFormatting>
  <conditionalFormatting sqref="O259:Q259">
    <cfRule type="expression" dxfId="4187" priority="1855">
      <formula>$D$259&lt;4</formula>
    </cfRule>
  </conditionalFormatting>
  <conditionalFormatting sqref="O260:Q260">
    <cfRule type="expression" dxfId="4186" priority="1870">
      <formula>$D$260&lt;4</formula>
    </cfRule>
  </conditionalFormatting>
  <conditionalFormatting sqref="O261:Q261">
    <cfRule type="expression" dxfId="4185" priority="1885">
      <formula>$D$261&lt;4</formula>
    </cfRule>
  </conditionalFormatting>
  <conditionalFormatting sqref="O263:Q263">
    <cfRule type="expression" dxfId="4184" priority="1900">
      <formula>$D$263&lt;4</formula>
    </cfRule>
  </conditionalFormatting>
  <conditionalFormatting sqref="O264:Q264">
    <cfRule type="expression" dxfId="4183" priority="1915">
      <formula>$D$264&lt;4</formula>
    </cfRule>
  </conditionalFormatting>
  <conditionalFormatting sqref="O266:Q266">
    <cfRule type="expression" dxfId="4182" priority="1930">
      <formula>$D$266&lt;4</formula>
    </cfRule>
  </conditionalFormatting>
  <conditionalFormatting sqref="O268:Q268">
    <cfRule type="expression" dxfId="4181" priority="1945">
      <formula>$D$268&lt;4</formula>
    </cfRule>
  </conditionalFormatting>
  <conditionalFormatting sqref="O270:Q270">
    <cfRule type="expression" dxfId="4180" priority="1960">
      <formula>$D$270&lt;4</formula>
    </cfRule>
  </conditionalFormatting>
  <conditionalFormatting sqref="O272:Q272">
    <cfRule type="expression" dxfId="4179" priority="1975">
      <formula>$D$272&lt;4</formula>
    </cfRule>
  </conditionalFormatting>
  <conditionalFormatting sqref="R13:T13">
    <cfRule type="expression" dxfId="4178" priority="13">
      <formula>$D$13&lt;5</formula>
    </cfRule>
  </conditionalFormatting>
  <conditionalFormatting sqref="R15:T15">
    <cfRule type="expression" dxfId="4177" priority="28">
      <formula>$D$15&lt;5</formula>
    </cfRule>
  </conditionalFormatting>
  <conditionalFormatting sqref="R17:T17">
    <cfRule type="expression" dxfId="4176" priority="43">
      <formula>$D$17&lt;5</formula>
    </cfRule>
  </conditionalFormatting>
  <conditionalFormatting sqref="R18:T18">
    <cfRule type="expression" dxfId="4175" priority="58">
      <formula>$D$18&lt;5</formula>
    </cfRule>
  </conditionalFormatting>
  <conditionalFormatting sqref="R19:T19">
    <cfRule type="expression" dxfId="4174" priority="73">
      <formula>$D$19&lt;5</formula>
    </cfRule>
  </conditionalFormatting>
  <conditionalFormatting sqref="R21:T21">
    <cfRule type="expression" dxfId="4173" priority="88">
      <formula>$D$21&lt;5</formula>
    </cfRule>
  </conditionalFormatting>
  <conditionalFormatting sqref="R22:T22">
    <cfRule type="expression" dxfId="4172" priority="103">
      <formula>$D$22&lt;5</formula>
    </cfRule>
  </conditionalFormatting>
  <conditionalFormatting sqref="R24:T24">
    <cfRule type="expression" dxfId="4171" priority="118">
      <formula>$D$24&lt;5</formula>
    </cfRule>
  </conditionalFormatting>
  <conditionalFormatting sqref="R26:T26">
    <cfRule type="expression" dxfId="4170" priority="133">
      <formula>$D$26&lt;5</formula>
    </cfRule>
  </conditionalFormatting>
  <conditionalFormatting sqref="R28:T28">
    <cfRule type="expression" dxfId="4169" priority="148">
      <formula>$D$28&lt;5</formula>
    </cfRule>
  </conditionalFormatting>
  <conditionalFormatting sqref="R30:T30">
    <cfRule type="expression" dxfId="4168" priority="163">
      <formula>$D$30&lt;5</formula>
    </cfRule>
  </conditionalFormatting>
  <conditionalFormatting sqref="R35:T35">
    <cfRule type="expression" dxfId="4167" priority="178">
      <formula>$D$35&lt;5</formula>
    </cfRule>
  </conditionalFormatting>
  <conditionalFormatting sqref="R37:T37">
    <cfRule type="expression" dxfId="4166" priority="193">
      <formula>$D$37&lt;5</formula>
    </cfRule>
  </conditionalFormatting>
  <conditionalFormatting sqref="R39:T39">
    <cfRule type="expression" dxfId="4165" priority="208">
      <formula>$D$39&lt;5</formula>
    </cfRule>
  </conditionalFormatting>
  <conditionalFormatting sqref="R40:T40">
    <cfRule type="expression" dxfId="4164" priority="223">
      <formula>$D$40&lt;5</formula>
    </cfRule>
  </conditionalFormatting>
  <conditionalFormatting sqref="R41:T41">
    <cfRule type="expression" dxfId="4163" priority="238">
      <formula>$D$41&lt;5</formula>
    </cfRule>
  </conditionalFormatting>
  <conditionalFormatting sqref="R43:T43">
    <cfRule type="expression" dxfId="4162" priority="253">
      <formula>$D$43&lt;5</formula>
    </cfRule>
  </conditionalFormatting>
  <conditionalFormatting sqref="R44:T44">
    <cfRule type="expression" dxfId="4161" priority="268">
      <formula>$D$44&lt;5</formula>
    </cfRule>
  </conditionalFormatting>
  <conditionalFormatting sqref="R46:T46">
    <cfRule type="expression" dxfId="4160" priority="283">
      <formula>$D$46&lt;5</formula>
    </cfRule>
  </conditionalFormatting>
  <conditionalFormatting sqref="R48:T48">
    <cfRule type="expression" dxfId="4159" priority="298">
      <formula>$D$48&lt;5</formula>
    </cfRule>
  </conditionalFormatting>
  <conditionalFormatting sqref="R50:T50">
    <cfRule type="expression" dxfId="4158" priority="313">
      <formula>$D$50&lt;5</formula>
    </cfRule>
  </conditionalFormatting>
  <conditionalFormatting sqref="R52:T52">
    <cfRule type="expression" dxfId="4157" priority="328">
      <formula>$D$52&lt;5</formula>
    </cfRule>
  </conditionalFormatting>
  <conditionalFormatting sqref="R57:T57">
    <cfRule type="expression" dxfId="4156" priority="343">
      <formula>$D$57&lt;5</formula>
    </cfRule>
  </conditionalFormatting>
  <conditionalFormatting sqref="R59:T59">
    <cfRule type="expression" dxfId="4155" priority="358">
      <formula>$D$59&lt;5</formula>
    </cfRule>
  </conditionalFormatting>
  <conditionalFormatting sqref="R61:T61">
    <cfRule type="expression" dxfId="4154" priority="373">
      <formula>$D$61&lt;5</formula>
    </cfRule>
  </conditionalFormatting>
  <conditionalFormatting sqref="R62:T62">
    <cfRule type="expression" dxfId="4153" priority="388">
      <formula>$D$62&lt;5</formula>
    </cfRule>
  </conditionalFormatting>
  <conditionalFormatting sqref="R63:T63">
    <cfRule type="expression" dxfId="4152" priority="403">
      <formula>$D$63&lt;5</formula>
    </cfRule>
  </conditionalFormatting>
  <conditionalFormatting sqref="R65:T65">
    <cfRule type="expression" dxfId="4151" priority="418">
      <formula>$D$65&lt;5</formula>
    </cfRule>
  </conditionalFormatting>
  <conditionalFormatting sqref="R66:T66">
    <cfRule type="expression" dxfId="4150" priority="433">
      <formula>$D$66&lt;5</formula>
    </cfRule>
  </conditionalFormatting>
  <conditionalFormatting sqref="R68:T68">
    <cfRule type="expression" dxfId="4149" priority="448">
      <formula>$D$68&lt;5</formula>
    </cfRule>
  </conditionalFormatting>
  <conditionalFormatting sqref="R70:T70">
    <cfRule type="expression" dxfId="4148" priority="463">
      <formula>$D$70&lt;5</formula>
    </cfRule>
  </conditionalFormatting>
  <conditionalFormatting sqref="R72:T72">
    <cfRule type="expression" dxfId="4147" priority="478">
      <formula>$D$72&lt;5</formula>
    </cfRule>
  </conditionalFormatting>
  <conditionalFormatting sqref="R74:T74">
    <cfRule type="expression" dxfId="4146" priority="493">
      <formula>$D$74&lt;5</formula>
    </cfRule>
  </conditionalFormatting>
  <conditionalFormatting sqref="R79:T79">
    <cfRule type="expression" dxfId="4145" priority="508">
      <formula>$D$79&lt;5</formula>
    </cfRule>
  </conditionalFormatting>
  <conditionalFormatting sqref="R81:T81">
    <cfRule type="expression" dxfId="4144" priority="523">
      <formula>$D$81&lt;5</formula>
    </cfRule>
  </conditionalFormatting>
  <conditionalFormatting sqref="R83:T83">
    <cfRule type="expression" dxfId="4143" priority="538">
      <formula>$D$83&lt;5</formula>
    </cfRule>
  </conditionalFormatting>
  <conditionalFormatting sqref="R84:T84">
    <cfRule type="expression" dxfId="4142" priority="553">
      <formula>$D$84&lt;5</formula>
    </cfRule>
  </conditionalFormatting>
  <conditionalFormatting sqref="R85:T85">
    <cfRule type="expression" dxfId="4141" priority="568">
      <formula>$D$85&lt;5</formula>
    </cfRule>
  </conditionalFormatting>
  <conditionalFormatting sqref="R87:T87">
    <cfRule type="expression" dxfId="4140" priority="583">
      <formula>$D$87&lt;5</formula>
    </cfRule>
  </conditionalFormatting>
  <conditionalFormatting sqref="R88:T88">
    <cfRule type="expression" dxfId="4139" priority="598">
      <formula>$D$88&lt;5</formula>
    </cfRule>
  </conditionalFormatting>
  <conditionalFormatting sqref="R90:T90">
    <cfRule type="expression" dxfId="4138" priority="613">
      <formula>$D$90&lt;5</formula>
    </cfRule>
  </conditionalFormatting>
  <conditionalFormatting sqref="R92:T92">
    <cfRule type="expression" dxfId="4137" priority="628">
      <formula>$D$92&lt;5</formula>
    </cfRule>
  </conditionalFormatting>
  <conditionalFormatting sqref="R94:T94">
    <cfRule type="expression" dxfId="4136" priority="643">
      <formula>$D$94&lt;5</formula>
    </cfRule>
  </conditionalFormatting>
  <conditionalFormatting sqref="R96:T96">
    <cfRule type="expression" dxfId="4135" priority="658">
      <formula>$D$96&lt;5</formula>
    </cfRule>
  </conditionalFormatting>
  <conditionalFormatting sqref="R101:T101">
    <cfRule type="expression" dxfId="4134" priority="673">
      <formula>$D$101&lt;5</formula>
    </cfRule>
  </conditionalFormatting>
  <conditionalFormatting sqref="R103:T103">
    <cfRule type="expression" dxfId="4133" priority="688">
      <formula>$D$103&lt;5</formula>
    </cfRule>
  </conditionalFormatting>
  <conditionalFormatting sqref="R105:T105">
    <cfRule type="expression" dxfId="4132" priority="703">
      <formula>$D$105&lt;5</formula>
    </cfRule>
  </conditionalFormatting>
  <conditionalFormatting sqref="R106:T106">
    <cfRule type="expression" dxfId="4131" priority="718">
      <formula>$D$106&lt;5</formula>
    </cfRule>
  </conditionalFormatting>
  <conditionalFormatting sqref="R107:T107">
    <cfRule type="expression" dxfId="4130" priority="733">
      <formula>$D$107&lt;5</formula>
    </cfRule>
  </conditionalFormatting>
  <conditionalFormatting sqref="R109:T109">
    <cfRule type="expression" dxfId="4129" priority="748">
      <formula>$D$109&lt;5</formula>
    </cfRule>
  </conditionalFormatting>
  <conditionalFormatting sqref="R110:T110">
    <cfRule type="expression" dxfId="4128" priority="763">
      <formula>$D$110&lt;5</formula>
    </cfRule>
  </conditionalFormatting>
  <conditionalFormatting sqref="R112:T112">
    <cfRule type="expression" dxfId="4127" priority="778">
      <formula>$D$112&lt;5</formula>
    </cfRule>
  </conditionalFormatting>
  <conditionalFormatting sqref="R114:T114">
    <cfRule type="expression" dxfId="4126" priority="793">
      <formula>$D$114&lt;5</formula>
    </cfRule>
  </conditionalFormatting>
  <conditionalFormatting sqref="R116:T116">
    <cfRule type="expression" dxfId="4125" priority="808">
      <formula>$D$116&lt;5</formula>
    </cfRule>
  </conditionalFormatting>
  <conditionalFormatting sqref="R118:T118">
    <cfRule type="expression" dxfId="4124" priority="823">
      <formula>$D$118&lt;5</formula>
    </cfRule>
  </conditionalFormatting>
  <conditionalFormatting sqref="R123:T123">
    <cfRule type="expression" dxfId="4123" priority="838">
      <formula>$D$123&lt;5</formula>
    </cfRule>
  </conditionalFormatting>
  <conditionalFormatting sqref="R125:T125">
    <cfRule type="expression" dxfId="4122" priority="853">
      <formula>$D$125&lt;5</formula>
    </cfRule>
  </conditionalFormatting>
  <conditionalFormatting sqref="R127:T127">
    <cfRule type="expression" dxfId="4121" priority="868">
      <formula>$D$127&lt;5</formula>
    </cfRule>
  </conditionalFormatting>
  <conditionalFormatting sqref="R128:T128">
    <cfRule type="expression" dxfId="4120" priority="883">
      <formula>$D$128&lt;5</formula>
    </cfRule>
  </conditionalFormatting>
  <conditionalFormatting sqref="R129:T129">
    <cfRule type="expression" dxfId="4119" priority="898">
      <formula>$D$129&lt;5</formula>
    </cfRule>
  </conditionalFormatting>
  <conditionalFormatting sqref="R131:T131">
    <cfRule type="expression" dxfId="4118" priority="913">
      <formula>$D$131&lt;5</formula>
    </cfRule>
  </conditionalFormatting>
  <conditionalFormatting sqref="R132:T132">
    <cfRule type="expression" dxfId="4117" priority="928">
      <formula>$D$132&lt;5</formula>
    </cfRule>
  </conditionalFormatting>
  <conditionalFormatting sqref="R134:T134">
    <cfRule type="expression" dxfId="4116" priority="943">
      <formula>$D$134&lt;5</formula>
    </cfRule>
  </conditionalFormatting>
  <conditionalFormatting sqref="R136:T136">
    <cfRule type="expression" dxfId="4115" priority="958">
      <formula>$D$136&lt;5</formula>
    </cfRule>
  </conditionalFormatting>
  <conditionalFormatting sqref="R138:T138">
    <cfRule type="expression" dxfId="4114" priority="973">
      <formula>$D$138&lt;5</formula>
    </cfRule>
  </conditionalFormatting>
  <conditionalFormatting sqref="R140:T140">
    <cfRule type="expression" dxfId="4113" priority="988">
      <formula>$D$140&lt;5</formula>
    </cfRule>
  </conditionalFormatting>
  <conditionalFormatting sqref="R145:T145">
    <cfRule type="expression" dxfId="4112" priority="1003">
      <formula>$D$145&lt;5</formula>
    </cfRule>
  </conditionalFormatting>
  <conditionalFormatting sqref="R147:T147">
    <cfRule type="expression" dxfId="4111" priority="1018">
      <formula>$D$147&lt;5</formula>
    </cfRule>
  </conditionalFormatting>
  <conditionalFormatting sqref="R149:T149">
    <cfRule type="expression" dxfId="4110" priority="1033">
      <formula>$D$149&lt;5</formula>
    </cfRule>
  </conditionalFormatting>
  <conditionalFormatting sqref="R150:T150">
    <cfRule type="expression" dxfId="4109" priority="1048">
      <formula>$D$150&lt;5</formula>
    </cfRule>
  </conditionalFormatting>
  <conditionalFormatting sqref="R151:T151">
    <cfRule type="expression" dxfId="4108" priority="1063">
      <formula>$D$151&lt;5</formula>
    </cfRule>
  </conditionalFormatting>
  <conditionalFormatting sqref="R153:T153">
    <cfRule type="expression" dxfId="4107" priority="1078">
      <formula>$D$153&lt;5</formula>
    </cfRule>
  </conditionalFormatting>
  <conditionalFormatting sqref="R154:T154">
    <cfRule type="expression" dxfId="4106" priority="1093">
      <formula>$D$154&lt;5</formula>
    </cfRule>
  </conditionalFormatting>
  <conditionalFormatting sqref="R156:T156">
    <cfRule type="expression" dxfId="4105" priority="1108">
      <formula>$D$156&lt;5</formula>
    </cfRule>
  </conditionalFormatting>
  <conditionalFormatting sqref="R158:T158">
    <cfRule type="expression" dxfId="4104" priority="1123">
      <formula>$D$158&lt;5</formula>
    </cfRule>
  </conditionalFormatting>
  <conditionalFormatting sqref="R160:T160">
    <cfRule type="expression" dxfId="4103" priority="1138">
      <formula>$D$160&lt;5</formula>
    </cfRule>
  </conditionalFormatting>
  <conditionalFormatting sqref="R162:T162">
    <cfRule type="expression" dxfId="4102" priority="1153">
      <formula>$D$162&lt;5</formula>
    </cfRule>
  </conditionalFormatting>
  <conditionalFormatting sqref="R167:T167">
    <cfRule type="expression" dxfId="4101" priority="1168">
      <formula>$D$167&lt;5</formula>
    </cfRule>
  </conditionalFormatting>
  <conditionalFormatting sqref="R169:T169">
    <cfRule type="expression" dxfId="4100" priority="1183">
      <formula>$D$169&lt;5</formula>
    </cfRule>
  </conditionalFormatting>
  <conditionalFormatting sqref="R171:T171">
    <cfRule type="expression" dxfId="4099" priority="1198">
      <formula>$D$171&lt;5</formula>
    </cfRule>
  </conditionalFormatting>
  <conditionalFormatting sqref="R172:T172">
    <cfRule type="expression" dxfId="4098" priority="1213">
      <formula>$D$172&lt;5</formula>
    </cfRule>
  </conditionalFormatting>
  <conditionalFormatting sqref="R173:T173">
    <cfRule type="expression" dxfId="4097" priority="1228">
      <formula>$D$173&lt;5</formula>
    </cfRule>
  </conditionalFormatting>
  <conditionalFormatting sqref="R175:T175">
    <cfRule type="expression" dxfId="4096" priority="1243">
      <formula>$D$175&lt;5</formula>
    </cfRule>
  </conditionalFormatting>
  <conditionalFormatting sqref="R176:T176">
    <cfRule type="expression" dxfId="4095" priority="1258">
      <formula>$D$176&lt;5</formula>
    </cfRule>
  </conditionalFormatting>
  <conditionalFormatting sqref="R178:T178">
    <cfRule type="expression" dxfId="4094" priority="1273">
      <formula>$D$178&lt;5</formula>
    </cfRule>
  </conditionalFormatting>
  <conditionalFormatting sqref="R180:T180">
    <cfRule type="expression" dxfId="4093" priority="1288">
      <formula>$D$180&lt;5</formula>
    </cfRule>
  </conditionalFormatting>
  <conditionalFormatting sqref="R182:T182">
    <cfRule type="expression" dxfId="4092" priority="1303">
      <formula>$D$182&lt;5</formula>
    </cfRule>
  </conditionalFormatting>
  <conditionalFormatting sqref="R184:T184">
    <cfRule type="expression" dxfId="4091" priority="1318">
      <formula>$D$184&lt;5</formula>
    </cfRule>
  </conditionalFormatting>
  <conditionalFormatting sqref="R189:T189">
    <cfRule type="expression" dxfId="4090" priority="1333">
      <formula>$D$189&lt;5</formula>
    </cfRule>
  </conditionalFormatting>
  <conditionalFormatting sqref="R191:T191">
    <cfRule type="expression" dxfId="4089" priority="1348">
      <formula>$D$191&lt;5</formula>
    </cfRule>
  </conditionalFormatting>
  <conditionalFormatting sqref="R193:T193">
    <cfRule type="expression" dxfId="4088" priority="1363">
      <formula>$D$193&lt;5</formula>
    </cfRule>
  </conditionalFormatting>
  <conditionalFormatting sqref="R194:T194">
    <cfRule type="expression" dxfId="4087" priority="1378">
      <formula>$D$194&lt;5</formula>
    </cfRule>
  </conditionalFormatting>
  <conditionalFormatting sqref="R195:T195">
    <cfRule type="expression" dxfId="4086" priority="1393">
      <formula>$D$195&lt;5</formula>
    </cfRule>
  </conditionalFormatting>
  <conditionalFormatting sqref="R197:T197">
    <cfRule type="expression" dxfId="4085" priority="1408">
      <formula>$D$197&lt;5</formula>
    </cfRule>
  </conditionalFormatting>
  <conditionalFormatting sqref="R198:T198">
    <cfRule type="expression" dxfId="4084" priority="1423">
      <formula>$D$198&lt;5</formula>
    </cfRule>
  </conditionalFormatting>
  <conditionalFormatting sqref="R200:T200">
    <cfRule type="expression" dxfId="4083" priority="1438">
      <formula>$D$200&lt;5</formula>
    </cfRule>
  </conditionalFormatting>
  <conditionalFormatting sqref="R202:T202">
    <cfRule type="expression" dxfId="4082" priority="1453">
      <formula>$D$202&lt;5</formula>
    </cfRule>
  </conditionalFormatting>
  <conditionalFormatting sqref="R204:T204">
    <cfRule type="expression" dxfId="4081" priority="1468">
      <formula>$D$204&lt;5</formula>
    </cfRule>
  </conditionalFormatting>
  <conditionalFormatting sqref="R206:T206">
    <cfRule type="expression" dxfId="4080" priority="1483">
      <formula>$D$206&lt;5</formula>
    </cfRule>
  </conditionalFormatting>
  <conditionalFormatting sqref="R211:T211">
    <cfRule type="expression" dxfId="4079" priority="1498">
      <formula>$D$211&lt;5</formula>
    </cfRule>
  </conditionalFormatting>
  <conditionalFormatting sqref="R213:T213">
    <cfRule type="expression" dxfId="4078" priority="1513">
      <formula>$D$213&lt;5</formula>
    </cfRule>
  </conditionalFormatting>
  <conditionalFormatting sqref="R215:T215">
    <cfRule type="expression" dxfId="4077" priority="1528">
      <formula>$D$215&lt;5</formula>
    </cfRule>
  </conditionalFormatting>
  <conditionalFormatting sqref="R216:T216">
    <cfRule type="expression" dxfId="4076" priority="1543">
      <formula>$D$216&lt;5</formula>
    </cfRule>
  </conditionalFormatting>
  <conditionalFormatting sqref="R217:T217">
    <cfRule type="expression" dxfId="4075" priority="1558">
      <formula>$D$217&lt;5</formula>
    </cfRule>
  </conditionalFormatting>
  <conditionalFormatting sqref="R219:T219">
    <cfRule type="expression" dxfId="4074" priority="1573">
      <formula>$D$219&lt;5</formula>
    </cfRule>
  </conditionalFormatting>
  <conditionalFormatting sqref="R220:T220">
    <cfRule type="expression" dxfId="4073" priority="1588">
      <formula>$D$220&lt;5</formula>
    </cfRule>
  </conditionalFormatting>
  <conditionalFormatting sqref="R222:T222">
    <cfRule type="expression" dxfId="4072" priority="1603">
      <formula>$D$222&lt;5</formula>
    </cfRule>
  </conditionalFormatting>
  <conditionalFormatting sqref="R224:T224">
    <cfRule type="expression" dxfId="4071" priority="1618">
      <formula>$D$224&lt;5</formula>
    </cfRule>
  </conditionalFormatting>
  <conditionalFormatting sqref="R226:T226">
    <cfRule type="expression" dxfId="4070" priority="1633">
      <formula>$D$226&lt;5</formula>
    </cfRule>
  </conditionalFormatting>
  <conditionalFormatting sqref="R228:T228">
    <cfRule type="expression" dxfId="4069" priority="1648">
      <formula>$D$228&lt;5</formula>
    </cfRule>
  </conditionalFormatting>
  <conditionalFormatting sqref="R233:T233">
    <cfRule type="expression" dxfId="4068" priority="1663">
      <formula>$D$233&lt;5</formula>
    </cfRule>
  </conditionalFormatting>
  <conditionalFormatting sqref="R235:T235">
    <cfRule type="expression" dxfId="4067" priority="1678">
      <formula>$D$235&lt;5</formula>
    </cfRule>
  </conditionalFormatting>
  <conditionalFormatting sqref="R237:T237">
    <cfRule type="expression" dxfId="4066" priority="1693">
      <formula>$D$237&lt;5</formula>
    </cfRule>
  </conditionalFormatting>
  <conditionalFormatting sqref="R238:T238">
    <cfRule type="expression" dxfId="4065" priority="1708">
      <formula>$D$238&lt;5</formula>
    </cfRule>
  </conditionalFormatting>
  <conditionalFormatting sqref="R239:T239">
    <cfRule type="expression" dxfId="4064" priority="1723">
      <formula>$D$239&lt;5</formula>
    </cfRule>
  </conditionalFormatting>
  <conditionalFormatting sqref="R241:T241">
    <cfRule type="expression" dxfId="4063" priority="1738">
      <formula>$D$241&lt;5</formula>
    </cfRule>
  </conditionalFormatting>
  <conditionalFormatting sqref="R242:T242">
    <cfRule type="expression" dxfId="4062" priority="1753">
      <formula>$D$242&lt;5</formula>
    </cfRule>
  </conditionalFormatting>
  <conditionalFormatting sqref="R244:T244">
    <cfRule type="expression" dxfId="4061" priority="1768">
      <formula>$D$244&lt;5</formula>
    </cfRule>
  </conditionalFormatting>
  <conditionalFormatting sqref="R246:T246">
    <cfRule type="expression" dxfId="4060" priority="1783">
      <formula>$D$246&lt;5</formula>
    </cfRule>
  </conditionalFormatting>
  <conditionalFormatting sqref="R248:T248">
    <cfRule type="expression" dxfId="4059" priority="1798">
      <formula>$D$248&lt;5</formula>
    </cfRule>
  </conditionalFormatting>
  <conditionalFormatting sqref="R250:T250">
    <cfRule type="expression" dxfId="4058" priority="1813">
      <formula>$D$250&lt;5</formula>
    </cfRule>
  </conditionalFormatting>
  <conditionalFormatting sqref="R255:T255">
    <cfRule type="expression" dxfId="4057" priority="1828">
      <formula>$D$255&lt;5</formula>
    </cfRule>
  </conditionalFormatting>
  <conditionalFormatting sqref="R257:T257">
    <cfRule type="expression" dxfId="4056" priority="1843">
      <formula>$D$257&lt;5</formula>
    </cfRule>
  </conditionalFormatting>
  <conditionalFormatting sqref="R259:T259">
    <cfRule type="expression" dxfId="4055" priority="1858">
      <formula>$D$259&lt;5</formula>
    </cfRule>
  </conditionalFormatting>
  <conditionalFormatting sqref="R260:T260">
    <cfRule type="expression" dxfId="4054" priority="1873">
      <formula>$D$260&lt;5</formula>
    </cfRule>
  </conditionalFormatting>
  <conditionalFormatting sqref="R261:T261">
    <cfRule type="expression" dxfId="4053" priority="1888">
      <formula>$D$261&lt;5</formula>
    </cfRule>
  </conditionalFormatting>
  <conditionalFormatting sqref="R263:T263">
    <cfRule type="expression" dxfId="4052" priority="1903">
      <formula>$D$263&lt;5</formula>
    </cfRule>
  </conditionalFormatting>
  <conditionalFormatting sqref="R264:T264">
    <cfRule type="expression" dxfId="4051" priority="1918">
      <formula>$D$264&lt;5</formula>
    </cfRule>
  </conditionalFormatting>
  <conditionalFormatting sqref="R266:T266">
    <cfRule type="expression" dxfId="4050" priority="1933">
      <formula>$D$266&lt;5</formula>
    </cfRule>
  </conditionalFormatting>
  <conditionalFormatting sqref="R268:T268">
    <cfRule type="expression" dxfId="4049" priority="1948">
      <formula>$D$268&lt;5</formula>
    </cfRule>
  </conditionalFormatting>
  <conditionalFormatting sqref="R270:T270">
    <cfRule type="expression" dxfId="4048" priority="1963">
      <formula>$D$270&lt;5</formula>
    </cfRule>
  </conditionalFormatting>
  <conditionalFormatting sqref="R272:T272">
    <cfRule type="expression" dxfId="4047" priority="1978">
      <formula>$D$272&lt;5</formula>
    </cfRule>
  </conditionalFormatting>
  <dataValidations count="8">
    <dataValidation type="list" allowBlank="1" sqref="A21:A22 A43:A44 A65:A66 A87:A88 A109:A110 A131:A132 A153:A154 A175:A176 A197:A198 A219:A220 A241:A242 A263:A264" xr:uid="{00000000-0002-0000-0000-000000000000}">
      <formula1>BASES_HOMBRO</formula1>
    </dataValidation>
    <dataValidation type="list" allowBlank="1" sqref="A24 A46 A68 A90 A112 A134 A156 A178 A200 A222 A244 A266" xr:uid="{00000000-0002-0000-0000-000001000000}">
      <formula1>BASES_TRICEPS</formula1>
    </dataValidation>
    <dataValidation type="list" allowBlank="1" sqref="A26 A48 A70 A92 A114 A136 A158 A180 A202 A224 A246 A268" xr:uid="{00000000-0002-0000-0000-000002000000}">
      <formula1>BASES_CUADRICEPS</formula1>
    </dataValidation>
    <dataValidation type="list" allowBlank="1" sqref="A28 A50 A72 A94 A116 A138 A160 A182 A204 A226 A248 A270" xr:uid="{00000000-0002-0000-0000-000003000000}">
      <formula1>BASES_BICEPS</formula1>
    </dataValidation>
    <dataValidation type="list" allowBlank="1" sqref="A30 A52 A74 A96 A118 A140 A162 A184 A206 A228 A250 A272" xr:uid="{00000000-0002-0000-0000-000004000000}">
      <formula1>BASES_CIERRE</formula1>
    </dataValidation>
    <dataValidation type="list" allowBlank="1" sqref="A13 A35 A57 A79 A101 A123 A145 A167 A189 A211 A233 A255" xr:uid="{00000000-0002-0000-0000-000005000000}">
      <formula1>BASES_PECHO_MEDIO</formula1>
    </dataValidation>
    <dataValidation type="list" allowBlank="1" sqref="A15 A37 A59 A81 A103 A125 A147 A169 A191 A213 A235 A257" xr:uid="{00000000-0002-0000-0000-000006000000}">
      <formula1>BASES_PECHO_ALTO</formula1>
    </dataValidation>
    <dataValidation type="list" allowBlank="1" sqref="A17 A18 A19 A39 A40 A41 A61 A62 A63 A83 A84 A85 A105 A106 A107 A127 A128 A129 A149 A150 A151 A171 A172 A173 A193 A194 A195 A215 A216 A217 A237 A238 A239 A259 A260 A261" xr:uid="{00000000-0002-0000-0000-000007000000}">
      <formula1>BASES_PECHO_BAJO</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xr:uid="{00000000-0002-0000-0000-000008000000}">
          <x14:formula1>
            <xm:f>INDIRECT(IFERROR(VLOOKUP(A6,EJERCICIOS!$B$3:$E$85,4,0),"BASES_LIST"))</xm:f>
          </x14:formula1>
          <xm:sqref>B272 B270 B268 B266 B263:B264 B259:B261 B257 B255 B250 B248 B246 B244 B241:B242 B237:B239 B235 B233 B228 B226 B224 B222 B219:B220 B215:B217 B213 B211 B206 B204 B202 B200 B197:B198 B193:B195 B191 B189 B184 B182 B180 B178 B175:B176 B171:B173 B169 B167 B162 B160 B158 B156 B153:B154 B149:B151 B147 B145 B140 B138 B136 B134 B131:B132 B127:B129 B125 B123 B118 B116 B114 B112 B109:B110 B105:B107 B103 B101 B96 B94 B92 B90 B87:B88 B83:B85 B81 B79 B74 B72 B70 B68 B65:B66 B61:B63 B59 B57 B52 B50 B48 B46 B43:B44 B39:B41 B37 B35 B30 B28 B26 B24 B21:B22 B17:B19 B15 B13 B6:B8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5FA3"/>
  </sheetPr>
  <dimension ref="A1:AC261"/>
  <sheetViews>
    <sheetView showGridLines="0" topLeftCell="I1" workbookViewId="0">
      <pane ySplit="3" topLeftCell="A54" activePane="bottomLeft" state="frozen"/>
      <selection pane="bottomLeft" activeCell="K103" sqref="K103"/>
      <selection activeCell="I1" sqref="I1"/>
    </sheetView>
  </sheetViews>
  <sheetFormatPr defaultColWidth="8.85546875" defaultRowHeight="15"/>
  <cols>
    <col min="1" max="1" width="28" style="68" customWidth="1"/>
    <col min="2" max="2" width="24" style="68" customWidth="1"/>
    <col min="3" max="3" width="10" style="68" customWidth="1"/>
    <col min="4" max="4" width="7" style="68" customWidth="1"/>
    <col min="5" max="5" width="8" style="68" customWidth="1"/>
    <col min="6" max="6" width="7" style="68" customWidth="1"/>
    <col min="7" max="7" width="6" style="68" customWidth="1"/>
    <col min="8" max="8" width="5" style="68" customWidth="1"/>
    <col min="9" max="9" width="7" style="68" customWidth="1"/>
    <col min="10" max="10" width="6" style="68" customWidth="1"/>
    <col min="11" max="11" width="5" style="68" customWidth="1"/>
    <col min="12" max="12" width="7" style="68" customWidth="1"/>
    <col min="13" max="13" width="6" style="68" customWidth="1"/>
    <col min="14" max="14" width="5" style="68" customWidth="1"/>
    <col min="15" max="15" width="7" style="68" customWidth="1"/>
    <col min="16" max="16" width="6" style="68" customWidth="1"/>
    <col min="17" max="17" width="5" style="68" customWidth="1"/>
    <col min="18" max="18" width="7" style="68" customWidth="1"/>
    <col min="19" max="19" width="6" style="68" customWidth="1"/>
    <col min="20" max="20" width="5" style="68" customWidth="1"/>
    <col min="21" max="21" width="9" style="68" customWidth="1"/>
    <col min="22" max="22" width="44" style="68" customWidth="1"/>
    <col min="23" max="29" width="13" style="68" hidden="1" customWidth="1"/>
  </cols>
  <sheetData>
    <row r="1" spans="1:29" ht="30" customHeight="1">
      <c r="A1" s="86" t="s">
        <v>78</v>
      </c>
      <c r="B1" s="78"/>
      <c r="C1" s="78"/>
      <c r="D1" s="78"/>
      <c r="E1" s="78"/>
      <c r="F1" s="78"/>
      <c r="G1" s="78"/>
      <c r="H1" s="78"/>
      <c r="I1" s="78"/>
      <c r="J1" s="78"/>
      <c r="K1" s="78"/>
      <c r="L1" s="78"/>
      <c r="M1" s="78"/>
      <c r="N1" s="78"/>
      <c r="O1" s="78"/>
      <c r="P1" s="78"/>
      <c r="Q1" s="78"/>
      <c r="R1" s="78"/>
      <c r="S1" s="78"/>
      <c r="T1" s="78"/>
      <c r="U1" s="78"/>
      <c r="V1" s="79"/>
      <c r="W1" s="69"/>
      <c r="X1" s="69"/>
      <c r="Y1" s="69"/>
      <c r="Z1" s="69"/>
      <c r="AA1" s="69"/>
      <c r="AB1" s="69"/>
      <c r="AC1" s="69"/>
    </row>
    <row r="2" spans="1:29" ht="20.100000000000001" customHeight="1">
      <c r="A2" s="1" t="s">
        <v>1</v>
      </c>
      <c r="B2" s="1" t="s">
        <v>2</v>
      </c>
      <c r="C2" s="1" t="s">
        <v>3</v>
      </c>
      <c r="D2" s="1" t="s">
        <v>4</v>
      </c>
      <c r="E2" s="1" t="s">
        <v>5</v>
      </c>
      <c r="F2" s="77" t="s">
        <v>6</v>
      </c>
      <c r="G2" s="78"/>
      <c r="H2" s="79"/>
      <c r="I2" s="77" t="s">
        <v>7</v>
      </c>
      <c r="J2" s="78"/>
      <c r="K2" s="79"/>
      <c r="L2" s="77" t="s">
        <v>8</v>
      </c>
      <c r="M2" s="78"/>
      <c r="N2" s="79"/>
      <c r="O2" s="77" t="s">
        <v>9</v>
      </c>
      <c r="P2" s="78"/>
      <c r="Q2" s="79"/>
      <c r="R2" s="77" t="s">
        <v>10</v>
      </c>
      <c r="S2" s="78"/>
      <c r="T2" s="79"/>
      <c r="U2" s="2" t="s">
        <v>11</v>
      </c>
      <c r="V2" s="1" t="s">
        <v>12</v>
      </c>
      <c r="W2" s="69"/>
      <c r="X2" s="69"/>
      <c r="Y2" s="69"/>
      <c r="Z2" s="69"/>
      <c r="AA2" s="69"/>
      <c r="AB2" s="69"/>
      <c r="AC2" s="69"/>
    </row>
    <row r="3" spans="1:29" ht="15.95" customHeight="1">
      <c r="A3" s="3"/>
      <c r="B3" s="3"/>
      <c r="C3" s="3"/>
      <c r="D3" s="3"/>
      <c r="E3" s="3"/>
      <c r="F3" s="4" t="s">
        <v>13</v>
      </c>
      <c r="G3" s="5" t="s">
        <v>14</v>
      </c>
      <c r="H3" s="6" t="s">
        <v>15</v>
      </c>
      <c r="I3" s="4" t="s">
        <v>13</v>
      </c>
      <c r="J3" s="5" t="s">
        <v>14</v>
      </c>
      <c r="K3" s="6" t="s">
        <v>15</v>
      </c>
      <c r="L3" s="4" t="s">
        <v>13</v>
      </c>
      <c r="M3" s="5" t="s">
        <v>14</v>
      </c>
      <c r="N3" s="6" t="s">
        <v>15</v>
      </c>
      <c r="O3" s="4" t="s">
        <v>13</v>
      </c>
      <c r="P3" s="5" t="s">
        <v>14</v>
      </c>
      <c r="Q3" s="6" t="s">
        <v>15</v>
      </c>
      <c r="R3" s="4" t="s">
        <v>13</v>
      </c>
      <c r="S3" s="5" t="s">
        <v>14</v>
      </c>
      <c r="T3" s="6" t="s">
        <v>15</v>
      </c>
      <c r="U3" s="3"/>
      <c r="V3" s="3"/>
      <c r="W3" s="69"/>
      <c r="X3" s="69"/>
      <c r="Y3" s="69"/>
      <c r="Z3" s="69"/>
      <c r="AA3" s="69"/>
      <c r="AB3" s="69"/>
      <c r="AC3" s="69"/>
    </row>
    <row r="4" spans="1:29" ht="15.95" customHeight="1">
      <c r="A4" s="80" t="s">
        <v>16</v>
      </c>
      <c r="B4" s="73"/>
      <c r="C4" s="73"/>
      <c r="D4" s="73"/>
      <c r="E4" s="73"/>
      <c r="F4" s="73"/>
      <c r="G4" s="73"/>
      <c r="H4" s="73"/>
      <c r="I4" s="73"/>
      <c r="J4" s="73"/>
      <c r="K4" s="73"/>
      <c r="L4" s="73"/>
      <c r="M4" s="73"/>
      <c r="N4" s="73"/>
      <c r="O4" s="73"/>
      <c r="P4" s="73"/>
      <c r="Q4" s="73"/>
      <c r="R4" s="73"/>
      <c r="S4" s="73"/>
      <c r="T4" s="73"/>
      <c r="U4" s="73"/>
      <c r="V4" s="73"/>
      <c r="W4" s="69"/>
      <c r="X4" s="69"/>
      <c r="Y4" s="69"/>
      <c r="Z4" s="69"/>
      <c r="AA4" s="69"/>
      <c r="AB4" s="69"/>
      <c r="AC4" s="69"/>
    </row>
    <row r="5" spans="1:29" ht="15.95" customHeight="1">
      <c r="A5" s="74" t="s">
        <v>79</v>
      </c>
      <c r="B5" s="73"/>
      <c r="C5" s="73"/>
      <c r="D5" s="73"/>
      <c r="E5" s="73"/>
      <c r="F5" s="73"/>
      <c r="G5" s="73"/>
      <c r="H5" s="73"/>
      <c r="I5" s="73"/>
      <c r="J5" s="73"/>
      <c r="K5" s="73"/>
      <c r="L5" s="73"/>
      <c r="M5" s="73"/>
      <c r="N5" s="73"/>
      <c r="O5" s="73"/>
      <c r="P5" s="73"/>
      <c r="Q5" s="73"/>
      <c r="R5" s="73"/>
      <c r="S5" s="73"/>
      <c r="T5" s="73"/>
      <c r="U5" s="73"/>
      <c r="V5" s="73"/>
      <c r="W5" s="69"/>
      <c r="X5" s="69"/>
      <c r="Y5" s="69"/>
      <c r="Z5" s="69"/>
      <c r="AA5" s="69"/>
      <c r="AB5" s="69"/>
      <c r="AC5" s="69"/>
    </row>
    <row r="6" spans="1:29" ht="18" customHeight="1">
      <c r="A6" s="7" t="s">
        <v>80</v>
      </c>
      <c r="B6" s="8" t="s">
        <v>81</v>
      </c>
      <c r="C6" s="9"/>
      <c r="D6" s="10">
        <v>2</v>
      </c>
      <c r="E6" s="11"/>
      <c r="F6" s="11"/>
      <c r="G6" s="11"/>
      <c r="H6" s="11"/>
      <c r="I6" s="11"/>
      <c r="J6" s="11"/>
      <c r="K6" s="11"/>
      <c r="L6" s="11"/>
      <c r="M6" s="11"/>
      <c r="N6" s="11"/>
      <c r="O6" s="11"/>
      <c r="P6" s="11"/>
      <c r="Q6" s="11"/>
      <c r="R6" s="11"/>
      <c r="S6" s="11"/>
      <c r="T6" s="11"/>
      <c r="U6" s="11"/>
      <c r="V6" s="12" t="s">
        <v>82</v>
      </c>
      <c r="W6" s="69"/>
      <c r="X6" s="69"/>
      <c r="Y6" s="69"/>
      <c r="Z6" s="69"/>
      <c r="AA6" s="69"/>
      <c r="AB6" s="69"/>
      <c r="AC6" s="69"/>
    </row>
    <row r="7" spans="1:29" ht="18" customHeight="1">
      <c r="A7" s="7" t="s">
        <v>83</v>
      </c>
      <c r="B7" s="8" t="s">
        <v>84</v>
      </c>
      <c r="C7" s="9"/>
      <c r="D7" s="10">
        <v>2</v>
      </c>
      <c r="E7" s="11"/>
      <c r="F7" s="11"/>
      <c r="G7" s="11"/>
      <c r="H7" s="11"/>
      <c r="I7" s="11"/>
      <c r="J7" s="11"/>
      <c r="K7" s="11"/>
      <c r="L7" s="11"/>
      <c r="M7" s="11"/>
      <c r="N7" s="11"/>
      <c r="O7" s="11"/>
      <c r="P7" s="11"/>
      <c r="Q7" s="11"/>
      <c r="R7" s="11"/>
      <c r="S7" s="11"/>
      <c r="T7" s="11"/>
      <c r="U7" s="11"/>
      <c r="V7" s="12" t="s">
        <v>85</v>
      </c>
      <c r="W7" s="69"/>
      <c r="X7" s="69"/>
      <c r="Y7" s="69"/>
      <c r="Z7" s="69"/>
      <c r="AA7" s="69"/>
      <c r="AB7" s="69"/>
      <c r="AC7" s="69"/>
    </row>
    <row r="8" spans="1:29" ht="18" customHeight="1">
      <c r="A8" s="7" t="s">
        <v>54</v>
      </c>
      <c r="B8" s="8" t="s">
        <v>86</v>
      </c>
      <c r="C8" s="9"/>
      <c r="D8" s="10">
        <v>1</v>
      </c>
      <c r="E8" s="11"/>
      <c r="F8" s="11"/>
      <c r="G8" s="11"/>
      <c r="H8" s="11"/>
      <c r="I8" s="11"/>
      <c r="J8" s="11"/>
      <c r="K8" s="11"/>
      <c r="L8" s="11"/>
      <c r="M8" s="11"/>
      <c r="N8" s="11"/>
      <c r="O8" s="11"/>
      <c r="P8" s="11"/>
      <c r="Q8" s="11"/>
      <c r="R8" s="11"/>
      <c r="S8" s="11"/>
      <c r="T8" s="11"/>
      <c r="U8" s="11"/>
      <c r="V8" s="12" t="s">
        <v>87</v>
      </c>
      <c r="W8" s="69"/>
      <c r="X8" s="69"/>
      <c r="Y8" s="69"/>
      <c r="Z8" s="69"/>
      <c r="AA8" s="69"/>
      <c r="AB8" s="69"/>
      <c r="AC8" s="69"/>
    </row>
    <row r="9" spans="1:29" ht="5.0999999999999996" customHeight="1">
      <c r="A9" s="13"/>
      <c r="B9" s="13"/>
      <c r="C9" s="13"/>
      <c r="D9" s="13"/>
      <c r="E9" s="13"/>
      <c r="F9" s="13"/>
      <c r="G9" s="13"/>
      <c r="H9" s="13"/>
      <c r="I9" s="13"/>
      <c r="J9" s="13"/>
      <c r="K9" s="13"/>
      <c r="L9" s="13"/>
      <c r="M9" s="13"/>
      <c r="N9" s="13"/>
      <c r="O9" s="13"/>
      <c r="P9" s="13"/>
      <c r="Q9" s="13"/>
      <c r="R9" s="13"/>
      <c r="S9" s="13"/>
      <c r="T9" s="13"/>
      <c r="U9" s="13"/>
      <c r="V9" s="13"/>
      <c r="W9" s="69"/>
      <c r="X9" s="69"/>
      <c r="Y9" s="69"/>
      <c r="Z9" s="69"/>
      <c r="AA9" s="69"/>
      <c r="AB9" s="69"/>
      <c r="AC9" s="69"/>
    </row>
    <row r="10" spans="1:29" ht="18" customHeight="1">
      <c r="A10" s="85" t="s">
        <v>27</v>
      </c>
      <c r="B10" s="73"/>
      <c r="C10" s="73"/>
      <c r="D10" s="73"/>
      <c r="E10" s="73"/>
      <c r="F10" s="73"/>
      <c r="G10" s="73"/>
      <c r="H10" s="73"/>
      <c r="I10" s="73"/>
      <c r="J10" s="73"/>
      <c r="K10" s="73"/>
      <c r="L10" s="73"/>
      <c r="M10" s="73"/>
      <c r="N10" s="73"/>
      <c r="O10" s="73"/>
      <c r="P10" s="73"/>
      <c r="Q10" s="73"/>
      <c r="R10" s="73"/>
      <c r="S10" s="73"/>
      <c r="T10" s="73"/>
      <c r="U10" s="73"/>
      <c r="V10" s="73"/>
      <c r="W10" s="69"/>
      <c r="X10" s="69"/>
      <c r="Y10" s="69"/>
      <c r="Z10" s="69"/>
      <c r="AA10" s="69"/>
      <c r="AB10" s="69"/>
      <c r="AC10" s="69"/>
    </row>
    <row r="11" spans="1:29" ht="15" customHeight="1">
      <c r="A11" s="75" t="s">
        <v>88</v>
      </c>
      <c r="B11" s="73"/>
      <c r="C11" s="73"/>
      <c r="D11" s="73"/>
      <c r="E11" s="73"/>
      <c r="F11" s="73"/>
      <c r="G11" s="73"/>
      <c r="H11" s="73"/>
      <c r="I11" s="73"/>
      <c r="J11" s="73"/>
      <c r="K11" s="73"/>
      <c r="L11" s="73"/>
      <c r="M11" s="73"/>
      <c r="N11" s="73"/>
      <c r="O11" s="73"/>
      <c r="P11" s="73"/>
      <c r="Q11" s="73"/>
      <c r="R11" s="73"/>
      <c r="S11" s="73"/>
      <c r="T11" s="73"/>
      <c r="U11" s="73"/>
      <c r="V11" s="73"/>
      <c r="W11" s="69"/>
      <c r="X11" s="69"/>
      <c r="Y11" s="69"/>
      <c r="Z11" s="69"/>
      <c r="AA11" s="69"/>
      <c r="AB11" s="69"/>
      <c r="AC11" s="69"/>
    </row>
    <row r="12" spans="1:29" ht="11.1" customHeight="1">
      <c r="A12" s="76" t="s">
        <v>89</v>
      </c>
      <c r="B12" s="73"/>
      <c r="C12" s="73"/>
      <c r="D12" s="73"/>
      <c r="E12" s="73"/>
      <c r="F12" s="73"/>
      <c r="G12" s="73"/>
      <c r="H12" s="73"/>
      <c r="I12" s="73"/>
      <c r="J12" s="73"/>
      <c r="K12" s="73"/>
      <c r="L12" s="73"/>
      <c r="M12" s="73"/>
      <c r="N12" s="73"/>
      <c r="O12" s="73"/>
      <c r="P12" s="73"/>
      <c r="Q12" s="73"/>
      <c r="R12" s="73"/>
      <c r="S12" s="73"/>
      <c r="T12" s="73"/>
      <c r="U12" s="73"/>
      <c r="V12" s="73"/>
      <c r="W12" s="69"/>
      <c r="X12" s="69"/>
      <c r="Y12" s="69"/>
      <c r="Z12" s="69"/>
      <c r="AA12" s="69"/>
      <c r="AB12" s="69"/>
      <c r="AC12" s="69"/>
    </row>
    <row r="13" spans="1:29" ht="20.100000000000001" customHeight="1">
      <c r="A13" s="14" t="s">
        <v>90</v>
      </c>
      <c r="B13" s="15" t="s">
        <v>91</v>
      </c>
      <c r="C13" s="16" t="str">
        <f>IFERROR(INDEX(EJERCICIOS!$D$3:$D$75,MATCH(A13&amp;"|"&amp;B13,EJERCICIOS!$G$3:$G$75,0)),"--")</f>
        <v>peso_corporal</v>
      </c>
      <c r="D13" s="17">
        <v>3</v>
      </c>
      <c r="E13" s="18">
        <f>IFERROR(LOOKUP(2,1/(MEDIDAS_Y_PESO!$B$3:$B$3&lt;&gt;""),MEDIDAS_Y_PESO!$B$3:$B$3),"--")</f>
        <v>80</v>
      </c>
      <c r="F13" s="19"/>
      <c r="G13" s="20"/>
      <c r="H13" s="21"/>
      <c r="I13" s="19"/>
      <c r="J13" s="20"/>
      <c r="K13" s="21"/>
      <c r="L13" s="19"/>
      <c r="M13" s="20"/>
      <c r="N13" s="21"/>
      <c r="O13" s="19"/>
      <c r="P13" s="20"/>
      <c r="Q13" s="21"/>
      <c r="R13" s="19"/>
      <c r="S13" s="20"/>
      <c r="T13" s="21"/>
      <c r="U13" s="22" t="str">
        <f>IFERROR(IF(IF(X13&gt;0,X13,IF(Z13&gt;0,Z13,IF(AB13&gt;0,AB13,0)))=0,"--",ROUND(CHOOSE(IF(X13&gt;0,X13,IF(Z13&gt;0,Z13,IF(AB13&gt;0,AB13,0))),IF(C13="peso_corporal",IF(ISNUMBER(E13),E13,0)+F13,F13)*(1+G13/30),IF(C13="peso_corporal",IF(ISNUMBER(E13),E13,0)+I13,I13)*(1+J13/30),IF(C13="peso_corporal",IF(ISNUMBER(E13),E13,0)+L13,L13)*(1+M13/30),IF(C13="peso_corporal",IF(ISNUMBER(E13),E13,0)+O13,O13)*(1+P13/30),IF(C13="peso_corporal",IF(ISNUMBER(E13),E13,0)+R13,R13)*(1+S13/30)),1)),"--")</f>
        <v>--</v>
      </c>
      <c r="V13" s="23" t="str">
        <f>IF(SUGERENCIAS!N15="SIN","Sin datos anteriores",IF(SUGERENCIAS!N15="SUBIR_F","^ SUBIR FUERTE | Kg:"&amp;ROUND(SUGERENCIAS!K15,1)&amp;" R:"&amp;ROUND(SUGERENCIAS!L15,0)&amp;" RIR:"&amp;ROUND(SUGERENCIAS!M15,0),IF(SUGERENCIAS!N15="SUBIR_E","^ SUBIR (Est.) | Kg:"&amp;ROUND(SUGERENCIAS!K15,1)&amp;" R:"&amp;ROUND(SUGERENCIAS!L15,0)&amp;" RIR:"&amp;ROUND(SUGERENCIAS!M15,0),IF(SUGERENCIAS!N15="SUBIR","^ SUBIR | Kg:"&amp;ROUND(SUGERENCIAS!K15,1)&amp;" R:"&amp;ROUND(SUGERENCIAS!L15,0)&amp;" RIR:"&amp;ROUND(SUGERENCIAS!M15,0),IF(SUGERENCIAS!N15="BAJAR","v BAJAR | Kg:"&amp;ROUND(SUGERENCIAS!K15,1)&amp;" R:"&amp;ROUND(SUGERENCIAS!L15,0)&amp;" RIR:"&amp;ROUND(SUGERENCIAS!M15,0),"= MANT | Kg:"&amp;ROUND(SUGERENCIAS!K15,1)&amp;" R:"&amp;ROUND(SUGERENCIAS!L15,0)&amp;" RIR:"&amp;ROUND(SUGERENCIAS!M15,0))))))</f>
        <v>Sin datos anteriores</v>
      </c>
      <c r="W13" s="69">
        <f>MAX(IF((G13&gt;0)*(IF(H13="",-1,H13)&gt;=1)*(IF(H13="",-1,H13)&lt;=3),IF(C13="peso_corporal",IF(ISNUMBER(E13),E13,0)+F13,F13)*G13*1000+F13,0),IF((J13&gt;0)*(IF(K13="",-1,K13)&gt;=1)*(IF(K13="",-1,K13)&lt;=3),IF(C13="peso_corporal",IF(ISNUMBER(E13),E13,0)+I13,I13)*J13*1000+I13,0),IF((M13&gt;0)*(IF(N13="",-1,N13)&gt;=1)*(IF(N13="",-1,N13)&lt;=3),IF(C13="peso_corporal",IF(ISNUMBER(E13),E13,0)+L13,L13)*M13*1000+L13,0),IF((P13&gt;0)*(IF(Q13="",-1,Q13)&gt;=1)*(IF(Q13="",-1,Q13)&lt;=3),IF(C13="peso_corporal",IF(ISNUMBER(E13),E13,0)+O13,O13)*P13*1000+O13,0),IF((S13&gt;0)*(IF(T13="",-1,T13)&gt;=1)*(IF(T13="",-1,T13)&lt;=3),IF(C13="peso_corporal",IF(ISNUMBER(E13),E13,0)+R13,R13)*S13*1000+R13,0))</f>
        <v>0</v>
      </c>
      <c r="X13" s="69">
        <f>IF(W13=0,0,IF(IF((S13&gt;0)*(IF(T13="",-1,T13)&gt;=1)*(IF(T13="",-1,T13)&lt;=3),IF(C13="peso_corporal",IF(ISNUMBER(E13),E13,0)+R13,R13)*S13*1000+R13,0)=W13,5,IF(IF((P13&gt;0)*(IF(Q13="",-1,Q13)&gt;=1)*(IF(Q13="",-1,Q13)&lt;=3),IF(C13="peso_corporal",IF(ISNUMBER(E13),E13,0)+O13,O13)*P13*1000+O13,0)=W13,4,IF(IF((M13&gt;0)*(IF(N13="",-1,N13)&gt;=1)*(IF(N13="",-1,N13)&lt;=3),IF(C13="peso_corporal",IF(ISNUMBER(E13),E13,0)+L13,L13)*M13*1000+L13,0)=W13,3,IF(IF((J13&gt;0)*(IF(K13="",-1,K13)&gt;=1)*(IF(K13="",-1,K13)&lt;=3),IF(C13="peso_corporal",IF(ISNUMBER(E13),E13,0)+I13,I13)*J13*1000+I13,0)=W13,2,IF(IF((G13&gt;0)*(IF(H13="",-1,H13)&gt;=1)*(IF(H13="",-1,H13)&lt;=3),IF(C13="peso_corporal",IF(ISNUMBER(E13),E13,0)+F13,F13)*G13*1000+F13,0)=W13,1,0))))))</f>
        <v>0</v>
      </c>
      <c r="Y13" s="69">
        <f>MAX(IF((G13&gt;0)*(IF(H13="",-1,H13)=0)*(1-(IF(H13="",-1,H13)&gt;=1)*(IF(H13="",-1,H13)&lt;=3)),IF(C13="peso_corporal",IF(ISNUMBER(E13),E13,0)+F13,F13)*G13*1000+F13,0),IF((J13&gt;0)*(IF(K13="",-1,K13)=0)*(1-(IF(K13="",-1,K13)&gt;=1)*(IF(K13="",-1,K13)&lt;=3)),IF(C13="peso_corporal",IF(ISNUMBER(E13),E13,0)+I13,I13)*J13*1000+I13,0),IF((M13&gt;0)*(IF(N13="",-1,N13)=0)*(1-(IF(N13="",-1,N13)&gt;=1)*(IF(N13="",-1,N13)&lt;=3)),IF(C13="peso_corporal",IF(ISNUMBER(E13),E13,0)+L13,L13)*M13*1000+L13,0),IF((P13&gt;0)*(IF(Q13="",-1,Q13)=0)*(1-(IF(Q13="",-1,Q13)&gt;=1)*(IF(Q13="",-1,Q13)&lt;=3)),IF(C13="peso_corporal",IF(ISNUMBER(E13),E13,0)+O13,O13)*P13*1000+O13,0),IF((S13&gt;0)*(IF(T13="",-1,T13)=0)*(1-(IF(T13="",-1,T13)&gt;=1)*(IF(T13="",-1,T13)&lt;=3)),IF(C13="peso_corporal",IF(ISNUMBER(E13),E13,0)+R13,R13)*S13*1000+R13,0))</f>
        <v>0</v>
      </c>
      <c r="Z13" s="69">
        <f>IF(Y13=0,0,IF(IF((S13&gt;0)*(IF(T13="",-1,T13)=0)*(1-(IF(T13="",-1,T13)&gt;=1)*(IF(T13="",-1,T13)&lt;=3)),IF(C13="peso_corporal",IF(ISNUMBER(E13),E13,0)+R13,R13)*S13*1000+R13,0)=Y13,5,IF(IF((P13&gt;0)*(IF(Q13="",-1,Q13)=0)*(1-(IF(Q13="",-1,Q13)&gt;=1)*(IF(Q13="",-1,Q13)&lt;=3)),IF(C13="peso_corporal",IF(ISNUMBER(E13),E13,0)+O13,O13)*P13*1000+O13,0)=Y13,4,IF(IF((M13&gt;0)*(IF(N13="",-1,N13)=0)*(1-(IF(N13="",-1,N13)&gt;=1)*(IF(N13="",-1,N13)&lt;=3)),IF(C13="peso_corporal",IF(ISNUMBER(E13),E13,0)+L13,L13)*M13*1000+L13,0)=Y13,3,IF(IF((J13&gt;0)*(IF(K13="",-1,K13)=0)*(1-(IF(K13="",-1,K13)&gt;=1)*(IF(K13="",-1,K13)&lt;=3)),IF(C13="peso_corporal",IF(ISNUMBER(E13),E13,0)+I13,I13)*J13*1000+I13,0)=Y13,2,IF(IF((G13&gt;0)*(IF(H13="",-1,H13)=0)*(1-(IF(H13="",-1,H13)&gt;=1)*(IF(H13="",-1,H13)&lt;=3)),IF(C13="peso_corporal",IF(ISNUMBER(E13),E13,0)+F13,F13)*G13*1000+F13,0)=Y13,1,0))))))</f>
        <v>0</v>
      </c>
      <c r="AA13" s="69">
        <f>MAX(IF((G13&gt;=6)*(1-(IF(H13="",-1,H13)&gt;=1)*(IF(H13="",-1,H13)&lt;=3))*(1-(IF(H13="",-1,H13)=0)),IF(C13="peso_corporal",IF(ISNUMBER(E13),E13,0)+F13,F13)*(30+G13)*100+F13,0),IF((J13&gt;=6)*(1-(IF(K13="",-1,K13)&gt;=1)*(IF(K13="",-1,K13)&lt;=3))*(1-(IF(K13="",-1,K13)=0)),IF(C13="peso_corporal",IF(ISNUMBER(E13),E13,0)+I13,I13)*(30+J13)*100+I13,0),IF((M13&gt;=6)*(1-(IF(N13="",-1,N13)&gt;=1)*(IF(N13="",-1,N13)&lt;=3))*(1-(IF(N13="",-1,N13)=0)),IF(C13="peso_corporal",IF(ISNUMBER(E13),E13,0)+L13,L13)*(30+M13)*100+L13,0),IF((P13&gt;=6)*(1-(IF(Q13="",-1,Q13)&gt;=1)*(IF(Q13="",-1,Q13)&lt;=3))*(1-(IF(Q13="",-1,Q13)=0)),IF(C13="peso_corporal",IF(ISNUMBER(E13),E13,0)+O13,O13)*(30+P13)*100+O13,0),IF((S13&gt;=6)*(1-(IF(T13="",-1,T13)&gt;=1)*(IF(T13="",-1,T13)&lt;=3))*(1-(IF(T13="",-1,T13)=0)),IF(C13="peso_corporal",IF(ISNUMBER(E13),E13,0)+R13,R13)*(30+S13)*100+R13,0))</f>
        <v>0</v>
      </c>
      <c r="AB13" s="69">
        <f>IF(AA13=0,0,IF(IF((S13&gt;=6)*(1-(IF(T13="",-1,T13)&gt;=1)*(IF(T13="",-1,T13)&lt;=3))*(1-(IF(T13="",-1,T13)=0)),IF(C13="peso_corporal",IF(ISNUMBER(E13),E13,0)+R13,R13)*(30+S13)*100+R13,0)=AA13,5,IF(IF((P13&gt;=6)*(1-(IF(Q13="",-1,Q13)&gt;=1)*(IF(Q13="",-1,Q13)&lt;=3))*(1-(IF(Q13="",-1,Q13)=0)),IF(C13="peso_corporal",IF(ISNUMBER(E13),E13,0)+O13,O13)*(30+P13)*100+O13,0)=AA13,4,IF(IF((M13&gt;=6)*(1-(IF(N13="",-1,N13)&gt;=1)*(IF(N13="",-1,N13)&lt;=3))*(1-(IF(N13="",-1,N13)=0)),IF(C13="peso_corporal",IF(ISNUMBER(E13),E13,0)+L13,L13)*(30+M13)*100+L13,0)=AA13,3,IF(IF((J13&gt;=6)*(1-(IF(K13="",-1,K13)&gt;=1)*(IF(K13="",-1,K13)&lt;=3))*(1-(IF(K13="",-1,K13)=0)),IF(C13="peso_corporal",IF(ISNUMBER(E13),E13,0)+I13,I13)*(30+J13)*100+I13,0)=AA13,2,IF(IF((G13&gt;=6)*(1-(IF(H13="",-1,H13)&gt;=1)*(IF(H13="",-1,H13)&lt;=3))*(1-(IF(H13="",-1,H13)=0)),IF(C13="peso_corporal",IF(ISNUMBER(E13),E13,0)+F13,F13)*(30+G13)*100+F13,0)=AA13,1,0))))))</f>
        <v>0</v>
      </c>
      <c r="AC13" s="69" t="str">
        <f>IF(X13&gt;0,"A"&amp;X13,IF(Z13&gt;0,"B"&amp;Z13,IF(AB13&gt;0,"C"&amp;AB13,"")))</f>
        <v/>
      </c>
    </row>
    <row r="14" spans="1:29" ht="20.100000000000001" customHeight="1">
      <c r="A14" s="14" t="s">
        <v>92</v>
      </c>
      <c r="B14" s="15" t="s">
        <v>93</v>
      </c>
      <c r="C14" s="16" t="str">
        <f>IFERROR(INDEX(EJERCICIOS!$D$3:$D$75,MATCH(A14&amp;"|"&amp;B14,EJERCICIOS!$G$3:$G$75,0)),"--")</f>
        <v>--</v>
      </c>
      <c r="D14" s="17">
        <v>3</v>
      </c>
      <c r="E14" s="18">
        <f>IFERROR(LOOKUP(2,1/(MEDIDAS_Y_PESO!$B$3:$B$3&lt;&gt;""),MEDIDAS_Y_PESO!$B$3:$B$3),"--")</f>
        <v>80</v>
      </c>
      <c r="F14" s="19"/>
      <c r="G14" s="20"/>
      <c r="H14" s="21"/>
      <c r="I14" s="19"/>
      <c r="J14" s="20"/>
      <c r="K14" s="21"/>
      <c r="L14" s="19"/>
      <c r="M14" s="20"/>
      <c r="N14" s="21"/>
      <c r="O14" s="19"/>
      <c r="P14" s="20"/>
      <c r="Q14" s="21"/>
      <c r="R14" s="19"/>
      <c r="S14" s="20"/>
      <c r="T14" s="21"/>
      <c r="U14" s="22" t="str">
        <f>IFERROR(IF(IF(X14&gt;0,X14,IF(Z14&gt;0,Z14,IF(AB14&gt;0,AB14,0)))=0,"--",ROUND(CHOOSE(IF(X14&gt;0,X14,IF(Z14&gt;0,Z14,IF(AB14&gt;0,AB14,0))),IF(C14="peso_corporal",IF(ISNUMBER(E14),E14,0)+F14,F14)*(1+G14/30),IF(C14="peso_corporal",IF(ISNUMBER(E14),E14,0)+I14,I14)*(1+J14/30),IF(C14="peso_corporal",IF(ISNUMBER(E14),E14,0)+L14,L14)*(1+M14/30),IF(C14="peso_corporal",IF(ISNUMBER(E14),E14,0)+O14,O14)*(1+P14/30),IF(C14="peso_corporal",IF(ISNUMBER(E14),E14,0)+R14,R14)*(1+S14/30)),1)),"--")</f>
        <v>--</v>
      </c>
      <c r="V14" s="23" t="str">
        <f>IF(SUGERENCIAS!N16="SIN","Sin datos anteriores",IF(SUGERENCIAS!N16="SUBIR_F","^ SUBIR FUERTE | Kg:"&amp;ROUND(SUGERENCIAS!K16,1)&amp;" R:"&amp;ROUND(SUGERENCIAS!L16,0)&amp;" RIR:"&amp;ROUND(SUGERENCIAS!M16,0),IF(SUGERENCIAS!N16="SUBIR_E","^ SUBIR (Est.) | Kg:"&amp;ROUND(SUGERENCIAS!K16,1)&amp;" R:"&amp;ROUND(SUGERENCIAS!L16,0)&amp;" RIR:"&amp;ROUND(SUGERENCIAS!M16,0),IF(SUGERENCIAS!N16="SUBIR","^ SUBIR | Kg:"&amp;ROUND(SUGERENCIAS!K16,1)&amp;" R:"&amp;ROUND(SUGERENCIAS!L16,0)&amp;" RIR:"&amp;ROUND(SUGERENCIAS!M16,0),IF(SUGERENCIAS!N16="BAJAR","v BAJAR | Kg:"&amp;ROUND(SUGERENCIAS!K16,1)&amp;" R:"&amp;ROUND(SUGERENCIAS!L16,0)&amp;" RIR:"&amp;ROUND(SUGERENCIAS!M16,0),"= MANT | Kg:"&amp;ROUND(SUGERENCIAS!K16,1)&amp;" R:"&amp;ROUND(SUGERENCIAS!L16,0)&amp;" RIR:"&amp;ROUND(SUGERENCIAS!M16,0))))))</f>
        <v>Sin datos anteriores</v>
      </c>
      <c r="W14" s="69">
        <f>MAX(IF((G14&gt;0)*(IF(H14="",-1,H14)&gt;=1)*(IF(H14="",-1,H14)&lt;=3),IF(C14="peso_corporal",IF(ISNUMBER(E14),E14,0)+F14,F14)*G14*1000+F14,0),IF((J14&gt;0)*(IF(K14="",-1,K14)&gt;=1)*(IF(K14="",-1,K14)&lt;=3),IF(C14="peso_corporal",IF(ISNUMBER(E14),E14,0)+I14,I14)*J14*1000+I14,0),IF((M14&gt;0)*(IF(N14="",-1,N14)&gt;=1)*(IF(N14="",-1,N14)&lt;=3),IF(C14="peso_corporal",IF(ISNUMBER(E14),E14,0)+L14,L14)*M14*1000+L14,0),IF((P14&gt;0)*(IF(Q14="",-1,Q14)&gt;=1)*(IF(Q14="",-1,Q14)&lt;=3),IF(C14="peso_corporal",IF(ISNUMBER(E14),E14,0)+O14,O14)*P14*1000+O14,0),IF((S14&gt;0)*(IF(T14="",-1,T14)&gt;=1)*(IF(T14="",-1,T14)&lt;=3),IF(C14="peso_corporal",IF(ISNUMBER(E14),E14,0)+R14,R14)*S14*1000+R14,0))</f>
        <v>0</v>
      </c>
      <c r="X14" s="69">
        <f>IF(W14=0,0,IF(IF((S14&gt;0)*(IF(T14="",-1,T14)&gt;=1)*(IF(T14="",-1,T14)&lt;=3),IF(C14="peso_corporal",IF(ISNUMBER(E14),E14,0)+R14,R14)*S14*1000+R14,0)=W14,5,IF(IF((P14&gt;0)*(IF(Q14="",-1,Q14)&gt;=1)*(IF(Q14="",-1,Q14)&lt;=3),IF(C14="peso_corporal",IF(ISNUMBER(E14),E14,0)+O14,O14)*P14*1000+O14,0)=W14,4,IF(IF((M14&gt;0)*(IF(N14="",-1,N14)&gt;=1)*(IF(N14="",-1,N14)&lt;=3),IF(C14="peso_corporal",IF(ISNUMBER(E14),E14,0)+L14,L14)*M14*1000+L14,0)=W14,3,IF(IF((J14&gt;0)*(IF(K14="",-1,K14)&gt;=1)*(IF(K14="",-1,K14)&lt;=3),IF(C14="peso_corporal",IF(ISNUMBER(E14),E14,0)+I14,I14)*J14*1000+I14,0)=W14,2,IF(IF((G14&gt;0)*(IF(H14="",-1,H14)&gt;=1)*(IF(H14="",-1,H14)&lt;=3),IF(C14="peso_corporal",IF(ISNUMBER(E14),E14,0)+F14,F14)*G14*1000+F14,0)=W14,1,0))))))</f>
        <v>0</v>
      </c>
      <c r="Y14" s="69">
        <f>MAX(IF((G14&gt;0)*(IF(H14="",-1,H14)=0)*(1-(IF(H14="",-1,H14)&gt;=1)*(IF(H14="",-1,H14)&lt;=3)),IF(C14="peso_corporal",IF(ISNUMBER(E14),E14,0)+F14,F14)*G14*1000+F14,0),IF((J14&gt;0)*(IF(K14="",-1,K14)=0)*(1-(IF(K14="",-1,K14)&gt;=1)*(IF(K14="",-1,K14)&lt;=3)),IF(C14="peso_corporal",IF(ISNUMBER(E14),E14,0)+I14,I14)*J14*1000+I14,0),IF((M14&gt;0)*(IF(N14="",-1,N14)=0)*(1-(IF(N14="",-1,N14)&gt;=1)*(IF(N14="",-1,N14)&lt;=3)),IF(C14="peso_corporal",IF(ISNUMBER(E14),E14,0)+L14,L14)*M14*1000+L14,0),IF((P14&gt;0)*(IF(Q14="",-1,Q14)=0)*(1-(IF(Q14="",-1,Q14)&gt;=1)*(IF(Q14="",-1,Q14)&lt;=3)),IF(C14="peso_corporal",IF(ISNUMBER(E14),E14,0)+O14,O14)*P14*1000+O14,0),IF((S14&gt;0)*(IF(T14="",-1,T14)=0)*(1-(IF(T14="",-1,T14)&gt;=1)*(IF(T14="",-1,T14)&lt;=3)),IF(C14="peso_corporal",IF(ISNUMBER(E14),E14,0)+R14,R14)*S14*1000+R14,0))</f>
        <v>0</v>
      </c>
      <c r="Z14" s="69">
        <f>IF(Y14=0,0,IF(IF((S14&gt;0)*(IF(T14="",-1,T14)=0)*(1-(IF(T14="",-1,T14)&gt;=1)*(IF(T14="",-1,T14)&lt;=3)),IF(C14="peso_corporal",IF(ISNUMBER(E14),E14,0)+R14,R14)*S14*1000+R14,0)=Y14,5,IF(IF((P14&gt;0)*(IF(Q14="",-1,Q14)=0)*(1-(IF(Q14="",-1,Q14)&gt;=1)*(IF(Q14="",-1,Q14)&lt;=3)),IF(C14="peso_corporal",IF(ISNUMBER(E14),E14,0)+O14,O14)*P14*1000+O14,0)=Y14,4,IF(IF((M14&gt;0)*(IF(N14="",-1,N14)=0)*(1-(IF(N14="",-1,N14)&gt;=1)*(IF(N14="",-1,N14)&lt;=3)),IF(C14="peso_corporal",IF(ISNUMBER(E14),E14,0)+L14,L14)*M14*1000+L14,0)=Y14,3,IF(IF((J14&gt;0)*(IF(K14="",-1,K14)=0)*(1-(IF(K14="",-1,K14)&gt;=1)*(IF(K14="",-1,K14)&lt;=3)),IF(C14="peso_corporal",IF(ISNUMBER(E14),E14,0)+I14,I14)*J14*1000+I14,0)=Y14,2,IF(IF((G14&gt;0)*(IF(H14="",-1,H14)=0)*(1-(IF(H14="",-1,H14)&gt;=1)*(IF(H14="",-1,H14)&lt;=3)),IF(C14="peso_corporal",IF(ISNUMBER(E14),E14,0)+F14,F14)*G14*1000+F14,0)=Y14,1,0))))))</f>
        <v>0</v>
      </c>
      <c r="AA14" s="69">
        <f>MAX(IF((G14&gt;=6)*(1-(IF(H14="",-1,H14)&gt;=1)*(IF(H14="",-1,H14)&lt;=3))*(1-(IF(H14="",-1,H14)=0)),IF(C14="peso_corporal",IF(ISNUMBER(E14),E14,0)+F14,F14)*(30+G14)*100+F14,0),IF((J14&gt;=6)*(1-(IF(K14="",-1,K14)&gt;=1)*(IF(K14="",-1,K14)&lt;=3))*(1-(IF(K14="",-1,K14)=0)),IF(C14="peso_corporal",IF(ISNUMBER(E14),E14,0)+I14,I14)*(30+J14)*100+I14,0),IF((M14&gt;=6)*(1-(IF(N14="",-1,N14)&gt;=1)*(IF(N14="",-1,N14)&lt;=3))*(1-(IF(N14="",-1,N14)=0)),IF(C14="peso_corporal",IF(ISNUMBER(E14),E14,0)+L14,L14)*(30+M14)*100+L14,0),IF((P14&gt;=6)*(1-(IF(Q14="",-1,Q14)&gt;=1)*(IF(Q14="",-1,Q14)&lt;=3))*(1-(IF(Q14="",-1,Q14)=0)),IF(C14="peso_corporal",IF(ISNUMBER(E14),E14,0)+O14,O14)*(30+P14)*100+O14,0),IF((S14&gt;=6)*(1-(IF(T14="",-1,T14)&gt;=1)*(IF(T14="",-1,T14)&lt;=3))*(1-(IF(T14="",-1,T14)=0)),IF(C14="peso_corporal",IF(ISNUMBER(E14),E14,0)+R14,R14)*(30+S14)*100+R14,0))</f>
        <v>0</v>
      </c>
      <c r="AB14" s="69">
        <f>IF(AA14=0,0,IF(IF((S14&gt;=6)*(1-(IF(T14="",-1,T14)&gt;=1)*(IF(T14="",-1,T14)&lt;=3))*(1-(IF(T14="",-1,T14)=0)),IF(C14="peso_corporal",IF(ISNUMBER(E14),E14,0)+R14,R14)*(30+S14)*100+R14,0)=AA14,5,IF(IF((P14&gt;=6)*(1-(IF(Q14="",-1,Q14)&gt;=1)*(IF(Q14="",-1,Q14)&lt;=3))*(1-(IF(Q14="",-1,Q14)=0)),IF(C14="peso_corporal",IF(ISNUMBER(E14),E14,0)+O14,O14)*(30+P14)*100+O14,0)=AA14,4,IF(IF((M14&gt;=6)*(1-(IF(N14="",-1,N14)&gt;=1)*(IF(N14="",-1,N14)&lt;=3))*(1-(IF(N14="",-1,N14)=0)),IF(C14="peso_corporal",IF(ISNUMBER(E14),E14,0)+L14,L14)*(30+M14)*100+L14,0)=AA14,3,IF(IF((J14&gt;=6)*(1-(IF(K14="",-1,K14)&gt;=1)*(IF(K14="",-1,K14)&lt;=3))*(1-(IF(K14="",-1,K14)=0)),IF(C14="peso_corporal",IF(ISNUMBER(E14),E14,0)+I14,I14)*(30+J14)*100+I14,0)=AA14,2,IF(IF((G14&gt;=6)*(1-(IF(H14="",-1,H14)&gt;=1)*(IF(H14="",-1,H14)&lt;=3))*(1-(IF(H14="",-1,H14)=0)),IF(C14="peso_corporal",IF(ISNUMBER(E14),E14,0)+F14,F14)*(30+G14)*100+F14,0)=AA14,1,0))))))</f>
        <v>0</v>
      </c>
      <c r="AC14" s="69" t="str">
        <f>IF(X14&gt;0,"A"&amp;X14,IF(Z14&gt;0,"B"&amp;Z14,IF(AB14&gt;0,"C"&amp;AB14,"")))</f>
        <v/>
      </c>
    </row>
    <row r="15" spans="1:29" ht="11.1" customHeight="1">
      <c r="A15" s="84" t="s">
        <v>94</v>
      </c>
      <c r="B15" s="73"/>
      <c r="C15" s="73"/>
      <c r="D15" s="73"/>
      <c r="E15" s="73"/>
      <c r="F15" s="73"/>
      <c r="G15" s="73"/>
      <c r="H15" s="73"/>
      <c r="I15" s="73"/>
      <c r="J15" s="73"/>
      <c r="K15" s="73"/>
      <c r="L15" s="73"/>
      <c r="M15" s="73"/>
      <c r="N15" s="73"/>
      <c r="O15" s="73"/>
      <c r="P15" s="73"/>
      <c r="Q15" s="73"/>
      <c r="R15" s="73"/>
      <c r="S15" s="73"/>
      <c r="T15" s="73"/>
      <c r="U15" s="73"/>
      <c r="V15" s="73"/>
      <c r="W15" s="69"/>
      <c r="X15" s="69"/>
      <c r="Y15" s="69"/>
      <c r="Z15" s="69"/>
      <c r="AA15" s="69"/>
      <c r="AB15" s="69"/>
      <c r="AC15" s="69"/>
    </row>
    <row r="16" spans="1:29" ht="20.100000000000001" customHeight="1">
      <c r="A16" s="14" t="s">
        <v>95</v>
      </c>
      <c r="B16" s="15" t="s">
        <v>96</v>
      </c>
      <c r="C16" s="16" t="str">
        <f>IFERROR(INDEX(EJERCICIOS!$D$3:$D$75,MATCH(A16&amp;"|"&amp;B16,EJERCICIOS!$G$3:$G$75,0)),"--")</f>
        <v>polea</v>
      </c>
      <c r="D16" s="17">
        <v>3</v>
      </c>
      <c r="E16" s="18">
        <f>IFERROR(LOOKUP(2,1/(MEDIDAS_Y_PESO!$B$3:$B$3&lt;&gt;""),MEDIDAS_Y_PESO!$B$3:$B$3),"--")</f>
        <v>80</v>
      </c>
      <c r="F16" s="19"/>
      <c r="G16" s="20"/>
      <c r="H16" s="21"/>
      <c r="I16" s="19"/>
      <c r="J16" s="20"/>
      <c r="K16" s="21"/>
      <c r="L16" s="19"/>
      <c r="M16" s="20"/>
      <c r="N16" s="21"/>
      <c r="O16" s="19"/>
      <c r="P16" s="20"/>
      <c r="Q16" s="21"/>
      <c r="R16" s="19"/>
      <c r="S16" s="20"/>
      <c r="T16" s="21"/>
      <c r="U16" s="22" t="str">
        <f>IFERROR(IF(IF(X16&gt;0,X16,IF(Z16&gt;0,Z16,IF(AB16&gt;0,AB16,0)))=0,"--",ROUND(CHOOSE(IF(X16&gt;0,X16,IF(Z16&gt;0,Z16,IF(AB16&gt;0,AB16,0))),IF(C16="peso_corporal",IF(ISNUMBER(E16),E16,0)+F16,F16)*(1+G16/30),IF(C16="peso_corporal",IF(ISNUMBER(E16),E16,0)+I16,I16)*(1+J16/30),IF(C16="peso_corporal",IF(ISNUMBER(E16),E16,0)+L16,L16)*(1+M16/30),IF(C16="peso_corporal",IF(ISNUMBER(E16),E16,0)+O16,O16)*(1+P16/30),IF(C16="peso_corporal",IF(ISNUMBER(E16),E16,0)+R16,R16)*(1+S16/30)),1)),"--")</f>
        <v>--</v>
      </c>
      <c r="V16" s="23" t="str">
        <f>IF(SUGERENCIAS!N17="SIN","Sin datos anteriores",IF(SUGERENCIAS!N17="SUBIR_F","^ SUBIR FUERTE | Kg:"&amp;ROUND(SUGERENCIAS!K17,1)&amp;" R:"&amp;ROUND(SUGERENCIAS!L17,0)&amp;" RIR:"&amp;ROUND(SUGERENCIAS!M17,0),IF(SUGERENCIAS!N17="SUBIR_E","^ SUBIR (Est.) | Kg:"&amp;ROUND(SUGERENCIAS!K17,1)&amp;" R:"&amp;ROUND(SUGERENCIAS!L17,0)&amp;" RIR:"&amp;ROUND(SUGERENCIAS!M17,0),IF(SUGERENCIAS!N17="SUBIR","^ SUBIR | Kg:"&amp;ROUND(SUGERENCIAS!K17,1)&amp;" R:"&amp;ROUND(SUGERENCIAS!L17,0)&amp;" RIR:"&amp;ROUND(SUGERENCIAS!M17,0),IF(SUGERENCIAS!N17="BAJAR","v BAJAR | Kg:"&amp;ROUND(SUGERENCIAS!K17,1)&amp;" R:"&amp;ROUND(SUGERENCIAS!L17,0)&amp;" RIR:"&amp;ROUND(SUGERENCIAS!M17,0),"= MANT | Kg:"&amp;ROUND(SUGERENCIAS!K17,1)&amp;" R:"&amp;ROUND(SUGERENCIAS!L17,0)&amp;" RIR:"&amp;ROUND(SUGERENCIAS!M17,0))))))</f>
        <v>Sin datos anteriores</v>
      </c>
      <c r="W16" s="69">
        <f>MAX(IF((G16&gt;0)*(IF(H16="",-1,H16)&gt;=1)*(IF(H16="",-1,H16)&lt;=3),IF(C16="peso_corporal",IF(ISNUMBER(E16),E16,0)+F16,F16)*G16*1000+F16,0),IF((J16&gt;0)*(IF(K16="",-1,K16)&gt;=1)*(IF(K16="",-1,K16)&lt;=3),IF(C16="peso_corporal",IF(ISNUMBER(E16),E16,0)+I16,I16)*J16*1000+I16,0),IF((M16&gt;0)*(IF(N16="",-1,N16)&gt;=1)*(IF(N16="",-1,N16)&lt;=3),IF(C16="peso_corporal",IF(ISNUMBER(E16),E16,0)+L16,L16)*M16*1000+L16,0),IF((P16&gt;0)*(IF(Q16="",-1,Q16)&gt;=1)*(IF(Q16="",-1,Q16)&lt;=3),IF(C16="peso_corporal",IF(ISNUMBER(E16),E16,0)+O16,O16)*P16*1000+O16,0),IF((S16&gt;0)*(IF(T16="",-1,T16)&gt;=1)*(IF(T16="",-1,T16)&lt;=3),IF(C16="peso_corporal",IF(ISNUMBER(E16),E16,0)+R16,R16)*S16*1000+R16,0))</f>
        <v>0</v>
      </c>
      <c r="X16" s="69">
        <f>IF(W16=0,0,IF(IF((S16&gt;0)*(IF(T16="",-1,T16)&gt;=1)*(IF(T16="",-1,T16)&lt;=3),IF(C16="peso_corporal",IF(ISNUMBER(E16),E16,0)+R16,R16)*S16*1000+R16,0)=W16,5,IF(IF((P16&gt;0)*(IF(Q16="",-1,Q16)&gt;=1)*(IF(Q16="",-1,Q16)&lt;=3),IF(C16="peso_corporal",IF(ISNUMBER(E16),E16,0)+O16,O16)*P16*1000+O16,0)=W16,4,IF(IF((M16&gt;0)*(IF(N16="",-1,N16)&gt;=1)*(IF(N16="",-1,N16)&lt;=3),IF(C16="peso_corporal",IF(ISNUMBER(E16),E16,0)+L16,L16)*M16*1000+L16,0)=W16,3,IF(IF((J16&gt;0)*(IF(K16="",-1,K16)&gt;=1)*(IF(K16="",-1,K16)&lt;=3),IF(C16="peso_corporal",IF(ISNUMBER(E16),E16,0)+I16,I16)*J16*1000+I16,0)=W16,2,IF(IF((G16&gt;0)*(IF(H16="",-1,H16)&gt;=1)*(IF(H16="",-1,H16)&lt;=3),IF(C16="peso_corporal",IF(ISNUMBER(E16),E16,0)+F16,F16)*G16*1000+F16,0)=W16,1,0))))))</f>
        <v>0</v>
      </c>
      <c r="Y16" s="69">
        <f>MAX(IF((G16&gt;0)*(IF(H16="",-1,H16)=0)*(1-(IF(H16="",-1,H16)&gt;=1)*(IF(H16="",-1,H16)&lt;=3)),IF(C16="peso_corporal",IF(ISNUMBER(E16),E16,0)+F16,F16)*G16*1000+F16,0),IF((J16&gt;0)*(IF(K16="",-1,K16)=0)*(1-(IF(K16="",-1,K16)&gt;=1)*(IF(K16="",-1,K16)&lt;=3)),IF(C16="peso_corporal",IF(ISNUMBER(E16),E16,0)+I16,I16)*J16*1000+I16,0),IF((M16&gt;0)*(IF(N16="",-1,N16)=0)*(1-(IF(N16="",-1,N16)&gt;=1)*(IF(N16="",-1,N16)&lt;=3)),IF(C16="peso_corporal",IF(ISNUMBER(E16),E16,0)+L16,L16)*M16*1000+L16,0),IF((P16&gt;0)*(IF(Q16="",-1,Q16)=0)*(1-(IF(Q16="",-1,Q16)&gt;=1)*(IF(Q16="",-1,Q16)&lt;=3)),IF(C16="peso_corporal",IF(ISNUMBER(E16),E16,0)+O16,O16)*P16*1000+O16,0),IF((S16&gt;0)*(IF(T16="",-1,T16)=0)*(1-(IF(T16="",-1,T16)&gt;=1)*(IF(T16="",-1,T16)&lt;=3)),IF(C16="peso_corporal",IF(ISNUMBER(E16),E16,0)+R16,R16)*S16*1000+R16,0))</f>
        <v>0</v>
      </c>
      <c r="Z16" s="69">
        <f>IF(Y16=0,0,IF(IF((S16&gt;0)*(IF(T16="",-1,T16)=0)*(1-(IF(T16="",-1,T16)&gt;=1)*(IF(T16="",-1,T16)&lt;=3)),IF(C16="peso_corporal",IF(ISNUMBER(E16),E16,0)+R16,R16)*S16*1000+R16,0)=Y16,5,IF(IF((P16&gt;0)*(IF(Q16="",-1,Q16)=0)*(1-(IF(Q16="",-1,Q16)&gt;=1)*(IF(Q16="",-1,Q16)&lt;=3)),IF(C16="peso_corporal",IF(ISNUMBER(E16),E16,0)+O16,O16)*P16*1000+O16,0)=Y16,4,IF(IF((M16&gt;0)*(IF(N16="",-1,N16)=0)*(1-(IF(N16="",-1,N16)&gt;=1)*(IF(N16="",-1,N16)&lt;=3)),IF(C16="peso_corporal",IF(ISNUMBER(E16),E16,0)+L16,L16)*M16*1000+L16,0)=Y16,3,IF(IF((J16&gt;0)*(IF(K16="",-1,K16)=0)*(1-(IF(K16="",-1,K16)&gt;=1)*(IF(K16="",-1,K16)&lt;=3)),IF(C16="peso_corporal",IF(ISNUMBER(E16),E16,0)+I16,I16)*J16*1000+I16,0)=Y16,2,IF(IF((G16&gt;0)*(IF(H16="",-1,H16)=0)*(1-(IF(H16="",-1,H16)&gt;=1)*(IF(H16="",-1,H16)&lt;=3)),IF(C16="peso_corporal",IF(ISNUMBER(E16),E16,0)+F16,F16)*G16*1000+F16,0)=Y16,1,0))))))</f>
        <v>0</v>
      </c>
      <c r="AA16" s="69">
        <f>MAX(IF((G16&gt;=6)*(1-(IF(H16="",-1,H16)&gt;=1)*(IF(H16="",-1,H16)&lt;=3))*(1-(IF(H16="",-1,H16)=0)),IF(C16="peso_corporal",IF(ISNUMBER(E16),E16,0)+F16,F16)*(30+G16)*100+F16,0),IF((J16&gt;=6)*(1-(IF(K16="",-1,K16)&gt;=1)*(IF(K16="",-1,K16)&lt;=3))*(1-(IF(K16="",-1,K16)=0)),IF(C16="peso_corporal",IF(ISNUMBER(E16),E16,0)+I16,I16)*(30+J16)*100+I16,0),IF((M16&gt;=6)*(1-(IF(N16="",-1,N16)&gt;=1)*(IF(N16="",-1,N16)&lt;=3))*(1-(IF(N16="",-1,N16)=0)),IF(C16="peso_corporal",IF(ISNUMBER(E16),E16,0)+L16,L16)*(30+M16)*100+L16,0),IF((P16&gt;=6)*(1-(IF(Q16="",-1,Q16)&gt;=1)*(IF(Q16="",-1,Q16)&lt;=3))*(1-(IF(Q16="",-1,Q16)=0)),IF(C16="peso_corporal",IF(ISNUMBER(E16),E16,0)+O16,O16)*(30+P16)*100+O16,0),IF((S16&gt;=6)*(1-(IF(T16="",-1,T16)&gt;=1)*(IF(T16="",-1,T16)&lt;=3))*(1-(IF(T16="",-1,T16)=0)),IF(C16="peso_corporal",IF(ISNUMBER(E16),E16,0)+R16,R16)*(30+S16)*100+R16,0))</f>
        <v>0</v>
      </c>
      <c r="AB16" s="69">
        <f>IF(AA16=0,0,IF(IF((S16&gt;=6)*(1-(IF(T16="",-1,T16)&gt;=1)*(IF(T16="",-1,T16)&lt;=3))*(1-(IF(T16="",-1,T16)=0)),IF(C16="peso_corporal",IF(ISNUMBER(E16),E16,0)+R16,R16)*(30+S16)*100+R16,0)=AA16,5,IF(IF((P16&gt;=6)*(1-(IF(Q16="",-1,Q16)&gt;=1)*(IF(Q16="",-1,Q16)&lt;=3))*(1-(IF(Q16="",-1,Q16)=0)),IF(C16="peso_corporal",IF(ISNUMBER(E16),E16,0)+O16,O16)*(30+P16)*100+O16,0)=AA16,4,IF(IF((M16&gt;=6)*(1-(IF(N16="",-1,N16)&gt;=1)*(IF(N16="",-1,N16)&lt;=3))*(1-(IF(N16="",-1,N16)=0)),IF(C16="peso_corporal",IF(ISNUMBER(E16),E16,0)+L16,L16)*(30+M16)*100+L16,0)=AA16,3,IF(IF((J16&gt;=6)*(1-(IF(K16="",-1,K16)&gt;=1)*(IF(K16="",-1,K16)&lt;=3))*(1-(IF(K16="",-1,K16)=0)),IF(C16="peso_corporal",IF(ISNUMBER(E16),E16,0)+I16,I16)*(30+J16)*100+I16,0)=AA16,2,IF(IF((G16&gt;=6)*(1-(IF(H16="",-1,H16)&gt;=1)*(IF(H16="",-1,H16)&lt;=3))*(1-(IF(H16="",-1,H16)=0)),IF(C16="peso_corporal",IF(ISNUMBER(E16),E16,0)+F16,F16)*(30+G16)*100+F16,0)=AA16,1,0))))))</f>
        <v>0</v>
      </c>
      <c r="AC16" s="69" t="str">
        <f>IF(X16&gt;0,"A"&amp;X16,IF(Z16&gt;0,"B"&amp;Z16,IF(AB16&gt;0,"C"&amp;AB16,"")))</f>
        <v/>
      </c>
    </row>
    <row r="17" spans="1:29" ht="20.100000000000001" customHeight="1">
      <c r="A17" s="14" t="s">
        <v>95</v>
      </c>
      <c r="B17" s="15" t="s">
        <v>97</v>
      </c>
      <c r="C17" s="16" t="str">
        <f>IFERROR(INDEX(EJERCICIOS!$D$3:$D$75,MATCH(A17&amp;"|"&amp;B17,EJERCICIOS!$G$3:$G$75,0)),"--")</f>
        <v>polea</v>
      </c>
      <c r="D17" s="17">
        <v>3</v>
      </c>
      <c r="E17" s="18">
        <f>IFERROR(LOOKUP(2,1/(MEDIDAS_Y_PESO!$B$3:$B$3&lt;&gt;""),MEDIDAS_Y_PESO!$B$3:$B$3),"--")</f>
        <v>80</v>
      </c>
      <c r="F17" s="19"/>
      <c r="G17" s="20"/>
      <c r="H17" s="21"/>
      <c r="I17" s="19"/>
      <c r="J17" s="20"/>
      <c r="K17" s="21"/>
      <c r="L17" s="19"/>
      <c r="M17" s="20"/>
      <c r="N17" s="21"/>
      <c r="O17" s="19"/>
      <c r="P17" s="20"/>
      <c r="Q17" s="21"/>
      <c r="R17" s="19"/>
      <c r="S17" s="20"/>
      <c r="T17" s="21"/>
      <c r="U17" s="22" t="str">
        <f>IFERROR(IF(IF(X17&gt;0,X17,IF(Z17&gt;0,Z17,IF(AB17&gt;0,AB17,0)))=0,"--",ROUND(CHOOSE(IF(X17&gt;0,X17,IF(Z17&gt;0,Z17,IF(AB17&gt;0,AB17,0))),IF(C17="peso_corporal",IF(ISNUMBER(E17),E17,0)+F17,F17)*(1+G17/30),IF(C17="peso_corporal",IF(ISNUMBER(E17),E17,0)+I17,I17)*(1+J17/30),IF(C17="peso_corporal",IF(ISNUMBER(E17),E17,0)+L17,L17)*(1+M17/30),IF(C17="peso_corporal",IF(ISNUMBER(E17),E17,0)+O17,O17)*(1+P17/30),IF(C17="peso_corporal",IF(ISNUMBER(E17),E17,0)+R17,R17)*(1+S17/30)),1)),"--")</f>
        <v>--</v>
      </c>
      <c r="V17" s="23" t="str">
        <f>IF(SUGERENCIAS!N18="SIN","Sin datos anteriores",IF(SUGERENCIAS!N18="SUBIR_F","^ SUBIR FUERTE | Kg:"&amp;ROUND(SUGERENCIAS!K18,1)&amp;" R:"&amp;ROUND(SUGERENCIAS!L18,0)&amp;" RIR:"&amp;ROUND(SUGERENCIAS!M18,0),IF(SUGERENCIAS!N18="SUBIR_E","^ SUBIR (Est.) | Kg:"&amp;ROUND(SUGERENCIAS!K18,1)&amp;" R:"&amp;ROUND(SUGERENCIAS!L18,0)&amp;" RIR:"&amp;ROUND(SUGERENCIAS!M18,0),IF(SUGERENCIAS!N18="SUBIR","^ SUBIR | Kg:"&amp;ROUND(SUGERENCIAS!K18,1)&amp;" R:"&amp;ROUND(SUGERENCIAS!L18,0)&amp;" RIR:"&amp;ROUND(SUGERENCIAS!M18,0),IF(SUGERENCIAS!N18="BAJAR","v BAJAR | Kg:"&amp;ROUND(SUGERENCIAS!K18,1)&amp;" R:"&amp;ROUND(SUGERENCIAS!L18,0)&amp;" RIR:"&amp;ROUND(SUGERENCIAS!M18,0),"= MANT | Kg:"&amp;ROUND(SUGERENCIAS!K18,1)&amp;" R:"&amp;ROUND(SUGERENCIAS!L18,0)&amp;" RIR:"&amp;ROUND(SUGERENCIAS!M18,0))))))</f>
        <v>Sin datos anteriores</v>
      </c>
      <c r="W17" s="69">
        <f>MAX(IF((G17&gt;0)*(IF(H17="",-1,H17)&gt;=1)*(IF(H17="",-1,H17)&lt;=3),IF(C17="peso_corporal",IF(ISNUMBER(E17),E17,0)+F17,F17)*G17*1000+F17,0),IF((J17&gt;0)*(IF(K17="",-1,K17)&gt;=1)*(IF(K17="",-1,K17)&lt;=3),IF(C17="peso_corporal",IF(ISNUMBER(E17),E17,0)+I17,I17)*J17*1000+I17,0),IF((M17&gt;0)*(IF(N17="",-1,N17)&gt;=1)*(IF(N17="",-1,N17)&lt;=3),IF(C17="peso_corporal",IF(ISNUMBER(E17),E17,0)+L17,L17)*M17*1000+L17,0),IF((P17&gt;0)*(IF(Q17="",-1,Q17)&gt;=1)*(IF(Q17="",-1,Q17)&lt;=3),IF(C17="peso_corporal",IF(ISNUMBER(E17),E17,0)+O17,O17)*P17*1000+O17,0),IF((S17&gt;0)*(IF(T17="",-1,T17)&gt;=1)*(IF(T17="",-1,T17)&lt;=3),IF(C17="peso_corporal",IF(ISNUMBER(E17),E17,0)+R17,R17)*S17*1000+R17,0))</f>
        <v>0</v>
      </c>
      <c r="X17" s="69">
        <f>IF(W17=0,0,IF(IF((S17&gt;0)*(IF(T17="",-1,T17)&gt;=1)*(IF(T17="",-1,T17)&lt;=3),IF(C17="peso_corporal",IF(ISNUMBER(E17),E17,0)+R17,R17)*S17*1000+R17,0)=W17,5,IF(IF((P17&gt;0)*(IF(Q17="",-1,Q17)&gt;=1)*(IF(Q17="",-1,Q17)&lt;=3),IF(C17="peso_corporal",IF(ISNUMBER(E17),E17,0)+O17,O17)*P17*1000+O17,0)=W17,4,IF(IF((M17&gt;0)*(IF(N17="",-1,N17)&gt;=1)*(IF(N17="",-1,N17)&lt;=3),IF(C17="peso_corporal",IF(ISNUMBER(E17),E17,0)+L17,L17)*M17*1000+L17,0)=W17,3,IF(IF((J17&gt;0)*(IF(K17="",-1,K17)&gt;=1)*(IF(K17="",-1,K17)&lt;=3),IF(C17="peso_corporal",IF(ISNUMBER(E17),E17,0)+I17,I17)*J17*1000+I17,0)=W17,2,IF(IF((G17&gt;0)*(IF(H17="",-1,H17)&gt;=1)*(IF(H17="",-1,H17)&lt;=3),IF(C17="peso_corporal",IF(ISNUMBER(E17),E17,0)+F17,F17)*G17*1000+F17,0)=W17,1,0))))))</f>
        <v>0</v>
      </c>
      <c r="Y17" s="69">
        <f>MAX(IF((G17&gt;0)*(IF(H17="",-1,H17)=0)*(1-(IF(H17="",-1,H17)&gt;=1)*(IF(H17="",-1,H17)&lt;=3)),IF(C17="peso_corporal",IF(ISNUMBER(E17),E17,0)+F17,F17)*G17*1000+F17,0),IF((J17&gt;0)*(IF(K17="",-1,K17)=0)*(1-(IF(K17="",-1,K17)&gt;=1)*(IF(K17="",-1,K17)&lt;=3)),IF(C17="peso_corporal",IF(ISNUMBER(E17),E17,0)+I17,I17)*J17*1000+I17,0),IF((M17&gt;0)*(IF(N17="",-1,N17)=0)*(1-(IF(N17="",-1,N17)&gt;=1)*(IF(N17="",-1,N17)&lt;=3)),IF(C17="peso_corporal",IF(ISNUMBER(E17),E17,0)+L17,L17)*M17*1000+L17,0),IF((P17&gt;0)*(IF(Q17="",-1,Q17)=0)*(1-(IF(Q17="",-1,Q17)&gt;=1)*(IF(Q17="",-1,Q17)&lt;=3)),IF(C17="peso_corporal",IF(ISNUMBER(E17),E17,0)+O17,O17)*P17*1000+O17,0),IF((S17&gt;0)*(IF(T17="",-1,T17)=0)*(1-(IF(T17="",-1,T17)&gt;=1)*(IF(T17="",-1,T17)&lt;=3)),IF(C17="peso_corporal",IF(ISNUMBER(E17),E17,0)+R17,R17)*S17*1000+R17,0))</f>
        <v>0</v>
      </c>
      <c r="Z17" s="69">
        <f>IF(Y17=0,0,IF(IF((S17&gt;0)*(IF(T17="",-1,T17)=0)*(1-(IF(T17="",-1,T17)&gt;=1)*(IF(T17="",-1,T17)&lt;=3)),IF(C17="peso_corporal",IF(ISNUMBER(E17),E17,0)+R17,R17)*S17*1000+R17,0)=Y17,5,IF(IF((P17&gt;0)*(IF(Q17="",-1,Q17)=0)*(1-(IF(Q17="",-1,Q17)&gt;=1)*(IF(Q17="",-1,Q17)&lt;=3)),IF(C17="peso_corporal",IF(ISNUMBER(E17),E17,0)+O17,O17)*P17*1000+O17,0)=Y17,4,IF(IF((M17&gt;0)*(IF(N17="",-1,N17)=0)*(1-(IF(N17="",-1,N17)&gt;=1)*(IF(N17="",-1,N17)&lt;=3)),IF(C17="peso_corporal",IF(ISNUMBER(E17),E17,0)+L17,L17)*M17*1000+L17,0)=Y17,3,IF(IF((J17&gt;0)*(IF(K17="",-1,K17)=0)*(1-(IF(K17="",-1,K17)&gt;=1)*(IF(K17="",-1,K17)&lt;=3)),IF(C17="peso_corporal",IF(ISNUMBER(E17),E17,0)+I17,I17)*J17*1000+I17,0)=Y17,2,IF(IF((G17&gt;0)*(IF(H17="",-1,H17)=0)*(1-(IF(H17="",-1,H17)&gt;=1)*(IF(H17="",-1,H17)&lt;=3)),IF(C17="peso_corporal",IF(ISNUMBER(E17),E17,0)+F17,F17)*G17*1000+F17,0)=Y17,1,0))))))</f>
        <v>0</v>
      </c>
      <c r="AA17" s="69">
        <f>MAX(IF((G17&gt;=6)*(1-(IF(H17="",-1,H17)&gt;=1)*(IF(H17="",-1,H17)&lt;=3))*(1-(IF(H17="",-1,H17)=0)),IF(C17="peso_corporal",IF(ISNUMBER(E17),E17,0)+F17,F17)*(30+G17)*100+F17,0),IF((J17&gt;=6)*(1-(IF(K17="",-1,K17)&gt;=1)*(IF(K17="",-1,K17)&lt;=3))*(1-(IF(K17="",-1,K17)=0)),IF(C17="peso_corporal",IF(ISNUMBER(E17),E17,0)+I17,I17)*(30+J17)*100+I17,0),IF((M17&gt;=6)*(1-(IF(N17="",-1,N17)&gt;=1)*(IF(N17="",-1,N17)&lt;=3))*(1-(IF(N17="",-1,N17)=0)),IF(C17="peso_corporal",IF(ISNUMBER(E17),E17,0)+L17,L17)*(30+M17)*100+L17,0),IF((P17&gt;=6)*(1-(IF(Q17="",-1,Q17)&gt;=1)*(IF(Q17="",-1,Q17)&lt;=3))*(1-(IF(Q17="",-1,Q17)=0)),IF(C17="peso_corporal",IF(ISNUMBER(E17),E17,0)+O17,O17)*(30+P17)*100+O17,0),IF((S17&gt;=6)*(1-(IF(T17="",-1,T17)&gt;=1)*(IF(T17="",-1,T17)&lt;=3))*(1-(IF(T17="",-1,T17)=0)),IF(C17="peso_corporal",IF(ISNUMBER(E17),E17,0)+R17,R17)*(30+S17)*100+R17,0))</f>
        <v>0</v>
      </c>
      <c r="AB17" s="69">
        <f>IF(AA17=0,0,IF(IF((S17&gt;=6)*(1-(IF(T17="",-1,T17)&gt;=1)*(IF(T17="",-1,T17)&lt;=3))*(1-(IF(T17="",-1,T17)=0)),IF(C17="peso_corporal",IF(ISNUMBER(E17),E17,0)+R17,R17)*(30+S17)*100+R17,0)=AA17,5,IF(IF((P17&gt;=6)*(1-(IF(Q17="",-1,Q17)&gt;=1)*(IF(Q17="",-1,Q17)&lt;=3))*(1-(IF(Q17="",-1,Q17)=0)),IF(C17="peso_corporal",IF(ISNUMBER(E17),E17,0)+O17,O17)*(30+P17)*100+O17,0)=AA17,4,IF(IF((M17&gt;=6)*(1-(IF(N17="",-1,N17)&gt;=1)*(IF(N17="",-1,N17)&lt;=3))*(1-(IF(N17="",-1,N17)=0)),IF(C17="peso_corporal",IF(ISNUMBER(E17),E17,0)+L17,L17)*(30+M17)*100+L17,0)=AA17,3,IF(IF((J17&gt;=6)*(1-(IF(K17="",-1,K17)&gt;=1)*(IF(K17="",-1,K17)&lt;=3))*(1-(IF(K17="",-1,K17)=0)),IF(C17="peso_corporal",IF(ISNUMBER(E17),E17,0)+I17,I17)*(30+J17)*100+I17,0)=AA17,2,IF(IF((G17&gt;=6)*(1-(IF(H17="",-1,H17)&gt;=1)*(IF(H17="",-1,H17)&lt;=3))*(1-(IF(H17="",-1,H17)=0)),IF(C17="peso_corporal",IF(ISNUMBER(E17),E17,0)+F17,F17)*(30+G17)*100+F17,0)=AA17,1,0))))))</f>
        <v>0</v>
      </c>
      <c r="AC17" s="69" t="str">
        <f>IF(X17&gt;0,"A"&amp;X17,IF(Z17&gt;0,"B"&amp;Z17,IF(AB17&gt;0,"C"&amp;AB17,"")))</f>
        <v/>
      </c>
    </row>
    <row r="18" spans="1:29" ht="15" customHeight="1">
      <c r="A18" s="81" t="s">
        <v>53</v>
      </c>
      <c r="B18" s="73"/>
      <c r="C18" s="73"/>
      <c r="D18" s="73"/>
      <c r="E18" s="73"/>
      <c r="F18" s="73"/>
      <c r="G18" s="73"/>
      <c r="H18" s="73"/>
      <c r="I18" s="73"/>
      <c r="J18" s="73"/>
      <c r="K18" s="73"/>
      <c r="L18" s="73"/>
      <c r="M18" s="73"/>
      <c r="N18" s="73"/>
      <c r="O18" s="73"/>
      <c r="P18" s="73"/>
      <c r="Q18" s="73"/>
      <c r="R18" s="73"/>
      <c r="S18" s="73"/>
      <c r="T18" s="73"/>
      <c r="U18" s="73"/>
      <c r="V18" s="73"/>
      <c r="W18" s="69"/>
      <c r="X18" s="69"/>
      <c r="Y18" s="69"/>
      <c r="Z18" s="69"/>
      <c r="AA18" s="69"/>
      <c r="AB18" s="69"/>
      <c r="AC18" s="69"/>
    </row>
    <row r="19" spans="1:29" ht="20.100000000000001" customHeight="1">
      <c r="A19" s="14" t="s">
        <v>54</v>
      </c>
      <c r="B19" s="15" t="s">
        <v>67</v>
      </c>
      <c r="C19" s="16" t="str">
        <f>IFERROR(INDEX(EJERCICIOS!$D$3:$D$75,MATCH(A19&amp;"|"&amp;B19,EJERCICIOS!$G$3:$G$75,0)),"--")</f>
        <v>mancuerna</v>
      </c>
      <c r="D19" s="17">
        <v>3</v>
      </c>
      <c r="E19" s="18">
        <f>IFERROR(LOOKUP(2,1/(MEDIDAS_Y_PESO!$B$3:$B$3&lt;&gt;""),MEDIDAS_Y_PESO!$B$3:$B$3),"--")</f>
        <v>80</v>
      </c>
      <c r="F19" s="19"/>
      <c r="G19" s="20"/>
      <c r="H19" s="21"/>
      <c r="I19" s="19"/>
      <c r="J19" s="20"/>
      <c r="K19" s="21"/>
      <c r="L19" s="19"/>
      <c r="M19" s="20"/>
      <c r="N19" s="21"/>
      <c r="O19" s="19"/>
      <c r="P19" s="20"/>
      <c r="Q19" s="21"/>
      <c r="R19" s="19"/>
      <c r="S19" s="20"/>
      <c r="T19" s="21"/>
      <c r="U19" s="22" t="str">
        <f>IFERROR(IF(IF(X19&gt;0,X19,IF(Z19&gt;0,Z19,IF(AB19&gt;0,AB19,0)))=0,"--",ROUND(CHOOSE(IF(X19&gt;0,X19,IF(Z19&gt;0,Z19,IF(AB19&gt;0,AB19,0))),IF(C19="peso_corporal",IF(ISNUMBER(E19),E19,0)+F19,F19)*(1+G19/30),IF(C19="peso_corporal",IF(ISNUMBER(E19),E19,0)+I19,I19)*(1+J19/30),IF(C19="peso_corporal",IF(ISNUMBER(E19),E19,0)+L19,L19)*(1+M19/30),IF(C19="peso_corporal",IF(ISNUMBER(E19),E19,0)+O19,O19)*(1+P19/30),IF(C19="peso_corporal",IF(ISNUMBER(E19),E19,0)+R19,R19)*(1+S19/30)),1)),"--")</f>
        <v>--</v>
      </c>
      <c r="V19" s="23" t="str">
        <f>IF(SUGERENCIAS!N19="SIN","Sin datos anteriores",IF(SUGERENCIAS!N19="SUBIR_F","^ SUBIR FUERTE | Kg:"&amp;ROUND(SUGERENCIAS!K19,1)&amp;" R:"&amp;ROUND(SUGERENCIAS!L19,0)&amp;" RIR:"&amp;ROUND(SUGERENCIAS!M19,0),IF(SUGERENCIAS!N19="SUBIR_E","^ SUBIR (Est.) | Kg:"&amp;ROUND(SUGERENCIAS!K19,1)&amp;" R:"&amp;ROUND(SUGERENCIAS!L19,0)&amp;" RIR:"&amp;ROUND(SUGERENCIAS!M19,0),IF(SUGERENCIAS!N19="SUBIR","^ SUBIR | Kg:"&amp;ROUND(SUGERENCIAS!K19,1)&amp;" R:"&amp;ROUND(SUGERENCIAS!L19,0)&amp;" RIR:"&amp;ROUND(SUGERENCIAS!M19,0),IF(SUGERENCIAS!N19="BAJAR","v BAJAR | Kg:"&amp;ROUND(SUGERENCIAS!K19,1)&amp;" R:"&amp;ROUND(SUGERENCIAS!L19,0)&amp;" RIR:"&amp;ROUND(SUGERENCIAS!M19,0),"= MANT | Kg:"&amp;ROUND(SUGERENCIAS!K19,1)&amp;" R:"&amp;ROUND(SUGERENCIAS!L19,0)&amp;" RIR:"&amp;ROUND(SUGERENCIAS!M19,0))))))</f>
        <v>Sin datos anteriores</v>
      </c>
      <c r="W19" s="69">
        <f>MAX(IF((G19&gt;0)*(IF(H19="",-1,H19)&gt;=1)*(IF(H19="",-1,H19)&lt;=3),IF(C19="peso_corporal",IF(ISNUMBER(E19),E19,0)+F19,F19)*G19*1000+F19,0),IF((J19&gt;0)*(IF(K19="",-1,K19)&gt;=1)*(IF(K19="",-1,K19)&lt;=3),IF(C19="peso_corporal",IF(ISNUMBER(E19),E19,0)+I19,I19)*J19*1000+I19,0),IF((M19&gt;0)*(IF(N19="",-1,N19)&gt;=1)*(IF(N19="",-1,N19)&lt;=3),IF(C19="peso_corporal",IF(ISNUMBER(E19),E19,0)+L19,L19)*M19*1000+L19,0),IF((P19&gt;0)*(IF(Q19="",-1,Q19)&gt;=1)*(IF(Q19="",-1,Q19)&lt;=3),IF(C19="peso_corporal",IF(ISNUMBER(E19),E19,0)+O19,O19)*P19*1000+O19,0),IF((S19&gt;0)*(IF(T19="",-1,T19)&gt;=1)*(IF(T19="",-1,T19)&lt;=3),IF(C19="peso_corporal",IF(ISNUMBER(E19),E19,0)+R19,R19)*S19*1000+R19,0))</f>
        <v>0</v>
      </c>
      <c r="X19" s="69">
        <f>IF(W19=0,0,IF(IF((S19&gt;0)*(IF(T19="",-1,T19)&gt;=1)*(IF(T19="",-1,T19)&lt;=3),IF(C19="peso_corporal",IF(ISNUMBER(E19),E19,0)+R19,R19)*S19*1000+R19,0)=W19,5,IF(IF((P19&gt;0)*(IF(Q19="",-1,Q19)&gt;=1)*(IF(Q19="",-1,Q19)&lt;=3),IF(C19="peso_corporal",IF(ISNUMBER(E19),E19,0)+O19,O19)*P19*1000+O19,0)=W19,4,IF(IF((M19&gt;0)*(IF(N19="",-1,N19)&gt;=1)*(IF(N19="",-1,N19)&lt;=3),IF(C19="peso_corporal",IF(ISNUMBER(E19),E19,0)+L19,L19)*M19*1000+L19,0)=W19,3,IF(IF((J19&gt;0)*(IF(K19="",-1,K19)&gt;=1)*(IF(K19="",-1,K19)&lt;=3),IF(C19="peso_corporal",IF(ISNUMBER(E19),E19,0)+I19,I19)*J19*1000+I19,0)=W19,2,IF(IF((G19&gt;0)*(IF(H19="",-1,H19)&gt;=1)*(IF(H19="",-1,H19)&lt;=3),IF(C19="peso_corporal",IF(ISNUMBER(E19),E19,0)+F19,F19)*G19*1000+F19,0)=W19,1,0))))))</f>
        <v>0</v>
      </c>
      <c r="Y19" s="69">
        <f>MAX(IF((G19&gt;0)*(IF(H19="",-1,H19)=0)*(1-(IF(H19="",-1,H19)&gt;=1)*(IF(H19="",-1,H19)&lt;=3)),IF(C19="peso_corporal",IF(ISNUMBER(E19),E19,0)+F19,F19)*G19*1000+F19,0),IF((J19&gt;0)*(IF(K19="",-1,K19)=0)*(1-(IF(K19="",-1,K19)&gt;=1)*(IF(K19="",-1,K19)&lt;=3)),IF(C19="peso_corporal",IF(ISNUMBER(E19),E19,0)+I19,I19)*J19*1000+I19,0),IF((M19&gt;0)*(IF(N19="",-1,N19)=0)*(1-(IF(N19="",-1,N19)&gt;=1)*(IF(N19="",-1,N19)&lt;=3)),IF(C19="peso_corporal",IF(ISNUMBER(E19),E19,0)+L19,L19)*M19*1000+L19,0),IF((P19&gt;0)*(IF(Q19="",-1,Q19)=0)*(1-(IF(Q19="",-1,Q19)&gt;=1)*(IF(Q19="",-1,Q19)&lt;=3)),IF(C19="peso_corporal",IF(ISNUMBER(E19),E19,0)+O19,O19)*P19*1000+O19,0),IF((S19&gt;0)*(IF(T19="",-1,T19)=0)*(1-(IF(T19="",-1,T19)&gt;=1)*(IF(T19="",-1,T19)&lt;=3)),IF(C19="peso_corporal",IF(ISNUMBER(E19),E19,0)+R19,R19)*S19*1000+R19,0))</f>
        <v>0</v>
      </c>
      <c r="Z19" s="69">
        <f>IF(Y19=0,0,IF(IF((S19&gt;0)*(IF(T19="",-1,T19)=0)*(1-(IF(T19="",-1,T19)&gt;=1)*(IF(T19="",-1,T19)&lt;=3)),IF(C19="peso_corporal",IF(ISNUMBER(E19),E19,0)+R19,R19)*S19*1000+R19,0)=Y19,5,IF(IF((P19&gt;0)*(IF(Q19="",-1,Q19)=0)*(1-(IF(Q19="",-1,Q19)&gt;=1)*(IF(Q19="",-1,Q19)&lt;=3)),IF(C19="peso_corporal",IF(ISNUMBER(E19),E19,0)+O19,O19)*P19*1000+O19,0)=Y19,4,IF(IF((M19&gt;0)*(IF(N19="",-1,N19)=0)*(1-(IF(N19="",-1,N19)&gt;=1)*(IF(N19="",-1,N19)&lt;=3)),IF(C19="peso_corporal",IF(ISNUMBER(E19),E19,0)+L19,L19)*M19*1000+L19,0)=Y19,3,IF(IF((J19&gt;0)*(IF(K19="",-1,K19)=0)*(1-(IF(K19="",-1,K19)&gt;=1)*(IF(K19="",-1,K19)&lt;=3)),IF(C19="peso_corporal",IF(ISNUMBER(E19),E19,0)+I19,I19)*J19*1000+I19,0)=Y19,2,IF(IF((G19&gt;0)*(IF(H19="",-1,H19)=0)*(1-(IF(H19="",-1,H19)&gt;=1)*(IF(H19="",-1,H19)&lt;=3)),IF(C19="peso_corporal",IF(ISNUMBER(E19),E19,0)+F19,F19)*G19*1000+F19,0)=Y19,1,0))))))</f>
        <v>0</v>
      </c>
      <c r="AA19" s="69">
        <f>MAX(IF((G19&gt;=6)*(1-(IF(H19="",-1,H19)&gt;=1)*(IF(H19="",-1,H19)&lt;=3))*(1-(IF(H19="",-1,H19)=0)),IF(C19="peso_corporal",IF(ISNUMBER(E19),E19,0)+F19,F19)*(30+G19)*100+F19,0),IF((J19&gt;=6)*(1-(IF(K19="",-1,K19)&gt;=1)*(IF(K19="",-1,K19)&lt;=3))*(1-(IF(K19="",-1,K19)=0)),IF(C19="peso_corporal",IF(ISNUMBER(E19),E19,0)+I19,I19)*(30+J19)*100+I19,0),IF((M19&gt;=6)*(1-(IF(N19="",-1,N19)&gt;=1)*(IF(N19="",-1,N19)&lt;=3))*(1-(IF(N19="",-1,N19)=0)),IF(C19="peso_corporal",IF(ISNUMBER(E19),E19,0)+L19,L19)*(30+M19)*100+L19,0),IF((P19&gt;=6)*(1-(IF(Q19="",-1,Q19)&gt;=1)*(IF(Q19="",-1,Q19)&lt;=3))*(1-(IF(Q19="",-1,Q19)=0)),IF(C19="peso_corporal",IF(ISNUMBER(E19),E19,0)+O19,O19)*(30+P19)*100+O19,0),IF((S19&gt;=6)*(1-(IF(T19="",-1,T19)&gt;=1)*(IF(T19="",-1,T19)&lt;=3))*(1-(IF(T19="",-1,T19)=0)),IF(C19="peso_corporal",IF(ISNUMBER(E19),E19,0)+R19,R19)*(30+S19)*100+R19,0))</f>
        <v>0</v>
      </c>
      <c r="AB19" s="69">
        <f>IF(AA19=0,0,IF(IF((S19&gt;=6)*(1-(IF(T19="",-1,T19)&gt;=1)*(IF(T19="",-1,T19)&lt;=3))*(1-(IF(T19="",-1,T19)=0)),IF(C19="peso_corporal",IF(ISNUMBER(E19),E19,0)+R19,R19)*(30+S19)*100+R19,0)=AA19,5,IF(IF((P19&gt;=6)*(1-(IF(Q19="",-1,Q19)&gt;=1)*(IF(Q19="",-1,Q19)&lt;=3))*(1-(IF(Q19="",-1,Q19)=0)),IF(C19="peso_corporal",IF(ISNUMBER(E19),E19,0)+O19,O19)*(30+P19)*100+O19,0)=AA19,4,IF(IF((M19&gt;=6)*(1-(IF(N19="",-1,N19)&gt;=1)*(IF(N19="",-1,N19)&lt;=3))*(1-(IF(N19="",-1,N19)=0)),IF(C19="peso_corporal",IF(ISNUMBER(E19),E19,0)+L19,L19)*(30+M19)*100+L19,0)=AA19,3,IF(IF((J19&gt;=6)*(1-(IF(K19="",-1,K19)&gt;=1)*(IF(K19="",-1,K19)&lt;=3))*(1-(IF(K19="",-1,K19)=0)),IF(C19="peso_corporal",IF(ISNUMBER(E19),E19,0)+I19,I19)*(30+J19)*100+I19,0)=AA19,2,IF(IF((G19&gt;=6)*(1-(IF(H19="",-1,H19)&gt;=1)*(IF(H19="",-1,H19)&lt;=3))*(1-(IF(H19="",-1,H19)=0)),IF(C19="peso_corporal",IF(ISNUMBER(E19),E19,0)+F19,F19)*(30+G19)*100+F19,0)=AA19,1,0))))))</f>
        <v>0</v>
      </c>
      <c r="AC19" s="69" t="str">
        <f>IF(X19&gt;0,"A"&amp;X19,IF(Z19&gt;0,"B"&amp;Z19,IF(AB19&gt;0,"C"&amp;AB19,"")))</f>
        <v/>
      </c>
    </row>
    <row r="20" spans="1:29" ht="20.100000000000001" customHeight="1">
      <c r="A20" s="14" t="s">
        <v>54</v>
      </c>
      <c r="B20" s="15" t="s">
        <v>98</v>
      </c>
      <c r="C20" s="16" t="str">
        <f>IFERROR(INDEX(EJERCICIOS!$D$3:$D$75,MATCH(A20&amp;"|"&amp;B20,EJERCICIOS!$G$3:$G$75,0)),"--")</f>
        <v>polea</v>
      </c>
      <c r="D20" s="17">
        <v>3</v>
      </c>
      <c r="E20" s="18">
        <f>IFERROR(LOOKUP(2,1/(MEDIDAS_Y_PESO!$B$3:$B$3&lt;&gt;""),MEDIDAS_Y_PESO!$B$3:$B$3),"--")</f>
        <v>80</v>
      </c>
      <c r="F20" s="19"/>
      <c r="G20" s="20"/>
      <c r="H20" s="21"/>
      <c r="I20" s="19"/>
      <c r="J20" s="20"/>
      <c r="K20" s="21"/>
      <c r="L20" s="19"/>
      <c r="M20" s="20"/>
      <c r="N20" s="21"/>
      <c r="O20" s="19"/>
      <c r="P20" s="20"/>
      <c r="Q20" s="21"/>
      <c r="R20" s="19"/>
      <c r="S20" s="20"/>
      <c r="T20" s="21"/>
      <c r="U20" s="22" t="str">
        <f>IFERROR(IF(IF(X20&gt;0,X20,IF(Z20&gt;0,Z20,IF(AB20&gt;0,AB20,0)))=0,"--",ROUND(CHOOSE(IF(X20&gt;0,X20,IF(Z20&gt;0,Z20,IF(AB20&gt;0,AB20,0))),IF(C20="peso_corporal",IF(ISNUMBER(E20),E20,0)+F20,F20)*(1+G20/30),IF(C20="peso_corporal",IF(ISNUMBER(E20),E20,0)+I20,I20)*(1+J20/30),IF(C20="peso_corporal",IF(ISNUMBER(E20),E20,0)+L20,L20)*(1+M20/30),IF(C20="peso_corporal",IF(ISNUMBER(E20),E20,0)+O20,O20)*(1+P20/30),IF(C20="peso_corporal",IF(ISNUMBER(E20),E20,0)+R20,R20)*(1+S20/30)),1)),"--")</f>
        <v>--</v>
      </c>
      <c r="V20" s="23" t="str">
        <f>IF(SUGERENCIAS!N20="SIN","Sin datos anteriores",IF(SUGERENCIAS!N20="SUBIR_F","^ SUBIR FUERTE | Kg:"&amp;ROUND(SUGERENCIAS!K20,1)&amp;" R:"&amp;ROUND(SUGERENCIAS!L20,0)&amp;" RIR:"&amp;ROUND(SUGERENCIAS!M20,0),IF(SUGERENCIAS!N20="SUBIR_E","^ SUBIR (Est.) | Kg:"&amp;ROUND(SUGERENCIAS!K20,1)&amp;" R:"&amp;ROUND(SUGERENCIAS!L20,0)&amp;" RIR:"&amp;ROUND(SUGERENCIAS!M20,0),IF(SUGERENCIAS!N20="SUBIR","^ SUBIR | Kg:"&amp;ROUND(SUGERENCIAS!K20,1)&amp;" R:"&amp;ROUND(SUGERENCIAS!L20,0)&amp;" RIR:"&amp;ROUND(SUGERENCIAS!M20,0),IF(SUGERENCIAS!N20="BAJAR","v BAJAR | Kg:"&amp;ROUND(SUGERENCIAS!K20,1)&amp;" R:"&amp;ROUND(SUGERENCIAS!L20,0)&amp;" RIR:"&amp;ROUND(SUGERENCIAS!M20,0),"= MANT | Kg:"&amp;ROUND(SUGERENCIAS!K20,1)&amp;" R:"&amp;ROUND(SUGERENCIAS!L20,0)&amp;" RIR:"&amp;ROUND(SUGERENCIAS!M20,0))))))</f>
        <v>Sin datos anteriores</v>
      </c>
      <c r="W20" s="69">
        <f>MAX(IF((G20&gt;0)*(IF(H20="",-1,H20)&gt;=1)*(IF(H20="",-1,H20)&lt;=3),IF(C20="peso_corporal",IF(ISNUMBER(E20),E20,0)+F20,F20)*G20*1000+F20,0),IF((J20&gt;0)*(IF(K20="",-1,K20)&gt;=1)*(IF(K20="",-1,K20)&lt;=3),IF(C20="peso_corporal",IF(ISNUMBER(E20),E20,0)+I20,I20)*J20*1000+I20,0),IF((M20&gt;0)*(IF(N20="",-1,N20)&gt;=1)*(IF(N20="",-1,N20)&lt;=3),IF(C20="peso_corporal",IF(ISNUMBER(E20),E20,0)+L20,L20)*M20*1000+L20,0),IF((P20&gt;0)*(IF(Q20="",-1,Q20)&gt;=1)*(IF(Q20="",-1,Q20)&lt;=3),IF(C20="peso_corporal",IF(ISNUMBER(E20),E20,0)+O20,O20)*P20*1000+O20,0),IF((S20&gt;0)*(IF(T20="",-1,T20)&gt;=1)*(IF(T20="",-1,T20)&lt;=3),IF(C20="peso_corporal",IF(ISNUMBER(E20),E20,0)+R20,R20)*S20*1000+R20,0))</f>
        <v>0</v>
      </c>
      <c r="X20" s="69">
        <f>IF(W20=0,0,IF(IF((S20&gt;0)*(IF(T20="",-1,T20)&gt;=1)*(IF(T20="",-1,T20)&lt;=3),IF(C20="peso_corporal",IF(ISNUMBER(E20),E20,0)+R20,R20)*S20*1000+R20,0)=W20,5,IF(IF((P20&gt;0)*(IF(Q20="",-1,Q20)&gt;=1)*(IF(Q20="",-1,Q20)&lt;=3),IF(C20="peso_corporal",IF(ISNUMBER(E20),E20,0)+O20,O20)*P20*1000+O20,0)=W20,4,IF(IF((M20&gt;0)*(IF(N20="",-1,N20)&gt;=1)*(IF(N20="",-1,N20)&lt;=3),IF(C20="peso_corporal",IF(ISNUMBER(E20),E20,0)+L20,L20)*M20*1000+L20,0)=W20,3,IF(IF((J20&gt;0)*(IF(K20="",-1,K20)&gt;=1)*(IF(K20="",-1,K20)&lt;=3),IF(C20="peso_corporal",IF(ISNUMBER(E20),E20,0)+I20,I20)*J20*1000+I20,0)=W20,2,IF(IF((G20&gt;0)*(IF(H20="",-1,H20)&gt;=1)*(IF(H20="",-1,H20)&lt;=3),IF(C20="peso_corporal",IF(ISNUMBER(E20),E20,0)+F20,F20)*G20*1000+F20,0)=W20,1,0))))))</f>
        <v>0</v>
      </c>
      <c r="Y20" s="69">
        <f>MAX(IF((G20&gt;0)*(IF(H20="",-1,H20)=0)*(1-(IF(H20="",-1,H20)&gt;=1)*(IF(H20="",-1,H20)&lt;=3)),IF(C20="peso_corporal",IF(ISNUMBER(E20),E20,0)+F20,F20)*G20*1000+F20,0),IF((J20&gt;0)*(IF(K20="",-1,K20)=0)*(1-(IF(K20="",-1,K20)&gt;=1)*(IF(K20="",-1,K20)&lt;=3)),IF(C20="peso_corporal",IF(ISNUMBER(E20),E20,0)+I20,I20)*J20*1000+I20,0),IF((M20&gt;0)*(IF(N20="",-1,N20)=0)*(1-(IF(N20="",-1,N20)&gt;=1)*(IF(N20="",-1,N20)&lt;=3)),IF(C20="peso_corporal",IF(ISNUMBER(E20),E20,0)+L20,L20)*M20*1000+L20,0),IF((P20&gt;0)*(IF(Q20="",-1,Q20)=0)*(1-(IF(Q20="",-1,Q20)&gt;=1)*(IF(Q20="",-1,Q20)&lt;=3)),IF(C20="peso_corporal",IF(ISNUMBER(E20),E20,0)+O20,O20)*P20*1000+O20,0),IF((S20&gt;0)*(IF(T20="",-1,T20)=0)*(1-(IF(T20="",-1,T20)&gt;=1)*(IF(T20="",-1,T20)&lt;=3)),IF(C20="peso_corporal",IF(ISNUMBER(E20),E20,0)+R20,R20)*S20*1000+R20,0))</f>
        <v>0</v>
      </c>
      <c r="Z20" s="69">
        <f>IF(Y20=0,0,IF(IF((S20&gt;0)*(IF(T20="",-1,T20)=0)*(1-(IF(T20="",-1,T20)&gt;=1)*(IF(T20="",-1,T20)&lt;=3)),IF(C20="peso_corporal",IF(ISNUMBER(E20),E20,0)+R20,R20)*S20*1000+R20,0)=Y20,5,IF(IF((P20&gt;0)*(IF(Q20="",-1,Q20)=0)*(1-(IF(Q20="",-1,Q20)&gt;=1)*(IF(Q20="",-1,Q20)&lt;=3)),IF(C20="peso_corporal",IF(ISNUMBER(E20),E20,0)+O20,O20)*P20*1000+O20,0)=Y20,4,IF(IF((M20&gt;0)*(IF(N20="",-1,N20)=0)*(1-(IF(N20="",-1,N20)&gt;=1)*(IF(N20="",-1,N20)&lt;=3)),IF(C20="peso_corporal",IF(ISNUMBER(E20),E20,0)+L20,L20)*M20*1000+L20,0)=Y20,3,IF(IF((J20&gt;0)*(IF(K20="",-1,K20)=0)*(1-(IF(K20="",-1,K20)&gt;=1)*(IF(K20="",-1,K20)&lt;=3)),IF(C20="peso_corporal",IF(ISNUMBER(E20),E20,0)+I20,I20)*J20*1000+I20,0)=Y20,2,IF(IF((G20&gt;0)*(IF(H20="",-1,H20)=0)*(1-(IF(H20="",-1,H20)&gt;=1)*(IF(H20="",-1,H20)&lt;=3)),IF(C20="peso_corporal",IF(ISNUMBER(E20),E20,0)+F20,F20)*G20*1000+F20,0)=Y20,1,0))))))</f>
        <v>0</v>
      </c>
      <c r="AA20" s="69">
        <f>MAX(IF((G20&gt;=6)*(1-(IF(H20="",-1,H20)&gt;=1)*(IF(H20="",-1,H20)&lt;=3))*(1-(IF(H20="",-1,H20)=0)),IF(C20="peso_corporal",IF(ISNUMBER(E20),E20,0)+F20,F20)*(30+G20)*100+F20,0),IF((J20&gt;=6)*(1-(IF(K20="",-1,K20)&gt;=1)*(IF(K20="",-1,K20)&lt;=3))*(1-(IF(K20="",-1,K20)=0)),IF(C20="peso_corporal",IF(ISNUMBER(E20),E20,0)+I20,I20)*(30+J20)*100+I20,0),IF((M20&gt;=6)*(1-(IF(N20="",-1,N20)&gt;=1)*(IF(N20="",-1,N20)&lt;=3))*(1-(IF(N20="",-1,N20)=0)),IF(C20="peso_corporal",IF(ISNUMBER(E20),E20,0)+L20,L20)*(30+M20)*100+L20,0),IF((P20&gt;=6)*(1-(IF(Q20="",-1,Q20)&gt;=1)*(IF(Q20="",-1,Q20)&lt;=3))*(1-(IF(Q20="",-1,Q20)=0)),IF(C20="peso_corporal",IF(ISNUMBER(E20),E20,0)+O20,O20)*(30+P20)*100+O20,0),IF((S20&gt;=6)*(1-(IF(T20="",-1,T20)&gt;=1)*(IF(T20="",-1,T20)&lt;=3))*(1-(IF(T20="",-1,T20)=0)),IF(C20="peso_corporal",IF(ISNUMBER(E20),E20,0)+R20,R20)*(30+S20)*100+R20,0))</f>
        <v>0</v>
      </c>
      <c r="AB20" s="69">
        <f>IF(AA20=0,0,IF(IF((S20&gt;=6)*(1-(IF(T20="",-1,T20)&gt;=1)*(IF(T20="",-1,T20)&lt;=3))*(1-(IF(T20="",-1,T20)=0)),IF(C20="peso_corporal",IF(ISNUMBER(E20),E20,0)+R20,R20)*(30+S20)*100+R20,0)=AA20,5,IF(IF((P20&gt;=6)*(1-(IF(Q20="",-1,Q20)&gt;=1)*(IF(Q20="",-1,Q20)&lt;=3))*(1-(IF(Q20="",-1,Q20)=0)),IF(C20="peso_corporal",IF(ISNUMBER(E20),E20,0)+O20,O20)*(30+P20)*100+O20,0)=AA20,4,IF(IF((M20&gt;=6)*(1-(IF(N20="",-1,N20)&gt;=1)*(IF(N20="",-1,N20)&lt;=3))*(1-(IF(N20="",-1,N20)=0)),IF(C20="peso_corporal",IF(ISNUMBER(E20),E20,0)+L20,L20)*(30+M20)*100+L20,0)=AA20,3,IF(IF((J20&gt;=6)*(1-(IF(K20="",-1,K20)&gt;=1)*(IF(K20="",-1,K20)&lt;=3))*(1-(IF(K20="",-1,K20)=0)),IF(C20="peso_corporal",IF(ISNUMBER(E20),E20,0)+I20,I20)*(30+J20)*100+I20,0)=AA20,2,IF(IF((G20&gt;=6)*(1-(IF(H20="",-1,H20)&gt;=1)*(IF(H20="",-1,H20)&lt;=3))*(1-(IF(H20="",-1,H20)=0)),IF(C20="peso_corporal",IF(ISNUMBER(E20),E20,0)+F20,F20)*(30+G20)*100+F20,0)=AA20,1,0))))))</f>
        <v>0</v>
      </c>
      <c r="AC20" s="69" t="str">
        <f>IF(X20&gt;0,"A"&amp;X20,IF(Z20&gt;0,"B"&amp;Z20,IF(AB20&gt;0,"C"&amp;AB20,"")))</f>
        <v/>
      </c>
    </row>
    <row r="21" spans="1:29" ht="15" customHeight="1">
      <c r="A21" s="83" t="s">
        <v>99</v>
      </c>
      <c r="B21" s="73"/>
      <c r="C21" s="73"/>
      <c r="D21" s="73"/>
      <c r="E21" s="73"/>
      <c r="F21" s="73"/>
      <c r="G21" s="73"/>
      <c r="H21" s="73"/>
      <c r="I21" s="73"/>
      <c r="J21" s="73"/>
      <c r="K21" s="73"/>
      <c r="L21" s="73"/>
      <c r="M21" s="73"/>
      <c r="N21" s="73"/>
      <c r="O21" s="73"/>
      <c r="P21" s="73"/>
      <c r="Q21" s="73"/>
      <c r="R21" s="73"/>
      <c r="S21" s="73"/>
      <c r="T21" s="73"/>
      <c r="U21" s="73"/>
      <c r="V21" s="73"/>
      <c r="W21" s="69"/>
      <c r="X21" s="69"/>
      <c r="Y21" s="69"/>
      <c r="Z21" s="69"/>
      <c r="AA21" s="69"/>
      <c r="AB21" s="69"/>
      <c r="AC21" s="69"/>
    </row>
    <row r="22" spans="1:29" ht="20.100000000000001" customHeight="1">
      <c r="A22" s="14" t="s">
        <v>100</v>
      </c>
      <c r="B22" s="15" t="s">
        <v>101</v>
      </c>
      <c r="C22" s="16" t="str">
        <f>IFERROR(INDEX(EJERCICIOS!$D$3:$D$75,MATCH(A22&amp;"|"&amp;B22,EJERCICIOS!$G$3:$G$75,0)),"--")</f>
        <v>mancuerna</v>
      </c>
      <c r="D22" s="17">
        <v>3</v>
      </c>
      <c r="E22" s="18">
        <f>IFERROR(LOOKUP(2,1/(MEDIDAS_Y_PESO!$B$3:$B$3&lt;&gt;""),MEDIDAS_Y_PESO!$B$3:$B$3),"--")</f>
        <v>80</v>
      </c>
      <c r="F22" s="19"/>
      <c r="G22" s="20"/>
      <c r="H22" s="21"/>
      <c r="I22" s="19"/>
      <c r="J22" s="20"/>
      <c r="K22" s="21"/>
      <c r="L22" s="19"/>
      <c r="M22" s="20"/>
      <c r="N22" s="21"/>
      <c r="O22" s="19"/>
      <c r="P22" s="20"/>
      <c r="Q22" s="21"/>
      <c r="R22" s="19"/>
      <c r="S22" s="20"/>
      <c r="T22" s="21"/>
      <c r="U22" s="22" t="str">
        <f>IFERROR(IF(IF(X22&gt;0,X22,IF(Z22&gt;0,Z22,IF(AB22&gt;0,AB22,0)))=0,"--",ROUND(CHOOSE(IF(X22&gt;0,X22,IF(Z22&gt;0,Z22,IF(AB22&gt;0,AB22,0))),IF(C22="peso_corporal",IF(ISNUMBER(E22),E22,0)+F22,F22)*(1+G22/30),IF(C22="peso_corporal",IF(ISNUMBER(E22),E22,0)+I22,I22)*(1+J22/30),IF(C22="peso_corporal",IF(ISNUMBER(E22),E22,0)+L22,L22)*(1+M22/30),IF(C22="peso_corporal",IF(ISNUMBER(E22),E22,0)+O22,O22)*(1+P22/30),IF(C22="peso_corporal",IF(ISNUMBER(E22),E22,0)+R22,R22)*(1+S22/30)),1)),"--")</f>
        <v>--</v>
      </c>
      <c r="V22" s="23" t="str">
        <f>IF(SUGERENCIAS!N21="SIN","Sin datos anteriores",IF(SUGERENCIAS!N21="SUBIR_F","^ SUBIR FUERTE | Kg:"&amp;ROUND(SUGERENCIAS!K21,1)&amp;" R:"&amp;ROUND(SUGERENCIAS!L21,0)&amp;" RIR:"&amp;ROUND(SUGERENCIAS!M21,0),IF(SUGERENCIAS!N21="SUBIR_E","^ SUBIR (Est.) | Kg:"&amp;ROUND(SUGERENCIAS!K21,1)&amp;" R:"&amp;ROUND(SUGERENCIAS!L21,0)&amp;" RIR:"&amp;ROUND(SUGERENCIAS!M21,0),IF(SUGERENCIAS!N21="SUBIR","^ SUBIR | Kg:"&amp;ROUND(SUGERENCIAS!K21,1)&amp;" R:"&amp;ROUND(SUGERENCIAS!L21,0)&amp;" RIR:"&amp;ROUND(SUGERENCIAS!M21,0),IF(SUGERENCIAS!N21="BAJAR","v BAJAR | Kg:"&amp;ROUND(SUGERENCIAS!K21,1)&amp;" R:"&amp;ROUND(SUGERENCIAS!L21,0)&amp;" RIR:"&amp;ROUND(SUGERENCIAS!M21,0),"= MANT | Kg:"&amp;ROUND(SUGERENCIAS!K21,1)&amp;" R:"&amp;ROUND(SUGERENCIAS!L21,0)&amp;" RIR:"&amp;ROUND(SUGERENCIAS!M21,0))))))</f>
        <v>Sin datos anteriores</v>
      </c>
      <c r="W22" s="69">
        <f>MAX(IF((G22&gt;0)*(IF(H22="",-1,H22)&gt;=1)*(IF(H22="",-1,H22)&lt;=3),IF(C22="peso_corporal",IF(ISNUMBER(E22),E22,0)+F22,F22)*G22*1000+F22,0),IF((J22&gt;0)*(IF(K22="",-1,K22)&gt;=1)*(IF(K22="",-1,K22)&lt;=3),IF(C22="peso_corporal",IF(ISNUMBER(E22),E22,0)+I22,I22)*J22*1000+I22,0),IF((M22&gt;0)*(IF(N22="",-1,N22)&gt;=1)*(IF(N22="",-1,N22)&lt;=3),IF(C22="peso_corporal",IF(ISNUMBER(E22),E22,0)+L22,L22)*M22*1000+L22,0),IF((P22&gt;0)*(IF(Q22="",-1,Q22)&gt;=1)*(IF(Q22="",-1,Q22)&lt;=3),IF(C22="peso_corporal",IF(ISNUMBER(E22),E22,0)+O22,O22)*P22*1000+O22,0),IF((S22&gt;0)*(IF(T22="",-1,T22)&gt;=1)*(IF(T22="",-1,T22)&lt;=3),IF(C22="peso_corporal",IF(ISNUMBER(E22),E22,0)+R22,R22)*S22*1000+R22,0))</f>
        <v>0</v>
      </c>
      <c r="X22" s="69">
        <f>IF(W22=0,0,IF(IF((S22&gt;0)*(IF(T22="",-1,T22)&gt;=1)*(IF(T22="",-1,T22)&lt;=3),IF(C22="peso_corporal",IF(ISNUMBER(E22),E22,0)+R22,R22)*S22*1000+R22,0)=W22,5,IF(IF((P22&gt;0)*(IF(Q22="",-1,Q22)&gt;=1)*(IF(Q22="",-1,Q22)&lt;=3),IF(C22="peso_corporal",IF(ISNUMBER(E22),E22,0)+O22,O22)*P22*1000+O22,0)=W22,4,IF(IF((M22&gt;0)*(IF(N22="",-1,N22)&gt;=1)*(IF(N22="",-1,N22)&lt;=3),IF(C22="peso_corporal",IF(ISNUMBER(E22),E22,0)+L22,L22)*M22*1000+L22,0)=W22,3,IF(IF((J22&gt;0)*(IF(K22="",-1,K22)&gt;=1)*(IF(K22="",-1,K22)&lt;=3),IF(C22="peso_corporal",IF(ISNUMBER(E22),E22,0)+I22,I22)*J22*1000+I22,0)=W22,2,IF(IF((G22&gt;0)*(IF(H22="",-1,H22)&gt;=1)*(IF(H22="",-1,H22)&lt;=3),IF(C22="peso_corporal",IF(ISNUMBER(E22),E22,0)+F22,F22)*G22*1000+F22,0)=W22,1,0))))))</f>
        <v>0</v>
      </c>
      <c r="Y22" s="69">
        <f>MAX(IF((G22&gt;0)*(IF(H22="",-1,H22)=0)*(1-(IF(H22="",-1,H22)&gt;=1)*(IF(H22="",-1,H22)&lt;=3)),IF(C22="peso_corporal",IF(ISNUMBER(E22),E22,0)+F22,F22)*G22*1000+F22,0),IF((J22&gt;0)*(IF(K22="",-1,K22)=0)*(1-(IF(K22="",-1,K22)&gt;=1)*(IF(K22="",-1,K22)&lt;=3)),IF(C22="peso_corporal",IF(ISNUMBER(E22),E22,0)+I22,I22)*J22*1000+I22,0),IF((M22&gt;0)*(IF(N22="",-1,N22)=0)*(1-(IF(N22="",-1,N22)&gt;=1)*(IF(N22="",-1,N22)&lt;=3)),IF(C22="peso_corporal",IF(ISNUMBER(E22),E22,0)+L22,L22)*M22*1000+L22,0),IF((P22&gt;0)*(IF(Q22="",-1,Q22)=0)*(1-(IF(Q22="",-1,Q22)&gt;=1)*(IF(Q22="",-1,Q22)&lt;=3)),IF(C22="peso_corporal",IF(ISNUMBER(E22),E22,0)+O22,O22)*P22*1000+O22,0),IF((S22&gt;0)*(IF(T22="",-1,T22)=0)*(1-(IF(T22="",-1,T22)&gt;=1)*(IF(T22="",-1,T22)&lt;=3)),IF(C22="peso_corporal",IF(ISNUMBER(E22),E22,0)+R22,R22)*S22*1000+R22,0))</f>
        <v>0</v>
      </c>
      <c r="Z22" s="69">
        <f>IF(Y22=0,0,IF(IF((S22&gt;0)*(IF(T22="",-1,T22)=0)*(1-(IF(T22="",-1,T22)&gt;=1)*(IF(T22="",-1,T22)&lt;=3)),IF(C22="peso_corporal",IF(ISNUMBER(E22),E22,0)+R22,R22)*S22*1000+R22,0)=Y22,5,IF(IF((P22&gt;0)*(IF(Q22="",-1,Q22)=0)*(1-(IF(Q22="",-1,Q22)&gt;=1)*(IF(Q22="",-1,Q22)&lt;=3)),IF(C22="peso_corporal",IF(ISNUMBER(E22),E22,0)+O22,O22)*P22*1000+O22,0)=Y22,4,IF(IF((M22&gt;0)*(IF(N22="",-1,N22)=0)*(1-(IF(N22="",-1,N22)&gt;=1)*(IF(N22="",-1,N22)&lt;=3)),IF(C22="peso_corporal",IF(ISNUMBER(E22),E22,0)+L22,L22)*M22*1000+L22,0)=Y22,3,IF(IF((J22&gt;0)*(IF(K22="",-1,K22)=0)*(1-(IF(K22="",-1,K22)&gt;=1)*(IF(K22="",-1,K22)&lt;=3)),IF(C22="peso_corporal",IF(ISNUMBER(E22),E22,0)+I22,I22)*J22*1000+I22,0)=Y22,2,IF(IF((G22&gt;0)*(IF(H22="",-1,H22)=0)*(1-(IF(H22="",-1,H22)&gt;=1)*(IF(H22="",-1,H22)&lt;=3)),IF(C22="peso_corporal",IF(ISNUMBER(E22),E22,0)+F22,F22)*G22*1000+F22,0)=Y22,1,0))))))</f>
        <v>0</v>
      </c>
      <c r="AA22" s="69">
        <f>MAX(IF((G22&gt;=6)*(1-(IF(H22="",-1,H22)&gt;=1)*(IF(H22="",-1,H22)&lt;=3))*(1-(IF(H22="",-1,H22)=0)),IF(C22="peso_corporal",IF(ISNUMBER(E22),E22,0)+F22,F22)*(30+G22)*100+F22,0),IF((J22&gt;=6)*(1-(IF(K22="",-1,K22)&gt;=1)*(IF(K22="",-1,K22)&lt;=3))*(1-(IF(K22="",-1,K22)=0)),IF(C22="peso_corporal",IF(ISNUMBER(E22),E22,0)+I22,I22)*(30+J22)*100+I22,0),IF((M22&gt;=6)*(1-(IF(N22="",-1,N22)&gt;=1)*(IF(N22="",-1,N22)&lt;=3))*(1-(IF(N22="",-1,N22)=0)),IF(C22="peso_corporal",IF(ISNUMBER(E22),E22,0)+L22,L22)*(30+M22)*100+L22,0),IF((P22&gt;=6)*(1-(IF(Q22="",-1,Q22)&gt;=1)*(IF(Q22="",-1,Q22)&lt;=3))*(1-(IF(Q22="",-1,Q22)=0)),IF(C22="peso_corporal",IF(ISNUMBER(E22),E22,0)+O22,O22)*(30+P22)*100+O22,0),IF((S22&gt;=6)*(1-(IF(T22="",-1,T22)&gt;=1)*(IF(T22="",-1,T22)&lt;=3))*(1-(IF(T22="",-1,T22)=0)),IF(C22="peso_corporal",IF(ISNUMBER(E22),E22,0)+R22,R22)*(30+S22)*100+R22,0))</f>
        <v>0</v>
      </c>
      <c r="AB22" s="69">
        <f>IF(AA22=0,0,IF(IF((S22&gt;=6)*(1-(IF(T22="",-1,T22)&gt;=1)*(IF(T22="",-1,T22)&lt;=3))*(1-(IF(T22="",-1,T22)=0)),IF(C22="peso_corporal",IF(ISNUMBER(E22),E22,0)+R22,R22)*(30+S22)*100+R22,0)=AA22,5,IF(IF((P22&gt;=6)*(1-(IF(Q22="",-1,Q22)&gt;=1)*(IF(Q22="",-1,Q22)&lt;=3))*(1-(IF(Q22="",-1,Q22)=0)),IF(C22="peso_corporal",IF(ISNUMBER(E22),E22,0)+O22,O22)*(30+P22)*100+O22,0)=AA22,4,IF(IF((M22&gt;=6)*(1-(IF(N22="",-1,N22)&gt;=1)*(IF(N22="",-1,N22)&lt;=3))*(1-(IF(N22="",-1,N22)=0)),IF(C22="peso_corporal",IF(ISNUMBER(E22),E22,0)+L22,L22)*(30+M22)*100+L22,0)=AA22,3,IF(IF((J22&gt;=6)*(1-(IF(K22="",-1,K22)&gt;=1)*(IF(K22="",-1,K22)&lt;=3))*(1-(IF(K22="",-1,K22)=0)),IF(C22="peso_corporal",IF(ISNUMBER(E22),E22,0)+I22,I22)*(30+J22)*100+I22,0)=AA22,2,IF(IF((G22&gt;=6)*(1-(IF(H22="",-1,H22)&gt;=1)*(IF(H22="",-1,H22)&lt;=3))*(1-(IF(H22="",-1,H22)=0)),IF(C22="peso_corporal",IF(ISNUMBER(E22),E22,0)+F22,F22)*(30+G22)*100+F22,0)=AA22,1,0))))))</f>
        <v>0</v>
      </c>
      <c r="AC22" s="69" t="str">
        <f>IF(X22&gt;0,"A"&amp;X22,IF(Z22&gt;0,"B"&amp;Z22,IF(AB22&gt;0,"C"&amp;AB22,"")))</f>
        <v/>
      </c>
    </row>
    <row r="23" spans="1:29" ht="20.100000000000001" customHeight="1">
      <c r="A23" s="14" t="s">
        <v>100</v>
      </c>
      <c r="B23" s="15" t="s">
        <v>102</v>
      </c>
      <c r="C23" s="16" t="str">
        <f>IFERROR(INDEX(EJERCICIOS!$D$3:$D$75,MATCH(A23&amp;"|"&amp;B23,EJERCICIOS!$G$3:$G$75,0)),"--")</f>
        <v>mancuerna</v>
      </c>
      <c r="D23" s="17">
        <v>3</v>
      </c>
      <c r="E23" s="18">
        <f>IFERROR(LOOKUP(2,1/(MEDIDAS_Y_PESO!$B$3:$B$3&lt;&gt;""),MEDIDAS_Y_PESO!$B$3:$B$3),"--")</f>
        <v>80</v>
      </c>
      <c r="F23" s="19"/>
      <c r="G23" s="20"/>
      <c r="H23" s="21"/>
      <c r="I23" s="19"/>
      <c r="J23" s="20"/>
      <c r="K23" s="21"/>
      <c r="L23" s="19"/>
      <c r="M23" s="20"/>
      <c r="N23" s="21"/>
      <c r="O23" s="19"/>
      <c r="P23" s="20"/>
      <c r="Q23" s="21"/>
      <c r="R23" s="19"/>
      <c r="S23" s="20"/>
      <c r="T23" s="21"/>
      <c r="U23" s="22" t="str">
        <f>IFERROR(IF(IF(X23&gt;0,X23,IF(Z23&gt;0,Z23,IF(AB23&gt;0,AB23,0)))=0,"--",ROUND(CHOOSE(IF(X23&gt;0,X23,IF(Z23&gt;0,Z23,IF(AB23&gt;0,AB23,0))),IF(C23="peso_corporal",IF(ISNUMBER(E23),E23,0)+F23,F23)*(1+G23/30),IF(C23="peso_corporal",IF(ISNUMBER(E23),E23,0)+I23,I23)*(1+J23/30),IF(C23="peso_corporal",IF(ISNUMBER(E23),E23,0)+L23,L23)*(1+M23/30),IF(C23="peso_corporal",IF(ISNUMBER(E23),E23,0)+O23,O23)*(1+P23/30),IF(C23="peso_corporal",IF(ISNUMBER(E23),E23,0)+R23,R23)*(1+S23/30)),1)),"--")</f>
        <v>--</v>
      </c>
      <c r="V23" s="23" t="str">
        <f>IF(SUGERENCIAS!N22="SIN","Sin datos anteriores",IF(SUGERENCIAS!N22="SUBIR_F","^ SUBIR FUERTE | Kg:"&amp;ROUND(SUGERENCIAS!K22,1)&amp;" R:"&amp;ROUND(SUGERENCIAS!L22,0)&amp;" RIR:"&amp;ROUND(SUGERENCIAS!M22,0),IF(SUGERENCIAS!N22="SUBIR_E","^ SUBIR (Est.) | Kg:"&amp;ROUND(SUGERENCIAS!K22,1)&amp;" R:"&amp;ROUND(SUGERENCIAS!L22,0)&amp;" RIR:"&amp;ROUND(SUGERENCIAS!M22,0),IF(SUGERENCIAS!N22="SUBIR","^ SUBIR | Kg:"&amp;ROUND(SUGERENCIAS!K22,1)&amp;" R:"&amp;ROUND(SUGERENCIAS!L22,0)&amp;" RIR:"&amp;ROUND(SUGERENCIAS!M22,0),IF(SUGERENCIAS!N22="BAJAR","v BAJAR | Kg:"&amp;ROUND(SUGERENCIAS!K22,1)&amp;" R:"&amp;ROUND(SUGERENCIAS!L22,0)&amp;" RIR:"&amp;ROUND(SUGERENCIAS!M22,0),"= MANT | Kg:"&amp;ROUND(SUGERENCIAS!K22,1)&amp;" R:"&amp;ROUND(SUGERENCIAS!L22,0)&amp;" RIR:"&amp;ROUND(SUGERENCIAS!M22,0))))))</f>
        <v>Sin datos anteriores</v>
      </c>
      <c r="W23" s="69">
        <f>MAX(IF((G23&gt;0)*(IF(H23="",-1,H23)&gt;=1)*(IF(H23="",-1,H23)&lt;=3),IF(C23="peso_corporal",IF(ISNUMBER(E23),E23,0)+F23,F23)*G23*1000+F23,0),IF((J23&gt;0)*(IF(K23="",-1,K23)&gt;=1)*(IF(K23="",-1,K23)&lt;=3),IF(C23="peso_corporal",IF(ISNUMBER(E23),E23,0)+I23,I23)*J23*1000+I23,0),IF((M23&gt;0)*(IF(N23="",-1,N23)&gt;=1)*(IF(N23="",-1,N23)&lt;=3),IF(C23="peso_corporal",IF(ISNUMBER(E23),E23,0)+L23,L23)*M23*1000+L23,0),IF((P23&gt;0)*(IF(Q23="",-1,Q23)&gt;=1)*(IF(Q23="",-1,Q23)&lt;=3),IF(C23="peso_corporal",IF(ISNUMBER(E23),E23,0)+O23,O23)*P23*1000+O23,0),IF((S23&gt;0)*(IF(T23="",-1,T23)&gt;=1)*(IF(T23="",-1,T23)&lt;=3),IF(C23="peso_corporal",IF(ISNUMBER(E23),E23,0)+R23,R23)*S23*1000+R23,0))</f>
        <v>0</v>
      </c>
      <c r="X23" s="69">
        <f>IF(W23=0,0,IF(IF((S23&gt;0)*(IF(T23="",-1,T23)&gt;=1)*(IF(T23="",-1,T23)&lt;=3),IF(C23="peso_corporal",IF(ISNUMBER(E23),E23,0)+R23,R23)*S23*1000+R23,0)=W23,5,IF(IF((P23&gt;0)*(IF(Q23="",-1,Q23)&gt;=1)*(IF(Q23="",-1,Q23)&lt;=3),IF(C23="peso_corporal",IF(ISNUMBER(E23),E23,0)+O23,O23)*P23*1000+O23,0)=W23,4,IF(IF((M23&gt;0)*(IF(N23="",-1,N23)&gt;=1)*(IF(N23="",-1,N23)&lt;=3),IF(C23="peso_corporal",IF(ISNUMBER(E23),E23,0)+L23,L23)*M23*1000+L23,0)=W23,3,IF(IF((J23&gt;0)*(IF(K23="",-1,K23)&gt;=1)*(IF(K23="",-1,K23)&lt;=3),IF(C23="peso_corporal",IF(ISNUMBER(E23),E23,0)+I23,I23)*J23*1000+I23,0)=W23,2,IF(IF((G23&gt;0)*(IF(H23="",-1,H23)&gt;=1)*(IF(H23="",-1,H23)&lt;=3),IF(C23="peso_corporal",IF(ISNUMBER(E23),E23,0)+F23,F23)*G23*1000+F23,0)=W23,1,0))))))</f>
        <v>0</v>
      </c>
      <c r="Y23" s="69">
        <f>MAX(IF((G23&gt;0)*(IF(H23="",-1,H23)=0)*(1-(IF(H23="",-1,H23)&gt;=1)*(IF(H23="",-1,H23)&lt;=3)),IF(C23="peso_corporal",IF(ISNUMBER(E23),E23,0)+F23,F23)*G23*1000+F23,0),IF((J23&gt;0)*(IF(K23="",-1,K23)=0)*(1-(IF(K23="",-1,K23)&gt;=1)*(IF(K23="",-1,K23)&lt;=3)),IF(C23="peso_corporal",IF(ISNUMBER(E23),E23,0)+I23,I23)*J23*1000+I23,0),IF((M23&gt;0)*(IF(N23="",-1,N23)=0)*(1-(IF(N23="",-1,N23)&gt;=1)*(IF(N23="",-1,N23)&lt;=3)),IF(C23="peso_corporal",IF(ISNUMBER(E23),E23,0)+L23,L23)*M23*1000+L23,0),IF((P23&gt;0)*(IF(Q23="",-1,Q23)=0)*(1-(IF(Q23="",-1,Q23)&gt;=1)*(IF(Q23="",-1,Q23)&lt;=3)),IF(C23="peso_corporal",IF(ISNUMBER(E23),E23,0)+O23,O23)*P23*1000+O23,0),IF((S23&gt;0)*(IF(T23="",-1,T23)=0)*(1-(IF(T23="",-1,T23)&gt;=1)*(IF(T23="",-1,T23)&lt;=3)),IF(C23="peso_corporal",IF(ISNUMBER(E23),E23,0)+R23,R23)*S23*1000+R23,0))</f>
        <v>0</v>
      </c>
      <c r="Z23" s="69">
        <f>IF(Y23=0,0,IF(IF((S23&gt;0)*(IF(T23="",-1,T23)=0)*(1-(IF(T23="",-1,T23)&gt;=1)*(IF(T23="",-1,T23)&lt;=3)),IF(C23="peso_corporal",IF(ISNUMBER(E23),E23,0)+R23,R23)*S23*1000+R23,0)=Y23,5,IF(IF((P23&gt;0)*(IF(Q23="",-1,Q23)=0)*(1-(IF(Q23="",-1,Q23)&gt;=1)*(IF(Q23="",-1,Q23)&lt;=3)),IF(C23="peso_corporal",IF(ISNUMBER(E23),E23,0)+O23,O23)*P23*1000+O23,0)=Y23,4,IF(IF((M23&gt;0)*(IF(N23="",-1,N23)=0)*(1-(IF(N23="",-1,N23)&gt;=1)*(IF(N23="",-1,N23)&lt;=3)),IF(C23="peso_corporal",IF(ISNUMBER(E23),E23,0)+L23,L23)*M23*1000+L23,0)=Y23,3,IF(IF((J23&gt;0)*(IF(K23="",-1,K23)=0)*(1-(IF(K23="",-1,K23)&gt;=1)*(IF(K23="",-1,K23)&lt;=3)),IF(C23="peso_corporal",IF(ISNUMBER(E23),E23,0)+I23,I23)*J23*1000+I23,0)=Y23,2,IF(IF((G23&gt;0)*(IF(H23="",-1,H23)=0)*(1-(IF(H23="",-1,H23)&gt;=1)*(IF(H23="",-1,H23)&lt;=3)),IF(C23="peso_corporal",IF(ISNUMBER(E23),E23,0)+F23,F23)*G23*1000+F23,0)=Y23,1,0))))))</f>
        <v>0</v>
      </c>
      <c r="AA23" s="69">
        <f>MAX(IF((G23&gt;=6)*(1-(IF(H23="",-1,H23)&gt;=1)*(IF(H23="",-1,H23)&lt;=3))*(1-(IF(H23="",-1,H23)=0)),IF(C23="peso_corporal",IF(ISNUMBER(E23),E23,0)+F23,F23)*(30+G23)*100+F23,0),IF((J23&gt;=6)*(1-(IF(K23="",-1,K23)&gt;=1)*(IF(K23="",-1,K23)&lt;=3))*(1-(IF(K23="",-1,K23)=0)),IF(C23="peso_corporal",IF(ISNUMBER(E23),E23,0)+I23,I23)*(30+J23)*100+I23,0),IF((M23&gt;=6)*(1-(IF(N23="",-1,N23)&gt;=1)*(IF(N23="",-1,N23)&lt;=3))*(1-(IF(N23="",-1,N23)=0)),IF(C23="peso_corporal",IF(ISNUMBER(E23),E23,0)+L23,L23)*(30+M23)*100+L23,0),IF((P23&gt;=6)*(1-(IF(Q23="",-1,Q23)&gt;=1)*(IF(Q23="",-1,Q23)&lt;=3))*(1-(IF(Q23="",-1,Q23)=0)),IF(C23="peso_corporal",IF(ISNUMBER(E23),E23,0)+O23,O23)*(30+P23)*100+O23,0),IF((S23&gt;=6)*(1-(IF(T23="",-1,T23)&gt;=1)*(IF(T23="",-1,T23)&lt;=3))*(1-(IF(T23="",-1,T23)=0)),IF(C23="peso_corporal",IF(ISNUMBER(E23),E23,0)+R23,R23)*(30+S23)*100+R23,0))</f>
        <v>0</v>
      </c>
      <c r="AB23" s="69">
        <f>IF(AA23=0,0,IF(IF((S23&gt;=6)*(1-(IF(T23="",-1,T23)&gt;=1)*(IF(T23="",-1,T23)&lt;=3))*(1-(IF(T23="",-1,T23)=0)),IF(C23="peso_corporal",IF(ISNUMBER(E23),E23,0)+R23,R23)*(30+S23)*100+R23,0)=AA23,5,IF(IF((P23&gt;=6)*(1-(IF(Q23="",-1,Q23)&gt;=1)*(IF(Q23="",-1,Q23)&lt;=3))*(1-(IF(Q23="",-1,Q23)=0)),IF(C23="peso_corporal",IF(ISNUMBER(E23),E23,0)+O23,O23)*(30+P23)*100+O23,0)=AA23,4,IF(IF((M23&gt;=6)*(1-(IF(N23="",-1,N23)&gt;=1)*(IF(N23="",-1,N23)&lt;=3))*(1-(IF(N23="",-1,N23)=0)),IF(C23="peso_corporal",IF(ISNUMBER(E23),E23,0)+L23,L23)*(30+M23)*100+L23,0)=AA23,3,IF(IF((J23&gt;=6)*(1-(IF(K23="",-1,K23)&gt;=1)*(IF(K23="",-1,K23)&lt;=3))*(1-(IF(K23="",-1,K23)=0)),IF(C23="peso_corporal",IF(ISNUMBER(E23),E23,0)+I23,I23)*(30+J23)*100+I23,0)=AA23,2,IF(IF((G23&gt;=6)*(1-(IF(H23="",-1,H23)&gt;=1)*(IF(H23="",-1,H23)&lt;=3))*(1-(IF(H23="",-1,H23)=0)),IF(C23="peso_corporal",IF(ISNUMBER(E23),E23,0)+F23,F23)*(30+G23)*100+F23,0)=AA23,1,0))))))</f>
        <v>0</v>
      </c>
      <c r="AC23" s="69" t="str">
        <f>IF(X23&gt;0,"A"&amp;X23,IF(Z23&gt;0,"B"&amp;Z23,IF(AB23&gt;0,"C"&amp;AB23,"")))</f>
        <v/>
      </c>
    </row>
    <row r="24" spans="1:29" ht="15" customHeight="1">
      <c r="A24" s="83" t="s">
        <v>103</v>
      </c>
      <c r="B24" s="73"/>
      <c r="C24" s="73"/>
      <c r="D24" s="73"/>
      <c r="E24" s="73"/>
      <c r="F24" s="73"/>
      <c r="G24" s="73"/>
      <c r="H24" s="73"/>
      <c r="I24" s="73"/>
      <c r="J24" s="73"/>
      <c r="K24" s="73"/>
      <c r="L24" s="73"/>
      <c r="M24" s="73"/>
      <c r="N24" s="73"/>
      <c r="O24" s="73"/>
      <c r="P24" s="73"/>
      <c r="Q24" s="73"/>
      <c r="R24" s="73"/>
      <c r="S24" s="73"/>
      <c r="T24" s="73"/>
      <c r="U24" s="73"/>
      <c r="V24" s="73"/>
      <c r="W24" s="69"/>
      <c r="X24" s="69"/>
      <c r="Y24" s="69"/>
      <c r="Z24" s="69"/>
      <c r="AA24" s="69"/>
      <c r="AB24" s="69"/>
      <c r="AC24" s="69"/>
    </row>
    <row r="25" spans="1:29" ht="20.100000000000001" customHeight="1">
      <c r="A25" s="14" t="s">
        <v>104</v>
      </c>
      <c r="B25" s="15" t="s">
        <v>105</v>
      </c>
      <c r="C25" s="16" t="str">
        <f>IFERROR(INDEX(EJERCICIOS!$D$3:$D$75,MATCH(A25&amp;"|"&amp;B25,EJERCICIOS!$G$3:$G$75,0)),"--")</f>
        <v>mancuerna</v>
      </c>
      <c r="D25" s="17">
        <v>3</v>
      </c>
      <c r="E25" s="18">
        <f>IFERROR(LOOKUP(2,1/(MEDIDAS_Y_PESO!$B$3:$B$3&lt;&gt;""),MEDIDAS_Y_PESO!$B$3:$B$3),"--")</f>
        <v>80</v>
      </c>
      <c r="F25" s="19"/>
      <c r="G25" s="20"/>
      <c r="H25" s="21"/>
      <c r="I25" s="19"/>
      <c r="J25" s="20"/>
      <c r="K25" s="21"/>
      <c r="L25" s="19"/>
      <c r="M25" s="20"/>
      <c r="N25" s="21"/>
      <c r="O25" s="19"/>
      <c r="P25" s="20"/>
      <c r="Q25" s="21"/>
      <c r="R25" s="19"/>
      <c r="S25" s="20"/>
      <c r="T25" s="21"/>
      <c r="U25" s="22" t="str">
        <f>IFERROR(IF(IF(X25&gt;0,X25,IF(Z25&gt;0,Z25,IF(AB25&gt;0,AB25,0)))=0,"--",ROUND(CHOOSE(IF(X25&gt;0,X25,IF(Z25&gt;0,Z25,IF(AB25&gt;0,AB25,0))),IF(C25="peso_corporal",IF(ISNUMBER(E25),E25,0)+F25,F25)*(1+G25/30),IF(C25="peso_corporal",IF(ISNUMBER(E25),E25,0)+I25,I25)*(1+J25/30),IF(C25="peso_corporal",IF(ISNUMBER(E25),E25,0)+L25,L25)*(1+M25/30),IF(C25="peso_corporal",IF(ISNUMBER(E25),E25,0)+O25,O25)*(1+P25/30),IF(C25="peso_corporal",IF(ISNUMBER(E25),E25,0)+R25,R25)*(1+S25/30)),1)),"--")</f>
        <v>--</v>
      </c>
      <c r="V25" s="23" t="str">
        <f>IF(SUGERENCIAS!N23="SIN","Sin datos anteriores",IF(SUGERENCIAS!N23="SUBIR_F","^ SUBIR FUERTE | Kg:"&amp;ROUND(SUGERENCIAS!K23,1)&amp;" R:"&amp;ROUND(SUGERENCIAS!L23,0)&amp;" RIR:"&amp;ROUND(SUGERENCIAS!M23,0),IF(SUGERENCIAS!N23="SUBIR_E","^ SUBIR (Est.) | Kg:"&amp;ROUND(SUGERENCIAS!K23,1)&amp;" R:"&amp;ROUND(SUGERENCIAS!L23,0)&amp;" RIR:"&amp;ROUND(SUGERENCIAS!M23,0),IF(SUGERENCIAS!N23="SUBIR","^ SUBIR | Kg:"&amp;ROUND(SUGERENCIAS!K23,1)&amp;" R:"&amp;ROUND(SUGERENCIAS!L23,0)&amp;" RIR:"&amp;ROUND(SUGERENCIAS!M23,0),IF(SUGERENCIAS!N23="BAJAR","v BAJAR | Kg:"&amp;ROUND(SUGERENCIAS!K23,1)&amp;" R:"&amp;ROUND(SUGERENCIAS!L23,0)&amp;" RIR:"&amp;ROUND(SUGERENCIAS!M23,0),"= MANT | Kg:"&amp;ROUND(SUGERENCIAS!K23,1)&amp;" R:"&amp;ROUND(SUGERENCIAS!L23,0)&amp;" RIR:"&amp;ROUND(SUGERENCIAS!M23,0))))))</f>
        <v>Sin datos anteriores</v>
      </c>
      <c r="W25" s="69">
        <f>MAX(IF((G25&gt;0)*(IF(H25="",-1,H25)&gt;=1)*(IF(H25="",-1,H25)&lt;=3),IF(C25="peso_corporal",IF(ISNUMBER(E25),E25,0)+F25,F25)*G25*1000+F25,0),IF((J25&gt;0)*(IF(K25="",-1,K25)&gt;=1)*(IF(K25="",-1,K25)&lt;=3),IF(C25="peso_corporal",IF(ISNUMBER(E25),E25,0)+I25,I25)*J25*1000+I25,0),IF((M25&gt;0)*(IF(N25="",-1,N25)&gt;=1)*(IF(N25="",-1,N25)&lt;=3),IF(C25="peso_corporal",IF(ISNUMBER(E25),E25,0)+L25,L25)*M25*1000+L25,0),IF((P25&gt;0)*(IF(Q25="",-1,Q25)&gt;=1)*(IF(Q25="",-1,Q25)&lt;=3),IF(C25="peso_corporal",IF(ISNUMBER(E25),E25,0)+O25,O25)*P25*1000+O25,0),IF((S25&gt;0)*(IF(T25="",-1,T25)&gt;=1)*(IF(T25="",-1,T25)&lt;=3),IF(C25="peso_corporal",IF(ISNUMBER(E25),E25,0)+R25,R25)*S25*1000+R25,0))</f>
        <v>0</v>
      </c>
      <c r="X25" s="69">
        <f>IF(W25=0,0,IF(IF((S25&gt;0)*(IF(T25="",-1,T25)&gt;=1)*(IF(T25="",-1,T25)&lt;=3),IF(C25="peso_corporal",IF(ISNUMBER(E25),E25,0)+R25,R25)*S25*1000+R25,0)=W25,5,IF(IF((P25&gt;0)*(IF(Q25="",-1,Q25)&gt;=1)*(IF(Q25="",-1,Q25)&lt;=3),IF(C25="peso_corporal",IF(ISNUMBER(E25),E25,0)+O25,O25)*P25*1000+O25,0)=W25,4,IF(IF((M25&gt;0)*(IF(N25="",-1,N25)&gt;=1)*(IF(N25="",-1,N25)&lt;=3),IF(C25="peso_corporal",IF(ISNUMBER(E25),E25,0)+L25,L25)*M25*1000+L25,0)=W25,3,IF(IF((J25&gt;0)*(IF(K25="",-1,K25)&gt;=1)*(IF(K25="",-1,K25)&lt;=3),IF(C25="peso_corporal",IF(ISNUMBER(E25),E25,0)+I25,I25)*J25*1000+I25,0)=W25,2,IF(IF((G25&gt;0)*(IF(H25="",-1,H25)&gt;=1)*(IF(H25="",-1,H25)&lt;=3),IF(C25="peso_corporal",IF(ISNUMBER(E25),E25,0)+F25,F25)*G25*1000+F25,0)=W25,1,0))))))</f>
        <v>0</v>
      </c>
      <c r="Y25" s="69">
        <f>MAX(IF((G25&gt;0)*(IF(H25="",-1,H25)=0)*(1-(IF(H25="",-1,H25)&gt;=1)*(IF(H25="",-1,H25)&lt;=3)),IF(C25="peso_corporal",IF(ISNUMBER(E25),E25,0)+F25,F25)*G25*1000+F25,0),IF((J25&gt;0)*(IF(K25="",-1,K25)=0)*(1-(IF(K25="",-1,K25)&gt;=1)*(IF(K25="",-1,K25)&lt;=3)),IF(C25="peso_corporal",IF(ISNUMBER(E25),E25,0)+I25,I25)*J25*1000+I25,0),IF((M25&gt;0)*(IF(N25="",-1,N25)=0)*(1-(IF(N25="",-1,N25)&gt;=1)*(IF(N25="",-1,N25)&lt;=3)),IF(C25="peso_corporal",IF(ISNUMBER(E25),E25,0)+L25,L25)*M25*1000+L25,0),IF((P25&gt;0)*(IF(Q25="",-1,Q25)=0)*(1-(IF(Q25="",-1,Q25)&gt;=1)*(IF(Q25="",-1,Q25)&lt;=3)),IF(C25="peso_corporal",IF(ISNUMBER(E25),E25,0)+O25,O25)*P25*1000+O25,0),IF((S25&gt;0)*(IF(T25="",-1,T25)=0)*(1-(IF(T25="",-1,T25)&gt;=1)*(IF(T25="",-1,T25)&lt;=3)),IF(C25="peso_corporal",IF(ISNUMBER(E25),E25,0)+R25,R25)*S25*1000+R25,0))</f>
        <v>0</v>
      </c>
      <c r="Z25" s="69">
        <f>IF(Y25=0,0,IF(IF((S25&gt;0)*(IF(T25="",-1,T25)=0)*(1-(IF(T25="",-1,T25)&gt;=1)*(IF(T25="",-1,T25)&lt;=3)),IF(C25="peso_corporal",IF(ISNUMBER(E25),E25,0)+R25,R25)*S25*1000+R25,0)=Y25,5,IF(IF((P25&gt;0)*(IF(Q25="",-1,Q25)=0)*(1-(IF(Q25="",-1,Q25)&gt;=1)*(IF(Q25="",-1,Q25)&lt;=3)),IF(C25="peso_corporal",IF(ISNUMBER(E25),E25,0)+O25,O25)*P25*1000+O25,0)=Y25,4,IF(IF((M25&gt;0)*(IF(N25="",-1,N25)=0)*(1-(IF(N25="",-1,N25)&gt;=1)*(IF(N25="",-1,N25)&lt;=3)),IF(C25="peso_corporal",IF(ISNUMBER(E25),E25,0)+L25,L25)*M25*1000+L25,0)=Y25,3,IF(IF((J25&gt;0)*(IF(K25="",-1,K25)=0)*(1-(IF(K25="",-1,K25)&gt;=1)*(IF(K25="",-1,K25)&lt;=3)),IF(C25="peso_corporal",IF(ISNUMBER(E25),E25,0)+I25,I25)*J25*1000+I25,0)=Y25,2,IF(IF((G25&gt;0)*(IF(H25="",-1,H25)=0)*(1-(IF(H25="",-1,H25)&gt;=1)*(IF(H25="",-1,H25)&lt;=3)),IF(C25="peso_corporal",IF(ISNUMBER(E25),E25,0)+F25,F25)*G25*1000+F25,0)=Y25,1,0))))))</f>
        <v>0</v>
      </c>
      <c r="AA25" s="69">
        <f>MAX(IF((G25&gt;=6)*(1-(IF(H25="",-1,H25)&gt;=1)*(IF(H25="",-1,H25)&lt;=3))*(1-(IF(H25="",-1,H25)=0)),IF(C25="peso_corporal",IF(ISNUMBER(E25),E25,0)+F25,F25)*(30+G25)*100+F25,0),IF((J25&gt;=6)*(1-(IF(K25="",-1,K25)&gt;=1)*(IF(K25="",-1,K25)&lt;=3))*(1-(IF(K25="",-1,K25)=0)),IF(C25="peso_corporal",IF(ISNUMBER(E25),E25,0)+I25,I25)*(30+J25)*100+I25,0),IF((M25&gt;=6)*(1-(IF(N25="",-1,N25)&gt;=1)*(IF(N25="",-1,N25)&lt;=3))*(1-(IF(N25="",-1,N25)=0)),IF(C25="peso_corporal",IF(ISNUMBER(E25),E25,0)+L25,L25)*(30+M25)*100+L25,0),IF((P25&gt;=6)*(1-(IF(Q25="",-1,Q25)&gt;=1)*(IF(Q25="",-1,Q25)&lt;=3))*(1-(IF(Q25="",-1,Q25)=0)),IF(C25="peso_corporal",IF(ISNUMBER(E25),E25,0)+O25,O25)*(30+P25)*100+O25,0),IF((S25&gt;=6)*(1-(IF(T25="",-1,T25)&gt;=1)*(IF(T25="",-1,T25)&lt;=3))*(1-(IF(T25="",-1,T25)=0)),IF(C25="peso_corporal",IF(ISNUMBER(E25),E25,0)+R25,R25)*(30+S25)*100+R25,0))</f>
        <v>0</v>
      </c>
      <c r="AB25" s="69">
        <f>IF(AA25=0,0,IF(IF((S25&gt;=6)*(1-(IF(T25="",-1,T25)&gt;=1)*(IF(T25="",-1,T25)&lt;=3))*(1-(IF(T25="",-1,T25)=0)),IF(C25="peso_corporal",IF(ISNUMBER(E25),E25,0)+R25,R25)*(30+S25)*100+R25,0)=AA25,5,IF(IF((P25&gt;=6)*(1-(IF(Q25="",-1,Q25)&gt;=1)*(IF(Q25="",-1,Q25)&lt;=3))*(1-(IF(Q25="",-1,Q25)=0)),IF(C25="peso_corporal",IF(ISNUMBER(E25),E25,0)+O25,O25)*(30+P25)*100+O25,0)=AA25,4,IF(IF((M25&gt;=6)*(1-(IF(N25="",-1,N25)&gt;=1)*(IF(N25="",-1,N25)&lt;=3))*(1-(IF(N25="",-1,N25)=0)),IF(C25="peso_corporal",IF(ISNUMBER(E25),E25,0)+L25,L25)*(30+M25)*100+L25,0)=AA25,3,IF(IF((J25&gt;=6)*(1-(IF(K25="",-1,K25)&gt;=1)*(IF(K25="",-1,K25)&lt;=3))*(1-(IF(K25="",-1,K25)=0)),IF(C25="peso_corporal",IF(ISNUMBER(E25),E25,0)+I25,I25)*(30+J25)*100+I25,0)=AA25,2,IF(IF((G25&gt;=6)*(1-(IF(H25="",-1,H25)&gt;=1)*(IF(H25="",-1,H25)&lt;=3))*(1-(IF(H25="",-1,H25)=0)),IF(C25="peso_corporal",IF(ISNUMBER(E25),E25,0)+F25,F25)*(30+G25)*100+F25,0)=AA25,1,0))))))</f>
        <v>0</v>
      </c>
      <c r="AC25" s="69" t="str">
        <f>IF(X25&gt;0,"A"&amp;X25,IF(Z25&gt;0,"B"&amp;Z25,IF(AB25&gt;0,"C"&amp;AB25,"")))</f>
        <v/>
      </c>
    </row>
    <row r="26" spans="1:29" ht="15" customHeight="1">
      <c r="A26" s="82" t="s">
        <v>47</v>
      </c>
      <c r="B26" s="73"/>
      <c r="C26" s="73"/>
      <c r="D26" s="73"/>
      <c r="E26" s="73"/>
      <c r="F26" s="73"/>
      <c r="G26" s="73"/>
      <c r="H26" s="73"/>
      <c r="I26" s="73"/>
      <c r="J26" s="73"/>
      <c r="K26" s="73"/>
      <c r="L26" s="73"/>
      <c r="M26" s="73"/>
      <c r="N26" s="73"/>
      <c r="O26" s="73"/>
      <c r="P26" s="73"/>
      <c r="Q26" s="73"/>
      <c r="R26" s="73"/>
      <c r="S26" s="73"/>
      <c r="T26" s="73"/>
      <c r="U26" s="73"/>
      <c r="V26" s="73"/>
      <c r="W26" s="69"/>
      <c r="X26" s="69"/>
      <c r="Y26" s="69"/>
      <c r="Z26" s="69"/>
      <c r="AA26" s="69"/>
      <c r="AB26" s="69"/>
      <c r="AC26" s="69"/>
    </row>
    <row r="27" spans="1:29" ht="20.100000000000001" customHeight="1">
      <c r="A27" s="14" t="s">
        <v>106</v>
      </c>
      <c r="B27" s="15" t="s">
        <v>107</v>
      </c>
      <c r="C27" s="16" t="str">
        <f>IFERROR(INDEX(EJERCICIOS!$D$3:$D$75,MATCH(A27&amp;"|"&amp;B27,EJERCICIOS!$G$3:$G$75,0)),"--")</f>
        <v>--</v>
      </c>
      <c r="D27" s="17">
        <v>3</v>
      </c>
      <c r="E27" s="18">
        <f>IFERROR(LOOKUP(2,1/(MEDIDAS_Y_PESO!$B$3:$B$3&lt;&gt;""),MEDIDAS_Y_PESO!$B$3:$B$3),"--")</f>
        <v>80</v>
      </c>
      <c r="F27" s="19"/>
      <c r="G27" s="20"/>
      <c r="H27" s="21"/>
      <c r="I27" s="19"/>
      <c r="J27" s="20"/>
      <c r="K27" s="21"/>
      <c r="L27" s="19"/>
      <c r="M27" s="20"/>
      <c r="N27" s="21"/>
      <c r="O27" s="19"/>
      <c r="P27" s="20"/>
      <c r="Q27" s="21"/>
      <c r="R27" s="19"/>
      <c r="S27" s="20"/>
      <c r="T27" s="21"/>
      <c r="U27" s="22" t="str">
        <f>IFERROR(IF(IF(X27&gt;0,X27,IF(Z27&gt;0,Z27,IF(AB27&gt;0,AB27,0)))=0,"--",ROUND(CHOOSE(IF(X27&gt;0,X27,IF(Z27&gt;0,Z27,IF(AB27&gt;0,AB27,0))),IF(C27="peso_corporal",IF(ISNUMBER(E27),E27,0)+F27,F27)*(1+G27/30),IF(C27="peso_corporal",IF(ISNUMBER(E27),E27,0)+I27,I27)*(1+J27/30),IF(C27="peso_corporal",IF(ISNUMBER(E27),E27,0)+L27,L27)*(1+M27/30),IF(C27="peso_corporal",IF(ISNUMBER(E27),E27,0)+O27,O27)*(1+P27/30),IF(C27="peso_corporal",IF(ISNUMBER(E27),E27,0)+R27,R27)*(1+S27/30)),1)),"--")</f>
        <v>--</v>
      </c>
      <c r="V27" s="23" t="str">
        <f>IF(SUGERENCIAS!N24="SIN","Sin datos anteriores",IF(SUGERENCIAS!N24="SUBIR_F","^ SUBIR FUERTE | Kg:"&amp;ROUND(SUGERENCIAS!K24,1)&amp;" R:"&amp;ROUND(SUGERENCIAS!L24,0)&amp;" RIR:"&amp;ROUND(SUGERENCIAS!M24,0),IF(SUGERENCIAS!N24="SUBIR_E","^ SUBIR (Est.) | Kg:"&amp;ROUND(SUGERENCIAS!K24,1)&amp;" R:"&amp;ROUND(SUGERENCIAS!L24,0)&amp;" RIR:"&amp;ROUND(SUGERENCIAS!M24,0),IF(SUGERENCIAS!N24="SUBIR","^ SUBIR | Kg:"&amp;ROUND(SUGERENCIAS!K24,1)&amp;" R:"&amp;ROUND(SUGERENCIAS!L24,0)&amp;" RIR:"&amp;ROUND(SUGERENCIAS!M24,0),IF(SUGERENCIAS!N24="BAJAR","v BAJAR | Kg:"&amp;ROUND(SUGERENCIAS!K24,1)&amp;" R:"&amp;ROUND(SUGERENCIAS!L24,0)&amp;" RIR:"&amp;ROUND(SUGERENCIAS!M24,0),"= MANT | Kg:"&amp;ROUND(SUGERENCIAS!K24,1)&amp;" R:"&amp;ROUND(SUGERENCIAS!L24,0)&amp;" RIR:"&amp;ROUND(SUGERENCIAS!M24,0))))))</f>
        <v>Sin datos anteriores</v>
      </c>
      <c r="W27" s="69">
        <f>MAX(IF((G27&gt;0)*(IF(H27="",-1,H27)&gt;=1)*(IF(H27="",-1,H27)&lt;=3),IF(C27="peso_corporal",IF(ISNUMBER(E27),E27,0)+F27,F27)*G27*1000+F27,0),IF((J27&gt;0)*(IF(K27="",-1,K27)&gt;=1)*(IF(K27="",-1,K27)&lt;=3),IF(C27="peso_corporal",IF(ISNUMBER(E27),E27,0)+I27,I27)*J27*1000+I27,0),IF((M27&gt;0)*(IF(N27="",-1,N27)&gt;=1)*(IF(N27="",-1,N27)&lt;=3),IF(C27="peso_corporal",IF(ISNUMBER(E27),E27,0)+L27,L27)*M27*1000+L27,0),IF((P27&gt;0)*(IF(Q27="",-1,Q27)&gt;=1)*(IF(Q27="",-1,Q27)&lt;=3),IF(C27="peso_corporal",IF(ISNUMBER(E27),E27,0)+O27,O27)*P27*1000+O27,0),IF((S27&gt;0)*(IF(T27="",-1,T27)&gt;=1)*(IF(T27="",-1,T27)&lt;=3),IF(C27="peso_corporal",IF(ISNUMBER(E27),E27,0)+R27,R27)*S27*1000+R27,0))</f>
        <v>0</v>
      </c>
      <c r="X27" s="69">
        <f>IF(W27=0,0,IF(IF((S27&gt;0)*(IF(T27="",-1,T27)&gt;=1)*(IF(T27="",-1,T27)&lt;=3),IF(C27="peso_corporal",IF(ISNUMBER(E27),E27,0)+R27,R27)*S27*1000+R27,0)=W27,5,IF(IF((P27&gt;0)*(IF(Q27="",-1,Q27)&gt;=1)*(IF(Q27="",-1,Q27)&lt;=3),IF(C27="peso_corporal",IF(ISNUMBER(E27),E27,0)+O27,O27)*P27*1000+O27,0)=W27,4,IF(IF((M27&gt;0)*(IF(N27="",-1,N27)&gt;=1)*(IF(N27="",-1,N27)&lt;=3),IF(C27="peso_corporal",IF(ISNUMBER(E27),E27,0)+L27,L27)*M27*1000+L27,0)=W27,3,IF(IF((J27&gt;0)*(IF(K27="",-1,K27)&gt;=1)*(IF(K27="",-1,K27)&lt;=3),IF(C27="peso_corporal",IF(ISNUMBER(E27),E27,0)+I27,I27)*J27*1000+I27,0)=W27,2,IF(IF((G27&gt;0)*(IF(H27="",-1,H27)&gt;=1)*(IF(H27="",-1,H27)&lt;=3),IF(C27="peso_corporal",IF(ISNUMBER(E27),E27,0)+F27,F27)*G27*1000+F27,0)=W27,1,0))))))</f>
        <v>0</v>
      </c>
      <c r="Y27" s="69">
        <f>MAX(IF((G27&gt;0)*(IF(H27="",-1,H27)=0)*(1-(IF(H27="",-1,H27)&gt;=1)*(IF(H27="",-1,H27)&lt;=3)),IF(C27="peso_corporal",IF(ISNUMBER(E27),E27,0)+F27,F27)*G27*1000+F27,0),IF((J27&gt;0)*(IF(K27="",-1,K27)=0)*(1-(IF(K27="",-1,K27)&gt;=1)*(IF(K27="",-1,K27)&lt;=3)),IF(C27="peso_corporal",IF(ISNUMBER(E27),E27,0)+I27,I27)*J27*1000+I27,0),IF((M27&gt;0)*(IF(N27="",-1,N27)=0)*(1-(IF(N27="",-1,N27)&gt;=1)*(IF(N27="",-1,N27)&lt;=3)),IF(C27="peso_corporal",IF(ISNUMBER(E27),E27,0)+L27,L27)*M27*1000+L27,0),IF((P27&gt;0)*(IF(Q27="",-1,Q27)=0)*(1-(IF(Q27="",-1,Q27)&gt;=1)*(IF(Q27="",-1,Q27)&lt;=3)),IF(C27="peso_corporal",IF(ISNUMBER(E27),E27,0)+O27,O27)*P27*1000+O27,0),IF((S27&gt;0)*(IF(T27="",-1,T27)=0)*(1-(IF(T27="",-1,T27)&gt;=1)*(IF(T27="",-1,T27)&lt;=3)),IF(C27="peso_corporal",IF(ISNUMBER(E27),E27,0)+R27,R27)*S27*1000+R27,0))</f>
        <v>0</v>
      </c>
      <c r="Z27" s="69">
        <f>IF(Y27=0,0,IF(IF((S27&gt;0)*(IF(T27="",-1,T27)=0)*(1-(IF(T27="",-1,T27)&gt;=1)*(IF(T27="",-1,T27)&lt;=3)),IF(C27="peso_corporal",IF(ISNUMBER(E27),E27,0)+R27,R27)*S27*1000+R27,0)=Y27,5,IF(IF((P27&gt;0)*(IF(Q27="",-1,Q27)=0)*(1-(IF(Q27="",-1,Q27)&gt;=1)*(IF(Q27="",-1,Q27)&lt;=3)),IF(C27="peso_corporal",IF(ISNUMBER(E27),E27,0)+O27,O27)*P27*1000+O27,0)=Y27,4,IF(IF((M27&gt;0)*(IF(N27="",-1,N27)=0)*(1-(IF(N27="",-1,N27)&gt;=1)*(IF(N27="",-1,N27)&lt;=3)),IF(C27="peso_corporal",IF(ISNUMBER(E27),E27,0)+L27,L27)*M27*1000+L27,0)=Y27,3,IF(IF((J27&gt;0)*(IF(K27="",-1,K27)=0)*(1-(IF(K27="",-1,K27)&gt;=1)*(IF(K27="",-1,K27)&lt;=3)),IF(C27="peso_corporal",IF(ISNUMBER(E27),E27,0)+I27,I27)*J27*1000+I27,0)=Y27,2,IF(IF((G27&gt;0)*(IF(H27="",-1,H27)=0)*(1-(IF(H27="",-1,H27)&gt;=1)*(IF(H27="",-1,H27)&lt;=3)),IF(C27="peso_corporal",IF(ISNUMBER(E27),E27,0)+F27,F27)*G27*1000+F27,0)=Y27,1,0))))))</f>
        <v>0</v>
      </c>
      <c r="AA27" s="69">
        <f>MAX(IF((G27&gt;=6)*(1-(IF(H27="",-1,H27)&gt;=1)*(IF(H27="",-1,H27)&lt;=3))*(1-(IF(H27="",-1,H27)=0)),IF(C27="peso_corporal",IF(ISNUMBER(E27),E27,0)+F27,F27)*(30+G27)*100+F27,0),IF((J27&gt;=6)*(1-(IF(K27="",-1,K27)&gt;=1)*(IF(K27="",-1,K27)&lt;=3))*(1-(IF(K27="",-1,K27)=0)),IF(C27="peso_corporal",IF(ISNUMBER(E27),E27,0)+I27,I27)*(30+J27)*100+I27,0),IF((M27&gt;=6)*(1-(IF(N27="",-1,N27)&gt;=1)*(IF(N27="",-1,N27)&lt;=3))*(1-(IF(N27="",-1,N27)=0)),IF(C27="peso_corporal",IF(ISNUMBER(E27),E27,0)+L27,L27)*(30+M27)*100+L27,0),IF((P27&gt;=6)*(1-(IF(Q27="",-1,Q27)&gt;=1)*(IF(Q27="",-1,Q27)&lt;=3))*(1-(IF(Q27="",-1,Q27)=0)),IF(C27="peso_corporal",IF(ISNUMBER(E27),E27,0)+O27,O27)*(30+P27)*100+O27,0),IF((S27&gt;=6)*(1-(IF(T27="",-1,T27)&gt;=1)*(IF(T27="",-1,T27)&lt;=3))*(1-(IF(T27="",-1,T27)=0)),IF(C27="peso_corporal",IF(ISNUMBER(E27),E27,0)+R27,R27)*(30+S27)*100+R27,0))</f>
        <v>0</v>
      </c>
      <c r="AB27" s="69">
        <f>IF(AA27=0,0,IF(IF((S27&gt;=6)*(1-(IF(T27="",-1,T27)&gt;=1)*(IF(T27="",-1,T27)&lt;=3))*(1-(IF(T27="",-1,T27)=0)),IF(C27="peso_corporal",IF(ISNUMBER(E27),E27,0)+R27,R27)*(30+S27)*100+R27,0)=AA27,5,IF(IF((P27&gt;=6)*(1-(IF(Q27="",-1,Q27)&gt;=1)*(IF(Q27="",-1,Q27)&lt;=3))*(1-(IF(Q27="",-1,Q27)=0)),IF(C27="peso_corporal",IF(ISNUMBER(E27),E27,0)+O27,O27)*(30+P27)*100+O27,0)=AA27,4,IF(IF((M27&gt;=6)*(1-(IF(N27="",-1,N27)&gt;=1)*(IF(N27="",-1,N27)&lt;=3))*(1-(IF(N27="",-1,N27)=0)),IF(C27="peso_corporal",IF(ISNUMBER(E27),E27,0)+L27,L27)*(30+M27)*100+L27,0)=AA27,3,IF(IF((J27&gt;=6)*(1-(IF(K27="",-1,K27)&gt;=1)*(IF(K27="",-1,K27)&lt;=3))*(1-(IF(K27="",-1,K27)=0)),IF(C27="peso_corporal",IF(ISNUMBER(E27),E27,0)+I27,I27)*(30+J27)*100+I27,0)=AA27,2,IF(IF((G27&gt;=6)*(1-(IF(H27="",-1,H27)&gt;=1)*(IF(H27="",-1,H27)&lt;=3))*(1-(IF(H27="",-1,H27)=0)),IF(C27="peso_corporal",IF(ISNUMBER(E27),E27,0)+F27,F27)*(30+G27)*100+F27,0)=AA27,1,0))))))</f>
        <v>0</v>
      </c>
      <c r="AC27" s="69" t="str">
        <f>IF(X27&gt;0,"A"&amp;X27,IF(Z27&gt;0,"B"&amp;Z27,IF(AB27&gt;0,"C"&amp;AB27,"")))</f>
        <v/>
      </c>
    </row>
    <row r="28" spans="1:29" ht="15" customHeight="1">
      <c r="A28" s="72" t="s">
        <v>56</v>
      </c>
      <c r="B28" s="73"/>
      <c r="C28" s="73"/>
      <c r="D28" s="73"/>
      <c r="E28" s="73"/>
      <c r="F28" s="73"/>
      <c r="G28" s="73"/>
      <c r="H28" s="73"/>
      <c r="I28" s="73"/>
      <c r="J28" s="73"/>
      <c r="K28" s="73"/>
      <c r="L28" s="73"/>
      <c r="M28" s="73"/>
      <c r="N28" s="73"/>
      <c r="O28" s="73"/>
      <c r="P28" s="73"/>
      <c r="Q28" s="73"/>
      <c r="R28" s="73"/>
      <c r="S28" s="73"/>
      <c r="T28" s="73"/>
      <c r="U28" s="73"/>
      <c r="V28" s="73"/>
      <c r="W28" s="69"/>
      <c r="X28" s="69"/>
      <c r="Y28" s="69"/>
      <c r="Z28" s="69"/>
      <c r="AA28" s="69"/>
      <c r="AB28" s="69"/>
      <c r="AC28" s="69"/>
    </row>
    <row r="29" spans="1:29" ht="20.100000000000001" customHeight="1">
      <c r="A29" s="14" t="s">
        <v>57</v>
      </c>
      <c r="B29" s="15" t="s">
        <v>58</v>
      </c>
      <c r="C29" s="16" t="str">
        <f>IFERROR(INDEX(EJERCICIOS!$D$3:$D$75,MATCH(A29&amp;"|"&amp;B29,EJERCICIOS!$G$3:$G$75,0)),"--")</f>
        <v>polea</v>
      </c>
      <c r="D29" s="17">
        <v>3</v>
      </c>
      <c r="E29" s="18">
        <f>IFERROR(LOOKUP(2,1/(MEDIDAS_Y_PESO!$B$3:$B$3&lt;&gt;""),MEDIDAS_Y_PESO!$B$3:$B$3),"--")</f>
        <v>80</v>
      </c>
      <c r="F29" s="19"/>
      <c r="G29" s="20"/>
      <c r="H29" s="21"/>
      <c r="I29" s="19"/>
      <c r="J29" s="20"/>
      <c r="K29" s="21"/>
      <c r="L29" s="19"/>
      <c r="M29" s="20"/>
      <c r="N29" s="21"/>
      <c r="O29" s="19"/>
      <c r="P29" s="20"/>
      <c r="Q29" s="21"/>
      <c r="R29" s="19"/>
      <c r="S29" s="20"/>
      <c r="T29" s="21"/>
      <c r="U29" s="22" t="str">
        <f>IFERROR(IF(IF(X29&gt;0,X29,IF(Z29&gt;0,Z29,IF(AB29&gt;0,AB29,0)))=0,"--",ROUND(CHOOSE(IF(X29&gt;0,X29,IF(Z29&gt;0,Z29,IF(AB29&gt;0,AB29,0))),IF(C29="peso_corporal",IF(ISNUMBER(E29),E29,0)+F29,F29)*(1+G29/30),IF(C29="peso_corporal",IF(ISNUMBER(E29),E29,0)+I29,I29)*(1+J29/30),IF(C29="peso_corporal",IF(ISNUMBER(E29),E29,0)+L29,L29)*(1+M29/30),IF(C29="peso_corporal",IF(ISNUMBER(E29),E29,0)+O29,O29)*(1+P29/30),IF(C29="peso_corporal",IF(ISNUMBER(E29),E29,0)+R29,R29)*(1+S29/30)),1)),"--")</f>
        <v>--</v>
      </c>
      <c r="V29" s="23" t="str">
        <f>IF(SUGERENCIAS!N25="SIN","Sin datos anteriores",IF(SUGERENCIAS!N25="SUBIR_F","^ SUBIR FUERTE | Kg:"&amp;ROUND(SUGERENCIAS!K25,1)&amp;" R:"&amp;ROUND(SUGERENCIAS!L25,0)&amp;" RIR:"&amp;ROUND(SUGERENCIAS!M25,0),IF(SUGERENCIAS!N25="SUBIR_E","^ SUBIR (Est.) | Kg:"&amp;ROUND(SUGERENCIAS!K25,1)&amp;" R:"&amp;ROUND(SUGERENCIAS!L25,0)&amp;" RIR:"&amp;ROUND(SUGERENCIAS!M25,0),IF(SUGERENCIAS!N25="SUBIR","^ SUBIR | Kg:"&amp;ROUND(SUGERENCIAS!K25,1)&amp;" R:"&amp;ROUND(SUGERENCIAS!L25,0)&amp;" RIR:"&amp;ROUND(SUGERENCIAS!M25,0),IF(SUGERENCIAS!N25="BAJAR","v BAJAR | Kg:"&amp;ROUND(SUGERENCIAS!K25,1)&amp;" R:"&amp;ROUND(SUGERENCIAS!L25,0)&amp;" RIR:"&amp;ROUND(SUGERENCIAS!M25,0),"= MANT | Kg:"&amp;ROUND(SUGERENCIAS!K25,1)&amp;" R:"&amp;ROUND(SUGERENCIAS!L25,0)&amp;" RIR:"&amp;ROUND(SUGERENCIAS!M25,0))))))</f>
        <v>Sin datos anteriores</v>
      </c>
      <c r="W29" s="69">
        <f>MAX(IF((G29&gt;0)*(IF(H29="",-1,H29)&gt;=1)*(IF(H29="",-1,H29)&lt;=3),IF(C29="peso_corporal",IF(ISNUMBER(E29),E29,0)+F29,F29)*G29*1000+F29,0),IF((J29&gt;0)*(IF(K29="",-1,K29)&gt;=1)*(IF(K29="",-1,K29)&lt;=3),IF(C29="peso_corporal",IF(ISNUMBER(E29),E29,0)+I29,I29)*J29*1000+I29,0),IF((M29&gt;0)*(IF(N29="",-1,N29)&gt;=1)*(IF(N29="",-1,N29)&lt;=3),IF(C29="peso_corporal",IF(ISNUMBER(E29),E29,0)+L29,L29)*M29*1000+L29,0),IF((P29&gt;0)*(IF(Q29="",-1,Q29)&gt;=1)*(IF(Q29="",-1,Q29)&lt;=3),IF(C29="peso_corporal",IF(ISNUMBER(E29),E29,0)+O29,O29)*P29*1000+O29,0),IF((S29&gt;0)*(IF(T29="",-1,T29)&gt;=1)*(IF(T29="",-1,T29)&lt;=3),IF(C29="peso_corporal",IF(ISNUMBER(E29),E29,0)+R29,R29)*S29*1000+R29,0))</f>
        <v>0</v>
      </c>
      <c r="X29" s="69">
        <f>IF(W29=0,0,IF(IF((S29&gt;0)*(IF(T29="",-1,T29)&gt;=1)*(IF(T29="",-1,T29)&lt;=3),IF(C29="peso_corporal",IF(ISNUMBER(E29),E29,0)+R29,R29)*S29*1000+R29,0)=W29,5,IF(IF((P29&gt;0)*(IF(Q29="",-1,Q29)&gt;=1)*(IF(Q29="",-1,Q29)&lt;=3),IF(C29="peso_corporal",IF(ISNUMBER(E29),E29,0)+O29,O29)*P29*1000+O29,0)=W29,4,IF(IF((M29&gt;0)*(IF(N29="",-1,N29)&gt;=1)*(IF(N29="",-1,N29)&lt;=3),IF(C29="peso_corporal",IF(ISNUMBER(E29),E29,0)+L29,L29)*M29*1000+L29,0)=W29,3,IF(IF((J29&gt;0)*(IF(K29="",-1,K29)&gt;=1)*(IF(K29="",-1,K29)&lt;=3),IF(C29="peso_corporal",IF(ISNUMBER(E29),E29,0)+I29,I29)*J29*1000+I29,0)=W29,2,IF(IF((G29&gt;0)*(IF(H29="",-1,H29)&gt;=1)*(IF(H29="",-1,H29)&lt;=3),IF(C29="peso_corporal",IF(ISNUMBER(E29),E29,0)+F29,F29)*G29*1000+F29,0)=W29,1,0))))))</f>
        <v>0</v>
      </c>
      <c r="Y29" s="69">
        <f>MAX(IF((G29&gt;0)*(IF(H29="",-1,H29)=0)*(1-(IF(H29="",-1,H29)&gt;=1)*(IF(H29="",-1,H29)&lt;=3)),IF(C29="peso_corporal",IF(ISNUMBER(E29),E29,0)+F29,F29)*G29*1000+F29,0),IF((J29&gt;0)*(IF(K29="",-1,K29)=0)*(1-(IF(K29="",-1,K29)&gt;=1)*(IF(K29="",-1,K29)&lt;=3)),IF(C29="peso_corporal",IF(ISNUMBER(E29),E29,0)+I29,I29)*J29*1000+I29,0),IF((M29&gt;0)*(IF(N29="",-1,N29)=0)*(1-(IF(N29="",-1,N29)&gt;=1)*(IF(N29="",-1,N29)&lt;=3)),IF(C29="peso_corporal",IF(ISNUMBER(E29),E29,0)+L29,L29)*M29*1000+L29,0),IF((P29&gt;0)*(IF(Q29="",-1,Q29)=0)*(1-(IF(Q29="",-1,Q29)&gt;=1)*(IF(Q29="",-1,Q29)&lt;=3)),IF(C29="peso_corporal",IF(ISNUMBER(E29),E29,0)+O29,O29)*P29*1000+O29,0),IF((S29&gt;0)*(IF(T29="",-1,T29)=0)*(1-(IF(T29="",-1,T29)&gt;=1)*(IF(T29="",-1,T29)&lt;=3)),IF(C29="peso_corporal",IF(ISNUMBER(E29),E29,0)+R29,R29)*S29*1000+R29,0))</f>
        <v>0</v>
      </c>
      <c r="Z29" s="69">
        <f>IF(Y29=0,0,IF(IF((S29&gt;0)*(IF(T29="",-1,T29)=0)*(1-(IF(T29="",-1,T29)&gt;=1)*(IF(T29="",-1,T29)&lt;=3)),IF(C29="peso_corporal",IF(ISNUMBER(E29),E29,0)+R29,R29)*S29*1000+R29,0)=Y29,5,IF(IF((P29&gt;0)*(IF(Q29="",-1,Q29)=0)*(1-(IF(Q29="",-1,Q29)&gt;=1)*(IF(Q29="",-1,Q29)&lt;=3)),IF(C29="peso_corporal",IF(ISNUMBER(E29),E29,0)+O29,O29)*P29*1000+O29,0)=Y29,4,IF(IF((M29&gt;0)*(IF(N29="",-1,N29)=0)*(1-(IF(N29="",-1,N29)&gt;=1)*(IF(N29="",-1,N29)&lt;=3)),IF(C29="peso_corporal",IF(ISNUMBER(E29),E29,0)+L29,L29)*M29*1000+L29,0)=Y29,3,IF(IF((J29&gt;0)*(IF(K29="",-1,K29)=0)*(1-(IF(K29="",-1,K29)&gt;=1)*(IF(K29="",-1,K29)&lt;=3)),IF(C29="peso_corporal",IF(ISNUMBER(E29),E29,0)+I29,I29)*J29*1000+I29,0)=Y29,2,IF(IF((G29&gt;0)*(IF(H29="",-1,H29)=0)*(1-(IF(H29="",-1,H29)&gt;=1)*(IF(H29="",-1,H29)&lt;=3)),IF(C29="peso_corporal",IF(ISNUMBER(E29),E29,0)+F29,F29)*G29*1000+F29,0)=Y29,1,0))))))</f>
        <v>0</v>
      </c>
      <c r="AA29" s="69">
        <f>MAX(IF((G29&gt;=6)*(1-(IF(H29="",-1,H29)&gt;=1)*(IF(H29="",-1,H29)&lt;=3))*(1-(IF(H29="",-1,H29)=0)),IF(C29="peso_corporal",IF(ISNUMBER(E29),E29,0)+F29,F29)*(30+G29)*100+F29,0),IF((J29&gt;=6)*(1-(IF(K29="",-1,K29)&gt;=1)*(IF(K29="",-1,K29)&lt;=3))*(1-(IF(K29="",-1,K29)=0)),IF(C29="peso_corporal",IF(ISNUMBER(E29),E29,0)+I29,I29)*(30+J29)*100+I29,0),IF((M29&gt;=6)*(1-(IF(N29="",-1,N29)&gt;=1)*(IF(N29="",-1,N29)&lt;=3))*(1-(IF(N29="",-1,N29)=0)),IF(C29="peso_corporal",IF(ISNUMBER(E29),E29,0)+L29,L29)*(30+M29)*100+L29,0),IF((P29&gt;=6)*(1-(IF(Q29="",-1,Q29)&gt;=1)*(IF(Q29="",-1,Q29)&lt;=3))*(1-(IF(Q29="",-1,Q29)=0)),IF(C29="peso_corporal",IF(ISNUMBER(E29),E29,0)+O29,O29)*(30+P29)*100+O29,0),IF((S29&gt;=6)*(1-(IF(T29="",-1,T29)&gt;=1)*(IF(T29="",-1,T29)&lt;=3))*(1-(IF(T29="",-1,T29)=0)),IF(C29="peso_corporal",IF(ISNUMBER(E29),E29,0)+R29,R29)*(30+S29)*100+R29,0))</f>
        <v>0</v>
      </c>
      <c r="AB29" s="69">
        <f>IF(AA29=0,0,IF(IF((S29&gt;=6)*(1-(IF(T29="",-1,T29)&gt;=1)*(IF(T29="",-1,T29)&lt;=3))*(1-(IF(T29="",-1,T29)=0)),IF(C29="peso_corporal",IF(ISNUMBER(E29),E29,0)+R29,R29)*(30+S29)*100+R29,0)=AA29,5,IF(IF((P29&gt;=6)*(1-(IF(Q29="",-1,Q29)&gt;=1)*(IF(Q29="",-1,Q29)&lt;=3))*(1-(IF(Q29="",-1,Q29)=0)),IF(C29="peso_corporal",IF(ISNUMBER(E29),E29,0)+O29,O29)*(30+P29)*100+O29,0)=AA29,4,IF(IF((M29&gt;=6)*(1-(IF(N29="",-1,N29)&gt;=1)*(IF(N29="",-1,N29)&lt;=3))*(1-(IF(N29="",-1,N29)=0)),IF(C29="peso_corporal",IF(ISNUMBER(E29),E29,0)+L29,L29)*(30+M29)*100+L29,0)=AA29,3,IF(IF((J29&gt;=6)*(1-(IF(K29="",-1,K29)&gt;=1)*(IF(K29="",-1,K29)&lt;=3))*(1-(IF(K29="",-1,K29)=0)),IF(C29="peso_corporal",IF(ISNUMBER(E29),E29,0)+I29,I29)*(30+J29)*100+I29,0)=AA29,2,IF(IF((G29&gt;=6)*(1-(IF(H29="",-1,H29)&gt;=1)*(IF(H29="",-1,H29)&lt;=3))*(1-(IF(H29="",-1,H29)=0)),IF(C29="peso_corporal",IF(ISNUMBER(E29),E29,0)+F29,F29)*(30+G29)*100+F29,0)=AA29,1,0))))))</f>
        <v>0</v>
      </c>
      <c r="AC29" s="69" t="str">
        <f>IF(X29&gt;0,"A"&amp;X29,IF(Z29&gt;0,"B"&amp;Z29,IF(AB29&gt;0,"C"&amp;AB29,"")))</f>
        <v/>
      </c>
    </row>
    <row r="30" spans="1:29" ht="6" customHeight="1">
      <c r="A30" s="13"/>
      <c r="B30" s="13"/>
      <c r="C30" s="13"/>
      <c r="D30" s="13"/>
      <c r="E30" s="13"/>
      <c r="F30" s="13"/>
      <c r="G30" s="13"/>
      <c r="H30" s="13"/>
      <c r="I30" s="13"/>
      <c r="J30" s="13"/>
      <c r="K30" s="13"/>
      <c r="L30" s="13"/>
      <c r="M30" s="13"/>
      <c r="N30" s="13"/>
      <c r="O30" s="13"/>
      <c r="P30" s="13"/>
      <c r="Q30" s="13"/>
      <c r="R30" s="13"/>
      <c r="S30" s="13"/>
      <c r="T30" s="13"/>
      <c r="U30" s="13"/>
      <c r="V30" s="13"/>
      <c r="W30" s="69"/>
      <c r="X30" s="69"/>
      <c r="Y30" s="69"/>
      <c r="Z30" s="69"/>
      <c r="AA30" s="69"/>
      <c r="AB30" s="69"/>
      <c r="AC30" s="69"/>
    </row>
    <row r="31" spans="1:29" ht="18" customHeight="1">
      <c r="A31" s="85" t="s">
        <v>59</v>
      </c>
      <c r="B31" s="73"/>
      <c r="C31" s="73"/>
      <c r="D31" s="73"/>
      <c r="E31" s="73"/>
      <c r="F31" s="73"/>
      <c r="G31" s="73"/>
      <c r="H31" s="73"/>
      <c r="I31" s="73"/>
      <c r="J31" s="73"/>
      <c r="K31" s="73"/>
      <c r="L31" s="73"/>
      <c r="M31" s="73"/>
      <c r="N31" s="73"/>
      <c r="O31" s="73"/>
      <c r="P31" s="73"/>
      <c r="Q31" s="73"/>
      <c r="R31" s="73"/>
      <c r="S31" s="73"/>
      <c r="T31" s="73"/>
      <c r="U31" s="73"/>
      <c r="V31" s="73"/>
      <c r="W31" s="69"/>
      <c r="X31" s="69"/>
      <c r="Y31" s="69"/>
      <c r="Z31" s="69"/>
      <c r="AA31" s="69"/>
      <c r="AB31" s="69"/>
      <c r="AC31" s="69"/>
    </row>
    <row r="32" spans="1:29" ht="15" customHeight="1">
      <c r="A32" s="75" t="s">
        <v>88</v>
      </c>
      <c r="B32" s="73"/>
      <c r="C32" s="73"/>
      <c r="D32" s="73"/>
      <c r="E32" s="73"/>
      <c r="F32" s="73"/>
      <c r="G32" s="73"/>
      <c r="H32" s="73"/>
      <c r="I32" s="73"/>
      <c r="J32" s="73"/>
      <c r="K32" s="73"/>
      <c r="L32" s="73"/>
      <c r="M32" s="73"/>
      <c r="N32" s="73"/>
      <c r="O32" s="73"/>
      <c r="P32" s="73"/>
      <c r="Q32" s="73"/>
      <c r="R32" s="73"/>
      <c r="S32" s="73"/>
      <c r="T32" s="73"/>
      <c r="U32" s="73"/>
      <c r="V32" s="73"/>
      <c r="W32" s="69"/>
      <c r="X32" s="69"/>
      <c r="Y32" s="69"/>
      <c r="Z32" s="69"/>
      <c r="AA32" s="69"/>
      <c r="AB32" s="69"/>
      <c r="AC32" s="69"/>
    </row>
    <row r="33" spans="1:29" ht="11.1" customHeight="1">
      <c r="A33" s="76" t="s">
        <v>89</v>
      </c>
      <c r="B33" s="73"/>
      <c r="C33" s="73"/>
      <c r="D33" s="73"/>
      <c r="E33" s="73"/>
      <c r="F33" s="73"/>
      <c r="G33" s="73"/>
      <c r="H33" s="73"/>
      <c r="I33" s="73"/>
      <c r="J33" s="73"/>
      <c r="K33" s="73"/>
      <c r="L33" s="73"/>
      <c r="M33" s="73"/>
      <c r="N33" s="73"/>
      <c r="O33" s="73"/>
      <c r="P33" s="73"/>
      <c r="Q33" s="73"/>
      <c r="R33" s="73"/>
      <c r="S33" s="73"/>
      <c r="T33" s="73"/>
      <c r="U33" s="73"/>
      <c r="V33" s="73"/>
      <c r="W33" s="69"/>
      <c r="X33" s="69"/>
      <c r="Y33" s="69"/>
      <c r="Z33" s="69"/>
      <c r="AA33" s="69"/>
      <c r="AB33" s="69"/>
      <c r="AC33" s="69"/>
    </row>
    <row r="34" spans="1:29" ht="20.100000000000001" customHeight="1">
      <c r="A34" s="14" t="s">
        <v>90</v>
      </c>
      <c r="B34" s="15" t="s">
        <v>91</v>
      </c>
      <c r="C34" s="16" t="str">
        <f>IFERROR(INDEX(EJERCICIOS!$D$3:$D$75,MATCH(A34&amp;"|"&amp;B34,EJERCICIOS!$G$3:$G$75,0)),"--")</f>
        <v>peso_corporal</v>
      </c>
      <c r="D34" s="17">
        <v>3</v>
      </c>
      <c r="E34" s="18">
        <f>IFERROR(LOOKUP(2,1/(MEDIDAS_Y_PESO!$B$3:$B$4&lt;&gt;""),MEDIDAS_Y_PESO!$B$3:$B$4),"--")</f>
        <v>80</v>
      </c>
      <c r="F34" s="19"/>
      <c r="G34" s="20"/>
      <c r="H34" s="21"/>
      <c r="I34" s="19"/>
      <c r="J34" s="20"/>
      <c r="K34" s="21"/>
      <c r="L34" s="19"/>
      <c r="M34" s="20"/>
      <c r="N34" s="21"/>
      <c r="O34" s="19"/>
      <c r="P34" s="20"/>
      <c r="Q34" s="21"/>
      <c r="R34" s="19"/>
      <c r="S34" s="20"/>
      <c r="T34" s="21"/>
      <c r="U34" s="22" t="str">
        <f>IFERROR(IF(IF(X34&gt;0,X34,IF(Z34&gt;0,Z34,IF(AB34&gt;0,AB34,0)))=0,"--",ROUND(CHOOSE(IF(X34&gt;0,X34,IF(Z34&gt;0,Z34,IF(AB34&gt;0,AB34,0))),IF(C34="peso_corporal",IF(ISNUMBER(E34),E34,0)+F34,F34)*(1+G34/30),IF(C34="peso_corporal",IF(ISNUMBER(E34),E34,0)+I34,I34)*(1+J34/30),IF(C34="peso_corporal",IF(ISNUMBER(E34),E34,0)+L34,L34)*(1+M34/30),IF(C34="peso_corporal",IF(ISNUMBER(E34),E34,0)+O34,O34)*(1+P34/30),IF(C34="peso_corporal",IF(ISNUMBER(E34),E34,0)+R34,R34)*(1+S34/30)),1)),"--")</f>
        <v>--</v>
      </c>
      <c r="V34" s="23" t="str">
        <f>IF(SUGERENCIAS!N78="SIN","Sin datos anteriores",IF(SUGERENCIAS!N78="SUBIR_F","^ SUBIR FUERTE | Kg:"&amp;ROUND(SUGERENCIAS!K78,1)&amp;" R:"&amp;ROUND(SUGERENCIAS!L78,0)&amp;" RIR:"&amp;ROUND(SUGERENCIAS!M78,0),IF(SUGERENCIAS!N78="SUBIR_E","^ SUBIR (Est.) | Kg:"&amp;ROUND(SUGERENCIAS!K78,1)&amp;" R:"&amp;ROUND(SUGERENCIAS!L78,0)&amp;" RIR:"&amp;ROUND(SUGERENCIAS!M78,0),IF(SUGERENCIAS!N78="SUBIR","^ SUBIR | Kg:"&amp;ROUND(SUGERENCIAS!K78,1)&amp;" R:"&amp;ROUND(SUGERENCIAS!L78,0)&amp;" RIR:"&amp;ROUND(SUGERENCIAS!M78,0),IF(SUGERENCIAS!N78="BAJAR","v BAJAR | Kg:"&amp;ROUND(SUGERENCIAS!K78,1)&amp;" R:"&amp;ROUND(SUGERENCIAS!L78,0)&amp;" RIR:"&amp;ROUND(SUGERENCIAS!M78,0),"= MANT | Kg:"&amp;ROUND(SUGERENCIAS!K78,1)&amp;" R:"&amp;ROUND(SUGERENCIAS!L78,0)&amp;" RIR:"&amp;ROUND(SUGERENCIAS!M78,0))))))</f>
        <v>Sin datos anteriores</v>
      </c>
      <c r="W34" s="69">
        <f>MAX(IF((G34&gt;0)*(IF(H34="",-1,H34)&gt;=1)*(IF(H34="",-1,H34)&lt;=3),IF(C34="peso_corporal",IF(ISNUMBER(E34),E34,0)+F34,F34)*G34*1000+F34,0),IF((J34&gt;0)*(IF(K34="",-1,K34)&gt;=1)*(IF(K34="",-1,K34)&lt;=3),IF(C34="peso_corporal",IF(ISNUMBER(E34),E34,0)+I34,I34)*J34*1000+I34,0),IF((M34&gt;0)*(IF(N34="",-1,N34)&gt;=1)*(IF(N34="",-1,N34)&lt;=3),IF(C34="peso_corporal",IF(ISNUMBER(E34),E34,0)+L34,L34)*M34*1000+L34,0),IF((P34&gt;0)*(IF(Q34="",-1,Q34)&gt;=1)*(IF(Q34="",-1,Q34)&lt;=3),IF(C34="peso_corporal",IF(ISNUMBER(E34),E34,0)+O34,O34)*P34*1000+O34,0),IF((S34&gt;0)*(IF(T34="",-1,T34)&gt;=1)*(IF(T34="",-1,T34)&lt;=3),IF(C34="peso_corporal",IF(ISNUMBER(E34),E34,0)+R34,R34)*S34*1000+R34,0))</f>
        <v>0</v>
      </c>
      <c r="X34" s="69">
        <f>IF(W34=0,0,IF(IF((S34&gt;0)*(IF(T34="",-1,T34)&gt;=1)*(IF(T34="",-1,T34)&lt;=3),IF(C34="peso_corporal",IF(ISNUMBER(E34),E34,0)+R34,R34)*S34*1000+R34,0)=W34,5,IF(IF((P34&gt;0)*(IF(Q34="",-1,Q34)&gt;=1)*(IF(Q34="",-1,Q34)&lt;=3),IF(C34="peso_corporal",IF(ISNUMBER(E34),E34,0)+O34,O34)*P34*1000+O34,0)=W34,4,IF(IF((M34&gt;0)*(IF(N34="",-1,N34)&gt;=1)*(IF(N34="",-1,N34)&lt;=3),IF(C34="peso_corporal",IF(ISNUMBER(E34),E34,0)+L34,L34)*M34*1000+L34,0)=W34,3,IF(IF((J34&gt;0)*(IF(K34="",-1,K34)&gt;=1)*(IF(K34="",-1,K34)&lt;=3),IF(C34="peso_corporal",IF(ISNUMBER(E34),E34,0)+I34,I34)*J34*1000+I34,0)=W34,2,IF(IF((G34&gt;0)*(IF(H34="",-1,H34)&gt;=1)*(IF(H34="",-1,H34)&lt;=3),IF(C34="peso_corporal",IF(ISNUMBER(E34),E34,0)+F34,F34)*G34*1000+F34,0)=W34,1,0))))))</f>
        <v>0</v>
      </c>
      <c r="Y34" s="69">
        <f>MAX(IF((G34&gt;0)*(IF(H34="",-1,H34)=0)*(1-(IF(H34="",-1,H34)&gt;=1)*(IF(H34="",-1,H34)&lt;=3)),IF(C34="peso_corporal",IF(ISNUMBER(E34),E34,0)+F34,F34)*G34*1000+F34,0),IF((J34&gt;0)*(IF(K34="",-1,K34)=0)*(1-(IF(K34="",-1,K34)&gt;=1)*(IF(K34="",-1,K34)&lt;=3)),IF(C34="peso_corporal",IF(ISNUMBER(E34),E34,0)+I34,I34)*J34*1000+I34,0),IF((M34&gt;0)*(IF(N34="",-1,N34)=0)*(1-(IF(N34="",-1,N34)&gt;=1)*(IF(N34="",-1,N34)&lt;=3)),IF(C34="peso_corporal",IF(ISNUMBER(E34),E34,0)+L34,L34)*M34*1000+L34,0),IF((P34&gt;0)*(IF(Q34="",-1,Q34)=0)*(1-(IF(Q34="",-1,Q34)&gt;=1)*(IF(Q34="",-1,Q34)&lt;=3)),IF(C34="peso_corporal",IF(ISNUMBER(E34),E34,0)+O34,O34)*P34*1000+O34,0),IF((S34&gt;0)*(IF(T34="",-1,T34)=0)*(1-(IF(T34="",-1,T34)&gt;=1)*(IF(T34="",-1,T34)&lt;=3)),IF(C34="peso_corporal",IF(ISNUMBER(E34),E34,0)+R34,R34)*S34*1000+R34,0))</f>
        <v>0</v>
      </c>
      <c r="Z34" s="69">
        <f>IF(Y34=0,0,IF(IF((S34&gt;0)*(IF(T34="",-1,T34)=0)*(1-(IF(T34="",-1,T34)&gt;=1)*(IF(T34="",-1,T34)&lt;=3)),IF(C34="peso_corporal",IF(ISNUMBER(E34),E34,0)+R34,R34)*S34*1000+R34,0)=Y34,5,IF(IF((P34&gt;0)*(IF(Q34="",-1,Q34)=0)*(1-(IF(Q34="",-1,Q34)&gt;=1)*(IF(Q34="",-1,Q34)&lt;=3)),IF(C34="peso_corporal",IF(ISNUMBER(E34),E34,0)+O34,O34)*P34*1000+O34,0)=Y34,4,IF(IF((M34&gt;0)*(IF(N34="",-1,N34)=0)*(1-(IF(N34="",-1,N34)&gt;=1)*(IF(N34="",-1,N34)&lt;=3)),IF(C34="peso_corporal",IF(ISNUMBER(E34),E34,0)+L34,L34)*M34*1000+L34,0)=Y34,3,IF(IF((J34&gt;0)*(IF(K34="",-1,K34)=0)*(1-(IF(K34="",-1,K34)&gt;=1)*(IF(K34="",-1,K34)&lt;=3)),IF(C34="peso_corporal",IF(ISNUMBER(E34),E34,0)+I34,I34)*J34*1000+I34,0)=Y34,2,IF(IF((G34&gt;0)*(IF(H34="",-1,H34)=0)*(1-(IF(H34="",-1,H34)&gt;=1)*(IF(H34="",-1,H34)&lt;=3)),IF(C34="peso_corporal",IF(ISNUMBER(E34),E34,0)+F34,F34)*G34*1000+F34,0)=Y34,1,0))))))</f>
        <v>0</v>
      </c>
      <c r="AA34" s="69">
        <f>MAX(IF((G34&gt;=6)*(1-(IF(H34="",-1,H34)&gt;=1)*(IF(H34="",-1,H34)&lt;=3))*(1-(IF(H34="",-1,H34)=0)),IF(C34="peso_corporal",IF(ISNUMBER(E34),E34,0)+F34,F34)*(30+G34)*100+F34,0),IF((J34&gt;=6)*(1-(IF(K34="",-1,K34)&gt;=1)*(IF(K34="",-1,K34)&lt;=3))*(1-(IF(K34="",-1,K34)=0)),IF(C34="peso_corporal",IF(ISNUMBER(E34),E34,0)+I34,I34)*(30+J34)*100+I34,0),IF((M34&gt;=6)*(1-(IF(N34="",-1,N34)&gt;=1)*(IF(N34="",-1,N34)&lt;=3))*(1-(IF(N34="",-1,N34)=0)),IF(C34="peso_corporal",IF(ISNUMBER(E34),E34,0)+L34,L34)*(30+M34)*100+L34,0),IF((P34&gt;=6)*(1-(IF(Q34="",-1,Q34)&gt;=1)*(IF(Q34="",-1,Q34)&lt;=3))*(1-(IF(Q34="",-1,Q34)=0)),IF(C34="peso_corporal",IF(ISNUMBER(E34),E34,0)+O34,O34)*(30+P34)*100+O34,0),IF((S34&gt;=6)*(1-(IF(T34="",-1,T34)&gt;=1)*(IF(T34="",-1,T34)&lt;=3))*(1-(IF(T34="",-1,T34)=0)),IF(C34="peso_corporal",IF(ISNUMBER(E34),E34,0)+R34,R34)*(30+S34)*100+R34,0))</f>
        <v>0</v>
      </c>
      <c r="AB34" s="69">
        <f>IF(AA34=0,0,IF(IF((S34&gt;=6)*(1-(IF(T34="",-1,T34)&gt;=1)*(IF(T34="",-1,T34)&lt;=3))*(1-(IF(T34="",-1,T34)=0)),IF(C34="peso_corporal",IF(ISNUMBER(E34),E34,0)+R34,R34)*(30+S34)*100+R34,0)=AA34,5,IF(IF((P34&gt;=6)*(1-(IF(Q34="",-1,Q34)&gt;=1)*(IF(Q34="",-1,Q34)&lt;=3))*(1-(IF(Q34="",-1,Q34)=0)),IF(C34="peso_corporal",IF(ISNUMBER(E34),E34,0)+O34,O34)*(30+P34)*100+O34,0)=AA34,4,IF(IF((M34&gt;=6)*(1-(IF(N34="",-1,N34)&gt;=1)*(IF(N34="",-1,N34)&lt;=3))*(1-(IF(N34="",-1,N34)=0)),IF(C34="peso_corporal",IF(ISNUMBER(E34),E34,0)+L34,L34)*(30+M34)*100+L34,0)=AA34,3,IF(IF((J34&gt;=6)*(1-(IF(K34="",-1,K34)&gt;=1)*(IF(K34="",-1,K34)&lt;=3))*(1-(IF(K34="",-1,K34)=0)),IF(C34="peso_corporal",IF(ISNUMBER(E34),E34,0)+I34,I34)*(30+J34)*100+I34,0)=AA34,2,IF(IF((G34&gt;=6)*(1-(IF(H34="",-1,H34)&gt;=1)*(IF(H34="",-1,H34)&lt;=3))*(1-(IF(H34="",-1,H34)=0)),IF(C34="peso_corporal",IF(ISNUMBER(E34),E34,0)+F34,F34)*(30+G34)*100+F34,0)=AA34,1,0))))))</f>
        <v>0</v>
      </c>
      <c r="AC34" s="69" t="str">
        <f>IF(X34&gt;0,"A"&amp;X34,IF(Z34&gt;0,"B"&amp;Z34,IF(AB34&gt;0,"C"&amp;AB34,"")))</f>
        <v/>
      </c>
    </row>
    <row r="35" spans="1:29" ht="20.100000000000001" customHeight="1">
      <c r="A35" s="14" t="s">
        <v>92</v>
      </c>
      <c r="B35" s="15" t="s">
        <v>108</v>
      </c>
      <c r="C35" s="16" t="str">
        <f>IFERROR(INDEX(EJERCICIOS!$D$3:$D$75,MATCH(A35&amp;"|"&amp;B35,EJERCICIOS!$G$3:$G$75,0)),"--")</f>
        <v>polea</v>
      </c>
      <c r="D35" s="17">
        <v>3</v>
      </c>
      <c r="E35" s="18">
        <f>IFERROR(LOOKUP(2,1/(MEDIDAS_Y_PESO!$B$3:$B$4&lt;&gt;""),MEDIDAS_Y_PESO!$B$3:$B$4),"--")</f>
        <v>80</v>
      </c>
      <c r="F35" s="19"/>
      <c r="G35" s="20"/>
      <c r="H35" s="21"/>
      <c r="I35" s="19"/>
      <c r="J35" s="20"/>
      <c r="K35" s="21"/>
      <c r="L35" s="19"/>
      <c r="M35" s="20"/>
      <c r="N35" s="21"/>
      <c r="O35" s="19"/>
      <c r="P35" s="20"/>
      <c r="Q35" s="21"/>
      <c r="R35" s="19"/>
      <c r="S35" s="20"/>
      <c r="T35" s="21"/>
      <c r="U35" s="22" t="str">
        <f>IFERROR(IF(IF(X35&gt;0,X35,IF(Z35&gt;0,Z35,IF(AB35&gt;0,AB35,0)))=0,"--",ROUND(CHOOSE(IF(X35&gt;0,X35,IF(Z35&gt;0,Z35,IF(AB35&gt;0,AB35,0))),IF(C35="peso_corporal",IF(ISNUMBER(E35),E35,0)+F35,F35)*(1+G35/30),IF(C35="peso_corporal",IF(ISNUMBER(E35),E35,0)+I35,I35)*(1+J35/30),IF(C35="peso_corporal",IF(ISNUMBER(E35),E35,0)+L35,L35)*(1+M35/30),IF(C35="peso_corporal",IF(ISNUMBER(E35),E35,0)+O35,O35)*(1+P35/30),IF(C35="peso_corporal",IF(ISNUMBER(E35),E35,0)+R35,R35)*(1+S35/30)),1)),"--")</f>
        <v>--</v>
      </c>
      <c r="V35" s="23" t="str">
        <f>IF(SUGERENCIAS!N79="SIN","Sin datos anteriores",IF(SUGERENCIAS!N79="SUBIR_F","^ SUBIR FUERTE | Kg:"&amp;ROUND(SUGERENCIAS!K79,1)&amp;" R:"&amp;ROUND(SUGERENCIAS!L79,0)&amp;" RIR:"&amp;ROUND(SUGERENCIAS!M79,0),IF(SUGERENCIAS!N79="SUBIR_E","^ SUBIR (Est.) | Kg:"&amp;ROUND(SUGERENCIAS!K79,1)&amp;" R:"&amp;ROUND(SUGERENCIAS!L79,0)&amp;" RIR:"&amp;ROUND(SUGERENCIAS!M79,0),IF(SUGERENCIAS!N79="SUBIR","^ SUBIR | Kg:"&amp;ROUND(SUGERENCIAS!K79,1)&amp;" R:"&amp;ROUND(SUGERENCIAS!L79,0)&amp;" RIR:"&amp;ROUND(SUGERENCIAS!M79,0),IF(SUGERENCIAS!N79="BAJAR","v BAJAR | Kg:"&amp;ROUND(SUGERENCIAS!K79,1)&amp;" R:"&amp;ROUND(SUGERENCIAS!L79,0)&amp;" RIR:"&amp;ROUND(SUGERENCIAS!M79,0),"= MANT | Kg:"&amp;ROUND(SUGERENCIAS!K79,1)&amp;" R:"&amp;ROUND(SUGERENCIAS!L79,0)&amp;" RIR:"&amp;ROUND(SUGERENCIAS!M79,0))))))</f>
        <v>Sin datos anteriores</v>
      </c>
      <c r="W35" s="69">
        <f>MAX(IF((G35&gt;0)*(IF(H35="",-1,H35)&gt;=1)*(IF(H35="",-1,H35)&lt;=3),IF(C35="peso_corporal",IF(ISNUMBER(E35),E35,0)+F35,F35)*G35*1000+F35,0),IF((J35&gt;0)*(IF(K35="",-1,K35)&gt;=1)*(IF(K35="",-1,K35)&lt;=3),IF(C35="peso_corporal",IF(ISNUMBER(E35),E35,0)+I35,I35)*J35*1000+I35,0),IF((M35&gt;0)*(IF(N35="",-1,N35)&gt;=1)*(IF(N35="",-1,N35)&lt;=3),IF(C35="peso_corporal",IF(ISNUMBER(E35),E35,0)+L35,L35)*M35*1000+L35,0),IF((P35&gt;0)*(IF(Q35="",-1,Q35)&gt;=1)*(IF(Q35="",-1,Q35)&lt;=3),IF(C35="peso_corporal",IF(ISNUMBER(E35),E35,0)+O35,O35)*P35*1000+O35,0),IF((S35&gt;0)*(IF(T35="",-1,T35)&gt;=1)*(IF(T35="",-1,T35)&lt;=3),IF(C35="peso_corporal",IF(ISNUMBER(E35),E35,0)+R35,R35)*S35*1000+R35,0))</f>
        <v>0</v>
      </c>
      <c r="X35" s="69">
        <f>IF(W35=0,0,IF(IF((S35&gt;0)*(IF(T35="",-1,T35)&gt;=1)*(IF(T35="",-1,T35)&lt;=3),IF(C35="peso_corporal",IF(ISNUMBER(E35),E35,0)+R35,R35)*S35*1000+R35,0)=W35,5,IF(IF((P35&gt;0)*(IF(Q35="",-1,Q35)&gt;=1)*(IF(Q35="",-1,Q35)&lt;=3),IF(C35="peso_corporal",IF(ISNUMBER(E35),E35,0)+O35,O35)*P35*1000+O35,0)=W35,4,IF(IF((M35&gt;0)*(IF(N35="",-1,N35)&gt;=1)*(IF(N35="",-1,N35)&lt;=3),IF(C35="peso_corporal",IF(ISNUMBER(E35),E35,0)+L35,L35)*M35*1000+L35,0)=W35,3,IF(IF((J35&gt;0)*(IF(K35="",-1,K35)&gt;=1)*(IF(K35="",-1,K35)&lt;=3),IF(C35="peso_corporal",IF(ISNUMBER(E35),E35,0)+I35,I35)*J35*1000+I35,0)=W35,2,IF(IF((G35&gt;0)*(IF(H35="",-1,H35)&gt;=1)*(IF(H35="",-1,H35)&lt;=3),IF(C35="peso_corporal",IF(ISNUMBER(E35),E35,0)+F35,F35)*G35*1000+F35,0)=W35,1,0))))))</f>
        <v>0</v>
      </c>
      <c r="Y35" s="69">
        <f>MAX(IF((G35&gt;0)*(IF(H35="",-1,H35)=0)*(1-(IF(H35="",-1,H35)&gt;=1)*(IF(H35="",-1,H35)&lt;=3)),IF(C35="peso_corporal",IF(ISNUMBER(E35),E35,0)+F35,F35)*G35*1000+F35,0),IF((J35&gt;0)*(IF(K35="",-1,K35)=0)*(1-(IF(K35="",-1,K35)&gt;=1)*(IF(K35="",-1,K35)&lt;=3)),IF(C35="peso_corporal",IF(ISNUMBER(E35),E35,0)+I35,I35)*J35*1000+I35,0),IF((M35&gt;0)*(IF(N35="",-1,N35)=0)*(1-(IF(N35="",-1,N35)&gt;=1)*(IF(N35="",-1,N35)&lt;=3)),IF(C35="peso_corporal",IF(ISNUMBER(E35),E35,0)+L35,L35)*M35*1000+L35,0),IF((P35&gt;0)*(IF(Q35="",-1,Q35)=0)*(1-(IF(Q35="",-1,Q35)&gt;=1)*(IF(Q35="",-1,Q35)&lt;=3)),IF(C35="peso_corporal",IF(ISNUMBER(E35),E35,0)+O35,O35)*P35*1000+O35,0),IF((S35&gt;0)*(IF(T35="",-1,T35)=0)*(1-(IF(T35="",-1,T35)&gt;=1)*(IF(T35="",-1,T35)&lt;=3)),IF(C35="peso_corporal",IF(ISNUMBER(E35),E35,0)+R35,R35)*S35*1000+R35,0))</f>
        <v>0</v>
      </c>
      <c r="Z35" s="69">
        <f>IF(Y35=0,0,IF(IF((S35&gt;0)*(IF(T35="",-1,T35)=0)*(1-(IF(T35="",-1,T35)&gt;=1)*(IF(T35="",-1,T35)&lt;=3)),IF(C35="peso_corporal",IF(ISNUMBER(E35),E35,0)+R35,R35)*S35*1000+R35,0)=Y35,5,IF(IF((P35&gt;0)*(IF(Q35="",-1,Q35)=0)*(1-(IF(Q35="",-1,Q35)&gt;=1)*(IF(Q35="",-1,Q35)&lt;=3)),IF(C35="peso_corporal",IF(ISNUMBER(E35),E35,0)+O35,O35)*P35*1000+O35,0)=Y35,4,IF(IF((M35&gt;0)*(IF(N35="",-1,N35)=0)*(1-(IF(N35="",-1,N35)&gt;=1)*(IF(N35="",-1,N35)&lt;=3)),IF(C35="peso_corporal",IF(ISNUMBER(E35),E35,0)+L35,L35)*M35*1000+L35,0)=Y35,3,IF(IF((J35&gt;0)*(IF(K35="",-1,K35)=0)*(1-(IF(K35="",-1,K35)&gt;=1)*(IF(K35="",-1,K35)&lt;=3)),IF(C35="peso_corporal",IF(ISNUMBER(E35),E35,0)+I35,I35)*J35*1000+I35,0)=Y35,2,IF(IF((G35&gt;0)*(IF(H35="",-1,H35)=0)*(1-(IF(H35="",-1,H35)&gt;=1)*(IF(H35="",-1,H35)&lt;=3)),IF(C35="peso_corporal",IF(ISNUMBER(E35),E35,0)+F35,F35)*G35*1000+F35,0)=Y35,1,0))))))</f>
        <v>0</v>
      </c>
      <c r="AA35" s="69">
        <f>MAX(IF((G35&gt;=6)*(1-(IF(H35="",-1,H35)&gt;=1)*(IF(H35="",-1,H35)&lt;=3))*(1-(IF(H35="",-1,H35)=0)),IF(C35="peso_corporal",IF(ISNUMBER(E35),E35,0)+F35,F35)*(30+G35)*100+F35,0),IF((J35&gt;=6)*(1-(IF(K35="",-1,K35)&gt;=1)*(IF(K35="",-1,K35)&lt;=3))*(1-(IF(K35="",-1,K35)=0)),IF(C35="peso_corporal",IF(ISNUMBER(E35),E35,0)+I35,I35)*(30+J35)*100+I35,0),IF((M35&gt;=6)*(1-(IF(N35="",-1,N35)&gt;=1)*(IF(N35="",-1,N35)&lt;=3))*(1-(IF(N35="",-1,N35)=0)),IF(C35="peso_corporal",IF(ISNUMBER(E35),E35,0)+L35,L35)*(30+M35)*100+L35,0),IF((P35&gt;=6)*(1-(IF(Q35="",-1,Q35)&gt;=1)*(IF(Q35="",-1,Q35)&lt;=3))*(1-(IF(Q35="",-1,Q35)=0)),IF(C35="peso_corporal",IF(ISNUMBER(E35),E35,0)+O35,O35)*(30+P35)*100+O35,0),IF((S35&gt;=6)*(1-(IF(T35="",-1,T35)&gt;=1)*(IF(T35="",-1,T35)&lt;=3))*(1-(IF(T35="",-1,T35)=0)),IF(C35="peso_corporal",IF(ISNUMBER(E35),E35,0)+R35,R35)*(30+S35)*100+R35,0))</f>
        <v>0</v>
      </c>
      <c r="AB35" s="69">
        <f>IF(AA35=0,0,IF(IF((S35&gt;=6)*(1-(IF(T35="",-1,T35)&gt;=1)*(IF(T35="",-1,T35)&lt;=3))*(1-(IF(T35="",-1,T35)=0)),IF(C35="peso_corporal",IF(ISNUMBER(E35),E35,0)+R35,R35)*(30+S35)*100+R35,0)=AA35,5,IF(IF((P35&gt;=6)*(1-(IF(Q35="",-1,Q35)&gt;=1)*(IF(Q35="",-1,Q35)&lt;=3))*(1-(IF(Q35="",-1,Q35)=0)),IF(C35="peso_corporal",IF(ISNUMBER(E35),E35,0)+O35,O35)*(30+P35)*100+O35,0)=AA35,4,IF(IF((M35&gt;=6)*(1-(IF(N35="",-1,N35)&gt;=1)*(IF(N35="",-1,N35)&lt;=3))*(1-(IF(N35="",-1,N35)=0)),IF(C35="peso_corporal",IF(ISNUMBER(E35),E35,0)+L35,L35)*(30+M35)*100+L35,0)=AA35,3,IF(IF((J35&gt;=6)*(1-(IF(K35="",-1,K35)&gt;=1)*(IF(K35="",-1,K35)&lt;=3))*(1-(IF(K35="",-1,K35)=0)),IF(C35="peso_corporal",IF(ISNUMBER(E35),E35,0)+I35,I35)*(30+J35)*100+I35,0)=AA35,2,IF(IF((G35&gt;=6)*(1-(IF(H35="",-1,H35)&gt;=1)*(IF(H35="",-1,H35)&lt;=3))*(1-(IF(H35="",-1,H35)=0)),IF(C35="peso_corporal",IF(ISNUMBER(E35),E35,0)+F35,F35)*(30+G35)*100+F35,0)=AA35,1,0))))))</f>
        <v>0</v>
      </c>
      <c r="AC35" s="69" t="str">
        <f>IF(X35&gt;0,"A"&amp;X35,IF(Z35&gt;0,"B"&amp;Z35,IF(AB35&gt;0,"C"&amp;AB35,"")))</f>
        <v/>
      </c>
    </row>
    <row r="36" spans="1:29" ht="11.1" customHeight="1">
      <c r="A36" s="84" t="s">
        <v>94</v>
      </c>
      <c r="B36" s="73"/>
      <c r="C36" s="73"/>
      <c r="D36" s="73"/>
      <c r="E36" s="73"/>
      <c r="F36" s="73"/>
      <c r="G36" s="73"/>
      <c r="H36" s="73"/>
      <c r="I36" s="73"/>
      <c r="J36" s="73"/>
      <c r="K36" s="73"/>
      <c r="L36" s="73"/>
      <c r="M36" s="73"/>
      <c r="N36" s="73"/>
      <c r="O36" s="73"/>
      <c r="P36" s="73"/>
      <c r="Q36" s="73"/>
      <c r="R36" s="73"/>
      <c r="S36" s="73"/>
      <c r="T36" s="73"/>
      <c r="U36" s="73"/>
      <c r="V36" s="73"/>
      <c r="W36" s="69"/>
      <c r="X36" s="69"/>
      <c r="Y36" s="69"/>
      <c r="Z36" s="69"/>
      <c r="AA36" s="69"/>
      <c r="AB36" s="69"/>
      <c r="AC36" s="69"/>
    </row>
    <row r="37" spans="1:29" ht="20.100000000000001" customHeight="1">
      <c r="A37" s="14" t="s">
        <v>95</v>
      </c>
      <c r="B37" s="15" t="s">
        <v>96</v>
      </c>
      <c r="C37" s="16" t="str">
        <f>IFERROR(INDEX(EJERCICIOS!$D$3:$D$75,MATCH(A37&amp;"|"&amp;B37,EJERCICIOS!$G$3:$G$75,0)),"--")</f>
        <v>polea</v>
      </c>
      <c r="D37" s="17">
        <v>3</v>
      </c>
      <c r="E37" s="18">
        <f>IFERROR(LOOKUP(2,1/(MEDIDAS_Y_PESO!$B$3:$B$4&lt;&gt;""),MEDIDAS_Y_PESO!$B$3:$B$4),"--")</f>
        <v>80</v>
      </c>
      <c r="F37" s="19"/>
      <c r="G37" s="20"/>
      <c r="H37" s="21"/>
      <c r="I37" s="19"/>
      <c r="J37" s="20"/>
      <c r="K37" s="21"/>
      <c r="L37" s="19"/>
      <c r="M37" s="20"/>
      <c r="N37" s="21"/>
      <c r="O37" s="19"/>
      <c r="P37" s="20"/>
      <c r="Q37" s="21"/>
      <c r="R37" s="19"/>
      <c r="S37" s="20"/>
      <c r="T37" s="21"/>
      <c r="U37" s="22" t="str">
        <f>IFERROR(IF(IF(X37&gt;0,X37,IF(Z37&gt;0,Z37,IF(AB37&gt;0,AB37,0)))=0,"--",ROUND(CHOOSE(IF(X37&gt;0,X37,IF(Z37&gt;0,Z37,IF(AB37&gt;0,AB37,0))),IF(C37="peso_corporal",IF(ISNUMBER(E37),E37,0)+F37,F37)*(1+G37/30),IF(C37="peso_corporal",IF(ISNUMBER(E37),E37,0)+I37,I37)*(1+J37/30),IF(C37="peso_corporal",IF(ISNUMBER(E37),E37,0)+L37,L37)*(1+M37/30),IF(C37="peso_corporal",IF(ISNUMBER(E37),E37,0)+O37,O37)*(1+P37/30),IF(C37="peso_corporal",IF(ISNUMBER(E37),E37,0)+R37,R37)*(1+S37/30)),1)),"--")</f>
        <v>--</v>
      </c>
      <c r="V37" s="23" t="str">
        <f>IF(SUGERENCIAS!N80="SIN","Sin datos anteriores",IF(SUGERENCIAS!N80="SUBIR_F","^ SUBIR FUERTE | Kg:"&amp;ROUND(SUGERENCIAS!K80,1)&amp;" R:"&amp;ROUND(SUGERENCIAS!L80,0)&amp;" RIR:"&amp;ROUND(SUGERENCIAS!M80,0),IF(SUGERENCIAS!N80="SUBIR_E","^ SUBIR (Est.) | Kg:"&amp;ROUND(SUGERENCIAS!K80,1)&amp;" R:"&amp;ROUND(SUGERENCIAS!L80,0)&amp;" RIR:"&amp;ROUND(SUGERENCIAS!M80,0),IF(SUGERENCIAS!N80="SUBIR","^ SUBIR | Kg:"&amp;ROUND(SUGERENCIAS!K80,1)&amp;" R:"&amp;ROUND(SUGERENCIAS!L80,0)&amp;" RIR:"&amp;ROUND(SUGERENCIAS!M80,0),IF(SUGERENCIAS!N80="BAJAR","v BAJAR | Kg:"&amp;ROUND(SUGERENCIAS!K80,1)&amp;" R:"&amp;ROUND(SUGERENCIAS!L80,0)&amp;" RIR:"&amp;ROUND(SUGERENCIAS!M80,0),"= MANT | Kg:"&amp;ROUND(SUGERENCIAS!K80,1)&amp;" R:"&amp;ROUND(SUGERENCIAS!L80,0)&amp;" RIR:"&amp;ROUND(SUGERENCIAS!M80,0))))))</f>
        <v>Sin datos anteriores</v>
      </c>
      <c r="W37" s="69">
        <f>MAX(IF((G37&gt;0)*(IF(H37="",-1,H37)&gt;=1)*(IF(H37="",-1,H37)&lt;=3),IF(C37="peso_corporal",IF(ISNUMBER(E37),E37,0)+F37,F37)*G37*1000+F37,0),IF((J37&gt;0)*(IF(K37="",-1,K37)&gt;=1)*(IF(K37="",-1,K37)&lt;=3),IF(C37="peso_corporal",IF(ISNUMBER(E37),E37,0)+I37,I37)*J37*1000+I37,0),IF((M37&gt;0)*(IF(N37="",-1,N37)&gt;=1)*(IF(N37="",-1,N37)&lt;=3),IF(C37="peso_corporal",IF(ISNUMBER(E37),E37,0)+L37,L37)*M37*1000+L37,0),IF((P37&gt;0)*(IF(Q37="",-1,Q37)&gt;=1)*(IF(Q37="",-1,Q37)&lt;=3),IF(C37="peso_corporal",IF(ISNUMBER(E37),E37,0)+O37,O37)*P37*1000+O37,0),IF((S37&gt;0)*(IF(T37="",-1,T37)&gt;=1)*(IF(T37="",-1,T37)&lt;=3),IF(C37="peso_corporal",IF(ISNUMBER(E37),E37,0)+R37,R37)*S37*1000+R37,0))</f>
        <v>0</v>
      </c>
      <c r="X37" s="69">
        <f>IF(W37=0,0,IF(IF((S37&gt;0)*(IF(T37="",-1,T37)&gt;=1)*(IF(T37="",-1,T37)&lt;=3),IF(C37="peso_corporal",IF(ISNUMBER(E37),E37,0)+R37,R37)*S37*1000+R37,0)=W37,5,IF(IF((P37&gt;0)*(IF(Q37="",-1,Q37)&gt;=1)*(IF(Q37="",-1,Q37)&lt;=3),IF(C37="peso_corporal",IF(ISNUMBER(E37),E37,0)+O37,O37)*P37*1000+O37,0)=W37,4,IF(IF((M37&gt;0)*(IF(N37="",-1,N37)&gt;=1)*(IF(N37="",-1,N37)&lt;=3),IF(C37="peso_corporal",IF(ISNUMBER(E37),E37,0)+L37,L37)*M37*1000+L37,0)=W37,3,IF(IF((J37&gt;0)*(IF(K37="",-1,K37)&gt;=1)*(IF(K37="",-1,K37)&lt;=3),IF(C37="peso_corporal",IF(ISNUMBER(E37),E37,0)+I37,I37)*J37*1000+I37,0)=W37,2,IF(IF((G37&gt;0)*(IF(H37="",-1,H37)&gt;=1)*(IF(H37="",-1,H37)&lt;=3),IF(C37="peso_corporal",IF(ISNUMBER(E37),E37,0)+F37,F37)*G37*1000+F37,0)=W37,1,0))))))</f>
        <v>0</v>
      </c>
      <c r="Y37" s="69">
        <f>MAX(IF((G37&gt;0)*(IF(H37="",-1,H37)=0)*(1-(IF(H37="",-1,H37)&gt;=1)*(IF(H37="",-1,H37)&lt;=3)),IF(C37="peso_corporal",IF(ISNUMBER(E37),E37,0)+F37,F37)*G37*1000+F37,0),IF((J37&gt;0)*(IF(K37="",-1,K37)=0)*(1-(IF(K37="",-1,K37)&gt;=1)*(IF(K37="",-1,K37)&lt;=3)),IF(C37="peso_corporal",IF(ISNUMBER(E37),E37,0)+I37,I37)*J37*1000+I37,0),IF((M37&gt;0)*(IF(N37="",-1,N37)=0)*(1-(IF(N37="",-1,N37)&gt;=1)*(IF(N37="",-1,N37)&lt;=3)),IF(C37="peso_corporal",IF(ISNUMBER(E37),E37,0)+L37,L37)*M37*1000+L37,0),IF((P37&gt;0)*(IF(Q37="",-1,Q37)=0)*(1-(IF(Q37="",-1,Q37)&gt;=1)*(IF(Q37="",-1,Q37)&lt;=3)),IF(C37="peso_corporal",IF(ISNUMBER(E37),E37,0)+O37,O37)*P37*1000+O37,0),IF((S37&gt;0)*(IF(T37="",-1,T37)=0)*(1-(IF(T37="",-1,T37)&gt;=1)*(IF(T37="",-1,T37)&lt;=3)),IF(C37="peso_corporal",IF(ISNUMBER(E37),E37,0)+R37,R37)*S37*1000+R37,0))</f>
        <v>0</v>
      </c>
      <c r="Z37" s="69">
        <f>IF(Y37=0,0,IF(IF((S37&gt;0)*(IF(T37="",-1,T37)=0)*(1-(IF(T37="",-1,T37)&gt;=1)*(IF(T37="",-1,T37)&lt;=3)),IF(C37="peso_corporal",IF(ISNUMBER(E37),E37,0)+R37,R37)*S37*1000+R37,0)=Y37,5,IF(IF((P37&gt;0)*(IF(Q37="",-1,Q37)=0)*(1-(IF(Q37="",-1,Q37)&gt;=1)*(IF(Q37="",-1,Q37)&lt;=3)),IF(C37="peso_corporal",IF(ISNUMBER(E37),E37,0)+O37,O37)*P37*1000+O37,0)=Y37,4,IF(IF((M37&gt;0)*(IF(N37="",-1,N37)=0)*(1-(IF(N37="",-1,N37)&gt;=1)*(IF(N37="",-1,N37)&lt;=3)),IF(C37="peso_corporal",IF(ISNUMBER(E37),E37,0)+L37,L37)*M37*1000+L37,0)=Y37,3,IF(IF((J37&gt;0)*(IF(K37="",-1,K37)=0)*(1-(IF(K37="",-1,K37)&gt;=1)*(IF(K37="",-1,K37)&lt;=3)),IF(C37="peso_corporal",IF(ISNUMBER(E37),E37,0)+I37,I37)*J37*1000+I37,0)=Y37,2,IF(IF((G37&gt;0)*(IF(H37="",-1,H37)=0)*(1-(IF(H37="",-1,H37)&gt;=1)*(IF(H37="",-1,H37)&lt;=3)),IF(C37="peso_corporal",IF(ISNUMBER(E37),E37,0)+F37,F37)*G37*1000+F37,0)=Y37,1,0))))))</f>
        <v>0</v>
      </c>
      <c r="AA37" s="69">
        <f>MAX(IF((G37&gt;=6)*(1-(IF(H37="",-1,H37)&gt;=1)*(IF(H37="",-1,H37)&lt;=3))*(1-(IF(H37="",-1,H37)=0)),IF(C37="peso_corporal",IF(ISNUMBER(E37),E37,0)+F37,F37)*(30+G37)*100+F37,0),IF((J37&gt;=6)*(1-(IF(K37="",-1,K37)&gt;=1)*(IF(K37="",-1,K37)&lt;=3))*(1-(IF(K37="",-1,K37)=0)),IF(C37="peso_corporal",IF(ISNUMBER(E37),E37,0)+I37,I37)*(30+J37)*100+I37,0),IF((M37&gt;=6)*(1-(IF(N37="",-1,N37)&gt;=1)*(IF(N37="",-1,N37)&lt;=3))*(1-(IF(N37="",-1,N37)=0)),IF(C37="peso_corporal",IF(ISNUMBER(E37),E37,0)+L37,L37)*(30+M37)*100+L37,0),IF((P37&gt;=6)*(1-(IF(Q37="",-1,Q37)&gt;=1)*(IF(Q37="",-1,Q37)&lt;=3))*(1-(IF(Q37="",-1,Q37)=0)),IF(C37="peso_corporal",IF(ISNUMBER(E37),E37,0)+O37,O37)*(30+P37)*100+O37,0),IF((S37&gt;=6)*(1-(IF(T37="",-1,T37)&gt;=1)*(IF(T37="",-1,T37)&lt;=3))*(1-(IF(T37="",-1,T37)=0)),IF(C37="peso_corporal",IF(ISNUMBER(E37),E37,0)+R37,R37)*(30+S37)*100+R37,0))</f>
        <v>0</v>
      </c>
      <c r="AB37" s="69">
        <f>IF(AA37=0,0,IF(IF((S37&gt;=6)*(1-(IF(T37="",-1,T37)&gt;=1)*(IF(T37="",-1,T37)&lt;=3))*(1-(IF(T37="",-1,T37)=0)),IF(C37="peso_corporal",IF(ISNUMBER(E37),E37,0)+R37,R37)*(30+S37)*100+R37,0)=AA37,5,IF(IF((P37&gt;=6)*(1-(IF(Q37="",-1,Q37)&gt;=1)*(IF(Q37="",-1,Q37)&lt;=3))*(1-(IF(Q37="",-1,Q37)=0)),IF(C37="peso_corporal",IF(ISNUMBER(E37),E37,0)+O37,O37)*(30+P37)*100+O37,0)=AA37,4,IF(IF((M37&gt;=6)*(1-(IF(N37="",-1,N37)&gt;=1)*(IF(N37="",-1,N37)&lt;=3))*(1-(IF(N37="",-1,N37)=0)),IF(C37="peso_corporal",IF(ISNUMBER(E37),E37,0)+L37,L37)*(30+M37)*100+L37,0)=AA37,3,IF(IF((J37&gt;=6)*(1-(IF(K37="",-1,K37)&gt;=1)*(IF(K37="",-1,K37)&lt;=3))*(1-(IF(K37="",-1,K37)=0)),IF(C37="peso_corporal",IF(ISNUMBER(E37),E37,0)+I37,I37)*(30+J37)*100+I37,0)=AA37,2,IF(IF((G37&gt;=6)*(1-(IF(H37="",-1,H37)&gt;=1)*(IF(H37="",-1,H37)&lt;=3))*(1-(IF(H37="",-1,H37)=0)),IF(C37="peso_corporal",IF(ISNUMBER(E37),E37,0)+F37,F37)*(30+G37)*100+F37,0)=AA37,1,0))))))</f>
        <v>0</v>
      </c>
      <c r="AC37" s="69" t="str">
        <f>IF(X37&gt;0,"A"&amp;X37,IF(Z37&gt;0,"B"&amp;Z37,IF(AB37&gt;0,"C"&amp;AB37,"")))</f>
        <v/>
      </c>
    </row>
    <row r="38" spans="1:29" ht="20.100000000000001" customHeight="1">
      <c r="A38" s="14" t="s">
        <v>109</v>
      </c>
      <c r="B38" s="15" t="s">
        <v>110</v>
      </c>
      <c r="C38" s="16" t="str">
        <f>IFERROR(INDEX(EJERCICIOS!$D$3:$D$75,MATCH(A38&amp;"|"&amp;B38,EJERCICIOS!$G$3:$G$75,0)),"--")</f>
        <v>polea</v>
      </c>
      <c r="D38" s="17">
        <v>3</v>
      </c>
      <c r="E38" s="18">
        <f>IFERROR(LOOKUP(2,1/(MEDIDAS_Y_PESO!$B$3:$B$4&lt;&gt;""),MEDIDAS_Y_PESO!$B$3:$B$4),"--")</f>
        <v>80</v>
      </c>
      <c r="F38" s="19"/>
      <c r="G38" s="20"/>
      <c r="H38" s="21"/>
      <c r="I38" s="19"/>
      <c r="J38" s="20"/>
      <c r="K38" s="21"/>
      <c r="L38" s="19"/>
      <c r="M38" s="20"/>
      <c r="N38" s="21"/>
      <c r="O38" s="19"/>
      <c r="P38" s="20"/>
      <c r="Q38" s="21"/>
      <c r="R38" s="19"/>
      <c r="S38" s="20"/>
      <c r="T38" s="21"/>
      <c r="U38" s="22" t="str">
        <f>IFERROR(IF(IF(X38&gt;0,X38,IF(Z38&gt;0,Z38,IF(AB38&gt;0,AB38,0)))=0,"--",ROUND(CHOOSE(IF(X38&gt;0,X38,IF(Z38&gt;0,Z38,IF(AB38&gt;0,AB38,0))),IF(C38="peso_corporal",IF(ISNUMBER(E38),E38,0)+F38,F38)*(1+G38/30),IF(C38="peso_corporal",IF(ISNUMBER(E38),E38,0)+I38,I38)*(1+J38/30),IF(C38="peso_corporal",IF(ISNUMBER(E38),E38,0)+L38,L38)*(1+M38/30),IF(C38="peso_corporal",IF(ISNUMBER(E38),E38,0)+O38,O38)*(1+P38/30),IF(C38="peso_corporal",IF(ISNUMBER(E38),E38,0)+R38,R38)*(1+S38/30)),1)),"--")</f>
        <v>--</v>
      </c>
      <c r="V38" s="23" t="str">
        <f>IF(SUGERENCIAS!N81="SIN","Sin datos anteriores",IF(SUGERENCIAS!N81="SUBIR_F","^ SUBIR FUERTE | Kg:"&amp;ROUND(SUGERENCIAS!K81,1)&amp;" R:"&amp;ROUND(SUGERENCIAS!L81,0)&amp;" RIR:"&amp;ROUND(SUGERENCIAS!M81,0),IF(SUGERENCIAS!N81="SUBIR_E","^ SUBIR (Est.) | Kg:"&amp;ROUND(SUGERENCIAS!K81,1)&amp;" R:"&amp;ROUND(SUGERENCIAS!L81,0)&amp;" RIR:"&amp;ROUND(SUGERENCIAS!M81,0),IF(SUGERENCIAS!N81="SUBIR","^ SUBIR | Kg:"&amp;ROUND(SUGERENCIAS!K81,1)&amp;" R:"&amp;ROUND(SUGERENCIAS!L81,0)&amp;" RIR:"&amp;ROUND(SUGERENCIAS!M81,0),IF(SUGERENCIAS!N81="BAJAR","v BAJAR | Kg:"&amp;ROUND(SUGERENCIAS!K81,1)&amp;" R:"&amp;ROUND(SUGERENCIAS!L81,0)&amp;" RIR:"&amp;ROUND(SUGERENCIAS!M81,0),"= MANT | Kg:"&amp;ROUND(SUGERENCIAS!K81,1)&amp;" R:"&amp;ROUND(SUGERENCIAS!L81,0)&amp;" RIR:"&amp;ROUND(SUGERENCIAS!M81,0))))))</f>
        <v>Sin datos anteriores</v>
      </c>
      <c r="W38" s="69">
        <f>MAX(IF((G38&gt;0)*(IF(H38="",-1,H38)&gt;=1)*(IF(H38="",-1,H38)&lt;=3),IF(C38="peso_corporal",IF(ISNUMBER(E38),E38,0)+F38,F38)*G38*1000+F38,0),IF((J38&gt;0)*(IF(K38="",-1,K38)&gt;=1)*(IF(K38="",-1,K38)&lt;=3),IF(C38="peso_corporal",IF(ISNUMBER(E38),E38,0)+I38,I38)*J38*1000+I38,0),IF((M38&gt;0)*(IF(N38="",-1,N38)&gt;=1)*(IF(N38="",-1,N38)&lt;=3),IF(C38="peso_corporal",IF(ISNUMBER(E38),E38,0)+L38,L38)*M38*1000+L38,0),IF((P38&gt;0)*(IF(Q38="",-1,Q38)&gt;=1)*(IF(Q38="",-1,Q38)&lt;=3),IF(C38="peso_corporal",IF(ISNUMBER(E38),E38,0)+O38,O38)*P38*1000+O38,0),IF((S38&gt;0)*(IF(T38="",-1,T38)&gt;=1)*(IF(T38="",-1,T38)&lt;=3),IF(C38="peso_corporal",IF(ISNUMBER(E38),E38,0)+R38,R38)*S38*1000+R38,0))</f>
        <v>0</v>
      </c>
      <c r="X38" s="69">
        <f>IF(W38=0,0,IF(IF((S38&gt;0)*(IF(T38="",-1,T38)&gt;=1)*(IF(T38="",-1,T38)&lt;=3),IF(C38="peso_corporal",IF(ISNUMBER(E38),E38,0)+R38,R38)*S38*1000+R38,0)=W38,5,IF(IF((P38&gt;0)*(IF(Q38="",-1,Q38)&gt;=1)*(IF(Q38="",-1,Q38)&lt;=3),IF(C38="peso_corporal",IF(ISNUMBER(E38),E38,0)+O38,O38)*P38*1000+O38,0)=W38,4,IF(IF((M38&gt;0)*(IF(N38="",-1,N38)&gt;=1)*(IF(N38="",-1,N38)&lt;=3),IF(C38="peso_corporal",IF(ISNUMBER(E38),E38,0)+L38,L38)*M38*1000+L38,0)=W38,3,IF(IF((J38&gt;0)*(IF(K38="",-1,K38)&gt;=1)*(IF(K38="",-1,K38)&lt;=3),IF(C38="peso_corporal",IF(ISNUMBER(E38),E38,0)+I38,I38)*J38*1000+I38,0)=W38,2,IF(IF((G38&gt;0)*(IF(H38="",-1,H38)&gt;=1)*(IF(H38="",-1,H38)&lt;=3),IF(C38="peso_corporal",IF(ISNUMBER(E38),E38,0)+F38,F38)*G38*1000+F38,0)=W38,1,0))))))</f>
        <v>0</v>
      </c>
      <c r="Y38" s="69">
        <f>MAX(IF((G38&gt;0)*(IF(H38="",-1,H38)=0)*(1-(IF(H38="",-1,H38)&gt;=1)*(IF(H38="",-1,H38)&lt;=3)),IF(C38="peso_corporal",IF(ISNUMBER(E38),E38,0)+F38,F38)*G38*1000+F38,0),IF((J38&gt;0)*(IF(K38="",-1,K38)=0)*(1-(IF(K38="",-1,K38)&gt;=1)*(IF(K38="",-1,K38)&lt;=3)),IF(C38="peso_corporal",IF(ISNUMBER(E38),E38,0)+I38,I38)*J38*1000+I38,0),IF((M38&gt;0)*(IF(N38="",-1,N38)=0)*(1-(IF(N38="",-1,N38)&gt;=1)*(IF(N38="",-1,N38)&lt;=3)),IF(C38="peso_corporal",IF(ISNUMBER(E38),E38,0)+L38,L38)*M38*1000+L38,0),IF((P38&gt;0)*(IF(Q38="",-1,Q38)=0)*(1-(IF(Q38="",-1,Q38)&gt;=1)*(IF(Q38="",-1,Q38)&lt;=3)),IF(C38="peso_corporal",IF(ISNUMBER(E38),E38,0)+O38,O38)*P38*1000+O38,0),IF((S38&gt;0)*(IF(T38="",-1,T38)=0)*(1-(IF(T38="",-1,T38)&gt;=1)*(IF(T38="",-1,T38)&lt;=3)),IF(C38="peso_corporal",IF(ISNUMBER(E38),E38,0)+R38,R38)*S38*1000+R38,0))</f>
        <v>0</v>
      </c>
      <c r="Z38" s="69">
        <f>IF(Y38=0,0,IF(IF((S38&gt;0)*(IF(T38="",-1,T38)=0)*(1-(IF(T38="",-1,T38)&gt;=1)*(IF(T38="",-1,T38)&lt;=3)),IF(C38="peso_corporal",IF(ISNUMBER(E38),E38,0)+R38,R38)*S38*1000+R38,0)=Y38,5,IF(IF((P38&gt;0)*(IF(Q38="",-1,Q38)=0)*(1-(IF(Q38="",-1,Q38)&gt;=1)*(IF(Q38="",-1,Q38)&lt;=3)),IF(C38="peso_corporal",IF(ISNUMBER(E38),E38,0)+O38,O38)*P38*1000+O38,0)=Y38,4,IF(IF((M38&gt;0)*(IF(N38="",-1,N38)=0)*(1-(IF(N38="",-1,N38)&gt;=1)*(IF(N38="",-1,N38)&lt;=3)),IF(C38="peso_corporal",IF(ISNUMBER(E38),E38,0)+L38,L38)*M38*1000+L38,0)=Y38,3,IF(IF((J38&gt;0)*(IF(K38="",-1,K38)=0)*(1-(IF(K38="",-1,K38)&gt;=1)*(IF(K38="",-1,K38)&lt;=3)),IF(C38="peso_corporal",IF(ISNUMBER(E38),E38,0)+I38,I38)*J38*1000+I38,0)=Y38,2,IF(IF((G38&gt;0)*(IF(H38="",-1,H38)=0)*(1-(IF(H38="",-1,H38)&gt;=1)*(IF(H38="",-1,H38)&lt;=3)),IF(C38="peso_corporal",IF(ISNUMBER(E38),E38,0)+F38,F38)*G38*1000+F38,0)=Y38,1,0))))))</f>
        <v>0</v>
      </c>
      <c r="AA38" s="69">
        <f>MAX(IF((G38&gt;=6)*(1-(IF(H38="",-1,H38)&gt;=1)*(IF(H38="",-1,H38)&lt;=3))*(1-(IF(H38="",-1,H38)=0)),IF(C38="peso_corporal",IF(ISNUMBER(E38),E38,0)+F38,F38)*(30+G38)*100+F38,0),IF((J38&gt;=6)*(1-(IF(K38="",-1,K38)&gt;=1)*(IF(K38="",-1,K38)&lt;=3))*(1-(IF(K38="",-1,K38)=0)),IF(C38="peso_corporal",IF(ISNUMBER(E38),E38,0)+I38,I38)*(30+J38)*100+I38,0),IF((M38&gt;=6)*(1-(IF(N38="",-1,N38)&gt;=1)*(IF(N38="",-1,N38)&lt;=3))*(1-(IF(N38="",-1,N38)=0)),IF(C38="peso_corporal",IF(ISNUMBER(E38),E38,0)+L38,L38)*(30+M38)*100+L38,0),IF((P38&gt;=6)*(1-(IF(Q38="",-1,Q38)&gt;=1)*(IF(Q38="",-1,Q38)&lt;=3))*(1-(IF(Q38="",-1,Q38)=0)),IF(C38="peso_corporal",IF(ISNUMBER(E38),E38,0)+O38,O38)*(30+P38)*100+O38,0),IF((S38&gt;=6)*(1-(IF(T38="",-1,T38)&gt;=1)*(IF(T38="",-1,T38)&lt;=3))*(1-(IF(T38="",-1,T38)=0)),IF(C38="peso_corporal",IF(ISNUMBER(E38),E38,0)+R38,R38)*(30+S38)*100+R38,0))</f>
        <v>0</v>
      </c>
      <c r="AB38" s="69">
        <f>IF(AA38=0,0,IF(IF((S38&gt;=6)*(1-(IF(T38="",-1,T38)&gt;=1)*(IF(T38="",-1,T38)&lt;=3))*(1-(IF(T38="",-1,T38)=0)),IF(C38="peso_corporal",IF(ISNUMBER(E38),E38,0)+R38,R38)*(30+S38)*100+R38,0)=AA38,5,IF(IF((P38&gt;=6)*(1-(IF(Q38="",-1,Q38)&gt;=1)*(IF(Q38="",-1,Q38)&lt;=3))*(1-(IF(Q38="",-1,Q38)=0)),IF(C38="peso_corporal",IF(ISNUMBER(E38),E38,0)+O38,O38)*(30+P38)*100+O38,0)=AA38,4,IF(IF((M38&gt;=6)*(1-(IF(N38="",-1,N38)&gt;=1)*(IF(N38="",-1,N38)&lt;=3))*(1-(IF(N38="",-1,N38)=0)),IF(C38="peso_corporal",IF(ISNUMBER(E38),E38,0)+L38,L38)*(30+M38)*100+L38,0)=AA38,3,IF(IF((J38&gt;=6)*(1-(IF(K38="",-1,K38)&gt;=1)*(IF(K38="",-1,K38)&lt;=3))*(1-(IF(K38="",-1,K38)=0)),IF(C38="peso_corporal",IF(ISNUMBER(E38),E38,0)+I38,I38)*(30+J38)*100+I38,0)=AA38,2,IF(IF((G38&gt;=6)*(1-(IF(H38="",-1,H38)&gt;=1)*(IF(H38="",-1,H38)&lt;=3))*(1-(IF(H38="",-1,H38)=0)),IF(C38="peso_corporal",IF(ISNUMBER(E38),E38,0)+F38,F38)*(30+G38)*100+F38,0)=AA38,1,0))))))</f>
        <v>0</v>
      </c>
      <c r="AC38" s="69" t="str">
        <f>IF(X38&gt;0,"A"&amp;X38,IF(Z38&gt;0,"B"&amp;Z38,IF(AB38&gt;0,"C"&amp;AB38,"")))</f>
        <v/>
      </c>
    </row>
    <row r="39" spans="1:29" ht="15" customHeight="1">
      <c r="A39" s="81" t="s">
        <v>53</v>
      </c>
      <c r="B39" s="73"/>
      <c r="C39" s="73"/>
      <c r="D39" s="73"/>
      <c r="E39" s="73"/>
      <c r="F39" s="73"/>
      <c r="G39" s="73"/>
      <c r="H39" s="73"/>
      <c r="I39" s="73"/>
      <c r="J39" s="73"/>
      <c r="K39" s="73"/>
      <c r="L39" s="73"/>
      <c r="M39" s="73"/>
      <c r="N39" s="73"/>
      <c r="O39" s="73"/>
      <c r="P39" s="73"/>
      <c r="Q39" s="73"/>
      <c r="R39" s="73"/>
      <c r="S39" s="73"/>
      <c r="T39" s="73"/>
      <c r="U39" s="73"/>
      <c r="V39" s="73"/>
      <c r="W39" s="69"/>
      <c r="X39" s="69"/>
      <c r="Y39" s="69"/>
      <c r="Z39" s="69"/>
      <c r="AA39" s="69"/>
      <c r="AB39" s="69"/>
      <c r="AC39" s="69"/>
    </row>
    <row r="40" spans="1:29" ht="20.100000000000001" customHeight="1">
      <c r="A40" s="14" t="s">
        <v>54</v>
      </c>
      <c r="B40" s="15" t="s">
        <v>67</v>
      </c>
      <c r="C40" s="16" t="str">
        <f>IFERROR(INDEX(EJERCICIOS!$D$3:$D$75,MATCH(A40&amp;"|"&amp;B40,EJERCICIOS!$G$3:$G$75,0)),"--")</f>
        <v>mancuerna</v>
      </c>
      <c r="D40" s="17">
        <v>3</v>
      </c>
      <c r="E40" s="18">
        <f>IFERROR(LOOKUP(2,1/(MEDIDAS_Y_PESO!$B$3:$B$4&lt;&gt;""),MEDIDAS_Y_PESO!$B$3:$B$4),"--")</f>
        <v>80</v>
      </c>
      <c r="F40" s="19"/>
      <c r="G40" s="20"/>
      <c r="H40" s="21"/>
      <c r="I40" s="19"/>
      <c r="J40" s="20"/>
      <c r="K40" s="21"/>
      <c r="L40" s="19"/>
      <c r="M40" s="20"/>
      <c r="N40" s="21"/>
      <c r="O40" s="19"/>
      <c r="P40" s="20"/>
      <c r="Q40" s="21"/>
      <c r="R40" s="19"/>
      <c r="S40" s="20"/>
      <c r="T40" s="21"/>
      <c r="U40" s="22" t="str">
        <f>IFERROR(IF(IF(X40&gt;0,X40,IF(Z40&gt;0,Z40,IF(AB40&gt;0,AB40,0)))=0,"--",ROUND(CHOOSE(IF(X40&gt;0,X40,IF(Z40&gt;0,Z40,IF(AB40&gt;0,AB40,0))),IF(C40="peso_corporal",IF(ISNUMBER(E40),E40,0)+F40,F40)*(1+G40/30),IF(C40="peso_corporal",IF(ISNUMBER(E40),E40,0)+I40,I40)*(1+J40/30),IF(C40="peso_corporal",IF(ISNUMBER(E40),E40,0)+L40,L40)*(1+M40/30),IF(C40="peso_corporal",IF(ISNUMBER(E40),E40,0)+O40,O40)*(1+P40/30),IF(C40="peso_corporal",IF(ISNUMBER(E40),E40,0)+R40,R40)*(1+S40/30)),1)),"--")</f>
        <v>--</v>
      </c>
      <c r="V40" s="23" t="str">
        <f>IF(SUGERENCIAS!N82="SIN","Sin datos anteriores",IF(SUGERENCIAS!N82="SUBIR_F","^ SUBIR FUERTE | Kg:"&amp;ROUND(SUGERENCIAS!K82,1)&amp;" R:"&amp;ROUND(SUGERENCIAS!L82,0)&amp;" RIR:"&amp;ROUND(SUGERENCIAS!M82,0),IF(SUGERENCIAS!N82="SUBIR_E","^ SUBIR (Est.) | Kg:"&amp;ROUND(SUGERENCIAS!K82,1)&amp;" R:"&amp;ROUND(SUGERENCIAS!L82,0)&amp;" RIR:"&amp;ROUND(SUGERENCIAS!M82,0),IF(SUGERENCIAS!N82="SUBIR","^ SUBIR | Kg:"&amp;ROUND(SUGERENCIAS!K82,1)&amp;" R:"&amp;ROUND(SUGERENCIAS!L82,0)&amp;" RIR:"&amp;ROUND(SUGERENCIAS!M82,0),IF(SUGERENCIAS!N82="BAJAR","v BAJAR | Kg:"&amp;ROUND(SUGERENCIAS!K82,1)&amp;" R:"&amp;ROUND(SUGERENCIAS!L82,0)&amp;" RIR:"&amp;ROUND(SUGERENCIAS!M82,0),"= MANT | Kg:"&amp;ROUND(SUGERENCIAS!K82,1)&amp;" R:"&amp;ROUND(SUGERENCIAS!L82,0)&amp;" RIR:"&amp;ROUND(SUGERENCIAS!M82,0))))))</f>
        <v>Sin datos anteriores</v>
      </c>
      <c r="W40" s="69">
        <f>MAX(IF((G40&gt;0)*(IF(H40="",-1,H40)&gt;=1)*(IF(H40="",-1,H40)&lt;=3),IF(C40="peso_corporal",IF(ISNUMBER(E40),E40,0)+F40,F40)*G40*1000+F40,0),IF((J40&gt;0)*(IF(K40="",-1,K40)&gt;=1)*(IF(K40="",-1,K40)&lt;=3),IF(C40="peso_corporal",IF(ISNUMBER(E40),E40,0)+I40,I40)*J40*1000+I40,0),IF((M40&gt;0)*(IF(N40="",-1,N40)&gt;=1)*(IF(N40="",-1,N40)&lt;=3),IF(C40="peso_corporal",IF(ISNUMBER(E40),E40,0)+L40,L40)*M40*1000+L40,0),IF((P40&gt;0)*(IF(Q40="",-1,Q40)&gt;=1)*(IF(Q40="",-1,Q40)&lt;=3),IF(C40="peso_corporal",IF(ISNUMBER(E40),E40,0)+O40,O40)*P40*1000+O40,0),IF((S40&gt;0)*(IF(T40="",-1,T40)&gt;=1)*(IF(T40="",-1,T40)&lt;=3),IF(C40="peso_corporal",IF(ISNUMBER(E40),E40,0)+R40,R40)*S40*1000+R40,0))</f>
        <v>0</v>
      </c>
      <c r="X40" s="69">
        <f>IF(W40=0,0,IF(IF((S40&gt;0)*(IF(T40="",-1,T40)&gt;=1)*(IF(T40="",-1,T40)&lt;=3),IF(C40="peso_corporal",IF(ISNUMBER(E40),E40,0)+R40,R40)*S40*1000+R40,0)=W40,5,IF(IF((P40&gt;0)*(IF(Q40="",-1,Q40)&gt;=1)*(IF(Q40="",-1,Q40)&lt;=3),IF(C40="peso_corporal",IF(ISNUMBER(E40),E40,0)+O40,O40)*P40*1000+O40,0)=W40,4,IF(IF((M40&gt;0)*(IF(N40="",-1,N40)&gt;=1)*(IF(N40="",-1,N40)&lt;=3),IF(C40="peso_corporal",IF(ISNUMBER(E40),E40,0)+L40,L40)*M40*1000+L40,0)=W40,3,IF(IF((J40&gt;0)*(IF(K40="",-1,K40)&gt;=1)*(IF(K40="",-1,K40)&lt;=3),IF(C40="peso_corporal",IF(ISNUMBER(E40),E40,0)+I40,I40)*J40*1000+I40,0)=W40,2,IF(IF((G40&gt;0)*(IF(H40="",-1,H40)&gt;=1)*(IF(H40="",-1,H40)&lt;=3),IF(C40="peso_corporal",IF(ISNUMBER(E40),E40,0)+F40,F40)*G40*1000+F40,0)=W40,1,0))))))</f>
        <v>0</v>
      </c>
      <c r="Y40" s="69">
        <f>MAX(IF((G40&gt;0)*(IF(H40="",-1,H40)=0)*(1-(IF(H40="",-1,H40)&gt;=1)*(IF(H40="",-1,H40)&lt;=3)),IF(C40="peso_corporal",IF(ISNUMBER(E40),E40,0)+F40,F40)*G40*1000+F40,0),IF((J40&gt;0)*(IF(K40="",-1,K40)=0)*(1-(IF(K40="",-1,K40)&gt;=1)*(IF(K40="",-1,K40)&lt;=3)),IF(C40="peso_corporal",IF(ISNUMBER(E40),E40,0)+I40,I40)*J40*1000+I40,0),IF((M40&gt;0)*(IF(N40="",-1,N40)=0)*(1-(IF(N40="",-1,N40)&gt;=1)*(IF(N40="",-1,N40)&lt;=3)),IF(C40="peso_corporal",IF(ISNUMBER(E40),E40,0)+L40,L40)*M40*1000+L40,0),IF((P40&gt;0)*(IF(Q40="",-1,Q40)=0)*(1-(IF(Q40="",-1,Q40)&gt;=1)*(IF(Q40="",-1,Q40)&lt;=3)),IF(C40="peso_corporal",IF(ISNUMBER(E40),E40,0)+O40,O40)*P40*1000+O40,0),IF((S40&gt;0)*(IF(T40="",-1,T40)=0)*(1-(IF(T40="",-1,T40)&gt;=1)*(IF(T40="",-1,T40)&lt;=3)),IF(C40="peso_corporal",IF(ISNUMBER(E40),E40,0)+R40,R40)*S40*1000+R40,0))</f>
        <v>0</v>
      </c>
      <c r="Z40" s="69">
        <f>IF(Y40=0,0,IF(IF((S40&gt;0)*(IF(T40="",-1,T40)=0)*(1-(IF(T40="",-1,T40)&gt;=1)*(IF(T40="",-1,T40)&lt;=3)),IF(C40="peso_corporal",IF(ISNUMBER(E40),E40,0)+R40,R40)*S40*1000+R40,0)=Y40,5,IF(IF((P40&gt;0)*(IF(Q40="",-1,Q40)=0)*(1-(IF(Q40="",-1,Q40)&gt;=1)*(IF(Q40="",-1,Q40)&lt;=3)),IF(C40="peso_corporal",IF(ISNUMBER(E40),E40,0)+O40,O40)*P40*1000+O40,0)=Y40,4,IF(IF((M40&gt;0)*(IF(N40="",-1,N40)=0)*(1-(IF(N40="",-1,N40)&gt;=1)*(IF(N40="",-1,N40)&lt;=3)),IF(C40="peso_corporal",IF(ISNUMBER(E40),E40,0)+L40,L40)*M40*1000+L40,0)=Y40,3,IF(IF((J40&gt;0)*(IF(K40="",-1,K40)=0)*(1-(IF(K40="",-1,K40)&gt;=1)*(IF(K40="",-1,K40)&lt;=3)),IF(C40="peso_corporal",IF(ISNUMBER(E40),E40,0)+I40,I40)*J40*1000+I40,0)=Y40,2,IF(IF((G40&gt;0)*(IF(H40="",-1,H40)=0)*(1-(IF(H40="",-1,H40)&gt;=1)*(IF(H40="",-1,H40)&lt;=3)),IF(C40="peso_corporal",IF(ISNUMBER(E40),E40,0)+F40,F40)*G40*1000+F40,0)=Y40,1,0))))))</f>
        <v>0</v>
      </c>
      <c r="AA40" s="69">
        <f>MAX(IF((G40&gt;=6)*(1-(IF(H40="",-1,H40)&gt;=1)*(IF(H40="",-1,H40)&lt;=3))*(1-(IF(H40="",-1,H40)=0)),IF(C40="peso_corporal",IF(ISNUMBER(E40),E40,0)+F40,F40)*(30+G40)*100+F40,0),IF((J40&gt;=6)*(1-(IF(K40="",-1,K40)&gt;=1)*(IF(K40="",-1,K40)&lt;=3))*(1-(IF(K40="",-1,K40)=0)),IF(C40="peso_corporal",IF(ISNUMBER(E40),E40,0)+I40,I40)*(30+J40)*100+I40,0),IF((M40&gt;=6)*(1-(IF(N40="",-1,N40)&gt;=1)*(IF(N40="",-1,N40)&lt;=3))*(1-(IF(N40="",-1,N40)=0)),IF(C40="peso_corporal",IF(ISNUMBER(E40),E40,0)+L40,L40)*(30+M40)*100+L40,0),IF((P40&gt;=6)*(1-(IF(Q40="",-1,Q40)&gt;=1)*(IF(Q40="",-1,Q40)&lt;=3))*(1-(IF(Q40="",-1,Q40)=0)),IF(C40="peso_corporal",IF(ISNUMBER(E40),E40,0)+O40,O40)*(30+P40)*100+O40,0),IF((S40&gt;=6)*(1-(IF(T40="",-1,T40)&gt;=1)*(IF(T40="",-1,T40)&lt;=3))*(1-(IF(T40="",-1,T40)=0)),IF(C40="peso_corporal",IF(ISNUMBER(E40),E40,0)+R40,R40)*(30+S40)*100+R40,0))</f>
        <v>0</v>
      </c>
      <c r="AB40" s="69">
        <f>IF(AA40=0,0,IF(IF((S40&gt;=6)*(1-(IF(T40="",-1,T40)&gt;=1)*(IF(T40="",-1,T40)&lt;=3))*(1-(IF(T40="",-1,T40)=0)),IF(C40="peso_corporal",IF(ISNUMBER(E40),E40,0)+R40,R40)*(30+S40)*100+R40,0)=AA40,5,IF(IF((P40&gt;=6)*(1-(IF(Q40="",-1,Q40)&gt;=1)*(IF(Q40="",-1,Q40)&lt;=3))*(1-(IF(Q40="",-1,Q40)=0)),IF(C40="peso_corporal",IF(ISNUMBER(E40),E40,0)+O40,O40)*(30+P40)*100+O40,0)=AA40,4,IF(IF((M40&gt;=6)*(1-(IF(N40="",-1,N40)&gt;=1)*(IF(N40="",-1,N40)&lt;=3))*(1-(IF(N40="",-1,N40)=0)),IF(C40="peso_corporal",IF(ISNUMBER(E40),E40,0)+L40,L40)*(30+M40)*100+L40,0)=AA40,3,IF(IF((J40&gt;=6)*(1-(IF(K40="",-1,K40)&gt;=1)*(IF(K40="",-1,K40)&lt;=3))*(1-(IF(K40="",-1,K40)=0)),IF(C40="peso_corporal",IF(ISNUMBER(E40),E40,0)+I40,I40)*(30+J40)*100+I40,0)=AA40,2,IF(IF((G40&gt;=6)*(1-(IF(H40="",-1,H40)&gt;=1)*(IF(H40="",-1,H40)&lt;=3))*(1-(IF(H40="",-1,H40)=0)),IF(C40="peso_corporal",IF(ISNUMBER(E40),E40,0)+F40,F40)*(30+G40)*100+F40,0)=AA40,1,0))))))</f>
        <v>0</v>
      </c>
      <c r="AC40" s="69" t="str">
        <f>IF(X40&gt;0,"A"&amp;X40,IF(Z40&gt;0,"B"&amp;Z40,IF(AB40&gt;0,"C"&amp;AB40,"")))</f>
        <v/>
      </c>
    </row>
    <row r="41" spans="1:29" ht="20.100000000000001" customHeight="1">
      <c r="A41" s="14" t="s">
        <v>54</v>
      </c>
      <c r="B41" s="15" t="s">
        <v>98</v>
      </c>
      <c r="C41" s="16" t="str">
        <f>IFERROR(INDEX(EJERCICIOS!$D$3:$D$75,MATCH(A41&amp;"|"&amp;B41,EJERCICIOS!$G$3:$G$75,0)),"--")</f>
        <v>polea</v>
      </c>
      <c r="D41" s="17">
        <v>3</v>
      </c>
      <c r="E41" s="18">
        <f>IFERROR(LOOKUP(2,1/(MEDIDAS_Y_PESO!$B$3:$B$4&lt;&gt;""),MEDIDAS_Y_PESO!$B$3:$B$4),"--")</f>
        <v>80</v>
      </c>
      <c r="F41" s="19"/>
      <c r="G41" s="20"/>
      <c r="H41" s="21"/>
      <c r="I41" s="19"/>
      <c r="J41" s="20"/>
      <c r="K41" s="21"/>
      <c r="L41" s="19"/>
      <c r="M41" s="20"/>
      <c r="N41" s="21"/>
      <c r="O41" s="19"/>
      <c r="P41" s="20"/>
      <c r="Q41" s="21"/>
      <c r="R41" s="19"/>
      <c r="S41" s="20"/>
      <c r="T41" s="21"/>
      <c r="U41" s="22" t="str">
        <f>IFERROR(IF(IF(X41&gt;0,X41,IF(Z41&gt;0,Z41,IF(AB41&gt;0,AB41,0)))=0,"--",ROUND(CHOOSE(IF(X41&gt;0,X41,IF(Z41&gt;0,Z41,IF(AB41&gt;0,AB41,0))),IF(C41="peso_corporal",IF(ISNUMBER(E41),E41,0)+F41,F41)*(1+G41/30),IF(C41="peso_corporal",IF(ISNUMBER(E41),E41,0)+I41,I41)*(1+J41/30),IF(C41="peso_corporal",IF(ISNUMBER(E41),E41,0)+L41,L41)*(1+M41/30),IF(C41="peso_corporal",IF(ISNUMBER(E41),E41,0)+O41,O41)*(1+P41/30),IF(C41="peso_corporal",IF(ISNUMBER(E41),E41,0)+R41,R41)*(1+S41/30)),1)),"--")</f>
        <v>--</v>
      </c>
      <c r="V41" s="23" t="str">
        <f>IF(SUGERENCIAS!N83="SIN","Sin datos anteriores",IF(SUGERENCIAS!N83="SUBIR_F","^ SUBIR FUERTE | Kg:"&amp;ROUND(SUGERENCIAS!K83,1)&amp;" R:"&amp;ROUND(SUGERENCIAS!L83,0)&amp;" RIR:"&amp;ROUND(SUGERENCIAS!M83,0),IF(SUGERENCIAS!N83="SUBIR_E","^ SUBIR (Est.) | Kg:"&amp;ROUND(SUGERENCIAS!K83,1)&amp;" R:"&amp;ROUND(SUGERENCIAS!L83,0)&amp;" RIR:"&amp;ROUND(SUGERENCIAS!M83,0),IF(SUGERENCIAS!N83="SUBIR","^ SUBIR | Kg:"&amp;ROUND(SUGERENCIAS!K83,1)&amp;" R:"&amp;ROUND(SUGERENCIAS!L83,0)&amp;" RIR:"&amp;ROUND(SUGERENCIAS!M83,0),IF(SUGERENCIAS!N83="BAJAR","v BAJAR | Kg:"&amp;ROUND(SUGERENCIAS!K83,1)&amp;" R:"&amp;ROUND(SUGERENCIAS!L83,0)&amp;" RIR:"&amp;ROUND(SUGERENCIAS!M83,0),"= MANT | Kg:"&amp;ROUND(SUGERENCIAS!K83,1)&amp;" R:"&amp;ROUND(SUGERENCIAS!L83,0)&amp;" RIR:"&amp;ROUND(SUGERENCIAS!M83,0))))))</f>
        <v>Sin datos anteriores</v>
      </c>
      <c r="W41" s="69">
        <f>MAX(IF((G41&gt;0)*(IF(H41="",-1,H41)&gt;=1)*(IF(H41="",-1,H41)&lt;=3),IF(C41="peso_corporal",IF(ISNUMBER(E41),E41,0)+F41,F41)*G41*1000+F41,0),IF((J41&gt;0)*(IF(K41="",-1,K41)&gt;=1)*(IF(K41="",-1,K41)&lt;=3),IF(C41="peso_corporal",IF(ISNUMBER(E41),E41,0)+I41,I41)*J41*1000+I41,0),IF((M41&gt;0)*(IF(N41="",-1,N41)&gt;=1)*(IF(N41="",-1,N41)&lt;=3),IF(C41="peso_corporal",IF(ISNUMBER(E41),E41,0)+L41,L41)*M41*1000+L41,0),IF((P41&gt;0)*(IF(Q41="",-1,Q41)&gt;=1)*(IF(Q41="",-1,Q41)&lt;=3),IF(C41="peso_corporal",IF(ISNUMBER(E41),E41,0)+O41,O41)*P41*1000+O41,0),IF((S41&gt;0)*(IF(T41="",-1,T41)&gt;=1)*(IF(T41="",-1,T41)&lt;=3),IF(C41="peso_corporal",IF(ISNUMBER(E41),E41,0)+R41,R41)*S41*1000+R41,0))</f>
        <v>0</v>
      </c>
      <c r="X41" s="69">
        <f>IF(W41=0,0,IF(IF((S41&gt;0)*(IF(T41="",-1,T41)&gt;=1)*(IF(T41="",-1,T41)&lt;=3),IF(C41="peso_corporal",IF(ISNUMBER(E41),E41,0)+R41,R41)*S41*1000+R41,0)=W41,5,IF(IF((P41&gt;0)*(IF(Q41="",-1,Q41)&gt;=1)*(IF(Q41="",-1,Q41)&lt;=3),IF(C41="peso_corporal",IF(ISNUMBER(E41),E41,0)+O41,O41)*P41*1000+O41,0)=W41,4,IF(IF((M41&gt;0)*(IF(N41="",-1,N41)&gt;=1)*(IF(N41="",-1,N41)&lt;=3),IF(C41="peso_corporal",IF(ISNUMBER(E41),E41,0)+L41,L41)*M41*1000+L41,0)=W41,3,IF(IF((J41&gt;0)*(IF(K41="",-1,K41)&gt;=1)*(IF(K41="",-1,K41)&lt;=3),IF(C41="peso_corporal",IF(ISNUMBER(E41),E41,0)+I41,I41)*J41*1000+I41,0)=W41,2,IF(IF((G41&gt;0)*(IF(H41="",-1,H41)&gt;=1)*(IF(H41="",-1,H41)&lt;=3),IF(C41="peso_corporal",IF(ISNUMBER(E41),E41,0)+F41,F41)*G41*1000+F41,0)=W41,1,0))))))</f>
        <v>0</v>
      </c>
      <c r="Y41" s="69">
        <f>MAX(IF((G41&gt;0)*(IF(H41="",-1,H41)=0)*(1-(IF(H41="",-1,H41)&gt;=1)*(IF(H41="",-1,H41)&lt;=3)),IF(C41="peso_corporal",IF(ISNUMBER(E41),E41,0)+F41,F41)*G41*1000+F41,0),IF((J41&gt;0)*(IF(K41="",-1,K41)=0)*(1-(IF(K41="",-1,K41)&gt;=1)*(IF(K41="",-1,K41)&lt;=3)),IF(C41="peso_corporal",IF(ISNUMBER(E41),E41,0)+I41,I41)*J41*1000+I41,0),IF((M41&gt;0)*(IF(N41="",-1,N41)=0)*(1-(IF(N41="",-1,N41)&gt;=1)*(IF(N41="",-1,N41)&lt;=3)),IF(C41="peso_corporal",IF(ISNUMBER(E41),E41,0)+L41,L41)*M41*1000+L41,0),IF((P41&gt;0)*(IF(Q41="",-1,Q41)=0)*(1-(IF(Q41="",-1,Q41)&gt;=1)*(IF(Q41="",-1,Q41)&lt;=3)),IF(C41="peso_corporal",IF(ISNUMBER(E41),E41,0)+O41,O41)*P41*1000+O41,0),IF((S41&gt;0)*(IF(T41="",-1,T41)=0)*(1-(IF(T41="",-1,T41)&gt;=1)*(IF(T41="",-1,T41)&lt;=3)),IF(C41="peso_corporal",IF(ISNUMBER(E41),E41,0)+R41,R41)*S41*1000+R41,0))</f>
        <v>0</v>
      </c>
      <c r="Z41" s="69">
        <f>IF(Y41=0,0,IF(IF((S41&gt;0)*(IF(T41="",-1,T41)=0)*(1-(IF(T41="",-1,T41)&gt;=1)*(IF(T41="",-1,T41)&lt;=3)),IF(C41="peso_corporal",IF(ISNUMBER(E41),E41,0)+R41,R41)*S41*1000+R41,0)=Y41,5,IF(IF((P41&gt;0)*(IF(Q41="",-1,Q41)=0)*(1-(IF(Q41="",-1,Q41)&gt;=1)*(IF(Q41="",-1,Q41)&lt;=3)),IF(C41="peso_corporal",IF(ISNUMBER(E41),E41,0)+O41,O41)*P41*1000+O41,0)=Y41,4,IF(IF((M41&gt;0)*(IF(N41="",-1,N41)=0)*(1-(IF(N41="",-1,N41)&gt;=1)*(IF(N41="",-1,N41)&lt;=3)),IF(C41="peso_corporal",IF(ISNUMBER(E41),E41,0)+L41,L41)*M41*1000+L41,0)=Y41,3,IF(IF((J41&gt;0)*(IF(K41="",-1,K41)=0)*(1-(IF(K41="",-1,K41)&gt;=1)*(IF(K41="",-1,K41)&lt;=3)),IF(C41="peso_corporal",IF(ISNUMBER(E41),E41,0)+I41,I41)*J41*1000+I41,0)=Y41,2,IF(IF((G41&gt;0)*(IF(H41="",-1,H41)=0)*(1-(IF(H41="",-1,H41)&gt;=1)*(IF(H41="",-1,H41)&lt;=3)),IF(C41="peso_corporal",IF(ISNUMBER(E41),E41,0)+F41,F41)*G41*1000+F41,0)=Y41,1,0))))))</f>
        <v>0</v>
      </c>
      <c r="AA41" s="69">
        <f>MAX(IF((G41&gt;=6)*(1-(IF(H41="",-1,H41)&gt;=1)*(IF(H41="",-1,H41)&lt;=3))*(1-(IF(H41="",-1,H41)=0)),IF(C41="peso_corporal",IF(ISNUMBER(E41),E41,0)+F41,F41)*(30+G41)*100+F41,0),IF((J41&gt;=6)*(1-(IF(K41="",-1,K41)&gt;=1)*(IF(K41="",-1,K41)&lt;=3))*(1-(IF(K41="",-1,K41)=0)),IF(C41="peso_corporal",IF(ISNUMBER(E41),E41,0)+I41,I41)*(30+J41)*100+I41,0),IF((M41&gt;=6)*(1-(IF(N41="",-1,N41)&gt;=1)*(IF(N41="",-1,N41)&lt;=3))*(1-(IF(N41="",-1,N41)=0)),IF(C41="peso_corporal",IF(ISNUMBER(E41),E41,0)+L41,L41)*(30+M41)*100+L41,0),IF((P41&gt;=6)*(1-(IF(Q41="",-1,Q41)&gt;=1)*(IF(Q41="",-1,Q41)&lt;=3))*(1-(IF(Q41="",-1,Q41)=0)),IF(C41="peso_corporal",IF(ISNUMBER(E41),E41,0)+O41,O41)*(30+P41)*100+O41,0),IF((S41&gt;=6)*(1-(IF(T41="",-1,T41)&gt;=1)*(IF(T41="",-1,T41)&lt;=3))*(1-(IF(T41="",-1,T41)=0)),IF(C41="peso_corporal",IF(ISNUMBER(E41),E41,0)+R41,R41)*(30+S41)*100+R41,0))</f>
        <v>0</v>
      </c>
      <c r="AB41" s="69">
        <f>IF(AA41=0,0,IF(IF((S41&gt;=6)*(1-(IF(T41="",-1,T41)&gt;=1)*(IF(T41="",-1,T41)&lt;=3))*(1-(IF(T41="",-1,T41)=0)),IF(C41="peso_corporal",IF(ISNUMBER(E41),E41,0)+R41,R41)*(30+S41)*100+R41,0)=AA41,5,IF(IF((P41&gt;=6)*(1-(IF(Q41="",-1,Q41)&gt;=1)*(IF(Q41="",-1,Q41)&lt;=3))*(1-(IF(Q41="",-1,Q41)=0)),IF(C41="peso_corporal",IF(ISNUMBER(E41),E41,0)+O41,O41)*(30+P41)*100+O41,0)=AA41,4,IF(IF((M41&gt;=6)*(1-(IF(N41="",-1,N41)&gt;=1)*(IF(N41="",-1,N41)&lt;=3))*(1-(IF(N41="",-1,N41)=0)),IF(C41="peso_corporal",IF(ISNUMBER(E41),E41,0)+L41,L41)*(30+M41)*100+L41,0)=AA41,3,IF(IF((J41&gt;=6)*(1-(IF(K41="",-1,K41)&gt;=1)*(IF(K41="",-1,K41)&lt;=3))*(1-(IF(K41="",-1,K41)=0)),IF(C41="peso_corporal",IF(ISNUMBER(E41),E41,0)+I41,I41)*(30+J41)*100+I41,0)=AA41,2,IF(IF((G41&gt;=6)*(1-(IF(H41="",-1,H41)&gt;=1)*(IF(H41="",-1,H41)&lt;=3))*(1-(IF(H41="",-1,H41)=0)),IF(C41="peso_corporal",IF(ISNUMBER(E41),E41,0)+F41,F41)*(30+G41)*100+F41,0)=AA41,1,0))))))</f>
        <v>0</v>
      </c>
      <c r="AC41" s="69" t="str">
        <f>IF(X41&gt;0,"A"&amp;X41,IF(Z41&gt;0,"B"&amp;Z41,IF(AB41&gt;0,"C"&amp;AB41,"")))</f>
        <v/>
      </c>
    </row>
    <row r="42" spans="1:29" ht="15" customHeight="1">
      <c r="A42" s="83" t="s">
        <v>99</v>
      </c>
      <c r="B42" s="73"/>
      <c r="C42" s="73"/>
      <c r="D42" s="73"/>
      <c r="E42" s="73"/>
      <c r="F42" s="73"/>
      <c r="G42" s="73"/>
      <c r="H42" s="73"/>
      <c r="I42" s="73"/>
      <c r="J42" s="73"/>
      <c r="K42" s="73"/>
      <c r="L42" s="73"/>
      <c r="M42" s="73"/>
      <c r="N42" s="73"/>
      <c r="O42" s="73"/>
      <c r="P42" s="73"/>
      <c r="Q42" s="73"/>
      <c r="R42" s="73"/>
      <c r="S42" s="73"/>
      <c r="T42" s="73"/>
      <c r="U42" s="73"/>
      <c r="V42" s="73"/>
      <c r="W42" s="69"/>
      <c r="X42" s="69"/>
      <c r="Y42" s="69"/>
      <c r="Z42" s="69"/>
      <c r="AA42" s="69"/>
      <c r="AB42" s="69"/>
      <c r="AC42" s="69"/>
    </row>
    <row r="43" spans="1:29" ht="20.100000000000001" customHeight="1">
      <c r="A43" s="14" t="s">
        <v>100</v>
      </c>
      <c r="B43" s="15" t="s">
        <v>101</v>
      </c>
      <c r="C43" s="16" t="str">
        <f>IFERROR(INDEX(EJERCICIOS!$D$3:$D$75,MATCH(A43&amp;"|"&amp;B43,EJERCICIOS!$G$3:$G$75,0)),"--")</f>
        <v>mancuerna</v>
      </c>
      <c r="D43" s="17">
        <v>3</v>
      </c>
      <c r="E43" s="18">
        <f>IFERROR(LOOKUP(2,1/(MEDIDAS_Y_PESO!$B$3:$B$4&lt;&gt;""),MEDIDAS_Y_PESO!$B$3:$B$4),"--")</f>
        <v>80</v>
      </c>
      <c r="F43" s="19"/>
      <c r="G43" s="20"/>
      <c r="H43" s="21"/>
      <c r="I43" s="19"/>
      <c r="J43" s="20"/>
      <c r="K43" s="21"/>
      <c r="L43" s="19"/>
      <c r="M43" s="20"/>
      <c r="N43" s="21"/>
      <c r="O43" s="19"/>
      <c r="P43" s="20"/>
      <c r="Q43" s="21"/>
      <c r="R43" s="19"/>
      <c r="S43" s="20"/>
      <c r="T43" s="21"/>
      <c r="U43" s="22" t="str">
        <f>IFERROR(IF(IF(X43&gt;0,X43,IF(Z43&gt;0,Z43,IF(AB43&gt;0,AB43,0)))=0,"--",ROUND(CHOOSE(IF(X43&gt;0,X43,IF(Z43&gt;0,Z43,IF(AB43&gt;0,AB43,0))),IF(C43="peso_corporal",IF(ISNUMBER(E43),E43,0)+F43,F43)*(1+G43/30),IF(C43="peso_corporal",IF(ISNUMBER(E43),E43,0)+I43,I43)*(1+J43/30),IF(C43="peso_corporal",IF(ISNUMBER(E43),E43,0)+L43,L43)*(1+M43/30),IF(C43="peso_corporal",IF(ISNUMBER(E43),E43,0)+O43,O43)*(1+P43/30),IF(C43="peso_corporal",IF(ISNUMBER(E43),E43,0)+R43,R43)*(1+S43/30)),1)),"--")</f>
        <v>--</v>
      </c>
      <c r="V43" s="23" t="str">
        <f>IF(SUGERENCIAS!N84="SIN","Sin datos anteriores",IF(SUGERENCIAS!N84="SUBIR_F","^ SUBIR FUERTE | Kg:"&amp;ROUND(SUGERENCIAS!K84,1)&amp;" R:"&amp;ROUND(SUGERENCIAS!L84,0)&amp;" RIR:"&amp;ROUND(SUGERENCIAS!M84,0),IF(SUGERENCIAS!N84="SUBIR_E","^ SUBIR (Est.) | Kg:"&amp;ROUND(SUGERENCIAS!K84,1)&amp;" R:"&amp;ROUND(SUGERENCIAS!L84,0)&amp;" RIR:"&amp;ROUND(SUGERENCIAS!M84,0),IF(SUGERENCIAS!N84="SUBIR","^ SUBIR | Kg:"&amp;ROUND(SUGERENCIAS!K84,1)&amp;" R:"&amp;ROUND(SUGERENCIAS!L84,0)&amp;" RIR:"&amp;ROUND(SUGERENCIAS!M84,0),IF(SUGERENCIAS!N84="BAJAR","v BAJAR | Kg:"&amp;ROUND(SUGERENCIAS!K84,1)&amp;" R:"&amp;ROUND(SUGERENCIAS!L84,0)&amp;" RIR:"&amp;ROUND(SUGERENCIAS!M84,0),"= MANT | Kg:"&amp;ROUND(SUGERENCIAS!K84,1)&amp;" R:"&amp;ROUND(SUGERENCIAS!L84,0)&amp;" RIR:"&amp;ROUND(SUGERENCIAS!M84,0))))))</f>
        <v>Sin datos anteriores</v>
      </c>
      <c r="W43" s="69">
        <f>MAX(IF((G43&gt;0)*(IF(H43="",-1,H43)&gt;=1)*(IF(H43="",-1,H43)&lt;=3),IF(C43="peso_corporal",IF(ISNUMBER(E43),E43,0)+F43,F43)*G43*1000+F43,0),IF((J43&gt;0)*(IF(K43="",-1,K43)&gt;=1)*(IF(K43="",-1,K43)&lt;=3),IF(C43="peso_corporal",IF(ISNUMBER(E43),E43,0)+I43,I43)*J43*1000+I43,0),IF((M43&gt;0)*(IF(N43="",-1,N43)&gt;=1)*(IF(N43="",-1,N43)&lt;=3),IF(C43="peso_corporal",IF(ISNUMBER(E43),E43,0)+L43,L43)*M43*1000+L43,0),IF((P43&gt;0)*(IF(Q43="",-1,Q43)&gt;=1)*(IF(Q43="",-1,Q43)&lt;=3),IF(C43="peso_corporal",IF(ISNUMBER(E43),E43,0)+O43,O43)*P43*1000+O43,0),IF((S43&gt;0)*(IF(T43="",-1,T43)&gt;=1)*(IF(T43="",-1,T43)&lt;=3),IF(C43="peso_corporal",IF(ISNUMBER(E43),E43,0)+R43,R43)*S43*1000+R43,0))</f>
        <v>0</v>
      </c>
      <c r="X43" s="69">
        <f>IF(W43=0,0,IF(IF((S43&gt;0)*(IF(T43="",-1,T43)&gt;=1)*(IF(T43="",-1,T43)&lt;=3),IF(C43="peso_corporal",IF(ISNUMBER(E43),E43,0)+R43,R43)*S43*1000+R43,0)=W43,5,IF(IF((P43&gt;0)*(IF(Q43="",-1,Q43)&gt;=1)*(IF(Q43="",-1,Q43)&lt;=3),IF(C43="peso_corporal",IF(ISNUMBER(E43),E43,0)+O43,O43)*P43*1000+O43,0)=W43,4,IF(IF((M43&gt;0)*(IF(N43="",-1,N43)&gt;=1)*(IF(N43="",-1,N43)&lt;=3),IF(C43="peso_corporal",IF(ISNUMBER(E43),E43,0)+L43,L43)*M43*1000+L43,0)=W43,3,IF(IF((J43&gt;0)*(IF(K43="",-1,K43)&gt;=1)*(IF(K43="",-1,K43)&lt;=3),IF(C43="peso_corporal",IF(ISNUMBER(E43),E43,0)+I43,I43)*J43*1000+I43,0)=W43,2,IF(IF((G43&gt;0)*(IF(H43="",-1,H43)&gt;=1)*(IF(H43="",-1,H43)&lt;=3),IF(C43="peso_corporal",IF(ISNUMBER(E43),E43,0)+F43,F43)*G43*1000+F43,0)=W43,1,0))))))</f>
        <v>0</v>
      </c>
      <c r="Y43" s="69">
        <f>MAX(IF((G43&gt;0)*(IF(H43="",-1,H43)=0)*(1-(IF(H43="",-1,H43)&gt;=1)*(IF(H43="",-1,H43)&lt;=3)),IF(C43="peso_corporal",IF(ISNUMBER(E43),E43,0)+F43,F43)*G43*1000+F43,0),IF((J43&gt;0)*(IF(K43="",-1,K43)=0)*(1-(IF(K43="",-1,K43)&gt;=1)*(IF(K43="",-1,K43)&lt;=3)),IF(C43="peso_corporal",IF(ISNUMBER(E43),E43,0)+I43,I43)*J43*1000+I43,0),IF((M43&gt;0)*(IF(N43="",-1,N43)=0)*(1-(IF(N43="",-1,N43)&gt;=1)*(IF(N43="",-1,N43)&lt;=3)),IF(C43="peso_corporal",IF(ISNUMBER(E43),E43,0)+L43,L43)*M43*1000+L43,0),IF((P43&gt;0)*(IF(Q43="",-1,Q43)=0)*(1-(IF(Q43="",-1,Q43)&gt;=1)*(IF(Q43="",-1,Q43)&lt;=3)),IF(C43="peso_corporal",IF(ISNUMBER(E43),E43,0)+O43,O43)*P43*1000+O43,0),IF((S43&gt;0)*(IF(T43="",-1,T43)=0)*(1-(IF(T43="",-1,T43)&gt;=1)*(IF(T43="",-1,T43)&lt;=3)),IF(C43="peso_corporal",IF(ISNUMBER(E43),E43,0)+R43,R43)*S43*1000+R43,0))</f>
        <v>0</v>
      </c>
      <c r="Z43" s="69">
        <f>IF(Y43=0,0,IF(IF((S43&gt;0)*(IF(T43="",-1,T43)=0)*(1-(IF(T43="",-1,T43)&gt;=1)*(IF(T43="",-1,T43)&lt;=3)),IF(C43="peso_corporal",IF(ISNUMBER(E43),E43,0)+R43,R43)*S43*1000+R43,0)=Y43,5,IF(IF((P43&gt;0)*(IF(Q43="",-1,Q43)=0)*(1-(IF(Q43="",-1,Q43)&gt;=1)*(IF(Q43="",-1,Q43)&lt;=3)),IF(C43="peso_corporal",IF(ISNUMBER(E43),E43,0)+O43,O43)*P43*1000+O43,0)=Y43,4,IF(IF((M43&gt;0)*(IF(N43="",-1,N43)=0)*(1-(IF(N43="",-1,N43)&gt;=1)*(IF(N43="",-1,N43)&lt;=3)),IF(C43="peso_corporal",IF(ISNUMBER(E43),E43,0)+L43,L43)*M43*1000+L43,0)=Y43,3,IF(IF((J43&gt;0)*(IF(K43="",-1,K43)=0)*(1-(IF(K43="",-1,K43)&gt;=1)*(IF(K43="",-1,K43)&lt;=3)),IF(C43="peso_corporal",IF(ISNUMBER(E43),E43,0)+I43,I43)*J43*1000+I43,0)=Y43,2,IF(IF((G43&gt;0)*(IF(H43="",-1,H43)=0)*(1-(IF(H43="",-1,H43)&gt;=1)*(IF(H43="",-1,H43)&lt;=3)),IF(C43="peso_corporal",IF(ISNUMBER(E43),E43,0)+F43,F43)*G43*1000+F43,0)=Y43,1,0))))))</f>
        <v>0</v>
      </c>
      <c r="AA43" s="69">
        <f>MAX(IF((G43&gt;=6)*(1-(IF(H43="",-1,H43)&gt;=1)*(IF(H43="",-1,H43)&lt;=3))*(1-(IF(H43="",-1,H43)=0)),IF(C43="peso_corporal",IF(ISNUMBER(E43),E43,0)+F43,F43)*(30+G43)*100+F43,0),IF((J43&gt;=6)*(1-(IF(K43="",-1,K43)&gt;=1)*(IF(K43="",-1,K43)&lt;=3))*(1-(IF(K43="",-1,K43)=0)),IF(C43="peso_corporal",IF(ISNUMBER(E43),E43,0)+I43,I43)*(30+J43)*100+I43,0),IF((M43&gt;=6)*(1-(IF(N43="",-1,N43)&gt;=1)*(IF(N43="",-1,N43)&lt;=3))*(1-(IF(N43="",-1,N43)=0)),IF(C43="peso_corporal",IF(ISNUMBER(E43),E43,0)+L43,L43)*(30+M43)*100+L43,0),IF((P43&gt;=6)*(1-(IF(Q43="",-1,Q43)&gt;=1)*(IF(Q43="",-1,Q43)&lt;=3))*(1-(IF(Q43="",-1,Q43)=0)),IF(C43="peso_corporal",IF(ISNUMBER(E43),E43,0)+O43,O43)*(30+P43)*100+O43,0),IF((S43&gt;=6)*(1-(IF(T43="",-1,T43)&gt;=1)*(IF(T43="",-1,T43)&lt;=3))*(1-(IF(T43="",-1,T43)=0)),IF(C43="peso_corporal",IF(ISNUMBER(E43),E43,0)+R43,R43)*(30+S43)*100+R43,0))</f>
        <v>0</v>
      </c>
      <c r="AB43" s="69">
        <f>IF(AA43=0,0,IF(IF((S43&gt;=6)*(1-(IF(T43="",-1,T43)&gt;=1)*(IF(T43="",-1,T43)&lt;=3))*(1-(IF(T43="",-1,T43)=0)),IF(C43="peso_corporal",IF(ISNUMBER(E43),E43,0)+R43,R43)*(30+S43)*100+R43,0)=AA43,5,IF(IF((P43&gt;=6)*(1-(IF(Q43="",-1,Q43)&gt;=1)*(IF(Q43="",-1,Q43)&lt;=3))*(1-(IF(Q43="",-1,Q43)=0)),IF(C43="peso_corporal",IF(ISNUMBER(E43),E43,0)+O43,O43)*(30+P43)*100+O43,0)=AA43,4,IF(IF((M43&gt;=6)*(1-(IF(N43="",-1,N43)&gt;=1)*(IF(N43="",-1,N43)&lt;=3))*(1-(IF(N43="",-1,N43)=0)),IF(C43="peso_corporal",IF(ISNUMBER(E43),E43,0)+L43,L43)*(30+M43)*100+L43,0)=AA43,3,IF(IF((J43&gt;=6)*(1-(IF(K43="",-1,K43)&gt;=1)*(IF(K43="",-1,K43)&lt;=3))*(1-(IF(K43="",-1,K43)=0)),IF(C43="peso_corporal",IF(ISNUMBER(E43),E43,0)+I43,I43)*(30+J43)*100+I43,0)=AA43,2,IF(IF((G43&gt;=6)*(1-(IF(H43="",-1,H43)&gt;=1)*(IF(H43="",-1,H43)&lt;=3))*(1-(IF(H43="",-1,H43)=0)),IF(C43="peso_corporal",IF(ISNUMBER(E43),E43,0)+F43,F43)*(30+G43)*100+F43,0)=AA43,1,0))))))</f>
        <v>0</v>
      </c>
      <c r="AC43" s="69" t="str">
        <f>IF(X43&gt;0,"A"&amp;X43,IF(Z43&gt;0,"B"&amp;Z43,IF(AB43&gt;0,"C"&amp;AB43,"")))</f>
        <v/>
      </c>
    </row>
    <row r="44" spans="1:29" ht="20.100000000000001" customHeight="1">
      <c r="A44" s="14" t="s">
        <v>100</v>
      </c>
      <c r="B44" s="15" t="s">
        <v>102</v>
      </c>
      <c r="C44" s="16" t="str">
        <f>IFERROR(INDEX(EJERCICIOS!$D$3:$D$75,MATCH(A44&amp;"|"&amp;B44,EJERCICIOS!$G$3:$G$75,0)),"--")</f>
        <v>mancuerna</v>
      </c>
      <c r="D44" s="17">
        <v>3</v>
      </c>
      <c r="E44" s="18">
        <f>IFERROR(LOOKUP(2,1/(MEDIDAS_Y_PESO!$B$3:$B$4&lt;&gt;""),MEDIDAS_Y_PESO!$B$3:$B$4),"--")</f>
        <v>80</v>
      </c>
      <c r="F44" s="19"/>
      <c r="G44" s="20"/>
      <c r="H44" s="21"/>
      <c r="I44" s="19"/>
      <c r="J44" s="20"/>
      <c r="K44" s="21"/>
      <c r="L44" s="19"/>
      <c r="M44" s="20"/>
      <c r="N44" s="21"/>
      <c r="O44" s="19"/>
      <c r="P44" s="20"/>
      <c r="Q44" s="21"/>
      <c r="R44" s="19"/>
      <c r="S44" s="20"/>
      <c r="T44" s="21"/>
      <c r="U44" s="22" t="str">
        <f>IFERROR(IF(IF(X44&gt;0,X44,IF(Z44&gt;0,Z44,IF(AB44&gt;0,AB44,0)))=0,"--",ROUND(CHOOSE(IF(X44&gt;0,X44,IF(Z44&gt;0,Z44,IF(AB44&gt;0,AB44,0))),IF(C44="peso_corporal",IF(ISNUMBER(E44),E44,0)+F44,F44)*(1+G44/30),IF(C44="peso_corporal",IF(ISNUMBER(E44),E44,0)+I44,I44)*(1+J44/30),IF(C44="peso_corporal",IF(ISNUMBER(E44),E44,0)+L44,L44)*(1+M44/30),IF(C44="peso_corporal",IF(ISNUMBER(E44),E44,0)+O44,O44)*(1+P44/30),IF(C44="peso_corporal",IF(ISNUMBER(E44),E44,0)+R44,R44)*(1+S44/30)),1)),"--")</f>
        <v>--</v>
      </c>
      <c r="V44" s="23" t="str">
        <f>IF(SUGERENCIAS!N85="SIN","Sin datos anteriores",IF(SUGERENCIAS!N85="SUBIR_F","^ SUBIR FUERTE | Kg:"&amp;ROUND(SUGERENCIAS!K85,1)&amp;" R:"&amp;ROUND(SUGERENCIAS!L85,0)&amp;" RIR:"&amp;ROUND(SUGERENCIAS!M85,0),IF(SUGERENCIAS!N85="SUBIR_E","^ SUBIR (Est.) | Kg:"&amp;ROUND(SUGERENCIAS!K85,1)&amp;" R:"&amp;ROUND(SUGERENCIAS!L85,0)&amp;" RIR:"&amp;ROUND(SUGERENCIAS!M85,0),IF(SUGERENCIAS!N85="SUBIR","^ SUBIR | Kg:"&amp;ROUND(SUGERENCIAS!K85,1)&amp;" R:"&amp;ROUND(SUGERENCIAS!L85,0)&amp;" RIR:"&amp;ROUND(SUGERENCIAS!M85,0),IF(SUGERENCIAS!N85="BAJAR","v BAJAR | Kg:"&amp;ROUND(SUGERENCIAS!K85,1)&amp;" R:"&amp;ROUND(SUGERENCIAS!L85,0)&amp;" RIR:"&amp;ROUND(SUGERENCIAS!M85,0),"= MANT | Kg:"&amp;ROUND(SUGERENCIAS!K85,1)&amp;" R:"&amp;ROUND(SUGERENCIAS!L85,0)&amp;" RIR:"&amp;ROUND(SUGERENCIAS!M85,0))))))</f>
        <v>Sin datos anteriores</v>
      </c>
      <c r="W44" s="69">
        <f>MAX(IF((G44&gt;0)*(IF(H44="",-1,H44)&gt;=1)*(IF(H44="",-1,H44)&lt;=3),IF(C44="peso_corporal",IF(ISNUMBER(E44),E44,0)+F44,F44)*G44*1000+F44,0),IF((J44&gt;0)*(IF(K44="",-1,K44)&gt;=1)*(IF(K44="",-1,K44)&lt;=3),IF(C44="peso_corporal",IF(ISNUMBER(E44),E44,0)+I44,I44)*J44*1000+I44,0),IF((M44&gt;0)*(IF(N44="",-1,N44)&gt;=1)*(IF(N44="",-1,N44)&lt;=3),IF(C44="peso_corporal",IF(ISNUMBER(E44),E44,0)+L44,L44)*M44*1000+L44,0),IF((P44&gt;0)*(IF(Q44="",-1,Q44)&gt;=1)*(IF(Q44="",-1,Q44)&lt;=3),IF(C44="peso_corporal",IF(ISNUMBER(E44),E44,0)+O44,O44)*P44*1000+O44,0),IF((S44&gt;0)*(IF(T44="",-1,T44)&gt;=1)*(IF(T44="",-1,T44)&lt;=3),IF(C44="peso_corporal",IF(ISNUMBER(E44),E44,0)+R44,R44)*S44*1000+R44,0))</f>
        <v>0</v>
      </c>
      <c r="X44" s="69">
        <f>IF(W44=0,0,IF(IF((S44&gt;0)*(IF(T44="",-1,T44)&gt;=1)*(IF(T44="",-1,T44)&lt;=3),IF(C44="peso_corporal",IF(ISNUMBER(E44),E44,0)+R44,R44)*S44*1000+R44,0)=W44,5,IF(IF((P44&gt;0)*(IF(Q44="",-1,Q44)&gt;=1)*(IF(Q44="",-1,Q44)&lt;=3),IF(C44="peso_corporal",IF(ISNUMBER(E44),E44,0)+O44,O44)*P44*1000+O44,0)=W44,4,IF(IF((M44&gt;0)*(IF(N44="",-1,N44)&gt;=1)*(IF(N44="",-1,N44)&lt;=3),IF(C44="peso_corporal",IF(ISNUMBER(E44),E44,0)+L44,L44)*M44*1000+L44,0)=W44,3,IF(IF((J44&gt;0)*(IF(K44="",-1,K44)&gt;=1)*(IF(K44="",-1,K44)&lt;=3),IF(C44="peso_corporal",IF(ISNUMBER(E44),E44,0)+I44,I44)*J44*1000+I44,0)=W44,2,IF(IF((G44&gt;0)*(IF(H44="",-1,H44)&gt;=1)*(IF(H44="",-1,H44)&lt;=3),IF(C44="peso_corporal",IF(ISNUMBER(E44),E44,0)+F44,F44)*G44*1000+F44,0)=W44,1,0))))))</f>
        <v>0</v>
      </c>
      <c r="Y44" s="69">
        <f>MAX(IF((G44&gt;0)*(IF(H44="",-1,H44)=0)*(1-(IF(H44="",-1,H44)&gt;=1)*(IF(H44="",-1,H44)&lt;=3)),IF(C44="peso_corporal",IF(ISNUMBER(E44),E44,0)+F44,F44)*G44*1000+F44,0),IF((J44&gt;0)*(IF(K44="",-1,K44)=0)*(1-(IF(K44="",-1,K44)&gt;=1)*(IF(K44="",-1,K44)&lt;=3)),IF(C44="peso_corporal",IF(ISNUMBER(E44),E44,0)+I44,I44)*J44*1000+I44,0),IF((M44&gt;0)*(IF(N44="",-1,N44)=0)*(1-(IF(N44="",-1,N44)&gt;=1)*(IF(N44="",-1,N44)&lt;=3)),IF(C44="peso_corporal",IF(ISNUMBER(E44),E44,0)+L44,L44)*M44*1000+L44,0),IF((P44&gt;0)*(IF(Q44="",-1,Q44)=0)*(1-(IF(Q44="",-1,Q44)&gt;=1)*(IF(Q44="",-1,Q44)&lt;=3)),IF(C44="peso_corporal",IF(ISNUMBER(E44),E44,0)+O44,O44)*P44*1000+O44,0),IF((S44&gt;0)*(IF(T44="",-1,T44)=0)*(1-(IF(T44="",-1,T44)&gt;=1)*(IF(T44="",-1,T44)&lt;=3)),IF(C44="peso_corporal",IF(ISNUMBER(E44),E44,0)+R44,R44)*S44*1000+R44,0))</f>
        <v>0</v>
      </c>
      <c r="Z44" s="69">
        <f>IF(Y44=0,0,IF(IF((S44&gt;0)*(IF(T44="",-1,T44)=0)*(1-(IF(T44="",-1,T44)&gt;=1)*(IF(T44="",-1,T44)&lt;=3)),IF(C44="peso_corporal",IF(ISNUMBER(E44),E44,0)+R44,R44)*S44*1000+R44,0)=Y44,5,IF(IF((P44&gt;0)*(IF(Q44="",-1,Q44)=0)*(1-(IF(Q44="",-1,Q44)&gt;=1)*(IF(Q44="",-1,Q44)&lt;=3)),IF(C44="peso_corporal",IF(ISNUMBER(E44),E44,0)+O44,O44)*P44*1000+O44,0)=Y44,4,IF(IF((M44&gt;0)*(IF(N44="",-1,N44)=0)*(1-(IF(N44="",-1,N44)&gt;=1)*(IF(N44="",-1,N44)&lt;=3)),IF(C44="peso_corporal",IF(ISNUMBER(E44),E44,0)+L44,L44)*M44*1000+L44,0)=Y44,3,IF(IF((J44&gt;0)*(IF(K44="",-1,K44)=0)*(1-(IF(K44="",-1,K44)&gt;=1)*(IF(K44="",-1,K44)&lt;=3)),IF(C44="peso_corporal",IF(ISNUMBER(E44),E44,0)+I44,I44)*J44*1000+I44,0)=Y44,2,IF(IF((G44&gt;0)*(IF(H44="",-1,H44)=0)*(1-(IF(H44="",-1,H44)&gt;=1)*(IF(H44="",-1,H44)&lt;=3)),IF(C44="peso_corporal",IF(ISNUMBER(E44),E44,0)+F44,F44)*G44*1000+F44,0)=Y44,1,0))))))</f>
        <v>0</v>
      </c>
      <c r="AA44" s="69">
        <f>MAX(IF((G44&gt;=6)*(1-(IF(H44="",-1,H44)&gt;=1)*(IF(H44="",-1,H44)&lt;=3))*(1-(IF(H44="",-1,H44)=0)),IF(C44="peso_corporal",IF(ISNUMBER(E44),E44,0)+F44,F44)*(30+G44)*100+F44,0),IF((J44&gt;=6)*(1-(IF(K44="",-1,K44)&gt;=1)*(IF(K44="",-1,K44)&lt;=3))*(1-(IF(K44="",-1,K44)=0)),IF(C44="peso_corporal",IF(ISNUMBER(E44),E44,0)+I44,I44)*(30+J44)*100+I44,0),IF((M44&gt;=6)*(1-(IF(N44="",-1,N44)&gt;=1)*(IF(N44="",-1,N44)&lt;=3))*(1-(IF(N44="",-1,N44)=0)),IF(C44="peso_corporal",IF(ISNUMBER(E44),E44,0)+L44,L44)*(30+M44)*100+L44,0),IF((P44&gt;=6)*(1-(IF(Q44="",-1,Q44)&gt;=1)*(IF(Q44="",-1,Q44)&lt;=3))*(1-(IF(Q44="",-1,Q44)=0)),IF(C44="peso_corporal",IF(ISNUMBER(E44),E44,0)+O44,O44)*(30+P44)*100+O44,0),IF((S44&gt;=6)*(1-(IF(T44="",-1,T44)&gt;=1)*(IF(T44="",-1,T44)&lt;=3))*(1-(IF(T44="",-1,T44)=0)),IF(C44="peso_corporal",IF(ISNUMBER(E44),E44,0)+R44,R44)*(30+S44)*100+R44,0))</f>
        <v>0</v>
      </c>
      <c r="AB44" s="69">
        <f>IF(AA44=0,0,IF(IF((S44&gt;=6)*(1-(IF(T44="",-1,T44)&gt;=1)*(IF(T44="",-1,T44)&lt;=3))*(1-(IF(T44="",-1,T44)=0)),IF(C44="peso_corporal",IF(ISNUMBER(E44),E44,0)+R44,R44)*(30+S44)*100+R44,0)=AA44,5,IF(IF((P44&gt;=6)*(1-(IF(Q44="",-1,Q44)&gt;=1)*(IF(Q44="",-1,Q44)&lt;=3))*(1-(IF(Q44="",-1,Q44)=0)),IF(C44="peso_corporal",IF(ISNUMBER(E44),E44,0)+O44,O44)*(30+P44)*100+O44,0)=AA44,4,IF(IF((M44&gt;=6)*(1-(IF(N44="",-1,N44)&gt;=1)*(IF(N44="",-1,N44)&lt;=3))*(1-(IF(N44="",-1,N44)=0)),IF(C44="peso_corporal",IF(ISNUMBER(E44),E44,0)+L44,L44)*(30+M44)*100+L44,0)=AA44,3,IF(IF((J44&gt;=6)*(1-(IF(K44="",-1,K44)&gt;=1)*(IF(K44="",-1,K44)&lt;=3))*(1-(IF(K44="",-1,K44)=0)),IF(C44="peso_corporal",IF(ISNUMBER(E44),E44,0)+I44,I44)*(30+J44)*100+I44,0)=AA44,2,IF(IF((G44&gt;=6)*(1-(IF(H44="",-1,H44)&gt;=1)*(IF(H44="",-1,H44)&lt;=3))*(1-(IF(H44="",-1,H44)=0)),IF(C44="peso_corporal",IF(ISNUMBER(E44),E44,0)+F44,F44)*(30+G44)*100+F44,0)=AA44,1,0))))))</f>
        <v>0</v>
      </c>
      <c r="AC44" s="69" t="str">
        <f>IF(X44&gt;0,"A"&amp;X44,IF(Z44&gt;0,"B"&amp;Z44,IF(AB44&gt;0,"C"&amp;AB44,"")))</f>
        <v/>
      </c>
    </row>
    <row r="45" spans="1:29" ht="15" customHeight="1">
      <c r="A45" s="83" t="s">
        <v>103</v>
      </c>
      <c r="B45" s="73"/>
      <c r="C45" s="73"/>
      <c r="D45" s="73"/>
      <c r="E45" s="73"/>
      <c r="F45" s="73"/>
      <c r="G45" s="73"/>
      <c r="H45" s="73"/>
      <c r="I45" s="73"/>
      <c r="J45" s="73"/>
      <c r="K45" s="73"/>
      <c r="L45" s="73"/>
      <c r="M45" s="73"/>
      <c r="N45" s="73"/>
      <c r="O45" s="73"/>
      <c r="P45" s="73"/>
      <c r="Q45" s="73"/>
      <c r="R45" s="73"/>
      <c r="S45" s="73"/>
      <c r="T45" s="73"/>
      <c r="U45" s="73"/>
      <c r="V45" s="73"/>
      <c r="W45" s="69"/>
      <c r="X45" s="69"/>
      <c r="Y45" s="69"/>
      <c r="Z45" s="69"/>
      <c r="AA45" s="69"/>
      <c r="AB45" s="69"/>
      <c r="AC45" s="69"/>
    </row>
    <row r="46" spans="1:29" ht="20.100000000000001" customHeight="1">
      <c r="A46" s="14" t="s">
        <v>104</v>
      </c>
      <c r="B46" s="15" t="s">
        <v>105</v>
      </c>
      <c r="C46" s="16" t="str">
        <f>IFERROR(INDEX(EJERCICIOS!$D$3:$D$75,MATCH(A46&amp;"|"&amp;B46,EJERCICIOS!$G$3:$G$75,0)),"--")</f>
        <v>mancuerna</v>
      </c>
      <c r="D46" s="17">
        <v>3</v>
      </c>
      <c r="E46" s="18">
        <f>IFERROR(LOOKUP(2,1/(MEDIDAS_Y_PESO!$B$3:$B$4&lt;&gt;""),MEDIDAS_Y_PESO!$B$3:$B$4),"--")</f>
        <v>80</v>
      </c>
      <c r="F46" s="19"/>
      <c r="G46" s="20"/>
      <c r="H46" s="21"/>
      <c r="I46" s="19"/>
      <c r="J46" s="20"/>
      <c r="K46" s="21"/>
      <c r="L46" s="19"/>
      <c r="M46" s="20"/>
      <c r="N46" s="21"/>
      <c r="O46" s="19"/>
      <c r="P46" s="20"/>
      <c r="Q46" s="21"/>
      <c r="R46" s="19"/>
      <c r="S46" s="20"/>
      <c r="T46" s="21"/>
      <c r="U46" s="22" t="str">
        <f>IFERROR(IF(IF(X46&gt;0,X46,IF(Z46&gt;0,Z46,IF(AB46&gt;0,AB46,0)))=0,"--",ROUND(CHOOSE(IF(X46&gt;0,X46,IF(Z46&gt;0,Z46,IF(AB46&gt;0,AB46,0))),IF(C46="peso_corporal",IF(ISNUMBER(E46),E46,0)+F46,F46)*(1+G46/30),IF(C46="peso_corporal",IF(ISNUMBER(E46),E46,0)+I46,I46)*(1+J46/30),IF(C46="peso_corporal",IF(ISNUMBER(E46),E46,0)+L46,L46)*(1+M46/30),IF(C46="peso_corporal",IF(ISNUMBER(E46),E46,0)+O46,O46)*(1+P46/30),IF(C46="peso_corporal",IF(ISNUMBER(E46),E46,0)+R46,R46)*(1+S46/30)),1)),"--")</f>
        <v>--</v>
      </c>
      <c r="V46" s="23" t="str">
        <f>IF(SUGERENCIAS!N86="SIN","Sin datos anteriores",IF(SUGERENCIAS!N86="SUBIR_F","^ SUBIR FUERTE | Kg:"&amp;ROUND(SUGERENCIAS!K86,1)&amp;" R:"&amp;ROUND(SUGERENCIAS!L86,0)&amp;" RIR:"&amp;ROUND(SUGERENCIAS!M86,0),IF(SUGERENCIAS!N86="SUBIR_E","^ SUBIR (Est.) | Kg:"&amp;ROUND(SUGERENCIAS!K86,1)&amp;" R:"&amp;ROUND(SUGERENCIAS!L86,0)&amp;" RIR:"&amp;ROUND(SUGERENCIAS!M86,0),IF(SUGERENCIAS!N86="SUBIR","^ SUBIR | Kg:"&amp;ROUND(SUGERENCIAS!K86,1)&amp;" R:"&amp;ROUND(SUGERENCIAS!L86,0)&amp;" RIR:"&amp;ROUND(SUGERENCIAS!M86,0),IF(SUGERENCIAS!N86="BAJAR","v BAJAR | Kg:"&amp;ROUND(SUGERENCIAS!K86,1)&amp;" R:"&amp;ROUND(SUGERENCIAS!L86,0)&amp;" RIR:"&amp;ROUND(SUGERENCIAS!M86,0),"= MANT | Kg:"&amp;ROUND(SUGERENCIAS!K86,1)&amp;" R:"&amp;ROUND(SUGERENCIAS!L86,0)&amp;" RIR:"&amp;ROUND(SUGERENCIAS!M86,0))))))</f>
        <v>Sin datos anteriores</v>
      </c>
      <c r="W46" s="69">
        <f>MAX(IF((G46&gt;0)*(IF(H46="",-1,H46)&gt;=1)*(IF(H46="",-1,H46)&lt;=3),IF(C46="peso_corporal",IF(ISNUMBER(E46),E46,0)+F46,F46)*G46*1000+F46,0),IF((J46&gt;0)*(IF(K46="",-1,K46)&gt;=1)*(IF(K46="",-1,K46)&lt;=3),IF(C46="peso_corporal",IF(ISNUMBER(E46),E46,0)+I46,I46)*J46*1000+I46,0),IF((M46&gt;0)*(IF(N46="",-1,N46)&gt;=1)*(IF(N46="",-1,N46)&lt;=3),IF(C46="peso_corporal",IF(ISNUMBER(E46),E46,0)+L46,L46)*M46*1000+L46,0),IF((P46&gt;0)*(IF(Q46="",-1,Q46)&gt;=1)*(IF(Q46="",-1,Q46)&lt;=3),IF(C46="peso_corporal",IF(ISNUMBER(E46),E46,0)+O46,O46)*P46*1000+O46,0),IF((S46&gt;0)*(IF(T46="",-1,T46)&gt;=1)*(IF(T46="",-1,T46)&lt;=3),IF(C46="peso_corporal",IF(ISNUMBER(E46),E46,0)+R46,R46)*S46*1000+R46,0))</f>
        <v>0</v>
      </c>
      <c r="X46" s="69">
        <f>IF(W46=0,0,IF(IF((S46&gt;0)*(IF(T46="",-1,T46)&gt;=1)*(IF(T46="",-1,T46)&lt;=3),IF(C46="peso_corporal",IF(ISNUMBER(E46),E46,0)+R46,R46)*S46*1000+R46,0)=W46,5,IF(IF((P46&gt;0)*(IF(Q46="",-1,Q46)&gt;=1)*(IF(Q46="",-1,Q46)&lt;=3),IF(C46="peso_corporal",IF(ISNUMBER(E46),E46,0)+O46,O46)*P46*1000+O46,0)=W46,4,IF(IF((M46&gt;0)*(IF(N46="",-1,N46)&gt;=1)*(IF(N46="",-1,N46)&lt;=3),IF(C46="peso_corporal",IF(ISNUMBER(E46),E46,0)+L46,L46)*M46*1000+L46,0)=W46,3,IF(IF((J46&gt;0)*(IF(K46="",-1,K46)&gt;=1)*(IF(K46="",-1,K46)&lt;=3),IF(C46="peso_corporal",IF(ISNUMBER(E46),E46,0)+I46,I46)*J46*1000+I46,0)=W46,2,IF(IF((G46&gt;0)*(IF(H46="",-1,H46)&gt;=1)*(IF(H46="",-1,H46)&lt;=3),IF(C46="peso_corporal",IF(ISNUMBER(E46),E46,0)+F46,F46)*G46*1000+F46,0)=W46,1,0))))))</f>
        <v>0</v>
      </c>
      <c r="Y46" s="69">
        <f>MAX(IF((G46&gt;0)*(IF(H46="",-1,H46)=0)*(1-(IF(H46="",-1,H46)&gt;=1)*(IF(H46="",-1,H46)&lt;=3)),IF(C46="peso_corporal",IF(ISNUMBER(E46),E46,0)+F46,F46)*G46*1000+F46,0),IF((J46&gt;0)*(IF(K46="",-1,K46)=0)*(1-(IF(K46="",-1,K46)&gt;=1)*(IF(K46="",-1,K46)&lt;=3)),IF(C46="peso_corporal",IF(ISNUMBER(E46),E46,0)+I46,I46)*J46*1000+I46,0),IF((M46&gt;0)*(IF(N46="",-1,N46)=0)*(1-(IF(N46="",-1,N46)&gt;=1)*(IF(N46="",-1,N46)&lt;=3)),IF(C46="peso_corporal",IF(ISNUMBER(E46),E46,0)+L46,L46)*M46*1000+L46,0),IF((P46&gt;0)*(IF(Q46="",-1,Q46)=0)*(1-(IF(Q46="",-1,Q46)&gt;=1)*(IF(Q46="",-1,Q46)&lt;=3)),IF(C46="peso_corporal",IF(ISNUMBER(E46),E46,0)+O46,O46)*P46*1000+O46,0),IF((S46&gt;0)*(IF(T46="",-1,T46)=0)*(1-(IF(T46="",-1,T46)&gt;=1)*(IF(T46="",-1,T46)&lt;=3)),IF(C46="peso_corporal",IF(ISNUMBER(E46),E46,0)+R46,R46)*S46*1000+R46,0))</f>
        <v>0</v>
      </c>
      <c r="Z46" s="69">
        <f>IF(Y46=0,0,IF(IF((S46&gt;0)*(IF(T46="",-1,T46)=0)*(1-(IF(T46="",-1,T46)&gt;=1)*(IF(T46="",-1,T46)&lt;=3)),IF(C46="peso_corporal",IF(ISNUMBER(E46),E46,0)+R46,R46)*S46*1000+R46,0)=Y46,5,IF(IF((P46&gt;0)*(IF(Q46="",-1,Q46)=0)*(1-(IF(Q46="",-1,Q46)&gt;=1)*(IF(Q46="",-1,Q46)&lt;=3)),IF(C46="peso_corporal",IF(ISNUMBER(E46),E46,0)+O46,O46)*P46*1000+O46,0)=Y46,4,IF(IF((M46&gt;0)*(IF(N46="",-1,N46)=0)*(1-(IF(N46="",-1,N46)&gt;=1)*(IF(N46="",-1,N46)&lt;=3)),IF(C46="peso_corporal",IF(ISNUMBER(E46),E46,0)+L46,L46)*M46*1000+L46,0)=Y46,3,IF(IF((J46&gt;0)*(IF(K46="",-1,K46)=0)*(1-(IF(K46="",-1,K46)&gt;=1)*(IF(K46="",-1,K46)&lt;=3)),IF(C46="peso_corporal",IF(ISNUMBER(E46),E46,0)+I46,I46)*J46*1000+I46,0)=Y46,2,IF(IF((G46&gt;0)*(IF(H46="",-1,H46)=0)*(1-(IF(H46="",-1,H46)&gt;=1)*(IF(H46="",-1,H46)&lt;=3)),IF(C46="peso_corporal",IF(ISNUMBER(E46),E46,0)+F46,F46)*G46*1000+F46,0)=Y46,1,0))))))</f>
        <v>0</v>
      </c>
      <c r="AA46" s="69">
        <f>MAX(IF((G46&gt;=6)*(1-(IF(H46="",-1,H46)&gt;=1)*(IF(H46="",-1,H46)&lt;=3))*(1-(IF(H46="",-1,H46)=0)),IF(C46="peso_corporal",IF(ISNUMBER(E46),E46,0)+F46,F46)*(30+G46)*100+F46,0),IF((J46&gt;=6)*(1-(IF(K46="",-1,K46)&gt;=1)*(IF(K46="",-1,K46)&lt;=3))*(1-(IF(K46="",-1,K46)=0)),IF(C46="peso_corporal",IF(ISNUMBER(E46),E46,0)+I46,I46)*(30+J46)*100+I46,0),IF((M46&gt;=6)*(1-(IF(N46="",-1,N46)&gt;=1)*(IF(N46="",-1,N46)&lt;=3))*(1-(IF(N46="",-1,N46)=0)),IF(C46="peso_corporal",IF(ISNUMBER(E46),E46,0)+L46,L46)*(30+M46)*100+L46,0),IF((P46&gt;=6)*(1-(IF(Q46="",-1,Q46)&gt;=1)*(IF(Q46="",-1,Q46)&lt;=3))*(1-(IF(Q46="",-1,Q46)=0)),IF(C46="peso_corporal",IF(ISNUMBER(E46),E46,0)+O46,O46)*(30+P46)*100+O46,0),IF((S46&gt;=6)*(1-(IF(T46="",-1,T46)&gt;=1)*(IF(T46="",-1,T46)&lt;=3))*(1-(IF(T46="",-1,T46)=0)),IF(C46="peso_corporal",IF(ISNUMBER(E46),E46,0)+R46,R46)*(30+S46)*100+R46,0))</f>
        <v>0</v>
      </c>
      <c r="AB46" s="69">
        <f>IF(AA46=0,0,IF(IF((S46&gt;=6)*(1-(IF(T46="",-1,T46)&gt;=1)*(IF(T46="",-1,T46)&lt;=3))*(1-(IF(T46="",-1,T46)=0)),IF(C46="peso_corporal",IF(ISNUMBER(E46),E46,0)+R46,R46)*(30+S46)*100+R46,0)=AA46,5,IF(IF((P46&gt;=6)*(1-(IF(Q46="",-1,Q46)&gt;=1)*(IF(Q46="",-1,Q46)&lt;=3))*(1-(IF(Q46="",-1,Q46)=0)),IF(C46="peso_corporal",IF(ISNUMBER(E46),E46,0)+O46,O46)*(30+P46)*100+O46,0)=AA46,4,IF(IF((M46&gt;=6)*(1-(IF(N46="",-1,N46)&gt;=1)*(IF(N46="",-1,N46)&lt;=3))*(1-(IF(N46="",-1,N46)=0)),IF(C46="peso_corporal",IF(ISNUMBER(E46),E46,0)+L46,L46)*(30+M46)*100+L46,0)=AA46,3,IF(IF((J46&gt;=6)*(1-(IF(K46="",-1,K46)&gt;=1)*(IF(K46="",-1,K46)&lt;=3))*(1-(IF(K46="",-1,K46)=0)),IF(C46="peso_corporal",IF(ISNUMBER(E46),E46,0)+I46,I46)*(30+J46)*100+I46,0)=AA46,2,IF(IF((G46&gt;=6)*(1-(IF(H46="",-1,H46)&gt;=1)*(IF(H46="",-1,H46)&lt;=3))*(1-(IF(H46="",-1,H46)=0)),IF(C46="peso_corporal",IF(ISNUMBER(E46),E46,0)+F46,F46)*(30+G46)*100+F46,0)=AA46,1,0))))))</f>
        <v>0</v>
      </c>
      <c r="AC46" s="69" t="str">
        <f>IF(X46&gt;0,"A"&amp;X46,IF(Z46&gt;0,"B"&amp;Z46,IF(AB46&gt;0,"C"&amp;AB46,"")))</f>
        <v/>
      </c>
    </row>
    <row r="47" spans="1:29" ht="15" customHeight="1">
      <c r="A47" s="82" t="s">
        <v>47</v>
      </c>
      <c r="B47" s="73"/>
      <c r="C47" s="73"/>
      <c r="D47" s="73"/>
      <c r="E47" s="73"/>
      <c r="F47" s="73"/>
      <c r="G47" s="73"/>
      <c r="H47" s="73"/>
      <c r="I47" s="73"/>
      <c r="J47" s="73"/>
      <c r="K47" s="73"/>
      <c r="L47" s="73"/>
      <c r="M47" s="73"/>
      <c r="N47" s="73"/>
      <c r="O47" s="73"/>
      <c r="P47" s="73"/>
      <c r="Q47" s="73"/>
      <c r="R47" s="73"/>
      <c r="S47" s="73"/>
      <c r="T47" s="73"/>
      <c r="U47" s="73"/>
      <c r="V47" s="73"/>
      <c r="W47" s="69"/>
      <c r="X47" s="69"/>
      <c r="Y47" s="69"/>
      <c r="Z47" s="69"/>
      <c r="AA47" s="69"/>
      <c r="AB47" s="69"/>
      <c r="AC47" s="69"/>
    </row>
    <row r="48" spans="1:29" ht="20.100000000000001" customHeight="1">
      <c r="A48" s="14" t="s">
        <v>106</v>
      </c>
      <c r="B48" s="15" t="s">
        <v>107</v>
      </c>
      <c r="C48" s="16" t="str">
        <f>IFERROR(INDEX(EJERCICIOS!$D$3:$D$75,MATCH(A48&amp;"|"&amp;B48,EJERCICIOS!$G$3:$G$75,0)),"--")</f>
        <v>--</v>
      </c>
      <c r="D48" s="17">
        <v>3</v>
      </c>
      <c r="E48" s="18">
        <f>IFERROR(LOOKUP(2,1/(MEDIDAS_Y_PESO!$B$3:$B$4&lt;&gt;""),MEDIDAS_Y_PESO!$B$3:$B$4),"--")</f>
        <v>80</v>
      </c>
      <c r="F48" s="19"/>
      <c r="G48" s="20"/>
      <c r="H48" s="21"/>
      <c r="I48" s="19"/>
      <c r="J48" s="20"/>
      <c r="K48" s="21"/>
      <c r="L48" s="19"/>
      <c r="M48" s="20"/>
      <c r="N48" s="21"/>
      <c r="O48" s="19"/>
      <c r="P48" s="20"/>
      <c r="Q48" s="21"/>
      <c r="R48" s="19"/>
      <c r="S48" s="20"/>
      <c r="T48" s="21"/>
      <c r="U48" s="22" t="str">
        <f>IFERROR(IF(IF(X48&gt;0,X48,IF(Z48&gt;0,Z48,IF(AB48&gt;0,AB48,0)))=0,"--",ROUND(CHOOSE(IF(X48&gt;0,X48,IF(Z48&gt;0,Z48,IF(AB48&gt;0,AB48,0))),IF(C48="peso_corporal",IF(ISNUMBER(E48),E48,0)+F48,F48)*(1+G48/30),IF(C48="peso_corporal",IF(ISNUMBER(E48),E48,0)+I48,I48)*(1+J48/30),IF(C48="peso_corporal",IF(ISNUMBER(E48),E48,0)+L48,L48)*(1+M48/30),IF(C48="peso_corporal",IF(ISNUMBER(E48),E48,0)+O48,O48)*(1+P48/30),IF(C48="peso_corporal",IF(ISNUMBER(E48),E48,0)+R48,R48)*(1+S48/30)),1)),"--")</f>
        <v>--</v>
      </c>
      <c r="V48" s="23" t="str">
        <f>IF(SUGERENCIAS!N87="SIN","Sin datos anteriores",IF(SUGERENCIAS!N87="SUBIR_F","^ SUBIR FUERTE | Kg:"&amp;ROUND(SUGERENCIAS!K87,1)&amp;" R:"&amp;ROUND(SUGERENCIAS!L87,0)&amp;" RIR:"&amp;ROUND(SUGERENCIAS!M87,0),IF(SUGERENCIAS!N87="SUBIR_E","^ SUBIR (Est.) | Kg:"&amp;ROUND(SUGERENCIAS!K87,1)&amp;" R:"&amp;ROUND(SUGERENCIAS!L87,0)&amp;" RIR:"&amp;ROUND(SUGERENCIAS!M87,0),IF(SUGERENCIAS!N87="SUBIR","^ SUBIR | Kg:"&amp;ROUND(SUGERENCIAS!K87,1)&amp;" R:"&amp;ROUND(SUGERENCIAS!L87,0)&amp;" RIR:"&amp;ROUND(SUGERENCIAS!M87,0),IF(SUGERENCIAS!N87="BAJAR","v BAJAR | Kg:"&amp;ROUND(SUGERENCIAS!K87,1)&amp;" R:"&amp;ROUND(SUGERENCIAS!L87,0)&amp;" RIR:"&amp;ROUND(SUGERENCIAS!M87,0),"= MANT | Kg:"&amp;ROUND(SUGERENCIAS!K87,1)&amp;" R:"&amp;ROUND(SUGERENCIAS!L87,0)&amp;" RIR:"&amp;ROUND(SUGERENCIAS!M87,0))))))</f>
        <v>Sin datos anteriores</v>
      </c>
      <c r="W48" s="69">
        <f>MAX(IF((G48&gt;0)*(IF(H48="",-1,H48)&gt;=1)*(IF(H48="",-1,H48)&lt;=3),IF(C48="peso_corporal",IF(ISNUMBER(E48),E48,0)+F48,F48)*G48*1000+F48,0),IF((J48&gt;0)*(IF(K48="",-1,K48)&gt;=1)*(IF(K48="",-1,K48)&lt;=3),IF(C48="peso_corporal",IF(ISNUMBER(E48),E48,0)+I48,I48)*J48*1000+I48,0),IF((M48&gt;0)*(IF(N48="",-1,N48)&gt;=1)*(IF(N48="",-1,N48)&lt;=3),IF(C48="peso_corporal",IF(ISNUMBER(E48),E48,0)+L48,L48)*M48*1000+L48,0),IF((P48&gt;0)*(IF(Q48="",-1,Q48)&gt;=1)*(IF(Q48="",-1,Q48)&lt;=3),IF(C48="peso_corporal",IF(ISNUMBER(E48),E48,0)+O48,O48)*P48*1000+O48,0),IF((S48&gt;0)*(IF(T48="",-1,T48)&gt;=1)*(IF(T48="",-1,T48)&lt;=3),IF(C48="peso_corporal",IF(ISNUMBER(E48),E48,0)+R48,R48)*S48*1000+R48,0))</f>
        <v>0</v>
      </c>
      <c r="X48" s="69">
        <f>IF(W48=0,0,IF(IF((S48&gt;0)*(IF(T48="",-1,T48)&gt;=1)*(IF(T48="",-1,T48)&lt;=3),IF(C48="peso_corporal",IF(ISNUMBER(E48),E48,0)+R48,R48)*S48*1000+R48,0)=W48,5,IF(IF((P48&gt;0)*(IF(Q48="",-1,Q48)&gt;=1)*(IF(Q48="",-1,Q48)&lt;=3),IF(C48="peso_corporal",IF(ISNUMBER(E48),E48,0)+O48,O48)*P48*1000+O48,0)=W48,4,IF(IF((M48&gt;0)*(IF(N48="",-1,N48)&gt;=1)*(IF(N48="",-1,N48)&lt;=3),IF(C48="peso_corporal",IF(ISNUMBER(E48),E48,0)+L48,L48)*M48*1000+L48,0)=W48,3,IF(IF((J48&gt;0)*(IF(K48="",-1,K48)&gt;=1)*(IF(K48="",-1,K48)&lt;=3),IF(C48="peso_corporal",IF(ISNUMBER(E48),E48,0)+I48,I48)*J48*1000+I48,0)=W48,2,IF(IF((G48&gt;0)*(IF(H48="",-1,H48)&gt;=1)*(IF(H48="",-1,H48)&lt;=3),IF(C48="peso_corporal",IF(ISNUMBER(E48),E48,0)+F48,F48)*G48*1000+F48,0)=W48,1,0))))))</f>
        <v>0</v>
      </c>
      <c r="Y48" s="69">
        <f>MAX(IF((G48&gt;0)*(IF(H48="",-1,H48)=0)*(1-(IF(H48="",-1,H48)&gt;=1)*(IF(H48="",-1,H48)&lt;=3)),IF(C48="peso_corporal",IF(ISNUMBER(E48),E48,0)+F48,F48)*G48*1000+F48,0),IF((J48&gt;0)*(IF(K48="",-1,K48)=0)*(1-(IF(K48="",-1,K48)&gt;=1)*(IF(K48="",-1,K48)&lt;=3)),IF(C48="peso_corporal",IF(ISNUMBER(E48),E48,0)+I48,I48)*J48*1000+I48,0),IF((M48&gt;0)*(IF(N48="",-1,N48)=0)*(1-(IF(N48="",-1,N48)&gt;=1)*(IF(N48="",-1,N48)&lt;=3)),IF(C48="peso_corporal",IF(ISNUMBER(E48),E48,0)+L48,L48)*M48*1000+L48,0),IF((P48&gt;0)*(IF(Q48="",-1,Q48)=0)*(1-(IF(Q48="",-1,Q48)&gt;=1)*(IF(Q48="",-1,Q48)&lt;=3)),IF(C48="peso_corporal",IF(ISNUMBER(E48),E48,0)+O48,O48)*P48*1000+O48,0),IF((S48&gt;0)*(IF(T48="",-1,T48)=0)*(1-(IF(T48="",-1,T48)&gt;=1)*(IF(T48="",-1,T48)&lt;=3)),IF(C48="peso_corporal",IF(ISNUMBER(E48),E48,0)+R48,R48)*S48*1000+R48,0))</f>
        <v>0</v>
      </c>
      <c r="Z48" s="69">
        <f>IF(Y48=0,0,IF(IF((S48&gt;0)*(IF(T48="",-1,T48)=0)*(1-(IF(T48="",-1,T48)&gt;=1)*(IF(T48="",-1,T48)&lt;=3)),IF(C48="peso_corporal",IF(ISNUMBER(E48),E48,0)+R48,R48)*S48*1000+R48,0)=Y48,5,IF(IF((P48&gt;0)*(IF(Q48="",-1,Q48)=0)*(1-(IF(Q48="",-1,Q48)&gt;=1)*(IF(Q48="",-1,Q48)&lt;=3)),IF(C48="peso_corporal",IF(ISNUMBER(E48),E48,0)+O48,O48)*P48*1000+O48,0)=Y48,4,IF(IF((M48&gt;0)*(IF(N48="",-1,N48)=0)*(1-(IF(N48="",-1,N48)&gt;=1)*(IF(N48="",-1,N48)&lt;=3)),IF(C48="peso_corporal",IF(ISNUMBER(E48),E48,0)+L48,L48)*M48*1000+L48,0)=Y48,3,IF(IF((J48&gt;0)*(IF(K48="",-1,K48)=0)*(1-(IF(K48="",-1,K48)&gt;=1)*(IF(K48="",-1,K48)&lt;=3)),IF(C48="peso_corporal",IF(ISNUMBER(E48),E48,0)+I48,I48)*J48*1000+I48,0)=Y48,2,IF(IF((G48&gt;0)*(IF(H48="",-1,H48)=0)*(1-(IF(H48="",-1,H48)&gt;=1)*(IF(H48="",-1,H48)&lt;=3)),IF(C48="peso_corporal",IF(ISNUMBER(E48),E48,0)+F48,F48)*G48*1000+F48,0)=Y48,1,0))))))</f>
        <v>0</v>
      </c>
      <c r="AA48" s="69">
        <f>MAX(IF((G48&gt;=6)*(1-(IF(H48="",-1,H48)&gt;=1)*(IF(H48="",-1,H48)&lt;=3))*(1-(IF(H48="",-1,H48)=0)),IF(C48="peso_corporal",IF(ISNUMBER(E48),E48,0)+F48,F48)*(30+G48)*100+F48,0),IF((J48&gt;=6)*(1-(IF(K48="",-1,K48)&gt;=1)*(IF(K48="",-1,K48)&lt;=3))*(1-(IF(K48="",-1,K48)=0)),IF(C48="peso_corporal",IF(ISNUMBER(E48),E48,0)+I48,I48)*(30+J48)*100+I48,0),IF((M48&gt;=6)*(1-(IF(N48="",-1,N48)&gt;=1)*(IF(N48="",-1,N48)&lt;=3))*(1-(IF(N48="",-1,N48)=0)),IF(C48="peso_corporal",IF(ISNUMBER(E48),E48,0)+L48,L48)*(30+M48)*100+L48,0),IF((P48&gt;=6)*(1-(IF(Q48="",-1,Q48)&gt;=1)*(IF(Q48="",-1,Q48)&lt;=3))*(1-(IF(Q48="",-1,Q48)=0)),IF(C48="peso_corporal",IF(ISNUMBER(E48),E48,0)+O48,O48)*(30+P48)*100+O48,0),IF((S48&gt;=6)*(1-(IF(T48="",-1,T48)&gt;=1)*(IF(T48="",-1,T48)&lt;=3))*(1-(IF(T48="",-1,T48)=0)),IF(C48="peso_corporal",IF(ISNUMBER(E48),E48,0)+R48,R48)*(30+S48)*100+R48,0))</f>
        <v>0</v>
      </c>
      <c r="AB48" s="69">
        <f>IF(AA48=0,0,IF(IF((S48&gt;=6)*(1-(IF(T48="",-1,T48)&gt;=1)*(IF(T48="",-1,T48)&lt;=3))*(1-(IF(T48="",-1,T48)=0)),IF(C48="peso_corporal",IF(ISNUMBER(E48),E48,0)+R48,R48)*(30+S48)*100+R48,0)=AA48,5,IF(IF((P48&gt;=6)*(1-(IF(Q48="",-1,Q48)&gt;=1)*(IF(Q48="",-1,Q48)&lt;=3))*(1-(IF(Q48="",-1,Q48)=0)),IF(C48="peso_corporal",IF(ISNUMBER(E48),E48,0)+O48,O48)*(30+P48)*100+O48,0)=AA48,4,IF(IF((M48&gt;=6)*(1-(IF(N48="",-1,N48)&gt;=1)*(IF(N48="",-1,N48)&lt;=3))*(1-(IF(N48="",-1,N48)=0)),IF(C48="peso_corporal",IF(ISNUMBER(E48),E48,0)+L48,L48)*(30+M48)*100+L48,0)=AA48,3,IF(IF((J48&gt;=6)*(1-(IF(K48="",-1,K48)&gt;=1)*(IF(K48="",-1,K48)&lt;=3))*(1-(IF(K48="",-1,K48)=0)),IF(C48="peso_corporal",IF(ISNUMBER(E48),E48,0)+I48,I48)*(30+J48)*100+I48,0)=AA48,2,IF(IF((G48&gt;=6)*(1-(IF(H48="",-1,H48)&gt;=1)*(IF(H48="",-1,H48)&lt;=3))*(1-(IF(H48="",-1,H48)=0)),IF(C48="peso_corporal",IF(ISNUMBER(E48),E48,0)+F48,F48)*(30+G48)*100+F48,0)=AA48,1,0))))))</f>
        <v>0</v>
      </c>
      <c r="AC48" s="69" t="str">
        <f>IF(X48&gt;0,"A"&amp;X48,IF(Z48&gt;0,"B"&amp;Z48,IF(AB48&gt;0,"C"&amp;AB48,"")))</f>
        <v/>
      </c>
    </row>
    <row r="49" spans="1:29" ht="15" customHeight="1">
      <c r="A49" s="72" t="s">
        <v>56</v>
      </c>
      <c r="B49" s="73"/>
      <c r="C49" s="73"/>
      <c r="D49" s="73"/>
      <c r="E49" s="73"/>
      <c r="F49" s="73"/>
      <c r="G49" s="73"/>
      <c r="H49" s="73"/>
      <c r="I49" s="73"/>
      <c r="J49" s="73"/>
      <c r="K49" s="73"/>
      <c r="L49" s="73"/>
      <c r="M49" s="73"/>
      <c r="N49" s="73"/>
      <c r="O49" s="73"/>
      <c r="P49" s="73"/>
      <c r="Q49" s="73"/>
      <c r="R49" s="73"/>
      <c r="S49" s="73"/>
      <c r="T49" s="73"/>
      <c r="U49" s="73"/>
      <c r="V49" s="73"/>
      <c r="W49" s="69"/>
      <c r="X49" s="69"/>
      <c r="Y49" s="69"/>
      <c r="Z49" s="69"/>
      <c r="AA49" s="69"/>
      <c r="AB49" s="69"/>
      <c r="AC49" s="69"/>
    </row>
    <row r="50" spans="1:29" ht="20.100000000000001" customHeight="1">
      <c r="A50" s="14" t="s">
        <v>57</v>
      </c>
      <c r="B50" s="15" t="s">
        <v>58</v>
      </c>
      <c r="C50" s="16" t="str">
        <f>IFERROR(INDEX(EJERCICIOS!$D$3:$D$75,MATCH(A50&amp;"|"&amp;B50,EJERCICIOS!$G$3:$G$75,0)),"--")</f>
        <v>polea</v>
      </c>
      <c r="D50" s="17">
        <v>3</v>
      </c>
      <c r="E50" s="18">
        <f>IFERROR(LOOKUP(2,1/(MEDIDAS_Y_PESO!$B$3:$B$4&lt;&gt;""),MEDIDAS_Y_PESO!$B$3:$B$4),"--")</f>
        <v>80</v>
      </c>
      <c r="F50" s="19"/>
      <c r="G50" s="20"/>
      <c r="H50" s="21"/>
      <c r="I50" s="19"/>
      <c r="J50" s="20"/>
      <c r="K50" s="21"/>
      <c r="L50" s="19"/>
      <c r="M50" s="20"/>
      <c r="N50" s="21"/>
      <c r="O50" s="19"/>
      <c r="P50" s="20"/>
      <c r="Q50" s="21"/>
      <c r="R50" s="19"/>
      <c r="S50" s="20"/>
      <c r="T50" s="21"/>
      <c r="U50" s="22" t="str">
        <f>IFERROR(IF(IF(X50&gt;0,X50,IF(Z50&gt;0,Z50,IF(AB50&gt;0,AB50,0)))=0,"--",ROUND(CHOOSE(IF(X50&gt;0,X50,IF(Z50&gt;0,Z50,IF(AB50&gt;0,AB50,0))),IF(C50="peso_corporal",IF(ISNUMBER(E50),E50,0)+F50,F50)*(1+G50/30),IF(C50="peso_corporal",IF(ISNUMBER(E50),E50,0)+I50,I50)*(1+J50/30),IF(C50="peso_corporal",IF(ISNUMBER(E50),E50,0)+L50,L50)*(1+M50/30),IF(C50="peso_corporal",IF(ISNUMBER(E50),E50,0)+O50,O50)*(1+P50/30),IF(C50="peso_corporal",IF(ISNUMBER(E50),E50,0)+R50,R50)*(1+S50/30)),1)),"--")</f>
        <v>--</v>
      </c>
      <c r="V50" s="23" t="str">
        <f>IF(SUGERENCIAS!N88="SIN","Sin datos anteriores",IF(SUGERENCIAS!N88="SUBIR_F","^ SUBIR FUERTE | Kg:"&amp;ROUND(SUGERENCIAS!K88,1)&amp;" R:"&amp;ROUND(SUGERENCIAS!L88,0)&amp;" RIR:"&amp;ROUND(SUGERENCIAS!M88,0),IF(SUGERENCIAS!N88="SUBIR_E","^ SUBIR (Est.) | Kg:"&amp;ROUND(SUGERENCIAS!K88,1)&amp;" R:"&amp;ROUND(SUGERENCIAS!L88,0)&amp;" RIR:"&amp;ROUND(SUGERENCIAS!M88,0),IF(SUGERENCIAS!N88="SUBIR","^ SUBIR | Kg:"&amp;ROUND(SUGERENCIAS!K88,1)&amp;" R:"&amp;ROUND(SUGERENCIAS!L88,0)&amp;" RIR:"&amp;ROUND(SUGERENCIAS!M88,0),IF(SUGERENCIAS!N88="BAJAR","v BAJAR | Kg:"&amp;ROUND(SUGERENCIAS!K88,1)&amp;" R:"&amp;ROUND(SUGERENCIAS!L88,0)&amp;" RIR:"&amp;ROUND(SUGERENCIAS!M88,0),"= MANT | Kg:"&amp;ROUND(SUGERENCIAS!K88,1)&amp;" R:"&amp;ROUND(SUGERENCIAS!L88,0)&amp;" RIR:"&amp;ROUND(SUGERENCIAS!M88,0))))))</f>
        <v>Sin datos anteriores</v>
      </c>
      <c r="W50" s="69">
        <f>MAX(IF((G50&gt;0)*(IF(H50="",-1,H50)&gt;=1)*(IF(H50="",-1,H50)&lt;=3),IF(C50="peso_corporal",IF(ISNUMBER(E50),E50,0)+F50,F50)*G50*1000+F50,0),IF((J50&gt;0)*(IF(K50="",-1,K50)&gt;=1)*(IF(K50="",-1,K50)&lt;=3),IF(C50="peso_corporal",IF(ISNUMBER(E50),E50,0)+I50,I50)*J50*1000+I50,0),IF((M50&gt;0)*(IF(N50="",-1,N50)&gt;=1)*(IF(N50="",-1,N50)&lt;=3),IF(C50="peso_corporal",IF(ISNUMBER(E50),E50,0)+L50,L50)*M50*1000+L50,0),IF((P50&gt;0)*(IF(Q50="",-1,Q50)&gt;=1)*(IF(Q50="",-1,Q50)&lt;=3),IF(C50="peso_corporal",IF(ISNUMBER(E50),E50,0)+O50,O50)*P50*1000+O50,0),IF((S50&gt;0)*(IF(T50="",-1,T50)&gt;=1)*(IF(T50="",-1,T50)&lt;=3),IF(C50="peso_corporal",IF(ISNUMBER(E50),E50,0)+R50,R50)*S50*1000+R50,0))</f>
        <v>0</v>
      </c>
      <c r="X50" s="69">
        <f>IF(W50=0,0,IF(IF((S50&gt;0)*(IF(T50="",-1,T50)&gt;=1)*(IF(T50="",-1,T50)&lt;=3),IF(C50="peso_corporal",IF(ISNUMBER(E50),E50,0)+R50,R50)*S50*1000+R50,0)=W50,5,IF(IF((P50&gt;0)*(IF(Q50="",-1,Q50)&gt;=1)*(IF(Q50="",-1,Q50)&lt;=3),IF(C50="peso_corporal",IF(ISNUMBER(E50),E50,0)+O50,O50)*P50*1000+O50,0)=W50,4,IF(IF((M50&gt;0)*(IF(N50="",-1,N50)&gt;=1)*(IF(N50="",-1,N50)&lt;=3),IF(C50="peso_corporal",IF(ISNUMBER(E50),E50,0)+L50,L50)*M50*1000+L50,0)=W50,3,IF(IF((J50&gt;0)*(IF(K50="",-1,K50)&gt;=1)*(IF(K50="",-1,K50)&lt;=3),IF(C50="peso_corporal",IF(ISNUMBER(E50),E50,0)+I50,I50)*J50*1000+I50,0)=W50,2,IF(IF((G50&gt;0)*(IF(H50="",-1,H50)&gt;=1)*(IF(H50="",-1,H50)&lt;=3),IF(C50="peso_corporal",IF(ISNUMBER(E50),E50,0)+F50,F50)*G50*1000+F50,0)=W50,1,0))))))</f>
        <v>0</v>
      </c>
      <c r="Y50" s="69">
        <f>MAX(IF((G50&gt;0)*(IF(H50="",-1,H50)=0)*(1-(IF(H50="",-1,H50)&gt;=1)*(IF(H50="",-1,H50)&lt;=3)),IF(C50="peso_corporal",IF(ISNUMBER(E50),E50,0)+F50,F50)*G50*1000+F50,0),IF((J50&gt;0)*(IF(K50="",-1,K50)=0)*(1-(IF(K50="",-1,K50)&gt;=1)*(IF(K50="",-1,K50)&lt;=3)),IF(C50="peso_corporal",IF(ISNUMBER(E50),E50,0)+I50,I50)*J50*1000+I50,0),IF((M50&gt;0)*(IF(N50="",-1,N50)=0)*(1-(IF(N50="",-1,N50)&gt;=1)*(IF(N50="",-1,N50)&lt;=3)),IF(C50="peso_corporal",IF(ISNUMBER(E50),E50,0)+L50,L50)*M50*1000+L50,0),IF((P50&gt;0)*(IF(Q50="",-1,Q50)=0)*(1-(IF(Q50="",-1,Q50)&gt;=1)*(IF(Q50="",-1,Q50)&lt;=3)),IF(C50="peso_corporal",IF(ISNUMBER(E50),E50,0)+O50,O50)*P50*1000+O50,0),IF((S50&gt;0)*(IF(T50="",-1,T50)=0)*(1-(IF(T50="",-1,T50)&gt;=1)*(IF(T50="",-1,T50)&lt;=3)),IF(C50="peso_corporal",IF(ISNUMBER(E50),E50,0)+R50,R50)*S50*1000+R50,0))</f>
        <v>0</v>
      </c>
      <c r="Z50" s="69">
        <f>IF(Y50=0,0,IF(IF((S50&gt;0)*(IF(T50="",-1,T50)=0)*(1-(IF(T50="",-1,T50)&gt;=1)*(IF(T50="",-1,T50)&lt;=3)),IF(C50="peso_corporal",IF(ISNUMBER(E50),E50,0)+R50,R50)*S50*1000+R50,0)=Y50,5,IF(IF((P50&gt;0)*(IF(Q50="",-1,Q50)=0)*(1-(IF(Q50="",-1,Q50)&gt;=1)*(IF(Q50="",-1,Q50)&lt;=3)),IF(C50="peso_corporal",IF(ISNUMBER(E50),E50,0)+O50,O50)*P50*1000+O50,0)=Y50,4,IF(IF((M50&gt;0)*(IF(N50="",-1,N50)=0)*(1-(IF(N50="",-1,N50)&gt;=1)*(IF(N50="",-1,N50)&lt;=3)),IF(C50="peso_corporal",IF(ISNUMBER(E50),E50,0)+L50,L50)*M50*1000+L50,0)=Y50,3,IF(IF((J50&gt;0)*(IF(K50="",-1,K50)=0)*(1-(IF(K50="",-1,K50)&gt;=1)*(IF(K50="",-1,K50)&lt;=3)),IF(C50="peso_corporal",IF(ISNUMBER(E50),E50,0)+I50,I50)*J50*1000+I50,0)=Y50,2,IF(IF((G50&gt;0)*(IF(H50="",-1,H50)=0)*(1-(IF(H50="",-1,H50)&gt;=1)*(IF(H50="",-1,H50)&lt;=3)),IF(C50="peso_corporal",IF(ISNUMBER(E50),E50,0)+F50,F50)*G50*1000+F50,0)=Y50,1,0))))))</f>
        <v>0</v>
      </c>
      <c r="AA50" s="69">
        <f>MAX(IF((G50&gt;=6)*(1-(IF(H50="",-1,H50)&gt;=1)*(IF(H50="",-1,H50)&lt;=3))*(1-(IF(H50="",-1,H50)=0)),IF(C50="peso_corporal",IF(ISNUMBER(E50),E50,0)+F50,F50)*(30+G50)*100+F50,0),IF((J50&gt;=6)*(1-(IF(K50="",-1,K50)&gt;=1)*(IF(K50="",-1,K50)&lt;=3))*(1-(IF(K50="",-1,K50)=0)),IF(C50="peso_corporal",IF(ISNUMBER(E50),E50,0)+I50,I50)*(30+J50)*100+I50,0),IF((M50&gt;=6)*(1-(IF(N50="",-1,N50)&gt;=1)*(IF(N50="",-1,N50)&lt;=3))*(1-(IF(N50="",-1,N50)=0)),IF(C50="peso_corporal",IF(ISNUMBER(E50),E50,0)+L50,L50)*(30+M50)*100+L50,0),IF((P50&gt;=6)*(1-(IF(Q50="",-1,Q50)&gt;=1)*(IF(Q50="",-1,Q50)&lt;=3))*(1-(IF(Q50="",-1,Q50)=0)),IF(C50="peso_corporal",IF(ISNUMBER(E50),E50,0)+O50,O50)*(30+P50)*100+O50,0),IF((S50&gt;=6)*(1-(IF(T50="",-1,T50)&gt;=1)*(IF(T50="",-1,T50)&lt;=3))*(1-(IF(T50="",-1,T50)=0)),IF(C50="peso_corporal",IF(ISNUMBER(E50),E50,0)+R50,R50)*(30+S50)*100+R50,0))</f>
        <v>0</v>
      </c>
      <c r="AB50" s="69">
        <f>IF(AA50=0,0,IF(IF((S50&gt;=6)*(1-(IF(T50="",-1,T50)&gt;=1)*(IF(T50="",-1,T50)&lt;=3))*(1-(IF(T50="",-1,T50)=0)),IF(C50="peso_corporal",IF(ISNUMBER(E50),E50,0)+R50,R50)*(30+S50)*100+R50,0)=AA50,5,IF(IF((P50&gt;=6)*(1-(IF(Q50="",-1,Q50)&gt;=1)*(IF(Q50="",-1,Q50)&lt;=3))*(1-(IF(Q50="",-1,Q50)=0)),IF(C50="peso_corporal",IF(ISNUMBER(E50),E50,0)+O50,O50)*(30+P50)*100+O50,0)=AA50,4,IF(IF((M50&gt;=6)*(1-(IF(N50="",-1,N50)&gt;=1)*(IF(N50="",-1,N50)&lt;=3))*(1-(IF(N50="",-1,N50)=0)),IF(C50="peso_corporal",IF(ISNUMBER(E50),E50,0)+L50,L50)*(30+M50)*100+L50,0)=AA50,3,IF(IF((J50&gt;=6)*(1-(IF(K50="",-1,K50)&gt;=1)*(IF(K50="",-1,K50)&lt;=3))*(1-(IF(K50="",-1,K50)=0)),IF(C50="peso_corporal",IF(ISNUMBER(E50),E50,0)+I50,I50)*(30+J50)*100+I50,0)=AA50,2,IF(IF((G50&gt;=6)*(1-(IF(H50="",-1,H50)&gt;=1)*(IF(H50="",-1,H50)&lt;=3))*(1-(IF(H50="",-1,H50)=0)),IF(C50="peso_corporal",IF(ISNUMBER(E50),E50,0)+F50,F50)*(30+G50)*100+F50,0)=AA50,1,0))))))</f>
        <v>0</v>
      </c>
      <c r="AC50" s="69" t="str">
        <f>IF(X50&gt;0,"A"&amp;X50,IF(Z50&gt;0,"B"&amp;Z50,IF(AB50&gt;0,"C"&amp;AB50,"")))</f>
        <v/>
      </c>
    </row>
    <row r="51" spans="1:29" ht="6" customHeight="1">
      <c r="A51" s="13"/>
      <c r="B51" s="13"/>
      <c r="C51" s="13"/>
      <c r="D51" s="13"/>
      <c r="E51" s="13"/>
      <c r="F51" s="13"/>
      <c r="G51" s="13"/>
      <c r="H51" s="13"/>
      <c r="I51" s="13"/>
      <c r="J51" s="13"/>
      <c r="K51" s="13"/>
      <c r="L51" s="13"/>
      <c r="M51" s="13"/>
      <c r="N51" s="13"/>
      <c r="O51" s="13"/>
      <c r="P51" s="13"/>
      <c r="Q51" s="13"/>
      <c r="R51" s="13"/>
      <c r="S51" s="13"/>
      <c r="T51" s="13"/>
      <c r="U51" s="13"/>
      <c r="V51" s="13"/>
      <c r="W51" s="69"/>
      <c r="X51" s="69"/>
      <c r="Y51" s="69"/>
      <c r="Z51" s="69"/>
      <c r="AA51" s="69"/>
      <c r="AB51" s="69"/>
      <c r="AC51" s="69"/>
    </row>
    <row r="52" spans="1:29" ht="18" customHeight="1">
      <c r="A52" s="85" t="s">
        <v>68</v>
      </c>
      <c r="B52" s="73"/>
      <c r="C52" s="73"/>
      <c r="D52" s="73"/>
      <c r="E52" s="73"/>
      <c r="F52" s="73"/>
      <c r="G52" s="73"/>
      <c r="H52" s="73"/>
      <c r="I52" s="73"/>
      <c r="J52" s="73"/>
      <c r="K52" s="73"/>
      <c r="L52" s="73"/>
      <c r="M52" s="73"/>
      <c r="N52" s="73"/>
      <c r="O52" s="73"/>
      <c r="P52" s="73"/>
      <c r="Q52" s="73"/>
      <c r="R52" s="73"/>
      <c r="S52" s="73"/>
      <c r="T52" s="73"/>
      <c r="U52" s="73"/>
      <c r="V52" s="73"/>
      <c r="W52" s="69"/>
      <c r="X52" s="69"/>
      <c r="Y52" s="69"/>
      <c r="Z52" s="69"/>
      <c r="AA52" s="69"/>
      <c r="AB52" s="69"/>
      <c r="AC52" s="69"/>
    </row>
    <row r="53" spans="1:29" ht="15" customHeight="1">
      <c r="A53" s="75" t="s">
        <v>88</v>
      </c>
      <c r="B53" s="73"/>
      <c r="C53" s="73"/>
      <c r="D53" s="73"/>
      <c r="E53" s="73"/>
      <c r="F53" s="73"/>
      <c r="G53" s="73"/>
      <c r="H53" s="73"/>
      <c r="I53" s="73"/>
      <c r="J53" s="73"/>
      <c r="K53" s="73"/>
      <c r="L53" s="73"/>
      <c r="M53" s="73"/>
      <c r="N53" s="73"/>
      <c r="O53" s="73"/>
      <c r="P53" s="73"/>
      <c r="Q53" s="73"/>
      <c r="R53" s="73"/>
      <c r="S53" s="73"/>
      <c r="T53" s="73"/>
      <c r="U53" s="73"/>
      <c r="V53" s="73"/>
      <c r="W53" s="69"/>
      <c r="X53" s="69"/>
      <c r="Y53" s="69"/>
      <c r="Z53" s="69"/>
      <c r="AA53" s="69"/>
      <c r="AB53" s="69"/>
      <c r="AC53" s="69"/>
    </row>
    <row r="54" spans="1:29" ht="11.1" customHeight="1">
      <c r="A54" s="76" t="s">
        <v>89</v>
      </c>
      <c r="B54" s="73"/>
      <c r="C54" s="73"/>
      <c r="D54" s="73"/>
      <c r="E54" s="73"/>
      <c r="F54" s="73"/>
      <c r="G54" s="73"/>
      <c r="H54" s="73"/>
      <c r="I54" s="73"/>
      <c r="J54" s="73"/>
      <c r="K54" s="73"/>
      <c r="L54" s="73"/>
      <c r="M54" s="73"/>
      <c r="N54" s="73"/>
      <c r="O54" s="73"/>
      <c r="P54" s="73"/>
      <c r="Q54" s="73"/>
      <c r="R54" s="73"/>
      <c r="S54" s="73"/>
      <c r="T54" s="73"/>
      <c r="U54" s="73"/>
      <c r="V54" s="73"/>
      <c r="W54" s="69"/>
      <c r="X54" s="69"/>
      <c r="Y54" s="69"/>
      <c r="Z54" s="69"/>
      <c r="AA54" s="69"/>
      <c r="AB54" s="69"/>
      <c r="AC54" s="69"/>
    </row>
    <row r="55" spans="1:29" ht="20.100000000000001" customHeight="1">
      <c r="A55" s="14" t="s">
        <v>90</v>
      </c>
      <c r="B55" s="15" t="s">
        <v>91</v>
      </c>
      <c r="C55" s="16" t="str">
        <f>IFERROR(INDEX(EJERCICIOS!$D$3:$D$75,MATCH(A55&amp;"|"&amp;B55,EJERCICIOS!$G$3:$G$75,0)),"--")</f>
        <v>peso_corporal</v>
      </c>
      <c r="D55" s="17">
        <v>3</v>
      </c>
      <c r="E55" s="18">
        <f>IFERROR(LOOKUP(2,1/(MEDIDAS_Y_PESO!$B$3:$B$5&lt;&gt;""),MEDIDAS_Y_PESO!$B$3:$B$5),"--")</f>
        <v>80</v>
      </c>
      <c r="F55" s="19"/>
      <c r="G55" s="20"/>
      <c r="H55" s="21"/>
      <c r="I55" s="19"/>
      <c r="J55" s="20"/>
      <c r="K55" s="21"/>
      <c r="L55" s="19"/>
      <c r="M55" s="20"/>
      <c r="N55" s="21"/>
      <c r="O55" s="19"/>
      <c r="P55" s="20"/>
      <c r="Q55" s="21"/>
      <c r="R55" s="19"/>
      <c r="S55" s="20"/>
      <c r="T55" s="21"/>
      <c r="U55" s="22" t="str">
        <f>IFERROR(IF(IF(X55&gt;0,X55,IF(Z55&gt;0,Z55,IF(AB55&gt;0,AB55,0)))=0,"--",ROUND(CHOOSE(IF(X55&gt;0,X55,IF(Z55&gt;0,Z55,IF(AB55&gt;0,AB55,0))),IF(C55="peso_corporal",IF(ISNUMBER(E55),E55,0)+F55,F55)*(1+G55/30),IF(C55="peso_corporal",IF(ISNUMBER(E55),E55,0)+I55,I55)*(1+J55/30),IF(C55="peso_corporal",IF(ISNUMBER(E55),E55,0)+L55,L55)*(1+M55/30),IF(C55="peso_corporal",IF(ISNUMBER(E55),E55,0)+O55,O55)*(1+P55/30),IF(C55="peso_corporal",IF(ISNUMBER(E55),E55,0)+R55,R55)*(1+S55/30)),1)),"--")</f>
        <v>--</v>
      </c>
      <c r="V55" s="23" t="str">
        <f>IF(SUGERENCIAS!N141="SIN","Sin datos anteriores",IF(SUGERENCIAS!N141="SUBIR_F","^ SUBIR FUERTE | Kg:"&amp;ROUND(SUGERENCIAS!K141,1)&amp;" R:"&amp;ROUND(SUGERENCIAS!L141,0)&amp;" RIR:"&amp;ROUND(SUGERENCIAS!M141,0),IF(SUGERENCIAS!N141="SUBIR_E","^ SUBIR (Est.) | Kg:"&amp;ROUND(SUGERENCIAS!K141,1)&amp;" R:"&amp;ROUND(SUGERENCIAS!L141,0)&amp;" RIR:"&amp;ROUND(SUGERENCIAS!M141,0),IF(SUGERENCIAS!N141="SUBIR","^ SUBIR | Kg:"&amp;ROUND(SUGERENCIAS!K141,1)&amp;" R:"&amp;ROUND(SUGERENCIAS!L141,0)&amp;" RIR:"&amp;ROUND(SUGERENCIAS!M141,0),IF(SUGERENCIAS!N141="BAJAR","v BAJAR | Kg:"&amp;ROUND(SUGERENCIAS!K141,1)&amp;" R:"&amp;ROUND(SUGERENCIAS!L141,0)&amp;" RIR:"&amp;ROUND(SUGERENCIAS!M141,0),"= MANT | Kg:"&amp;ROUND(SUGERENCIAS!K141,1)&amp;" R:"&amp;ROUND(SUGERENCIAS!L141,0)&amp;" RIR:"&amp;ROUND(SUGERENCIAS!M141,0))))))</f>
        <v>Sin datos anteriores</v>
      </c>
      <c r="W55" s="69">
        <f>MAX(IF((G55&gt;0)*(IF(H55="",-1,H55)&gt;=0)*(IF(H55="",-1,H55)&lt;=1),IF(C55="peso_corporal",IF(ISNUMBER(E55),E55,0)+F55,F55)*G55*1000+F55,0),IF((J55&gt;0)*(IF(K55="",-1,K55)&gt;=0)*(IF(K55="",-1,K55)&lt;=1),IF(C55="peso_corporal",IF(ISNUMBER(E55),E55,0)+I55,I55)*J55*1000+I55,0),IF((M55&gt;0)*(IF(N55="",-1,N55)&gt;=0)*(IF(N55="",-1,N55)&lt;=1),IF(C55="peso_corporal",IF(ISNUMBER(E55),E55,0)+L55,L55)*M55*1000+L55,0),IF((P55&gt;0)*(IF(Q55="",-1,Q55)&gt;=0)*(IF(Q55="",-1,Q55)&lt;=1),IF(C55="peso_corporal",IF(ISNUMBER(E55),E55,0)+O55,O55)*P55*1000+O55,0),IF((S55&gt;0)*(IF(T55="",-1,T55)&gt;=0)*(IF(T55="",-1,T55)&lt;=1),IF(C55="peso_corporal",IF(ISNUMBER(E55),E55,0)+R55,R55)*S55*1000+R55,0))</f>
        <v>0</v>
      </c>
      <c r="X55" s="69">
        <f>IF(W55=0,0,IF(IF((S55&gt;0)*(IF(T55="",-1,T55)&gt;=0)*(IF(T55="",-1,T55)&lt;=1),IF(C55="peso_corporal",IF(ISNUMBER(E55),E55,0)+R55,R55)*S55*1000+R55,0)=W55,5,IF(IF((P55&gt;0)*(IF(Q55="",-1,Q55)&gt;=0)*(IF(Q55="",-1,Q55)&lt;=1),IF(C55="peso_corporal",IF(ISNUMBER(E55),E55,0)+O55,O55)*P55*1000+O55,0)=W55,4,IF(IF((M55&gt;0)*(IF(N55="",-1,N55)&gt;=0)*(IF(N55="",-1,N55)&lt;=1),IF(C55="peso_corporal",IF(ISNUMBER(E55),E55,0)+L55,L55)*M55*1000+L55,0)=W55,3,IF(IF((J55&gt;0)*(IF(K55="",-1,K55)&gt;=0)*(IF(K55="",-1,K55)&lt;=1),IF(C55="peso_corporal",IF(ISNUMBER(E55),E55,0)+I55,I55)*J55*1000+I55,0)=W55,2,IF(IF((G55&gt;0)*(IF(H55="",-1,H55)&gt;=0)*(IF(H55="",-1,H55)&lt;=1),IF(C55="peso_corporal",IF(ISNUMBER(E55),E55,0)+F55,F55)*G55*1000+F55,0)=W55,1,0))))))</f>
        <v>0</v>
      </c>
      <c r="Y55" s="69">
        <f>MAX(IF((G55&gt;0)*(IF(H55="",-1,H55)=0)*(1-(IF(H55="",-1,H55)&gt;=0)*(IF(H55="",-1,H55)&lt;=1)),IF(C55="peso_corporal",IF(ISNUMBER(E55),E55,0)+F55,F55)*G55*1000+F55,0),IF((J55&gt;0)*(IF(K55="",-1,K55)=0)*(1-(IF(K55="",-1,K55)&gt;=0)*(IF(K55="",-1,K55)&lt;=1)),IF(C55="peso_corporal",IF(ISNUMBER(E55),E55,0)+I55,I55)*J55*1000+I55,0),IF((M55&gt;0)*(IF(N55="",-1,N55)=0)*(1-(IF(N55="",-1,N55)&gt;=0)*(IF(N55="",-1,N55)&lt;=1)),IF(C55="peso_corporal",IF(ISNUMBER(E55),E55,0)+L55,L55)*M55*1000+L55,0),IF((P55&gt;0)*(IF(Q55="",-1,Q55)=0)*(1-(IF(Q55="",-1,Q55)&gt;=0)*(IF(Q55="",-1,Q55)&lt;=1)),IF(C55="peso_corporal",IF(ISNUMBER(E55),E55,0)+O55,O55)*P55*1000+O55,0),IF((S55&gt;0)*(IF(T55="",-1,T55)=0)*(1-(IF(T55="",-1,T55)&gt;=0)*(IF(T55="",-1,T55)&lt;=1)),IF(C55="peso_corporal",IF(ISNUMBER(E55),E55,0)+R55,R55)*S55*1000+R55,0))</f>
        <v>0</v>
      </c>
      <c r="Z55" s="69">
        <f>IF(Y55=0,0,IF(IF((S55&gt;0)*(IF(T55="",-1,T55)=0)*(1-(IF(T55="",-1,T55)&gt;=0)*(IF(T55="",-1,T55)&lt;=1)),IF(C55="peso_corporal",IF(ISNUMBER(E55),E55,0)+R55,R55)*S55*1000+R55,0)=Y55,5,IF(IF((P55&gt;0)*(IF(Q55="",-1,Q55)=0)*(1-(IF(Q55="",-1,Q55)&gt;=0)*(IF(Q55="",-1,Q55)&lt;=1)),IF(C55="peso_corporal",IF(ISNUMBER(E55),E55,0)+O55,O55)*P55*1000+O55,0)=Y55,4,IF(IF((M55&gt;0)*(IF(N55="",-1,N55)=0)*(1-(IF(N55="",-1,N55)&gt;=0)*(IF(N55="",-1,N55)&lt;=1)),IF(C55="peso_corporal",IF(ISNUMBER(E55),E55,0)+L55,L55)*M55*1000+L55,0)=Y55,3,IF(IF((J55&gt;0)*(IF(K55="",-1,K55)=0)*(1-(IF(K55="",-1,K55)&gt;=0)*(IF(K55="",-1,K55)&lt;=1)),IF(C55="peso_corporal",IF(ISNUMBER(E55),E55,0)+I55,I55)*J55*1000+I55,0)=Y55,2,IF(IF((G55&gt;0)*(IF(H55="",-1,H55)=0)*(1-(IF(H55="",-1,H55)&gt;=0)*(IF(H55="",-1,H55)&lt;=1)),IF(C55="peso_corporal",IF(ISNUMBER(E55),E55,0)+F55,F55)*G55*1000+F55,0)=Y55,1,0))))))</f>
        <v>0</v>
      </c>
      <c r="AA55" s="69">
        <f>MAX(IF((G55&gt;=3)*(1-(IF(H55="",-1,H55)&gt;=0)*(IF(H55="",-1,H55)&lt;=1))*(1-(IF(H55="",-1,H55)=0)),IF(C55="peso_corporal",IF(ISNUMBER(E55),E55,0)+F55,F55)*(30+G55)*100+F55,0),IF((J55&gt;=3)*(1-(IF(K55="",-1,K55)&gt;=0)*(IF(K55="",-1,K55)&lt;=1))*(1-(IF(K55="",-1,K55)=0)),IF(C55="peso_corporal",IF(ISNUMBER(E55),E55,0)+I55,I55)*(30+J55)*100+I55,0),IF((M55&gt;=3)*(1-(IF(N55="",-1,N55)&gt;=0)*(IF(N55="",-1,N55)&lt;=1))*(1-(IF(N55="",-1,N55)=0)),IF(C55="peso_corporal",IF(ISNUMBER(E55),E55,0)+L55,L55)*(30+M55)*100+L55,0),IF((P55&gt;=3)*(1-(IF(Q55="",-1,Q55)&gt;=0)*(IF(Q55="",-1,Q55)&lt;=1))*(1-(IF(Q55="",-1,Q55)=0)),IF(C55="peso_corporal",IF(ISNUMBER(E55),E55,0)+O55,O55)*(30+P55)*100+O55,0),IF((S55&gt;=3)*(1-(IF(T55="",-1,T55)&gt;=0)*(IF(T55="",-1,T55)&lt;=1))*(1-(IF(T55="",-1,T55)=0)),IF(C55="peso_corporal",IF(ISNUMBER(E55),E55,0)+R55,R55)*(30+S55)*100+R55,0))</f>
        <v>0</v>
      </c>
      <c r="AB55" s="69">
        <f>IF(AA55=0,0,IF(IF((S55&gt;=3)*(1-(IF(T55="",-1,T55)&gt;=0)*(IF(T55="",-1,T55)&lt;=1))*(1-(IF(T55="",-1,T55)=0)),IF(C55="peso_corporal",IF(ISNUMBER(E55),E55,0)+R55,R55)*(30+S55)*100+R55,0)=AA55,5,IF(IF((P55&gt;=3)*(1-(IF(Q55="",-1,Q55)&gt;=0)*(IF(Q55="",-1,Q55)&lt;=1))*(1-(IF(Q55="",-1,Q55)=0)),IF(C55="peso_corporal",IF(ISNUMBER(E55),E55,0)+O55,O55)*(30+P55)*100+O55,0)=AA55,4,IF(IF((M55&gt;=3)*(1-(IF(N55="",-1,N55)&gt;=0)*(IF(N55="",-1,N55)&lt;=1))*(1-(IF(N55="",-1,N55)=0)),IF(C55="peso_corporal",IF(ISNUMBER(E55),E55,0)+L55,L55)*(30+M55)*100+L55,0)=AA55,3,IF(IF((J55&gt;=3)*(1-(IF(K55="",-1,K55)&gt;=0)*(IF(K55="",-1,K55)&lt;=1))*(1-(IF(K55="",-1,K55)=0)),IF(C55="peso_corporal",IF(ISNUMBER(E55),E55,0)+I55,I55)*(30+J55)*100+I55,0)=AA55,2,IF(IF((G55&gt;=3)*(1-(IF(H55="",-1,H55)&gt;=0)*(IF(H55="",-1,H55)&lt;=1))*(1-(IF(H55="",-1,H55)=0)),IF(C55="peso_corporal",IF(ISNUMBER(E55),E55,0)+F55,F55)*(30+G55)*100+F55,0)=AA55,1,0))))))</f>
        <v>0</v>
      </c>
      <c r="AC55" s="69" t="str">
        <f>IF(X55&gt;0,"A"&amp;X55,IF(Z55&gt;0,"B"&amp;Z55,IF(AB55&gt;0,"C"&amp;AB55,"")))</f>
        <v/>
      </c>
    </row>
    <row r="56" spans="1:29" ht="20.100000000000001" customHeight="1">
      <c r="A56" s="14" t="s">
        <v>92</v>
      </c>
      <c r="B56" s="15" t="s">
        <v>108</v>
      </c>
      <c r="C56" s="16" t="str">
        <f>IFERROR(INDEX(EJERCICIOS!$D$3:$D$75,MATCH(A56&amp;"|"&amp;B56,EJERCICIOS!$G$3:$G$75,0)),"--")</f>
        <v>polea</v>
      </c>
      <c r="D56" s="17">
        <v>3</v>
      </c>
      <c r="E56" s="18">
        <f>IFERROR(LOOKUP(2,1/(MEDIDAS_Y_PESO!$B$3:$B$5&lt;&gt;""),MEDIDAS_Y_PESO!$B$3:$B$5),"--")</f>
        <v>80</v>
      </c>
      <c r="F56" s="19"/>
      <c r="G56" s="20"/>
      <c r="H56" s="21"/>
      <c r="I56" s="19"/>
      <c r="J56" s="20"/>
      <c r="K56" s="21"/>
      <c r="L56" s="19"/>
      <c r="M56" s="20"/>
      <c r="N56" s="21"/>
      <c r="O56" s="19"/>
      <c r="P56" s="20"/>
      <c r="Q56" s="21"/>
      <c r="R56" s="19"/>
      <c r="S56" s="20"/>
      <c r="T56" s="21"/>
      <c r="U56" s="22" t="str">
        <f>IFERROR(IF(IF(X56&gt;0,X56,IF(Z56&gt;0,Z56,IF(AB56&gt;0,AB56,0)))=0,"--",ROUND(CHOOSE(IF(X56&gt;0,X56,IF(Z56&gt;0,Z56,IF(AB56&gt;0,AB56,0))),IF(C56="peso_corporal",IF(ISNUMBER(E56),E56,0)+F56,F56)*(1+G56/30),IF(C56="peso_corporal",IF(ISNUMBER(E56),E56,0)+I56,I56)*(1+J56/30),IF(C56="peso_corporal",IF(ISNUMBER(E56),E56,0)+L56,L56)*(1+M56/30),IF(C56="peso_corporal",IF(ISNUMBER(E56),E56,0)+O56,O56)*(1+P56/30),IF(C56="peso_corporal",IF(ISNUMBER(E56),E56,0)+R56,R56)*(1+S56/30)),1)),"--")</f>
        <v>--</v>
      </c>
      <c r="V56" s="23" t="str">
        <f>IF(SUGERENCIAS!N142="SIN","Sin datos anteriores",IF(SUGERENCIAS!N142="SUBIR_F","^ SUBIR FUERTE | Kg:"&amp;ROUND(SUGERENCIAS!K142,1)&amp;" R:"&amp;ROUND(SUGERENCIAS!L142,0)&amp;" RIR:"&amp;ROUND(SUGERENCIAS!M142,0),IF(SUGERENCIAS!N142="SUBIR_E","^ SUBIR (Est.) | Kg:"&amp;ROUND(SUGERENCIAS!K142,1)&amp;" R:"&amp;ROUND(SUGERENCIAS!L142,0)&amp;" RIR:"&amp;ROUND(SUGERENCIAS!M142,0),IF(SUGERENCIAS!N142="SUBIR","^ SUBIR | Kg:"&amp;ROUND(SUGERENCIAS!K142,1)&amp;" R:"&amp;ROUND(SUGERENCIAS!L142,0)&amp;" RIR:"&amp;ROUND(SUGERENCIAS!M142,0),IF(SUGERENCIAS!N142="BAJAR","v BAJAR | Kg:"&amp;ROUND(SUGERENCIAS!K142,1)&amp;" R:"&amp;ROUND(SUGERENCIAS!L142,0)&amp;" RIR:"&amp;ROUND(SUGERENCIAS!M142,0),"= MANT | Kg:"&amp;ROUND(SUGERENCIAS!K142,1)&amp;" R:"&amp;ROUND(SUGERENCIAS!L142,0)&amp;" RIR:"&amp;ROUND(SUGERENCIAS!M142,0))))))</f>
        <v>Sin datos anteriores</v>
      </c>
      <c r="W56" s="69">
        <f>MAX(IF((G56&gt;0)*(IF(H56="",-1,H56)&gt;=0)*(IF(H56="",-1,H56)&lt;=1),IF(C56="peso_corporal",IF(ISNUMBER(E56),E56,0)+F56,F56)*G56*1000+F56,0),IF((J56&gt;0)*(IF(K56="",-1,K56)&gt;=0)*(IF(K56="",-1,K56)&lt;=1),IF(C56="peso_corporal",IF(ISNUMBER(E56),E56,0)+I56,I56)*J56*1000+I56,0),IF((M56&gt;0)*(IF(N56="",-1,N56)&gt;=0)*(IF(N56="",-1,N56)&lt;=1),IF(C56="peso_corporal",IF(ISNUMBER(E56),E56,0)+L56,L56)*M56*1000+L56,0),IF((P56&gt;0)*(IF(Q56="",-1,Q56)&gt;=0)*(IF(Q56="",-1,Q56)&lt;=1),IF(C56="peso_corporal",IF(ISNUMBER(E56),E56,0)+O56,O56)*P56*1000+O56,0),IF((S56&gt;0)*(IF(T56="",-1,T56)&gt;=0)*(IF(T56="",-1,T56)&lt;=1),IF(C56="peso_corporal",IF(ISNUMBER(E56),E56,0)+R56,R56)*S56*1000+R56,0))</f>
        <v>0</v>
      </c>
      <c r="X56" s="69">
        <f>IF(W56=0,0,IF(IF((S56&gt;0)*(IF(T56="",-1,T56)&gt;=0)*(IF(T56="",-1,T56)&lt;=1),IF(C56="peso_corporal",IF(ISNUMBER(E56),E56,0)+R56,R56)*S56*1000+R56,0)=W56,5,IF(IF((P56&gt;0)*(IF(Q56="",-1,Q56)&gt;=0)*(IF(Q56="",-1,Q56)&lt;=1),IF(C56="peso_corporal",IF(ISNUMBER(E56),E56,0)+O56,O56)*P56*1000+O56,0)=W56,4,IF(IF((M56&gt;0)*(IF(N56="",-1,N56)&gt;=0)*(IF(N56="",-1,N56)&lt;=1),IF(C56="peso_corporal",IF(ISNUMBER(E56),E56,0)+L56,L56)*M56*1000+L56,0)=W56,3,IF(IF((J56&gt;0)*(IF(K56="",-1,K56)&gt;=0)*(IF(K56="",-1,K56)&lt;=1),IF(C56="peso_corporal",IF(ISNUMBER(E56),E56,0)+I56,I56)*J56*1000+I56,0)=W56,2,IF(IF((G56&gt;0)*(IF(H56="",-1,H56)&gt;=0)*(IF(H56="",-1,H56)&lt;=1),IF(C56="peso_corporal",IF(ISNUMBER(E56),E56,0)+F56,F56)*G56*1000+F56,0)=W56,1,0))))))</f>
        <v>0</v>
      </c>
      <c r="Y56" s="69">
        <f>MAX(IF((G56&gt;0)*(IF(H56="",-1,H56)=0)*(1-(IF(H56="",-1,H56)&gt;=0)*(IF(H56="",-1,H56)&lt;=1)),IF(C56="peso_corporal",IF(ISNUMBER(E56),E56,0)+F56,F56)*G56*1000+F56,0),IF((J56&gt;0)*(IF(K56="",-1,K56)=0)*(1-(IF(K56="",-1,K56)&gt;=0)*(IF(K56="",-1,K56)&lt;=1)),IF(C56="peso_corporal",IF(ISNUMBER(E56),E56,0)+I56,I56)*J56*1000+I56,0),IF((M56&gt;0)*(IF(N56="",-1,N56)=0)*(1-(IF(N56="",-1,N56)&gt;=0)*(IF(N56="",-1,N56)&lt;=1)),IF(C56="peso_corporal",IF(ISNUMBER(E56),E56,0)+L56,L56)*M56*1000+L56,0),IF((P56&gt;0)*(IF(Q56="",-1,Q56)=0)*(1-(IF(Q56="",-1,Q56)&gt;=0)*(IF(Q56="",-1,Q56)&lt;=1)),IF(C56="peso_corporal",IF(ISNUMBER(E56),E56,0)+O56,O56)*P56*1000+O56,0),IF((S56&gt;0)*(IF(T56="",-1,T56)=0)*(1-(IF(T56="",-1,T56)&gt;=0)*(IF(T56="",-1,T56)&lt;=1)),IF(C56="peso_corporal",IF(ISNUMBER(E56),E56,0)+R56,R56)*S56*1000+R56,0))</f>
        <v>0</v>
      </c>
      <c r="Z56" s="69">
        <f>IF(Y56=0,0,IF(IF((S56&gt;0)*(IF(T56="",-1,T56)=0)*(1-(IF(T56="",-1,T56)&gt;=0)*(IF(T56="",-1,T56)&lt;=1)),IF(C56="peso_corporal",IF(ISNUMBER(E56),E56,0)+R56,R56)*S56*1000+R56,0)=Y56,5,IF(IF((P56&gt;0)*(IF(Q56="",-1,Q56)=0)*(1-(IF(Q56="",-1,Q56)&gt;=0)*(IF(Q56="",-1,Q56)&lt;=1)),IF(C56="peso_corporal",IF(ISNUMBER(E56),E56,0)+O56,O56)*P56*1000+O56,0)=Y56,4,IF(IF((M56&gt;0)*(IF(N56="",-1,N56)=0)*(1-(IF(N56="",-1,N56)&gt;=0)*(IF(N56="",-1,N56)&lt;=1)),IF(C56="peso_corporal",IF(ISNUMBER(E56),E56,0)+L56,L56)*M56*1000+L56,0)=Y56,3,IF(IF((J56&gt;0)*(IF(K56="",-1,K56)=0)*(1-(IF(K56="",-1,K56)&gt;=0)*(IF(K56="",-1,K56)&lt;=1)),IF(C56="peso_corporal",IF(ISNUMBER(E56),E56,0)+I56,I56)*J56*1000+I56,0)=Y56,2,IF(IF((G56&gt;0)*(IF(H56="",-1,H56)=0)*(1-(IF(H56="",-1,H56)&gt;=0)*(IF(H56="",-1,H56)&lt;=1)),IF(C56="peso_corporal",IF(ISNUMBER(E56),E56,0)+F56,F56)*G56*1000+F56,0)=Y56,1,0))))))</f>
        <v>0</v>
      </c>
      <c r="AA56" s="69">
        <f>MAX(IF((G56&gt;=3)*(1-(IF(H56="",-1,H56)&gt;=0)*(IF(H56="",-1,H56)&lt;=1))*(1-(IF(H56="",-1,H56)=0)),IF(C56="peso_corporal",IF(ISNUMBER(E56),E56,0)+F56,F56)*(30+G56)*100+F56,0),IF((J56&gt;=3)*(1-(IF(K56="",-1,K56)&gt;=0)*(IF(K56="",-1,K56)&lt;=1))*(1-(IF(K56="",-1,K56)=0)),IF(C56="peso_corporal",IF(ISNUMBER(E56),E56,0)+I56,I56)*(30+J56)*100+I56,0),IF((M56&gt;=3)*(1-(IF(N56="",-1,N56)&gt;=0)*(IF(N56="",-1,N56)&lt;=1))*(1-(IF(N56="",-1,N56)=0)),IF(C56="peso_corporal",IF(ISNUMBER(E56),E56,0)+L56,L56)*(30+M56)*100+L56,0),IF((P56&gt;=3)*(1-(IF(Q56="",-1,Q56)&gt;=0)*(IF(Q56="",-1,Q56)&lt;=1))*(1-(IF(Q56="",-1,Q56)=0)),IF(C56="peso_corporal",IF(ISNUMBER(E56),E56,0)+O56,O56)*(30+P56)*100+O56,0),IF((S56&gt;=3)*(1-(IF(T56="",-1,T56)&gt;=0)*(IF(T56="",-1,T56)&lt;=1))*(1-(IF(T56="",-1,T56)=0)),IF(C56="peso_corporal",IF(ISNUMBER(E56),E56,0)+R56,R56)*(30+S56)*100+R56,0))</f>
        <v>0</v>
      </c>
      <c r="AB56" s="69">
        <f>IF(AA56=0,0,IF(IF((S56&gt;=3)*(1-(IF(T56="",-1,T56)&gt;=0)*(IF(T56="",-1,T56)&lt;=1))*(1-(IF(T56="",-1,T56)=0)),IF(C56="peso_corporal",IF(ISNUMBER(E56),E56,0)+R56,R56)*(30+S56)*100+R56,0)=AA56,5,IF(IF((P56&gt;=3)*(1-(IF(Q56="",-1,Q56)&gt;=0)*(IF(Q56="",-1,Q56)&lt;=1))*(1-(IF(Q56="",-1,Q56)=0)),IF(C56="peso_corporal",IF(ISNUMBER(E56),E56,0)+O56,O56)*(30+P56)*100+O56,0)=AA56,4,IF(IF((M56&gt;=3)*(1-(IF(N56="",-1,N56)&gt;=0)*(IF(N56="",-1,N56)&lt;=1))*(1-(IF(N56="",-1,N56)=0)),IF(C56="peso_corporal",IF(ISNUMBER(E56),E56,0)+L56,L56)*(30+M56)*100+L56,0)=AA56,3,IF(IF((J56&gt;=3)*(1-(IF(K56="",-1,K56)&gt;=0)*(IF(K56="",-1,K56)&lt;=1))*(1-(IF(K56="",-1,K56)=0)),IF(C56="peso_corporal",IF(ISNUMBER(E56),E56,0)+I56,I56)*(30+J56)*100+I56,0)=AA56,2,IF(IF((G56&gt;=3)*(1-(IF(H56="",-1,H56)&gt;=0)*(IF(H56="",-1,H56)&lt;=1))*(1-(IF(H56="",-1,H56)=0)),IF(C56="peso_corporal",IF(ISNUMBER(E56),E56,0)+F56,F56)*(30+G56)*100+F56,0)=AA56,1,0))))))</f>
        <v>0</v>
      </c>
      <c r="AC56" s="69" t="str">
        <f>IF(X56&gt;0,"A"&amp;X56,IF(Z56&gt;0,"B"&amp;Z56,IF(AB56&gt;0,"C"&amp;AB56,"")))</f>
        <v/>
      </c>
    </row>
    <row r="57" spans="1:29" ht="11.1" customHeight="1">
      <c r="A57" s="84" t="s">
        <v>94</v>
      </c>
      <c r="B57" s="73"/>
      <c r="C57" s="73"/>
      <c r="D57" s="73"/>
      <c r="E57" s="73"/>
      <c r="F57" s="73"/>
      <c r="G57" s="73"/>
      <c r="H57" s="73"/>
      <c r="I57" s="73"/>
      <c r="J57" s="73"/>
      <c r="K57" s="73"/>
      <c r="L57" s="73"/>
      <c r="M57" s="73"/>
      <c r="N57" s="73"/>
      <c r="O57" s="73"/>
      <c r="P57" s="73"/>
      <c r="Q57" s="73"/>
      <c r="R57" s="73"/>
      <c r="S57" s="73"/>
      <c r="T57" s="73"/>
      <c r="U57" s="73"/>
      <c r="V57" s="73"/>
      <c r="W57" s="69"/>
      <c r="X57" s="69"/>
      <c r="Y57" s="69"/>
      <c r="Z57" s="69"/>
      <c r="AA57" s="69"/>
      <c r="AB57" s="69"/>
      <c r="AC57" s="69"/>
    </row>
    <row r="58" spans="1:29" ht="20.100000000000001" customHeight="1">
      <c r="A58" s="14" t="s">
        <v>95</v>
      </c>
      <c r="B58" s="15" t="s">
        <v>96</v>
      </c>
      <c r="C58" s="16" t="str">
        <f>IFERROR(INDEX(EJERCICIOS!$D$3:$D$75,MATCH(A58&amp;"|"&amp;B58,EJERCICIOS!$G$3:$G$75,0)),"--")</f>
        <v>polea</v>
      </c>
      <c r="D58" s="17">
        <v>3</v>
      </c>
      <c r="E58" s="18">
        <f>IFERROR(LOOKUP(2,1/(MEDIDAS_Y_PESO!$B$3:$B$5&lt;&gt;""),MEDIDAS_Y_PESO!$B$3:$B$5),"--")</f>
        <v>80</v>
      </c>
      <c r="F58" s="19"/>
      <c r="G58" s="20"/>
      <c r="H58" s="21"/>
      <c r="I58" s="19"/>
      <c r="J58" s="20"/>
      <c r="K58" s="21"/>
      <c r="L58" s="19"/>
      <c r="M58" s="20"/>
      <c r="N58" s="21"/>
      <c r="O58" s="19"/>
      <c r="P58" s="20"/>
      <c r="Q58" s="21"/>
      <c r="R58" s="19"/>
      <c r="S58" s="20"/>
      <c r="T58" s="21"/>
      <c r="U58" s="22" t="str">
        <f>IFERROR(IF(IF(X58&gt;0,X58,IF(Z58&gt;0,Z58,IF(AB58&gt;0,AB58,0)))=0,"--",ROUND(CHOOSE(IF(X58&gt;0,X58,IF(Z58&gt;0,Z58,IF(AB58&gt;0,AB58,0))),IF(C58="peso_corporal",IF(ISNUMBER(E58),E58,0)+F58,F58)*(1+G58/30),IF(C58="peso_corporal",IF(ISNUMBER(E58),E58,0)+I58,I58)*(1+J58/30),IF(C58="peso_corporal",IF(ISNUMBER(E58),E58,0)+L58,L58)*(1+M58/30),IF(C58="peso_corporal",IF(ISNUMBER(E58),E58,0)+O58,O58)*(1+P58/30),IF(C58="peso_corporal",IF(ISNUMBER(E58),E58,0)+R58,R58)*(1+S58/30)),1)),"--")</f>
        <v>--</v>
      </c>
      <c r="V58" s="23" t="str">
        <f>IF(SUGERENCIAS!N143="SIN","Sin datos anteriores",IF(SUGERENCIAS!N143="SUBIR_F","^ SUBIR FUERTE | Kg:"&amp;ROUND(SUGERENCIAS!K143,1)&amp;" R:"&amp;ROUND(SUGERENCIAS!L143,0)&amp;" RIR:"&amp;ROUND(SUGERENCIAS!M143,0),IF(SUGERENCIAS!N143="SUBIR_E","^ SUBIR (Est.) | Kg:"&amp;ROUND(SUGERENCIAS!K143,1)&amp;" R:"&amp;ROUND(SUGERENCIAS!L143,0)&amp;" RIR:"&amp;ROUND(SUGERENCIAS!M143,0),IF(SUGERENCIAS!N143="SUBIR","^ SUBIR | Kg:"&amp;ROUND(SUGERENCIAS!K143,1)&amp;" R:"&amp;ROUND(SUGERENCIAS!L143,0)&amp;" RIR:"&amp;ROUND(SUGERENCIAS!M143,0),IF(SUGERENCIAS!N143="BAJAR","v BAJAR | Kg:"&amp;ROUND(SUGERENCIAS!K143,1)&amp;" R:"&amp;ROUND(SUGERENCIAS!L143,0)&amp;" RIR:"&amp;ROUND(SUGERENCIAS!M143,0),"= MANT | Kg:"&amp;ROUND(SUGERENCIAS!K143,1)&amp;" R:"&amp;ROUND(SUGERENCIAS!L143,0)&amp;" RIR:"&amp;ROUND(SUGERENCIAS!M143,0))))))</f>
        <v>Sin datos anteriores</v>
      </c>
      <c r="W58" s="69">
        <f>MAX(IF((G58&gt;0)*(IF(H58="",-1,H58)&gt;=0)*(IF(H58="",-1,H58)&lt;=1),IF(C58="peso_corporal",IF(ISNUMBER(E58),E58,0)+F58,F58)*G58*1000+F58,0),IF((J58&gt;0)*(IF(K58="",-1,K58)&gt;=0)*(IF(K58="",-1,K58)&lt;=1),IF(C58="peso_corporal",IF(ISNUMBER(E58),E58,0)+I58,I58)*J58*1000+I58,0),IF((M58&gt;0)*(IF(N58="",-1,N58)&gt;=0)*(IF(N58="",-1,N58)&lt;=1),IF(C58="peso_corporal",IF(ISNUMBER(E58),E58,0)+L58,L58)*M58*1000+L58,0),IF((P58&gt;0)*(IF(Q58="",-1,Q58)&gt;=0)*(IF(Q58="",-1,Q58)&lt;=1),IF(C58="peso_corporal",IF(ISNUMBER(E58),E58,0)+O58,O58)*P58*1000+O58,0),IF((S58&gt;0)*(IF(T58="",-1,T58)&gt;=0)*(IF(T58="",-1,T58)&lt;=1),IF(C58="peso_corporal",IF(ISNUMBER(E58),E58,0)+R58,R58)*S58*1000+R58,0))</f>
        <v>0</v>
      </c>
      <c r="X58" s="69">
        <f>IF(W58=0,0,IF(IF((S58&gt;0)*(IF(T58="",-1,T58)&gt;=0)*(IF(T58="",-1,T58)&lt;=1),IF(C58="peso_corporal",IF(ISNUMBER(E58),E58,0)+R58,R58)*S58*1000+R58,0)=W58,5,IF(IF((P58&gt;0)*(IF(Q58="",-1,Q58)&gt;=0)*(IF(Q58="",-1,Q58)&lt;=1),IF(C58="peso_corporal",IF(ISNUMBER(E58),E58,0)+O58,O58)*P58*1000+O58,0)=W58,4,IF(IF((M58&gt;0)*(IF(N58="",-1,N58)&gt;=0)*(IF(N58="",-1,N58)&lt;=1),IF(C58="peso_corporal",IF(ISNUMBER(E58),E58,0)+L58,L58)*M58*1000+L58,0)=W58,3,IF(IF((J58&gt;0)*(IF(K58="",-1,K58)&gt;=0)*(IF(K58="",-1,K58)&lt;=1),IF(C58="peso_corporal",IF(ISNUMBER(E58),E58,0)+I58,I58)*J58*1000+I58,0)=W58,2,IF(IF((G58&gt;0)*(IF(H58="",-1,H58)&gt;=0)*(IF(H58="",-1,H58)&lt;=1),IF(C58="peso_corporal",IF(ISNUMBER(E58),E58,0)+F58,F58)*G58*1000+F58,0)=W58,1,0))))))</f>
        <v>0</v>
      </c>
      <c r="Y58" s="69">
        <f>MAX(IF((G58&gt;0)*(IF(H58="",-1,H58)=0)*(1-(IF(H58="",-1,H58)&gt;=0)*(IF(H58="",-1,H58)&lt;=1)),IF(C58="peso_corporal",IF(ISNUMBER(E58),E58,0)+F58,F58)*G58*1000+F58,0),IF((J58&gt;0)*(IF(K58="",-1,K58)=0)*(1-(IF(K58="",-1,K58)&gt;=0)*(IF(K58="",-1,K58)&lt;=1)),IF(C58="peso_corporal",IF(ISNUMBER(E58),E58,0)+I58,I58)*J58*1000+I58,0),IF((M58&gt;0)*(IF(N58="",-1,N58)=0)*(1-(IF(N58="",-1,N58)&gt;=0)*(IF(N58="",-1,N58)&lt;=1)),IF(C58="peso_corporal",IF(ISNUMBER(E58),E58,0)+L58,L58)*M58*1000+L58,0),IF((P58&gt;0)*(IF(Q58="",-1,Q58)=0)*(1-(IF(Q58="",-1,Q58)&gt;=0)*(IF(Q58="",-1,Q58)&lt;=1)),IF(C58="peso_corporal",IF(ISNUMBER(E58),E58,0)+O58,O58)*P58*1000+O58,0),IF((S58&gt;0)*(IF(T58="",-1,T58)=0)*(1-(IF(T58="",-1,T58)&gt;=0)*(IF(T58="",-1,T58)&lt;=1)),IF(C58="peso_corporal",IF(ISNUMBER(E58),E58,0)+R58,R58)*S58*1000+R58,0))</f>
        <v>0</v>
      </c>
      <c r="Z58" s="69">
        <f>IF(Y58=0,0,IF(IF((S58&gt;0)*(IF(T58="",-1,T58)=0)*(1-(IF(T58="",-1,T58)&gt;=0)*(IF(T58="",-1,T58)&lt;=1)),IF(C58="peso_corporal",IF(ISNUMBER(E58),E58,0)+R58,R58)*S58*1000+R58,0)=Y58,5,IF(IF((P58&gt;0)*(IF(Q58="",-1,Q58)=0)*(1-(IF(Q58="",-1,Q58)&gt;=0)*(IF(Q58="",-1,Q58)&lt;=1)),IF(C58="peso_corporal",IF(ISNUMBER(E58),E58,0)+O58,O58)*P58*1000+O58,0)=Y58,4,IF(IF((M58&gt;0)*(IF(N58="",-1,N58)=0)*(1-(IF(N58="",-1,N58)&gt;=0)*(IF(N58="",-1,N58)&lt;=1)),IF(C58="peso_corporal",IF(ISNUMBER(E58),E58,0)+L58,L58)*M58*1000+L58,0)=Y58,3,IF(IF((J58&gt;0)*(IF(K58="",-1,K58)=0)*(1-(IF(K58="",-1,K58)&gt;=0)*(IF(K58="",-1,K58)&lt;=1)),IF(C58="peso_corporal",IF(ISNUMBER(E58),E58,0)+I58,I58)*J58*1000+I58,0)=Y58,2,IF(IF((G58&gt;0)*(IF(H58="",-1,H58)=0)*(1-(IF(H58="",-1,H58)&gt;=0)*(IF(H58="",-1,H58)&lt;=1)),IF(C58="peso_corporal",IF(ISNUMBER(E58),E58,0)+F58,F58)*G58*1000+F58,0)=Y58,1,0))))))</f>
        <v>0</v>
      </c>
      <c r="AA58" s="69">
        <f>MAX(IF((G58&gt;=3)*(1-(IF(H58="",-1,H58)&gt;=0)*(IF(H58="",-1,H58)&lt;=1))*(1-(IF(H58="",-1,H58)=0)),IF(C58="peso_corporal",IF(ISNUMBER(E58),E58,0)+F58,F58)*(30+G58)*100+F58,0),IF((J58&gt;=3)*(1-(IF(K58="",-1,K58)&gt;=0)*(IF(K58="",-1,K58)&lt;=1))*(1-(IF(K58="",-1,K58)=0)),IF(C58="peso_corporal",IF(ISNUMBER(E58),E58,0)+I58,I58)*(30+J58)*100+I58,0),IF((M58&gt;=3)*(1-(IF(N58="",-1,N58)&gt;=0)*(IF(N58="",-1,N58)&lt;=1))*(1-(IF(N58="",-1,N58)=0)),IF(C58="peso_corporal",IF(ISNUMBER(E58),E58,0)+L58,L58)*(30+M58)*100+L58,0),IF((P58&gt;=3)*(1-(IF(Q58="",-1,Q58)&gt;=0)*(IF(Q58="",-1,Q58)&lt;=1))*(1-(IF(Q58="",-1,Q58)=0)),IF(C58="peso_corporal",IF(ISNUMBER(E58),E58,0)+O58,O58)*(30+P58)*100+O58,0),IF((S58&gt;=3)*(1-(IF(T58="",-1,T58)&gt;=0)*(IF(T58="",-1,T58)&lt;=1))*(1-(IF(T58="",-1,T58)=0)),IF(C58="peso_corporal",IF(ISNUMBER(E58),E58,0)+R58,R58)*(30+S58)*100+R58,0))</f>
        <v>0</v>
      </c>
      <c r="AB58" s="69">
        <f>IF(AA58=0,0,IF(IF((S58&gt;=3)*(1-(IF(T58="",-1,T58)&gt;=0)*(IF(T58="",-1,T58)&lt;=1))*(1-(IF(T58="",-1,T58)=0)),IF(C58="peso_corporal",IF(ISNUMBER(E58),E58,0)+R58,R58)*(30+S58)*100+R58,0)=AA58,5,IF(IF((P58&gt;=3)*(1-(IF(Q58="",-1,Q58)&gt;=0)*(IF(Q58="",-1,Q58)&lt;=1))*(1-(IF(Q58="",-1,Q58)=0)),IF(C58="peso_corporal",IF(ISNUMBER(E58),E58,0)+O58,O58)*(30+P58)*100+O58,0)=AA58,4,IF(IF((M58&gt;=3)*(1-(IF(N58="",-1,N58)&gt;=0)*(IF(N58="",-1,N58)&lt;=1))*(1-(IF(N58="",-1,N58)=0)),IF(C58="peso_corporal",IF(ISNUMBER(E58),E58,0)+L58,L58)*(30+M58)*100+L58,0)=AA58,3,IF(IF((J58&gt;=3)*(1-(IF(K58="",-1,K58)&gt;=0)*(IF(K58="",-1,K58)&lt;=1))*(1-(IF(K58="",-1,K58)=0)),IF(C58="peso_corporal",IF(ISNUMBER(E58),E58,0)+I58,I58)*(30+J58)*100+I58,0)=AA58,2,IF(IF((G58&gt;=3)*(1-(IF(H58="",-1,H58)&gt;=0)*(IF(H58="",-1,H58)&lt;=1))*(1-(IF(H58="",-1,H58)=0)),IF(C58="peso_corporal",IF(ISNUMBER(E58),E58,0)+F58,F58)*(30+G58)*100+F58,0)=AA58,1,0))))))</f>
        <v>0</v>
      </c>
      <c r="AC58" s="69" t="str">
        <f>IF(X58&gt;0,"A"&amp;X58,IF(Z58&gt;0,"B"&amp;Z58,IF(AB58&gt;0,"C"&amp;AB58,"")))</f>
        <v/>
      </c>
    </row>
    <row r="59" spans="1:29" ht="20.100000000000001" customHeight="1">
      <c r="A59" s="14" t="s">
        <v>95</v>
      </c>
      <c r="B59" s="15" t="s">
        <v>97</v>
      </c>
      <c r="C59" s="16" t="str">
        <f>IFERROR(INDEX(EJERCICIOS!$D$3:$D$75,MATCH(A59&amp;"|"&amp;B59,EJERCICIOS!$G$3:$G$75,0)),"--")</f>
        <v>polea</v>
      </c>
      <c r="D59" s="17">
        <v>3</v>
      </c>
      <c r="E59" s="18">
        <f>IFERROR(LOOKUP(2,1/(MEDIDAS_Y_PESO!$B$3:$B$5&lt;&gt;""),MEDIDAS_Y_PESO!$B$3:$B$5),"--")</f>
        <v>80</v>
      </c>
      <c r="F59" s="19"/>
      <c r="G59" s="20"/>
      <c r="H59" s="21"/>
      <c r="I59" s="19"/>
      <c r="J59" s="20"/>
      <c r="K59" s="21"/>
      <c r="L59" s="19"/>
      <c r="M59" s="20"/>
      <c r="N59" s="21"/>
      <c r="O59" s="19"/>
      <c r="P59" s="20"/>
      <c r="Q59" s="21"/>
      <c r="R59" s="19"/>
      <c r="S59" s="20"/>
      <c r="T59" s="21"/>
      <c r="U59" s="22" t="str">
        <f>IFERROR(IF(IF(X59&gt;0,X59,IF(Z59&gt;0,Z59,IF(AB59&gt;0,AB59,0)))=0,"--",ROUND(CHOOSE(IF(X59&gt;0,X59,IF(Z59&gt;0,Z59,IF(AB59&gt;0,AB59,0))),IF(C59="peso_corporal",IF(ISNUMBER(E59),E59,0)+F59,F59)*(1+G59/30),IF(C59="peso_corporal",IF(ISNUMBER(E59),E59,0)+I59,I59)*(1+J59/30),IF(C59="peso_corporal",IF(ISNUMBER(E59),E59,0)+L59,L59)*(1+M59/30),IF(C59="peso_corporal",IF(ISNUMBER(E59),E59,0)+O59,O59)*(1+P59/30),IF(C59="peso_corporal",IF(ISNUMBER(E59),E59,0)+R59,R59)*(1+S59/30)),1)),"--")</f>
        <v>--</v>
      </c>
      <c r="V59" s="23" t="str">
        <f>IF(SUGERENCIAS!N144="SIN","Sin datos anteriores",IF(SUGERENCIAS!N144="SUBIR_F","^ SUBIR FUERTE | Kg:"&amp;ROUND(SUGERENCIAS!K144,1)&amp;" R:"&amp;ROUND(SUGERENCIAS!L144,0)&amp;" RIR:"&amp;ROUND(SUGERENCIAS!M144,0),IF(SUGERENCIAS!N144="SUBIR_E","^ SUBIR (Est.) | Kg:"&amp;ROUND(SUGERENCIAS!K144,1)&amp;" R:"&amp;ROUND(SUGERENCIAS!L144,0)&amp;" RIR:"&amp;ROUND(SUGERENCIAS!M144,0),IF(SUGERENCIAS!N144="SUBIR","^ SUBIR | Kg:"&amp;ROUND(SUGERENCIAS!K144,1)&amp;" R:"&amp;ROUND(SUGERENCIAS!L144,0)&amp;" RIR:"&amp;ROUND(SUGERENCIAS!M144,0),IF(SUGERENCIAS!N144="BAJAR","v BAJAR | Kg:"&amp;ROUND(SUGERENCIAS!K144,1)&amp;" R:"&amp;ROUND(SUGERENCIAS!L144,0)&amp;" RIR:"&amp;ROUND(SUGERENCIAS!M144,0),"= MANT | Kg:"&amp;ROUND(SUGERENCIAS!K144,1)&amp;" R:"&amp;ROUND(SUGERENCIAS!L144,0)&amp;" RIR:"&amp;ROUND(SUGERENCIAS!M144,0))))))</f>
        <v>Sin datos anteriores</v>
      </c>
      <c r="W59" s="69">
        <f>MAX(IF((G59&gt;0)*(IF(H59="",-1,H59)&gt;=0)*(IF(H59="",-1,H59)&lt;=1),IF(C59="peso_corporal",IF(ISNUMBER(E59),E59,0)+F59,F59)*G59*1000+F59,0),IF((J59&gt;0)*(IF(K59="",-1,K59)&gt;=0)*(IF(K59="",-1,K59)&lt;=1),IF(C59="peso_corporal",IF(ISNUMBER(E59),E59,0)+I59,I59)*J59*1000+I59,0),IF((M59&gt;0)*(IF(N59="",-1,N59)&gt;=0)*(IF(N59="",-1,N59)&lt;=1),IF(C59="peso_corporal",IF(ISNUMBER(E59),E59,0)+L59,L59)*M59*1000+L59,0),IF((P59&gt;0)*(IF(Q59="",-1,Q59)&gt;=0)*(IF(Q59="",-1,Q59)&lt;=1),IF(C59="peso_corporal",IF(ISNUMBER(E59),E59,0)+O59,O59)*P59*1000+O59,0),IF((S59&gt;0)*(IF(T59="",-1,T59)&gt;=0)*(IF(T59="",-1,T59)&lt;=1),IF(C59="peso_corporal",IF(ISNUMBER(E59),E59,0)+R59,R59)*S59*1000+R59,0))</f>
        <v>0</v>
      </c>
      <c r="X59" s="69">
        <f>IF(W59=0,0,IF(IF((S59&gt;0)*(IF(T59="",-1,T59)&gt;=0)*(IF(T59="",-1,T59)&lt;=1),IF(C59="peso_corporal",IF(ISNUMBER(E59),E59,0)+R59,R59)*S59*1000+R59,0)=W59,5,IF(IF((P59&gt;0)*(IF(Q59="",-1,Q59)&gt;=0)*(IF(Q59="",-1,Q59)&lt;=1),IF(C59="peso_corporal",IF(ISNUMBER(E59),E59,0)+O59,O59)*P59*1000+O59,0)=W59,4,IF(IF((M59&gt;0)*(IF(N59="",-1,N59)&gt;=0)*(IF(N59="",-1,N59)&lt;=1),IF(C59="peso_corporal",IF(ISNUMBER(E59),E59,0)+L59,L59)*M59*1000+L59,0)=W59,3,IF(IF((J59&gt;0)*(IF(K59="",-1,K59)&gt;=0)*(IF(K59="",-1,K59)&lt;=1),IF(C59="peso_corporal",IF(ISNUMBER(E59),E59,0)+I59,I59)*J59*1000+I59,0)=W59,2,IF(IF((G59&gt;0)*(IF(H59="",-1,H59)&gt;=0)*(IF(H59="",-1,H59)&lt;=1),IF(C59="peso_corporal",IF(ISNUMBER(E59),E59,0)+F59,F59)*G59*1000+F59,0)=W59,1,0))))))</f>
        <v>0</v>
      </c>
      <c r="Y59" s="69">
        <f>MAX(IF((G59&gt;0)*(IF(H59="",-1,H59)=0)*(1-(IF(H59="",-1,H59)&gt;=0)*(IF(H59="",-1,H59)&lt;=1)),IF(C59="peso_corporal",IF(ISNUMBER(E59),E59,0)+F59,F59)*G59*1000+F59,0),IF((J59&gt;0)*(IF(K59="",-1,K59)=0)*(1-(IF(K59="",-1,K59)&gt;=0)*(IF(K59="",-1,K59)&lt;=1)),IF(C59="peso_corporal",IF(ISNUMBER(E59),E59,0)+I59,I59)*J59*1000+I59,0),IF((M59&gt;0)*(IF(N59="",-1,N59)=0)*(1-(IF(N59="",-1,N59)&gt;=0)*(IF(N59="",-1,N59)&lt;=1)),IF(C59="peso_corporal",IF(ISNUMBER(E59),E59,0)+L59,L59)*M59*1000+L59,0),IF((P59&gt;0)*(IF(Q59="",-1,Q59)=0)*(1-(IF(Q59="",-1,Q59)&gt;=0)*(IF(Q59="",-1,Q59)&lt;=1)),IF(C59="peso_corporal",IF(ISNUMBER(E59),E59,0)+O59,O59)*P59*1000+O59,0),IF((S59&gt;0)*(IF(T59="",-1,T59)=0)*(1-(IF(T59="",-1,T59)&gt;=0)*(IF(T59="",-1,T59)&lt;=1)),IF(C59="peso_corporal",IF(ISNUMBER(E59),E59,0)+R59,R59)*S59*1000+R59,0))</f>
        <v>0</v>
      </c>
      <c r="Z59" s="69">
        <f>IF(Y59=0,0,IF(IF((S59&gt;0)*(IF(T59="",-1,T59)=0)*(1-(IF(T59="",-1,T59)&gt;=0)*(IF(T59="",-1,T59)&lt;=1)),IF(C59="peso_corporal",IF(ISNUMBER(E59),E59,0)+R59,R59)*S59*1000+R59,0)=Y59,5,IF(IF((P59&gt;0)*(IF(Q59="",-1,Q59)=0)*(1-(IF(Q59="",-1,Q59)&gt;=0)*(IF(Q59="",-1,Q59)&lt;=1)),IF(C59="peso_corporal",IF(ISNUMBER(E59),E59,0)+O59,O59)*P59*1000+O59,0)=Y59,4,IF(IF((M59&gt;0)*(IF(N59="",-1,N59)=0)*(1-(IF(N59="",-1,N59)&gt;=0)*(IF(N59="",-1,N59)&lt;=1)),IF(C59="peso_corporal",IF(ISNUMBER(E59),E59,0)+L59,L59)*M59*1000+L59,0)=Y59,3,IF(IF((J59&gt;0)*(IF(K59="",-1,K59)=0)*(1-(IF(K59="",-1,K59)&gt;=0)*(IF(K59="",-1,K59)&lt;=1)),IF(C59="peso_corporal",IF(ISNUMBER(E59),E59,0)+I59,I59)*J59*1000+I59,0)=Y59,2,IF(IF((G59&gt;0)*(IF(H59="",-1,H59)=0)*(1-(IF(H59="",-1,H59)&gt;=0)*(IF(H59="",-1,H59)&lt;=1)),IF(C59="peso_corporal",IF(ISNUMBER(E59),E59,0)+F59,F59)*G59*1000+F59,0)=Y59,1,0))))))</f>
        <v>0</v>
      </c>
      <c r="AA59" s="69">
        <f>MAX(IF((G59&gt;=3)*(1-(IF(H59="",-1,H59)&gt;=0)*(IF(H59="",-1,H59)&lt;=1))*(1-(IF(H59="",-1,H59)=0)),IF(C59="peso_corporal",IF(ISNUMBER(E59),E59,0)+F59,F59)*(30+G59)*100+F59,0),IF((J59&gt;=3)*(1-(IF(K59="",-1,K59)&gt;=0)*(IF(K59="",-1,K59)&lt;=1))*(1-(IF(K59="",-1,K59)=0)),IF(C59="peso_corporal",IF(ISNUMBER(E59),E59,0)+I59,I59)*(30+J59)*100+I59,0),IF((M59&gt;=3)*(1-(IF(N59="",-1,N59)&gt;=0)*(IF(N59="",-1,N59)&lt;=1))*(1-(IF(N59="",-1,N59)=0)),IF(C59="peso_corporal",IF(ISNUMBER(E59),E59,0)+L59,L59)*(30+M59)*100+L59,0),IF((P59&gt;=3)*(1-(IF(Q59="",-1,Q59)&gt;=0)*(IF(Q59="",-1,Q59)&lt;=1))*(1-(IF(Q59="",-1,Q59)=0)),IF(C59="peso_corporal",IF(ISNUMBER(E59),E59,0)+O59,O59)*(30+P59)*100+O59,0),IF((S59&gt;=3)*(1-(IF(T59="",-1,T59)&gt;=0)*(IF(T59="",-1,T59)&lt;=1))*(1-(IF(T59="",-1,T59)=0)),IF(C59="peso_corporal",IF(ISNUMBER(E59),E59,0)+R59,R59)*(30+S59)*100+R59,0))</f>
        <v>0</v>
      </c>
      <c r="AB59" s="69">
        <f>IF(AA59=0,0,IF(IF((S59&gt;=3)*(1-(IF(T59="",-1,T59)&gt;=0)*(IF(T59="",-1,T59)&lt;=1))*(1-(IF(T59="",-1,T59)=0)),IF(C59="peso_corporal",IF(ISNUMBER(E59),E59,0)+R59,R59)*(30+S59)*100+R59,0)=AA59,5,IF(IF((P59&gt;=3)*(1-(IF(Q59="",-1,Q59)&gt;=0)*(IF(Q59="",-1,Q59)&lt;=1))*(1-(IF(Q59="",-1,Q59)=0)),IF(C59="peso_corporal",IF(ISNUMBER(E59),E59,0)+O59,O59)*(30+P59)*100+O59,0)=AA59,4,IF(IF((M59&gt;=3)*(1-(IF(N59="",-1,N59)&gt;=0)*(IF(N59="",-1,N59)&lt;=1))*(1-(IF(N59="",-1,N59)=0)),IF(C59="peso_corporal",IF(ISNUMBER(E59),E59,0)+L59,L59)*(30+M59)*100+L59,0)=AA59,3,IF(IF((J59&gt;=3)*(1-(IF(K59="",-1,K59)&gt;=0)*(IF(K59="",-1,K59)&lt;=1))*(1-(IF(K59="",-1,K59)=0)),IF(C59="peso_corporal",IF(ISNUMBER(E59),E59,0)+I59,I59)*(30+J59)*100+I59,0)=AA59,2,IF(IF((G59&gt;=3)*(1-(IF(H59="",-1,H59)&gt;=0)*(IF(H59="",-1,H59)&lt;=1))*(1-(IF(H59="",-1,H59)=0)),IF(C59="peso_corporal",IF(ISNUMBER(E59),E59,0)+F59,F59)*(30+G59)*100+F59,0)=AA59,1,0))))))</f>
        <v>0</v>
      </c>
      <c r="AC59" s="69" t="str">
        <f>IF(X59&gt;0,"A"&amp;X59,IF(Z59&gt;0,"B"&amp;Z59,IF(AB59&gt;0,"C"&amp;AB59,"")))</f>
        <v/>
      </c>
    </row>
    <row r="60" spans="1:29" ht="15" customHeight="1">
      <c r="A60" s="81" t="s">
        <v>53</v>
      </c>
      <c r="B60" s="73"/>
      <c r="C60" s="73"/>
      <c r="D60" s="73"/>
      <c r="E60" s="73"/>
      <c r="F60" s="73"/>
      <c r="G60" s="73"/>
      <c r="H60" s="73"/>
      <c r="I60" s="73"/>
      <c r="J60" s="73"/>
      <c r="K60" s="73"/>
      <c r="L60" s="73"/>
      <c r="M60" s="73"/>
      <c r="N60" s="73"/>
      <c r="O60" s="73"/>
      <c r="P60" s="73"/>
      <c r="Q60" s="73"/>
      <c r="R60" s="73"/>
      <c r="S60" s="73"/>
      <c r="T60" s="73"/>
      <c r="U60" s="73"/>
      <c r="V60" s="73"/>
      <c r="W60" s="69"/>
      <c r="X60" s="69"/>
      <c r="Y60" s="69"/>
      <c r="Z60" s="69"/>
      <c r="AA60" s="69"/>
      <c r="AB60" s="69"/>
      <c r="AC60" s="69"/>
    </row>
    <row r="61" spans="1:29" ht="20.100000000000001" customHeight="1">
      <c r="A61" s="14" t="s">
        <v>54</v>
      </c>
      <c r="B61" s="15" t="s">
        <v>67</v>
      </c>
      <c r="C61" s="16" t="str">
        <f>IFERROR(INDEX(EJERCICIOS!$D$3:$D$75,MATCH(A61&amp;"|"&amp;B61,EJERCICIOS!$G$3:$G$75,0)),"--")</f>
        <v>mancuerna</v>
      </c>
      <c r="D61" s="17">
        <v>3</v>
      </c>
      <c r="E61" s="18">
        <f>IFERROR(LOOKUP(2,1/(MEDIDAS_Y_PESO!$B$3:$B$5&lt;&gt;""),MEDIDAS_Y_PESO!$B$3:$B$5),"--")</f>
        <v>80</v>
      </c>
      <c r="F61" s="19"/>
      <c r="G61" s="20"/>
      <c r="H61" s="21"/>
      <c r="I61" s="19"/>
      <c r="J61" s="20"/>
      <c r="K61" s="21"/>
      <c r="L61" s="19"/>
      <c r="M61" s="20"/>
      <c r="N61" s="21"/>
      <c r="O61" s="19"/>
      <c r="P61" s="20"/>
      <c r="Q61" s="21"/>
      <c r="R61" s="19"/>
      <c r="S61" s="20"/>
      <c r="T61" s="21"/>
      <c r="U61" s="22" t="str">
        <f>IFERROR(IF(IF(X61&gt;0,X61,IF(Z61&gt;0,Z61,IF(AB61&gt;0,AB61,0)))=0,"--",ROUND(CHOOSE(IF(X61&gt;0,X61,IF(Z61&gt;0,Z61,IF(AB61&gt;0,AB61,0))),IF(C61="peso_corporal",IF(ISNUMBER(E61),E61,0)+F61,F61)*(1+G61/30),IF(C61="peso_corporal",IF(ISNUMBER(E61),E61,0)+I61,I61)*(1+J61/30),IF(C61="peso_corporal",IF(ISNUMBER(E61),E61,0)+L61,L61)*(1+M61/30),IF(C61="peso_corporal",IF(ISNUMBER(E61),E61,0)+O61,O61)*(1+P61/30),IF(C61="peso_corporal",IF(ISNUMBER(E61),E61,0)+R61,R61)*(1+S61/30)),1)),"--")</f>
        <v>--</v>
      </c>
      <c r="V61" s="23" t="str">
        <f>IF(SUGERENCIAS!N145="SIN","Sin datos anteriores",IF(SUGERENCIAS!N145="SUBIR_F","^ SUBIR FUERTE | Kg:"&amp;ROUND(SUGERENCIAS!K145,1)&amp;" R:"&amp;ROUND(SUGERENCIAS!L145,0)&amp;" RIR:"&amp;ROUND(SUGERENCIAS!M145,0),IF(SUGERENCIAS!N145="SUBIR_E","^ SUBIR (Est.) | Kg:"&amp;ROUND(SUGERENCIAS!K145,1)&amp;" R:"&amp;ROUND(SUGERENCIAS!L145,0)&amp;" RIR:"&amp;ROUND(SUGERENCIAS!M145,0),IF(SUGERENCIAS!N145="SUBIR","^ SUBIR | Kg:"&amp;ROUND(SUGERENCIAS!K145,1)&amp;" R:"&amp;ROUND(SUGERENCIAS!L145,0)&amp;" RIR:"&amp;ROUND(SUGERENCIAS!M145,0),IF(SUGERENCIAS!N145="BAJAR","v BAJAR | Kg:"&amp;ROUND(SUGERENCIAS!K145,1)&amp;" R:"&amp;ROUND(SUGERENCIAS!L145,0)&amp;" RIR:"&amp;ROUND(SUGERENCIAS!M145,0),"= MANT | Kg:"&amp;ROUND(SUGERENCIAS!K145,1)&amp;" R:"&amp;ROUND(SUGERENCIAS!L145,0)&amp;" RIR:"&amp;ROUND(SUGERENCIAS!M145,0))))))</f>
        <v>Sin datos anteriores</v>
      </c>
      <c r="W61" s="69">
        <f>MAX(IF((G61&gt;0)*(IF(H61="",-1,H61)&gt;=0)*(IF(H61="",-1,H61)&lt;=1),IF(C61="peso_corporal",IF(ISNUMBER(E61),E61,0)+F61,F61)*G61*1000+F61,0),IF((J61&gt;0)*(IF(K61="",-1,K61)&gt;=0)*(IF(K61="",-1,K61)&lt;=1),IF(C61="peso_corporal",IF(ISNUMBER(E61),E61,0)+I61,I61)*J61*1000+I61,0),IF((M61&gt;0)*(IF(N61="",-1,N61)&gt;=0)*(IF(N61="",-1,N61)&lt;=1),IF(C61="peso_corporal",IF(ISNUMBER(E61),E61,0)+L61,L61)*M61*1000+L61,0),IF((P61&gt;0)*(IF(Q61="",-1,Q61)&gt;=0)*(IF(Q61="",-1,Q61)&lt;=1),IF(C61="peso_corporal",IF(ISNUMBER(E61),E61,0)+O61,O61)*P61*1000+O61,0),IF((S61&gt;0)*(IF(T61="",-1,T61)&gt;=0)*(IF(T61="",-1,T61)&lt;=1),IF(C61="peso_corporal",IF(ISNUMBER(E61),E61,0)+R61,R61)*S61*1000+R61,0))</f>
        <v>0</v>
      </c>
      <c r="X61" s="69">
        <f>IF(W61=0,0,IF(IF((S61&gt;0)*(IF(T61="",-1,T61)&gt;=0)*(IF(T61="",-1,T61)&lt;=1),IF(C61="peso_corporal",IF(ISNUMBER(E61),E61,0)+R61,R61)*S61*1000+R61,0)=W61,5,IF(IF((P61&gt;0)*(IF(Q61="",-1,Q61)&gt;=0)*(IF(Q61="",-1,Q61)&lt;=1),IF(C61="peso_corporal",IF(ISNUMBER(E61),E61,0)+O61,O61)*P61*1000+O61,0)=W61,4,IF(IF((M61&gt;0)*(IF(N61="",-1,N61)&gt;=0)*(IF(N61="",-1,N61)&lt;=1),IF(C61="peso_corporal",IF(ISNUMBER(E61),E61,0)+L61,L61)*M61*1000+L61,0)=W61,3,IF(IF((J61&gt;0)*(IF(K61="",-1,K61)&gt;=0)*(IF(K61="",-1,K61)&lt;=1),IF(C61="peso_corporal",IF(ISNUMBER(E61),E61,0)+I61,I61)*J61*1000+I61,0)=W61,2,IF(IF((G61&gt;0)*(IF(H61="",-1,H61)&gt;=0)*(IF(H61="",-1,H61)&lt;=1),IF(C61="peso_corporal",IF(ISNUMBER(E61),E61,0)+F61,F61)*G61*1000+F61,0)=W61,1,0))))))</f>
        <v>0</v>
      </c>
      <c r="Y61" s="69">
        <f>MAX(IF((G61&gt;0)*(IF(H61="",-1,H61)=0)*(1-(IF(H61="",-1,H61)&gt;=0)*(IF(H61="",-1,H61)&lt;=1)),IF(C61="peso_corporal",IF(ISNUMBER(E61),E61,0)+F61,F61)*G61*1000+F61,0),IF((J61&gt;0)*(IF(K61="",-1,K61)=0)*(1-(IF(K61="",-1,K61)&gt;=0)*(IF(K61="",-1,K61)&lt;=1)),IF(C61="peso_corporal",IF(ISNUMBER(E61),E61,0)+I61,I61)*J61*1000+I61,0),IF((M61&gt;0)*(IF(N61="",-1,N61)=0)*(1-(IF(N61="",-1,N61)&gt;=0)*(IF(N61="",-1,N61)&lt;=1)),IF(C61="peso_corporal",IF(ISNUMBER(E61),E61,0)+L61,L61)*M61*1000+L61,0),IF((P61&gt;0)*(IF(Q61="",-1,Q61)=0)*(1-(IF(Q61="",-1,Q61)&gt;=0)*(IF(Q61="",-1,Q61)&lt;=1)),IF(C61="peso_corporal",IF(ISNUMBER(E61),E61,0)+O61,O61)*P61*1000+O61,0),IF((S61&gt;0)*(IF(T61="",-1,T61)=0)*(1-(IF(T61="",-1,T61)&gt;=0)*(IF(T61="",-1,T61)&lt;=1)),IF(C61="peso_corporal",IF(ISNUMBER(E61),E61,0)+R61,R61)*S61*1000+R61,0))</f>
        <v>0</v>
      </c>
      <c r="Z61" s="69">
        <f>IF(Y61=0,0,IF(IF((S61&gt;0)*(IF(T61="",-1,T61)=0)*(1-(IF(T61="",-1,T61)&gt;=0)*(IF(T61="",-1,T61)&lt;=1)),IF(C61="peso_corporal",IF(ISNUMBER(E61),E61,0)+R61,R61)*S61*1000+R61,0)=Y61,5,IF(IF((P61&gt;0)*(IF(Q61="",-1,Q61)=0)*(1-(IF(Q61="",-1,Q61)&gt;=0)*(IF(Q61="",-1,Q61)&lt;=1)),IF(C61="peso_corporal",IF(ISNUMBER(E61),E61,0)+O61,O61)*P61*1000+O61,0)=Y61,4,IF(IF((M61&gt;0)*(IF(N61="",-1,N61)=0)*(1-(IF(N61="",-1,N61)&gt;=0)*(IF(N61="",-1,N61)&lt;=1)),IF(C61="peso_corporal",IF(ISNUMBER(E61),E61,0)+L61,L61)*M61*1000+L61,0)=Y61,3,IF(IF((J61&gt;0)*(IF(K61="",-1,K61)=0)*(1-(IF(K61="",-1,K61)&gt;=0)*(IF(K61="",-1,K61)&lt;=1)),IF(C61="peso_corporal",IF(ISNUMBER(E61),E61,0)+I61,I61)*J61*1000+I61,0)=Y61,2,IF(IF((G61&gt;0)*(IF(H61="",-1,H61)=0)*(1-(IF(H61="",-1,H61)&gt;=0)*(IF(H61="",-1,H61)&lt;=1)),IF(C61="peso_corporal",IF(ISNUMBER(E61),E61,0)+F61,F61)*G61*1000+F61,0)=Y61,1,0))))))</f>
        <v>0</v>
      </c>
      <c r="AA61" s="69">
        <f>MAX(IF((G61&gt;=3)*(1-(IF(H61="",-1,H61)&gt;=0)*(IF(H61="",-1,H61)&lt;=1))*(1-(IF(H61="",-1,H61)=0)),IF(C61="peso_corporal",IF(ISNUMBER(E61),E61,0)+F61,F61)*(30+G61)*100+F61,0),IF((J61&gt;=3)*(1-(IF(K61="",-1,K61)&gt;=0)*(IF(K61="",-1,K61)&lt;=1))*(1-(IF(K61="",-1,K61)=0)),IF(C61="peso_corporal",IF(ISNUMBER(E61),E61,0)+I61,I61)*(30+J61)*100+I61,0),IF((M61&gt;=3)*(1-(IF(N61="",-1,N61)&gt;=0)*(IF(N61="",-1,N61)&lt;=1))*(1-(IF(N61="",-1,N61)=0)),IF(C61="peso_corporal",IF(ISNUMBER(E61),E61,0)+L61,L61)*(30+M61)*100+L61,0),IF((P61&gt;=3)*(1-(IF(Q61="",-1,Q61)&gt;=0)*(IF(Q61="",-1,Q61)&lt;=1))*(1-(IF(Q61="",-1,Q61)=0)),IF(C61="peso_corporal",IF(ISNUMBER(E61),E61,0)+O61,O61)*(30+P61)*100+O61,0),IF((S61&gt;=3)*(1-(IF(T61="",-1,T61)&gt;=0)*(IF(T61="",-1,T61)&lt;=1))*(1-(IF(T61="",-1,T61)=0)),IF(C61="peso_corporal",IF(ISNUMBER(E61),E61,0)+R61,R61)*(30+S61)*100+R61,0))</f>
        <v>0</v>
      </c>
      <c r="AB61" s="69">
        <f>IF(AA61=0,0,IF(IF((S61&gt;=3)*(1-(IF(T61="",-1,T61)&gt;=0)*(IF(T61="",-1,T61)&lt;=1))*(1-(IF(T61="",-1,T61)=0)),IF(C61="peso_corporal",IF(ISNUMBER(E61),E61,0)+R61,R61)*(30+S61)*100+R61,0)=AA61,5,IF(IF((P61&gt;=3)*(1-(IF(Q61="",-1,Q61)&gt;=0)*(IF(Q61="",-1,Q61)&lt;=1))*(1-(IF(Q61="",-1,Q61)=0)),IF(C61="peso_corporal",IF(ISNUMBER(E61),E61,0)+O61,O61)*(30+P61)*100+O61,0)=AA61,4,IF(IF((M61&gt;=3)*(1-(IF(N61="",-1,N61)&gt;=0)*(IF(N61="",-1,N61)&lt;=1))*(1-(IF(N61="",-1,N61)=0)),IF(C61="peso_corporal",IF(ISNUMBER(E61),E61,0)+L61,L61)*(30+M61)*100+L61,0)=AA61,3,IF(IF((J61&gt;=3)*(1-(IF(K61="",-1,K61)&gt;=0)*(IF(K61="",-1,K61)&lt;=1))*(1-(IF(K61="",-1,K61)=0)),IF(C61="peso_corporal",IF(ISNUMBER(E61),E61,0)+I61,I61)*(30+J61)*100+I61,0)=AA61,2,IF(IF((G61&gt;=3)*(1-(IF(H61="",-1,H61)&gt;=0)*(IF(H61="",-1,H61)&lt;=1))*(1-(IF(H61="",-1,H61)=0)),IF(C61="peso_corporal",IF(ISNUMBER(E61),E61,0)+F61,F61)*(30+G61)*100+F61,0)=AA61,1,0))))))</f>
        <v>0</v>
      </c>
      <c r="AC61" s="69" t="str">
        <f>IF(X61&gt;0,"A"&amp;X61,IF(Z61&gt;0,"B"&amp;Z61,IF(AB61&gt;0,"C"&amp;AB61,"")))</f>
        <v/>
      </c>
    </row>
    <row r="62" spans="1:29" ht="20.100000000000001" customHeight="1">
      <c r="A62" s="14" t="s">
        <v>54</v>
      </c>
      <c r="B62" s="15" t="s">
        <v>98</v>
      </c>
      <c r="C62" s="16" t="str">
        <f>IFERROR(INDEX(EJERCICIOS!$D$3:$D$75,MATCH(A62&amp;"|"&amp;B62,EJERCICIOS!$G$3:$G$75,0)),"--")</f>
        <v>polea</v>
      </c>
      <c r="D62" s="17">
        <v>3</v>
      </c>
      <c r="E62" s="18">
        <f>IFERROR(LOOKUP(2,1/(MEDIDAS_Y_PESO!$B$3:$B$5&lt;&gt;""),MEDIDAS_Y_PESO!$B$3:$B$5),"--")</f>
        <v>80</v>
      </c>
      <c r="F62" s="19"/>
      <c r="G62" s="20"/>
      <c r="H62" s="21"/>
      <c r="I62" s="19"/>
      <c r="J62" s="20"/>
      <c r="K62" s="21"/>
      <c r="L62" s="19"/>
      <c r="M62" s="20"/>
      <c r="N62" s="21"/>
      <c r="O62" s="19"/>
      <c r="P62" s="20"/>
      <c r="Q62" s="21"/>
      <c r="R62" s="19"/>
      <c r="S62" s="20"/>
      <c r="T62" s="21"/>
      <c r="U62" s="22" t="str">
        <f>IFERROR(IF(IF(X62&gt;0,X62,IF(Z62&gt;0,Z62,IF(AB62&gt;0,AB62,0)))=0,"--",ROUND(CHOOSE(IF(X62&gt;0,X62,IF(Z62&gt;0,Z62,IF(AB62&gt;0,AB62,0))),IF(C62="peso_corporal",IF(ISNUMBER(E62),E62,0)+F62,F62)*(1+G62/30),IF(C62="peso_corporal",IF(ISNUMBER(E62),E62,0)+I62,I62)*(1+J62/30),IF(C62="peso_corporal",IF(ISNUMBER(E62),E62,0)+L62,L62)*(1+M62/30),IF(C62="peso_corporal",IF(ISNUMBER(E62),E62,0)+O62,O62)*(1+P62/30),IF(C62="peso_corporal",IF(ISNUMBER(E62),E62,0)+R62,R62)*(1+S62/30)),1)),"--")</f>
        <v>--</v>
      </c>
      <c r="V62" s="23" t="str">
        <f>IF(SUGERENCIAS!N146="SIN","Sin datos anteriores",IF(SUGERENCIAS!N146="SUBIR_F","^ SUBIR FUERTE | Kg:"&amp;ROUND(SUGERENCIAS!K146,1)&amp;" R:"&amp;ROUND(SUGERENCIAS!L146,0)&amp;" RIR:"&amp;ROUND(SUGERENCIAS!M146,0),IF(SUGERENCIAS!N146="SUBIR_E","^ SUBIR (Est.) | Kg:"&amp;ROUND(SUGERENCIAS!K146,1)&amp;" R:"&amp;ROUND(SUGERENCIAS!L146,0)&amp;" RIR:"&amp;ROUND(SUGERENCIAS!M146,0),IF(SUGERENCIAS!N146="SUBIR","^ SUBIR | Kg:"&amp;ROUND(SUGERENCIAS!K146,1)&amp;" R:"&amp;ROUND(SUGERENCIAS!L146,0)&amp;" RIR:"&amp;ROUND(SUGERENCIAS!M146,0),IF(SUGERENCIAS!N146="BAJAR","v BAJAR | Kg:"&amp;ROUND(SUGERENCIAS!K146,1)&amp;" R:"&amp;ROUND(SUGERENCIAS!L146,0)&amp;" RIR:"&amp;ROUND(SUGERENCIAS!M146,0),"= MANT | Kg:"&amp;ROUND(SUGERENCIAS!K146,1)&amp;" R:"&amp;ROUND(SUGERENCIAS!L146,0)&amp;" RIR:"&amp;ROUND(SUGERENCIAS!M146,0))))))</f>
        <v>Sin datos anteriores</v>
      </c>
      <c r="W62" s="69">
        <f>MAX(IF((G62&gt;0)*(IF(H62="",-1,H62)&gt;=0)*(IF(H62="",-1,H62)&lt;=1),IF(C62="peso_corporal",IF(ISNUMBER(E62),E62,0)+F62,F62)*G62*1000+F62,0),IF((J62&gt;0)*(IF(K62="",-1,K62)&gt;=0)*(IF(K62="",-1,K62)&lt;=1),IF(C62="peso_corporal",IF(ISNUMBER(E62),E62,0)+I62,I62)*J62*1000+I62,0),IF((M62&gt;0)*(IF(N62="",-1,N62)&gt;=0)*(IF(N62="",-1,N62)&lt;=1),IF(C62="peso_corporal",IF(ISNUMBER(E62),E62,0)+L62,L62)*M62*1000+L62,0),IF((P62&gt;0)*(IF(Q62="",-1,Q62)&gt;=0)*(IF(Q62="",-1,Q62)&lt;=1),IF(C62="peso_corporal",IF(ISNUMBER(E62),E62,0)+O62,O62)*P62*1000+O62,0),IF((S62&gt;0)*(IF(T62="",-1,T62)&gt;=0)*(IF(T62="",-1,T62)&lt;=1),IF(C62="peso_corporal",IF(ISNUMBER(E62),E62,0)+R62,R62)*S62*1000+R62,0))</f>
        <v>0</v>
      </c>
      <c r="X62" s="69">
        <f>IF(W62=0,0,IF(IF((S62&gt;0)*(IF(T62="",-1,T62)&gt;=0)*(IF(T62="",-1,T62)&lt;=1),IF(C62="peso_corporal",IF(ISNUMBER(E62),E62,0)+R62,R62)*S62*1000+R62,0)=W62,5,IF(IF((P62&gt;0)*(IF(Q62="",-1,Q62)&gt;=0)*(IF(Q62="",-1,Q62)&lt;=1),IF(C62="peso_corporal",IF(ISNUMBER(E62),E62,0)+O62,O62)*P62*1000+O62,0)=W62,4,IF(IF((M62&gt;0)*(IF(N62="",-1,N62)&gt;=0)*(IF(N62="",-1,N62)&lt;=1),IF(C62="peso_corporal",IF(ISNUMBER(E62),E62,0)+L62,L62)*M62*1000+L62,0)=W62,3,IF(IF((J62&gt;0)*(IF(K62="",-1,K62)&gt;=0)*(IF(K62="",-1,K62)&lt;=1),IF(C62="peso_corporal",IF(ISNUMBER(E62),E62,0)+I62,I62)*J62*1000+I62,0)=W62,2,IF(IF((G62&gt;0)*(IF(H62="",-1,H62)&gt;=0)*(IF(H62="",-1,H62)&lt;=1),IF(C62="peso_corporal",IF(ISNUMBER(E62),E62,0)+F62,F62)*G62*1000+F62,0)=W62,1,0))))))</f>
        <v>0</v>
      </c>
      <c r="Y62" s="69">
        <f>MAX(IF((G62&gt;0)*(IF(H62="",-1,H62)=0)*(1-(IF(H62="",-1,H62)&gt;=0)*(IF(H62="",-1,H62)&lt;=1)),IF(C62="peso_corporal",IF(ISNUMBER(E62),E62,0)+F62,F62)*G62*1000+F62,0),IF((J62&gt;0)*(IF(K62="",-1,K62)=0)*(1-(IF(K62="",-1,K62)&gt;=0)*(IF(K62="",-1,K62)&lt;=1)),IF(C62="peso_corporal",IF(ISNUMBER(E62),E62,0)+I62,I62)*J62*1000+I62,0),IF((M62&gt;0)*(IF(N62="",-1,N62)=0)*(1-(IF(N62="",-1,N62)&gt;=0)*(IF(N62="",-1,N62)&lt;=1)),IF(C62="peso_corporal",IF(ISNUMBER(E62),E62,0)+L62,L62)*M62*1000+L62,0),IF((P62&gt;0)*(IF(Q62="",-1,Q62)=0)*(1-(IF(Q62="",-1,Q62)&gt;=0)*(IF(Q62="",-1,Q62)&lt;=1)),IF(C62="peso_corporal",IF(ISNUMBER(E62),E62,0)+O62,O62)*P62*1000+O62,0),IF((S62&gt;0)*(IF(T62="",-1,T62)=0)*(1-(IF(T62="",-1,T62)&gt;=0)*(IF(T62="",-1,T62)&lt;=1)),IF(C62="peso_corporal",IF(ISNUMBER(E62),E62,0)+R62,R62)*S62*1000+R62,0))</f>
        <v>0</v>
      </c>
      <c r="Z62" s="69">
        <f>IF(Y62=0,0,IF(IF((S62&gt;0)*(IF(T62="",-1,T62)=0)*(1-(IF(T62="",-1,T62)&gt;=0)*(IF(T62="",-1,T62)&lt;=1)),IF(C62="peso_corporal",IF(ISNUMBER(E62),E62,0)+R62,R62)*S62*1000+R62,0)=Y62,5,IF(IF((P62&gt;0)*(IF(Q62="",-1,Q62)=0)*(1-(IF(Q62="",-1,Q62)&gt;=0)*(IF(Q62="",-1,Q62)&lt;=1)),IF(C62="peso_corporal",IF(ISNUMBER(E62),E62,0)+O62,O62)*P62*1000+O62,0)=Y62,4,IF(IF((M62&gt;0)*(IF(N62="",-1,N62)=0)*(1-(IF(N62="",-1,N62)&gt;=0)*(IF(N62="",-1,N62)&lt;=1)),IF(C62="peso_corporal",IF(ISNUMBER(E62),E62,0)+L62,L62)*M62*1000+L62,0)=Y62,3,IF(IF((J62&gt;0)*(IF(K62="",-1,K62)=0)*(1-(IF(K62="",-1,K62)&gt;=0)*(IF(K62="",-1,K62)&lt;=1)),IF(C62="peso_corporal",IF(ISNUMBER(E62),E62,0)+I62,I62)*J62*1000+I62,0)=Y62,2,IF(IF((G62&gt;0)*(IF(H62="",-1,H62)=0)*(1-(IF(H62="",-1,H62)&gt;=0)*(IF(H62="",-1,H62)&lt;=1)),IF(C62="peso_corporal",IF(ISNUMBER(E62),E62,0)+F62,F62)*G62*1000+F62,0)=Y62,1,0))))))</f>
        <v>0</v>
      </c>
      <c r="AA62" s="69">
        <f>MAX(IF((G62&gt;=3)*(1-(IF(H62="",-1,H62)&gt;=0)*(IF(H62="",-1,H62)&lt;=1))*(1-(IF(H62="",-1,H62)=0)),IF(C62="peso_corporal",IF(ISNUMBER(E62),E62,0)+F62,F62)*(30+G62)*100+F62,0),IF((J62&gt;=3)*(1-(IF(K62="",-1,K62)&gt;=0)*(IF(K62="",-1,K62)&lt;=1))*(1-(IF(K62="",-1,K62)=0)),IF(C62="peso_corporal",IF(ISNUMBER(E62),E62,0)+I62,I62)*(30+J62)*100+I62,0),IF((M62&gt;=3)*(1-(IF(N62="",-1,N62)&gt;=0)*(IF(N62="",-1,N62)&lt;=1))*(1-(IF(N62="",-1,N62)=0)),IF(C62="peso_corporal",IF(ISNUMBER(E62),E62,0)+L62,L62)*(30+M62)*100+L62,0),IF((P62&gt;=3)*(1-(IF(Q62="",-1,Q62)&gt;=0)*(IF(Q62="",-1,Q62)&lt;=1))*(1-(IF(Q62="",-1,Q62)=0)),IF(C62="peso_corporal",IF(ISNUMBER(E62),E62,0)+O62,O62)*(30+P62)*100+O62,0),IF((S62&gt;=3)*(1-(IF(T62="",-1,T62)&gt;=0)*(IF(T62="",-1,T62)&lt;=1))*(1-(IF(T62="",-1,T62)=0)),IF(C62="peso_corporal",IF(ISNUMBER(E62),E62,0)+R62,R62)*(30+S62)*100+R62,0))</f>
        <v>0</v>
      </c>
      <c r="AB62" s="69">
        <f>IF(AA62=0,0,IF(IF((S62&gt;=3)*(1-(IF(T62="",-1,T62)&gt;=0)*(IF(T62="",-1,T62)&lt;=1))*(1-(IF(T62="",-1,T62)=0)),IF(C62="peso_corporal",IF(ISNUMBER(E62),E62,0)+R62,R62)*(30+S62)*100+R62,0)=AA62,5,IF(IF((P62&gt;=3)*(1-(IF(Q62="",-1,Q62)&gt;=0)*(IF(Q62="",-1,Q62)&lt;=1))*(1-(IF(Q62="",-1,Q62)=0)),IF(C62="peso_corporal",IF(ISNUMBER(E62),E62,0)+O62,O62)*(30+P62)*100+O62,0)=AA62,4,IF(IF((M62&gt;=3)*(1-(IF(N62="",-1,N62)&gt;=0)*(IF(N62="",-1,N62)&lt;=1))*(1-(IF(N62="",-1,N62)=0)),IF(C62="peso_corporal",IF(ISNUMBER(E62),E62,0)+L62,L62)*(30+M62)*100+L62,0)=AA62,3,IF(IF((J62&gt;=3)*(1-(IF(K62="",-1,K62)&gt;=0)*(IF(K62="",-1,K62)&lt;=1))*(1-(IF(K62="",-1,K62)=0)),IF(C62="peso_corporal",IF(ISNUMBER(E62),E62,0)+I62,I62)*(30+J62)*100+I62,0)=AA62,2,IF(IF((G62&gt;=3)*(1-(IF(H62="",-1,H62)&gt;=0)*(IF(H62="",-1,H62)&lt;=1))*(1-(IF(H62="",-1,H62)=0)),IF(C62="peso_corporal",IF(ISNUMBER(E62),E62,0)+F62,F62)*(30+G62)*100+F62,0)=AA62,1,0))))))</f>
        <v>0</v>
      </c>
      <c r="AC62" s="69" t="str">
        <f>IF(X62&gt;0,"A"&amp;X62,IF(Z62&gt;0,"B"&amp;Z62,IF(AB62&gt;0,"C"&amp;AB62,"")))</f>
        <v/>
      </c>
    </row>
    <row r="63" spans="1:29" ht="15" customHeight="1">
      <c r="A63" s="83" t="s">
        <v>99</v>
      </c>
      <c r="B63" s="73"/>
      <c r="C63" s="73"/>
      <c r="D63" s="73"/>
      <c r="E63" s="73"/>
      <c r="F63" s="73"/>
      <c r="G63" s="73"/>
      <c r="H63" s="73"/>
      <c r="I63" s="73"/>
      <c r="J63" s="73"/>
      <c r="K63" s="73"/>
      <c r="L63" s="73"/>
      <c r="M63" s="73"/>
      <c r="N63" s="73"/>
      <c r="O63" s="73"/>
      <c r="P63" s="73"/>
      <c r="Q63" s="73"/>
      <c r="R63" s="73"/>
      <c r="S63" s="73"/>
      <c r="T63" s="73"/>
      <c r="U63" s="73"/>
      <c r="V63" s="73"/>
      <c r="W63" s="69"/>
      <c r="X63" s="69"/>
      <c r="Y63" s="69"/>
      <c r="Z63" s="69"/>
      <c r="AA63" s="69"/>
      <c r="AB63" s="69"/>
      <c r="AC63" s="69"/>
    </row>
    <row r="64" spans="1:29" ht="20.100000000000001" customHeight="1">
      <c r="A64" s="14" t="s">
        <v>100</v>
      </c>
      <c r="B64" s="15" t="s">
        <v>101</v>
      </c>
      <c r="C64" s="16" t="str">
        <f>IFERROR(INDEX(EJERCICIOS!$D$3:$D$75,MATCH(A64&amp;"|"&amp;B64,EJERCICIOS!$G$3:$G$75,0)),"--")</f>
        <v>mancuerna</v>
      </c>
      <c r="D64" s="17">
        <v>3</v>
      </c>
      <c r="E64" s="18">
        <f>IFERROR(LOOKUP(2,1/(MEDIDAS_Y_PESO!$B$3:$B$5&lt;&gt;""),MEDIDAS_Y_PESO!$B$3:$B$5),"--")</f>
        <v>80</v>
      </c>
      <c r="F64" s="19"/>
      <c r="G64" s="20"/>
      <c r="H64" s="21"/>
      <c r="I64" s="19"/>
      <c r="J64" s="20"/>
      <c r="K64" s="21"/>
      <c r="L64" s="19"/>
      <c r="M64" s="20"/>
      <c r="N64" s="21"/>
      <c r="O64" s="19"/>
      <c r="P64" s="20"/>
      <c r="Q64" s="21"/>
      <c r="R64" s="19"/>
      <c r="S64" s="20"/>
      <c r="T64" s="21"/>
      <c r="U64" s="22" t="str">
        <f>IFERROR(IF(IF(X64&gt;0,X64,IF(Z64&gt;0,Z64,IF(AB64&gt;0,AB64,0)))=0,"--",ROUND(CHOOSE(IF(X64&gt;0,X64,IF(Z64&gt;0,Z64,IF(AB64&gt;0,AB64,0))),IF(C64="peso_corporal",IF(ISNUMBER(E64),E64,0)+F64,F64)*(1+G64/30),IF(C64="peso_corporal",IF(ISNUMBER(E64),E64,0)+I64,I64)*(1+J64/30),IF(C64="peso_corporal",IF(ISNUMBER(E64),E64,0)+L64,L64)*(1+M64/30),IF(C64="peso_corporal",IF(ISNUMBER(E64),E64,0)+O64,O64)*(1+P64/30),IF(C64="peso_corporal",IF(ISNUMBER(E64),E64,0)+R64,R64)*(1+S64/30)),1)),"--")</f>
        <v>--</v>
      </c>
      <c r="V64" s="23" t="str">
        <f>IF(SUGERENCIAS!N147="SIN","Sin datos anteriores",IF(SUGERENCIAS!N147="SUBIR_F","^ SUBIR FUERTE | Kg:"&amp;ROUND(SUGERENCIAS!K147,1)&amp;" R:"&amp;ROUND(SUGERENCIAS!L147,0)&amp;" RIR:"&amp;ROUND(SUGERENCIAS!M147,0),IF(SUGERENCIAS!N147="SUBIR_E","^ SUBIR (Est.) | Kg:"&amp;ROUND(SUGERENCIAS!K147,1)&amp;" R:"&amp;ROUND(SUGERENCIAS!L147,0)&amp;" RIR:"&amp;ROUND(SUGERENCIAS!M147,0),IF(SUGERENCIAS!N147="SUBIR","^ SUBIR | Kg:"&amp;ROUND(SUGERENCIAS!K147,1)&amp;" R:"&amp;ROUND(SUGERENCIAS!L147,0)&amp;" RIR:"&amp;ROUND(SUGERENCIAS!M147,0),IF(SUGERENCIAS!N147="BAJAR","v BAJAR | Kg:"&amp;ROUND(SUGERENCIAS!K147,1)&amp;" R:"&amp;ROUND(SUGERENCIAS!L147,0)&amp;" RIR:"&amp;ROUND(SUGERENCIAS!M147,0),"= MANT | Kg:"&amp;ROUND(SUGERENCIAS!K147,1)&amp;" R:"&amp;ROUND(SUGERENCIAS!L147,0)&amp;" RIR:"&amp;ROUND(SUGERENCIAS!M147,0))))))</f>
        <v>Sin datos anteriores</v>
      </c>
      <c r="W64" s="69">
        <f>MAX(IF((G64&gt;0)*(IF(H64="",-1,H64)&gt;=0)*(IF(H64="",-1,H64)&lt;=1),IF(C64="peso_corporal",IF(ISNUMBER(E64),E64,0)+F64,F64)*G64*1000+F64,0),IF((J64&gt;0)*(IF(K64="",-1,K64)&gt;=0)*(IF(K64="",-1,K64)&lt;=1),IF(C64="peso_corporal",IF(ISNUMBER(E64),E64,0)+I64,I64)*J64*1000+I64,0),IF((M64&gt;0)*(IF(N64="",-1,N64)&gt;=0)*(IF(N64="",-1,N64)&lt;=1),IF(C64="peso_corporal",IF(ISNUMBER(E64),E64,0)+L64,L64)*M64*1000+L64,0),IF((P64&gt;0)*(IF(Q64="",-1,Q64)&gt;=0)*(IF(Q64="",-1,Q64)&lt;=1),IF(C64="peso_corporal",IF(ISNUMBER(E64),E64,0)+O64,O64)*P64*1000+O64,0),IF((S64&gt;0)*(IF(T64="",-1,T64)&gt;=0)*(IF(T64="",-1,T64)&lt;=1),IF(C64="peso_corporal",IF(ISNUMBER(E64),E64,0)+R64,R64)*S64*1000+R64,0))</f>
        <v>0</v>
      </c>
      <c r="X64" s="69">
        <f>IF(W64=0,0,IF(IF((S64&gt;0)*(IF(T64="",-1,T64)&gt;=0)*(IF(T64="",-1,T64)&lt;=1),IF(C64="peso_corporal",IF(ISNUMBER(E64),E64,0)+R64,R64)*S64*1000+R64,0)=W64,5,IF(IF((P64&gt;0)*(IF(Q64="",-1,Q64)&gt;=0)*(IF(Q64="",-1,Q64)&lt;=1),IF(C64="peso_corporal",IF(ISNUMBER(E64),E64,0)+O64,O64)*P64*1000+O64,0)=W64,4,IF(IF((M64&gt;0)*(IF(N64="",-1,N64)&gt;=0)*(IF(N64="",-1,N64)&lt;=1),IF(C64="peso_corporal",IF(ISNUMBER(E64),E64,0)+L64,L64)*M64*1000+L64,0)=W64,3,IF(IF((J64&gt;0)*(IF(K64="",-1,K64)&gt;=0)*(IF(K64="",-1,K64)&lt;=1),IF(C64="peso_corporal",IF(ISNUMBER(E64),E64,0)+I64,I64)*J64*1000+I64,0)=W64,2,IF(IF((G64&gt;0)*(IF(H64="",-1,H64)&gt;=0)*(IF(H64="",-1,H64)&lt;=1),IF(C64="peso_corporal",IF(ISNUMBER(E64),E64,0)+F64,F64)*G64*1000+F64,0)=W64,1,0))))))</f>
        <v>0</v>
      </c>
      <c r="Y64" s="69">
        <f>MAX(IF((G64&gt;0)*(IF(H64="",-1,H64)=0)*(1-(IF(H64="",-1,H64)&gt;=0)*(IF(H64="",-1,H64)&lt;=1)),IF(C64="peso_corporal",IF(ISNUMBER(E64),E64,0)+F64,F64)*G64*1000+F64,0),IF((J64&gt;0)*(IF(K64="",-1,K64)=0)*(1-(IF(K64="",-1,K64)&gt;=0)*(IF(K64="",-1,K64)&lt;=1)),IF(C64="peso_corporal",IF(ISNUMBER(E64),E64,0)+I64,I64)*J64*1000+I64,0),IF((M64&gt;0)*(IF(N64="",-1,N64)=0)*(1-(IF(N64="",-1,N64)&gt;=0)*(IF(N64="",-1,N64)&lt;=1)),IF(C64="peso_corporal",IF(ISNUMBER(E64),E64,0)+L64,L64)*M64*1000+L64,0),IF((P64&gt;0)*(IF(Q64="",-1,Q64)=0)*(1-(IF(Q64="",-1,Q64)&gt;=0)*(IF(Q64="",-1,Q64)&lt;=1)),IF(C64="peso_corporal",IF(ISNUMBER(E64),E64,0)+O64,O64)*P64*1000+O64,0),IF((S64&gt;0)*(IF(T64="",-1,T64)=0)*(1-(IF(T64="",-1,T64)&gt;=0)*(IF(T64="",-1,T64)&lt;=1)),IF(C64="peso_corporal",IF(ISNUMBER(E64),E64,0)+R64,R64)*S64*1000+R64,0))</f>
        <v>0</v>
      </c>
      <c r="Z64" s="69">
        <f>IF(Y64=0,0,IF(IF((S64&gt;0)*(IF(T64="",-1,T64)=0)*(1-(IF(T64="",-1,T64)&gt;=0)*(IF(T64="",-1,T64)&lt;=1)),IF(C64="peso_corporal",IF(ISNUMBER(E64),E64,0)+R64,R64)*S64*1000+R64,0)=Y64,5,IF(IF((P64&gt;0)*(IF(Q64="",-1,Q64)=0)*(1-(IF(Q64="",-1,Q64)&gt;=0)*(IF(Q64="",-1,Q64)&lt;=1)),IF(C64="peso_corporal",IF(ISNUMBER(E64),E64,0)+O64,O64)*P64*1000+O64,0)=Y64,4,IF(IF((M64&gt;0)*(IF(N64="",-1,N64)=0)*(1-(IF(N64="",-1,N64)&gt;=0)*(IF(N64="",-1,N64)&lt;=1)),IF(C64="peso_corporal",IF(ISNUMBER(E64),E64,0)+L64,L64)*M64*1000+L64,0)=Y64,3,IF(IF((J64&gt;0)*(IF(K64="",-1,K64)=0)*(1-(IF(K64="",-1,K64)&gt;=0)*(IF(K64="",-1,K64)&lt;=1)),IF(C64="peso_corporal",IF(ISNUMBER(E64),E64,0)+I64,I64)*J64*1000+I64,0)=Y64,2,IF(IF((G64&gt;0)*(IF(H64="",-1,H64)=0)*(1-(IF(H64="",-1,H64)&gt;=0)*(IF(H64="",-1,H64)&lt;=1)),IF(C64="peso_corporal",IF(ISNUMBER(E64),E64,0)+F64,F64)*G64*1000+F64,0)=Y64,1,0))))))</f>
        <v>0</v>
      </c>
      <c r="AA64" s="69">
        <f>MAX(IF((G64&gt;=3)*(1-(IF(H64="",-1,H64)&gt;=0)*(IF(H64="",-1,H64)&lt;=1))*(1-(IF(H64="",-1,H64)=0)),IF(C64="peso_corporal",IF(ISNUMBER(E64),E64,0)+F64,F64)*(30+G64)*100+F64,0),IF((J64&gt;=3)*(1-(IF(K64="",-1,K64)&gt;=0)*(IF(K64="",-1,K64)&lt;=1))*(1-(IF(K64="",-1,K64)=0)),IF(C64="peso_corporal",IF(ISNUMBER(E64),E64,0)+I64,I64)*(30+J64)*100+I64,0),IF((M64&gt;=3)*(1-(IF(N64="",-1,N64)&gt;=0)*(IF(N64="",-1,N64)&lt;=1))*(1-(IF(N64="",-1,N64)=0)),IF(C64="peso_corporal",IF(ISNUMBER(E64),E64,0)+L64,L64)*(30+M64)*100+L64,0),IF((P64&gt;=3)*(1-(IF(Q64="",-1,Q64)&gt;=0)*(IF(Q64="",-1,Q64)&lt;=1))*(1-(IF(Q64="",-1,Q64)=0)),IF(C64="peso_corporal",IF(ISNUMBER(E64),E64,0)+O64,O64)*(30+P64)*100+O64,0),IF((S64&gt;=3)*(1-(IF(T64="",-1,T64)&gt;=0)*(IF(T64="",-1,T64)&lt;=1))*(1-(IF(T64="",-1,T64)=0)),IF(C64="peso_corporal",IF(ISNUMBER(E64),E64,0)+R64,R64)*(30+S64)*100+R64,0))</f>
        <v>0</v>
      </c>
      <c r="AB64" s="69">
        <f>IF(AA64=0,0,IF(IF((S64&gt;=3)*(1-(IF(T64="",-1,T64)&gt;=0)*(IF(T64="",-1,T64)&lt;=1))*(1-(IF(T64="",-1,T64)=0)),IF(C64="peso_corporal",IF(ISNUMBER(E64),E64,0)+R64,R64)*(30+S64)*100+R64,0)=AA64,5,IF(IF((P64&gt;=3)*(1-(IF(Q64="",-1,Q64)&gt;=0)*(IF(Q64="",-1,Q64)&lt;=1))*(1-(IF(Q64="",-1,Q64)=0)),IF(C64="peso_corporal",IF(ISNUMBER(E64),E64,0)+O64,O64)*(30+P64)*100+O64,0)=AA64,4,IF(IF((M64&gt;=3)*(1-(IF(N64="",-1,N64)&gt;=0)*(IF(N64="",-1,N64)&lt;=1))*(1-(IF(N64="",-1,N64)=0)),IF(C64="peso_corporal",IF(ISNUMBER(E64),E64,0)+L64,L64)*(30+M64)*100+L64,0)=AA64,3,IF(IF((J64&gt;=3)*(1-(IF(K64="",-1,K64)&gt;=0)*(IF(K64="",-1,K64)&lt;=1))*(1-(IF(K64="",-1,K64)=0)),IF(C64="peso_corporal",IF(ISNUMBER(E64),E64,0)+I64,I64)*(30+J64)*100+I64,0)=AA64,2,IF(IF((G64&gt;=3)*(1-(IF(H64="",-1,H64)&gt;=0)*(IF(H64="",-1,H64)&lt;=1))*(1-(IF(H64="",-1,H64)=0)),IF(C64="peso_corporal",IF(ISNUMBER(E64),E64,0)+F64,F64)*(30+G64)*100+F64,0)=AA64,1,0))))))</f>
        <v>0</v>
      </c>
      <c r="AC64" s="69" t="str">
        <f>IF(X64&gt;0,"A"&amp;X64,IF(Z64&gt;0,"B"&amp;Z64,IF(AB64&gt;0,"C"&amp;AB64,"")))</f>
        <v/>
      </c>
    </row>
    <row r="65" spans="1:29" ht="20.100000000000001" customHeight="1">
      <c r="A65" s="14" t="s">
        <v>100</v>
      </c>
      <c r="B65" s="15" t="s">
        <v>102</v>
      </c>
      <c r="C65" s="16" t="str">
        <f>IFERROR(INDEX(EJERCICIOS!$D$3:$D$75,MATCH(A65&amp;"|"&amp;B65,EJERCICIOS!$G$3:$G$75,0)),"--")</f>
        <v>mancuerna</v>
      </c>
      <c r="D65" s="17">
        <v>3</v>
      </c>
      <c r="E65" s="18">
        <f>IFERROR(LOOKUP(2,1/(MEDIDAS_Y_PESO!$B$3:$B$5&lt;&gt;""),MEDIDAS_Y_PESO!$B$3:$B$5),"--")</f>
        <v>80</v>
      </c>
      <c r="F65" s="19"/>
      <c r="G65" s="20"/>
      <c r="H65" s="21"/>
      <c r="I65" s="19"/>
      <c r="J65" s="20"/>
      <c r="K65" s="21"/>
      <c r="L65" s="19"/>
      <c r="M65" s="20"/>
      <c r="N65" s="21"/>
      <c r="O65" s="19"/>
      <c r="P65" s="20"/>
      <c r="Q65" s="21"/>
      <c r="R65" s="19"/>
      <c r="S65" s="20"/>
      <c r="T65" s="21"/>
      <c r="U65" s="22" t="str">
        <f>IFERROR(IF(IF(X65&gt;0,X65,IF(Z65&gt;0,Z65,IF(AB65&gt;0,AB65,0)))=0,"--",ROUND(CHOOSE(IF(X65&gt;0,X65,IF(Z65&gt;0,Z65,IF(AB65&gt;0,AB65,0))),IF(C65="peso_corporal",IF(ISNUMBER(E65),E65,0)+F65,F65)*(1+G65/30),IF(C65="peso_corporal",IF(ISNUMBER(E65),E65,0)+I65,I65)*(1+J65/30),IF(C65="peso_corporal",IF(ISNUMBER(E65),E65,0)+L65,L65)*(1+M65/30),IF(C65="peso_corporal",IF(ISNUMBER(E65),E65,0)+O65,O65)*(1+P65/30),IF(C65="peso_corporal",IF(ISNUMBER(E65),E65,0)+R65,R65)*(1+S65/30)),1)),"--")</f>
        <v>--</v>
      </c>
      <c r="V65" s="23" t="str">
        <f>IF(SUGERENCIAS!N148="SIN","Sin datos anteriores",IF(SUGERENCIAS!N148="SUBIR_F","^ SUBIR FUERTE | Kg:"&amp;ROUND(SUGERENCIAS!K148,1)&amp;" R:"&amp;ROUND(SUGERENCIAS!L148,0)&amp;" RIR:"&amp;ROUND(SUGERENCIAS!M148,0),IF(SUGERENCIAS!N148="SUBIR_E","^ SUBIR (Est.) | Kg:"&amp;ROUND(SUGERENCIAS!K148,1)&amp;" R:"&amp;ROUND(SUGERENCIAS!L148,0)&amp;" RIR:"&amp;ROUND(SUGERENCIAS!M148,0),IF(SUGERENCIAS!N148="SUBIR","^ SUBIR | Kg:"&amp;ROUND(SUGERENCIAS!K148,1)&amp;" R:"&amp;ROUND(SUGERENCIAS!L148,0)&amp;" RIR:"&amp;ROUND(SUGERENCIAS!M148,0),IF(SUGERENCIAS!N148="BAJAR","v BAJAR | Kg:"&amp;ROUND(SUGERENCIAS!K148,1)&amp;" R:"&amp;ROUND(SUGERENCIAS!L148,0)&amp;" RIR:"&amp;ROUND(SUGERENCIAS!M148,0),"= MANT | Kg:"&amp;ROUND(SUGERENCIAS!K148,1)&amp;" R:"&amp;ROUND(SUGERENCIAS!L148,0)&amp;" RIR:"&amp;ROUND(SUGERENCIAS!M148,0))))))</f>
        <v>Sin datos anteriores</v>
      </c>
      <c r="W65" s="69">
        <f>MAX(IF((G65&gt;0)*(IF(H65="",-1,H65)&gt;=0)*(IF(H65="",-1,H65)&lt;=1),IF(C65="peso_corporal",IF(ISNUMBER(E65),E65,0)+F65,F65)*G65*1000+F65,0),IF((J65&gt;0)*(IF(K65="",-1,K65)&gt;=0)*(IF(K65="",-1,K65)&lt;=1),IF(C65="peso_corporal",IF(ISNUMBER(E65),E65,0)+I65,I65)*J65*1000+I65,0),IF((M65&gt;0)*(IF(N65="",-1,N65)&gt;=0)*(IF(N65="",-1,N65)&lt;=1),IF(C65="peso_corporal",IF(ISNUMBER(E65),E65,0)+L65,L65)*M65*1000+L65,0),IF((P65&gt;0)*(IF(Q65="",-1,Q65)&gt;=0)*(IF(Q65="",-1,Q65)&lt;=1),IF(C65="peso_corporal",IF(ISNUMBER(E65),E65,0)+O65,O65)*P65*1000+O65,0),IF((S65&gt;0)*(IF(T65="",-1,T65)&gt;=0)*(IF(T65="",-1,T65)&lt;=1),IF(C65="peso_corporal",IF(ISNUMBER(E65),E65,0)+R65,R65)*S65*1000+R65,0))</f>
        <v>0</v>
      </c>
      <c r="X65" s="69">
        <f>IF(W65=0,0,IF(IF((S65&gt;0)*(IF(T65="",-1,T65)&gt;=0)*(IF(T65="",-1,T65)&lt;=1),IF(C65="peso_corporal",IF(ISNUMBER(E65),E65,0)+R65,R65)*S65*1000+R65,0)=W65,5,IF(IF((P65&gt;0)*(IF(Q65="",-1,Q65)&gt;=0)*(IF(Q65="",-1,Q65)&lt;=1),IF(C65="peso_corporal",IF(ISNUMBER(E65),E65,0)+O65,O65)*P65*1000+O65,0)=W65,4,IF(IF((M65&gt;0)*(IF(N65="",-1,N65)&gt;=0)*(IF(N65="",-1,N65)&lt;=1),IF(C65="peso_corporal",IF(ISNUMBER(E65),E65,0)+L65,L65)*M65*1000+L65,0)=W65,3,IF(IF((J65&gt;0)*(IF(K65="",-1,K65)&gt;=0)*(IF(K65="",-1,K65)&lt;=1),IF(C65="peso_corporal",IF(ISNUMBER(E65),E65,0)+I65,I65)*J65*1000+I65,0)=W65,2,IF(IF((G65&gt;0)*(IF(H65="",-1,H65)&gt;=0)*(IF(H65="",-1,H65)&lt;=1),IF(C65="peso_corporal",IF(ISNUMBER(E65),E65,0)+F65,F65)*G65*1000+F65,0)=W65,1,0))))))</f>
        <v>0</v>
      </c>
      <c r="Y65" s="69">
        <f>MAX(IF((G65&gt;0)*(IF(H65="",-1,H65)=0)*(1-(IF(H65="",-1,H65)&gt;=0)*(IF(H65="",-1,H65)&lt;=1)),IF(C65="peso_corporal",IF(ISNUMBER(E65),E65,0)+F65,F65)*G65*1000+F65,0),IF((J65&gt;0)*(IF(K65="",-1,K65)=0)*(1-(IF(K65="",-1,K65)&gt;=0)*(IF(K65="",-1,K65)&lt;=1)),IF(C65="peso_corporal",IF(ISNUMBER(E65),E65,0)+I65,I65)*J65*1000+I65,0),IF((M65&gt;0)*(IF(N65="",-1,N65)=0)*(1-(IF(N65="",-1,N65)&gt;=0)*(IF(N65="",-1,N65)&lt;=1)),IF(C65="peso_corporal",IF(ISNUMBER(E65),E65,0)+L65,L65)*M65*1000+L65,0),IF((P65&gt;0)*(IF(Q65="",-1,Q65)=0)*(1-(IF(Q65="",-1,Q65)&gt;=0)*(IF(Q65="",-1,Q65)&lt;=1)),IF(C65="peso_corporal",IF(ISNUMBER(E65),E65,0)+O65,O65)*P65*1000+O65,0),IF((S65&gt;0)*(IF(T65="",-1,T65)=0)*(1-(IF(T65="",-1,T65)&gt;=0)*(IF(T65="",-1,T65)&lt;=1)),IF(C65="peso_corporal",IF(ISNUMBER(E65),E65,0)+R65,R65)*S65*1000+R65,0))</f>
        <v>0</v>
      </c>
      <c r="Z65" s="69">
        <f>IF(Y65=0,0,IF(IF((S65&gt;0)*(IF(T65="",-1,T65)=0)*(1-(IF(T65="",-1,T65)&gt;=0)*(IF(T65="",-1,T65)&lt;=1)),IF(C65="peso_corporal",IF(ISNUMBER(E65),E65,0)+R65,R65)*S65*1000+R65,0)=Y65,5,IF(IF((P65&gt;0)*(IF(Q65="",-1,Q65)=0)*(1-(IF(Q65="",-1,Q65)&gt;=0)*(IF(Q65="",-1,Q65)&lt;=1)),IF(C65="peso_corporal",IF(ISNUMBER(E65),E65,0)+O65,O65)*P65*1000+O65,0)=Y65,4,IF(IF((M65&gt;0)*(IF(N65="",-1,N65)=0)*(1-(IF(N65="",-1,N65)&gt;=0)*(IF(N65="",-1,N65)&lt;=1)),IF(C65="peso_corporal",IF(ISNUMBER(E65),E65,0)+L65,L65)*M65*1000+L65,0)=Y65,3,IF(IF((J65&gt;0)*(IF(K65="",-1,K65)=0)*(1-(IF(K65="",-1,K65)&gt;=0)*(IF(K65="",-1,K65)&lt;=1)),IF(C65="peso_corporal",IF(ISNUMBER(E65),E65,0)+I65,I65)*J65*1000+I65,0)=Y65,2,IF(IF((G65&gt;0)*(IF(H65="",-1,H65)=0)*(1-(IF(H65="",-1,H65)&gt;=0)*(IF(H65="",-1,H65)&lt;=1)),IF(C65="peso_corporal",IF(ISNUMBER(E65),E65,0)+F65,F65)*G65*1000+F65,0)=Y65,1,0))))))</f>
        <v>0</v>
      </c>
      <c r="AA65" s="69">
        <f>MAX(IF((G65&gt;=3)*(1-(IF(H65="",-1,H65)&gt;=0)*(IF(H65="",-1,H65)&lt;=1))*(1-(IF(H65="",-1,H65)=0)),IF(C65="peso_corporal",IF(ISNUMBER(E65),E65,0)+F65,F65)*(30+G65)*100+F65,0),IF((J65&gt;=3)*(1-(IF(K65="",-1,K65)&gt;=0)*(IF(K65="",-1,K65)&lt;=1))*(1-(IF(K65="",-1,K65)=0)),IF(C65="peso_corporal",IF(ISNUMBER(E65),E65,0)+I65,I65)*(30+J65)*100+I65,0),IF((M65&gt;=3)*(1-(IF(N65="",-1,N65)&gt;=0)*(IF(N65="",-1,N65)&lt;=1))*(1-(IF(N65="",-1,N65)=0)),IF(C65="peso_corporal",IF(ISNUMBER(E65),E65,0)+L65,L65)*(30+M65)*100+L65,0),IF((P65&gt;=3)*(1-(IF(Q65="",-1,Q65)&gt;=0)*(IF(Q65="",-1,Q65)&lt;=1))*(1-(IF(Q65="",-1,Q65)=0)),IF(C65="peso_corporal",IF(ISNUMBER(E65),E65,0)+O65,O65)*(30+P65)*100+O65,0),IF((S65&gt;=3)*(1-(IF(T65="",-1,T65)&gt;=0)*(IF(T65="",-1,T65)&lt;=1))*(1-(IF(T65="",-1,T65)=0)),IF(C65="peso_corporal",IF(ISNUMBER(E65),E65,0)+R65,R65)*(30+S65)*100+R65,0))</f>
        <v>0</v>
      </c>
      <c r="AB65" s="69">
        <f>IF(AA65=0,0,IF(IF((S65&gt;=3)*(1-(IF(T65="",-1,T65)&gt;=0)*(IF(T65="",-1,T65)&lt;=1))*(1-(IF(T65="",-1,T65)=0)),IF(C65="peso_corporal",IF(ISNUMBER(E65),E65,0)+R65,R65)*(30+S65)*100+R65,0)=AA65,5,IF(IF((P65&gt;=3)*(1-(IF(Q65="",-1,Q65)&gt;=0)*(IF(Q65="",-1,Q65)&lt;=1))*(1-(IF(Q65="",-1,Q65)=0)),IF(C65="peso_corporal",IF(ISNUMBER(E65),E65,0)+O65,O65)*(30+P65)*100+O65,0)=AA65,4,IF(IF((M65&gt;=3)*(1-(IF(N65="",-1,N65)&gt;=0)*(IF(N65="",-1,N65)&lt;=1))*(1-(IF(N65="",-1,N65)=0)),IF(C65="peso_corporal",IF(ISNUMBER(E65),E65,0)+L65,L65)*(30+M65)*100+L65,0)=AA65,3,IF(IF((J65&gt;=3)*(1-(IF(K65="",-1,K65)&gt;=0)*(IF(K65="",-1,K65)&lt;=1))*(1-(IF(K65="",-1,K65)=0)),IF(C65="peso_corporal",IF(ISNUMBER(E65),E65,0)+I65,I65)*(30+J65)*100+I65,0)=AA65,2,IF(IF((G65&gt;=3)*(1-(IF(H65="",-1,H65)&gt;=0)*(IF(H65="",-1,H65)&lt;=1))*(1-(IF(H65="",-1,H65)=0)),IF(C65="peso_corporal",IF(ISNUMBER(E65),E65,0)+F65,F65)*(30+G65)*100+F65,0)=AA65,1,0))))))</f>
        <v>0</v>
      </c>
      <c r="AC65" s="69" t="str">
        <f>IF(X65&gt;0,"A"&amp;X65,IF(Z65&gt;0,"B"&amp;Z65,IF(AB65&gt;0,"C"&amp;AB65,"")))</f>
        <v/>
      </c>
    </row>
    <row r="66" spans="1:29" ht="15" customHeight="1">
      <c r="A66" s="83" t="s">
        <v>103</v>
      </c>
      <c r="B66" s="73"/>
      <c r="C66" s="73"/>
      <c r="D66" s="73"/>
      <c r="E66" s="73"/>
      <c r="F66" s="73"/>
      <c r="G66" s="73"/>
      <c r="H66" s="73"/>
      <c r="I66" s="73"/>
      <c r="J66" s="73"/>
      <c r="K66" s="73"/>
      <c r="L66" s="73"/>
      <c r="M66" s="73"/>
      <c r="N66" s="73"/>
      <c r="O66" s="73"/>
      <c r="P66" s="73"/>
      <c r="Q66" s="73"/>
      <c r="R66" s="73"/>
      <c r="S66" s="73"/>
      <c r="T66" s="73"/>
      <c r="U66" s="73"/>
      <c r="V66" s="73"/>
      <c r="W66" s="69"/>
      <c r="X66" s="69"/>
      <c r="Y66" s="69"/>
      <c r="Z66" s="69"/>
      <c r="AA66" s="69"/>
      <c r="AB66" s="69"/>
      <c r="AC66" s="69"/>
    </row>
    <row r="67" spans="1:29" ht="20.100000000000001" customHeight="1">
      <c r="A67" s="14" t="s">
        <v>104</v>
      </c>
      <c r="B67" s="15" t="s">
        <v>105</v>
      </c>
      <c r="C67" s="16" t="str">
        <f>IFERROR(INDEX(EJERCICIOS!$D$3:$D$75,MATCH(A67&amp;"|"&amp;B67,EJERCICIOS!$G$3:$G$75,0)),"--")</f>
        <v>mancuerna</v>
      </c>
      <c r="D67" s="17">
        <v>3</v>
      </c>
      <c r="E67" s="18">
        <f>IFERROR(LOOKUP(2,1/(MEDIDAS_Y_PESO!$B$3:$B$5&lt;&gt;""),MEDIDAS_Y_PESO!$B$3:$B$5),"--")</f>
        <v>80</v>
      </c>
      <c r="F67" s="19"/>
      <c r="G67" s="20"/>
      <c r="H67" s="21"/>
      <c r="I67" s="19"/>
      <c r="J67" s="20"/>
      <c r="K67" s="21"/>
      <c r="L67" s="19"/>
      <c r="M67" s="20"/>
      <c r="N67" s="21"/>
      <c r="O67" s="19"/>
      <c r="P67" s="20"/>
      <c r="Q67" s="21"/>
      <c r="R67" s="19"/>
      <c r="S67" s="20"/>
      <c r="T67" s="21"/>
      <c r="U67" s="22" t="str">
        <f>IFERROR(IF(IF(X67&gt;0,X67,IF(Z67&gt;0,Z67,IF(AB67&gt;0,AB67,0)))=0,"--",ROUND(CHOOSE(IF(X67&gt;0,X67,IF(Z67&gt;0,Z67,IF(AB67&gt;0,AB67,0))),IF(C67="peso_corporal",IF(ISNUMBER(E67),E67,0)+F67,F67)*(1+G67/30),IF(C67="peso_corporal",IF(ISNUMBER(E67),E67,0)+I67,I67)*(1+J67/30),IF(C67="peso_corporal",IF(ISNUMBER(E67),E67,0)+L67,L67)*(1+M67/30),IF(C67="peso_corporal",IF(ISNUMBER(E67),E67,0)+O67,O67)*(1+P67/30),IF(C67="peso_corporal",IF(ISNUMBER(E67),E67,0)+R67,R67)*(1+S67/30)),1)),"--")</f>
        <v>--</v>
      </c>
      <c r="V67" s="23" t="str">
        <f>IF(SUGERENCIAS!N149="SIN","Sin datos anteriores",IF(SUGERENCIAS!N149="SUBIR_F","^ SUBIR FUERTE | Kg:"&amp;ROUND(SUGERENCIAS!K149,1)&amp;" R:"&amp;ROUND(SUGERENCIAS!L149,0)&amp;" RIR:"&amp;ROUND(SUGERENCIAS!M149,0),IF(SUGERENCIAS!N149="SUBIR_E","^ SUBIR (Est.) | Kg:"&amp;ROUND(SUGERENCIAS!K149,1)&amp;" R:"&amp;ROUND(SUGERENCIAS!L149,0)&amp;" RIR:"&amp;ROUND(SUGERENCIAS!M149,0),IF(SUGERENCIAS!N149="SUBIR","^ SUBIR | Kg:"&amp;ROUND(SUGERENCIAS!K149,1)&amp;" R:"&amp;ROUND(SUGERENCIAS!L149,0)&amp;" RIR:"&amp;ROUND(SUGERENCIAS!M149,0),IF(SUGERENCIAS!N149="BAJAR","v BAJAR | Kg:"&amp;ROUND(SUGERENCIAS!K149,1)&amp;" R:"&amp;ROUND(SUGERENCIAS!L149,0)&amp;" RIR:"&amp;ROUND(SUGERENCIAS!M149,0),"= MANT | Kg:"&amp;ROUND(SUGERENCIAS!K149,1)&amp;" R:"&amp;ROUND(SUGERENCIAS!L149,0)&amp;" RIR:"&amp;ROUND(SUGERENCIAS!M149,0))))))</f>
        <v>Sin datos anteriores</v>
      </c>
      <c r="W67" s="69">
        <f>MAX(IF((G67&gt;0)*(IF(H67="",-1,H67)&gt;=0)*(IF(H67="",-1,H67)&lt;=1),IF(C67="peso_corporal",IF(ISNUMBER(E67),E67,0)+F67,F67)*G67*1000+F67,0),IF((J67&gt;0)*(IF(K67="",-1,K67)&gt;=0)*(IF(K67="",-1,K67)&lt;=1),IF(C67="peso_corporal",IF(ISNUMBER(E67),E67,0)+I67,I67)*J67*1000+I67,0),IF((M67&gt;0)*(IF(N67="",-1,N67)&gt;=0)*(IF(N67="",-1,N67)&lt;=1),IF(C67="peso_corporal",IF(ISNUMBER(E67),E67,0)+L67,L67)*M67*1000+L67,0),IF((P67&gt;0)*(IF(Q67="",-1,Q67)&gt;=0)*(IF(Q67="",-1,Q67)&lt;=1),IF(C67="peso_corporal",IF(ISNUMBER(E67),E67,0)+O67,O67)*P67*1000+O67,0),IF((S67&gt;0)*(IF(T67="",-1,T67)&gt;=0)*(IF(T67="",-1,T67)&lt;=1),IF(C67="peso_corporal",IF(ISNUMBER(E67),E67,0)+R67,R67)*S67*1000+R67,0))</f>
        <v>0</v>
      </c>
      <c r="X67" s="69">
        <f>IF(W67=0,0,IF(IF((S67&gt;0)*(IF(T67="",-1,T67)&gt;=0)*(IF(T67="",-1,T67)&lt;=1),IF(C67="peso_corporal",IF(ISNUMBER(E67),E67,0)+R67,R67)*S67*1000+R67,0)=W67,5,IF(IF((P67&gt;0)*(IF(Q67="",-1,Q67)&gt;=0)*(IF(Q67="",-1,Q67)&lt;=1),IF(C67="peso_corporal",IF(ISNUMBER(E67),E67,0)+O67,O67)*P67*1000+O67,0)=W67,4,IF(IF((M67&gt;0)*(IF(N67="",-1,N67)&gt;=0)*(IF(N67="",-1,N67)&lt;=1),IF(C67="peso_corporal",IF(ISNUMBER(E67),E67,0)+L67,L67)*M67*1000+L67,0)=W67,3,IF(IF((J67&gt;0)*(IF(K67="",-1,K67)&gt;=0)*(IF(K67="",-1,K67)&lt;=1),IF(C67="peso_corporal",IF(ISNUMBER(E67),E67,0)+I67,I67)*J67*1000+I67,0)=W67,2,IF(IF((G67&gt;0)*(IF(H67="",-1,H67)&gt;=0)*(IF(H67="",-1,H67)&lt;=1),IF(C67="peso_corporal",IF(ISNUMBER(E67),E67,0)+F67,F67)*G67*1000+F67,0)=W67,1,0))))))</f>
        <v>0</v>
      </c>
      <c r="Y67" s="69">
        <f>MAX(IF((G67&gt;0)*(IF(H67="",-1,H67)=0)*(1-(IF(H67="",-1,H67)&gt;=0)*(IF(H67="",-1,H67)&lt;=1)),IF(C67="peso_corporal",IF(ISNUMBER(E67),E67,0)+F67,F67)*G67*1000+F67,0),IF((J67&gt;0)*(IF(K67="",-1,K67)=0)*(1-(IF(K67="",-1,K67)&gt;=0)*(IF(K67="",-1,K67)&lt;=1)),IF(C67="peso_corporal",IF(ISNUMBER(E67),E67,0)+I67,I67)*J67*1000+I67,0),IF((M67&gt;0)*(IF(N67="",-1,N67)=0)*(1-(IF(N67="",-1,N67)&gt;=0)*(IF(N67="",-1,N67)&lt;=1)),IF(C67="peso_corporal",IF(ISNUMBER(E67),E67,0)+L67,L67)*M67*1000+L67,0),IF((P67&gt;0)*(IF(Q67="",-1,Q67)=0)*(1-(IF(Q67="",-1,Q67)&gt;=0)*(IF(Q67="",-1,Q67)&lt;=1)),IF(C67="peso_corporal",IF(ISNUMBER(E67),E67,0)+O67,O67)*P67*1000+O67,0),IF((S67&gt;0)*(IF(T67="",-1,T67)=0)*(1-(IF(T67="",-1,T67)&gt;=0)*(IF(T67="",-1,T67)&lt;=1)),IF(C67="peso_corporal",IF(ISNUMBER(E67),E67,0)+R67,R67)*S67*1000+R67,0))</f>
        <v>0</v>
      </c>
      <c r="Z67" s="69">
        <f>IF(Y67=0,0,IF(IF((S67&gt;0)*(IF(T67="",-1,T67)=0)*(1-(IF(T67="",-1,T67)&gt;=0)*(IF(T67="",-1,T67)&lt;=1)),IF(C67="peso_corporal",IF(ISNUMBER(E67),E67,0)+R67,R67)*S67*1000+R67,0)=Y67,5,IF(IF((P67&gt;0)*(IF(Q67="",-1,Q67)=0)*(1-(IF(Q67="",-1,Q67)&gt;=0)*(IF(Q67="",-1,Q67)&lt;=1)),IF(C67="peso_corporal",IF(ISNUMBER(E67),E67,0)+O67,O67)*P67*1000+O67,0)=Y67,4,IF(IF((M67&gt;0)*(IF(N67="",-1,N67)=0)*(1-(IF(N67="",-1,N67)&gt;=0)*(IF(N67="",-1,N67)&lt;=1)),IF(C67="peso_corporal",IF(ISNUMBER(E67),E67,0)+L67,L67)*M67*1000+L67,0)=Y67,3,IF(IF((J67&gt;0)*(IF(K67="",-1,K67)=0)*(1-(IF(K67="",-1,K67)&gt;=0)*(IF(K67="",-1,K67)&lt;=1)),IF(C67="peso_corporal",IF(ISNUMBER(E67),E67,0)+I67,I67)*J67*1000+I67,0)=Y67,2,IF(IF((G67&gt;0)*(IF(H67="",-1,H67)=0)*(1-(IF(H67="",-1,H67)&gt;=0)*(IF(H67="",-1,H67)&lt;=1)),IF(C67="peso_corporal",IF(ISNUMBER(E67),E67,0)+F67,F67)*G67*1000+F67,0)=Y67,1,0))))))</f>
        <v>0</v>
      </c>
      <c r="AA67" s="69">
        <f>MAX(IF((G67&gt;=3)*(1-(IF(H67="",-1,H67)&gt;=0)*(IF(H67="",-1,H67)&lt;=1))*(1-(IF(H67="",-1,H67)=0)),IF(C67="peso_corporal",IF(ISNUMBER(E67),E67,0)+F67,F67)*(30+G67)*100+F67,0),IF((J67&gt;=3)*(1-(IF(K67="",-1,K67)&gt;=0)*(IF(K67="",-1,K67)&lt;=1))*(1-(IF(K67="",-1,K67)=0)),IF(C67="peso_corporal",IF(ISNUMBER(E67),E67,0)+I67,I67)*(30+J67)*100+I67,0),IF((M67&gt;=3)*(1-(IF(N67="",-1,N67)&gt;=0)*(IF(N67="",-1,N67)&lt;=1))*(1-(IF(N67="",-1,N67)=0)),IF(C67="peso_corporal",IF(ISNUMBER(E67),E67,0)+L67,L67)*(30+M67)*100+L67,0),IF((P67&gt;=3)*(1-(IF(Q67="",-1,Q67)&gt;=0)*(IF(Q67="",-1,Q67)&lt;=1))*(1-(IF(Q67="",-1,Q67)=0)),IF(C67="peso_corporal",IF(ISNUMBER(E67),E67,0)+O67,O67)*(30+P67)*100+O67,0),IF((S67&gt;=3)*(1-(IF(T67="",-1,T67)&gt;=0)*(IF(T67="",-1,T67)&lt;=1))*(1-(IF(T67="",-1,T67)=0)),IF(C67="peso_corporal",IF(ISNUMBER(E67),E67,0)+R67,R67)*(30+S67)*100+R67,0))</f>
        <v>0</v>
      </c>
      <c r="AB67" s="69">
        <f>IF(AA67=0,0,IF(IF((S67&gt;=3)*(1-(IF(T67="",-1,T67)&gt;=0)*(IF(T67="",-1,T67)&lt;=1))*(1-(IF(T67="",-1,T67)=0)),IF(C67="peso_corporal",IF(ISNUMBER(E67),E67,0)+R67,R67)*(30+S67)*100+R67,0)=AA67,5,IF(IF((P67&gt;=3)*(1-(IF(Q67="",-1,Q67)&gt;=0)*(IF(Q67="",-1,Q67)&lt;=1))*(1-(IF(Q67="",-1,Q67)=0)),IF(C67="peso_corporal",IF(ISNUMBER(E67),E67,0)+O67,O67)*(30+P67)*100+O67,0)=AA67,4,IF(IF((M67&gt;=3)*(1-(IF(N67="",-1,N67)&gt;=0)*(IF(N67="",-1,N67)&lt;=1))*(1-(IF(N67="",-1,N67)=0)),IF(C67="peso_corporal",IF(ISNUMBER(E67),E67,0)+L67,L67)*(30+M67)*100+L67,0)=AA67,3,IF(IF((J67&gt;=3)*(1-(IF(K67="",-1,K67)&gt;=0)*(IF(K67="",-1,K67)&lt;=1))*(1-(IF(K67="",-1,K67)=0)),IF(C67="peso_corporal",IF(ISNUMBER(E67),E67,0)+I67,I67)*(30+J67)*100+I67,0)=AA67,2,IF(IF((G67&gt;=3)*(1-(IF(H67="",-1,H67)&gt;=0)*(IF(H67="",-1,H67)&lt;=1))*(1-(IF(H67="",-1,H67)=0)),IF(C67="peso_corporal",IF(ISNUMBER(E67),E67,0)+F67,F67)*(30+G67)*100+F67,0)=AA67,1,0))))))</f>
        <v>0</v>
      </c>
      <c r="AC67" s="69" t="str">
        <f>IF(X67&gt;0,"A"&amp;X67,IF(Z67&gt;0,"B"&amp;Z67,IF(AB67&gt;0,"C"&amp;AB67,"")))</f>
        <v/>
      </c>
    </row>
    <row r="68" spans="1:29" ht="15" customHeight="1">
      <c r="A68" s="82" t="s">
        <v>47</v>
      </c>
      <c r="B68" s="73"/>
      <c r="C68" s="73"/>
      <c r="D68" s="73"/>
      <c r="E68" s="73"/>
      <c r="F68" s="73"/>
      <c r="G68" s="73"/>
      <c r="H68" s="73"/>
      <c r="I68" s="73"/>
      <c r="J68" s="73"/>
      <c r="K68" s="73"/>
      <c r="L68" s="73"/>
      <c r="M68" s="73"/>
      <c r="N68" s="73"/>
      <c r="O68" s="73"/>
      <c r="P68" s="73"/>
      <c r="Q68" s="73"/>
      <c r="R68" s="73"/>
      <c r="S68" s="73"/>
      <c r="T68" s="73"/>
      <c r="U68" s="73"/>
      <c r="V68" s="73"/>
      <c r="W68" s="69"/>
      <c r="X68" s="69"/>
      <c r="Y68" s="69"/>
      <c r="Z68" s="69"/>
      <c r="AA68" s="69"/>
      <c r="AB68" s="69"/>
      <c r="AC68" s="69"/>
    </row>
    <row r="69" spans="1:29" ht="20.100000000000001" customHeight="1">
      <c r="A69" s="14" t="s">
        <v>106</v>
      </c>
      <c r="B69" s="15" t="s">
        <v>107</v>
      </c>
      <c r="C69" s="16" t="str">
        <f>IFERROR(INDEX(EJERCICIOS!$D$3:$D$75,MATCH(A69&amp;"|"&amp;B69,EJERCICIOS!$G$3:$G$75,0)),"--")</f>
        <v>--</v>
      </c>
      <c r="D69" s="17">
        <v>3</v>
      </c>
      <c r="E69" s="18">
        <f>IFERROR(LOOKUP(2,1/(MEDIDAS_Y_PESO!$B$3:$B$5&lt;&gt;""),MEDIDAS_Y_PESO!$B$3:$B$5),"--")</f>
        <v>80</v>
      </c>
      <c r="F69" s="19"/>
      <c r="G69" s="20"/>
      <c r="H69" s="21"/>
      <c r="I69" s="19"/>
      <c r="J69" s="20"/>
      <c r="K69" s="21"/>
      <c r="L69" s="19"/>
      <c r="M69" s="20"/>
      <c r="N69" s="21"/>
      <c r="O69" s="19"/>
      <c r="P69" s="20"/>
      <c r="Q69" s="21"/>
      <c r="R69" s="19"/>
      <c r="S69" s="20"/>
      <c r="T69" s="21"/>
      <c r="U69" s="22" t="str">
        <f>IFERROR(IF(IF(X69&gt;0,X69,IF(Z69&gt;0,Z69,IF(AB69&gt;0,AB69,0)))=0,"--",ROUND(CHOOSE(IF(X69&gt;0,X69,IF(Z69&gt;0,Z69,IF(AB69&gt;0,AB69,0))),IF(C69="peso_corporal",IF(ISNUMBER(E69),E69,0)+F69,F69)*(1+G69/30),IF(C69="peso_corporal",IF(ISNUMBER(E69),E69,0)+I69,I69)*(1+J69/30),IF(C69="peso_corporal",IF(ISNUMBER(E69),E69,0)+L69,L69)*(1+M69/30),IF(C69="peso_corporal",IF(ISNUMBER(E69),E69,0)+O69,O69)*(1+P69/30),IF(C69="peso_corporal",IF(ISNUMBER(E69),E69,0)+R69,R69)*(1+S69/30)),1)),"--")</f>
        <v>--</v>
      </c>
      <c r="V69" s="23" t="str">
        <f>IF(SUGERENCIAS!N150="SIN","Sin datos anteriores",IF(SUGERENCIAS!N150="SUBIR_F","^ SUBIR FUERTE | Kg:"&amp;ROUND(SUGERENCIAS!K150,1)&amp;" R:"&amp;ROUND(SUGERENCIAS!L150,0)&amp;" RIR:"&amp;ROUND(SUGERENCIAS!M150,0),IF(SUGERENCIAS!N150="SUBIR_E","^ SUBIR (Est.) | Kg:"&amp;ROUND(SUGERENCIAS!K150,1)&amp;" R:"&amp;ROUND(SUGERENCIAS!L150,0)&amp;" RIR:"&amp;ROUND(SUGERENCIAS!M150,0),IF(SUGERENCIAS!N150="SUBIR","^ SUBIR | Kg:"&amp;ROUND(SUGERENCIAS!K150,1)&amp;" R:"&amp;ROUND(SUGERENCIAS!L150,0)&amp;" RIR:"&amp;ROUND(SUGERENCIAS!M150,0),IF(SUGERENCIAS!N150="BAJAR","v BAJAR | Kg:"&amp;ROUND(SUGERENCIAS!K150,1)&amp;" R:"&amp;ROUND(SUGERENCIAS!L150,0)&amp;" RIR:"&amp;ROUND(SUGERENCIAS!M150,0),"= MANT | Kg:"&amp;ROUND(SUGERENCIAS!K150,1)&amp;" R:"&amp;ROUND(SUGERENCIAS!L150,0)&amp;" RIR:"&amp;ROUND(SUGERENCIAS!M150,0))))))</f>
        <v>Sin datos anteriores</v>
      </c>
      <c r="W69" s="69">
        <f>MAX(IF((G69&gt;0)*(IF(H69="",-1,H69)&gt;=0)*(IF(H69="",-1,H69)&lt;=1),IF(C69="peso_corporal",IF(ISNUMBER(E69),E69,0)+F69,F69)*G69*1000+F69,0),IF((J69&gt;0)*(IF(K69="",-1,K69)&gt;=0)*(IF(K69="",-1,K69)&lt;=1),IF(C69="peso_corporal",IF(ISNUMBER(E69),E69,0)+I69,I69)*J69*1000+I69,0),IF((M69&gt;0)*(IF(N69="",-1,N69)&gt;=0)*(IF(N69="",-1,N69)&lt;=1),IF(C69="peso_corporal",IF(ISNUMBER(E69),E69,0)+L69,L69)*M69*1000+L69,0),IF((P69&gt;0)*(IF(Q69="",-1,Q69)&gt;=0)*(IF(Q69="",-1,Q69)&lt;=1),IF(C69="peso_corporal",IF(ISNUMBER(E69),E69,0)+O69,O69)*P69*1000+O69,0),IF((S69&gt;0)*(IF(T69="",-1,T69)&gt;=0)*(IF(T69="",-1,T69)&lt;=1),IF(C69="peso_corporal",IF(ISNUMBER(E69),E69,0)+R69,R69)*S69*1000+R69,0))</f>
        <v>0</v>
      </c>
      <c r="X69" s="69">
        <f>IF(W69=0,0,IF(IF((S69&gt;0)*(IF(T69="",-1,T69)&gt;=0)*(IF(T69="",-1,T69)&lt;=1),IF(C69="peso_corporal",IF(ISNUMBER(E69),E69,0)+R69,R69)*S69*1000+R69,0)=W69,5,IF(IF((P69&gt;0)*(IF(Q69="",-1,Q69)&gt;=0)*(IF(Q69="",-1,Q69)&lt;=1),IF(C69="peso_corporal",IF(ISNUMBER(E69),E69,0)+O69,O69)*P69*1000+O69,0)=W69,4,IF(IF((M69&gt;0)*(IF(N69="",-1,N69)&gt;=0)*(IF(N69="",-1,N69)&lt;=1),IF(C69="peso_corporal",IF(ISNUMBER(E69),E69,0)+L69,L69)*M69*1000+L69,0)=W69,3,IF(IF((J69&gt;0)*(IF(K69="",-1,K69)&gt;=0)*(IF(K69="",-1,K69)&lt;=1),IF(C69="peso_corporal",IF(ISNUMBER(E69),E69,0)+I69,I69)*J69*1000+I69,0)=W69,2,IF(IF((G69&gt;0)*(IF(H69="",-1,H69)&gt;=0)*(IF(H69="",-1,H69)&lt;=1),IF(C69="peso_corporal",IF(ISNUMBER(E69),E69,0)+F69,F69)*G69*1000+F69,0)=W69,1,0))))))</f>
        <v>0</v>
      </c>
      <c r="Y69" s="69">
        <f>MAX(IF((G69&gt;0)*(IF(H69="",-1,H69)=0)*(1-(IF(H69="",-1,H69)&gt;=0)*(IF(H69="",-1,H69)&lt;=1)),IF(C69="peso_corporal",IF(ISNUMBER(E69),E69,0)+F69,F69)*G69*1000+F69,0),IF((J69&gt;0)*(IF(K69="",-1,K69)=0)*(1-(IF(K69="",-1,K69)&gt;=0)*(IF(K69="",-1,K69)&lt;=1)),IF(C69="peso_corporal",IF(ISNUMBER(E69),E69,0)+I69,I69)*J69*1000+I69,0),IF((M69&gt;0)*(IF(N69="",-1,N69)=0)*(1-(IF(N69="",-1,N69)&gt;=0)*(IF(N69="",-1,N69)&lt;=1)),IF(C69="peso_corporal",IF(ISNUMBER(E69),E69,0)+L69,L69)*M69*1000+L69,0),IF((P69&gt;0)*(IF(Q69="",-1,Q69)=0)*(1-(IF(Q69="",-1,Q69)&gt;=0)*(IF(Q69="",-1,Q69)&lt;=1)),IF(C69="peso_corporal",IF(ISNUMBER(E69),E69,0)+O69,O69)*P69*1000+O69,0),IF((S69&gt;0)*(IF(T69="",-1,T69)=0)*(1-(IF(T69="",-1,T69)&gt;=0)*(IF(T69="",-1,T69)&lt;=1)),IF(C69="peso_corporal",IF(ISNUMBER(E69),E69,0)+R69,R69)*S69*1000+R69,0))</f>
        <v>0</v>
      </c>
      <c r="Z69" s="69">
        <f>IF(Y69=0,0,IF(IF((S69&gt;0)*(IF(T69="",-1,T69)=0)*(1-(IF(T69="",-1,T69)&gt;=0)*(IF(T69="",-1,T69)&lt;=1)),IF(C69="peso_corporal",IF(ISNUMBER(E69),E69,0)+R69,R69)*S69*1000+R69,0)=Y69,5,IF(IF((P69&gt;0)*(IF(Q69="",-1,Q69)=0)*(1-(IF(Q69="",-1,Q69)&gt;=0)*(IF(Q69="",-1,Q69)&lt;=1)),IF(C69="peso_corporal",IF(ISNUMBER(E69),E69,0)+O69,O69)*P69*1000+O69,0)=Y69,4,IF(IF((M69&gt;0)*(IF(N69="",-1,N69)=0)*(1-(IF(N69="",-1,N69)&gt;=0)*(IF(N69="",-1,N69)&lt;=1)),IF(C69="peso_corporal",IF(ISNUMBER(E69),E69,0)+L69,L69)*M69*1000+L69,0)=Y69,3,IF(IF((J69&gt;0)*(IF(K69="",-1,K69)=0)*(1-(IF(K69="",-1,K69)&gt;=0)*(IF(K69="",-1,K69)&lt;=1)),IF(C69="peso_corporal",IF(ISNUMBER(E69),E69,0)+I69,I69)*J69*1000+I69,0)=Y69,2,IF(IF((G69&gt;0)*(IF(H69="",-1,H69)=0)*(1-(IF(H69="",-1,H69)&gt;=0)*(IF(H69="",-1,H69)&lt;=1)),IF(C69="peso_corporal",IF(ISNUMBER(E69),E69,0)+F69,F69)*G69*1000+F69,0)=Y69,1,0))))))</f>
        <v>0</v>
      </c>
      <c r="AA69" s="69">
        <f>MAX(IF((G69&gt;=3)*(1-(IF(H69="",-1,H69)&gt;=0)*(IF(H69="",-1,H69)&lt;=1))*(1-(IF(H69="",-1,H69)=0)),IF(C69="peso_corporal",IF(ISNUMBER(E69),E69,0)+F69,F69)*(30+G69)*100+F69,0),IF((J69&gt;=3)*(1-(IF(K69="",-1,K69)&gt;=0)*(IF(K69="",-1,K69)&lt;=1))*(1-(IF(K69="",-1,K69)=0)),IF(C69="peso_corporal",IF(ISNUMBER(E69),E69,0)+I69,I69)*(30+J69)*100+I69,0),IF((M69&gt;=3)*(1-(IF(N69="",-1,N69)&gt;=0)*(IF(N69="",-1,N69)&lt;=1))*(1-(IF(N69="",-1,N69)=0)),IF(C69="peso_corporal",IF(ISNUMBER(E69),E69,0)+L69,L69)*(30+M69)*100+L69,0),IF((P69&gt;=3)*(1-(IF(Q69="",-1,Q69)&gt;=0)*(IF(Q69="",-1,Q69)&lt;=1))*(1-(IF(Q69="",-1,Q69)=0)),IF(C69="peso_corporal",IF(ISNUMBER(E69),E69,0)+O69,O69)*(30+P69)*100+O69,0),IF((S69&gt;=3)*(1-(IF(T69="",-1,T69)&gt;=0)*(IF(T69="",-1,T69)&lt;=1))*(1-(IF(T69="",-1,T69)=0)),IF(C69="peso_corporal",IF(ISNUMBER(E69),E69,0)+R69,R69)*(30+S69)*100+R69,0))</f>
        <v>0</v>
      </c>
      <c r="AB69" s="69">
        <f>IF(AA69=0,0,IF(IF((S69&gt;=3)*(1-(IF(T69="",-1,T69)&gt;=0)*(IF(T69="",-1,T69)&lt;=1))*(1-(IF(T69="",-1,T69)=0)),IF(C69="peso_corporal",IF(ISNUMBER(E69),E69,0)+R69,R69)*(30+S69)*100+R69,0)=AA69,5,IF(IF((P69&gt;=3)*(1-(IF(Q69="",-1,Q69)&gt;=0)*(IF(Q69="",-1,Q69)&lt;=1))*(1-(IF(Q69="",-1,Q69)=0)),IF(C69="peso_corporal",IF(ISNUMBER(E69),E69,0)+O69,O69)*(30+P69)*100+O69,0)=AA69,4,IF(IF((M69&gt;=3)*(1-(IF(N69="",-1,N69)&gt;=0)*(IF(N69="",-1,N69)&lt;=1))*(1-(IF(N69="",-1,N69)=0)),IF(C69="peso_corporal",IF(ISNUMBER(E69),E69,0)+L69,L69)*(30+M69)*100+L69,0)=AA69,3,IF(IF((J69&gt;=3)*(1-(IF(K69="",-1,K69)&gt;=0)*(IF(K69="",-1,K69)&lt;=1))*(1-(IF(K69="",-1,K69)=0)),IF(C69="peso_corporal",IF(ISNUMBER(E69),E69,0)+I69,I69)*(30+J69)*100+I69,0)=AA69,2,IF(IF((G69&gt;=3)*(1-(IF(H69="",-1,H69)&gt;=0)*(IF(H69="",-1,H69)&lt;=1))*(1-(IF(H69="",-1,H69)=0)),IF(C69="peso_corporal",IF(ISNUMBER(E69),E69,0)+F69,F69)*(30+G69)*100+F69,0)=AA69,1,0))))))</f>
        <v>0</v>
      </c>
      <c r="AC69" s="69" t="str">
        <f>IF(X69&gt;0,"A"&amp;X69,IF(Z69&gt;0,"B"&amp;Z69,IF(AB69&gt;0,"C"&amp;AB69,"")))</f>
        <v/>
      </c>
    </row>
    <row r="70" spans="1:29" ht="15" customHeight="1">
      <c r="A70" s="72" t="s">
        <v>56</v>
      </c>
      <c r="B70" s="73"/>
      <c r="C70" s="73"/>
      <c r="D70" s="73"/>
      <c r="E70" s="73"/>
      <c r="F70" s="73"/>
      <c r="G70" s="73"/>
      <c r="H70" s="73"/>
      <c r="I70" s="73"/>
      <c r="J70" s="73"/>
      <c r="K70" s="73"/>
      <c r="L70" s="73"/>
      <c r="M70" s="73"/>
      <c r="N70" s="73"/>
      <c r="O70" s="73"/>
      <c r="P70" s="73"/>
      <c r="Q70" s="73"/>
      <c r="R70" s="73"/>
      <c r="S70" s="73"/>
      <c r="T70" s="73"/>
      <c r="U70" s="73"/>
      <c r="V70" s="73"/>
      <c r="W70" s="69"/>
      <c r="X70" s="69"/>
      <c r="Y70" s="69"/>
      <c r="Z70" s="69"/>
      <c r="AA70" s="69"/>
      <c r="AB70" s="69"/>
      <c r="AC70" s="69"/>
    </row>
    <row r="71" spans="1:29" ht="20.100000000000001" customHeight="1">
      <c r="A71" s="14" t="s">
        <v>57</v>
      </c>
      <c r="B71" s="15" t="s">
        <v>58</v>
      </c>
      <c r="C71" s="16" t="str">
        <f>IFERROR(INDEX(EJERCICIOS!$D$3:$D$75,MATCH(A71&amp;"|"&amp;B71,EJERCICIOS!$G$3:$G$75,0)),"--")</f>
        <v>polea</v>
      </c>
      <c r="D71" s="17">
        <v>3</v>
      </c>
      <c r="E71" s="18">
        <f>IFERROR(LOOKUP(2,1/(MEDIDAS_Y_PESO!$B$3:$B$5&lt;&gt;""),MEDIDAS_Y_PESO!$B$3:$B$5),"--")</f>
        <v>80</v>
      </c>
      <c r="F71" s="19"/>
      <c r="G71" s="20"/>
      <c r="H71" s="21"/>
      <c r="I71" s="19"/>
      <c r="J71" s="20"/>
      <c r="K71" s="21"/>
      <c r="L71" s="19"/>
      <c r="M71" s="20"/>
      <c r="N71" s="21"/>
      <c r="O71" s="19"/>
      <c r="P71" s="20"/>
      <c r="Q71" s="21"/>
      <c r="R71" s="19"/>
      <c r="S71" s="20"/>
      <c r="T71" s="21"/>
      <c r="U71" s="22" t="str">
        <f>IFERROR(IF(IF(X71&gt;0,X71,IF(Z71&gt;0,Z71,IF(AB71&gt;0,AB71,0)))=0,"--",ROUND(CHOOSE(IF(X71&gt;0,X71,IF(Z71&gt;0,Z71,IF(AB71&gt;0,AB71,0))),IF(C71="peso_corporal",IF(ISNUMBER(E71),E71,0)+F71,F71)*(1+G71/30),IF(C71="peso_corporal",IF(ISNUMBER(E71),E71,0)+I71,I71)*(1+J71/30),IF(C71="peso_corporal",IF(ISNUMBER(E71),E71,0)+L71,L71)*(1+M71/30),IF(C71="peso_corporal",IF(ISNUMBER(E71),E71,0)+O71,O71)*(1+P71/30),IF(C71="peso_corporal",IF(ISNUMBER(E71),E71,0)+R71,R71)*(1+S71/30)),1)),"--")</f>
        <v>--</v>
      </c>
      <c r="V71" s="23" t="str">
        <f>IF(SUGERENCIAS!N151="SIN","Sin datos anteriores",IF(SUGERENCIAS!N151="SUBIR_F","^ SUBIR FUERTE | Kg:"&amp;ROUND(SUGERENCIAS!K151,1)&amp;" R:"&amp;ROUND(SUGERENCIAS!L151,0)&amp;" RIR:"&amp;ROUND(SUGERENCIAS!M151,0),IF(SUGERENCIAS!N151="SUBIR_E","^ SUBIR (Est.) | Kg:"&amp;ROUND(SUGERENCIAS!K151,1)&amp;" R:"&amp;ROUND(SUGERENCIAS!L151,0)&amp;" RIR:"&amp;ROUND(SUGERENCIAS!M151,0),IF(SUGERENCIAS!N151="SUBIR","^ SUBIR | Kg:"&amp;ROUND(SUGERENCIAS!K151,1)&amp;" R:"&amp;ROUND(SUGERENCIAS!L151,0)&amp;" RIR:"&amp;ROUND(SUGERENCIAS!M151,0),IF(SUGERENCIAS!N151="BAJAR","v BAJAR | Kg:"&amp;ROUND(SUGERENCIAS!K151,1)&amp;" R:"&amp;ROUND(SUGERENCIAS!L151,0)&amp;" RIR:"&amp;ROUND(SUGERENCIAS!M151,0),"= MANT | Kg:"&amp;ROUND(SUGERENCIAS!K151,1)&amp;" R:"&amp;ROUND(SUGERENCIAS!L151,0)&amp;" RIR:"&amp;ROUND(SUGERENCIAS!M151,0))))))</f>
        <v>Sin datos anteriores</v>
      </c>
      <c r="W71" s="69">
        <f>MAX(IF((G71&gt;0)*(IF(H71="",-1,H71)&gt;=0)*(IF(H71="",-1,H71)&lt;=1),IF(C71="peso_corporal",IF(ISNUMBER(E71),E71,0)+F71,F71)*G71*1000+F71,0),IF((J71&gt;0)*(IF(K71="",-1,K71)&gt;=0)*(IF(K71="",-1,K71)&lt;=1),IF(C71="peso_corporal",IF(ISNUMBER(E71),E71,0)+I71,I71)*J71*1000+I71,0),IF((M71&gt;0)*(IF(N71="",-1,N71)&gt;=0)*(IF(N71="",-1,N71)&lt;=1),IF(C71="peso_corporal",IF(ISNUMBER(E71),E71,0)+L71,L71)*M71*1000+L71,0),IF((P71&gt;0)*(IF(Q71="",-1,Q71)&gt;=0)*(IF(Q71="",-1,Q71)&lt;=1),IF(C71="peso_corporal",IF(ISNUMBER(E71),E71,0)+O71,O71)*P71*1000+O71,0),IF((S71&gt;0)*(IF(T71="",-1,T71)&gt;=0)*(IF(T71="",-1,T71)&lt;=1),IF(C71="peso_corporal",IF(ISNUMBER(E71),E71,0)+R71,R71)*S71*1000+R71,0))</f>
        <v>0</v>
      </c>
      <c r="X71" s="69">
        <f>IF(W71=0,0,IF(IF((S71&gt;0)*(IF(T71="",-1,T71)&gt;=0)*(IF(T71="",-1,T71)&lt;=1),IF(C71="peso_corporal",IF(ISNUMBER(E71),E71,0)+R71,R71)*S71*1000+R71,0)=W71,5,IF(IF((P71&gt;0)*(IF(Q71="",-1,Q71)&gt;=0)*(IF(Q71="",-1,Q71)&lt;=1),IF(C71="peso_corporal",IF(ISNUMBER(E71),E71,0)+O71,O71)*P71*1000+O71,0)=W71,4,IF(IF((M71&gt;0)*(IF(N71="",-1,N71)&gt;=0)*(IF(N71="",-1,N71)&lt;=1),IF(C71="peso_corporal",IF(ISNUMBER(E71),E71,0)+L71,L71)*M71*1000+L71,0)=W71,3,IF(IF((J71&gt;0)*(IF(K71="",-1,K71)&gt;=0)*(IF(K71="",-1,K71)&lt;=1),IF(C71="peso_corporal",IF(ISNUMBER(E71),E71,0)+I71,I71)*J71*1000+I71,0)=W71,2,IF(IF((G71&gt;0)*(IF(H71="",-1,H71)&gt;=0)*(IF(H71="",-1,H71)&lt;=1),IF(C71="peso_corporal",IF(ISNUMBER(E71),E71,0)+F71,F71)*G71*1000+F71,0)=W71,1,0))))))</f>
        <v>0</v>
      </c>
      <c r="Y71" s="69">
        <f>MAX(IF((G71&gt;0)*(IF(H71="",-1,H71)=0)*(1-(IF(H71="",-1,H71)&gt;=0)*(IF(H71="",-1,H71)&lt;=1)),IF(C71="peso_corporal",IF(ISNUMBER(E71),E71,0)+F71,F71)*G71*1000+F71,0),IF((J71&gt;0)*(IF(K71="",-1,K71)=0)*(1-(IF(K71="",-1,K71)&gt;=0)*(IF(K71="",-1,K71)&lt;=1)),IF(C71="peso_corporal",IF(ISNUMBER(E71),E71,0)+I71,I71)*J71*1000+I71,0),IF((M71&gt;0)*(IF(N71="",-1,N71)=0)*(1-(IF(N71="",-1,N71)&gt;=0)*(IF(N71="",-1,N71)&lt;=1)),IF(C71="peso_corporal",IF(ISNUMBER(E71),E71,0)+L71,L71)*M71*1000+L71,0),IF((P71&gt;0)*(IF(Q71="",-1,Q71)=0)*(1-(IF(Q71="",-1,Q71)&gt;=0)*(IF(Q71="",-1,Q71)&lt;=1)),IF(C71="peso_corporal",IF(ISNUMBER(E71),E71,0)+O71,O71)*P71*1000+O71,0),IF((S71&gt;0)*(IF(T71="",-1,T71)=0)*(1-(IF(T71="",-1,T71)&gt;=0)*(IF(T71="",-1,T71)&lt;=1)),IF(C71="peso_corporal",IF(ISNUMBER(E71),E71,0)+R71,R71)*S71*1000+R71,0))</f>
        <v>0</v>
      </c>
      <c r="Z71" s="69">
        <f>IF(Y71=0,0,IF(IF((S71&gt;0)*(IF(T71="",-1,T71)=0)*(1-(IF(T71="",-1,T71)&gt;=0)*(IF(T71="",-1,T71)&lt;=1)),IF(C71="peso_corporal",IF(ISNUMBER(E71),E71,0)+R71,R71)*S71*1000+R71,0)=Y71,5,IF(IF((P71&gt;0)*(IF(Q71="",-1,Q71)=0)*(1-(IF(Q71="",-1,Q71)&gt;=0)*(IF(Q71="",-1,Q71)&lt;=1)),IF(C71="peso_corporal",IF(ISNUMBER(E71),E71,0)+O71,O71)*P71*1000+O71,0)=Y71,4,IF(IF((M71&gt;0)*(IF(N71="",-1,N71)=0)*(1-(IF(N71="",-1,N71)&gt;=0)*(IF(N71="",-1,N71)&lt;=1)),IF(C71="peso_corporal",IF(ISNUMBER(E71),E71,0)+L71,L71)*M71*1000+L71,0)=Y71,3,IF(IF((J71&gt;0)*(IF(K71="",-1,K71)=0)*(1-(IF(K71="",-1,K71)&gt;=0)*(IF(K71="",-1,K71)&lt;=1)),IF(C71="peso_corporal",IF(ISNUMBER(E71),E71,0)+I71,I71)*J71*1000+I71,0)=Y71,2,IF(IF((G71&gt;0)*(IF(H71="",-1,H71)=0)*(1-(IF(H71="",-1,H71)&gt;=0)*(IF(H71="",-1,H71)&lt;=1)),IF(C71="peso_corporal",IF(ISNUMBER(E71),E71,0)+F71,F71)*G71*1000+F71,0)=Y71,1,0))))))</f>
        <v>0</v>
      </c>
      <c r="AA71" s="69">
        <f>MAX(IF((G71&gt;=3)*(1-(IF(H71="",-1,H71)&gt;=0)*(IF(H71="",-1,H71)&lt;=1))*(1-(IF(H71="",-1,H71)=0)),IF(C71="peso_corporal",IF(ISNUMBER(E71),E71,0)+F71,F71)*(30+G71)*100+F71,0),IF((J71&gt;=3)*(1-(IF(K71="",-1,K71)&gt;=0)*(IF(K71="",-1,K71)&lt;=1))*(1-(IF(K71="",-1,K71)=0)),IF(C71="peso_corporal",IF(ISNUMBER(E71),E71,0)+I71,I71)*(30+J71)*100+I71,0),IF((M71&gt;=3)*(1-(IF(N71="",-1,N71)&gt;=0)*(IF(N71="",-1,N71)&lt;=1))*(1-(IF(N71="",-1,N71)=0)),IF(C71="peso_corporal",IF(ISNUMBER(E71),E71,0)+L71,L71)*(30+M71)*100+L71,0),IF((P71&gt;=3)*(1-(IF(Q71="",-1,Q71)&gt;=0)*(IF(Q71="",-1,Q71)&lt;=1))*(1-(IF(Q71="",-1,Q71)=0)),IF(C71="peso_corporal",IF(ISNUMBER(E71),E71,0)+O71,O71)*(30+P71)*100+O71,0),IF((S71&gt;=3)*(1-(IF(T71="",-1,T71)&gt;=0)*(IF(T71="",-1,T71)&lt;=1))*(1-(IF(T71="",-1,T71)=0)),IF(C71="peso_corporal",IF(ISNUMBER(E71),E71,0)+R71,R71)*(30+S71)*100+R71,0))</f>
        <v>0</v>
      </c>
      <c r="AB71" s="69">
        <f>IF(AA71=0,0,IF(IF((S71&gt;=3)*(1-(IF(T71="",-1,T71)&gt;=0)*(IF(T71="",-1,T71)&lt;=1))*(1-(IF(T71="",-1,T71)=0)),IF(C71="peso_corporal",IF(ISNUMBER(E71),E71,0)+R71,R71)*(30+S71)*100+R71,0)=AA71,5,IF(IF((P71&gt;=3)*(1-(IF(Q71="",-1,Q71)&gt;=0)*(IF(Q71="",-1,Q71)&lt;=1))*(1-(IF(Q71="",-1,Q71)=0)),IF(C71="peso_corporal",IF(ISNUMBER(E71),E71,0)+O71,O71)*(30+P71)*100+O71,0)=AA71,4,IF(IF((M71&gt;=3)*(1-(IF(N71="",-1,N71)&gt;=0)*(IF(N71="",-1,N71)&lt;=1))*(1-(IF(N71="",-1,N71)=0)),IF(C71="peso_corporal",IF(ISNUMBER(E71),E71,0)+L71,L71)*(30+M71)*100+L71,0)=AA71,3,IF(IF((J71&gt;=3)*(1-(IF(K71="",-1,K71)&gt;=0)*(IF(K71="",-1,K71)&lt;=1))*(1-(IF(K71="",-1,K71)=0)),IF(C71="peso_corporal",IF(ISNUMBER(E71),E71,0)+I71,I71)*(30+J71)*100+I71,0)=AA71,2,IF(IF((G71&gt;=3)*(1-(IF(H71="",-1,H71)&gt;=0)*(IF(H71="",-1,H71)&lt;=1))*(1-(IF(H71="",-1,H71)=0)),IF(C71="peso_corporal",IF(ISNUMBER(E71),E71,0)+F71,F71)*(30+G71)*100+F71,0)=AA71,1,0))))))</f>
        <v>0</v>
      </c>
      <c r="AC71" s="69" t="str">
        <f>IF(X71&gt;0,"A"&amp;X71,IF(Z71&gt;0,"B"&amp;Z71,IF(AB71&gt;0,"C"&amp;AB71,"")))</f>
        <v/>
      </c>
    </row>
    <row r="72" spans="1:29" ht="6" customHeight="1">
      <c r="A72" s="13"/>
      <c r="B72" s="13"/>
      <c r="C72" s="13"/>
      <c r="D72" s="13"/>
      <c r="E72" s="13"/>
      <c r="F72" s="13"/>
      <c r="G72" s="13"/>
      <c r="H72" s="13"/>
      <c r="I72" s="13"/>
      <c r="J72" s="13"/>
      <c r="K72" s="13"/>
      <c r="L72" s="13"/>
      <c r="M72" s="13"/>
      <c r="N72" s="13"/>
      <c r="O72" s="13"/>
      <c r="P72" s="13"/>
      <c r="Q72" s="13"/>
      <c r="R72" s="13"/>
      <c r="S72" s="13"/>
      <c r="T72" s="13"/>
      <c r="U72" s="13"/>
      <c r="V72" s="13"/>
      <c r="W72" s="69"/>
      <c r="X72" s="69"/>
      <c r="Y72" s="69"/>
      <c r="Z72" s="69"/>
      <c r="AA72" s="69"/>
      <c r="AB72" s="69"/>
      <c r="AC72" s="69"/>
    </row>
    <row r="73" spans="1:29" ht="18" customHeight="1">
      <c r="A73" s="85" t="s">
        <v>69</v>
      </c>
      <c r="B73" s="73"/>
      <c r="C73" s="73"/>
      <c r="D73" s="73"/>
      <c r="E73" s="73"/>
      <c r="F73" s="73"/>
      <c r="G73" s="73"/>
      <c r="H73" s="73"/>
      <c r="I73" s="73"/>
      <c r="J73" s="73"/>
      <c r="K73" s="73"/>
      <c r="L73" s="73"/>
      <c r="M73" s="73"/>
      <c r="N73" s="73"/>
      <c r="O73" s="73"/>
      <c r="P73" s="73"/>
      <c r="Q73" s="73"/>
      <c r="R73" s="73"/>
      <c r="S73" s="73"/>
      <c r="T73" s="73"/>
      <c r="U73" s="73"/>
      <c r="V73" s="73"/>
      <c r="W73" s="69"/>
      <c r="X73" s="69"/>
      <c r="Y73" s="69"/>
      <c r="Z73" s="69"/>
      <c r="AA73" s="69"/>
      <c r="AB73" s="69"/>
      <c r="AC73" s="69"/>
    </row>
    <row r="74" spans="1:29" ht="15" customHeight="1">
      <c r="A74" s="75" t="s">
        <v>88</v>
      </c>
      <c r="B74" s="73"/>
      <c r="C74" s="73"/>
      <c r="D74" s="73"/>
      <c r="E74" s="73"/>
      <c r="F74" s="73"/>
      <c r="G74" s="73"/>
      <c r="H74" s="73"/>
      <c r="I74" s="73"/>
      <c r="J74" s="73"/>
      <c r="K74" s="73"/>
      <c r="L74" s="73"/>
      <c r="M74" s="73"/>
      <c r="N74" s="73"/>
      <c r="O74" s="73"/>
      <c r="P74" s="73"/>
      <c r="Q74" s="73"/>
      <c r="R74" s="73"/>
      <c r="S74" s="73"/>
      <c r="T74" s="73"/>
      <c r="U74" s="73"/>
      <c r="V74" s="73"/>
      <c r="W74" s="69"/>
      <c r="X74" s="69"/>
      <c r="Y74" s="69"/>
      <c r="Z74" s="69"/>
      <c r="AA74" s="69"/>
      <c r="AB74" s="69"/>
      <c r="AC74" s="69"/>
    </row>
    <row r="75" spans="1:29" ht="11.1" customHeight="1">
      <c r="A75" s="76" t="s">
        <v>89</v>
      </c>
      <c r="B75" s="73"/>
      <c r="C75" s="73"/>
      <c r="D75" s="73"/>
      <c r="E75" s="73"/>
      <c r="F75" s="73"/>
      <c r="G75" s="73"/>
      <c r="H75" s="73"/>
      <c r="I75" s="73"/>
      <c r="J75" s="73"/>
      <c r="K75" s="73"/>
      <c r="L75" s="73"/>
      <c r="M75" s="73"/>
      <c r="N75" s="73"/>
      <c r="O75" s="73"/>
      <c r="P75" s="73"/>
      <c r="Q75" s="73"/>
      <c r="R75" s="73"/>
      <c r="S75" s="73"/>
      <c r="T75" s="73"/>
      <c r="U75" s="73"/>
      <c r="V75" s="73"/>
      <c r="W75" s="69"/>
      <c r="X75" s="69"/>
      <c r="Y75" s="69"/>
      <c r="Z75" s="69"/>
      <c r="AA75" s="69"/>
      <c r="AB75" s="69"/>
      <c r="AC75" s="69"/>
    </row>
    <row r="76" spans="1:29" ht="20.100000000000001" customHeight="1">
      <c r="A76" s="14" t="s">
        <v>111</v>
      </c>
      <c r="B76" s="15" t="s">
        <v>91</v>
      </c>
      <c r="C76" s="16" t="str">
        <f>IFERROR(INDEX(EJERCICIOS!$D$3:$D$75,MATCH(A76&amp;"|"&amp;B76,EJERCICIOS!$G$3:$G$75,0)),"--")</f>
        <v>polea</v>
      </c>
      <c r="D76" s="17">
        <v>4</v>
      </c>
      <c r="E76" s="18">
        <f>IFERROR(LOOKUP(2,1/(MEDIDAS_Y_PESO!$B$3:$B$6&lt;&gt;""),MEDIDAS_Y_PESO!$B$3:$B$6),"--")</f>
        <v>80</v>
      </c>
      <c r="F76" s="19">
        <v>40</v>
      </c>
      <c r="G76" s="20">
        <v>8</v>
      </c>
      <c r="H76" s="21">
        <v>4</v>
      </c>
      <c r="I76" s="19">
        <v>52.5</v>
      </c>
      <c r="J76" s="20">
        <v>7</v>
      </c>
      <c r="K76" s="21">
        <v>2</v>
      </c>
      <c r="L76" s="19">
        <v>60</v>
      </c>
      <c r="M76" s="20">
        <v>8</v>
      </c>
      <c r="N76" s="21">
        <v>0</v>
      </c>
      <c r="O76" s="19">
        <v>67.5</v>
      </c>
      <c r="P76" s="20">
        <v>4</v>
      </c>
      <c r="Q76" s="21">
        <v>0</v>
      </c>
      <c r="R76" s="19"/>
      <c r="S76" s="20"/>
      <c r="T76" s="21"/>
      <c r="U76" s="22">
        <f>IFERROR(IF(IF(X76&gt;0,X76,IF(Z76&gt;0,Z76,IF(AB76&gt;0,AB76,0)))=0,"--",ROUND(CHOOSE(IF(X76&gt;0,X76,IF(Z76&gt;0,Z76,IF(AB76&gt;0,AB76,0))),IF(C76="peso_corporal",IF(ISNUMBER(E76),E76,0)+F76,F76)*(1+G76/30),IF(C76="peso_corporal",IF(ISNUMBER(E76),E76,0)+I76,I76)*(1+J76/30),IF(C76="peso_corporal",IF(ISNUMBER(E76),E76,0)+L76,L76)*(1+M76/30),IF(C76="peso_corporal",IF(ISNUMBER(E76),E76,0)+O76,O76)*(1+P76/30),IF(C76="peso_corporal",IF(ISNUMBER(E76),E76,0)+R76,R76)*(1+S76/30)),1)),"--")</f>
        <v>64.8</v>
      </c>
      <c r="V76" s="23" t="str">
        <f>IF(SUGERENCIAS!N204="SIN","Sin datos anteriores",IF(SUGERENCIAS!N204="SUBIR_F","^ SUBIR FUERTE | Kg:"&amp;ROUND(SUGERENCIAS!K204,1)&amp;" R:"&amp;ROUND(SUGERENCIAS!L204,0)&amp;" RIR:"&amp;ROUND(SUGERENCIAS!M204,0),IF(SUGERENCIAS!N204="SUBIR_E","^ SUBIR (Est.) | Kg:"&amp;ROUND(SUGERENCIAS!K204,1)&amp;" R:"&amp;ROUND(SUGERENCIAS!L204,0)&amp;" RIR:"&amp;ROUND(SUGERENCIAS!M204,0),IF(SUGERENCIAS!N204="SUBIR","^ SUBIR | Kg:"&amp;ROUND(SUGERENCIAS!K204,1)&amp;" R:"&amp;ROUND(SUGERENCIAS!L204,0)&amp;" RIR:"&amp;ROUND(SUGERENCIAS!M204,0),IF(SUGERENCIAS!N204="BAJAR","v BAJAR | Kg:"&amp;ROUND(SUGERENCIAS!K204,1)&amp;" R:"&amp;ROUND(SUGERENCIAS!L204,0)&amp;" RIR:"&amp;ROUND(SUGERENCIAS!M204,0),"= MANT | Kg:"&amp;ROUND(SUGERENCIAS!K204,1)&amp;" R:"&amp;ROUND(SUGERENCIAS!L204,0)&amp;" RIR:"&amp;ROUND(SUGERENCIAS!M204,0))))))</f>
        <v>Sin datos anteriores</v>
      </c>
      <c r="W76" s="69">
        <f>MAX(IF((G76&gt;0)*(IF(H76="",-1,H76)&gt;=1)*(IF(H76="",-1,H76)&lt;=3),IF(C76="peso_corporal",IF(ISNUMBER(E76),E76,0)+F76,F76)*G76*1000+F76,0),IF((J76&gt;0)*(IF(K76="",-1,K76)&gt;=1)*(IF(K76="",-1,K76)&lt;=3),IF(C76="peso_corporal",IF(ISNUMBER(E76),E76,0)+I76,I76)*J76*1000+I76,0),IF((M76&gt;0)*(IF(N76="",-1,N76)&gt;=1)*(IF(N76="",-1,N76)&lt;=3),IF(C76="peso_corporal",IF(ISNUMBER(E76),E76,0)+L76,L76)*M76*1000+L76,0),IF((P76&gt;0)*(IF(Q76="",-1,Q76)&gt;=1)*(IF(Q76="",-1,Q76)&lt;=3),IF(C76="peso_corporal",IF(ISNUMBER(E76),E76,0)+O76,O76)*P76*1000+O76,0),IF((S76&gt;0)*(IF(T76="",-1,T76)&gt;=1)*(IF(T76="",-1,T76)&lt;=3),IF(C76="peso_corporal",IF(ISNUMBER(E76),E76,0)+R76,R76)*S76*1000+R76,0))</f>
        <v>367552.5</v>
      </c>
      <c r="X76" s="69">
        <f>IF(W76=0,0,IF(IF((S76&gt;0)*(IF(T76="",-1,T76)&gt;=1)*(IF(T76="",-1,T76)&lt;=3),IF(C76="peso_corporal",IF(ISNUMBER(E76),E76,0)+R76,R76)*S76*1000+R76,0)=W76,5,IF(IF((P76&gt;0)*(IF(Q76="",-1,Q76)&gt;=1)*(IF(Q76="",-1,Q76)&lt;=3),IF(C76="peso_corporal",IF(ISNUMBER(E76),E76,0)+O76,O76)*P76*1000+O76,0)=W76,4,IF(IF((M76&gt;0)*(IF(N76="",-1,N76)&gt;=1)*(IF(N76="",-1,N76)&lt;=3),IF(C76="peso_corporal",IF(ISNUMBER(E76),E76,0)+L76,L76)*M76*1000+L76,0)=W76,3,IF(IF((J76&gt;0)*(IF(K76="",-1,K76)&gt;=1)*(IF(K76="",-1,K76)&lt;=3),IF(C76="peso_corporal",IF(ISNUMBER(E76),E76,0)+I76,I76)*J76*1000+I76,0)=W76,2,IF(IF((G76&gt;0)*(IF(H76="",-1,H76)&gt;=1)*(IF(H76="",-1,H76)&lt;=3),IF(C76="peso_corporal",IF(ISNUMBER(E76),E76,0)+F76,F76)*G76*1000+F76,0)=W76,1,0))))))</f>
        <v>2</v>
      </c>
      <c r="Y76" s="69">
        <f>MAX(IF((G76&gt;0)*(IF(H76="",-1,H76)=0)*(1-(IF(H76="",-1,H76)&gt;=1)*(IF(H76="",-1,H76)&lt;=3)),IF(C76="peso_corporal",IF(ISNUMBER(E76),E76,0)+F76,F76)*G76*1000+F76,0),IF((J76&gt;0)*(IF(K76="",-1,K76)=0)*(1-(IF(K76="",-1,K76)&gt;=1)*(IF(K76="",-1,K76)&lt;=3)),IF(C76="peso_corporal",IF(ISNUMBER(E76),E76,0)+I76,I76)*J76*1000+I76,0),IF((M76&gt;0)*(IF(N76="",-1,N76)=0)*(1-(IF(N76="",-1,N76)&gt;=1)*(IF(N76="",-1,N76)&lt;=3)),IF(C76="peso_corporal",IF(ISNUMBER(E76),E76,0)+L76,L76)*M76*1000+L76,0),IF((P76&gt;0)*(IF(Q76="",-1,Q76)=0)*(1-(IF(Q76="",-1,Q76)&gt;=1)*(IF(Q76="",-1,Q76)&lt;=3)),IF(C76="peso_corporal",IF(ISNUMBER(E76),E76,0)+O76,O76)*P76*1000+O76,0),IF((S76&gt;0)*(IF(T76="",-1,T76)=0)*(1-(IF(T76="",-1,T76)&gt;=1)*(IF(T76="",-1,T76)&lt;=3)),IF(C76="peso_corporal",IF(ISNUMBER(E76),E76,0)+R76,R76)*S76*1000+R76,0))</f>
        <v>480060</v>
      </c>
      <c r="Z76" s="69">
        <f>IF(Y76=0,0,IF(IF((S76&gt;0)*(IF(T76="",-1,T76)=0)*(1-(IF(T76="",-1,T76)&gt;=1)*(IF(T76="",-1,T76)&lt;=3)),IF(C76="peso_corporal",IF(ISNUMBER(E76),E76,0)+R76,R76)*S76*1000+R76,0)=Y76,5,IF(IF((P76&gt;0)*(IF(Q76="",-1,Q76)=0)*(1-(IF(Q76="",-1,Q76)&gt;=1)*(IF(Q76="",-1,Q76)&lt;=3)),IF(C76="peso_corporal",IF(ISNUMBER(E76),E76,0)+O76,O76)*P76*1000+O76,0)=Y76,4,IF(IF((M76&gt;0)*(IF(N76="",-1,N76)=0)*(1-(IF(N76="",-1,N76)&gt;=1)*(IF(N76="",-1,N76)&lt;=3)),IF(C76="peso_corporal",IF(ISNUMBER(E76),E76,0)+L76,L76)*M76*1000+L76,0)=Y76,3,IF(IF((J76&gt;0)*(IF(K76="",-1,K76)=0)*(1-(IF(K76="",-1,K76)&gt;=1)*(IF(K76="",-1,K76)&lt;=3)),IF(C76="peso_corporal",IF(ISNUMBER(E76),E76,0)+I76,I76)*J76*1000+I76,0)=Y76,2,IF(IF((G76&gt;0)*(IF(H76="",-1,H76)=0)*(1-(IF(H76="",-1,H76)&gt;=1)*(IF(H76="",-1,H76)&lt;=3)),IF(C76="peso_corporal",IF(ISNUMBER(E76),E76,0)+F76,F76)*G76*1000+F76,0)=Y76,1,0))))))</f>
        <v>3</v>
      </c>
      <c r="AA76" s="69">
        <f>MAX(IF((G76&gt;=6)*(1-(IF(H76="",-1,H76)&gt;=1)*(IF(H76="",-1,H76)&lt;=3))*(1-(IF(H76="",-1,H76)=0)),IF(C76="peso_corporal",IF(ISNUMBER(E76),E76,0)+F76,F76)*(30+G76)*100+F76,0),IF((J76&gt;=6)*(1-(IF(K76="",-1,K76)&gt;=1)*(IF(K76="",-1,K76)&lt;=3))*(1-(IF(K76="",-1,K76)=0)),IF(C76="peso_corporal",IF(ISNUMBER(E76),E76,0)+I76,I76)*(30+J76)*100+I76,0),IF((M76&gt;=6)*(1-(IF(N76="",-1,N76)&gt;=1)*(IF(N76="",-1,N76)&lt;=3))*(1-(IF(N76="",-1,N76)=0)),IF(C76="peso_corporal",IF(ISNUMBER(E76),E76,0)+L76,L76)*(30+M76)*100+L76,0),IF((P76&gt;=6)*(1-(IF(Q76="",-1,Q76)&gt;=1)*(IF(Q76="",-1,Q76)&lt;=3))*(1-(IF(Q76="",-1,Q76)=0)),IF(C76="peso_corporal",IF(ISNUMBER(E76),E76,0)+O76,O76)*(30+P76)*100+O76,0),IF((S76&gt;=6)*(1-(IF(T76="",-1,T76)&gt;=1)*(IF(T76="",-1,T76)&lt;=3))*(1-(IF(T76="",-1,T76)=0)),IF(C76="peso_corporal",IF(ISNUMBER(E76),E76,0)+R76,R76)*(30+S76)*100+R76,0))</f>
        <v>152040</v>
      </c>
      <c r="AB76" s="69">
        <f>IF(AA76=0,0,IF(IF((S76&gt;=6)*(1-(IF(T76="",-1,T76)&gt;=1)*(IF(T76="",-1,T76)&lt;=3))*(1-(IF(T76="",-1,T76)=0)),IF(C76="peso_corporal",IF(ISNUMBER(E76),E76,0)+R76,R76)*(30+S76)*100+R76,0)=AA76,5,IF(IF((P76&gt;=6)*(1-(IF(Q76="",-1,Q76)&gt;=1)*(IF(Q76="",-1,Q76)&lt;=3))*(1-(IF(Q76="",-1,Q76)=0)),IF(C76="peso_corporal",IF(ISNUMBER(E76),E76,0)+O76,O76)*(30+P76)*100+O76,0)=AA76,4,IF(IF((M76&gt;=6)*(1-(IF(N76="",-1,N76)&gt;=1)*(IF(N76="",-1,N76)&lt;=3))*(1-(IF(N76="",-1,N76)=0)),IF(C76="peso_corporal",IF(ISNUMBER(E76),E76,0)+L76,L76)*(30+M76)*100+L76,0)=AA76,3,IF(IF((J76&gt;=6)*(1-(IF(K76="",-1,K76)&gt;=1)*(IF(K76="",-1,K76)&lt;=3))*(1-(IF(K76="",-1,K76)=0)),IF(C76="peso_corporal",IF(ISNUMBER(E76),E76,0)+I76,I76)*(30+J76)*100+I76,0)=AA76,2,IF(IF((G76&gt;=6)*(1-(IF(H76="",-1,H76)&gt;=1)*(IF(H76="",-1,H76)&lt;=3))*(1-(IF(H76="",-1,H76)=0)),IF(C76="peso_corporal",IF(ISNUMBER(E76),E76,0)+F76,F76)*(30+G76)*100+F76,0)=AA76,1,0))))))</f>
        <v>1</v>
      </c>
      <c r="AC76" s="69" t="str">
        <f>IF(X76&gt;0,"A"&amp;X76,IF(Z76&gt;0,"B"&amp;Z76,IF(AB76&gt;0,"C"&amp;AB76,"")))</f>
        <v>A2</v>
      </c>
    </row>
    <row r="77" spans="1:29" ht="20.100000000000001" customHeight="1">
      <c r="A77" s="14" t="s">
        <v>111</v>
      </c>
      <c r="B77" s="15" t="s">
        <v>112</v>
      </c>
      <c r="C77" s="16" t="str">
        <f>IFERROR(INDEX(EJERCICIOS!$D$3:$D$75,MATCH(A77&amp;"|"&amp;B77,EJERCICIOS!$G$3:$G$75,0)),"--")</f>
        <v>polea</v>
      </c>
      <c r="D77" s="17">
        <v>3</v>
      </c>
      <c r="E77" s="18">
        <f>IFERROR(LOOKUP(2,1/(MEDIDAS_Y_PESO!$B$3:$B$6&lt;&gt;""),MEDIDAS_Y_PESO!$B$3:$B$6),"--")</f>
        <v>80</v>
      </c>
      <c r="F77" s="19">
        <v>45</v>
      </c>
      <c r="G77" s="20">
        <v>7</v>
      </c>
      <c r="H77" s="21">
        <v>4</v>
      </c>
      <c r="I77" s="19">
        <v>60</v>
      </c>
      <c r="J77" s="20">
        <v>8</v>
      </c>
      <c r="K77" s="21">
        <v>0</v>
      </c>
      <c r="L77" s="19">
        <v>60</v>
      </c>
      <c r="M77" s="20">
        <v>6</v>
      </c>
      <c r="N77" s="21">
        <v>0</v>
      </c>
      <c r="O77" s="19"/>
      <c r="P77" s="20"/>
      <c r="Q77" s="21"/>
      <c r="R77" s="19"/>
      <c r="S77" s="20"/>
      <c r="T77" s="21"/>
      <c r="U77" s="22">
        <f>IFERROR(IF(IF(X77&gt;0,X77,IF(Z77&gt;0,Z77,IF(AB77&gt;0,AB77,0)))=0,"--",ROUND(CHOOSE(IF(X77&gt;0,X77,IF(Z77&gt;0,Z77,IF(AB77&gt;0,AB77,0))),IF(C77="peso_corporal",IF(ISNUMBER(E77),E77,0)+F77,F77)*(1+G77/30),IF(C77="peso_corporal",IF(ISNUMBER(E77),E77,0)+I77,I77)*(1+J77/30),IF(C77="peso_corporal",IF(ISNUMBER(E77),E77,0)+L77,L77)*(1+M77/30),IF(C77="peso_corporal",IF(ISNUMBER(E77),E77,0)+O77,O77)*(1+P77/30),IF(C77="peso_corporal",IF(ISNUMBER(E77),E77,0)+R77,R77)*(1+S77/30)),1)),"--")</f>
        <v>76</v>
      </c>
      <c r="V77" s="23" t="str">
        <f>IF(SUGERENCIAS!N205="SIN","Sin datos anteriores",IF(SUGERENCIAS!N205="SUBIR_F","^ SUBIR FUERTE | Kg:"&amp;ROUND(SUGERENCIAS!K205,1)&amp;" R:"&amp;ROUND(SUGERENCIAS!L205,0)&amp;" RIR:"&amp;ROUND(SUGERENCIAS!M205,0),IF(SUGERENCIAS!N205="SUBIR_E","^ SUBIR (Est.) | Kg:"&amp;ROUND(SUGERENCIAS!K205,1)&amp;" R:"&amp;ROUND(SUGERENCIAS!L205,0)&amp;" RIR:"&amp;ROUND(SUGERENCIAS!M205,0),IF(SUGERENCIAS!N205="SUBIR","^ SUBIR | Kg:"&amp;ROUND(SUGERENCIAS!K205,1)&amp;" R:"&amp;ROUND(SUGERENCIAS!L205,0)&amp;" RIR:"&amp;ROUND(SUGERENCIAS!M205,0),IF(SUGERENCIAS!N205="BAJAR","v BAJAR | Kg:"&amp;ROUND(SUGERENCIAS!K205,1)&amp;" R:"&amp;ROUND(SUGERENCIAS!L205,0)&amp;" RIR:"&amp;ROUND(SUGERENCIAS!M205,0),"= MANT | Kg:"&amp;ROUND(SUGERENCIAS!K205,1)&amp;" R:"&amp;ROUND(SUGERENCIAS!L205,0)&amp;" RIR:"&amp;ROUND(SUGERENCIAS!M205,0))))))</f>
        <v>Sin datos anteriores</v>
      </c>
      <c r="W77" s="69">
        <f>MAX(IF((G77&gt;0)*(IF(H77="",-1,H77)&gt;=1)*(IF(H77="",-1,H77)&lt;=3),IF(C77="peso_corporal",IF(ISNUMBER(E77),E77,0)+F77,F77)*G77*1000+F77,0),IF((J77&gt;0)*(IF(K77="",-1,K77)&gt;=1)*(IF(K77="",-1,K77)&lt;=3),IF(C77="peso_corporal",IF(ISNUMBER(E77),E77,0)+I77,I77)*J77*1000+I77,0),IF((M77&gt;0)*(IF(N77="",-1,N77)&gt;=1)*(IF(N77="",-1,N77)&lt;=3),IF(C77="peso_corporal",IF(ISNUMBER(E77),E77,0)+L77,L77)*M77*1000+L77,0),IF((P77&gt;0)*(IF(Q77="",-1,Q77)&gt;=1)*(IF(Q77="",-1,Q77)&lt;=3),IF(C77="peso_corporal",IF(ISNUMBER(E77),E77,0)+O77,O77)*P77*1000+O77,0),IF((S77&gt;0)*(IF(T77="",-1,T77)&gt;=1)*(IF(T77="",-1,T77)&lt;=3),IF(C77="peso_corporal",IF(ISNUMBER(E77),E77,0)+R77,R77)*S77*1000+R77,0))</f>
        <v>0</v>
      </c>
      <c r="X77" s="69">
        <f>IF(W77=0,0,IF(IF((S77&gt;0)*(IF(T77="",-1,T77)&gt;=1)*(IF(T77="",-1,T77)&lt;=3),IF(C77="peso_corporal",IF(ISNUMBER(E77),E77,0)+R77,R77)*S77*1000+R77,0)=W77,5,IF(IF((P77&gt;0)*(IF(Q77="",-1,Q77)&gt;=1)*(IF(Q77="",-1,Q77)&lt;=3),IF(C77="peso_corporal",IF(ISNUMBER(E77),E77,0)+O77,O77)*P77*1000+O77,0)=W77,4,IF(IF((M77&gt;0)*(IF(N77="",-1,N77)&gt;=1)*(IF(N77="",-1,N77)&lt;=3),IF(C77="peso_corporal",IF(ISNUMBER(E77),E77,0)+L77,L77)*M77*1000+L77,0)=W77,3,IF(IF((J77&gt;0)*(IF(K77="",-1,K77)&gt;=1)*(IF(K77="",-1,K77)&lt;=3),IF(C77="peso_corporal",IF(ISNUMBER(E77),E77,0)+I77,I77)*J77*1000+I77,0)=W77,2,IF(IF((G77&gt;0)*(IF(H77="",-1,H77)&gt;=1)*(IF(H77="",-1,H77)&lt;=3),IF(C77="peso_corporal",IF(ISNUMBER(E77),E77,0)+F77,F77)*G77*1000+F77,0)=W77,1,0))))))</f>
        <v>0</v>
      </c>
      <c r="Y77" s="69">
        <f>MAX(IF((G77&gt;0)*(IF(H77="",-1,H77)=0)*(1-(IF(H77="",-1,H77)&gt;=1)*(IF(H77="",-1,H77)&lt;=3)),IF(C77="peso_corporal",IF(ISNUMBER(E77),E77,0)+F77,F77)*G77*1000+F77,0),IF((J77&gt;0)*(IF(K77="",-1,K77)=0)*(1-(IF(K77="",-1,K77)&gt;=1)*(IF(K77="",-1,K77)&lt;=3)),IF(C77="peso_corporal",IF(ISNUMBER(E77),E77,0)+I77,I77)*J77*1000+I77,0),IF((M77&gt;0)*(IF(N77="",-1,N77)=0)*(1-(IF(N77="",-1,N77)&gt;=1)*(IF(N77="",-1,N77)&lt;=3)),IF(C77="peso_corporal",IF(ISNUMBER(E77),E77,0)+L77,L77)*M77*1000+L77,0),IF((P77&gt;0)*(IF(Q77="",-1,Q77)=0)*(1-(IF(Q77="",-1,Q77)&gt;=1)*(IF(Q77="",-1,Q77)&lt;=3)),IF(C77="peso_corporal",IF(ISNUMBER(E77),E77,0)+O77,O77)*P77*1000+O77,0),IF((S77&gt;0)*(IF(T77="",-1,T77)=0)*(1-(IF(T77="",-1,T77)&gt;=1)*(IF(T77="",-1,T77)&lt;=3)),IF(C77="peso_corporal",IF(ISNUMBER(E77),E77,0)+R77,R77)*S77*1000+R77,0))</f>
        <v>480060</v>
      </c>
      <c r="Z77" s="69">
        <f>IF(Y77=0,0,IF(IF((S77&gt;0)*(IF(T77="",-1,T77)=0)*(1-(IF(T77="",-1,T77)&gt;=1)*(IF(T77="",-1,T77)&lt;=3)),IF(C77="peso_corporal",IF(ISNUMBER(E77),E77,0)+R77,R77)*S77*1000+R77,0)=Y77,5,IF(IF((P77&gt;0)*(IF(Q77="",-1,Q77)=0)*(1-(IF(Q77="",-1,Q77)&gt;=1)*(IF(Q77="",-1,Q77)&lt;=3)),IF(C77="peso_corporal",IF(ISNUMBER(E77),E77,0)+O77,O77)*P77*1000+O77,0)=Y77,4,IF(IF((M77&gt;0)*(IF(N77="",-1,N77)=0)*(1-(IF(N77="",-1,N77)&gt;=1)*(IF(N77="",-1,N77)&lt;=3)),IF(C77="peso_corporal",IF(ISNUMBER(E77),E77,0)+L77,L77)*M77*1000+L77,0)=Y77,3,IF(IF((J77&gt;0)*(IF(K77="",-1,K77)=0)*(1-(IF(K77="",-1,K77)&gt;=1)*(IF(K77="",-1,K77)&lt;=3)),IF(C77="peso_corporal",IF(ISNUMBER(E77),E77,0)+I77,I77)*J77*1000+I77,0)=Y77,2,IF(IF((G77&gt;0)*(IF(H77="",-1,H77)=0)*(1-(IF(H77="",-1,H77)&gt;=1)*(IF(H77="",-1,H77)&lt;=3)),IF(C77="peso_corporal",IF(ISNUMBER(E77),E77,0)+F77,F77)*G77*1000+F77,0)=Y77,1,0))))))</f>
        <v>2</v>
      </c>
      <c r="AA77" s="69">
        <f>MAX(IF((G77&gt;=6)*(1-(IF(H77="",-1,H77)&gt;=1)*(IF(H77="",-1,H77)&lt;=3))*(1-(IF(H77="",-1,H77)=0)),IF(C77="peso_corporal",IF(ISNUMBER(E77),E77,0)+F77,F77)*(30+G77)*100+F77,0),IF((J77&gt;=6)*(1-(IF(K77="",-1,K77)&gt;=1)*(IF(K77="",-1,K77)&lt;=3))*(1-(IF(K77="",-1,K77)=0)),IF(C77="peso_corporal",IF(ISNUMBER(E77),E77,0)+I77,I77)*(30+J77)*100+I77,0),IF((M77&gt;=6)*(1-(IF(N77="",-1,N77)&gt;=1)*(IF(N77="",-1,N77)&lt;=3))*(1-(IF(N77="",-1,N77)=0)),IF(C77="peso_corporal",IF(ISNUMBER(E77),E77,0)+L77,L77)*(30+M77)*100+L77,0),IF((P77&gt;=6)*(1-(IF(Q77="",-1,Q77)&gt;=1)*(IF(Q77="",-1,Q77)&lt;=3))*(1-(IF(Q77="",-1,Q77)=0)),IF(C77="peso_corporal",IF(ISNUMBER(E77),E77,0)+O77,O77)*(30+P77)*100+O77,0),IF((S77&gt;=6)*(1-(IF(T77="",-1,T77)&gt;=1)*(IF(T77="",-1,T77)&lt;=3))*(1-(IF(T77="",-1,T77)=0)),IF(C77="peso_corporal",IF(ISNUMBER(E77),E77,0)+R77,R77)*(30+S77)*100+R77,0))</f>
        <v>166545</v>
      </c>
      <c r="AB77" s="69">
        <f>IF(AA77=0,0,IF(IF((S77&gt;=6)*(1-(IF(T77="",-1,T77)&gt;=1)*(IF(T77="",-1,T77)&lt;=3))*(1-(IF(T77="",-1,T77)=0)),IF(C77="peso_corporal",IF(ISNUMBER(E77),E77,0)+R77,R77)*(30+S77)*100+R77,0)=AA77,5,IF(IF((P77&gt;=6)*(1-(IF(Q77="",-1,Q77)&gt;=1)*(IF(Q77="",-1,Q77)&lt;=3))*(1-(IF(Q77="",-1,Q77)=0)),IF(C77="peso_corporal",IF(ISNUMBER(E77),E77,0)+O77,O77)*(30+P77)*100+O77,0)=AA77,4,IF(IF((M77&gt;=6)*(1-(IF(N77="",-1,N77)&gt;=1)*(IF(N77="",-1,N77)&lt;=3))*(1-(IF(N77="",-1,N77)=0)),IF(C77="peso_corporal",IF(ISNUMBER(E77),E77,0)+L77,L77)*(30+M77)*100+L77,0)=AA77,3,IF(IF((J77&gt;=6)*(1-(IF(K77="",-1,K77)&gt;=1)*(IF(K77="",-1,K77)&lt;=3))*(1-(IF(K77="",-1,K77)=0)),IF(C77="peso_corporal",IF(ISNUMBER(E77),E77,0)+I77,I77)*(30+J77)*100+I77,0)=AA77,2,IF(IF((G77&gt;=6)*(1-(IF(H77="",-1,H77)&gt;=1)*(IF(H77="",-1,H77)&lt;=3))*(1-(IF(H77="",-1,H77)=0)),IF(C77="peso_corporal",IF(ISNUMBER(E77),E77,0)+F77,F77)*(30+G77)*100+F77,0)=AA77,1,0))))))</f>
        <v>1</v>
      </c>
      <c r="AC77" s="69" t="str">
        <f>IF(X77&gt;0,"A"&amp;X77,IF(Z77&gt;0,"B"&amp;Z77,IF(AB77&gt;0,"C"&amp;AB77,"")))</f>
        <v>B2</v>
      </c>
    </row>
    <row r="78" spans="1:29" ht="11.1" customHeight="1">
      <c r="A78" s="84" t="s">
        <v>94</v>
      </c>
      <c r="B78" s="73"/>
      <c r="C78" s="73"/>
      <c r="D78" s="73"/>
      <c r="E78" s="73"/>
      <c r="F78" s="73"/>
      <c r="G78" s="73"/>
      <c r="H78" s="73"/>
      <c r="I78" s="73"/>
      <c r="J78" s="73"/>
      <c r="K78" s="73"/>
      <c r="L78" s="73"/>
      <c r="M78" s="73"/>
      <c r="N78" s="73"/>
      <c r="O78" s="73"/>
      <c r="P78" s="73"/>
      <c r="Q78" s="73"/>
      <c r="R78" s="73"/>
      <c r="S78" s="73"/>
      <c r="T78" s="73"/>
      <c r="U78" s="73"/>
      <c r="V78" s="73"/>
      <c r="W78" s="69"/>
      <c r="X78" s="69"/>
      <c r="Y78" s="69"/>
      <c r="Z78" s="69"/>
      <c r="AA78" s="69"/>
      <c r="AB78" s="69"/>
      <c r="AC78" s="69"/>
    </row>
    <row r="79" spans="1:29" ht="20.100000000000001" customHeight="1">
      <c r="A79" s="14" t="s">
        <v>95</v>
      </c>
      <c r="B79" s="15" t="s">
        <v>113</v>
      </c>
      <c r="C79" s="16" t="str">
        <f>IFERROR(INDEX(EJERCICIOS!$D$3:$D$75,MATCH(A79&amp;"|"&amp;B79,EJERCICIOS!$G$3:$G$75,0)),"--")</f>
        <v>polea</v>
      </c>
      <c r="D79" s="17">
        <v>4</v>
      </c>
      <c r="E79" s="18">
        <f>IFERROR(LOOKUP(2,1/(MEDIDAS_Y_PESO!$B$3:$B$6&lt;&gt;""),MEDIDAS_Y_PESO!$B$3:$B$6),"--")</f>
        <v>80</v>
      </c>
      <c r="F79" s="19">
        <v>32.5</v>
      </c>
      <c r="G79" s="20">
        <v>6</v>
      </c>
      <c r="H79" s="21">
        <v>5</v>
      </c>
      <c r="I79" s="19">
        <v>45</v>
      </c>
      <c r="J79" s="20">
        <v>8</v>
      </c>
      <c r="K79" s="21">
        <v>2</v>
      </c>
      <c r="L79" s="19">
        <v>52.5</v>
      </c>
      <c r="M79" s="20">
        <v>7</v>
      </c>
      <c r="N79" s="21">
        <v>2</v>
      </c>
      <c r="O79" s="19">
        <v>60</v>
      </c>
      <c r="P79" s="20">
        <v>5</v>
      </c>
      <c r="Q79" s="21">
        <v>0</v>
      </c>
      <c r="R79" s="19"/>
      <c r="S79" s="20"/>
      <c r="T79" s="21"/>
      <c r="U79" s="22">
        <f>IFERROR(IF(IF(X79&gt;0,X79,IF(Z79&gt;0,Z79,IF(AB79&gt;0,AB79,0)))=0,"--",ROUND(CHOOSE(IF(X79&gt;0,X79,IF(Z79&gt;0,Z79,IF(AB79&gt;0,AB79,0))),IF(C79="peso_corporal",IF(ISNUMBER(E79),E79,0)+F79,F79)*(1+G79/30),IF(C79="peso_corporal",IF(ISNUMBER(E79),E79,0)+I79,I79)*(1+J79/30),IF(C79="peso_corporal",IF(ISNUMBER(E79),E79,0)+L79,L79)*(1+M79/30),IF(C79="peso_corporal",IF(ISNUMBER(E79),E79,0)+O79,O79)*(1+P79/30),IF(C79="peso_corporal",IF(ISNUMBER(E79),E79,0)+R79,R79)*(1+S79/30)),1)),"--")</f>
        <v>64.8</v>
      </c>
      <c r="V79" s="23" t="str">
        <f>IF(SUGERENCIAS!N206="SIN","Sin datos anteriores",IF(SUGERENCIAS!N206="SUBIR_F","^ SUBIR FUERTE | Kg:"&amp;ROUND(SUGERENCIAS!K206,1)&amp;" R:"&amp;ROUND(SUGERENCIAS!L206,0)&amp;" RIR:"&amp;ROUND(SUGERENCIAS!M206,0),IF(SUGERENCIAS!N206="SUBIR_E","^ SUBIR (Est.) | Kg:"&amp;ROUND(SUGERENCIAS!K206,1)&amp;" R:"&amp;ROUND(SUGERENCIAS!L206,0)&amp;" RIR:"&amp;ROUND(SUGERENCIAS!M206,0),IF(SUGERENCIAS!N206="SUBIR","^ SUBIR | Kg:"&amp;ROUND(SUGERENCIAS!K206,1)&amp;" R:"&amp;ROUND(SUGERENCIAS!L206,0)&amp;" RIR:"&amp;ROUND(SUGERENCIAS!M206,0),IF(SUGERENCIAS!N206="BAJAR","v BAJAR | Kg:"&amp;ROUND(SUGERENCIAS!K206,1)&amp;" R:"&amp;ROUND(SUGERENCIAS!L206,0)&amp;" RIR:"&amp;ROUND(SUGERENCIAS!M206,0),"= MANT | Kg:"&amp;ROUND(SUGERENCIAS!K206,1)&amp;" R:"&amp;ROUND(SUGERENCIAS!L206,0)&amp;" RIR:"&amp;ROUND(SUGERENCIAS!M206,0))))))</f>
        <v>Sin datos anteriores</v>
      </c>
      <c r="W79" s="69">
        <f>MAX(IF((G79&gt;0)*(IF(H79="",-1,H79)&gt;=1)*(IF(H79="",-1,H79)&lt;=3),IF(C79="peso_corporal",IF(ISNUMBER(E79),E79,0)+F79,F79)*G79*1000+F79,0),IF((J79&gt;0)*(IF(K79="",-1,K79)&gt;=1)*(IF(K79="",-1,K79)&lt;=3),IF(C79="peso_corporal",IF(ISNUMBER(E79),E79,0)+I79,I79)*J79*1000+I79,0),IF((M79&gt;0)*(IF(N79="",-1,N79)&gt;=1)*(IF(N79="",-1,N79)&lt;=3),IF(C79="peso_corporal",IF(ISNUMBER(E79),E79,0)+L79,L79)*M79*1000+L79,0),IF((P79&gt;0)*(IF(Q79="",-1,Q79)&gt;=1)*(IF(Q79="",-1,Q79)&lt;=3),IF(C79="peso_corporal",IF(ISNUMBER(E79),E79,0)+O79,O79)*P79*1000+O79,0),IF((S79&gt;0)*(IF(T79="",-1,T79)&gt;=1)*(IF(T79="",-1,T79)&lt;=3),IF(C79="peso_corporal",IF(ISNUMBER(E79),E79,0)+R79,R79)*S79*1000+R79,0))</f>
        <v>367552.5</v>
      </c>
      <c r="X79" s="69">
        <f>IF(W79=0,0,IF(IF((S79&gt;0)*(IF(T79="",-1,T79)&gt;=1)*(IF(T79="",-1,T79)&lt;=3),IF(C79="peso_corporal",IF(ISNUMBER(E79),E79,0)+R79,R79)*S79*1000+R79,0)=W79,5,IF(IF((P79&gt;0)*(IF(Q79="",-1,Q79)&gt;=1)*(IF(Q79="",-1,Q79)&lt;=3),IF(C79="peso_corporal",IF(ISNUMBER(E79),E79,0)+O79,O79)*P79*1000+O79,0)=W79,4,IF(IF((M79&gt;0)*(IF(N79="",-1,N79)&gt;=1)*(IF(N79="",-1,N79)&lt;=3),IF(C79="peso_corporal",IF(ISNUMBER(E79),E79,0)+L79,L79)*M79*1000+L79,0)=W79,3,IF(IF((J79&gt;0)*(IF(K79="",-1,K79)&gt;=1)*(IF(K79="",-1,K79)&lt;=3),IF(C79="peso_corporal",IF(ISNUMBER(E79),E79,0)+I79,I79)*J79*1000+I79,0)=W79,2,IF(IF((G79&gt;0)*(IF(H79="",-1,H79)&gt;=1)*(IF(H79="",-1,H79)&lt;=3),IF(C79="peso_corporal",IF(ISNUMBER(E79),E79,0)+F79,F79)*G79*1000+F79,0)=W79,1,0))))))</f>
        <v>3</v>
      </c>
      <c r="Y79" s="69">
        <f>MAX(IF((G79&gt;0)*(IF(H79="",-1,H79)=0)*(1-(IF(H79="",-1,H79)&gt;=1)*(IF(H79="",-1,H79)&lt;=3)),IF(C79="peso_corporal",IF(ISNUMBER(E79),E79,0)+F79,F79)*G79*1000+F79,0),IF((J79&gt;0)*(IF(K79="",-1,K79)=0)*(1-(IF(K79="",-1,K79)&gt;=1)*(IF(K79="",-1,K79)&lt;=3)),IF(C79="peso_corporal",IF(ISNUMBER(E79),E79,0)+I79,I79)*J79*1000+I79,0),IF((M79&gt;0)*(IF(N79="",-1,N79)=0)*(1-(IF(N79="",-1,N79)&gt;=1)*(IF(N79="",-1,N79)&lt;=3)),IF(C79="peso_corporal",IF(ISNUMBER(E79),E79,0)+L79,L79)*M79*1000+L79,0),IF((P79&gt;0)*(IF(Q79="",-1,Q79)=0)*(1-(IF(Q79="",-1,Q79)&gt;=1)*(IF(Q79="",-1,Q79)&lt;=3)),IF(C79="peso_corporal",IF(ISNUMBER(E79),E79,0)+O79,O79)*P79*1000+O79,0),IF((S79&gt;0)*(IF(T79="",-1,T79)=0)*(1-(IF(T79="",-1,T79)&gt;=1)*(IF(T79="",-1,T79)&lt;=3)),IF(C79="peso_corporal",IF(ISNUMBER(E79),E79,0)+R79,R79)*S79*1000+R79,0))</f>
        <v>300060</v>
      </c>
      <c r="Z79" s="69">
        <f>IF(Y79=0,0,IF(IF((S79&gt;0)*(IF(T79="",-1,T79)=0)*(1-(IF(T79="",-1,T79)&gt;=1)*(IF(T79="",-1,T79)&lt;=3)),IF(C79="peso_corporal",IF(ISNUMBER(E79),E79,0)+R79,R79)*S79*1000+R79,0)=Y79,5,IF(IF((P79&gt;0)*(IF(Q79="",-1,Q79)=0)*(1-(IF(Q79="",-1,Q79)&gt;=1)*(IF(Q79="",-1,Q79)&lt;=3)),IF(C79="peso_corporal",IF(ISNUMBER(E79),E79,0)+O79,O79)*P79*1000+O79,0)=Y79,4,IF(IF((M79&gt;0)*(IF(N79="",-1,N79)=0)*(1-(IF(N79="",-1,N79)&gt;=1)*(IF(N79="",-1,N79)&lt;=3)),IF(C79="peso_corporal",IF(ISNUMBER(E79),E79,0)+L79,L79)*M79*1000+L79,0)=Y79,3,IF(IF((J79&gt;0)*(IF(K79="",-1,K79)=0)*(1-(IF(K79="",-1,K79)&gt;=1)*(IF(K79="",-1,K79)&lt;=3)),IF(C79="peso_corporal",IF(ISNUMBER(E79),E79,0)+I79,I79)*J79*1000+I79,0)=Y79,2,IF(IF((G79&gt;0)*(IF(H79="",-1,H79)=0)*(1-(IF(H79="",-1,H79)&gt;=1)*(IF(H79="",-1,H79)&lt;=3)),IF(C79="peso_corporal",IF(ISNUMBER(E79),E79,0)+F79,F79)*G79*1000+F79,0)=Y79,1,0))))))</f>
        <v>4</v>
      </c>
      <c r="AA79" s="69">
        <f>MAX(IF((G79&gt;=6)*(1-(IF(H79="",-1,H79)&gt;=1)*(IF(H79="",-1,H79)&lt;=3))*(1-(IF(H79="",-1,H79)=0)),IF(C79="peso_corporal",IF(ISNUMBER(E79),E79,0)+F79,F79)*(30+G79)*100+F79,0),IF((J79&gt;=6)*(1-(IF(K79="",-1,K79)&gt;=1)*(IF(K79="",-1,K79)&lt;=3))*(1-(IF(K79="",-1,K79)=0)),IF(C79="peso_corporal",IF(ISNUMBER(E79),E79,0)+I79,I79)*(30+J79)*100+I79,0),IF((M79&gt;=6)*(1-(IF(N79="",-1,N79)&gt;=1)*(IF(N79="",-1,N79)&lt;=3))*(1-(IF(N79="",-1,N79)=0)),IF(C79="peso_corporal",IF(ISNUMBER(E79),E79,0)+L79,L79)*(30+M79)*100+L79,0),IF((P79&gt;=6)*(1-(IF(Q79="",-1,Q79)&gt;=1)*(IF(Q79="",-1,Q79)&lt;=3))*(1-(IF(Q79="",-1,Q79)=0)),IF(C79="peso_corporal",IF(ISNUMBER(E79),E79,0)+O79,O79)*(30+P79)*100+O79,0),IF((S79&gt;=6)*(1-(IF(T79="",-1,T79)&gt;=1)*(IF(T79="",-1,T79)&lt;=3))*(1-(IF(T79="",-1,T79)=0)),IF(C79="peso_corporal",IF(ISNUMBER(E79),E79,0)+R79,R79)*(30+S79)*100+R79,0))</f>
        <v>117032.5</v>
      </c>
      <c r="AB79" s="69">
        <f>IF(AA79=0,0,IF(IF((S79&gt;=6)*(1-(IF(T79="",-1,T79)&gt;=1)*(IF(T79="",-1,T79)&lt;=3))*(1-(IF(T79="",-1,T79)=0)),IF(C79="peso_corporal",IF(ISNUMBER(E79),E79,0)+R79,R79)*(30+S79)*100+R79,0)=AA79,5,IF(IF((P79&gt;=6)*(1-(IF(Q79="",-1,Q79)&gt;=1)*(IF(Q79="",-1,Q79)&lt;=3))*(1-(IF(Q79="",-1,Q79)=0)),IF(C79="peso_corporal",IF(ISNUMBER(E79),E79,0)+O79,O79)*(30+P79)*100+O79,0)=AA79,4,IF(IF((M79&gt;=6)*(1-(IF(N79="",-1,N79)&gt;=1)*(IF(N79="",-1,N79)&lt;=3))*(1-(IF(N79="",-1,N79)=0)),IF(C79="peso_corporal",IF(ISNUMBER(E79),E79,0)+L79,L79)*(30+M79)*100+L79,0)=AA79,3,IF(IF((J79&gt;=6)*(1-(IF(K79="",-1,K79)&gt;=1)*(IF(K79="",-1,K79)&lt;=3))*(1-(IF(K79="",-1,K79)=0)),IF(C79="peso_corporal",IF(ISNUMBER(E79),E79,0)+I79,I79)*(30+J79)*100+I79,0)=AA79,2,IF(IF((G79&gt;=6)*(1-(IF(H79="",-1,H79)&gt;=1)*(IF(H79="",-1,H79)&lt;=3))*(1-(IF(H79="",-1,H79)=0)),IF(C79="peso_corporal",IF(ISNUMBER(E79),E79,0)+F79,F79)*(30+G79)*100+F79,0)=AA79,1,0))))))</f>
        <v>1</v>
      </c>
      <c r="AC79" s="69" t="str">
        <f>IF(X79&gt;0,"A"&amp;X79,IF(Z79&gt;0,"B"&amp;Z79,IF(AB79&gt;0,"C"&amp;AB79,"")))</f>
        <v>A3</v>
      </c>
    </row>
    <row r="80" spans="1:29" ht="20.100000000000001" customHeight="1">
      <c r="A80" s="14" t="s">
        <v>95</v>
      </c>
      <c r="B80" s="15" t="s">
        <v>114</v>
      </c>
      <c r="C80" s="16" t="str">
        <f>IFERROR(INDEX(EJERCICIOS!$D$3:$D$75,MATCH(A80&amp;"|"&amp;B80,EJERCICIOS!$G$3:$G$75,0)),"--")</f>
        <v>polea</v>
      </c>
      <c r="D80" s="17">
        <v>3</v>
      </c>
      <c r="E80" s="18">
        <f>IFERROR(LOOKUP(2,1/(MEDIDAS_Y_PESO!$B$3:$B$6&lt;&gt;""),MEDIDAS_Y_PESO!$B$3:$B$6),"--")</f>
        <v>80</v>
      </c>
      <c r="F80" s="19">
        <v>25</v>
      </c>
      <c r="G80" s="20">
        <v>8</v>
      </c>
      <c r="H80" s="21">
        <v>8</v>
      </c>
      <c r="I80" s="19">
        <v>40</v>
      </c>
      <c r="J80" s="20">
        <v>7</v>
      </c>
      <c r="K80" s="21">
        <v>3</v>
      </c>
      <c r="L80" s="19">
        <v>52.5</v>
      </c>
      <c r="M80" s="20">
        <v>5</v>
      </c>
      <c r="N80" s="21">
        <v>0</v>
      </c>
      <c r="O80" s="19"/>
      <c r="P80" s="20"/>
      <c r="Q80" s="21"/>
      <c r="R80" s="19"/>
      <c r="S80" s="20"/>
      <c r="T80" s="21"/>
      <c r="U80" s="22">
        <f>IFERROR(IF(IF(X80&gt;0,X80,IF(Z80&gt;0,Z80,IF(AB80&gt;0,AB80,0)))=0,"--",ROUND(CHOOSE(IF(X80&gt;0,X80,IF(Z80&gt;0,Z80,IF(AB80&gt;0,AB80,0))),IF(C80="peso_corporal",IF(ISNUMBER(E80),E80,0)+F80,F80)*(1+G80/30),IF(C80="peso_corporal",IF(ISNUMBER(E80),E80,0)+I80,I80)*(1+J80/30),IF(C80="peso_corporal",IF(ISNUMBER(E80),E80,0)+L80,L80)*(1+M80/30),IF(C80="peso_corporal",IF(ISNUMBER(E80),E80,0)+O80,O80)*(1+P80/30),IF(C80="peso_corporal",IF(ISNUMBER(E80),E80,0)+R80,R80)*(1+S80/30)),1)),"--")</f>
        <v>49.3</v>
      </c>
      <c r="V80" s="23" t="str">
        <f>IF(SUGERENCIAS!N207="SIN","Sin datos anteriores",IF(SUGERENCIAS!N207="SUBIR_F","^ SUBIR FUERTE | Kg:"&amp;ROUND(SUGERENCIAS!K207,1)&amp;" R:"&amp;ROUND(SUGERENCIAS!L207,0)&amp;" RIR:"&amp;ROUND(SUGERENCIAS!M207,0),IF(SUGERENCIAS!N207="SUBIR_E","^ SUBIR (Est.) | Kg:"&amp;ROUND(SUGERENCIAS!K207,1)&amp;" R:"&amp;ROUND(SUGERENCIAS!L207,0)&amp;" RIR:"&amp;ROUND(SUGERENCIAS!M207,0),IF(SUGERENCIAS!N207="SUBIR","^ SUBIR | Kg:"&amp;ROUND(SUGERENCIAS!K207,1)&amp;" R:"&amp;ROUND(SUGERENCIAS!L207,0)&amp;" RIR:"&amp;ROUND(SUGERENCIAS!M207,0),IF(SUGERENCIAS!N207="BAJAR","v BAJAR | Kg:"&amp;ROUND(SUGERENCIAS!K207,1)&amp;" R:"&amp;ROUND(SUGERENCIAS!L207,0)&amp;" RIR:"&amp;ROUND(SUGERENCIAS!M207,0),"= MANT | Kg:"&amp;ROUND(SUGERENCIAS!K207,1)&amp;" R:"&amp;ROUND(SUGERENCIAS!L207,0)&amp;" RIR:"&amp;ROUND(SUGERENCIAS!M207,0))))))</f>
        <v>Sin datos anteriores</v>
      </c>
      <c r="W80" s="69">
        <f>MAX(IF((G80&gt;0)*(IF(H80="",-1,H80)&gt;=1)*(IF(H80="",-1,H80)&lt;=3),IF(C80="peso_corporal",IF(ISNUMBER(E80),E80,0)+F80,F80)*G80*1000+F80,0),IF((J80&gt;0)*(IF(K80="",-1,K80)&gt;=1)*(IF(K80="",-1,K80)&lt;=3),IF(C80="peso_corporal",IF(ISNUMBER(E80),E80,0)+I80,I80)*J80*1000+I80,0),IF((M80&gt;0)*(IF(N80="",-1,N80)&gt;=1)*(IF(N80="",-1,N80)&lt;=3),IF(C80="peso_corporal",IF(ISNUMBER(E80),E80,0)+L80,L80)*M80*1000+L80,0),IF((P80&gt;0)*(IF(Q80="",-1,Q80)&gt;=1)*(IF(Q80="",-1,Q80)&lt;=3),IF(C80="peso_corporal",IF(ISNUMBER(E80),E80,0)+O80,O80)*P80*1000+O80,0),IF((S80&gt;0)*(IF(T80="",-1,T80)&gt;=1)*(IF(T80="",-1,T80)&lt;=3),IF(C80="peso_corporal",IF(ISNUMBER(E80),E80,0)+R80,R80)*S80*1000+R80,0))</f>
        <v>280040</v>
      </c>
      <c r="X80" s="69">
        <f>IF(W80=0,0,IF(IF((S80&gt;0)*(IF(T80="",-1,T80)&gt;=1)*(IF(T80="",-1,T80)&lt;=3),IF(C80="peso_corporal",IF(ISNUMBER(E80),E80,0)+R80,R80)*S80*1000+R80,0)=W80,5,IF(IF((P80&gt;0)*(IF(Q80="",-1,Q80)&gt;=1)*(IF(Q80="",-1,Q80)&lt;=3),IF(C80="peso_corporal",IF(ISNUMBER(E80),E80,0)+O80,O80)*P80*1000+O80,0)=W80,4,IF(IF((M80&gt;0)*(IF(N80="",-1,N80)&gt;=1)*(IF(N80="",-1,N80)&lt;=3),IF(C80="peso_corporal",IF(ISNUMBER(E80),E80,0)+L80,L80)*M80*1000+L80,0)=W80,3,IF(IF((J80&gt;0)*(IF(K80="",-1,K80)&gt;=1)*(IF(K80="",-1,K80)&lt;=3),IF(C80="peso_corporal",IF(ISNUMBER(E80),E80,0)+I80,I80)*J80*1000+I80,0)=W80,2,IF(IF((G80&gt;0)*(IF(H80="",-1,H80)&gt;=1)*(IF(H80="",-1,H80)&lt;=3),IF(C80="peso_corporal",IF(ISNUMBER(E80),E80,0)+F80,F80)*G80*1000+F80,0)=W80,1,0))))))</f>
        <v>2</v>
      </c>
      <c r="Y80" s="69">
        <f>MAX(IF((G80&gt;0)*(IF(H80="",-1,H80)=0)*(1-(IF(H80="",-1,H80)&gt;=1)*(IF(H80="",-1,H80)&lt;=3)),IF(C80="peso_corporal",IF(ISNUMBER(E80),E80,0)+F80,F80)*G80*1000+F80,0),IF((J80&gt;0)*(IF(K80="",-1,K80)=0)*(1-(IF(K80="",-1,K80)&gt;=1)*(IF(K80="",-1,K80)&lt;=3)),IF(C80="peso_corporal",IF(ISNUMBER(E80),E80,0)+I80,I80)*J80*1000+I80,0),IF((M80&gt;0)*(IF(N80="",-1,N80)=0)*(1-(IF(N80="",-1,N80)&gt;=1)*(IF(N80="",-1,N80)&lt;=3)),IF(C80="peso_corporal",IF(ISNUMBER(E80),E80,0)+L80,L80)*M80*1000+L80,0),IF((P80&gt;0)*(IF(Q80="",-1,Q80)=0)*(1-(IF(Q80="",-1,Q80)&gt;=1)*(IF(Q80="",-1,Q80)&lt;=3)),IF(C80="peso_corporal",IF(ISNUMBER(E80),E80,0)+O80,O80)*P80*1000+O80,0),IF((S80&gt;0)*(IF(T80="",-1,T80)=0)*(1-(IF(T80="",-1,T80)&gt;=1)*(IF(T80="",-1,T80)&lt;=3)),IF(C80="peso_corporal",IF(ISNUMBER(E80),E80,0)+R80,R80)*S80*1000+R80,0))</f>
        <v>262552.5</v>
      </c>
      <c r="Z80" s="69">
        <f>IF(Y80=0,0,IF(IF((S80&gt;0)*(IF(T80="",-1,T80)=0)*(1-(IF(T80="",-1,T80)&gt;=1)*(IF(T80="",-1,T80)&lt;=3)),IF(C80="peso_corporal",IF(ISNUMBER(E80),E80,0)+R80,R80)*S80*1000+R80,0)=Y80,5,IF(IF((P80&gt;0)*(IF(Q80="",-1,Q80)=0)*(1-(IF(Q80="",-1,Q80)&gt;=1)*(IF(Q80="",-1,Q80)&lt;=3)),IF(C80="peso_corporal",IF(ISNUMBER(E80),E80,0)+O80,O80)*P80*1000+O80,0)=Y80,4,IF(IF((M80&gt;0)*(IF(N80="",-1,N80)=0)*(1-(IF(N80="",-1,N80)&gt;=1)*(IF(N80="",-1,N80)&lt;=3)),IF(C80="peso_corporal",IF(ISNUMBER(E80),E80,0)+L80,L80)*M80*1000+L80,0)=Y80,3,IF(IF((J80&gt;0)*(IF(K80="",-1,K80)=0)*(1-(IF(K80="",-1,K80)&gt;=1)*(IF(K80="",-1,K80)&lt;=3)),IF(C80="peso_corporal",IF(ISNUMBER(E80),E80,0)+I80,I80)*J80*1000+I80,0)=Y80,2,IF(IF((G80&gt;0)*(IF(H80="",-1,H80)=0)*(1-(IF(H80="",-1,H80)&gt;=1)*(IF(H80="",-1,H80)&lt;=3)),IF(C80="peso_corporal",IF(ISNUMBER(E80),E80,0)+F80,F80)*G80*1000+F80,0)=Y80,1,0))))))</f>
        <v>3</v>
      </c>
      <c r="AA80" s="69">
        <f>MAX(IF((G80&gt;=6)*(1-(IF(H80="",-1,H80)&gt;=1)*(IF(H80="",-1,H80)&lt;=3))*(1-(IF(H80="",-1,H80)=0)),IF(C80="peso_corporal",IF(ISNUMBER(E80),E80,0)+F80,F80)*(30+G80)*100+F80,0),IF((J80&gt;=6)*(1-(IF(K80="",-1,K80)&gt;=1)*(IF(K80="",-1,K80)&lt;=3))*(1-(IF(K80="",-1,K80)=0)),IF(C80="peso_corporal",IF(ISNUMBER(E80),E80,0)+I80,I80)*(30+J80)*100+I80,0),IF((M80&gt;=6)*(1-(IF(N80="",-1,N80)&gt;=1)*(IF(N80="",-1,N80)&lt;=3))*(1-(IF(N80="",-1,N80)=0)),IF(C80="peso_corporal",IF(ISNUMBER(E80),E80,0)+L80,L80)*(30+M80)*100+L80,0),IF((P80&gt;=6)*(1-(IF(Q80="",-1,Q80)&gt;=1)*(IF(Q80="",-1,Q80)&lt;=3))*(1-(IF(Q80="",-1,Q80)=0)),IF(C80="peso_corporal",IF(ISNUMBER(E80),E80,0)+O80,O80)*(30+P80)*100+O80,0),IF((S80&gt;=6)*(1-(IF(T80="",-1,T80)&gt;=1)*(IF(T80="",-1,T80)&lt;=3))*(1-(IF(T80="",-1,T80)=0)),IF(C80="peso_corporal",IF(ISNUMBER(E80),E80,0)+R80,R80)*(30+S80)*100+R80,0))</f>
        <v>95025</v>
      </c>
      <c r="AB80" s="69">
        <f>IF(AA80=0,0,IF(IF((S80&gt;=6)*(1-(IF(T80="",-1,T80)&gt;=1)*(IF(T80="",-1,T80)&lt;=3))*(1-(IF(T80="",-1,T80)=0)),IF(C80="peso_corporal",IF(ISNUMBER(E80),E80,0)+R80,R80)*(30+S80)*100+R80,0)=AA80,5,IF(IF((P80&gt;=6)*(1-(IF(Q80="",-1,Q80)&gt;=1)*(IF(Q80="",-1,Q80)&lt;=3))*(1-(IF(Q80="",-1,Q80)=0)),IF(C80="peso_corporal",IF(ISNUMBER(E80),E80,0)+O80,O80)*(30+P80)*100+O80,0)=AA80,4,IF(IF((M80&gt;=6)*(1-(IF(N80="",-1,N80)&gt;=1)*(IF(N80="",-1,N80)&lt;=3))*(1-(IF(N80="",-1,N80)=0)),IF(C80="peso_corporal",IF(ISNUMBER(E80),E80,0)+L80,L80)*(30+M80)*100+L80,0)=AA80,3,IF(IF((J80&gt;=6)*(1-(IF(K80="",-1,K80)&gt;=1)*(IF(K80="",-1,K80)&lt;=3))*(1-(IF(K80="",-1,K80)=0)),IF(C80="peso_corporal",IF(ISNUMBER(E80),E80,0)+I80,I80)*(30+J80)*100+I80,0)=AA80,2,IF(IF((G80&gt;=6)*(1-(IF(H80="",-1,H80)&gt;=1)*(IF(H80="",-1,H80)&lt;=3))*(1-(IF(H80="",-1,H80)=0)),IF(C80="peso_corporal",IF(ISNUMBER(E80),E80,0)+F80,F80)*(30+G80)*100+F80,0)=AA80,1,0))))))</f>
        <v>1</v>
      </c>
      <c r="AC80" s="69" t="str">
        <f>IF(X80&gt;0,"A"&amp;X80,IF(Z80&gt;0,"B"&amp;Z80,IF(AB80&gt;0,"C"&amp;AB80,"")))</f>
        <v>A2</v>
      </c>
    </row>
    <row r="81" spans="1:29" ht="15" customHeight="1">
      <c r="A81" s="81" t="s">
        <v>53</v>
      </c>
      <c r="B81" s="73"/>
      <c r="C81" s="73"/>
      <c r="D81" s="73"/>
      <c r="E81" s="73"/>
      <c r="F81" s="73"/>
      <c r="G81" s="73"/>
      <c r="H81" s="73"/>
      <c r="I81" s="73"/>
      <c r="J81" s="73"/>
      <c r="K81" s="73"/>
      <c r="L81" s="73"/>
      <c r="M81" s="73"/>
      <c r="N81" s="73"/>
      <c r="O81" s="73"/>
      <c r="P81" s="73"/>
      <c r="Q81" s="73"/>
      <c r="R81" s="73"/>
      <c r="S81" s="73"/>
      <c r="T81" s="73"/>
      <c r="U81" s="73"/>
      <c r="V81" s="73"/>
      <c r="W81" s="69"/>
      <c r="X81" s="69"/>
      <c r="Y81" s="69"/>
      <c r="Z81" s="69"/>
      <c r="AA81" s="69"/>
      <c r="AB81" s="69"/>
      <c r="AC81" s="69"/>
    </row>
    <row r="82" spans="1:29" ht="20.100000000000001" customHeight="1">
      <c r="A82" s="14" t="s">
        <v>54</v>
      </c>
      <c r="B82" s="15" t="s">
        <v>115</v>
      </c>
      <c r="C82" s="16" t="str">
        <f>IFERROR(INDEX(EJERCICIOS!$D$3:$D$75,MATCH(A82&amp;"|"&amp;B82,EJERCICIOS!$G$3:$G$75,0)),"--")</f>
        <v>polea</v>
      </c>
      <c r="D82" s="17">
        <v>4</v>
      </c>
      <c r="E82" s="18">
        <f>IFERROR(LOOKUP(2,1/(MEDIDAS_Y_PESO!$B$3:$B$6&lt;&gt;""),MEDIDAS_Y_PESO!$B$3:$B$6),"--")</f>
        <v>80</v>
      </c>
      <c r="F82" s="19">
        <v>25</v>
      </c>
      <c r="G82" s="20">
        <v>6</v>
      </c>
      <c r="H82" s="21">
        <v>5</v>
      </c>
      <c r="I82" s="19">
        <v>32.5</v>
      </c>
      <c r="J82" s="20">
        <v>6</v>
      </c>
      <c r="K82" s="21">
        <v>4</v>
      </c>
      <c r="L82" s="19">
        <v>40</v>
      </c>
      <c r="M82" s="20">
        <v>6</v>
      </c>
      <c r="N82" s="21">
        <v>0</v>
      </c>
      <c r="O82" s="19">
        <v>32.5</v>
      </c>
      <c r="P82" s="20">
        <v>5</v>
      </c>
      <c r="Q82" s="21">
        <v>0</v>
      </c>
      <c r="R82" s="19"/>
      <c r="S82" s="20"/>
      <c r="T82" s="21"/>
      <c r="U82" s="22">
        <f>IFERROR(IF(IF(X82&gt;0,X82,IF(Z82&gt;0,Z82,IF(AB82&gt;0,AB82,0)))=0,"--",ROUND(CHOOSE(IF(X82&gt;0,X82,IF(Z82&gt;0,Z82,IF(AB82&gt;0,AB82,0))),IF(C82="peso_corporal",IF(ISNUMBER(E82),E82,0)+F82,F82)*(1+G82/30),IF(C82="peso_corporal",IF(ISNUMBER(E82),E82,0)+I82,I82)*(1+J82/30),IF(C82="peso_corporal",IF(ISNUMBER(E82),E82,0)+L82,L82)*(1+M82/30),IF(C82="peso_corporal",IF(ISNUMBER(E82),E82,0)+O82,O82)*(1+P82/30),IF(C82="peso_corporal",IF(ISNUMBER(E82),E82,0)+R82,R82)*(1+S82/30)),1)),"--")</f>
        <v>48</v>
      </c>
      <c r="V82" s="23" t="str">
        <f>IF(SUGERENCIAS!N208="SIN","Sin datos anteriores",IF(SUGERENCIAS!N208="SUBIR_F","^ SUBIR FUERTE | Kg:"&amp;ROUND(SUGERENCIAS!K208,1)&amp;" R:"&amp;ROUND(SUGERENCIAS!L208,0)&amp;" RIR:"&amp;ROUND(SUGERENCIAS!M208,0),IF(SUGERENCIAS!N208="SUBIR_E","^ SUBIR (Est.) | Kg:"&amp;ROUND(SUGERENCIAS!K208,1)&amp;" R:"&amp;ROUND(SUGERENCIAS!L208,0)&amp;" RIR:"&amp;ROUND(SUGERENCIAS!M208,0),IF(SUGERENCIAS!N208="SUBIR","^ SUBIR | Kg:"&amp;ROUND(SUGERENCIAS!K208,1)&amp;" R:"&amp;ROUND(SUGERENCIAS!L208,0)&amp;" RIR:"&amp;ROUND(SUGERENCIAS!M208,0),IF(SUGERENCIAS!N208="BAJAR","v BAJAR | Kg:"&amp;ROUND(SUGERENCIAS!K208,1)&amp;" R:"&amp;ROUND(SUGERENCIAS!L208,0)&amp;" RIR:"&amp;ROUND(SUGERENCIAS!M208,0),"= MANT | Kg:"&amp;ROUND(SUGERENCIAS!K208,1)&amp;" R:"&amp;ROUND(SUGERENCIAS!L208,0)&amp;" RIR:"&amp;ROUND(SUGERENCIAS!M208,0))))))</f>
        <v>Sin datos anteriores</v>
      </c>
      <c r="W82" s="69">
        <f>MAX(IF((G82&gt;0)*(IF(H82="",-1,H82)&gt;=1)*(IF(H82="",-1,H82)&lt;=3),IF(C82="peso_corporal",IF(ISNUMBER(E82),E82,0)+F82,F82)*G82*1000+F82,0),IF((J82&gt;0)*(IF(K82="",-1,K82)&gt;=1)*(IF(K82="",-1,K82)&lt;=3),IF(C82="peso_corporal",IF(ISNUMBER(E82),E82,0)+I82,I82)*J82*1000+I82,0),IF((M82&gt;0)*(IF(N82="",-1,N82)&gt;=1)*(IF(N82="",-1,N82)&lt;=3),IF(C82="peso_corporal",IF(ISNUMBER(E82),E82,0)+L82,L82)*M82*1000+L82,0),IF((P82&gt;0)*(IF(Q82="",-1,Q82)&gt;=1)*(IF(Q82="",-1,Q82)&lt;=3),IF(C82="peso_corporal",IF(ISNUMBER(E82),E82,0)+O82,O82)*P82*1000+O82,0),IF((S82&gt;0)*(IF(T82="",-1,T82)&gt;=1)*(IF(T82="",-1,T82)&lt;=3),IF(C82="peso_corporal",IF(ISNUMBER(E82),E82,0)+R82,R82)*S82*1000+R82,0))</f>
        <v>0</v>
      </c>
      <c r="X82" s="69">
        <f>IF(W82=0,0,IF(IF((S82&gt;0)*(IF(T82="",-1,T82)&gt;=1)*(IF(T82="",-1,T82)&lt;=3),IF(C82="peso_corporal",IF(ISNUMBER(E82),E82,0)+R82,R82)*S82*1000+R82,0)=W82,5,IF(IF((P82&gt;0)*(IF(Q82="",-1,Q82)&gt;=1)*(IF(Q82="",-1,Q82)&lt;=3),IF(C82="peso_corporal",IF(ISNUMBER(E82),E82,0)+O82,O82)*P82*1000+O82,0)=W82,4,IF(IF((M82&gt;0)*(IF(N82="",-1,N82)&gt;=1)*(IF(N82="",-1,N82)&lt;=3),IF(C82="peso_corporal",IF(ISNUMBER(E82),E82,0)+L82,L82)*M82*1000+L82,0)=W82,3,IF(IF((J82&gt;0)*(IF(K82="",-1,K82)&gt;=1)*(IF(K82="",-1,K82)&lt;=3),IF(C82="peso_corporal",IF(ISNUMBER(E82),E82,0)+I82,I82)*J82*1000+I82,0)=W82,2,IF(IF((G82&gt;0)*(IF(H82="",-1,H82)&gt;=1)*(IF(H82="",-1,H82)&lt;=3),IF(C82="peso_corporal",IF(ISNUMBER(E82),E82,0)+F82,F82)*G82*1000+F82,0)=W82,1,0))))))</f>
        <v>0</v>
      </c>
      <c r="Y82" s="69">
        <f>MAX(IF((G82&gt;0)*(IF(H82="",-1,H82)=0)*(1-(IF(H82="",-1,H82)&gt;=1)*(IF(H82="",-1,H82)&lt;=3)),IF(C82="peso_corporal",IF(ISNUMBER(E82),E82,0)+F82,F82)*G82*1000+F82,0),IF((J82&gt;0)*(IF(K82="",-1,K82)=0)*(1-(IF(K82="",-1,K82)&gt;=1)*(IF(K82="",-1,K82)&lt;=3)),IF(C82="peso_corporal",IF(ISNUMBER(E82),E82,0)+I82,I82)*J82*1000+I82,0),IF((M82&gt;0)*(IF(N82="",-1,N82)=0)*(1-(IF(N82="",-1,N82)&gt;=1)*(IF(N82="",-1,N82)&lt;=3)),IF(C82="peso_corporal",IF(ISNUMBER(E82),E82,0)+L82,L82)*M82*1000+L82,0),IF((P82&gt;0)*(IF(Q82="",-1,Q82)=0)*(1-(IF(Q82="",-1,Q82)&gt;=1)*(IF(Q82="",-1,Q82)&lt;=3)),IF(C82="peso_corporal",IF(ISNUMBER(E82),E82,0)+O82,O82)*P82*1000+O82,0),IF((S82&gt;0)*(IF(T82="",-1,T82)=0)*(1-(IF(T82="",-1,T82)&gt;=1)*(IF(T82="",-1,T82)&lt;=3)),IF(C82="peso_corporal",IF(ISNUMBER(E82),E82,0)+R82,R82)*S82*1000+R82,0))</f>
        <v>240040</v>
      </c>
      <c r="Z82" s="69">
        <f>IF(Y82=0,0,IF(IF((S82&gt;0)*(IF(T82="",-1,T82)=0)*(1-(IF(T82="",-1,T82)&gt;=1)*(IF(T82="",-1,T82)&lt;=3)),IF(C82="peso_corporal",IF(ISNUMBER(E82),E82,0)+R82,R82)*S82*1000+R82,0)=Y82,5,IF(IF((P82&gt;0)*(IF(Q82="",-1,Q82)=0)*(1-(IF(Q82="",-1,Q82)&gt;=1)*(IF(Q82="",-1,Q82)&lt;=3)),IF(C82="peso_corporal",IF(ISNUMBER(E82),E82,0)+O82,O82)*P82*1000+O82,0)=Y82,4,IF(IF((M82&gt;0)*(IF(N82="",-1,N82)=0)*(1-(IF(N82="",-1,N82)&gt;=1)*(IF(N82="",-1,N82)&lt;=3)),IF(C82="peso_corporal",IF(ISNUMBER(E82),E82,0)+L82,L82)*M82*1000+L82,0)=Y82,3,IF(IF((J82&gt;0)*(IF(K82="",-1,K82)=0)*(1-(IF(K82="",-1,K82)&gt;=1)*(IF(K82="",-1,K82)&lt;=3)),IF(C82="peso_corporal",IF(ISNUMBER(E82),E82,0)+I82,I82)*J82*1000+I82,0)=Y82,2,IF(IF((G82&gt;0)*(IF(H82="",-1,H82)=0)*(1-(IF(H82="",-1,H82)&gt;=1)*(IF(H82="",-1,H82)&lt;=3)),IF(C82="peso_corporal",IF(ISNUMBER(E82),E82,0)+F82,F82)*G82*1000+F82,0)=Y82,1,0))))))</f>
        <v>3</v>
      </c>
      <c r="AA82" s="69">
        <f>MAX(IF((G82&gt;=6)*(1-(IF(H82="",-1,H82)&gt;=1)*(IF(H82="",-1,H82)&lt;=3))*(1-(IF(H82="",-1,H82)=0)),IF(C82="peso_corporal",IF(ISNUMBER(E82),E82,0)+F82,F82)*(30+G82)*100+F82,0),IF((J82&gt;=6)*(1-(IF(K82="",-1,K82)&gt;=1)*(IF(K82="",-1,K82)&lt;=3))*(1-(IF(K82="",-1,K82)=0)),IF(C82="peso_corporal",IF(ISNUMBER(E82),E82,0)+I82,I82)*(30+J82)*100+I82,0),IF((M82&gt;=6)*(1-(IF(N82="",-1,N82)&gt;=1)*(IF(N82="",-1,N82)&lt;=3))*(1-(IF(N82="",-1,N82)=0)),IF(C82="peso_corporal",IF(ISNUMBER(E82),E82,0)+L82,L82)*(30+M82)*100+L82,0),IF((P82&gt;=6)*(1-(IF(Q82="",-1,Q82)&gt;=1)*(IF(Q82="",-1,Q82)&lt;=3))*(1-(IF(Q82="",-1,Q82)=0)),IF(C82="peso_corporal",IF(ISNUMBER(E82),E82,0)+O82,O82)*(30+P82)*100+O82,0),IF((S82&gt;=6)*(1-(IF(T82="",-1,T82)&gt;=1)*(IF(T82="",-1,T82)&lt;=3))*(1-(IF(T82="",-1,T82)=0)),IF(C82="peso_corporal",IF(ISNUMBER(E82),E82,0)+R82,R82)*(30+S82)*100+R82,0))</f>
        <v>117032.5</v>
      </c>
      <c r="AB82" s="69">
        <f>IF(AA82=0,0,IF(IF((S82&gt;=6)*(1-(IF(T82="",-1,T82)&gt;=1)*(IF(T82="",-1,T82)&lt;=3))*(1-(IF(T82="",-1,T82)=0)),IF(C82="peso_corporal",IF(ISNUMBER(E82),E82,0)+R82,R82)*(30+S82)*100+R82,0)=AA82,5,IF(IF((P82&gt;=6)*(1-(IF(Q82="",-1,Q82)&gt;=1)*(IF(Q82="",-1,Q82)&lt;=3))*(1-(IF(Q82="",-1,Q82)=0)),IF(C82="peso_corporal",IF(ISNUMBER(E82),E82,0)+O82,O82)*(30+P82)*100+O82,0)=AA82,4,IF(IF((M82&gt;=6)*(1-(IF(N82="",-1,N82)&gt;=1)*(IF(N82="",-1,N82)&lt;=3))*(1-(IF(N82="",-1,N82)=0)),IF(C82="peso_corporal",IF(ISNUMBER(E82),E82,0)+L82,L82)*(30+M82)*100+L82,0)=AA82,3,IF(IF((J82&gt;=6)*(1-(IF(K82="",-1,K82)&gt;=1)*(IF(K82="",-1,K82)&lt;=3))*(1-(IF(K82="",-1,K82)=0)),IF(C82="peso_corporal",IF(ISNUMBER(E82),E82,0)+I82,I82)*(30+J82)*100+I82,0)=AA82,2,IF(IF((G82&gt;=6)*(1-(IF(H82="",-1,H82)&gt;=1)*(IF(H82="",-1,H82)&lt;=3))*(1-(IF(H82="",-1,H82)=0)),IF(C82="peso_corporal",IF(ISNUMBER(E82),E82,0)+F82,F82)*(30+G82)*100+F82,0)=AA82,1,0))))))</f>
        <v>2</v>
      </c>
      <c r="AC82" s="69" t="str">
        <f>IF(X82&gt;0,"A"&amp;X82,IF(Z82&gt;0,"B"&amp;Z82,IF(AB82&gt;0,"C"&amp;AB82,"")))</f>
        <v>B3</v>
      </c>
    </row>
    <row r="83" spans="1:29" ht="20.100000000000001" customHeight="1">
      <c r="A83" s="14" t="s">
        <v>116</v>
      </c>
      <c r="B83" s="15" t="s">
        <v>114</v>
      </c>
      <c r="C83" s="16" t="str">
        <f>IFERROR(INDEX(EJERCICIOS!$D$3:$D$75,MATCH(A83&amp;"|"&amp;B83,EJERCICIOS!$G$3:$G$75,0)),"--")</f>
        <v>polea</v>
      </c>
      <c r="D83" s="17">
        <v>3</v>
      </c>
      <c r="E83" s="18">
        <f>IFERROR(LOOKUP(2,1/(MEDIDAS_Y_PESO!$B$3:$B$6&lt;&gt;""),MEDIDAS_Y_PESO!$B$3:$B$6),"--")</f>
        <v>80</v>
      </c>
      <c r="F83" s="19">
        <v>27</v>
      </c>
      <c r="G83" s="20">
        <v>6</v>
      </c>
      <c r="H83" s="21">
        <v>0</v>
      </c>
      <c r="I83" s="19">
        <v>20</v>
      </c>
      <c r="J83" s="20">
        <v>7</v>
      </c>
      <c r="K83" s="21">
        <v>2</v>
      </c>
      <c r="L83" s="19">
        <v>20</v>
      </c>
      <c r="M83" s="20">
        <v>8</v>
      </c>
      <c r="N83" s="21">
        <v>3</v>
      </c>
      <c r="O83" s="19"/>
      <c r="P83" s="20"/>
      <c r="Q83" s="21"/>
      <c r="R83" s="19"/>
      <c r="S83" s="20"/>
      <c r="T83" s="21"/>
      <c r="U83" s="22">
        <f>IFERROR(IF(IF(X83&gt;0,X83,IF(Z83&gt;0,Z83,IF(AB83&gt;0,AB83,0)))=0,"--",ROUND(CHOOSE(IF(X83&gt;0,X83,IF(Z83&gt;0,Z83,IF(AB83&gt;0,AB83,0))),IF(C83="peso_corporal",IF(ISNUMBER(E83),E83,0)+F83,F83)*(1+G83/30),IF(C83="peso_corporal",IF(ISNUMBER(E83),E83,0)+I83,I83)*(1+J83/30),IF(C83="peso_corporal",IF(ISNUMBER(E83),E83,0)+L83,L83)*(1+M83/30),IF(C83="peso_corporal",IF(ISNUMBER(E83),E83,0)+O83,O83)*(1+P83/30),IF(C83="peso_corporal",IF(ISNUMBER(E83),E83,0)+R83,R83)*(1+S83/30)),1)),"--")</f>
        <v>25.3</v>
      </c>
      <c r="V83" s="23" t="str">
        <f>IF(SUGERENCIAS!N209="SIN","Sin datos anteriores",IF(SUGERENCIAS!N209="SUBIR_F","^ SUBIR FUERTE | Kg:"&amp;ROUND(SUGERENCIAS!K209,1)&amp;" R:"&amp;ROUND(SUGERENCIAS!L209,0)&amp;" RIR:"&amp;ROUND(SUGERENCIAS!M209,0),IF(SUGERENCIAS!N209="SUBIR_E","^ SUBIR (Est.) | Kg:"&amp;ROUND(SUGERENCIAS!K209,1)&amp;" R:"&amp;ROUND(SUGERENCIAS!L209,0)&amp;" RIR:"&amp;ROUND(SUGERENCIAS!M209,0),IF(SUGERENCIAS!N209="SUBIR","^ SUBIR | Kg:"&amp;ROUND(SUGERENCIAS!K209,1)&amp;" R:"&amp;ROUND(SUGERENCIAS!L209,0)&amp;" RIR:"&amp;ROUND(SUGERENCIAS!M209,0),IF(SUGERENCIAS!N209="BAJAR","v BAJAR | Kg:"&amp;ROUND(SUGERENCIAS!K209,1)&amp;" R:"&amp;ROUND(SUGERENCIAS!L209,0)&amp;" RIR:"&amp;ROUND(SUGERENCIAS!M209,0),"= MANT | Kg:"&amp;ROUND(SUGERENCIAS!K209,1)&amp;" R:"&amp;ROUND(SUGERENCIAS!L209,0)&amp;" RIR:"&amp;ROUND(SUGERENCIAS!M209,0))))))</f>
        <v>Sin datos anteriores</v>
      </c>
      <c r="W83" s="69">
        <f>MAX(IF((G83&gt;0)*(IF(H83="",-1,H83)&gt;=1)*(IF(H83="",-1,H83)&lt;=3),IF(C83="peso_corporal",IF(ISNUMBER(E83),E83,0)+F83,F83)*G83*1000+F83,0),IF((J83&gt;0)*(IF(K83="",-1,K83)&gt;=1)*(IF(K83="",-1,K83)&lt;=3),IF(C83="peso_corporal",IF(ISNUMBER(E83),E83,0)+I83,I83)*J83*1000+I83,0),IF((M83&gt;0)*(IF(N83="",-1,N83)&gt;=1)*(IF(N83="",-1,N83)&lt;=3),IF(C83="peso_corporal",IF(ISNUMBER(E83),E83,0)+L83,L83)*M83*1000+L83,0),IF((P83&gt;0)*(IF(Q83="",-1,Q83)&gt;=1)*(IF(Q83="",-1,Q83)&lt;=3),IF(C83="peso_corporal",IF(ISNUMBER(E83),E83,0)+O83,O83)*P83*1000+O83,0),IF((S83&gt;0)*(IF(T83="",-1,T83)&gt;=1)*(IF(T83="",-1,T83)&lt;=3),IF(C83="peso_corporal",IF(ISNUMBER(E83),E83,0)+R83,R83)*S83*1000+R83,0))</f>
        <v>160020</v>
      </c>
      <c r="X83" s="69">
        <f>IF(W83=0,0,IF(IF((S83&gt;0)*(IF(T83="",-1,T83)&gt;=1)*(IF(T83="",-1,T83)&lt;=3),IF(C83="peso_corporal",IF(ISNUMBER(E83),E83,0)+R83,R83)*S83*1000+R83,0)=W83,5,IF(IF((P83&gt;0)*(IF(Q83="",-1,Q83)&gt;=1)*(IF(Q83="",-1,Q83)&lt;=3),IF(C83="peso_corporal",IF(ISNUMBER(E83),E83,0)+O83,O83)*P83*1000+O83,0)=W83,4,IF(IF((M83&gt;0)*(IF(N83="",-1,N83)&gt;=1)*(IF(N83="",-1,N83)&lt;=3),IF(C83="peso_corporal",IF(ISNUMBER(E83),E83,0)+L83,L83)*M83*1000+L83,0)=W83,3,IF(IF((J83&gt;0)*(IF(K83="",-1,K83)&gt;=1)*(IF(K83="",-1,K83)&lt;=3),IF(C83="peso_corporal",IF(ISNUMBER(E83),E83,0)+I83,I83)*J83*1000+I83,0)=W83,2,IF(IF((G83&gt;0)*(IF(H83="",-1,H83)&gt;=1)*(IF(H83="",-1,H83)&lt;=3),IF(C83="peso_corporal",IF(ISNUMBER(E83),E83,0)+F83,F83)*G83*1000+F83,0)=W83,1,0))))))</f>
        <v>3</v>
      </c>
      <c r="Y83" s="69">
        <f>MAX(IF((G83&gt;0)*(IF(H83="",-1,H83)=0)*(1-(IF(H83="",-1,H83)&gt;=1)*(IF(H83="",-1,H83)&lt;=3)),IF(C83="peso_corporal",IF(ISNUMBER(E83),E83,0)+F83,F83)*G83*1000+F83,0),IF((J83&gt;0)*(IF(K83="",-1,K83)=0)*(1-(IF(K83="",-1,K83)&gt;=1)*(IF(K83="",-1,K83)&lt;=3)),IF(C83="peso_corporal",IF(ISNUMBER(E83),E83,0)+I83,I83)*J83*1000+I83,0),IF((M83&gt;0)*(IF(N83="",-1,N83)=0)*(1-(IF(N83="",-1,N83)&gt;=1)*(IF(N83="",-1,N83)&lt;=3)),IF(C83="peso_corporal",IF(ISNUMBER(E83),E83,0)+L83,L83)*M83*1000+L83,0),IF((P83&gt;0)*(IF(Q83="",-1,Q83)=0)*(1-(IF(Q83="",-1,Q83)&gt;=1)*(IF(Q83="",-1,Q83)&lt;=3)),IF(C83="peso_corporal",IF(ISNUMBER(E83),E83,0)+O83,O83)*P83*1000+O83,0),IF((S83&gt;0)*(IF(T83="",-1,T83)=0)*(1-(IF(T83="",-1,T83)&gt;=1)*(IF(T83="",-1,T83)&lt;=3)),IF(C83="peso_corporal",IF(ISNUMBER(E83),E83,0)+R83,R83)*S83*1000+R83,0))</f>
        <v>162027</v>
      </c>
      <c r="Z83" s="69">
        <f>IF(Y83=0,0,IF(IF((S83&gt;0)*(IF(T83="",-1,T83)=0)*(1-(IF(T83="",-1,T83)&gt;=1)*(IF(T83="",-1,T83)&lt;=3)),IF(C83="peso_corporal",IF(ISNUMBER(E83),E83,0)+R83,R83)*S83*1000+R83,0)=Y83,5,IF(IF((P83&gt;0)*(IF(Q83="",-1,Q83)=0)*(1-(IF(Q83="",-1,Q83)&gt;=1)*(IF(Q83="",-1,Q83)&lt;=3)),IF(C83="peso_corporal",IF(ISNUMBER(E83),E83,0)+O83,O83)*P83*1000+O83,0)=Y83,4,IF(IF((M83&gt;0)*(IF(N83="",-1,N83)=0)*(1-(IF(N83="",-1,N83)&gt;=1)*(IF(N83="",-1,N83)&lt;=3)),IF(C83="peso_corporal",IF(ISNUMBER(E83),E83,0)+L83,L83)*M83*1000+L83,0)=Y83,3,IF(IF((J83&gt;0)*(IF(K83="",-1,K83)=0)*(1-(IF(K83="",-1,K83)&gt;=1)*(IF(K83="",-1,K83)&lt;=3)),IF(C83="peso_corporal",IF(ISNUMBER(E83),E83,0)+I83,I83)*J83*1000+I83,0)=Y83,2,IF(IF((G83&gt;0)*(IF(H83="",-1,H83)=0)*(1-(IF(H83="",-1,H83)&gt;=1)*(IF(H83="",-1,H83)&lt;=3)),IF(C83="peso_corporal",IF(ISNUMBER(E83),E83,0)+F83,F83)*G83*1000+F83,0)=Y83,1,0))))))</f>
        <v>1</v>
      </c>
      <c r="AA83" s="69">
        <f>MAX(IF((G83&gt;=6)*(1-(IF(H83="",-1,H83)&gt;=1)*(IF(H83="",-1,H83)&lt;=3))*(1-(IF(H83="",-1,H83)=0)),IF(C83="peso_corporal",IF(ISNUMBER(E83),E83,0)+F83,F83)*(30+G83)*100+F83,0),IF((J83&gt;=6)*(1-(IF(K83="",-1,K83)&gt;=1)*(IF(K83="",-1,K83)&lt;=3))*(1-(IF(K83="",-1,K83)=0)),IF(C83="peso_corporal",IF(ISNUMBER(E83),E83,0)+I83,I83)*(30+J83)*100+I83,0),IF((M83&gt;=6)*(1-(IF(N83="",-1,N83)&gt;=1)*(IF(N83="",-1,N83)&lt;=3))*(1-(IF(N83="",-1,N83)=0)),IF(C83="peso_corporal",IF(ISNUMBER(E83),E83,0)+L83,L83)*(30+M83)*100+L83,0),IF((P83&gt;=6)*(1-(IF(Q83="",-1,Q83)&gt;=1)*(IF(Q83="",-1,Q83)&lt;=3))*(1-(IF(Q83="",-1,Q83)=0)),IF(C83="peso_corporal",IF(ISNUMBER(E83),E83,0)+O83,O83)*(30+P83)*100+O83,0),IF((S83&gt;=6)*(1-(IF(T83="",-1,T83)&gt;=1)*(IF(T83="",-1,T83)&lt;=3))*(1-(IF(T83="",-1,T83)=0)),IF(C83="peso_corporal",IF(ISNUMBER(E83),E83,0)+R83,R83)*(30+S83)*100+R83,0))</f>
        <v>0</v>
      </c>
      <c r="AB83" s="69">
        <f>IF(AA83=0,0,IF(IF((S83&gt;=6)*(1-(IF(T83="",-1,T83)&gt;=1)*(IF(T83="",-1,T83)&lt;=3))*(1-(IF(T83="",-1,T83)=0)),IF(C83="peso_corporal",IF(ISNUMBER(E83),E83,0)+R83,R83)*(30+S83)*100+R83,0)=AA83,5,IF(IF((P83&gt;=6)*(1-(IF(Q83="",-1,Q83)&gt;=1)*(IF(Q83="",-1,Q83)&lt;=3))*(1-(IF(Q83="",-1,Q83)=0)),IF(C83="peso_corporal",IF(ISNUMBER(E83),E83,0)+O83,O83)*(30+P83)*100+O83,0)=AA83,4,IF(IF((M83&gt;=6)*(1-(IF(N83="",-1,N83)&gt;=1)*(IF(N83="",-1,N83)&lt;=3))*(1-(IF(N83="",-1,N83)=0)),IF(C83="peso_corporal",IF(ISNUMBER(E83),E83,0)+L83,L83)*(30+M83)*100+L83,0)=AA83,3,IF(IF((J83&gt;=6)*(1-(IF(K83="",-1,K83)&gt;=1)*(IF(K83="",-1,K83)&lt;=3))*(1-(IF(K83="",-1,K83)=0)),IF(C83="peso_corporal",IF(ISNUMBER(E83),E83,0)+I83,I83)*(30+J83)*100+I83,0)=AA83,2,IF(IF((G83&gt;=6)*(1-(IF(H83="",-1,H83)&gt;=1)*(IF(H83="",-1,H83)&lt;=3))*(1-(IF(H83="",-1,H83)=0)),IF(C83="peso_corporal",IF(ISNUMBER(E83),E83,0)+F83,F83)*(30+G83)*100+F83,0)=AA83,1,0))))))</f>
        <v>0</v>
      </c>
      <c r="AC83" s="69" t="str">
        <f>IF(X83&gt;0,"A"&amp;X83,IF(Z83&gt;0,"B"&amp;Z83,IF(AB83&gt;0,"C"&amp;AB83,"")))</f>
        <v>A3</v>
      </c>
    </row>
    <row r="84" spans="1:29" ht="15" customHeight="1">
      <c r="A84" s="83" t="s">
        <v>99</v>
      </c>
      <c r="B84" s="73"/>
      <c r="C84" s="73"/>
      <c r="D84" s="73"/>
      <c r="E84" s="73"/>
      <c r="F84" s="73"/>
      <c r="G84" s="73"/>
      <c r="H84" s="73"/>
      <c r="I84" s="73"/>
      <c r="J84" s="73"/>
      <c r="K84" s="73"/>
      <c r="L84" s="73"/>
      <c r="M84" s="73"/>
      <c r="N84" s="73"/>
      <c r="O84" s="73"/>
      <c r="P84" s="73"/>
      <c r="Q84" s="73"/>
      <c r="R84" s="73"/>
      <c r="S84" s="73"/>
      <c r="T84" s="73"/>
      <c r="U84" s="73"/>
      <c r="V84" s="73"/>
      <c r="W84" s="69"/>
      <c r="X84" s="69"/>
      <c r="Y84" s="69"/>
      <c r="Z84" s="69"/>
      <c r="AA84" s="69"/>
      <c r="AB84" s="69"/>
      <c r="AC84" s="69"/>
    </row>
    <row r="85" spans="1:29" ht="20.100000000000001" customHeight="1">
      <c r="A85" s="14" t="s">
        <v>100</v>
      </c>
      <c r="B85" s="15" t="s">
        <v>117</v>
      </c>
      <c r="C85" s="16" t="str">
        <f>IFERROR(INDEX(EJERCICIOS!$D$3:$D$75,MATCH(A85&amp;"|"&amp;B85,EJERCICIOS!$G$3:$G$75,0)),"--")</f>
        <v>polea</v>
      </c>
      <c r="D85" s="17">
        <v>4</v>
      </c>
      <c r="E85" s="18">
        <f>IFERROR(LOOKUP(2,1/(MEDIDAS_Y_PESO!$B$3:$B$6&lt;&gt;""),MEDIDAS_Y_PESO!$B$3:$B$6),"--")</f>
        <v>80</v>
      </c>
      <c r="F85" s="19">
        <v>40</v>
      </c>
      <c r="G85" s="20">
        <v>12</v>
      </c>
      <c r="H85" s="21">
        <v>8</v>
      </c>
      <c r="I85" s="19">
        <v>55</v>
      </c>
      <c r="J85" s="20">
        <v>10</v>
      </c>
      <c r="K85" s="21">
        <v>1</v>
      </c>
      <c r="L85" s="19">
        <v>62.5</v>
      </c>
      <c r="M85" s="20">
        <v>7</v>
      </c>
      <c r="N85" s="21">
        <v>2</v>
      </c>
      <c r="O85" s="19">
        <v>62.5</v>
      </c>
      <c r="P85" s="20">
        <v>10</v>
      </c>
      <c r="Q85" s="21">
        <v>2</v>
      </c>
      <c r="R85" s="19"/>
      <c r="S85" s="20"/>
      <c r="T85" s="21"/>
      <c r="U85" s="22">
        <f>IFERROR(IF(IF(X85&gt;0,X85,IF(Z85&gt;0,Z85,IF(AB85&gt;0,AB85,0)))=0,"--",ROUND(CHOOSE(IF(X85&gt;0,X85,IF(Z85&gt;0,Z85,IF(AB85&gt;0,AB85,0))),IF(C85="peso_corporal",IF(ISNUMBER(E85),E85,0)+F85,F85)*(1+G85/30),IF(C85="peso_corporal",IF(ISNUMBER(E85),E85,0)+I85,I85)*(1+J85/30),IF(C85="peso_corporal",IF(ISNUMBER(E85),E85,0)+L85,L85)*(1+M85/30),IF(C85="peso_corporal",IF(ISNUMBER(E85),E85,0)+O85,O85)*(1+P85/30),IF(C85="peso_corporal",IF(ISNUMBER(E85),E85,0)+R85,R85)*(1+S85/30)),1)),"--")</f>
        <v>83.3</v>
      </c>
      <c r="V85" s="23" t="str">
        <f>IF(SUGERENCIAS!N210="SIN","Sin datos anteriores",IF(SUGERENCIAS!N210="SUBIR_F","^ SUBIR FUERTE | Kg:"&amp;ROUND(SUGERENCIAS!K210,1)&amp;" R:"&amp;ROUND(SUGERENCIAS!L210,0)&amp;" RIR:"&amp;ROUND(SUGERENCIAS!M210,0),IF(SUGERENCIAS!N210="SUBIR_E","^ SUBIR (Est.) | Kg:"&amp;ROUND(SUGERENCIAS!K210,1)&amp;" R:"&amp;ROUND(SUGERENCIAS!L210,0)&amp;" RIR:"&amp;ROUND(SUGERENCIAS!M210,0),IF(SUGERENCIAS!N210="SUBIR","^ SUBIR | Kg:"&amp;ROUND(SUGERENCIAS!K210,1)&amp;" R:"&amp;ROUND(SUGERENCIAS!L210,0)&amp;" RIR:"&amp;ROUND(SUGERENCIAS!M210,0),IF(SUGERENCIAS!N210="BAJAR","v BAJAR | Kg:"&amp;ROUND(SUGERENCIAS!K210,1)&amp;" R:"&amp;ROUND(SUGERENCIAS!L210,0)&amp;" RIR:"&amp;ROUND(SUGERENCIAS!M210,0),"= MANT | Kg:"&amp;ROUND(SUGERENCIAS!K210,1)&amp;" R:"&amp;ROUND(SUGERENCIAS!L210,0)&amp;" RIR:"&amp;ROUND(SUGERENCIAS!M210,0))))))</f>
        <v>Sin datos anteriores</v>
      </c>
      <c r="W85" s="69">
        <f>MAX(IF((G85&gt;0)*(IF(H85="",-1,H85)&gt;=1)*(IF(H85="",-1,H85)&lt;=3),IF(C85="peso_corporal",IF(ISNUMBER(E85),E85,0)+F85,F85)*G85*1000+F85,0),IF((J85&gt;0)*(IF(K85="",-1,K85)&gt;=1)*(IF(K85="",-1,K85)&lt;=3),IF(C85="peso_corporal",IF(ISNUMBER(E85),E85,0)+I85,I85)*J85*1000+I85,0),IF((M85&gt;0)*(IF(N85="",-1,N85)&gt;=1)*(IF(N85="",-1,N85)&lt;=3),IF(C85="peso_corporal",IF(ISNUMBER(E85),E85,0)+L85,L85)*M85*1000+L85,0),IF((P85&gt;0)*(IF(Q85="",-1,Q85)&gt;=1)*(IF(Q85="",-1,Q85)&lt;=3),IF(C85="peso_corporal",IF(ISNUMBER(E85),E85,0)+O85,O85)*P85*1000+O85,0),IF((S85&gt;0)*(IF(T85="",-1,T85)&gt;=1)*(IF(T85="",-1,T85)&lt;=3),IF(C85="peso_corporal",IF(ISNUMBER(E85),E85,0)+R85,R85)*S85*1000+R85,0))</f>
        <v>625062.5</v>
      </c>
      <c r="X85" s="69">
        <f>IF(W85=0,0,IF(IF((S85&gt;0)*(IF(T85="",-1,T85)&gt;=1)*(IF(T85="",-1,T85)&lt;=3),IF(C85="peso_corporal",IF(ISNUMBER(E85),E85,0)+R85,R85)*S85*1000+R85,0)=W85,5,IF(IF((P85&gt;0)*(IF(Q85="",-1,Q85)&gt;=1)*(IF(Q85="",-1,Q85)&lt;=3),IF(C85="peso_corporal",IF(ISNUMBER(E85),E85,0)+O85,O85)*P85*1000+O85,0)=W85,4,IF(IF((M85&gt;0)*(IF(N85="",-1,N85)&gt;=1)*(IF(N85="",-1,N85)&lt;=3),IF(C85="peso_corporal",IF(ISNUMBER(E85),E85,0)+L85,L85)*M85*1000+L85,0)=W85,3,IF(IF((J85&gt;0)*(IF(K85="",-1,K85)&gt;=1)*(IF(K85="",-1,K85)&lt;=3),IF(C85="peso_corporal",IF(ISNUMBER(E85),E85,0)+I85,I85)*J85*1000+I85,0)=W85,2,IF(IF((G85&gt;0)*(IF(H85="",-1,H85)&gt;=1)*(IF(H85="",-1,H85)&lt;=3),IF(C85="peso_corporal",IF(ISNUMBER(E85),E85,0)+F85,F85)*G85*1000+F85,0)=W85,1,0))))))</f>
        <v>4</v>
      </c>
      <c r="Y85" s="69">
        <f>MAX(IF((G85&gt;0)*(IF(H85="",-1,H85)=0)*(1-(IF(H85="",-1,H85)&gt;=1)*(IF(H85="",-1,H85)&lt;=3)),IF(C85="peso_corporal",IF(ISNUMBER(E85),E85,0)+F85,F85)*G85*1000+F85,0),IF((J85&gt;0)*(IF(K85="",-1,K85)=0)*(1-(IF(K85="",-1,K85)&gt;=1)*(IF(K85="",-1,K85)&lt;=3)),IF(C85="peso_corporal",IF(ISNUMBER(E85),E85,0)+I85,I85)*J85*1000+I85,0),IF((M85&gt;0)*(IF(N85="",-1,N85)=0)*(1-(IF(N85="",-1,N85)&gt;=1)*(IF(N85="",-1,N85)&lt;=3)),IF(C85="peso_corporal",IF(ISNUMBER(E85),E85,0)+L85,L85)*M85*1000+L85,0),IF((P85&gt;0)*(IF(Q85="",-1,Q85)=0)*(1-(IF(Q85="",-1,Q85)&gt;=1)*(IF(Q85="",-1,Q85)&lt;=3)),IF(C85="peso_corporal",IF(ISNUMBER(E85),E85,0)+O85,O85)*P85*1000+O85,0),IF((S85&gt;0)*(IF(T85="",-1,T85)=0)*(1-(IF(T85="",-1,T85)&gt;=1)*(IF(T85="",-1,T85)&lt;=3)),IF(C85="peso_corporal",IF(ISNUMBER(E85),E85,0)+R85,R85)*S85*1000+R85,0))</f>
        <v>0</v>
      </c>
      <c r="Z85" s="69">
        <f>IF(Y85=0,0,IF(IF((S85&gt;0)*(IF(T85="",-1,T85)=0)*(1-(IF(T85="",-1,T85)&gt;=1)*(IF(T85="",-1,T85)&lt;=3)),IF(C85="peso_corporal",IF(ISNUMBER(E85),E85,0)+R85,R85)*S85*1000+R85,0)=Y85,5,IF(IF((P85&gt;0)*(IF(Q85="",-1,Q85)=0)*(1-(IF(Q85="",-1,Q85)&gt;=1)*(IF(Q85="",-1,Q85)&lt;=3)),IF(C85="peso_corporal",IF(ISNUMBER(E85),E85,0)+O85,O85)*P85*1000+O85,0)=Y85,4,IF(IF((M85&gt;0)*(IF(N85="",-1,N85)=0)*(1-(IF(N85="",-1,N85)&gt;=1)*(IF(N85="",-1,N85)&lt;=3)),IF(C85="peso_corporal",IF(ISNUMBER(E85),E85,0)+L85,L85)*M85*1000+L85,0)=Y85,3,IF(IF((J85&gt;0)*(IF(K85="",-1,K85)=0)*(1-(IF(K85="",-1,K85)&gt;=1)*(IF(K85="",-1,K85)&lt;=3)),IF(C85="peso_corporal",IF(ISNUMBER(E85),E85,0)+I85,I85)*J85*1000+I85,0)=Y85,2,IF(IF((G85&gt;0)*(IF(H85="",-1,H85)=0)*(1-(IF(H85="",-1,H85)&gt;=1)*(IF(H85="",-1,H85)&lt;=3)),IF(C85="peso_corporal",IF(ISNUMBER(E85),E85,0)+F85,F85)*G85*1000+F85,0)=Y85,1,0))))))</f>
        <v>0</v>
      </c>
      <c r="AA85" s="69">
        <f>MAX(IF((G85&gt;=6)*(1-(IF(H85="",-1,H85)&gt;=1)*(IF(H85="",-1,H85)&lt;=3))*(1-(IF(H85="",-1,H85)=0)),IF(C85="peso_corporal",IF(ISNUMBER(E85),E85,0)+F85,F85)*(30+G85)*100+F85,0),IF((J85&gt;=6)*(1-(IF(K85="",-1,K85)&gt;=1)*(IF(K85="",-1,K85)&lt;=3))*(1-(IF(K85="",-1,K85)=0)),IF(C85="peso_corporal",IF(ISNUMBER(E85),E85,0)+I85,I85)*(30+J85)*100+I85,0),IF((M85&gt;=6)*(1-(IF(N85="",-1,N85)&gt;=1)*(IF(N85="",-1,N85)&lt;=3))*(1-(IF(N85="",-1,N85)=0)),IF(C85="peso_corporal",IF(ISNUMBER(E85),E85,0)+L85,L85)*(30+M85)*100+L85,0),IF((P85&gt;=6)*(1-(IF(Q85="",-1,Q85)&gt;=1)*(IF(Q85="",-1,Q85)&lt;=3))*(1-(IF(Q85="",-1,Q85)=0)),IF(C85="peso_corporal",IF(ISNUMBER(E85),E85,0)+O85,O85)*(30+P85)*100+O85,0),IF((S85&gt;=6)*(1-(IF(T85="",-1,T85)&gt;=1)*(IF(T85="",-1,T85)&lt;=3))*(1-(IF(T85="",-1,T85)=0)),IF(C85="peso_corporal",IF(ISNUMBER(E85),E85,0)+R85,R85)*(30+S85)*100+R85,0))</f>
        <v>168040</v>
      </c>
      <c r="AB85" s="69">
        <f>IF(AA85=0,0,IF(IF((S85&gt;=6)*(1-(IF(T85="",-1,T85)&gt;=1)*(IF(T85="",-1,T85)&lt;=3))*(1-(IF(T85="",-1,T85)=0)),IF(C85="peso_corporal",IF(ISNUMBER(E85),E85,0)+R85,R85)*(30+S85)*100+R85,0)=AA85,5,IF(IF((P85&gt;=6)*(1-(IF(Q85="",-1,Q85)&gt;=1)*(IF(Q85="",-1,Q85)&lt;=3))*(1-(IF(Q85="",-1,Q85)=0)),IF(C85="peso_corporal",IF(ISNUMBER(E85),E85,0)+O85,O85)*(30+P85)*100+O85,0)=AA85,4,IF(IF((M85&gt;=6)*(1-(IF(N85="",-1,N85)&gt;=1)*(IF(N85="",-1,N85)&lt;=3))*(1-(IF(N85="",-1,N85)=0)),IF(C85="peso_corporal",IF(ISNUMBER(E85),E85,0)+L85,L85)*(30+M85)*100+L85,0)=AA85,3,IF(IF((J85&gt;=6)*(1-(IF(K85="",-1,K85)&gt;=1)*(IF(K85="",-1,K85)&lt;=3))*(1-(IF(K85="",-1,K85)=0)),IF(C85="peso_corporal",IF(ISNUMBER(E85),E85,0)+I85,I85)*(30+J85)*100+I85,0)=AA85,2,IF(IF((G85&gt;=6)*(1-(IF(H85="",-1,H85)&gt;=1)*(IF(H85="",-1,H85)&lt;=3))*(1-(IF(H85="",-1,H85)=0)),IF(C85="peso_corporal",IF(ISNUMBER(E85),E85,0)+F85,F85)*(30+G85)*100+F85,0)=AA85,1,0))))))</f>
        <v>1</v>
      </c>
      <c r="AC85" s="69" t="str">
        <f>IF(X85&gt;0,"A"&amp;X85,IF(Z85&gt;0,"B"&amp;Z85,IF(AB85&gt;0,"C"&amp;AB85,"")))</f>
        <v>A4</v>
      </c>
    </row>
    <row r="86" spans="1:29" ht="20.100000000000001" customHeight="1">
      <c r="A86" s="14" t="s">
        <v>100</v>
      </c>
      <c r="B86" s="15" t="s">
        <v>102</v>
      </c>
      <c r="C86" s="16" t="str">
        <f>IFERROR(INDEX(EJERCICIOS!$D$3:$D$75,MATCH(A86&amp;"|"&amp;B86,EJERCICIOS!$G$3:$G$75,0)),"--")</f>
        <v>mancuerna</v>
      </c>
      <c r="D86" s="17">
        <v>3</v>
      </c>
      <c r="E86" s="18">
        <f>IFERROR(LOOKUP(2,1/(MEDIDAS_Y_PESO!$B$3:$B$6&lt;&gt;""),MEDIDAS_Y_PESO!$B$3:$B$6),"--")</f>
        <v>80</v>
      </c>
      <c r="F86" s="19"/>
      <c r="G86" s="20"/>
      <c r="H86" s="21"/>
      <c r="I86" s="19"/>
      <c r="J86" s="20"/>
      <c r="K86" s="21"/>
      <c r="L86" s="19"/>
      <c r="M86" s="20"/>
      <c r="N86" s="21"/>
      <c r="O86" s="19"/>
      <c r="P86" s="20"/>
      <c r="Q86" s="21"/>
      <c r="R86" s="19"/>
      <c r="S86" s="20"/>
      <c r="T86" s="21"/>
      <c r="U86" s="22" t="str">
        <f>IFERROR(IF(IF(X86&gt;0,X86,IF(Z86&gt;0,Z86,IF(AB86&gt;0,AB86,0)))=0,"--",ROUND(CHOOSE(IF(X86&gt;0,X86,IF(Z86&gt;0,Z86,IF(AB86&gt;0,AB86,0))),IF(C86="peso_corporal",IF(ISNUMBER(E86),E86,0)+F86,F86)*(1+G86/30),IF(C86="peso_corporal",IF(ISNUMBER(E86),E86,0)+I86,I86)*(1+J86/30),IF(C86="peso_corporal",IF(ISNUMBER(E86),E86,0)+L86,L86)*(1+M86/30),IF(C86="peso_corporal",IF(ISNUMBER(E86),E86,0)+O86,O86)*(1+P86/30),IF(C86="peso_corporal",IF(ISNUMBER(E86),E86,0)+R86,R86)*(1+S86/30)),1)),"--")</f>
        <v>--</v>
      </c>
      <c r="V86" s="23" t="str">
        <f>IF(SUGERENCIAS!N211="SIN","Sin datos anteriores",IF(SUGERENCIAS!N211="SUBIR_F","^ SUBIR FUERTE | Kg:"&amp;ROUND(SUGERENCIAS!K211,1)&amp;" R:"&amp;ROUND(SUGERENCIAS!L211,0)&amp;" RIR:"&amp;ROUND(SUGERENCIAS!M211,0),IF(SUGERENCIAS!N211="SUBIR_E","^ SUBIR (Est.) | Kg:"&amp;ROUND(SUGERENCIAS!K211,1)&amp;" R:"&amp;ROUND(SUGERENCIAS!L211,0)&amp;" RIR:"&amp;ROUND(SUGERENCIAS!M211,0),IF(SUGERENCIAS!N211="SUBIR","^ SUBIR | Kg:"&amp;ROUND(SUGERENCIAS!K211,1)&amp;" R:"&amp;ROUND(SUGERENCIAS!L211,0)&amp;" RIR:"&amp;ROUND(SUGERENCIAS!M211,0),IF(SUGERENCIAS!N211="BAJAR","v BAJAR | Kg:"&amp;ROUND(SUGERENCIAS!K211,1)&amp;" R:"&amp;ROUND(SUGERENCIAS!L211,0)&amp;" RIR:"&amp;ROUND(SUGERENCIAS!M211,0),"= MANT | Kg:"&amp;ROUND(SUGERENCIAS!K211,1)&amp;" R:"&amp;ROUND(SUGERENCIAS!L211,0)&amp;" RIR:"&amp;ROUND(SUGERENCIAS!M211,0))))))</f>
        <v>Sin datos anteriores</v>
      </c>
      <c r="W86" s="69">
        <f>MAX(IF((G86&gt;0)*(IF(H86="",-1,H86)&gt;=1)*(IF(H86="",-1,H86)&lt;=3),IF(C86="peso_corporal",IF(ISNUMBER(E86),E86,0)+F86,F86)*G86*1000+F86,0),IF((J86&gt;0)*(IF(K86="",-1,K86)&gt;=1)*(IF(K86="",-1,K86)&lt;=3),IF(C86="peso_corporal",IF(ISNUMBER(E86),E86,0)+I86,I86)*J86*1000+I86,0),IF((M86&gt;0)*(IF(N86="",-1,N86)&gt;=1)*(IF(N86="",-1,N86)&lt;=3),IF(C86="peso_corporal",IF(ISNUMBER(E86),E86,0)+L86,L86)*M86*1000+L86,0),IF((P86&gt;0)*(IF(Q86="",-1,Q86)&gt;=1)*(IF(Q86="",-1,Q86)&lt;=3),IF(C86="peso_corporal",IF(ISNUMBER(E86),E86,0)+O86,O86)*P86*1000+O86,0),IF((S86&gt;0)*(IF(T86="",-1,T86)&gt;=1)*(IF(T86="",-1,T86)&lt;=3),IF(C86="peso_corporal",IF(ISNUMBER(E86),E86,0)+R86,R86)*S86*1000+R86,0))</f>
        <v>0</v>
      </c>
      <c r="X86" s="69">
        <f>IF(W86=0,0,IF(IF((S86&gt;0)*(IF(T86="",-1,T86)&gt;=1)*(IF(T86="",-1,T86)&lt;=3),IF(C86="peso_corporal",IF(ISNUMBER(E86),E86,0)+R86,R86)*S86*1000+R86,0)=W86,5,IF(IF((P86&gt;0)*(IF(Q86="",-1,Q86)&gt;=1)*(IF(Q86="",-1,Q86)&lt;=3),IF(C86="peso_corporal",IF(ISNUMBER(E86),E86,0)+O86,O86)*P86*1000+O86,0)=W86,4,IF(IF((M86&gt;0)*(IF(N86="",-1,N86)&gt;=1)*(IF(N86="",-1,N86)&lt;=3),IF(C86="peso_corporal",IF(ISNUMBER(E86),E86,0)+L86,L86)*M86*1000+L86,0)=W86,3,IF(IF((J86&gt;0)*(IF(K86="",-1,K86)&gt;=1)*(IF(K86="",-1,K86)&lt;=3),IF(C86="peso_corporal",IF(ISNUMBER(E86),E86,0)+I86,I86)*J86*1000+I86,0)=W86,2,IF(IF((G86&gt;0)*(IF(H86="",-1,H86)&gt;=1)*(IF(H86="",-1,H86)&lt;=3),IF(C86="peso_corporal",IF(ISNUMBER(E86),E86,0)+F86,F86)*G86*1000+F86,0)=W86,1,0))))))</f>
        <v>0</v>
      </c>
      <c r="Y86" s="69">
        <f>MAX(IF((G86&gt;0)*(IF(H86="",-1,H86)=0)*(1-(IF(H86="",-1,H86)&gt;=1)*(IF(H86="",-1,H86)&lt;=3)),IF(C86="peso_corporal",IF(ISNUMBER(E86),E86,0)+F86,F86)*G86*1000+F86,0),IF((J86&gt;0)*(IF(K86="",-1,K86)=0)*(1-(IF(K86="",-1,K86)&gt;=1)*(IF(K86="",-1,K86)&lt;=3)),IF(C86="peso_corporal",IF(ISNUMBER(E86),E86,0)+I86,I86)*J86*1000+I86,0),IF((M86&gt;0)*(IF(N86="",-1,N86)=0)*(1-(IF(N86="",-1,N86)&gt;=1)*(IF(N86="",-1,N86)&lt;=3)),IF(C86="peso_corporal",IF(ISNUMBER(E86),E86,0)+L86,L86)*M86*1000+L86,0),IF((P86&gt;0)*(IF(Q86="",-1,Q86)=0)*(1-(IF(Q86="",-1,Q86)&gt;=1)*(IF(Q86="",-1,Q86)&lt;=3)),IF(C86="peso_corporal",IF(ISNUMBER(E86),E86,0)+O86,O86)*P86*1000+O86,0),IF((S86&gt;0)*(IF(T86="",-1,T86)=0)*(1-(IF(T86="",-1,T86)&gt;=1)*(IF(T86="",-1,T86)&lt;=3)),IF(C86="peso_corporal",IF(ISNUMBER(E86),E86,0)+R86,R86)*S86*1000+R86,0))</f>
        <v>0</v>
      </c>
      <c r="Z86" s="69">
        <f>IF(Y86=0,0,IF(IF((S86&gt;0)*(IF(T86="",-1,T86)=0)*(1-(IF(T86="",-1,T86)&gt;=1)*(IF(T86="",-1,T86)&lt;=3)),IF(C86="peso_corporal",IF(ISNUMBER(E86),E86,0)+R86,R86)*S86*1000+R86,0)=Y86,5,IF(IF((P86&gt;0)*(IF(Q86="",-1,Q86)=0)*(1-(IF(Q86="",-1,Q86)&gt;=1)*(IF(Q86="",-1,Q86)&lt;=3)),IF(C86="peso_corporal",IF(ISNUMBER(E86),E86,0)+O86,O86)*P86*1000+O86,0)=Y86,4,IF(IF((M86&gt;0)*(IF(N86="",-1,N86)=0)*(1-(IF(N86="",-1,N86)&gt;=1)*(IF(N86="",-1,N86)&lt;=3)),IF(C86="peso_corporal",IF(ISNUMBER(E86),E86,0)+L86,L86)*M86*1000+L86,0)=Y86,3,IF(IF((J86&gt;0)*(IF(K86="",-1,K86)=0)*(1-(IF(K86="",-1,K86)&gt;=1)*(IF(K86="",-1,K86)&lt;=3)),IF(C86="peso_corporal",IF(ISNUMBER(E86),E86,0)+I86,I86)*J86*1000+I86,0)=Y86,2,IF(IF((G86&gt;0)*(IF(H86="",-1,H86)=0)*(1-(IF(H86="",-1,H86)&gt;=1)*(IF(H86="",-1,H86)&lt;=3)),IF(C86="peso_corporal",IF(ISNUMBER(E86),E86,0)+F86,F86)*G86*1000+F86,0)=Y86,1,0))))))</f>
        <v>0</v>
      </c>
      <c r="AA86" s="69">
        <f>MAX(IF((G86&gt;=6)*(1-(IF(H86="",-1,H86)&gt;=1)*(IF(H86="",-1,H86)&lt;=3))*(1-(IF(H86="",-1,H86)=0)),IF(C86="peso_corporal",IF(ISNUMBER(E86),E86,0)+F86,F86)*(30+G86)*100+F86,0),IF((J86&gt;=6)*(1-(IF(K86="",-1,K86)&gt;=1)*(IF(K86="",-1,K86)&lt;=3))*(1-(IF(K86="",-1,K86)=0)),IF(C86="peso_corporal",IF(ISNUMBER(E86),E86,0)+I86,I86)*(30+J86)*100+I86,0),IF((M86&gt;=6)*(1-(IF(N86="",-1,N86)&gt;=1)*(IF(N86="",-1,N86)&lt;=3))*(1-(IF(N86="",-1,N86)=0)),IF(C86="peso_corporal",IF(ISNUMBER(E86),E86,0)+L86,L86)*(30+M86)*100+L86,0),IF((P86&gt;=6)*(1-(IF(Q86="",-1,Q86)&gt;=1)*(IF(Q86="",-1,Q86)&lt;=3))*(1-(IF(Q86="",-1,Q86)=0)),IF(C86="peso_corporal",IF(ISNUMBER(E86),E86,0)+O86,O86)*(30+P86)*100+O86,0),IF((S86&gt;=6)*(1-(IF(T86="",-1,T86)&gt;=1)*(IF(T86="",-1,T86)&lt;=3))*(1-(IF(T86="",-1,T86)=0)),IF(C86="peso_corporal",IF(ISNUMBER(E86),E86,0)+R86,R86)*(30+S86)*100+R86,0))</f>
        <v>0</v>
      </c>
      <c r="AB86" s="69">
        <f>IF(AA86=0,0,IF(IF((S86&gt;=6)*(1-(IF(T86="",-1,T86)&gt;=1)*(IF(T86="",-1,T86)&lt;=3))*(1-(IF(T86="",-1,T86)=0)),IF(C86="peso_corporal",IF(ISNUMBER(E86),E86,0)+R86,R86)*(30+S86)*100+R86,0)=AA86,5,IF(IF((P86&gt;=6)*(1-(IF(Q86="",-1,Q86)&gt;=1)*(IF(Q86="",-1,Q86)&lt;=3))*(1-(IF(Q86="",-1,Q86)=0)),IF(C86="peso_corporal",IF(ISNUMBER(E86),E86,0)+O86,O86)*(30+P86)*100+O86,0)=AA86,4,IF(IF((M86&gt;=6)*(1-(IF(N86="",-1,N86)&gt;=1)*(IF(N86="",-1,N86)&lt;=3))*(1-(IF(N86="",-1,N86)=0)),IF(C86="peso_corporal",IF(ISNUMBER(E86),E86,0)+L86,L86)*(30+M86)*100+L86,0)=AA86,3,IF(IF((J86&gt;=6)*(1-(IF(K86="",-1,K86)&gt;=1)*(IF(K86="",-1,K86)&lt;=3))*(1-(IF(K86="",-1,K86)=0)),IF(C86="peso_corporal",IF(ISNUMBER(E86),E86,0)+I86,I86)*(30+J86)*100+I86,0)=AA86,2,IF(IF((G86&gt;=6)*(1-(IF(H86="",-1,H86)&gt;=1)*(IF(H86="",-1,H86)&lt;=3))*(1-(IF(H86="",-1,H86)=0)),IF(C86="peso_corporal",IF(ISNUMBER(E86),E86,0)+F86,F86)*(30+G86)*100+F86,0)=AA86,1,0))))))</f>
        <v>0</v>
      </c>
      <c r="AC86" s="69" t="str">
        <f>IF(X86&gt;0,"A"&amp;X86,IF(Z86&gt;0,"B"&amp;Z86,IF(AB86&gt;0,"C"&amp;AB86,"")))</f>
        <v/>
      </c>
    </row>
    <row r="87" spans="1:29" ht="15" customHeight="1">
      <c r="A87" s="83" t="s">
        <v>103</v>
      </c>
      <c r="B87" s="73"/>
      <c r="C87" s="73"/>
      <c r="D87" s="73"/>
      <c r="E87" s="73"/>
      <c r="F87" s="73"/>
      <c r="G87" s="73"/>
      <c r="H87" s="73"/>
      <c r="I87" s="73"/>
      <c r="J87" s="73"/>
      <c r="K87" s="73"/>
      <c r="L87" s="73"/>
      <c r="M87" s="73"/>
      <c r="N87" s="73"/>
      <c r="O87" s="73"/>
      <c r="P87" s="73"/>
      <c r="Q87" s="73"/>
      <c r="R87" s="73"/>
      <c r="S87" s="73"/>
      <c r="T87" s="73"/>
      <c r="U87" s="73"/>
      <c r="V87" s="73"/>
      <c r="W87" s="69"/>
      <c r="X87" s="69"/>
      <c r="Y87" s="69"/>
      <c r="Z87" s="69"/>
      <c r="AA87" s="69"/>
      <c r="AB87" s="69"/>
      <c r="AC87" s="69"/>
    </row>
    <row r="88" spans="1:29" ht="20.100000000000001" customHeight="1">
      <c r="A88" s="14" t="s">
        <v>104</v>
      </c>
      <c r="B88" s="15" t="s">
        <v>105</v>
      </c>
      <c r="C88" s="16" t="str">
        <f>IFERROR(INDEX(EJERCICIOS!$D$3:$D$75,MATCH(A88&amp;"|"&amp;B88,EJERCICIOS!$G$3:$G$75,0)),"--")</f>
        <v>mancuerna</v>
      </c>
      <c r="D88" s="17">
        <v>3</v>
      </c>
      <c r="E88" s="18">
        <f>IFERROR(LOOKUP(2,1/(MEDIDAS_Y_PESO!$B$3:$B$6&lt;&gt;""),MEDIDAS_Y_PESO!$B$3:$B$6),"--")</f>
        <v>80</v>
      </c>
      <c r="F88" s="19"/>
      <c r="G88" s="20"/>
      <c r="H88" s="21"/>
      <c r="I88" s="19"/>
      <c r="J88" s="20"/>
      <c r="K88" s="21"/>
      <c r="L88" s="19"/>
      <c r="M88" s="20"/>
      <c r="N88" s="21"/>
      <c r="O88" s="19"/>
      <c r="P88" s="20"/>
      <c r="Q88" s="21"/>
      <c r="R88" s="19"/>
      <c r="S88" s="20"/>
      <c r="T88" s="21"/>
      <c r="U88" s="22" t="str">
        <f>IFERROR(IF(IF(X88&gt;0,X88,IF(Z88&gt;0,Z88,IF(AB88&gt;0,AB88,0)))=0,"--",ROUND(CHOOSE(IF(X88&gt;0,X88,IF(Z88&gt;0,Z88,IF(AB88&gt;0,AB88,0))),IF(C88="peso_corporal",IF(ISNUMBER(E88),E88,0)+F88,F88)*(1+G88/30),IF(C88="peso_corporal",IF(ISNUMBER(E88),E88,0)+I88,I88)*(1+J88/30),IF(C88="peso_corporal",IF(ISNUMBER(E88),E88,0)+L88,L88)*(1+M88/30),IF(C88="peso_corporal",IF(ISNUMBER(E88),E88,0)+O88,O88)*(1+P88/30),IF(C88="peso_corporal",IF(ISNUMBER(E88),E88,0)+R88,R88)*(1+S88/30)),1)),"--")</f>
        <v>--</v>
      </c>
      <c r="V88" s="23" t="str">
        <f>IF(SUGERENCIAS!N212="SIN","Sin datos anteriores",IF(SUGERENCIAS!N212="SUBIR_F","^ SUBIR FUERTE | Kg:"&amp;ROUND(SUGERENCIAS!K212,1)&amp;" R:"&amp;ROUND(SUGERENCIAS!L212,0)&amp;" RIR:"&amp;ROUND(SUGERENCIAS!M212,0),IF(SUGERENCIAS!N212="SUBIR_E","^ SUBIR (Est.) | Kg:"&amp;ROUND(SUGERENCIAS!K212,1)&amp;" R:"&amp;ROUND(SUGERENCIAS!L212,0)&amp;" RIR:"&amp;ROUND(SUGERENCIAS!M212,0),IF(SUGERENCIAS!N212="SUBIR","^ SUBIR | Kg:"&amp;ROUND(SUGERENCIAS!K212,1)&amp;" R:"&amp;ROUND(SUGERENCIAS!L212,0)&amp;" RIR:"&amp;ROUND(SUGERENCIAS!M212,0),IF(SUGERENCIAS!N212="BAJAR","v BAJAR | Kg:"&amp;ROUND(SUGERENCIAS!K212,1)&amp;" R:"&amp;ROUND(SUGERENCIAS!L212,0)&amp;" RIR:"&amp;ROUND(SUGERENCIAS!M212,0),"= MANT | Kg:"&amp;ROUND(SUGERENCIAS!K212,1)&amp;" R:"&amp;ROUND(SUGERENCIAS!L212,0)&amp;" RIR:"&amp;ROUND(SUGERENCIAS!M212,0))))))</f>
        <v>Sin datos anteriores</v>
      </c>
      <c r="W88" s="69">
        <f>MAX(IF((G88&gt;0)*(IF(H88="",-1,H88)&gt;=1)*(IF(H88="",-1,H88)&lt;=3),IF(C88="peso_corporal",IF(ISNUMBER(E88),E88,0)+F88,F88)*G88*1000+F88,0),IF((J88&gt;0)*(IF(K88="",-1,K88)&gt;=1)*(IF(K88="",-1,K88)&lt;=3),IF(C88="peso_corporal",IF(ISNUMBER(E88),E88,0)+I88,I88)*J88*1000+I88,0),IF((M88&gt;0)*(IF(N88="",-1,N88)&gt;=1)*(IF(N88="",-1,N88)&lt;=3),IF(C88="peso_corporal",IF(ISNUMBER(E88),E88,0)+L88,L88)*M88*1000+L88,0),IF((P88&gt;0)*(IF(Q88="",-1,Q88)&gt;=1)*(IF(Q88="",-1,Q88)&lt;=3),IF(C88="peso_corporal",IF(ISNUMBER(E88),E88,0)+O88,O88)*P88*1000+O88,0),IF((S88&gt;0)*(IF(T88="",-1,T88)&gt;=1)*(IF(T88="",-1,T88)&lt;=3),IF(C88="peso_corporal",IF(ISNUMBER(E88),E88,0)+R88,R88)*S88*1000+R88,0))</f>
        <v>0</v>
      </c>
      <c r="X88" s="69">
        <f>IF(W88=0,0,IF(IF((S88&gt;0)*(IF(T88="",-1,T88)&gt;=1)*(IF(T88="",-1,T88)&lt;=3),IF(C88="peso_corporal",IF(ISNUMBER(E88),E88,0)+R88,R88)*S88*1000+R88,0)=W88,5,IF(IF((P88&gt;0)*(IF(Q88="",-1,Q88)&gt;=1)*(IF(Q88="",-1,Q88)&lt;=3),IF(C88="peso_corporal",IF(ISNUMBER(E88),E88,0)+O88,O88)*P88*1000+O88,0)=W88,4,IF(IF((M88&gt;0)*(IF(N88="",-1,N88)&gt;=1)*(IF(N88="",-1,N88)&lt;=3),IF(C88="peso_corporal",IF(ISNUMBER(E88),E88,0)+L88,L88)*M88*1000+L88,0)=W88,3,IF(IF((J88&gt;0)*(IF(K88="",-1,K88)&gt;=1)*(IF(K88="",-1,K88)&lt;=3),IF(C88="peso_corporal",IF(ISNUMBER(E88),E88,0)+I88,I88)*J88*1000+I88,0)=W88,2,IF(IF((G88&gt;0)*(IF(H88="",-1,H88)&gt;=1)*(IF(H88="",-1,H88)&lt;=3),IF(C88="peso_corporal",IF(ISNUMBER(E88),E88,0)+F88,F88)*G88*1000+F88,0)=W88,1,0))))))</f>
        <v>0</v>
      </c>
      <c r="Y88" s="69">
        <f>MAX(IF((G88&gt;0)*(IF(H88="",-1,H88)=0)*(1-(IF(H88="",-1,H88)&gt;=1)*(IF(H88="",-1,H88)&lt;=3)),IF(C88="peso_corporal",IF(ISNUMBER(E88),E88,0)+F88,F88)*G88*1000+F88,0),IF((J88&gt;0)*(IF(K88="",-1,K88)=0)*(1-(IF(K88="",-1,K88)&gt;=1)*(IF(K88="",-1,K88)&lt;=3)),IF(C88="peso_corporal",IF(ISNUMBER(E88),E88,0)+I88,I88)*J88*1000+I88,0),IF((M88&gt;0)*(IF(N88="",-1,N88)=0)*(1-(IF(N88="",-1,N88)&gt;=1)*(IF(N88="",-1,N88)&lt;=3)),IF(C88="peso_corporal",IF(ISNUMBER(E88),E88,0)+L88,L88)*M88*1000+L88,0),IF((P88&gt;0)*(IF(Q88="",-1,Q88)=0)*(1-(IF(Q88="",-1,Q88)&gt;=1)*(IF(Q88="",-1,Q88)&lt;=3)),IF(C88="peso_corporal",IF(ISNUMBER(E88),E88,0)+O88,O88)*P88*1000+O88,0),IF((S88&gt;0)*(IF(T88="",-1,T88)=0)*(1-(IF(T88="",-1,T88)&gt;=1)*(IF(T88="",-1,T88)&lt;=3)),IF(C88="peso_corporal",IF(ISNUMBER(E88),E88,0)+R88,R88)*S88*1000+R88,0))</f>
        <v>0</v>
      </c>
      <c r="Z88" s="69">
        <f>IF(Y88=0,0,IF(IF((S88&gt;0)*(IF(T88="",-1,T88)=0)*(1-(IF(T88="",-1,T88)&gt;=1)*(IF(T88="",-1,T88)&lt;=3)),IF(C88="peso_corporal",IF(ISNUMBER(E88),E88,0)+R88,R88)*S88*1000+R88,0)=Y88,5,IF(IF((P88&gt;0)*(IF(Q88="",-1,Q88)=0)*(1-(IF(Q88="",-1,Q88)&gt;=1)*(IF(Q88="",-1,Q88)&lt;=3)),IF(C88="peso_corporal",IF(ISNUMBER(E88),E88,0)+O88,O88)*P88*1000+O88,0)=Y88,4,IF(IF((M88&gt;0)*(IF(N88="",-1,N88)=0)*(1-(IF(N88="",-1,N88)&gt;=1)*(IF(N88="",-1,N88)&lt;=3)),IF(C88="peso_corporal",IF(ISNUMBER(E88),E88,0)+L88,L88)*M88*1000+L88,0)=Y88,3,IF(IF((J88&gt;0)*(IF(K88="",-1,K88)=0)*(1-(IF(K88="",-1,K88)&gt;=1)*(IF(K88="",-1,K88)&lt;=3)),IF(C88="peso_corporal",IF(ISNUMBER(E88),E88,0)+I88,I88)*J88*1000+I88,0)=Y88,2,IF(IF((G88&gt;0)*(IF(H88="",-1,H88)=0)*(1-(IF(H88="",-1,H88)&gt;=1)*(IF(H88="",-1,H88)&lt;=3)),IF(C88="peso_corporal",IF(ISNUMBER(E88),E88,0)+F88,F88)*G88*1000+F88,0)=Y88,1,0))))))</f>
        <v>0</v>
      </c>
      <c r="AA88" s="69">
        <f>MAX(IF((G88&gt;=6)*(1-(IF(H88="",-1,H88)&gt;=1)*(IF(H88="",-1,H88)&lt;=3))*(1-(IF(H88="",-1,H88)=0)),IF(C88="peso_corporal",IF(ISNUMBER(E88),E88,0)+F88,F88)*(30+G88)*100+F88,0),IF((J88&gt;=6)*(1-(IF(K88="",-1,K88)&gt;=1)*(IF(K88="",-1,K88)&lt;=3))*(1-(IF(K88="",-1,K88)=0)),IF(C88="peso_corporal",IF(ISNUMBER(E88),E88,0)+I88,I88)*(30+J88)*100+I88,0),IF((M88&gt;=6)*(1-(IF(N88="",-1,N88)&gt;=1)*(IF(N88="",-1,N88)&lt;=3))*(1-(IF(N88="",-1,N88)=0)),IF(C88="peso_corporal",IF(ISNUMBER(E88),E88,0)+L88,L88)*(30+M88)*100+L88,0),IF((P88&gt;=6)*(1-(IF(Q88="",-1,Q88)&gt;=1)*(IF(Q88="",-1,Q88)&lt;=3))*(1-(IF(Q88="",-1,Q88)=0)),IF(C88="peso_corporal",IF(ISNUMBER(E88),E88,0)+O88,O88)*(30+P88)*100+O88,0),IF((S88&gt;=6)*(1-(IF(T88="",-1,T88)&gt;=1)*(IF(T88="",-1,T88)&lt;=3))*(1-(IF(T88="",-1,T88)=0)),IF(C88="peso_corporal",IF(ISNUMBER(E88),E88,0)+R88,R88)*(30+S88)*100+R88,0))</f>
        <v>0</v>
      </c>
      <c r="AB88" s="69">
        <f>IF(AA88=0,0,IF(IF((S88&gt;=6)*(1-(IF(T88="",-1,T88)&gt;=1)*(IF(T88="",-1,T88)&lt;=3))*(1-(IF(T88="",-1,T88)=0)),IF(C88="peso_corporal",IF(ISNUMBER(E88),E88,0)+R88,R88)*(30+S88)*100+R88,0)=AA88,5,IF(IF((P88&gt;=6)*(1-(IF(Q88="",-1,Q88)&gt;=1)*(IF(Q88="",-1,Q88)&lt;=3))*(1-(IF(Q88="",-1,Q88)=0)),IF(C88="peso_corporal",IF(ISNUMBER(E88),E88,0)+O88,O88)*(30+P88)*100+O88,0)=AA88,4,IF(IF((M88&gt;=6)*(1-(IF(N88="",-1,N88)&gt;=1)*(IF(N88="",-1,N88)&lt;=3))*(1-(IF(N88="",-1,N88)=0)),IF(C88="peso_corporal",IF(ISNUMBER(E88),E88,0)+L88,L88)*(30+M88)*100+L88,0)=AA88,3,IF(IF((J88&gt;=6)*(1-(IF(K88="",-1,K88)&gt;=1)*(IF(K88="",-1,K88)&lt;=3))*(1-(IF(K88="",-1,K88)=0)),IF(C88="peso_corporal",IF(ISNUMBER(E88),E88,0)+I88,I88)*(30+J88)*100+I88,0)=AA88,2,IF(IF((G88&gt;=6)*(1-(IF(H88="",-1,H88)&gt;=1)*(IF(H88="",-1,H88)&lt;=3))*(1-(IF(H88="",-1,H88)=0)),IF(C88="peso_corporal",IF(ISNUMBER(E88),E88,0)+F88,F88)*(30+G88)*100+F88,0)=AA88,1,0))))))</f>
        <v>0</v>
      </c>
      <c r="AC88" s="69" t="str">
        <f>IF(X88&gt;0,"A"&amp;X88,IF(Z88&gt;0,"B"&amp;Z88,IF(AB88&gt;0,"C"&amp;AB88,"")))</f>
        <v/>
      </c>
    </row>
    <row r="89" spans="1:29" ht="15" customHeight="1">
      <c r="A89" s="82" t="s">
        <v>47</v>
      </c>
      <c r="B89" s="73"/>
      <c r="C89" s="73"/>
      <c r="D89" s="73"/>
      <c r="E89" s="73"/>
      <c r="F89" s="73"/>
      <c r="G89" s="73"/>
      <c r="H89" s="73"/>
      <c r="I89" s="73"/>
      <c r="J89" s="73"/>
      <c r="K89" s="73"/>
      <c r="L89" s="73"/>
      <c r="M89" s="73"/>
      <c r="N89" s="73"/>
      <c r="O89" s="73"/>
      <c r="P89" s="73"/>
      <c r="Q89" s="73"/>
      <c r="R89" s="73"/>
      <c r="S89" s="73"/>
      <c r="T89" s="73"/>
      <c r="U89" s="73"/>
      <c r="V89" s="73"/>
      <c r="W89" s="69"/>
      <c r="X89" s="69"/>
      <c r="Y89" s="69"/>
      <c r="Z89" s="69"/>
      <c r="AA89" s="69"/>
      <c r="AB89" s="69"/>
      <c r="AC89" s="69"/>
    </row>
    <row r="90" spans="1:29" ht="20.100000000000001" customHeight="1">
      <c r="A90" s="14" t="s">
        <v>48</v>
      </c>
      <c r="B90" s="15" t="s">
        <v>118</v>
      </c>
      <c r="C90" s="16" t="str">
        <f>IFERROR(INDEX(EJERCICIOS!$D$3:$D$75,MATCH(A90&amp;"|"&amp;B90,EJERCICIOS!$G$3:$G$75,0)),"--")</f>
        <v>polea</v>
      </c>
      <c r="D90" s="17">
        <v>3</v>
      </c>
      <c r="E90" s="18">
        <f>IFERROR(LOOKUP(2,1/(MEDIDAS_Y_PESO!$B$3:$B$6&lt;&gt;""),MEDIDAS_Y_PESO!$B$3:$B$6),"--")</f>
        <v>80</v>
      </c>
      <c r="F90" s="19">
        <v>27.5</v>
      </c>
      <c r="G90" s="20">
        <v>10</v>
      </c>
      <c r="H90" s="21">
        <v>2</v>
      </c>
      <c r="I90" s="19">
        <v>35</v>
      </c>
      <c r="J90" s="20">
        <v>6</v>
      </c>
      <c r="K90" s="21">
        <v>0</v>
      </c>
      <c r="L90" s="19">
        <v>35</v>
      </c>
      <c r="M90" s="20">
        <v>5</v>
      </c>
      <c r="N90" s="21">
        <v>0</v>
      </c>
      <c r="O90" s="19"/>
      <c r="P90" s="20"/>
      <c r="Q90" s="21"/>
      <c r="R90" s="19"/>
      <c r="S90" s="20"/>
      <c r="T90" s="21"/>
      <c r="U90" s="22">
        <f>IFERROR(IF(IF(X90&gt;0,X90,IF(Z90&gt;0,Z90,IF(AB90&gt;0,AB90,0)))=0,"--",ROUND(CHOOSE(IF(X90&gt;0,X90,IF(Z90&gt;0,Z90,IF(AB90&gt;0,AB90,0))),IF(C90="peso_corporal",IF(ISNUMBER(E90),E90,0)+F90,F90)*(1+G90/30),IF(C90="peso_corporal",IF(ISNUMBER(E90),E90,0)+I90,I90)*(1+J90/30),IF(C90="peso_corporal",IF(ISNUMBER(E90),E90,0)+L90,L90)*(1+M90/30),IF(C90="peso_corporal",IF(ISNUMBER(E90),E90,0)+O90,O90)*(1+P90/30),IF(C90="peso_corporal",IF(ISNUMBER(E90),E90,0)+R90,R90)*(1+S90/30)),1)),"--")</f>
        <v>36.700000000000003</v>
      </c>
      <c r="V90" s="23" t="str">
        <f>IF(SUGERENCIAS!N213="SIN","Sin datos anteriores",IF(SUGERENCIAS!N213="SUBIR_F","^ SUBIR FUERTE | Kg:"&amp;ROUND(SUGERENCIAS!K213,1)&amp;" R:"&amp;ROUND(SUGERENCIAS!L213,0)&amp;" RIR:"&amp;ROUND(SUGERENCIAS!M213,0),IF(SUGERENCIAS!N213="SUBIR_E","^ SUBIR (Est.) | Kg:"&amp;ROUND(SUGERENCIAS!K213,1)&amp;" R:"&amp;ROUND(SUGERENCIAS!L213,0)&amp;" RIR:"&amp;ROUND(SUGERENCIAS!M213,0),IF(SUGERENCIAS!N213="SUBIR","^ SUBIR | Kg:"&amp;ROUND(SUGERENCIAS!K213,1)&amp;" R:"&amp;ROUND(SUGERENCIAS!L213,0)&amp;" RIR:"&amp;ROUND(SUGERENCIAS!M213,0),IF(SUGERENCIAS!N213="BAJAR","v BAJAR | Kg:"&amp;ROUND(SUGERENCIAS!K213,1)&amp;" R:"&amp;ROUND(SUGERENCIAS!L213,0)&amp;" RIR:"&amp;ROUND(SUGERENCIAS!M213,0),"= MANT | Kg:"&amp;ROUND(SUGERENCIAS!K213,1)&amp;" R:"&amp;ROUND(SUGERENCIAS!L213,0)&amp;" RIR:"&amp;ROUND(SUGERENCIAS!M213,0))))))</f>
        <v>Sin datos anteriores</v>
      </c>
      <c r="W90" s="69">
        <f>MAX(IF((G90&gt;0)*(IF(H90="",-1,H90)&gt;=1)*(IF(H90="",-1,H90)&lt;=3),IF(C90="peso_corporal",IF(ISNUMBER(E90),E90,0)+F90,F90)*G90*1000+F90,0),IF((J90&gt;0)*(IF(K90="",-1,K90)&gt;=1)*(IF(K90="",-1,K90)&lt;=3),IF(C90="peso_corporal",IF(ISNUMBER(E90),E90,0)+I90,I90)*J90*1000+I90,0),IF((M90&gt;0)*(IF(N90="",-1,N90)&gt;=1)*(IF(N90="",-1,N90)&lt;=3),IF(C90="peso_corporal",IF(ISNUMBER(E90),E90,0)+L90,L90)*M90*1000+L90,0),IF((P90&gt;0)*(IF(Q90="",-1,Q90)&gt;=1)*(IF(Q90="",-1,Q90)&lt;=3),IF(C90="peso_corporal",IF(ISNUMBER(E90),E90,0)+O90,O90)*P90*1000+O90,0),IF((S90&gt;0)*(IF(T90="",-1,T90)&gt;=1)*(IF(T90="",-1,T90)&lt;=3),IF(C90="peso_corporal",IF(ISNUMBER(E90),E90,0)+R90,R90)*S90*1000+R90,0))</f>
        <v>275027.5</v>
      </c>
      <c r="X90" s="69">
        <f>IF(W90=0,0,IF(IF((S90&gt;0)*(IF(T90="",-1,T90)&gt;=1)*(IF(T90="",-1,T90)&lt;=3),IF(C90="peso_corporal",IF(ISNUMBER(E90),E90,0)+R90,R90)*S90*1000+R90,0)=W90,5,IF(IF((P90&gt;0)*(IF(Q90="",-1,Q90)&gt;=1)*(IF(Q90="",-1,Q90)&lt;=3),IF(C90="peso_corporal",IF(ISNUMBER(E90),E90,0)+O90,O90)*P90*1000+O90,0)=W90,4,IF(IF((M90&gt;0)*(IF(N90="",-1,N90)&gt;=1)*(IF(N90="",-1,N90)&lt;=3),IF(C90="peso_corporal",IF(ISNUMBER(E90),E90,0)+L90,L90)*M90*1000+L90,0)=W90,3,IF(IF((J90&gt;0)*(IF(K90="",-1,K90)&gt;=1)*(IF(K90="",-1,K90)&lt;=3),IF(C90="peso_corporal",IF(ISNUMBER(E90),E90,0)+I90,I90)*J90*1000+I90,0)=W90,2,IF(IF((G90&gt;0)*(IF(H90="",-1,H90)&gt;=1)*(IF(H90="",-1,H90)&lt;=3),IF(C90="peso_corporal",IF(ISNUMBER(E90),E90,0)+F90,F90)*G90*1000+F90,0)=W90,1,0))))))</f>
        <v>1</v>
      </c>
      <c r="Y90" s="69">
        <f>MAX(IF((G90&gt;0)*(IF(H90="",-1,H90)=0)*(1-(IF(H90="",-1,H90)&gt;=1)*(IF(H90="",-1,H90)&lt;=3)),IF(C90="peso_corporal",IF(ISNUMBER(E90),E90,0)+F90,F90)*G90*1000+F90,0),IF((J90&gt;0)*(IF(K90="",-1,K90)=0)*(1-(IF(K90="",-1,K90)&gt;=1)*(IF(K90="",-1,K90)&lt;=3)),IF(C90="peso_corporal",IF(ISNUMBER(E90),E90,0)+I90,I90)*J90*1000+I90,0),IF((M90&gt;0)*(IF(N90="",-1,N90)=0)*(1-(IF(N90="",-1,N90)&gt;=1)*(IF(N90="",-1,N90)&lt;=3)),IF(C90="peso_corporal",IF(ISNUMBER(E90),E90,0)+L90,L90)*M90*1000+L90,0),IF((P90&gt;0)*(IF(Q90="",-1,Q90)=0)*(1-(IF(Q90="",-1,Q90)&gt;=1)*(IF(Q90="",-1,Q90)&lt;=3)),IF(C90="peso_corporal",IF(ISNUMBER(E90),E90,0)+O90,O90)*P90*1000+O90,0),IF((S90&gt;0)*(IF(T90="",-1,T90)=0)*(1-(IF(T90="",-1,T90)&gt;=1)*(IF(T90="",-1,T90)&lt;=3)),IF(C90="peso_corporal",IF(ISNUMBER(E90),E90,0)+R90,R90)*S90*1000+R90,0))</f>
        <v>210035</v>
      </c>
      <c r="Z90" s="69">
        <f>IF(Y90=0,0,IF(IF((S90&gt;0)*(IF(T90="",-1,T90)=0)*(1-(IF(T90="",-1,T90)&gt;=1)*(IF(T90="",-1,T90)&lt;=3)),IF(C90="peso_corporal",IF(ISNUMBER(E90),E90,0)+R90,R90)*S90*1000+R90,0)=Y90,5,IF(IF((P90&gt;0)*(IF(Q90="",-1,Q90)=0)*(1-(IF(Q90="",-1,Q90)&gt;=1)*(IF(Q90="",-1,Q90)&lt;=3)),IF(C90="peso_corporal",IF(ISNUMBER(E90),E90,0)+O90,O90)*P90*1000+O90,0)=Y90,4,IF(IF((M90&gt;0)*(IF(N90="",-1,N90)=0)*(1-(IF(N90="",-1,N90)&gt;=1)*(IF(N90="",-1,N90)&lt;=3)),IF(C90="peso_corporal",IF(ISNUMBER(E90),E90,0)+L90,L90)*M90*1000+L90,0)=Y90,3,IF(IF((J90&gt;0)*(IF(K90="",-1,K90)=0)*(1-(IF(K90="",-1,K90)&gt;=1)*(IF(K90="",-1,K90)&lt;=3)),IF(C90="peso_corporal",IF(ISNUMBER(E90),E90,0)+I90,I90)*J90*1000+I90,0)=Y90,2,IF(IF((G90&gt;0)*(IF(H90="",-1,H90)=0)*(1-(IF(H90="",-1,H90)&gt;=1)*(IF(H90="",-1,H90)&lt;=3)),IF(C90="peso_corporal",IF(ISNUMBER(E90),E90,0)+F90,F90)*G90*1000+F90,0)=Y90,1,0))))))</f>
        <v>2</v>
      </c>
      <c r="AA90" s="69">
        <f>MAX(IF((G90&gt;=6)*(1-(IF(H90="",-1,H90)&gt;=1)*(IF(H90="",-1,H90)&lt;=3))*(1-(IF(H90="",-1,H90)=0)),IF(C90="peso_corporal",IF(ISNUMBER(E90),E90,0)+F90,F90)*(30+G90)*100+F90,0),IF((J90&gt;=6)*(1-(IF(K90="",-1,K90)&gt;=1)*(IF(K90="",-1,K90)&lt;=3))*(1-(IF(K90="",-1,K90)=0)),IF(C90="peso_corporal",IF(ISNUMBER(E90),E90,0)+I90,I90)*(30+J90)*100+I90,0),IF((M90&gt;=6)*(1-(IF(N90="",-1,N90)&gt;=1)*(IF(N90="",-1,N90)&lt;=3))*(1-(IF(N90="",-1,N90)=0)),IF(C90="peso_corporal",IF(ISNUMBER(E90),E90,0)+L90,L90)*(30+M90)*100+L90,0),IF((P90&gt;=6)*(1-(IF(Q90="",-1,Q90)&gt;=1)*(IF(Q90="",-1,Q90)&lt;=3))*(1-(IF(Q90="",-1,Q90)=0)),IF(C90="peso_corporal",IF(ISNUMBER(E90),E90,0)+O90,O90)*(30+P90)*100+O90,0),IF((S90&gt;=6)*(1-(IF(T90="",-1,T90)&gt;=1)*(IF(T90="",-1,T90)&lt;=3))*(1-(IF(T90="",-1,T90)=0)),IF(C90="peso_corporal",IF(ISNUMBER(E90),E90,0)+R90,R90)*(30+S90)*100+R90,0))</f>
        <v>0</v>
      </c>
      <c r="AB90" s="69">
        <f>IF(AA90=0,0,IF(IF((S90&gt;=6)*(1-(IF(T90="",-1,T90)&gt;=1)*(IF(T90="",-1,T90)&lt;=3))*(1-(IF(T90="",-1,T90)=0)),IF(C90="peso_corporal",IF(ISNUMBER(E90),E90,0)+R90,R90)*(30+S90)*100+R90,0)=AA90,5,IF(IF((P90&gt;=6)*(1-(IF(Q90="",-1,Q90)&gt;=1)*(IF(Q90="",-1,Q90)&lt;=3))*(1-(IF(Q90="",-1,Q90)=0)),IF(C90="peso_corporal",IF(ISNUMBER(E90),E90,0)+O90,O90)*(30+P90)*100+O90,0)=AA90,4,IF(IF((M90&gt;=6)*(1-(IF(N90="",-1,N90)&gt;=1)*(IF(N90="",-1,N90)&lt;=3))*(1-(IF(N90="",-1,N90)=0)),IF(C90="peso_corporal",IF(ISNUMBER(E90),E90,0)+L90,L90)*(30+M90)*100+L90,0)=AA90,3,IF(IF((J90&gt;=6)*(1-(IF(K90="",-1,K90)&gt;=1)*(IF(K90="",-1,K90)&lt;=3))*(1-(IF(K90="",-1,K90)=0)),IF(C90="peso_corporal",IF(ISNUMBER(E90),E90,0)+I90,I90)*(30+J90)*100+I90,0)=AA90,2,IF(IF((G90&gt;=6)*(1-(IF(H90="",-1,H90)&gt;=1)*(IF(H90="",-1,H90)&lt;=3))*(1-(IF(H90="",-1,H90)=0)),IF(C90="peso_corporal",IF(ISNUMBER(E90),E90,0)+F90,F90)*(30+G90)*100+F90,0)=AA90,1,0))))))</f>
        <v>0</v>
      </c>
      <c r="AC90" s="69" t="str">
        <f>IF(X90&gt;0,"A"&amp;X90,IF(Z90&gt;0,"B"&amp;Z90,IF(AB90&gt;0,"C"&amp;AB90,"")))</f>
        <v>A1</v>
      </c>
    </row>
    <row r="91" spans="1:29" ht="15" customHeight="1">
      <c r="A91" s="72" t="s">
        <v>56</v>
      </c>
      <c r="B91" s="73"/>
      <c r="C91" s="73"/>
      <c r="D91" s="73"/>
      <c r="E91" s="73"/>
      <c r="F91" s="73"/>
      <c r="G91" s="73"/>
      <c r="H91" s="73"/>
      <c r="I91" s="73"/>
      <c r="J91" s="73"/>
      <c r="K91" s="73"/>
      <c r="L91" s="73"/>
      <c r="M91" s="73"/>
      <c r="N91" s="73"/>
      <c r="O91" s="73"/>
      <c r="P91" s="73"/>
      <c r="Q91" s="73"/>
      <c r="R91" s="73"/>
      <c r="S91" s="73"/>
      <c r="T91" s="73"/>
      <c r="U91" s="73"/>
      <c r="V91" s="73"/>
      <c r="W91" s="69"/>
      <c r="X91" s="69"/>
      <c r="Y91" s="69"/>
      <c r="Z91" s="69"/>
      <c r="AA91" s="69"/>
      <c r="AB91" s="69"/>
      <c r="AC91" s="69"/>
    </row>
    <row r="92" spans="1:29" ht="20.100000000000001" customHeight="1">
      <c r="A92" s="14" t="s">
        <v>57</v>
      </c>
      <c r="B92" s="15" t="s">
        <v>58</v>
      </c>
      <c r="C92" s="16" t="str">
        <f>IFERROR(INDEX(EJERCICIOS!$D$3:$D$75,MATCH(A92&amp;"|"&amp;B92,EJERCICIOS!$G$3:$G$75,0)),"--")</f>
        <v>polea</v>
      </c>
      <c r="D92" s="17">
        <v>3</v>
      </c>
      <c r="E92" s="18">
        <f>IFERROR(LOOKUP(2,1/(MEDIDAS_Y_PESO!$B$3:$B$6&lt;&gt;""),MEDIDAS_Y_PESO!$B$3:$B$6),"--")</f>
        <v>80</v>
      </c>
      <c r="F92" s="19"/>
      <c r="G92" s="20"/>
      <c r="H92" s="21"/>
      <c r="I92" s="19"/>
      <c r="J92" s="20"/>
      <c r="K92" s="21"/>
      <c r="L92" s="19"/>
      <c r="M92" s="20"/>
      <c r="N92" s="21"/>
      <c r="O92" s="19"/>
      <c r="P92" s="20"/>
      <c r="Q92" s="21"/>
      <c r="R92" s="19"/>
      <c r="S92" s="20"/>
      <c r="T92" s="21"/>
      <c r="U92" s="22" t="str">
        <f>IFERROR(IF(IF(X92&gt;0,X92,IF(Z92&gt;0,Z92,IF(AB92&gt;0,AB92,0)))=0,"--",ROUND(CHOOSE(IF(X92&gt;0,X92,IF(Z92&gt;0,Z92,IF(AB92&gt;0,AB92,0))),IF(C92="peso_corporal",IF(ISNUMBER(E92),E92,0)+F92,F92)*(1+G92/30),IF(C92="peso_corporal",IF(ISNUMBER(E92),E92,0)+I92,I92)*(1+J92/30),IF(C92="peso_corporal",IF(ISNUMBER(E92),E92,0)+L92,L92)*(1+M92/30),IF(C92="peso_corporal",IF(ISNUMBER(E92),E92,0)+O92,O92)*(1+P92/30),IF(C92="peso_corporal",IF(ISNUMBER(E92),E92,0)+R92,R92)*(1+S92/30)),1)),"--")</f>
        <v>--</v>
      </c>
      <c r="V92" s="23" t="str">
        <f>IF(SUGERENCIAS!N214="SIN","Sin datos anteriores",IF(SUGERENCIAS!N214="SUBIR_F","^ SUBIR FUERTE | Kg:"&amp;ROUND(SUGERENCIAS!K214,1)&amp;" R:"&amp;ROUND(SUGERENCIAS!L214,0)&amp;" RIR:"&amp;ROUND(SUGERENCIAS!M214,0),IF(SUGERENCIAS!N214="SUBIR_E","^ SUBIR (Est.) | Kg:"&amp;ROUND(SUGERENCIAS!K214,1)&amp;" R:"&amp;ROUND(SUGERENCIAS!L214,0)&amp;" RIR:"&amp;ROUND(SUGERENCIAS!M214,0),IF(SUGERENCIAS!N214="SUBIR","^ SUBIR | Kg:"&amp;ROUND(SUGERENCIAS!K214,1)&amp;" R:"&amp;ROUND(SUGERENCIAS!L214,0)&amp;" RIR:"&amp;ROUND(SUGERENCIAS!M214,0),IF(SUGERENCIAS!N214="BAJAR","v BAJAR | Kg:"&amp;ROUND(SUGERENCIAS!K214,1)&amp;" R:"&amp;ROUND(SUGERENCIAS!L214,0)&amp;" RIR:"&amp;ROUND(SUGERENCIAS!M214,0),"= MANT | Kg:"&amp;ROUND(SUGERENCIAS!K214,1)&amp;" R:"&amp;ROUND(SUGERENCIAS!L214,0)&amp;" RIR:"&amp;ROUND(SUGERENCIAS!M214,0))))))</f>
        <v>Sin datos anteriores</v>
      </c>
      <c r="W92" s="69">
        <f>MAX(IF((G92&gt;0)*(IF(H92="",-1,H92)&gt;=1)*(IF(H92="",-1,H92)&lt;=3),IF(C92="peso_corporal",IF(ISNUMBER(E92),E92,0)+F92,F92)*G92*1000+F92,0),IF((J92&gt;0)*(IF(K92="",-1,K92)&gt;=1)*(IF(K92="",-1,K92)&lt;=3),IF(C92="peso_corporal",IF(ISNUMBER(E92),E92,0)+I92,I92)*J92*1000+I92,0),IF((M92&gt;0)*(IF(N92="",-1,N92)&gt;=1)*(IF(N92="",-1,N92)&lt;=3),IF(C92="peso_corporal",IF(ISNUMBER(E92),E92,0)+L92,L92)*M92*1000+L92,0),IF((P92&gt;0)*(IF(Q92="",-1,Q92)&gt;=1)*(IF(Q92="",-1,Q92)&lt;=3),IF(C92="peso_corporal",IF(ISNUMBER(E92),E92,0)+O92,O92)*P92*1000+O92,0),IF((S92&gt;0)*(IF(T92="",-1,T92)&gt;=1)*(IF(T92="",-1,T92)&lt;=3),IF(C92="peso_corporal",IF(ISNUMBER(E92),E92,0)+R92,R92)*S92*1000+R92,0))</f>
        <v>0</v>
      </c>
      <c r="X92" s="69">
        <f>IF(W92=0,0,IF(IF((S92&gt;0)*(IF(T92="",-1,T92)&gt;=1)*(IF(T92="",-1,T92)&lt;=3),IF(C92="peso_corporal",IF(ISNUMBER(E92),E92,0)+R92,R92)*S92*1000+R92,0)=W92,5,IF(IF((P92&gt;0)*(IF(Q92="",-1,Q92)&gt;=1)*(IF(Q92="",-1,Q92)&lt;=3),IF(C92="peso_corporal",IF(ISNUMBER(E92),E92,0)+O92,O92)*P92*1000+O92,0)=W92,4,IF(IF((M92&gt;0)*(IF(N92="",-1,N92)&gt;=1)*(IF(N92="",-1,N92)&lt;=3),IF(C92="peso_corporal",IF(ISNUMBER(E92),E92,0)+L92,L92)*M92*1000+L92,0)=W92,3,IF(IF((J92&gt;0)*(IF(K92="",-1,K92)&gt;=1)*(IF(K92="",-1,K92)&lt;=3),IF(C92="peso_corporal",IF(ISNUMBER(E92),E92,0)+I92,I92)*J92*1000+I92,0)=W92,2,IF(IF((G92&gt;0)*(IF(H92="",-1,H92)&gt;=1)*(IF(H92="",-1,H92)&lt;=3),IF(C92="peso_corporal",IF(ISNUMBER(E92),E92,0)+F92,F92)*G92*1000+F92,0)=W92,1,0))))))</f>
        <v>0</v>
      </c>
      <c r="Y92" s="69">
        <f>MAX(IF((G92&gt;0)*(IF(H92="",-1,H92)=0)*(1-(IF(H92="",-1,H92)&gt;=1)*(IF(H92="",-1,H92)&lt;=3)),IF(C92="peso_corporal",IF(ISNUMBER(E92),E92,0)+F92,F92)*G92*1000+F92,0),IF((J92&gt;0)*(IF(K92="",-1,K92)=0)*(1-(IF(K92="",-1,K92)&gt;=1)*(IF(K92="",-1,K92)&lt;=3)),IF(C92="peso_corporal",IF(ISNUMBER(E92),E92,0)+I92,I92)*J92*1000+I92,0),IF((M92&gt;0)*(IF(N92="",-1,N92)=0)*(1-(IF(N92="",-1,N92)&gt;=1)*(IF(N92="",-1,N92)&lt;=3)),IF(C92="peso_corporal",IF(ISNUMBER(E92),E92,0)+L92,L92)*M92*1000+L92,0),IF((P92&gt;0)*(IF(Q92="",-1,Q92)=0)*(1-(IF(Q92="",-1,Q92)&gt;=1)*(IF(Q92="",-1,Q92)&lt;=3)),IF(C92="peso_corporal",IF(ISNUMBER(E92),E92,0)+O92,O92)*P92*1000+O92,0),IF((S92&gt;0)*(IF(T92="",-1,T92)=0)*(1-(IF(T92="",-1,T92)&gt;=1)*(IF(T92="",-1,T92)&lt;=3)),IF(C92="peso_corporal",IF(ISNUMBER(E92),E92,0)+R92,R92)*S92*1000+R92,0))</f>
        <v>0</v>
      </c>
      <c r="Z92" s="69">
        <f>IF(Y92=0,0,IF(IF((S92&gt;0)*(IF(T92="",-1,T92)=0)*(1-(IF(T92="",-1,T92)&gt;=1)*(IF(T92="",-1,T92)&lt;=3)),IF(C92="peso_corporal",IF(ISNUMBER(E92),E92,0)+R92,R92)*S92*1000+R92,0)=Y92,5,IF(IF((P92&gt;0)*(IF(Q92="",-1,Q92)=0)*(1-(IF(Q92="",-1,Q92)&gt;=1)*(IF(Q92="",-1,Q92)&lt;=3)),IF(C92="peso_corporal",IF(ISNUMBER(E92),E92,0)+O92,O92)*P92*1000+O92,0)=Y92,4,IF(IF((M92&gt;0)*(IF(N92="",-1,N92)=0)*(1-(IF(N92="",-1,N92)&gt;=1)*(IF(N92="",-1,N92)&lt;=3)),IF(C92="peso_corporal",IF(ISNUMBER(E92),E92,0)+L92,L92)*M92*1000+L92,0)=Y92,3,IF(IF((J92&gt;0)*(IF(K92="",-1,K92)=0)*(1-(IF(K92="",-1,K92)&gt;=1)*(IF(K92="",-1,K92)&lt;=3)),IF(C92="peso_corporal",IF(ISNUMBER(E92),E92,0)+I92,I92)*J92*1000+I92,0)=Y92,2,IF(IF((G92&gt;0)*(IF(H92="",-1,H92)=0)*(1-(IF(H92="",-1,H92)&gt;=1)*(IF(H92="",-1,H92)&lt;=3)),IF(C92="peso_corporal",IF(ISNUMBER(E92),E92,0)+F92,F92)*G92*1000+F92,0)=Y92,1,0))))))</f>
        <v>0</v>
      </c>
      <c r="AA92" s="69">
        <f>MAX(IF((G92&gt;=6)*(1-(IF(H92="",-1,H92)&gt;=1)*(IF(H92="",-1,H92)&lt;=3))*(1-(IF(H92="",-1,H92)=0)),IF(C92="peso_corporal",IF(ISNUMBER(E92),E92,0)+F92,F92)*(30+G92)*100+F92,0),IF((J92&gt;=6)*(1-(IF(K92="",-1,K92)&gt;=1)*(IF(K92="",-1,K92)&lt;=3))*(1-(IF(K92="",-1,K92)=0)),IF(C92="peso_corporal",IF(ISNUMBER(E92),E92,0)+I92,I92)*(30+J92)*100+I92,0),IF((M92&gt;=6)*(1-(IF(N92="",-1,N92)&gt;=1)*(IF(N92="",-1,N92)&lt;=3))*(1-(IF(N92="",-1,N92)=0)),IF(C92="peso_corporal",IF(ISNUMBER(E92),E92,0)+L92,L92)*(30+M92)*100+L92,0),IF((P92&gt;=6)*(1-(IF(Q92="",-1,Q92)&gt;=1)*(IF(Q92="",-1,Q92)&lt;=3))*(1-(IF(Q92="",-1,Q92)=0)),IF(C92="peso_corporal",IF(ISNUMBER(E92),E92,0)+O92,O92)*(30+P92)*100+O92,0),IF((S92&gt;=6)*(1-(IF(T92="",-1,T92)&gt;=1)*(IF(T92="",-1,T92)&lt;=3))*(1-(IF(T92="",-1,T92)=0)),IF(C92="peso_corporal",IF(ISNUMBER(E92),E92,0)+R92,R92)*(30+S92)*100+R92,0))</f>
        <v>0</v>
      </c>
      <c r="AB92" s="69">
        <f>IF(AA92=0,0,IF(IF((S92&gt;=6)*(1-(IF(T92="",-1,T92)&gt;=1)*(IF(T92="",-1,T92)&lt;=3))*(1-(IF(T92="",-1,T92)=0)),IF(C92="peso_corporal",IF(ISNUMBER(E92),E92,0)+R92,R92)*(30+S92)*100+R92,0)=AA92,5,IF(IF((P92&gt;=6)*(1-(IF(Q92="",-1,Q92)&gt;=1)*(IF(Q92="",-1,Q92)&lt;=3))*(1-(IF(Q92="",-1,Q92)=0)),IF(C92="peso_corporal",IF(ISNUMBER(E92),E92,0)+O92,O92)*(30+P92)*100+O92,0)=AA92,4,IF(IF((M92&gt;=6)*(1-(IF(N92="",-1,N92)&gt;=1)*(IF(N92="",-1,N92)&lt;=3))*(1-(IF(N92="",-1,N92)=0)),IF(C92="peso_corporal",IF(ISNUMBER(E92),E92,0)+L92,L92)*(30+M92)*100+L92,0)=AA92,3,IF(IF((J92&gt;=6)*(1-(IF(K92="",-1,K92)&gt;=1)*(IF(K92="",-1,K92)&lt;=3))*(1-(IF(K92="",-1,K92)=0)),IF(C92="peso_corporal",IF(ISNUMBER(E92),E92,0)+I92,I92)*(30+J92)*100+I92,0)=AA92,2,IF(IF((G92&gt;=6)*(1-(IF(H92="",-1,H92)&gt;=1)*(IF(H92="",-1,H92)&lt;=3))*(1-(IF(H92="",-1,H92)=0)),IF(C92="peso_corporal",IF(ISNUMBER(E92),E92,0)+F92,F92)*(30+G92)*100+F92,0)=AA92,1,0))))))</f>
        <v>0</v>
      </c>
      <c r="AC92" s="69" t="str">
        <f>IF(X92&gt;0,"A"&amp;X92,IF(Z92&gt;0,"B"&amp;Z92,IF(AB92&gt;0,"C"&amp;AB92,"")))</f>
        <v/>
      </c>
    </row>
    <row r="93" spans="1:29" ht="6" customHeight="1">
      <c r="A93" s="13"/>
      <c r="B93" s="13"/>
      <c r="C93" s="13"/>
      <c r="D93" s="13"/>
      <c r="E93" s="13"/>
      <c r="F93" s="13"/>
      <c r="G93" s="13"/>
      <c r="H93" s="13"/>
      <c r="I93" s="13"/>
      <c r="J93" s="13"/>
      <c r="K93" s="13"/>
      <c r="L93" s="13"/>
      <c r="M93" s="13"/>
      <c r="N93" s="13"/>
      <c r="O93" s="13"/>
      <c r="P93" s="13"/>
      <c r="Q93" s="13"/>
      <c r="R93" s="13"/>
      <c r="S93" s="13"/>
      <c r="T93" s="13"/>
      <c r="U93" s="13"/>
      <c r="V93" s="13"/>
      <c r="W93" s="69"/>
      <c r="X93" s="69"/>
      <c r="Y93" s="69"/>
      <c r="Z93" s="69"/>
      <c r="AA93" s="69"/>
      <c r="AB93" s="69"/>
      <c r="AC93" s="69"/>
    </row>
    <row r="94" spans="1:29" ht="18" customHeight="1">
      <c r="A94" s="85" t="s">
        <v>70</v>
      </c>
      <c r="B94" s="73"/>
      <c r="C94" s="73"/>
      <c r="D94" s="73"/>
      <c r="E94" s="73"/>
      <c r="F94" s="73"/>
      <c r="G94" s="73"/>
      <c r="H94" s="73"/>
      <c r="I94" s="73"/>
      <c r="J94" s="73"/>
      <c r="K94" s="73"/>
      <c r="L94" s="73"/>
      <c r="M94" s="73"/>
      <c r="N94" s="73"/>
      <c r="O94" s="73"/>
      <c r="P94" s="73"/>
      <c r="Q94" s="73"/>
      <c r="R94" s="73"/>
      <c r="S94" s="73"/>
      <c r="T94" s="73"/>
      <c r="U94" s="73"/>
      <c r="V94" s="73"/>
      <c r="W94" s="69"/>
      <c r="X94" s="69"/>
      <c r="Y94" s="69"/>
      <c r="Z94" s="69"/>
      <c r="AA94" s="69"/>
      <c r="AB94" s="69"/>
      <c r="AC94" s="69"/>
    </row>
    <row r="95" spans="1:29" ht="15" customHeight="1">
      <c r="A95" s="75" t="s">
        <v>88</v>
      </c>
      <c r="B95" s="73"/>
      <c r="C95" s="73"/>
      <c r="D95" s="73"/>
      <c r="E95" s="73"/>
      <c r="F95" s="73"/>
      <c r="G95" s="73"/>
      <c r="H95" s="73"/>
      <c r="I95" s="73"/>
      <c r="J95" s="73"/>
      <c r="K95" s="73"/>
      <c r="L95" s="73"/>
      <c r="M95" s="73"/>
      <c r="N95" s="73"/>
      <c r="O95" s="73"/>
      <c r="P95" s="73"/>
      <c r="Q95" s="73"/>
      <c r="R95" s="73"/>
      <c r="S95" s="73"/>
      <c r="T95" s="73"/>
      <c r="U95" s="73"/>
      <c r="V95" s="73"/>
      <c r="W95" s="69"/>
      <c r="X95" s="69"/>
      <c r="Y95" s="69"/>
      <c r="Z95" s="69"/>
      <c r="AA95" s="69"/>
      <c r="AB95" s="69"/>
      <c r="AC95" s="69"/>
    </row>
    <row r="96" spans="1:29" ht="11.1" customHeight="1">
      <c r="A96" s="76" t="s">
        <v>89</v>
      </c>
      <c r="B96" s="73"/>
      <c r="C96" s="73"/>
      <c r="D96" s="73"/>
      <c r="E96" s="73"/>
      <c r="F96" s="73"/>
      <c r="G96" s="73"/>
      <c r="H96" s="73"/>
      <c r="I96" s="73"/>
      <c r="J96" s="73"/>
      <c r="K96" s="73"/>
      <c r="L96" s="73"/>
      <c r="M96" s="73"/>
      <c r="N96" s="73"/>
      <c r="O96" s="73"/>
      <c r="P96" s="73"/>
      <c r="Q96" s="73"/>
      <c r="R96" s="73"/>
      <c r="S96" s="73"/>
      <c r="T96" s="73"/>
      <c r="U96" s="73"/>
      <c r="V96" s="73"/>
      <c r="W96" s="69"/>
      <c r="X96" s="69"/>
      <c r="Y96" s="69"/>
      <c r="Z96" s="69"/>
      <c r="AA96" s="69"/>
      <c r="AB96" s="69"/>
      <c r="AC96" s="69"/>
    </row>
    <row r="97" spans="1:29" ht="20.100000000000001" customHeight="1">
      <c r="A97" s="14" t="s">
        <v>111</v>
      </c>
      <c r="B97" s="15" t="s">
        <v>91</v>
      </c>
      <c r="C97" s="16" t="str">
        <f>IFERROR(INDEX(EJERCICIOS!$D$3:$D$75,MATCH(A97&amp;"|"&amp;B97,EJERCICIOS!$G$3:$G$75,0)),"--")</f>
        <v>polea</v>
      </c>
      <c r="D97" s="17">
        <v>3</v>
      </c>
      <c r="E97" s="18">
        <f>IFERROR(LOOKUP(2,1/(MEDIDAS_Y_PESO!$B$3:$B$7&lt;&gt;""),MEDIDAS_Y_PESO!$B$3:$B$7),"--")</f>
        <v>80</v>
      </c>
      <c r="F97" s="19"/>
      <c r="G97" s="20"/>
      <c r="H97" s="21"/>
      <c r="I97" s="19"/>
      <c r="J97" s="20"/>
      <c r="K97" s="21"/>
      <c r="L97" s="19"/>
      <c r="M97" s="20"/>
      <c r="N97" s="21"/>
      <c r="O97" s="19"/>
      <c r="P97" s="20"/>
      <c r="Q97" s="21"/>
      <c r="R97" s="19"/>
      <c r="S97" s="20"/>
      <c r="T97" s="21"/>
      <c r="U97" s="22" t="str">
        <f>IFERROR(IF(IF(X97&gt;0,X97,IF(Z97&gt;0,Z97,IF(AB97&gt;0,AB97,0)))=0,"--",ROUND(CHOOSE(IF(X97&gt;0,X97,IF(Z97&gt;0,Z97,IF(AB97&gt;0,AB97,0))),IF(C97="peso_corporal",IF(ISNUMBER(E97),E97,0)+F97,F97)*(1+G97/30),IF(C97="peso_corporal",IF(ISNUMBER(E97),E97,0)+I97,I97)*(1+J97/30),IF(C97="peso_corporal",IF(ISNUMBER(E97),E97,0)+L97,L97)*(1+M97/30),IF(C97="peso_corporal",IF(ISNUMBER(E97),E97,0)+O97,O97)*(1+P97/30),IF(C97="peso_corporal",IF(ISNUMBER(E97),E97,0)+R97,R97)*(1+S97/30)),1)),"--")</f>
        <v>--</v>
      </c>
      <c r="V97" s="23" t="str">
        <f>IF(SUGERENCIAS!N267="SIN","Sin datos anteriores",IF(SUGERENCIAS!N267="SUBIR_F","^ SUBIR FUERTE | Kg:"&amp;ROUND(SUGERENCIAS!K267,1)&amp;" R:"&amp;ROUND(SUGERENCIAS!L267,0)&amp;" RIR:"&amp;ROUND(SUGERENCIAS!M267,0),IF(SUGERENCIAS!N267="SUBIR_E","^ SUBIR (Est.) | Kg:"&amp;ROUND(SUGERENCIAS!K267,1)&amp;" R:"&amp;ROUND(SUGERENCIAS!L267,0)&amp;" RIR:"&amp;ROUND(SUGERENCIAS!M267,0),IF(SUGERENCIAS!N267="SUBIR","^ SUBIR | Kg:"&amp;ROUND(SUGERENCIAS!K267,1)&amp;" R:"&amp;ROUND(SUGERENCIAS!L267,0)&amp;" RIR:"&amp;ROUND(SUGERENCIAS!M267,0),IF(SUGERENCIAS!N267="BAJAR","v BAJAR | Kg:"&amp;ROUND(SUGERENCIAS!K267,1)&amp;" R:"&amp;ROUND(SUGERENCIAS!L267,0)&amp;" RIR:"&amp;ROUND(SUGERENCIAS!M267,0),"= MANT | Kg:"&amp;ROUND(SUGERENCIAS!K267,1)&amp;" R:"&amp;ROUND(SUGERENCIAS!L267,0)&amp;" RIR:"&amp;ROUND(SUGERENCIAS!M267,0))))))</f>
        <v>= MANT | Kg:52,5 R:8 RIR:2</v>
      </c>
      <c r="W97" s="69">
        <f>MAX(IF((G97&gt;0)*(IF(H97="",-1,H97)&gt;=1)*(IF(H97="",-1,H97)&lt;=3),IF(C97="peso_corporal",IF(ISNUMBER(E97),E97,0)+F97,F97)*G97*1000+F97,0),IF((J97&gt;0)*(IF(K97="",-1,K97)&gt;=1)*(IF(K97="",-1,K97)&lt;=3),IF(C97="peso_corporal",IF(ISNUMBER(E97),E97,0)+I97,I97)*J97*1000+I97,0),IF((M97&gt;0)*(IF(N97="",-1,N97)&gt;=1)*(IF(N97="",-1,N97)&lt;=3),IF(C97="peso_corporal",IF(ISNUMBER(E97),E97,0)+L97,L97)*M97*1000+L97,0),IF((P97&gt;0)*(IF(Q97="",-1,Q97)&gt;=1)*(IF(Q97="",-1,Q97)&lt;=3),IF(C97="peso_corporal",IF(ISNUMBER(E97),E97,0)+O97,O97)*P97*1000+O97,0),IF((S97&gt;0)*(IF(T97="",-1,T97)&gt;=1)*(IF(T97="",-1,T97)&lt;=3),IF(C97="peso_corporal",IF(ISNUMBER(E97),E97,0)+R97,R97)*S97*1000+R97,0))</f>
        <v>0</v>
      </c>
      <c r="X97" s="69">
        <f>IF(W97=0,0,IF(IF((S97&gt;0)*(IF(T97="",-1,T97)&gt;=1)*(IF(T97="",-1,T97)&lt;=3),IF(C97="peso_corporal",IF(ISNUMBER(E97),E97,0)+R97,R97)*S97*1000+R97,0)=W97,5,IF(IF((P97&gt;0)*(IF(Q97="",-1,Q97)&gt;=1)*(IF(Q97="",-1,Q97)&lt;=3),IF(C97="peso_corporal",IF(ISNUMBER(E97),E97,0)+O97,O97)*P97*1000+O97,0)=W97,4,IF(IF((M97&gt;0)*(IF(N97="",-1,N97)&gt;=1)*(IF(N97="",-1,N97)&lt;=3),IF(C97="peso_corporal",IF(ISNUMBER(E97),E97,0)+L97,L97)*M97*1000+L97,0)=W97,3,IF(IF((J97&gt;0)*(IF(K97="",-1,K97)&gt;=1)*(IF(K97="",-1,K97)&lt;=3),IF(C97="peso_corporal",IF(ISNUMBER(E97),E97,0)+I97,I97)*J97*1000+I97,0)=W97,2,IF(IF((G97&gt;0)*(IF(H97="",-1,H97)&gt;=1)*(IF(H97="",-1,H97)&lt;=3),IF(C97="peso_corporal",IF(ISNUMBER(E97),E97,0)+F97,F97)*G97*1000+F97,0)=W97,1,0))))))</f>
        <v>0</v>
      </c>
      <c r="Y97" s="69">
        <f>MAX(IF((G97&gt;0)*(IF(H97="",-1,H97)=0)*(1-(IF(H97="",-1,H97)&gt;=1)*(IF(H97="",-1,H97)&lt;=3)),IF(C97="peso_corporal",IF(ISNUMBER(E97),E97,0)+F97,F97)*G97*1000+F97,0),IF((J97&gt;0)*(IF(K97="",-1,K97)=0)*(1-(IF(K97="",-1,K97)&gt;=1)*(IF(K97="",-1,K97)&lt;=3)),IF(C97="peso_corporal",IF(ISNUMBER(E97),E97,0)+I97,I97)*J97*1000+I97,0),IF((M97&gt;0)*(IF(N97="",-1,N97)=0)*(1-(IF(N97="",-1,N97)&gt;=1)*(IF(N97="",-1,N97)&lt;=3)),IF(C97="peso_corporal",IF(ISNUMBER(E97),E97,0)+L97,L97)*M97*1000+L97,0),IF((P97&gt;0)*(IF(Q97="",-1,Q97)=0)*(1-(IF(Q97="",-1,Q97)&gt;=1)*(IF(Q97="",-1,Q97)&lt;=3)),IF(C97="peso_corporal",IF(ISNUMBER(E97),E97,0)+O97,O97)*P97*1000+O97,0),IF((S97&gt;0)*(IF(T97="",-1,T97)=0)*(1-(IF(T97="",-1,T97)&gt;=1)*(IF(T97="",-1,T97)&lt;=3)),IF(C97="peso_corporal",IF(ISNUMBER(E97),E97,0)+R97,R97)*S97*1000+R97,0))</f>
        <v>0</v>
      </c>
      <c r="Z97" s="69">
        <f>IF(Y97=0,0,IF(IF((S97&gt;0)*(IF(T97="",-1,T97)=0)*(1-(IF(T97="",-1,T97)&gt;=1)*(IF(T97="",-1,T97)&lt;=3)),IF(C97="peso_corporal",IF(ISNUMBER(E97),E97,0)+R97,R97)*S97*1000+R97,0)=Y97,5,IF(IF((P97&gt;0)*(IF(Q97="",-1,Q97)=0)*(1-(IF(Q97="",-1,Q97)&gt;=1)*(IF(Q97="",-1,Q97)&lt;=3)),IF(C97="peso_corporal",IF(ISNUMBER(E97),E97,0)+O97,O97)*P97*1000+O97,0)=Y97,4,IF(IF((M97&gt;0)*(IF(N97="",-1,N97)=0)*(1-(IF(N97="",-1,N97)&gt;=1)*(IF(N97="",-1,N97)&lt;=3)),IF(C97="peso_corporal",IF(ISNUMBER(E97),E97,0)+L97,L97)*M97*1000+L97,0)=Y97,3,IF(IF((J97&gt;0)*(IF(K97="",-1,K97)=0)*(1-(IF(K97="",-1,K97)&gt;=1)*(IF(K97="",-1,K97)&lt;=3)),IF(C97="peso_corporal",IF(ISNUMBER(E97),E97,0)+I97,I97)*J97*1000+I97,0)=Y97,2,IF(IF((G97&gt;0)*(IF(H97="",-1,H97)=0)*(1-(IF(H97="",-1,H97)&gt;=1)*(IF(H97="",-1,H97)&lt;=3)),IF(C97="peso_corporal",IF(ISNUMBER(E97),E97,0)+F97,F97)*G97*1000+F97,0)=Y97,1,0))))))</f>
        <v>0</v>
      </c>
      <c r="AA97" s="69">
        <f>MAX(IF((G97&gt;=6)*(1-(IF(H97="",-1,H97)&gt;=1)*(IF(H97="",-1,H97)&lt;=3))*(1-(IF(H97="",-1,H97)=0)),IF(C97="peso_corporal",IF(ISNUMBER(E97),E97,0)+F97,F97)*(30+G97)*100+F97,0),IF((J97&gt;=6)*(1-(IF(K97="",-1,K97)&gt;=1)*(IF(K97="",-1,K97)&lt;=3))*(1-(IF(K97="",-1,K97)=0)),IF(C97="peso_corporal",IF(ISNUMBER(E97),E97,0)+I97,I97)*(30+J97)*100+I97,0),IF((M97&gt;=6)*(1-(IF(N97="",-1,N97)&gt;=1)*(IF(N97="",-1,N97)&lt;=3))*(1-(IF(N97="",-1,N97)=0)),IF(C97="peso_corporal",IF(ISNUMBER(E97),E97,0)+L97,L97)*(30+M97)*100+L97,0),IF((P97&gt;=6)*(1-(IF(Q97="",-1,Q97)&gt;=1)*(IF(Q97="",-1,Q97)&lt;=3))*(1-(IF(Q97="",-1,Q97)=0)),IF(C97="peso_corporal",IF(ISNUMBER(E97),E97,0)+O97,O97)*(30+P97)*100+O97,0),IF((S97&gt;=6)*(1-(IF(T97="",-1,T97)&gt;=1)*(IF(T97="",-1,T97)&lt;=3))*(1-(IF(T97="",-1,T97)=0)),IF(C97="peso_corporal",IF(ISNUMBER(E97),E97,0)+R97,R97)*(30+S97)*100+R97,0))</f>
        <v>0</v>
      </c>
      <c r="AB97" s="69">
        <f>IF(AA97=0,0,IF(IF((S97&gt;=6)*(1-(IF(T97="",-1,T97)&gt;=1)*(IF(T97="",-1,T97)&lt;=3))*(1-(IF(T97="",-1,T97)=0)),IF(C97="peso_corporal",IF(ISNUMBER(E97),E97,0)+R97,R97)*(30+S97)*100+R97,0)=AA97,5,IF(IF((P97&gt;=6)*(1-(IF(Q97="",-1,Q97)&gt;=1)*(IF(Q97="",-1,Q97)&lt;=3))*(1-(IF(Q97="",-1,Q97)=0)),IF(C97="peso_corporal",IF(ISNUMBER(E97),E97,0)+O97,O97)*(30+P97)*100+O97,0)=AA97,4,IF(IF((M97&gt;=6)*(1-(IF(N97="",-1,N97)&gt;=1)*(IF(N97="",-1,N97)&lt;=3))*(1-(IF(N97="",-1,N97)=0)),IF(C97="peso_corporal",IF(ISNUMBER(E97),E97,0)+L97,L97)*(30+M97)*100+L97,0)=AA97,3,IF(IF((J97&gt;=6)*(1-(IF(K97="",-1,K97)&gt;=1)*(IF(K97="",-1,K97)&lt;=3))*(1-(IF(K97="",-1,K97)=0)),IF(C97="peso_corporal",IF(ISNUMBER(E97),E97,0)+I97,I97)*(30+J97)*100+I97,0)=AA97,2,IF(IF((G97&gt;=6)*(1-(IF(H97="",-1,H97)&gt;=1)*(IF(H97="",-1,H97)&lt;=3))*(1-(IF(H97="",-1,H97)=0)),IF(C97="peso_corporal",IF(ISNUMBER(E97),E97,0)+F97,F97)*(30+G97)*100+F97,0)=AA97,1,0))))))</f>
        <v>0</v>
      </c>
      <c r="AC97" s="69" t="str">
        <f>IF(X97&gt;0,"A"&amp;X97,IF(Z97&gt;0,"B"&amp;Z97,IF(AB97&gt;0,"C"&amp;AB97,"")))</f>
        <v/>
      </c>
    </row>
    <row r="98" spans="1:29" ht="20.100000000000001" customHeight="1">
      <c r="A98" s="14" t="s">
        <v>111</v>
      </c>
      <c r="B98" s="71" t="s">
        <v>112</v>
      </c>
      <c r="C98" s="16" t="str">
        <f>IFERROR(INDEX(EJERCICIOS!$D$3:$D$75,MATCH(A98&amp;"|"&amp;B98,EJERCICIOS!$G$3:$G$75,0)),"--")</f>
        <v>polea</v>
      </c>
      <c r="D98" s="17">
        <v>3</v>
      </c>
      <c r="E98" s="18">
        <f>IFERROR(LOOKUP(2,1/(MEDIDAS_Y_PESO!$B$3:$B$7&lt;&gt;""),MEDIDAS_Y_PESO!$B$3:$B$7),"--")</f>
        <v>80</v>
      </c>
      <c r="F98" s="19"/>
      <c r="G98" s="20"/>
      <c r="H98" s="21"/>
      <c r="I98" s="19"/>
      <c r="J98" s="20"/>
      <c r="K98" s="21"/>
      <c r="L98" s="19"/>
      <c r="M98" s="20"/>
      <c r="N98" s="21"/>
      <c r="O98" s="19"/>
      <c r="P98" s="20"/>
      <c r="Q98" s="21"/>
      <c r="R98" s="19"/>
      <c r="S98" s="20"/>
      <c r="T98" s="21"/>
      <c r="U98" s="22" t="str">
        <f>IFERROR(IF(IF(X98&gt;0,X98,IF(Z98&gt;0,Z98,IF(AB98&gt;0,AB98,0)))=0,"--",ROUND(CHOOSE(IF(X98&gt;0,X98,IF(Z98&gt;0,Z98,IF(AB98&gt;0,AB98,0))),IF(C98="peso_corporal",IF(ISNUMBER(E98),E98,0)+F98,F98)*(1+G98/30),IF(C98="peso_corporal",IF(ISNUMBER(E98),E98,0)+I98,I98)*(1+J98/30),IF(C98="peso_corporal",IF(ISNUMBER(E98),E98,0)+L98,L98)*(1+M98/30),IF(C98="peso_corporal",IF(ISNUMBER(E98),E98,0)+O98,O98)*(1+P98/30),IF(C98="peso_corporal",IF(ISNUMBER(E98),E98,0)+R98,R98)*(1+S98/30)),1)),"--")</f>
        <v>--</v>
      </c>
      <c r="V98" s="23" t="str">
        <f>IF(SUGERENCIAS!N268="SIN","Sin datos anteriores",IF(SUGERENCIAS!N268="SUBIR_F","^ SUBIR FUERTE | Kg:"&amp;ROUND(SUGERENCIAS!K268,1)&amp;" R:"&amp;ROUND(SUGERENCIAS!L268,0)&amp;" RIR:"&amp;ROUND(SUGERENCIAS!M268,0),IF(SUGERENCIAS!N268="SUBIR_E","^ SUBIR (Est.) | Kg:"&amp;ROUND(SUGERENCIAS!K268,1)&amp;" R:"&amp;ROUND(SUGERENCIAS!L268,0)&amp;" RIR:"&amp;ROUND(SUGERENCIAS!M268,0),IF(SUGERENCIAS!N268="SUBIR","^ SUBIR | Kg:"&amp;ROUND(SUGERENCIAS!K268,1)&amp;" R:"&amp;ROUND(SUGERENCIAS!L268,0)&amp;" RIR:"&amp;ROUND(SUGERENCIAS!M268,0),IF(SUGERENCIAS!N268="BAJAR","v BAJAR | Kg:"&amp;ROUND(SUGERENCIAS!K268,1)&amp;" R:"&amp;ROUND(SUGERENCIAS!L268,0)&amp;" RIR:"&amp;ROUND(SUGERENCIAS!M268,0),"= MANT | Kg:"&amp;ROUND(SUGERENCIAS!K268,1)&amp;" R:"&amp;ROUND(SUGERENCIAS!L268,0)&amp;" RIR:"&amp;ROUND(SUGERENCIAS!M268,0))))))</f>
        <v>= MANT | Kg:60 R:9 RIR:2</v>
      </c>
      <c r="W98" s="69">
        <f>MAX(IF((G98&gt;0)*(IF(H98="",-1,H98)&gt;=1)*(IF(H98="",-1,H98)&lt;=3),IF(C98="peso_corporal",IF(ISNUMBER(E98),E98,0)+F98,F98)*G98*1000+F98,0),IF((J98&gt;0)*(IF(K98="",-1,K98)&gt;=1)*(IF(K98="",-1,K98)&lt;=3),IF(C98="peso_corporal",IF(ISNUMBER(E98),E98,0)+I98,I98)*J98*1000+I98,0),IF((M98&gt;0)*(IF(N98="",-1,N98)&gt;=1)*(IF(N98="",-1,N98)&lt;=3),IF(C98="peso_corporal",IF(ISNUMBER(E98),E98,0)+L98,L98)*M98*1000+L98,0),IF((P98&gt;0)*(IF(Q98="",-1,Q98)&gt;=1)*(IF(Q98="",-1,Q98)&lt;=3),IF(C98="peso_corporal",IF(ISNUMBER(E98),E98,0)+O98,O98)*P98*1000+O98,0),IF((S98&gt;0)*(IF(T98="",-1,T98)&gt;=1)*(IF(T98="",-1,T98)&lt;=3),IF(C98="peso_corporal",IF(ISNUMBER(E98),E98,0)+R98,R98)*S98*1000+R98,0))</f>
        <v>0</v>
      </c>
      <c r="X98" s="69">
        <f>IF(W98=0,0,IF(IF((S98&gt;0)*(IF(T98="",-1,T98)&gt;=1)*(IF(T98="",-1,T98)&lt;=3),IF(C98="peso_corporal",IF(ISNUMBER(E98),E98,0)+R98,R98)*S98*1000+R98,0)=W98,5,IF(IF((P98&gt;0)*(IF(Q98="",-1,Q98)&gt;=1)*(IF(Q98="",-1,Q98)&lt;=3),IF(C98="peso_corporal",IF(ISNUMBER(E98),E98,0)+O98,O98)*P98*1000+O98,0)=W98,4,IF(IF((M98&gt;0)*(IF(N98="",-1,N98)&gt;=1)*(IF(N98="",-1,N98)&lt;=3),IF(C98="peso_corporal",IF(ISNUMBER(E98),E98,0)+L98,L98)*M98*1000+L98,0)=W98,3,IF(IF((J98&gt;0)*(IF(K98="",-1,K98)&gt;=1)*(IF(K98="",-1,K98)&lt;=3),IF(C98="peso_corporal",IF(ISNUMBER(E98),E98,0)+I98,I98)*J98*1000+I98,0)=W98,2,IF(IF((G98&gt;0)*(IF(H98="",-1,H98)&gt;=1)*(IF(H98="",-1,H98)&lt;=3),IF(C98="peso_corporal",IF(ISNUMBER(E98),E98,0)+F98,F98)*G98*1000+F98,0)=W98,1,0))))))</f>
        <v>0</v>
      </c>
      <c r="Y98" s="69">
        <f>MAX(IF((G98&gt;0)*(IF(H98="",-1,H98)=0)*(1-(IF(H98="",-1,H98)&gt;=1)*(IF(H98="",-1,H98)&lt;=3)),IF(C98="peso_corporal",IF(ISNUMBER(E98),E98,0)+F98,F98)*G98*1000+F98,0),IF((J98&gt;0)*(IF(K98="",-1,K98)=0)*(1-(IF(K98="",-1,K98)&gt;=1)*(IF(K98="",-1,K98)&lt;=3)),IF(C98="peso_corporal",IF(ISNUMBER(E98),E98,0)+I98,I98)*J98*1000+I98,0),IF((M98&gt;0)*(IF(N98="",-1,N98)=0)*(1-(IF(N98="",-1,N98)&gt;=1)*(IF(N98="",-1,N98)&lt;=3)),IF(C98="peso_corporal",IF(ISNUMBER(E98),E98,0)+L98,L98)*M98*1000+L98,0),IF((P98&gt;0)*(IF(Q98="",-1,Q98)=0)*(1-(IF(Q98="",-1,Q98)&gt;=1)*(IF(Q98="",-1,Q98)&lt;=3)),IF(C98="peso_corporal",IF(ISNUMBER(E98),E98,0)+O98,O98)*P98*1000+O98,0),IF((S98&gt;0)*(IF(T98="",-1,T98)=0)*(1-(IF(T98="",-1,T98)&gt;=1)*(IF(T98="",-1,T98)&lt;=3)),IF(C98="peso_corporal",IF(ISNUMBER(E98),E98,0)+R98,R98)*S98*1000+R98,0))</f>
        <v>0</v>
      </c>
      <c r="Z98" s="69">
        <f>IF(Y98=0,0,IF(IF((S98&gt;0)*(IF(T98="",-1,T98)=0)*(1-(IF(T98="",-1,T98)&gt;=1)*(IF(T98="",-1,T98)&lt;=3)),IF(C98="peso_corporal",IF(ISNUMBER(E98),E98,0)+R98,R98)*S98*1000+R98,0)=Y98,5,IF(IF((P98&gt;0)*(IF(Q98="",-1,Q98)=0)*(1-(IF(Q98="",-1,Q98)&gt;=1)*(IF(Q98="",-1,Q98)&lt;=3)),IF(C98="peso_corporal",IF(ISNUMBER(E98),E98,0)+O98,O98)*P98*1000+O98,0)=Y98,4,IF(IF((M98&gt;0)*(IF(N98="",-1,N98)=0)*(1-(IF(N98="",-1,N98)&gt;=1)*(IF(N98="",-1,N98)&lt;=3)),IF(C98="peso_corporal",IF(ISNUMBER(E98),E98,0)+L98,L98)*M98*1000+L98,0)=Y98,3,IF(IF((J98&gt;0)*(IF(K98="",-1,K98)=0)*(1-(IF(K98="",-1,K98)&gt;=1)*(IF(K98="",-1,K98)&lt;=3)),IF(C98="peso_corporal",IF(ISNUMBER(E98),E98,0)+I98,I98)*J98*1000+I98,0)=Y98,2,IF(IF((G98&gt;0)*(IF(H98="",-1,H98)=0)*(1-(IF(H98="",-1,H98)&gt;=1)*(IF(H98="",-1,H98)&lt;=3)),IF(C98="peso_corporal",IF(ISNUMBER(E98),E98,0)+F98,F98)*G98*1000+F98,0)=Y98,1,0))))))</f>
        <v>0</v>
      </c>
      <c r="AA98" s="69">
        <f>MAX(IF((G98&gt;=6)*(1-(IF(H98="",-1,H98)&gt;=1)*(IF(H98="",-1,H98)&lt;=3))*(1-(IF(H98="",-1,H98)=0)),IF(C98="peso_corporal",IF(ISNUMBER(E98),E98,0)+F98,F98)*(30+G98)*100+F98,0),IF((J98&gt;=6)*(1-(IF(K98="",-1,K98)&gt;=1)*(IF(K98="",-1,K98)&lt;=3))*(1-(IF(K98="",-1,K98)=0)),IF(C98="peso_corporal",IF(ISNUMBER(E98),E98,0)+I98,I98)*(30+J98)*100+I98,0),IF((M98&gt;=6)*(1-(IF(N98="",-1,N98)&gt;=1)*(IF(N98="",-1,N98)&lt;=3))*(1-(IF(N98="",-1,N98)=0)),IF(C98="peso_corporal",IF(ISNUMBER(E98),E98,0)+L98,L98)*(30+M98)*100+L98,0),IF((P98&gt;=6)*(1-(IF(Q98="",-1,Q98)&gt;=1)*(IF(Q98="",-1,Q98)&lt;=3))*(1-(IF(Q98="",-1,Q98)=0)),IF(C98="peso_corporal",IF(ISNUMBER(E98),E98,0)+O98,O98)*(30+P98)*100+O98,0),IF((S98&gt;=6)*(1-(IF(T98="",-1,T98)&gt;=1)*(IF(T98="",-1,T98)&lt;=3))*(1-(IF(T98="",-1,T98)=0)),IF(C98="peso_corporal",IF(ISNUMBER(E98),E98,0)+R98,R98)*(30+S98)*100+R98,0))</f>
        <v>0</v>
      </c>
      <c r="AB98" s="69">
        <f>IF(AA98=0,0,IF(IF((S98&gt;=6)*(1-(IF(T98="",-1,T98)&gt;=1)*(IF(T98="",-1,T98)&lt;=3))*(1-(IF(T98="",-1,T98)=0)),IF(C98="peso_corporal",IF(ISNUMBER(E98),E98,0)+R98,R98)*(30+S98)*100+R98,0)=AA98,5,IF(IF((P98&gt;=6)*(1-(IF(Q98="",-1,Q98)&gt;=1)*(IF(Q98="",-1,Q98)&lt;=3))*(1-(IF(Q98="",-1,Q98)=0)),IF(C98="peso_corporal",IF(ISNUMBER(E98),E98,0)+O98,O98)*(30+P98)*100+O98,0)=AA98,4,IF(IF((M98&gt;=6)*(1-(IF(N98="",-1,N98)&gt;=1)*(IF(N98="",-1,N98)&lt;=3))*(1-(IF(N98="",-1,N98)=0)),IF(C98="peso_corporal",IF(ISNUMBER(E98),E98,0)+L98,L98)*(30+M98)*100+L98,0)=AA98,3,IF(IF((J98&gt;=6)*(1-(IF(K98="",-1,K98)&gt;=1)*(IF(K98="",-1,K98)&lt;=3))*(1-(IF(K98="",-1,K98)=0)),IF(C98="peso_corporal",IF(ISNUMBER(E98),E98,0)+I98,I98)*(30+J98)*100+I98,0)=AA98,2,IF(IF((G98&gt;=6)*(1-(IF(H98="",-1,H98)&gt;=1)*(IF(H98="",-1,H98)&lt;=3))*(1-(IF(H98="",-1,H98)=0)),IF(C98="peso_corporal",IF(ISNUMBER(E98),E98,0)+F98,F98)*(30+G98)*100+F98,0)=AA98,1,0))))))</f>
        <v>0</v>
      </c>
      <c r="AC98" s="69" t="str">
        <f>IF(X98&gt;0,"A"&amp;X98,IF(Z98&gt;0,"B"&amp;Z98,IF(AB98&gt;0,"C"&amp;AB98,"")))</f>
        <v/>
      </c>
    </row>
    <row r="99" spans="1:29" ht="11.1" customHeight="1">
      <c r="A99" s="84" t="s">
        <v>94</v>
      </c>
      <c r="B99" s="73"/>
      <c r="C99" s="73"/>
      <c r="D99" s="73"/>
      <c r="E99" s="73"/>
      <c r="F99" s="73"/>
      <c r="G99" s="73"/>
      <c r="H99" s="73"/>
      <c r="I99" s="73"/>
      <c r="J99" s="73"/>
      <c r="K99" s="73"/>
      <c r="L99" s="73"/>
      <c r="M99" s="73"/>
      <c r="N99" s="73"/>
      <c r="O99" s="73"/>
      <c r="P99" s="73"/>
      <c r="Q99" s="73"/>
      <c r="R99" s="73"/>
      <c r="S99" s="73"/>
      <c r="T99" s="73"/>
      <c r="U99" s="73"/>
      <c r="V99" s="73"/>
      <c r="W99" s="69"/>
      <c r="X99" s="69"/>
      <c r="Y99" s="69"/>
      <c r="Z99" s="69"/>
      <c r="AA99" s="69"/>
      <c r="AB99" s="69"/>
      <c r="AC99" s="69"/>
    </row>
    <row r="100" spans="1:29" ht="20.100000000000001" customHeight="1">
      <c r="A100" s="14" t="s">
        <v>95</v>
      </c>
      <c r="B100" s="15" t="s">
        <v>96</v>
      </c>
      <c r="C100" s="16" t="str">
        <f>IFERROR(INDEX(EJERCICIOS!$D$3:$D$75,MATCH(A100&amp;"|"&amp;B100,EJERCICIOS!$G$3:$G$75,0)),"--")</f>
        <v>polea</v>
      </c>
      <c r="D100" s="17">
        <v>3</v>
      </c>
      <c r="E100" s="18">
        <f>IFERROR(LOOKUP(2,1/(MEDIDAS_Y_PESO!$B$3:$B$7&lt;&gt;""),MEDIDAS_Y_PESO!$B$3:$B$7),"--")</f>
        <v>80</v>
      </c>
      <c r="F100" s="19"/>
      <c r="G100" s="20"/>
      <c r="H100" s="21"/>
      <c r="I100" s="19"/>
      <c r="J100" s="20"/>
      <c r="K100" s="21"/>
      <c r="L100" s="19"/>
      <c r="M100" s="20"/>
      <c r="N100" s="21"/>
      <c r="O100" s="19"/>
      <c r="P100" s="20"/>
      <c r="Q100" s="21"/>
      <c r="R100" s="19"/>
      <c r="S100" s="20"/>
      <c r="T100" s="21"/>
      <c r="U100" s="22" t="str">
        <f>IFERROR(IF(IF(X100&gt;0,X100,IF(Z100&gt;0,Z100,IF(AB100&gt;0,AB100,0)))=0,"--",ROUND(CHOOSE(IF(X100&gt;0,X100,IF(Z100&gt;0,Z100,IF(AB100&gt;0,AB100,0))),IF(C100="peso_corporal",IF(ISNUMBER(E100),E100,0)+F100,F100)*(1+G100/30),IF(C100="peso_corporal",IF(ISNUMBER(E100),E100,0)+I100,I100)*(1+J100/30),IF(C100="peso_corporal",IF(ISNUMBER(E100),E100,0)+L100,L100)*(1+M100/30),IF(C100="peso_corporal",IF(ISNUMBER(E100),E100,0)+O100,O100)*(1+P100/30),IF(C100="peso_corporal",IF(ISNUMBER(E100),E100,0)+R100,R100)*(1+S100/30)),1)),"--")</f>
        <v>--</v>
      </c>
      <c r="V100" s="23" t="str">
        <f>IF(SUGERENCIAS!N269="SIN","Sin datos anteriores",IF(SUGERENCIAS!N269="SUBIR_F","^ SUBIR FUERTE | Kg:"&amp;ROUND(SUGERENCIAS!K269,1)&amp;" R:"&amp;ROUND(SUGERENCIAS!L269,0)&amp;" RIR:"&amp;ROUND(SUGERENCIAS!M269,0),IF(SUGERENCIAS!N269="SUBIR_E","^ SUBIR (Est.) | Kg:"&amp;ROUND(SUGERENCIAS!K269,1)&amp;" R:"&amp;ROUND(SUGERENCIAS!L269,0)&amp;" RIR:"&amp;ROUND(SUGERENCIAS!M269,0),IF(SUGERENCIAS!N269="SUBIR","^ SUBIR | Kg:"&amp;ROUND(SUGERENCIAS!K269,1)&amp;" R:"&amp;ROUND(SUGERENCIAS!L269,0)&amp;" RIR:"&amp;ROUND(SUGERENCIAS!M269,0),IF(SUGERENCIAS!N269="BAJAR","v BAJAR | Kg:"&amp;ROUND(SUGERENCIAS!K269,1)&amp;" R:"&amp;ROUND(SUGERENCIAS!L269,0)&amp;" RIR:"&amp;ROUND(SUGERENCIAS!M269,0),"= MANT | Kg:"&amp;ROUND(SUGERENCIAS!K269,1)&amp;" R:"&amp;ROUND(SUGERENCIAS!L269,0)&amp;" RIR:"&amp;ROUND(SUGERENCIAS!M269,0))))))</f>
        <v>Sin datos anteriores</v>
      </c>
      <c r="W100" s="69">
        <f>MAX(IF((G100&gt;0)*(IF(H100="",-1,H100)&gt;=1)*(IF(H100="",-1,H100)&lt;=3),IF(C100="peso_corporal",IF(ISNUMBER(E100),E100,0)+F100,F100)*G100*1000+F100,0),IF((J100&gt;0)*(IF(K100="",-1,K100)&gt;=1)*(IF(K100="",-1,K100)&lt;=3),IF(C100="peso_corporal",IF(ISNUMBER(E100),E100,0)+I100,I100)*J100*1000+I100,0),IF((M100&gt;0)*(IF(N100="",-1,N100)&gt;=1)*(IF(N100="",-1,N100)&lt;=3),IF(C100="peso_corporal",IF(ISNUMBER(E100),E100,0)+L100,L100)*M100*1000+L100,0),IF((P100&gt;0)*(IF(Q100="",-1,Q100)&gt;=1)*(IF(Q100="",-1,Q100)&lt;=3),IF(C100="peso_corporal",IF(ISNUMBER(E100),E100,0)+O100,O100)*P100*1000+O100,0),IF((S100&gt;0)*(IF(T100="",-1,T100)&gt;=1)*(IF(T100="",-1,T100)&lt;=3),IF(C100="peso_corporal",IF(ISNUMBER(E100),E100,0)+R100,R100)*S100*1000+R100,0))</f>
        <v>0</v>
      </c>
      <c r="X100" s="69">
        <f>IF(W100=0,0,IF(IF((S100&gt;0)*(IF(T100="",-1,T100)&gt;=1)*(IF(T100="",-1,T100)&lt;=3),IF(C100="peso_corporal",IF(ISNUMBER(E100),E100,0)+R100,R100)*S100*1000+R100,0)=W100,5,IF(IF((P100&gt;0)*(IF(Q100="",-1,Q100)&gt;=1)*(IF(Q100="",-1,Q100)&lt;=3),IF(C100="peso_corporal",IF(ISNUMBER(E100),E100,0)+O100,O100)*P100*1000+O100,0)=W100,4,IF(IF((M100&gt;0)*(IF(N100="",-1,N100)&gt;=1)*(IF(N100="",-1,N100)&lt;=3),IF(C100="peso_corporal",IF(ISNUMBER(E100),E100,0)+L100,L100)*M100*1000+L100,0)=W100,3,IF(IF((J100&gt;0)*(IF(K100="",-1,K100)&gt;=1)*(IF(K100="",-1,K100)&lt;=3),IF(C100="peso_corporal",IF(ISNUMBER(E100),E100,0)+I100,I100)*J100*1000+I100,0)=W100,2,IF(IF((G100&gt;0)*(IF(H100="",-1,H100)&gt;=1)*(IF(H100="",-1,H100)&lt;=3),IF(C100="peso_corporal",IF(ISNUMBER(E100),E100,0)+F100,F100)*G100*1000+F100,0)=W100,1,0))))))</f>
        <v>0</v>
      </c>
      <c r="Y100" s="69">
        <f>MAX(IF((G100&gt;0)*(IF(H100="",-1,H100)=0)*(1-(IF(H100="",-1,H100)&gt;=1)*(IF(H100="",-1,H100)&lt;=3)),IF(C100="peso_corporal",IF(ISNUMBER(E100),E100,0)+F100,F100)*G100*1000+F100,0),IF((J100&gt;0)*(IF(K100="",-1,K100)=0)*(1-(IF(K100="",-1,K100)&gt;=1)*(IF(K100="",-1,K100)&lt;=3)),IF(C100="peso_corporal",IF(ISNUMBER(E100),E100,0)+I100,I100)*J100*1000+I100,0),IF((M100&gt;0)*(IF(N100="",-1,N100)=0)*(1-(IF(N100="",-1,N100)&gt;=1)*(IF(N100="",-1,N100)&lt;=3)),IF(C100="peso_corporal",IF(ISNUMBER(E100),E100,0)+L100,L100)*M100*1000+L100,0),IF((P100&gt;0)*(IF(Q100="",-1,Q100)=0)*(1-(IF(Q100="",-1,Q100)&gt;=1)*(IF(Q100="",-1,Q100)&lt;=3)),IF(C100="peso_corporal",IF(ISNUMBER(E100),E100,0)+O100,O100)*P100*1000+O100,0),IF((S100&gt;0)*(IF(T100="",-1,T100)=0)*(1-(IF(T100="",-1,T100)&gt;=1)*(IF(T100="",-1,T100)&lt;=3)),IF(C100="peso_corporal",IF(ISNUMBER(E100),E100,0)+R100,R100)*S100*1000+R100,0))</f>
        <v>0</v>
      </c>
      <c r="Z100" s="69">
        <f>IF(Y100=0,0,IF(IF((S100&gt;0)*(IF(T100="",-1,T100)=0)*(1-(IF(T100="",-1,T100)&gt;=1)*(IF(T100="",-1,T100)&lt;=3)),IF(C100="peso_corporal",IF(ISNUMBER(E100),E100,0)+R100,R100)*S100*1000+R100,0)=Y100,5,IF(IF((P100&gt;0)*(IF(Q100="",-1,Q100)=0)*(1-(IF(Q100="",-1,Q100)&gt;=1)*(IF(Q100="",-1,Q100)&lt;=3)),IF(C100="peso_corporal",IF(ISNUMBER(E100),E100,0)+O100,O100)*P100*1000+O100,0)=Y100,4,IF(IF((M100&gt;0)*(IF(N100="",-1,N100)=0)*(1-(IF(N100="",-1,N100)&gt;=1)*(IF(N100="",-1,N100)&lt;=3)),IF(C100="peso_corporal",IF(ISNUMBER(E100),E100,0)+L100,L100)*M100*1000+L100,0)=Y100,3,IF(IF((J100&gt;0)*(IF(K100="",-1,K100)=0)*(1-(IF(K100="",-1,K100)&gt;=1)*(IF(K100="",-1,K100)&lt;=3)),IF(C100="peso_corporal",IF(ISNUMBER(E100),E100,0)+I100,I100)*J100*1000+I100,0)=Y100,2,IF(IF((G100&gt;0)*(IF(H100="",-1,H100)=0)*(1-(IF(H100="",-1,H100)&gt;=1)*(IF(H100="",-1,H100)&lt;=3)),IF(C100="peso_corporal",IF(ISNUMBER(E100),E100,0)+F100,F100)*G100*1000+F100,0)=Y100,1,0))))))</f>
        <v>0</v>
      </c>
      <c r="AA100" s="69">
        <f>MAX(IF((G100&gt;=6)*(1-(IF(H100="",-1,H100)&gt;=1)*(IF(H100="",-1,H100)&lt;=3))*(1-(IF(H100="",-1,H100)=0)),IF(C100="peso_corporal",IF(ISNUMBER(E100),E100,0)+F100,F100)*(30+G100)*100+F100,0),IF((J100&gt;=6)*(1-(IF(K100="",-1,K100)&gt;=1)*(IF(K100="",-1,K100)&lt;=3))*(1-(IF(K100="",-1,K100)=0)),IF(C100="peso_corporal",IF(ISNUMBER(E100),E100,0)+I100,I100)*(30+J100)*100+I100,0),IF((M100&gt;=6)*(1-(IF(N100="",-1,N100)&gt;=1)*(IF(N100="",-1,N100)&lt;=3))*(1-(IF(N100="",-1,N100)=0)),IF(C100="peso_corporal",IF(ISNUMBER(E100),E100,0)+L100,L100)*(30+M100)*100+L100,0),IF((P100&gt;=6)*(1-(IF(Q100="",-1,Q100)&gt;=1)*(IF(Q100="",-1,Q100)&lt;=3))*(1-(IF(Q100="",-1,Q100)=0)),IF(C100="peso_corporal",IF(ISNUMBER(E100),E100,0)+O100,O100)*(30+P100)*100+O100,0),IF((S100&gt;=6)*(1-(IF(T100="",-1,T100)&gt;=1)*(IF(T100="",-1,T100)&lt;=3))*(1-(IF(T100="",-1,T100)=0)),IF(C100="peso_corporal",IF(ISNUMBER(E100),E100,0)+R100,R100)*(30+S100)*100+R100,0))</f>
        <v>0</v>
      </c>
      <c r="AB100" s="69">
        <f>IF(AA100=0,0,IF(IF((S100&gt;=6)*(1-(IF(T100="",-1,T100)&gt;=1)*(IF(T100="",-1,T100)&lt;=3))*(1-(IF(T100="",-1,T100)=0)),IF(C100="peso_corporal",IF(ISNUMBER(E100),E100,0)+R100,R100)*(30+S100)*100+R100,0)=AA100,5,IF(IF((P100&gt;=6)*(1-(IF(Q100="",-1,Q100)&gt;=1)*(IF(Q100="",-1,Q100)&lt;=3))*(1-(IF(Q100="",-1,Q100)=0)),IF(C100="peso_corporal",IF(ISNUMBER(E100),E100,0)+O100,O100)*(30+P100)*100+O100,0)=AA100,4,IF(IF((M100&gt;=6)*(1-(IF(N100="",-1,N100)&gt;=1)*(IF(N100="",-1,N100)&lt;=3))*(1-(IF(N100="",-1,N100)=0)),IF(C100="peso_corporal",IF(ISNUMBER(E100),E100,0)+L100,L100)*(30+M100)*100+L100,0)=AA100,3,IF(IF((J100&gt;=6)*(1-(IF(K100="",-1,K100)&gt;=1)*(IF(K100="",-1,K100)&lt;=3))*(1-(IF(K100="",-1,K100)=0)),IF(C100="peso_corporal",IF(ISNUMBER(E100),E100,0)+I100,I100)*(30+J100)*100+I100,0)=AA100,2,IF(IF((G100&gt;=6)*(1-(IF(H100="",-1,H100)&gt;=1)*(IF(H100="",-1,H100)&lt;=3))*(1-(IF(H100="",-1,H100)=0)),IF(C100="peso_corporal",IF(ISNUMBER(E100),E100,0)+F100,F100)*(30+G100)*100+F100,0)=AA100,1,0))))))</f>
        <v>0</v>
      </c>
      <c r="AC100" s="69" t="str">
        <f>IF(X100&gt;0,"A"&amp;X100,IF(Z100&gt;0,"B"&amp;Z100,IF(AB100&gt;0,"C"&amp;AB100,"")))</f>
        <v/>
      </c>
    </row>
    <row r="101" spans="1:29" ht="20.100000000000001" customHeight="1">
      <c r="A101" s="14" t="s">
        <v>95</v>
      </c>
      <c r="B101" s="15" t="s">
        <v>97</v>
      </c>
      <c r="C101" s="16" t="str">
        <f>IFERROR(INDEX(EJERCICIOS!$D$3:$D$75,MATCH(A101&amp;"|"&amp;B101,EJERCICIOS!$G$3:$G$75,0)),"--")</f>
        <v>polea</v>
      </c>
      <c r="D101" s="17">
        <v>3</v>
      </c>
      <c r="E101" s="18">
        <f>IFERROR(LOOKUP(2,1/(MEDIDAS_Y_PESO!$B$3:$B$7&lt;&gt;""),MEDIDAS_Y_PESO!$B$3:$B$7),"--")</f>
        <v>80</v>
      </c>
      <c r="F101" s="19"/>
      <c r="G101" s="20"/>
      <c r="H101" s="21"/>
      <c r="I101" s="19"/>
      <c r="J101" s="20"/>
      <c r="K101" s="21"/>
      <c r="L101" s="19"/>
      <c r="M101" s="20"/>
      <c r="N101" s="21"/>
      <c r="O101" s="19"/>
      <c r="P101" s="20"/>
      <c r="Q101" s="21"/>
      <c r="R101" s="19"/>
      <c r="S101" s="20"/>
      <c r="T101" s="21"/>
      <c r="U101" s="22" t="str">
        <f>IFERROR(IF(IF(X101&gt;0,X101,IF(Z101&gt;0,Z101,IF(AB101&gt;0,AB101,0)))=0,"--",ROUND(CHOOSE(IF(X101&gt;0,X101,IF(Z101&gt;0,Z101,IF(AB101&gt;0,AB101,0))),IF(C101="peso_corporal",IF(ISNUMBER(E101),E101,0)+F101,F101)*(1+G101/30),IF(C101="peso_corporal",IF(ISNUMBER(E101),E101,0)+I101,I101)*(1+J101/30),IF(C101="peso_corporal",IF(ISNUMBER(E101),E101,0)+L101,L101)*(1+M101/30),IF(C101="peso_corporal",IF(ISNUMBER(E101),E101,0)+O101,O101)*(1+P101/30),IF(C101="peso_corporal",IF(ISNUMBER(E101),E101,0)+R101,R101)*(1+S101/30)),1)),"--")</f>
        <v>--</v>
      </c>
      <c r="V101" s="23" t="str">
        <f>IF(SUGERENCIAS!N270="SIN","Sin datos anteriores",IF(SUGERENCIAS!N270="SUBIR_F","^ SUBIR FUERTE | Kg:"&amp;ROUND(SUGERENCIAS!K270,1)&amp;" R:"&amp;ROUND(SUGERENCIAS!L270,0)&amp;" RIR:"&amp;ROUND(SUGERENCIAS!M270,0),IF(SUGERENCIAS!N270="SUBIR_E","^ SUBIR (Est.) | Kg:"&amp;ROUND(SUGERENCIAS!K270,1)&amp;" R:"&amp;ROUND(SUGERENCIAS!L270,0)&amp;" RIR:"&amp;ROUND(SUGERENCIAS!M270,0),IF(SUGERENCIAS!N270="SUBIR","^ SUBIR | Kg:"&amp;ROUND(SUGERENCIAS!K270,1)&amp;" R:"&amp;ROUND(SUGERENCIAS!L270,0)&amp;" RIR:"&amp;ROUND(SUGERENCIAS!M270,0),IF(SUGERENCIAS!N270="BAJAR","v BAJAR | Kg:"&amp;ROUND(SUGERENCIAS!K270,1)&amp;" R:"&amp;ROUND(SUGERENCIAS!L270,0)&amp;" RIR:"&amp;ROUND(SUGERENCIAS!M270,0),"= MANT | Kg:"&amp;ROUND(SUGERENCIAS!K270,1)&amp;" R:"&amp;ROUND(SUGERENCIAS!L270,0)&amp;" RIR:"&amp;ROUND(SUGERENCIAS!M270,0))))))</f>
        <v>Sin datos anteriores</v>
      </c>
      <c r="W101" s="69">
        <f>MAX(IF((G101&gt;0)*(IF(H101="",-1,H101)&gt;=1)*(IF(H101="",-1,H101)&lt;=3),IF(C101="peso_corporal",IF(ISNUMBER(E101),E101,0)+F101,F101)*G101*1000+F101,0),IF((J101&gt;0)*(IF(K101="",-1,K101)&gt;=1)*(IF(K101="",-1,K101)&lt;=3),IF(C101="peso_corporal",IF(ISNUMBER(E101),E101,0)+I101,I101)*J101*1000+I101,0),IF((M101&gt;0)*(IF(N101="",-1,N101)&gt;=1)*(IF(N101="",-1,N101)&lt;=3),IF(C101="peso_corporal",IF(ISNUMBER(E101),E101,0)+L101,L101)*M101*1000+L101,0),IF((P101&gt;0)*(IF(Q101="",-1,Q101)&gt;=1)*(IF(Q101="",-1,Q101)&lt;=3),IF(C101="peso_corporal",IF(ISNUMBER(E101),E101,0)+O101,O101)*P101*1000+O101,0),IF((S101&gt;0)*(IF(T101="",-1,T101)&gt;=1)*(IF(T101="",-1,T101)&lt;=3),IF(C101="peso_corporal",IF(ISNUMBER(E101),E101,0)+R101,R101)*S101*1000+R101,0))</f>
        <v>0</v>
      </c>
      <c r="X101" s="69">
        <f>IF(W101=0,0,IF(IF((S101&gt;0)*(IF(T101="",-1,T101)&gt;=1)*(IF(T101="",-1,T101)&lt;=3),IF(C101="peso_corporal",IF(ISNUMBER(E101),E101,0)+R101,R101)*S101*1000+R101,0)=W101,5,IF(IF((P101&gt;0)*(IF(Q101="",-1,Q101)&gt;=1)*(IF(Q101="",-1,Q101)&lt;=3),IF(C101="peso_corporal",IF(ISNUMBER(E101),E101,0)+O101,O101)*P101*1000+O101,0)=W101,4,IF(IF((M101&gt;0)*(IF(N101="",-1,N101)&gt;=1)*(IF(N101="",-1,N101)&lt;=3),IF(C101="peso_corporal",IF(ISNUMBER(E101),E101,0)+L101,L101)*M101*1000+L101,0)=W101,3,IF(IF((J101&gt;0)*(IF(K101="",-1,K101)&gt;=1)*(IF(K101="",-1,K101)&lt;=3),IF(C101="peso_corporal",IF(ISNUMBER(E101),E101,0)+I101,I101)*J101*1000+I101,0)=W101,2,IF(IF((G101&gt;0)*(IF(H101="",-1,H101)&gt;=1)*(IF(H101="",-1,H101)&lt;=3),IF(C101="peso_corporal",IF(ISNUMBER(E101),E101,0)+F101,F101)*G101*1000+F101,0)=W101,1,0))))))</f>
        <v>0</v>
      </c>
      <c r="Y101" s="69">
        <f>MAX(IF((G101&gt;0)*(IF(H101="",-1,H101)=0)*(1-(IF(H101="",-1,H101)&gt;=1)*(IF(H101="",-1,H101)&lt;=3)),IF(C101="peso_corporal",IF(ISNUMBER(E101),E101,0)+F101,F101)*G101*1000+F101,0),IF((J101&gt;0)*(IF(K101="",-1,K101)=0)*(1-(IF(K101="",-1,K101)&gt;=1)*(IF(K101="",-1,K101)&lt;=3)),IF(C101="peso_corporal",IF(ISNUMBER(E101),E101,0)+I101,I101)*J101*1000+I101,0),IF((M101&gt;0)*(IF(N101="",-1,N101)=0)*(1-(IF(N101="",-1,N101)&gt;=1)*(IF(N101="",-1,N101)&lt;=3)),IF(C101="peso_corporal",IF(ISNUMBER(E101),E101,0)+L101,L101)*M101*1000+L101,0),IF((P101&gt;0)*(IF(Q101="",-1,Q101)=0)*(1-(IF(Q101="",-1,Q101)&gt;=1)*(IF(Q101="",-1,Q101)&lt;=3)),IF(C101="peso_corporal",IF(ISNUMBER(E101),E101,0)+O101,O101)*P101*1000+O101,0),IF((S101&gt;0)*(IF(T101="",-1,T101)=0)*(1-(IF(T101="",-1,T101)&gt;=1)*(IF(T101="",-1,T101)&lt;=3)),IF(C101="peso_corporal",IF(ISNUMBER(E101),E101,0)+R101,R101)*S101*1000+R101,0))</f>
        <v>0</v>
      </c>
      <c r="Z101" s="69">
        <f>IF(Y101=0,0,IF(IF((S101&gt;0)*(IF(T101="",-1,T101)=0)*(1-(IF(T101="",-1,T101)&gt;=1)*(IF(T101="",-1,T101)&lt;=3)),IF(C101="peso_corporal",IF(ISNUMBER(E101),E101,0)+R101,R101)*S101*1000+R101,0)=Y101,5,IF(IF((P101&gt;0)*(IF(Q101="",-1,Q101)=0)*(1-(IF(Q101="",-1,Q101)&gt;=1)*(IF(Q101="",-1,Q101)&lt;=3)),IF(C101="peso_corporal",IF(ISNUMBER(E101),E101,0)+O101,O101)*P101*1000+O101,0)=Y101,4,IF(IF((M101&gt;0)*(IF(N101="",-1,N101)=0)*(1-(IF(N101="",-1,N101)&gt;=1)*(IF(N101="",-1,N101)&lt;=3)),IF(C101="peso_corporal",IF(ISNUMBER(E101),E101,0)+L101,L101)*M101*1000+L101,0)=Y101,3,IF(IF((J101&gt;0)*(IF(K101="",-1,K101)=0)*(1-(IF(K101="",-1,K101)&gt;=1)*(IF(K101="",-1,K101)&lt;=3)),IF(C101="peso_corporal",IF(ISNUMBER(E101),E101,0)+I101,I101)*J101*1000+I101,0)=Y101,2,IF(IF((G101&gt;0)*(IF(H101="",-1,H101)=0)*(1-(IF(H101="",-1,H101)&gt;=1)*(IF(H101="",-1,H101)&lt;=3)),IF(C101="peso_corporal",IF(ISNUMBER(E101),E101,0)+F101,F101)*G101*1000+F101,0)=Y101,1,0))))))</f>
        <v>0</v>
      </c>
      <c r="AA101" s="69">
        <f>MAX(IF((G101&gt;=6)*(1-(IF(H101="",-1,H101)&gt;=1)*(IF(H101="",-1,H101)&lt;=3))*(1-(IF(H101="",-1,H101)=0)),IF(C101="peso_corporal",IF(ISNUMBER(E101),E101,0)+F101,F101)*(30+G101)*100+F101,0),IF((J101&gt;=6)*(1-(IF(K101="",-1,K101)&gt;=1)*(IF(K101="",-1,K101)&lt;=3))*(1-(IF(K101="",-1,K101)=0)),IF(C101="peso_corporal",IF(ISNUMBER(E101),E101,0)+I101,I101)*(30+J101)*100+I101,0),IF((M101&gt;=6)*(1-(IF(N101="",-1,N101)&gt;=1)*(IF(N101="",-1,N101)&lt;=3))*(1-(IF(N101="",-1,N101)=0)),IF(C101="peso_corporal",IF(ISNUMBER(E101),E101,0)+L101,L101)*(30+M101)*100+L101,0),IF((P101&gt;=6)*(1-(IF(Q101="",-1,Q101)&gt;=1)*(IF(Q101="",-1,Q101)&lt;=3))*(1-(IF(Q101="",-1,Q101)=0)),IF(C101="peso_corporal",IF(ISNUMBER(E101),E101,0)+O101,O101)*(30+P101)*100+O101,0),IF((S101&gt;=6)*(1-(IF(T101="",-1,T101)&gt;=1)*(IF(T101="",-1,T101)&lt;=3))*(1-(IF(T101="",-1,T101)=0)),IF(C101="peso_corporal",IF(ISNUMBER(E101),E101,0)+R101,R101)*(30+S101)*100+R101,0))</f>
        <v>0</v>
      </c>
      <c r="AB101" s="69">
        <f>IF(AA101=0,0,IF(IF((S101&gt;=6)*(1-(IF(T101="",-1,T101)&gt;=1)*(IF(T101="",-1,T101)&lt;=3))*(1-(IF(T101="",-1,T101)=0)),IF(C101="peso_corporal",IF(ISNUMBER(E101),E101,0)+R101,R101)*(30+S101)*100+R101,0)=AA101,5,IF(IF((P101&gt;=6)*(1-(IF(Q101="",-1,Q101)&gt;=1)*(IF(Q101="",-1,Q101)&lt;=3))*(1-(IF(Q101="",-1,Q101)=0)),IF(C101="peso_corporal",IF(ISNUMBER(E101),E101,0)+O101,O101)*(30+P101)*100+O101,0)=AA101,4,IF(IF((M101&gt;=6)*(1-(IF(N101="",-1,N101)&gt;=1)*(IF(N101="",-1,N101)&lt;=3))*(1-(IF(N101="",-1,N101)=0)),IF(C101="peso_corporal",IF(ISNUMBER(E101),E101,0)+L101,L101)*(30+M101)*100+L101,0)=AA101,3,IF(IF((J101&gt;=6)*(1-(IF(K101="",-1,K101)&gt;=1)*(IF(K101="",-1,K101)&lt;=3))*(1-(IF(K101="",-1,K101)=0)),IF(C101="peso_corporal",IF(ISNUMBER(E101),E101,0)+I101,I101)*(30+J101)*100+I101,0)=AA101,2,IF(IF((G101&gt;=6)*(1-(IF(H101="",-1,H101)&gt;=1)*(IF(H101="",-1,H101)&lt;=3))*(1-(IF(H101="",-1,H101)=0)),IF(C101="peso_corporal",IF(ISNUMBER(E101),E101,0)+F101,F101)*(30+G101)*100+F101,0)=AA101,1,0))))))</f>
        <v>0</v>
      </c>
      <c r="AC101" s="69" t="str">
        <f>IF(X101&gt;0,"A"&amp;X101,IF(Z101&gt;0,"B"&amp;Z101,IF(AB101&gt;0,"C"&amp;AB101,"")))</f>
        <v/>
      </c>
    </row>
    <row r="102" spans="1:29" ht="15" customHeight="1">
      <c r="A102" s="81" t="s">
        <v>53</v>
      </c>
      <c r="B102" s="73"/>
      <c r="C102" s="73"/>
      <c r="D102" s="73"/>
      <c r="E102" s="73"/>
      <c r="F102" s="73"/>
      <c r="G102" s="73"/>
      <c r="H102" s="73"/>
      <c r="I102" s="73"/>
      <c r="J102" s="73"/>
      <c r="K102" s="73"/>
      <c r="L102" s="73"/>
      <c r="M102" s="73"/>
      <c r="N102" s="73"/>
      <c r="O102" s="73"/>
      <c r="P102" s="73"/>
      <c r="Q102" s="73"/>
      <c r="R102" s="73"/>
      <c r="S102" s="73"/>
      <c r="T102" s="73"/>
      <c r="U102" s="73"/>
      <c r="V102" s="73"/>
      <c r="W102" s="69"/>
      <c r="X102" s="69"/>
      <c r="Y102" s="69"/>
      <c r="Z102" s="69"/>
      <c r="AA102" s="69"/>
      <c r="AB102" s="69"/>
      <c r="AC102" s="69"/>
    </row>
    <row r="103" spans="1:29" ht="20.100000000000001" customHeight="1">
      <c r="A103" s="14" t="s">
        <v>54</v>
      </c>
      <c r="B103" s="15" t="s">
        <v>67</v>
      </c>
      <c r="C103" s="16" t="str">
        <f>IFERROR(INDEX(EJERCICIOS!$D$3:$D$75,MATCH(A103&amp;"|"&amp;B103,EJERCICIOS!$G$3:$G$75,0)),"--")</f>
        <v>mancuerna</v>
      </c>
      <c r="D103" s="17">
        <v>3</v>
      </c>
      <c r="E103" s="18">
        <f>IFERROR(LOOKUP(2,1/(MEDIDAS_Y_PESO!$B$3:$B$7&lt;&gt;""),MEDIDAS_Y_PESO!$B$3:$B$7),"--")</f>
        <v>80</v>
      </c>
      <c r="F103" s="19"/>
      <c r="G103" s="20"/>
      <c r="H103" s="21"/>
      <c r="I103" s="19"/>
      <c r="J103" s="20"/>
      <c r="K103" s="21"/>
      <c r="L103" s="19"/>
      <c r="M103" s="20"/>
      <c r="N103" s="21"/>
      <c r="O103" s="19"/>
      <c r="P103" s="20"/>
      <c r="Q103" s="21"/>
      <c r="R103" s="19"/>
      <c r="S103" s="20"/>
      <c r="T103" s="21"/>
      <c r="U103" s="22" t="str">
        <f>IFERROR(IF(IF(X103&gt;0,X103,IF(Z103&gt;0,Z103,IF(AB103&gt;0,AB103,0)))=0,"--",ROUND(CHOOSE(IF(X103&gt;0,X103,IF(Z103&gt;0,Z103,IF(AB103&gt;0,AB103,0))),IF(C103="peso_corporal",IF(ISNUMBER(E103),E103,0)+F103,F103)*(1+G103/30),IF(C103="peso_corporal",IF(ISNUMBER(E103),E103,0)+I103,I103)*(1+J103/30),IF(C103="peso_corporal",IF(ISNUMBER(E103),E103,0)+L103,L103)*(1+M103/30),IF(C103="peso_corporal",IF(ISNUMBER(E103),E103,0)+O103,O103)*(1+P103/30),IF(C103="peso_corporal",IF(ISNUMBER(E103),E103,0)+R103,R103)*(1+S103/30)),1)),"--")</f>
        <v>--</v>
      </c>
      <c r="V103" s="23" t="str">
        <f>IF(SUGERENCIAS!N271="SIN","Sin datos anteriores",IF(SUGERENCIAS!N271="SUBIR_F","^ SUBIR FUERTE | Kg:"&amp;ROUND(SUGERENCIAS!K271,1)&amp;" R:"&amp;ROUND(SUGERENCIAS!L271,0)&amp;" RIR:"&amp;ROUND(SUGERENCIAS!M271,0),IF(SUGERENCIAS!N271="SUBIR_E","^ SUBIR (Est.) | Kg:"&amp;ROUND(SUGERENCIAS!K271,1)&amp;" R:"&amp;ROUND(SUGERENCIAS!L271,0)&amp;" RIR:"&amp;ROUND(SUGERENCIAS!M271,0),IF(SUGERENCIAS!N271="SUBIR","^ SUBIR | Kg:"&amp;ROUND(SUGERENCIAS!K271,1)&amp;" R:"&amp;ROUND(SUGERENCIAS!L271,0)&amp;" RIR:"&amp;ROUND(SUGERENCIAS!M271,0),IF(SUGERENCIAS!N271="BAJAR","v BAJAR | Kg:"&amp;ROUND(SUGERENCIAS!K271,1)&amp;" R:"&amp;ROUND(SUGERENCIAS!L271,0)&amp;" RIR:"&amp;ROUND(SUGERENCIAS!M271,0),"= MANT | Kg:"&amp;ROUND(SUGERENCIAS!K271,1)&amp;" R:"&amp;ROUND(SUGERENCIAS!L271,0)&amp;" RIR:"&amp;ROUND(SUGERENCIAS!M271,0))))))</f>
        <v>Sin datos anteriores</v>
      </c>
      <c r="W103" s="69">
        <f>MAX(IF((G103&gt;0)*(IF(H103="",-1,H103)&gt;=1)*(IF(H103="",-1,H103)&lt;=3),IF(C103="peso_corporal",IF(ISNUMBER(E103),E103,0)+F103,F103)*G103*1000+F103,0),IF((J103&gt;0)*(IF(K103="",-1,K103)&gt;=1)*(IF(K103="",-1,K103)&lt;=3),IF(C103="peso_corporal",IF(ISNUMBER(E103),E103,0)+I103,I103)*J103*1000+I103,0),IF((M103&gt;0)*(IF(N103="",-1,N103)&gt;=1)*(IF(N103="",-1,N103)&lt;=3),IF(C103="peso_corporal",IF(ISNUMBER(E103),E103,0)+L103,L103)*M103*1000+L103,0),IF((P103&gt;0)*(IF(Q103="",-1,Q103)&gt;=1)*(IF(Q103="",-1,Q103)&lt;=3),IF(C103="peso_corporal",IF(ISNUMBER(E103),E103,0)+O103,O103)*P103*1000+O103,0),IF((S103&gt;0)*(IF(T103="",-1,T103)&gt;=1)*(IF(T103="",-1,T103)&lt;=3),IF(C103="peso_corporal",IF(ISNUMBER(E103),E103,0)+R103,R103)*S103*1000+R103,0))</f>
        <v>0</v>
      </c>
      <c r="X103" s="69">
        <f>IF(W103=0,0,IF(IF((S103&gt;0)*(IF(T103="",-1,T103)&gt;=1)*(IF(T103="",-1,T103)&lt;=3),IF(C103="peso_corporal",IF(ISNUMBER(E103),E103,0)+R103,R103)*S103*1000+R103,0)=W103,5,IF(IF((P103&gt;0)*(IF(Q103="",-1,Q103)&gt;=1)*(IF(Q103="",-1,Q103)&lt;=3),IF(C103="peso_corporal",IF(ISNUMBER(E103),E103,0)+O103,O103)*P103*1000+O103,0)=W103,4,IF(IF((M103&gt;0)*(IF(N103="",-1,N103)&gt;=1)*(IF(N103="",-1,N103)&lt;=3),IF(C103="peso_corporal",IF(ISNUMBER(E103),E103,0)+L103,L103)*M103*1000+L103,0)=W103,3,IF(IF((J103&gt;0)*(IF(K103="",-1,K103)&gt;=1)*(IF(K103="",-1,K103)&lt;=3),IF(C103="peso_corporal",IF(ISNUMBER(E103),E103,0)+I103,I103)*J103*1000+I103,0)=W103,2,IF(IF((G103&gt;0)*(IF(H103="",-1,H103)&gt;=1)*(IF(H103="",-1,H103)&lt;=3),IF(C103="peso_corporal",IF(ISNUMBER(E103),E103,0)+F103,F103)*G103*1000+F103,0)=W103,1,0))))))</f>
        <v>0</v>
      </c>
      <c r="Y103" s="69">
        <f>MAX(IF((G103&gt;0)*(IF(H103="",-1,H103)=0)*(1-(IF(H103="",-1,H103)&gt;=1)*(IF(H103="",-1,H103)&lt;=3)),IF(C103="peso_corporal",IF(ISNUMBER(E103),E103,0)+F103,F103)*G103*1000+F103,0),IF((J103&gt;0)*(IF(K103="",-1,K103)=0)*(1-(IF(K103="",-1,K103)&gt;=1)*(IF(K103="",-1,K103)&lt;=3)),IF(C103="peso_corporal",IF(ISNUMBER(E103),E103,0)+I103,I103)*J103*1000+I103,0),IF((M103&gt;0)*(IF(N103="",-1,N103)=0)*(1-(IF(N103="",-1,N103)&gt;=1)*(IF(N103="",-1,N103)&lt;=3)),IF(C103="peso_corporal",IF(ISNUMBER(E103),E103,0)+L103,L103)*M103*1000+L103,0),IF((P103&gt;0)*(IF(Q103="",-1,Q103)=0)*(1-(IF(Q103="",-1,Q103)&gt;=1)*(IF(Q103="",-1,Q103)&lt;=3)),IF(C103="peso_corporal",IF(ISNUMBER(E103),E103,0)+O103,O103)*P103*1000+O103,0),IF((S103&gt;0)*(IF(T103="",-1,T103)=0)*(1-(IF(T103="",-1,T103)&gt;=1)*(IF(T103="",-1,T103)&lt;=3)),IF(C103="peso_corporal",IF(ISNUMBER(E103),E103,0)+R103,R103)*S103*1000+R103,0))</f>
        <v>0</v>
      </c>
      <c r="Z103" s="69">
        <f>IF(Y103=0,0,IF(IF((S103&gt;0)*(IF(T103="",-1,T103)=0)*(1-(IF(T103="",-1,T103)&gt;=1)*(IF(T103="",-1,T103)&lt;=3)),IF(C103="peso_corporal",IF(ISNUMBER(E103),E103,0)+R103,R103)*S103*1000+R103,0)=Y103,5,IF(IF((P103&gt;0)*(IF(Q103="",-1,Q103)=0)*(1-(IF(Q103="",-1,Q103)&gt;=1)*(IF(Q103="",-1,Q103)&lt;=3)),IF(C103="peso_corporal",IF(ISNUMBER(E103),E103,0)+O103,O103)*P103*1000+O103,0)=Y103,4,IF(IF((M103&gt;0)*(IF(N103="",-1,N103)=0)*(1-(IF(N103="",-1,N103)&gt;=1)*(IF(N103="",-1,N103)&lt;=3)),IF(C103="peso_corporal",IF(ISNUMBER(E103),E103,0)+L103,L103)*M103*1000+L103,0)=Y103,3,IF(IF((J103&gt;0)*(IF(K103="",-1,K103)=0)*(1-(IF(K103="",-1,K103)&gt;=1)*(IF(K103="",-1,K103)&lt;=3)),IF(C103="peso_corporal",IF(ISNUMBER(E103),E103,0)+I103,I103)*J103*1000+I103,0)=Y103,2,IF(IF((G103&gt;0)*(IF(H103="",-1,H103)=0)*(1-(IF(H103="",-1,H103)&gt;=1)*(IF(H103="",-1,H103)&lt;=3)),IF(C103="peso_corporal",IF(ISNUMBER(E103),E103,0)+F103,F103)*G103*1000+F103,0)=Y103,1,0))))))</f>
        <v>0</v>
      </c>
      <c r="AA103" s="69">
        <f>MAX(IF((G103&gt;=6)*(1-(IF(H103="",-1,H103)&gt;=1)*(IF(H103="",-1,H103)&lt;=3))*(1-(IF(H103="",-1,H103)=0)),IF(C103="peso_corporal",IF(ISNUMBER(E103),E103,0)+F103,F103)*(30+G103)*100+F103,0),IF((J103&gt;=6)*(1-(IF(K103="",-1,K103)&gt;=1)*(IF(K103="",-1,K103)&lt;=3))*(1-(IF(K103="",-1,K103)=0)),IF(C103="peso_corporal",IF(ISNUMBER(E103),E103,0)+I103,I103)*(30+J103)*100+I103,0),IF((M103&gt;=6)*(1-(IF(N103="",-1,N103)&gt;=1)*(IF(N103="",-1,N103)&lt;=3))*(1-(IF(N103="",-1,N103)=0)),IF(C103="peso_corporal",IF(ISNUMBER(E103),E103,0)+L103,L103)*(30+M103)*100+L103,0),IF((P103&gt;=6)*(1-(IF(Q103="",-1,Q103)&gt;=1)*(IF(Q103="",-1,Q103)&lt;=3))*(1-(IF(Q103="",-1,Q103)=0)),IF(C103="peso_corporal",IF(ISNUMBER(E103),E103,0)+O103,O103)*(30+P103)*100+O103,0),IF((S103&gt;=6)*(1-(IF(T103="",-1,T103)&gt;=1)*(IF(T103="",-1,T103)&lt;=3))*(1-(IF(T103="",-1,T103)=0)),IF(C103="peso_corporal",IF(ISNUMBER(E103),E103,0)+R103,R103)*(30+S103)*100+R103,0))</f>
        <v>0</v>
      </c>
      <c r="AB103" s="69">
        <f>IF(AA103=0,0,IF(IF((S103&gt;=6)*(1-(IF(T103="",-1,T103)&gt;=1)*(IF(T103="",-1,T103)&lt;=3))*(1-(IF(T103="",-1,T103)=0)),IF(C103="peso_corporal",IF(ISNUMBER(E103),E103,0)+R103,R103)*(30+S103)*100+R103,0)=AA103,5,IF(IF((P103&gt;=6)*(1-(IF(Q103="",-1,Q103)&gt;=1)*(IF(Q103="",-1,Q103)&lt;=3))*(1-(IF(Q103="",-1,Q103)=0)),IF(C103="peso_corporal",IF(ISNUMBER(E103),E103,0)+O103,O103)*(30+P103)*100+O103,0)=AA103,4,IF(IF((M103&gt;=6)*(1-(IF(N103="",-1,N103)&gt;=1)*(IF(N103="",-1,N103)&lt;=3))*(1-(IF(N103="",-1,N103)=0)),IF(C103="peso_corporal",IF(ISNUMBER(E103),E103,0)+L103,L103)*(30+M103)*100+L103,0)=AA103,3,IF(IF((J103&gt;=6)*(1-(IF(K103="",-1,K103)&gt;=1)*(IF(K103="",-1,K103)&lt;=3))*(1-(IF(K103="",-1,K103)=0)),IF(C103="peso_corporal",IF(ISNUMBER(E103),E103,0)+I103,I103)*(30+J103)*100+I103,0)=AA103,2,IF(IF((G103&gt;=6)*(1-(IF(H103="",-1,H103)&gt;=1)*(IF(H103="",-1,H103)&lt;=3))*(1-(IF(H103="",-1,H103)=0)),IF(C103="peso_corporal",IF(ISNUMBER(E103),E103,0)+F103,F103)*(30+G103)*100+F103,0)=AA103,1,0))))))</f>
        <v>0</v>
      </c>
      <c r="AC103" s="69" t="str">
        <f>IF(X103&gt;0,"A"&amp;X103,IF(Z103&gt;0,"B"&amp;Z103,IF(AB103&gt;0,"C"&amp;AB103,"")))</f>
        <v/>
      </c>
    </row>
    <row r="104" spans="1:29" ht="20.100000000000001" customHeight="1">
      <c r="A104" s="14" t="s">
        <v>54</v>
      </c>
      <c r="B104" s="15" t="s">
        <v>98</v>
      </c>
      <c r="C104" s="16" t="str">
        <f>IFERROR(INDEX(EJERCICIOS!$D$3:$D$75,MATCH(A104&amp;"|"&amp;B104,EJERCICIOS!$G$3:$G$75,0)),"--")</f>
        <v>polea</v>
      </c>
      <c r="D104" s="17">
        <v>3</v>
      </c>
      <c r="E104" s="18">
        <f>IFERROR(LOOKUP(2,1/(MEDIDAS_Y_PESO!$B$3:$B$7&lt;&gt;""),MEDIDAS_Y_PESO!$B$3:$B$7),"--")</f>
        <v>80</v>
      </c>
      <c r="F104" s="19"/>
      <c r="G104" s="20"/>
      <c r="H104" s="21"/>
      <c r="I104" s="19"/>
      <c r="J104" s="20"/>
      <c r="K104" s="21"/>
      <c r="L104" s="19"/>
      <c r="M104" s="20"/>
      <c r="N104" s="21"/>
      <c r="O104" s="19"/>
      <c r="P104" s="20"/>
      <c r="Q104" s="21"/>
      <c r="R104" s="19"/>
      <c r="S104" s="20"/>
      <c r="T104" s="21"/>
      <c r="U104" s="22" t="str">
        <f>IFERROR(IF(IF(X104&gt;0,X104,IF(Z104&gt;0,Z104,IF(AB104&gt;0,AB104,0)))=0,"--",ROUND(CHOOSE(IF(X104&gt;0,X104,IF(Z104&gt;0,Z104,IF(AB104&gt;0,AB104,0))),IF(C104="peso_corporal",IF(ISNUMBER(E104),E104,0)+F104,F104)*(1+G104/30),IF(C104="peso_corporal",IF(ISNUMBER(E104),E104,0)+I104,I104)*(1+J104/30),IF(C104="peso_corporal",IF(ISNUMBER(E104),E104,0)+L104,L104)*(1+M104/30),IF(C104="peso_corporal",IF(ISNUMBER(E104),E104,0)+O104,O104)*(1+P104/30),IF(C104="peso_corporal",IF(ISNUMBER(E104),E104,0)+R104,R104)*(1+S104/30)),1)),"--")</f>
        <v>--</v>
      </c>
      <c r="V104" s="23" t="str">
        <f>IF(SUGERENCIAS!N272="SIN","Sin datos anteriores",IF(SUGERENCIAS!N272="SUBIR_F","^ SUBIR FUERTE | Kg:"&amp;ROUND(SUGERENCIAS!K272,1)&amp;" R:"&amp;ROUND(SUGERENCIAS!L272,0)&amp;" RIR:"&amp;ROUND(SUGERENCIAS!M272,0),IF(SUGERENCIAS!N272="SUBIR_E","^ SUBIR (Est.) | Kg:"&amp;ROUND(SUGERENCIAS!K272,1)&amp;" R:"&amp;ROUND(SUGERENCIAS!L272,0)&amp;" RIR:"&amp;ROUND(SUGERENCIAS!M272,0),IF(SUGERENCIAS!N272="SUBIR","^ SUBIR | Kg:"&amp;ROUND(SUGERENCIAS!K272,1)&amp;" R:"&amp;ROUND(SUGERENCIAS!L272,0)&amp;" RIR:"&amp;ROUND(SUGERENCIAS!M272,0),IF(SUGERENCIAS!N272="BAJAR","v BAJAR | Kg:"&amp;ROUND(SUGERENCIAS!K272,1)&amp;" R:"&amp;ROUND(SUGERENCIAS!L272,0)&amp;" RIR:"&amp;ROUND(SUGERENCIAS!M272,0),"= MANT | Kg:"&amp;ROUND(SUGERENCIAS!K272,1)&amp;" R:"&amp;ROUND(SUGERENCIAS!L272,0)&amp;" RIR:"&amp;ROUND(SUGERENCIAS!M272,0))))))</f>
        <v>Sin datos anteriores</v>
      </c>
      <c r="W104" s="69">
        <f>MAX(IF((G104&gt;0)*(IF(H104="",-1,H104)&gt;=1)*(IF(H104="",-1,H104)&lt;=3),IF(C104="peso_corporal",IF(ISNUMBER(E104),E104,0)+F104,F104)*G104*1000+F104,0),IF((J104&gt;0)*(IF(K104="",-1,K104)&gt;=1)*(IF(K104="",-1,K104)&lt;=3),IF(C104="peso_corporal",IF(ISNUMBER(E104),E104,0)+I104,I104)*J104*1000+I104,0),IF((M104&gt;0)*(IF(N104="",-1,N104)&gt;=1)*(IF(N104="",-1,N104)&lt;=3),IF(C104="peso_corporal",IF(ISNUMBER(E104),E104,0)+L104,L104)*M104*1000+L104,0),IF((P104&gt;0)*(IF(Q104="",-1,Q104)&gt;=1)*(IF(Q104="",-1,Q104)&lt;=3),IF(C104="peso_corporal",IF(ISNUMBER(E104),E104,0)+O104,O104)*P104*1000+O104,0),IF((S104&gt;0)*(IF(T104="",-1,T104)&gt;=1)*(IF(T104="",-1,T104)&lt;=3),IF(C104="peso_corporal",IF(ISNUMBER(E104),E104,0)+R104,R104)*S104*1000+R104,0))</f>
        <v>0</v>
      </c>
      <c r="X104" s="69">
        <f>IF(W104=0,0,IF(IF((S104&gt;0)*(IF(T104="",-1,T104)&gt;=1)*(IF(T104="",-1,T104)&lt;=3),IF(C104="peso_corporal",IF(ISNUMBER(E104),E104,0)+R104,R104)*S104*1000+R104,0)=W104,5,IF(IF((P104&gt;0)*(IF(Q104="",-1,Q104)&gt;=1)*(IF(Q104="",-1,Q104)&lt;=3),IF(C104="peso_corporal",IF(ISNUMBER(E104),E104,0)+O104,O104)*P104*1000+O104,0)=W104,4,IF(IF((M104&gt;0)*(IF(N104="",-1,N104)&gt;=1)*(IF(N104="",-1,N104)&lt;=3),IF(C104="peso_corporal",IF(ISNUMBER(E104),E104,0)+L104,L104)*M104*1000+L104,0)=W104,3,IF(IF((J104&gt;0)*(IF(K104="",-1,K104)&gt;=1)*(IF(K104="",-1,K104)&lt;=3),IF(C104="peso_corporal",IF(ISNUMBER(E104),E104,0)+I104,I104)*J104*1000+I104,0)=W104,2,IF(IF((G104&gt;0)*(IF(H104="",-1,H104)&gt;=1)*(IF(H104="",-1,H104)&lt;=3),IF(C104="peso_corporal",IF(ISNUMBER(E104),E104,0)+F104,F104)*G104*1000+F104,0)=W104,1,0))))))</f>
        <v>0</v>
      </c>
      <c r="Y104" s="69">
        <f>MAX(IF((G104&gt;0)*(IF(H104="",-1,H104)=0)*(1-(IF(H104="",-1,H104)&gt;=1)*(IF(H104="",-1,H104)&lt;=3)),IF(C104="peso_corporal",IF(ISNUMBER(E104),E104,0)+F104,F104)*G104*1000+F104,0),IF((J104&gt;0)*(IF(K104="",-1,K104)=0)*(1-(IF(K104="",-1,K104)&gt;=1)*(IF(K104="",-1,K104)&lt;=3)),IF(C104="peso_corporal",IF(ISNUMBER(E104),E104,0)+I104,I104)*J104*1000+I104,0),IF((M104&gt;0)*(IF(N104="",-1,N104)=0)*(1-(IF(N104="",-1,N104)&gt;=1)*(IF(N104="",-1,N104)&lt;=3)),IF(C104="peso_corporal",IF(ISNUMBER(E104),E104,0)+L104,L104)*M104*1000+L104,0),IF((P104&gt;0)*(IF(Q104="",-1,Q104)=0)*(1-(IF(Q104="",-1,Q104)&gt;=1)*(IF(Q104="",-1,Q104)&lt;=3)),IF(C104="peso_corporal",IF(ISNUMBER(E104),E104,0)+O104,O104)*P104*1000+O104,0),IF((S104&gt;0)*(IF(T104="",-1,T104)=0)*(1-(IF(T104="",-1,T104)&gt;=1)*(IF(T104="",-1,T104)&lt;=3)),IF(C104="peso_corporal",IF(ISNUMBER(E104),E104,0)+R104,R104)*S104*1000+R104,0))</f>
        <v>0</v>
      </c>
      <c r="Z104" s="69">
        <f>IF(Y104=0,0,IF(IF((S104&gt;0)*(IF(T104="",-1,T104)=0)*(1-(IF(T104="",-1,T104)&gt;=1)*(IF(T104="",-1,T104)&lt;=3)),IF(C104="peso_corporal",IF(ISNUMBER(E104),E104,0)+R104,R104)*S104*1000+R104,0)=Y104,5,IF(IF((P104&gt;0)*(IF(Q104="",-1,Q104)=0)*(1-(IF(Q104="",-1,Q104)&gt;=1)*(IF(Q104="",-1,Q104)&lt;=3)),IF(C104="peso_corporal",IF(ISNUMBER(E104),E104,0)+O104,O104)*P104*1000+O104,0)=Y104,4,IF(IF((M104&gt;0)*(IF(N104="",-1,N104)=0)*(1-(IF(N104="",-1,N104)&gt;=1)*(IF(N104="",-1,N104)&lt;=3)),IF(C104="peso_corporal",IF(ISNUMBER(E104),E104,0)+L104,L104)*M104*1000+L104,0)=Y104,3,IF(IF((J104&gt;0)*(IF(K104="",-1,K104)=0)*(1-(IF(K104="",-1,K104)&gt;=1)*(IF(K104="",-1,K104)&lt;=3)),IF(C104="peso_corporal",IF(ISNUMBER(E104),E104,0)+I104,I104)*J104*1000+I104,0)=Y104,2,IF(IF((G104&gt;0)*(IF(H104="",-1,H104)=0)*(1-(IF(H104="",-1,H104)&gt;=1)*(IF(H104="",-1,H104)&lt;=3)),IF(C104="peso_corporal",IF(ISNUMBER(E104),E104,0)+F104,F104)*G104*1000+F104,0)=Y104,1,0))))))</f>
        <v>0</v>
      </c>
      <c r="AA104" s="69">
        <f>MAX(IF((G104&gt;=6)*(1-(IF(H104="",-1,H104)&gt;=1)*(IF(H104="",-1,H104)&lt;=3))*(1-(IF(H104="",-1,H104)=0)),IF(C104="peso_corporal",IF(ISNUMBER(E104),E104,0)+F104,F104)*(30+G104)*100+F104,0),IF((J104&gt;=6)*(1-(IF(K104="",-1,K104)&gt;=1)*(IF(K104="",-1,K104)&lt;=3))*(1-(IF(K104="",-1,K104)=0)),IF(C104="peso_corporal",IF(ISNUMBER(E104),E104,0)+I104,I104)*(30+J104)*100+I104,0),IF((M104&gt;=6)*(1-(IF(N104="",-1,N104)&gt;=1)*(IF(N104="",-1,N104)&lt;=3))*(1-(IF(N104="",-1,N104)=0)),IF(C104="peso_corporal",IF(ISNUMBER(E104),E104,0)+L104,L104)*(30+M104)*100+L104,0),IF((P104&gt;=6)*(1-(IF(Q104="",-1,Q104)&gt;=1)*(IF(Q104="",-1,Q104)&lt;=3))*(1-(IF(Q104="",-1,Q104)=0)),IF(C104="peso_corporal",IF(ISNUMBER(E104),E104,0)+O104,O104)*(30+P104)*100+O104,0),IF((S104&gt;=6)*(1-(IF(T104="",-1,T104)&gt;=1)*(IF(T104="",-1,T104)&lt;=3))*(1-(IF(T104="",-1,T104)=0)),IF(C104="peso_corporal",IF(ISNUMBER(E104),E104,0)+R104,R104)*(30+S104)*100+R104,0))</f>
        <v>0</v>
      </c>
      <c r="AB104" s="69">
        <f>IF(AA104=0,0,IF(IF((S104&gt;=6)*(1-(IF(T104="",-1,T104)&gt;=1)*(IF(T104="",-1,T104)&lt;=3))*(1-(IF(T104="",-1,T104)=0)),IF(C104="peso_corporal",IF(ISNUMBER(E104),E104,0)+R104,R104)*(30+S104)*100+R104,0)=AA104,5,IF(IF((P104&gt;=6)*(1-(IF(Q104="",-1,Q104)&gt;=1)*(IF(Q104="",-1,Q104)&lt;=3))*(1-(IF(Q104="",-1,Q104)=0)),IF(C104="peso_corporal",IF(ISNUMBER(E104),E104,0)+O104,O104)*(30+P104)*100+O104,0)=AA104,4,IF(IF((M104&gt;=6)*(1-(IF(N104="",-1,N104)&gt;=1)*(IF(N104="",-1,N104)&lt;=3))*(1-(IF(N104="",-1,N104)=0)),IF(C104="peso_corporal",IF(ISNUMBER(E104),E104,0)+L104,L104)*(30+M104)*100+L104,0)=AA104,3,IF(IF((J104&gt;=6)*(1-(IF(K104="",-1,K104)&gt;=1)*(IF(K104="",-1,K104)&lt;=3))*(1-(IF(K104="",-1,K104)=0)),IF(C104="peso_corporal",IF(ISNUMBER(E104),E104,0)+I104,I104)*(30+J104)*100+I104,0)=AA104,2,IF(IF((G104&gt;=6)*(1-(IF(H104="",-1,H104)&gt;=1)*(IF(H104="",-1,H104)&lt;=3))*(1-(IF(H104="",-1,H104)=0)),IF(C104="peso_corporal",IF(ISNUMBER(E104),E104,0)+F104,F104)*(30+G104)*100+F104,0)=AA104,1,0))))))</f>
        <v>0</v>
      </c>
      <c r="AC104" s="69" t="str">
        <f>IF(X104&gt;0,"A"&amp;X104,IF(Z104&gt;0,"B"&amp;Z104,IF(AB104&gt;0,"C"&amp;AB104,"")))</f>
        <v/>
      </c>
    </row>
    <row r="105" spans="1:29" ht="15" customHeight="1">
      <c r="A105" s="83" t="s">
        <v>99</v>
      </c>
      <c r="B105" s="73"/>
      <c r="C105" s="73"/>
      <c r="D105" s="73"/>
      <c r="E105" s="73"/>
      <c r="F105" s="73"/>
      <c r="G105" s="73"/>
      <c r="H105" s="73"/>
      <c r="I105" s="73"/>
      <c r="J105" s="73"/>
      <c r="K105" s="73"/>
      <c r="L105" s="73"/>
      <c r="M105" s="73"/>
      <c r="N105" s="73"/>
      <c r="O105" s="73"/>
      <c r="P105" s="73"/>
      <c r="Q105" s="73"/>
      <c r="R105" s="73"/>
      <c r="S105" s="73"/>
      <c r="T105" s="73"/>
      <c r="U105" s="73"/>
      <c r="V105" s="73"/>
      <c r="W105" s="69"/>
      <c r="X105" s="69"/>
      <c r="Y105" s="69"/>
      <c r="Z105" s="69"/>
      <c r="AA105" s="69"/>
      <c r="AB105" s="69"/>
      <c r="AC105" s="69"/>
    </row>
    <row r="106" spans="1:29" ht="20.100000000000001" customHeight="1">
      <c r="A106" s="14" t="s">
        <v>100</v>
      </c>
      <c r="B106" s="15" t="s">
        <v>101</v>
      </c>
      <c r="C106" s="16" t="str">
        <f>IFERROR(INDEX(EJERCICIOS!$D$3:$D$75,MATCH(A106&amp;"|"&amp;B106,EJERCICIOS!$G$3:$G$75,0)),"--")</f>
        <v>mancuerna</v>
      </c>
      <c r="D106" s="17">
        <v>3</v>
      </c>
      <c r="E106" s="18">
        <f>IFERROR(LOOKUP(2,1/(MEDIDAS_Y_PESO!$B$3:$B$7&lt;&gt;""),MEDIDAS_Y_PESO!$B$3:$B$7),"--")</f>
        <v>80</v>
      </c>
      <c r="F106" s="19"/>
      <c r="G106" s="20"/>
      <c r="H106" s="21"/>
      <c r="I106" s="19"/>
      <c r="J106" s="20"/>
      <c r="K106" s="21"/>
      <c r="L106" s="19"/>
      <c r="M106" s="20"/>
      <c r="N106" s="21"/>
      <c r="O106" s="19"/>
      <c r="P106" s="20"/>
      <c r="Q106" s="21"/>
      <c r="R106" s="19"/>
      <c r="S106" s="20"/>
      <c r="T106" s="21"/>
      <c r="U106" s="22" t="str">
        <f>IFERROR(IF(IF(X106&gt;0,X106,IF(Z106&gt;0,Z106,IF(AB106&gt;0,AB106,0)))=0,"--",ROUND(CHOOSE(IF(X106&gt;0,X106,IF(Z106&gt;0,Z106,IF(AB106&gt;0,AB106,0))),IF(C106="peso_corporal",IF(ISNUMBER(E106),E106,0)+F106,F106)*(1+G106/30),IF(C106="peso_corporal",IF(ISNUMBER(E106),E106,0)+I106,I106)*(1+J106/30),IF(C106="peso_corporal",IF(ISNUMBER(E106),E106,0)+L106,L106)*(1+M106/30),IF(C106="peso_corporal",IF(ISNUMBER(E106),E106,0)+O106,O106)*(1+P106/30),IF(C106="peso_corporal",IF(ISNUMBER(E106),E106,0)+R106,R106)*(1+S106/30)),1)),"--")</f>
        <v>--</v>
      </c>
      <c r="V106" s="23" t="str">
        <f>IF(SUGERENCIAS!N273="SIN","Sin datos anteriores",IF(SUGERENCIAS!N273="SUBIR_F","^ SUBIR FUERTE | Kg:"&amp;ROUND(SUGERENCIAS!K273,1)&amp;" R:"&amp;ROUND(SUGERENCIAS!L273,0)&amp;" RIR:"&amp;ROUND(SUGERENCIAS!M273,0),IF(SUGERENCIAS!N273="SUBIR_E","^ SUBIR (Est.) | Kg:"&amp;ROUND(SUGERENCIAS!K273,1)&amp;" R:"&amp;ROUND(SUGERENCIAS!L273,0)&amp;" RIR:"&amp;ROUND(SUGERENCIAS!M273,0),IF(SUGERENCIAS!N273="SUBIR","^ SUBIR | Kg:"&amp;ROUND(SUGERENCIAS!K273,1)&amp;" R:"&amp;ROUND(SUGERENCIAS!L273,0)&amp;" RIR:"&amp;ROUND(SUGERENCIAS!M273,0),IF(SUGERENCIAS!N273="BAJAR","v BAJAR | Kg:"&amp;ROUND(SUGERENCIAS!K273,1)&amp;" R:"&amp;ROUND(SUGERENCIAS!L273,0)&amp;" RIR:"&amp;ROUND(SUGERENCIAS!M273,0),"= MANT | Kg:"&amp;ROUND(SUGERENCIAS!K273,1)&amp;" R:"&amp;ROUND(SUGERENCIAS!L273,0)&amp;" RIR:"&amp;ROUND(SUGERENCIAS!M273,0))))))</f>
        <v>Sin datos anteriores</v>
      </c>
      <c r="W106" s="69">
        <f>MAX(IF((G106&gt;0)*(IF(H106="",-1,H106)&gt;=1)*(IF(H106="",-1,H106)&lt;=3),IF(C106="peso_corporal",IF(ISNUMBER(E106),E106,0)+F106,F106)*G106*1000+F106,0),IF((J106&gt;0)*(IF(K106="",-1,K106)&gt;=1)*(IF(K106="",-1,K106)&lt;=3),IF(C106="peso_corporal",IF(ISNUMBER(E106),E106,0)+I106,I106)*J106*1000+I106,0),IF((M106&gt;0)*(IF(N106="",-1,N106)&gt;=1)*(IF(N106="",-1,N106)&lt;=3),IF(C106="peso_corporal",IF(ISNUMBER(E106),E106,0)+L106,L106)*M106*1000+L106,0),IF((P106&gt;0)*(IF(Q106="",-1,Q106)&gt;=1)*(IF(Q106="",-1,Q106)&lt;=3),IF(C106="peso_corporal",IF(ISNUMBER(E106),E106,0)+O106,O106)*P106*1000+O106,0),IF((S106&gt;0)*(IF(T106="",-1,T106)&gt;=1)*(IF(T106="",-1,T106)&lt;=3),IF(C106="peso_corporal",IF(ISNUMBER(E106),E106,0)+R106,R106)*S106*1000+R106,0))</f>
        <v>0</v>
      </c>
      <c r="X106" s="69">
        <f>IF(W106=0,0,IF(IF((S106&gt;0)*(IF(T106="",-1,T106)&gt;=1)*(IF(T106="",-1,T106)&lt;=3),IF(C106="peso_corporal",IF(ISNUMBER(E106),E106,0)+R106,R106)*S106*1000+R106,0)=W106,5,IF(IF((P106&gt;0)*(IF(Q106="",-1,Q106)&gt;=1)*(IF(Q106="",-1,Q106)&lt;=3),IF(C106="peso_corporal",IF(ISNUMBER(E106),E106,0)+O106,O106)*P106*1000+O106,0)=W106,4,IF(IF((M106&gt;0)*(IF(N106="",-1,N106)&gt;=1)*(IF(N106="",-1,N106)&lt;=3),IF(C106="peso_corporal",IF(ISNUMBER(E106),E106,0)+L106,L106)*M106*1000+L106,0)=W106,3,IF(IF((J106&gt;0)*(IF(K106="",-1,K106)&gt;=1)*(IF(K106="",-1,K106)&lt;=3),IF(C106="peso_corporal",IF(ISNUMBER(E106),E106,0)+I106,I106)*J106*1000+I106,0)=W106,2,IF(IF((G106&gt;0)*(IF(H106="",-1,H106)&gt;=1)*(IF(H106="",-1,H106)&lt;=3),IF(C106="peso_corporal",IF(ISNUMBER(E106),E106,0)+F106,F106)*G106*1000+F106,0)=W106,1,0))))))</f>
        <v>0</v>
      </c>
      <c r="Y106" s="69">
        <f>MAX(IF((G106&gt;0)*(IF(H106="",-1,H106)=0)*(1-(IF(H106="",-1,H106)&gt;=1)*(IF(H106="",-1,H106)&lt;=3)),IF(C106="peso_corporal",IF(ISNUMBER(E106),E106,0)+F106,F106)*G106*1000+F106,0),IF((J106&gt;0)*(IF(K106="",-1,K106)=0)*(1-(IF(K106="",-1,K106)&gt;=1)*(IF(K106="",-1,K106)&lt;=3)),IF(C106="peso_corporal",IF(ISNUMBER(E106),E106,0)+I106,I106)*J106*1000+I106,0),IF((M106&gt;0)*(IF(N106="",-1,N106)=0)*(1-(IF(N106="",-1,N106)&gt;=1)*(IF(N106="",-1,N106)&lt;=3)),IF(C106="peso_corporal",IF(ISNUMBER(E106),E106,0)+L106,L106)*M106*1000+L106,0),IF((P106&gt;0)*(IF(Q106="",-1,Q106)=0)*(1-(IF(Q106="",-1,Q106)&gt;=1)*(IF(Q106="",-1,Q106)&lt;=3)),IF(C106="peso_corporal",IF(ISNUMBER(E106),E106,0)+O106,O106)*P106*1000+O106,0),IF((S106&gt;0)*(IF(T106="",-1,T106)=0)*(1-(IF(T106="",-1,T106)&gt;=1)*(IF(T106="",-1,T106)&lt;=3)),IF(C106="peso_corporal",IF(ISNUMBER(E106),E106,0)+R106,R106)*S106*1000+R106,0))</f>
        <v>0</v>
      </c>
      <c r="Z106" s="69">
        <f>IF(Y106=0,0,IF(IF((S106&gt;0)*(IF(T106="",-1,T106)=0)*(1-(IF(T106="",-1,T106)&gt;=1)*(IF(T106="",-1,T106)&lt;=3)),IF(C106="peso_corporal",IF(ISNUMBER(E106),E106,0)+R106,R106)*S106*1000+R106,0)=Y106,5,IF(IF((P106&gt;0)*(IF(Q106="",-1,Q106)=0)*(1-(IF(Q106="",-1,Q106)&gt;=1)*(IF(Q106="",-1,Q106)&lt;=3)),IF(C106="peso_corporal",IF(ISNUMBER(E106),E106,0)+O106,O106)*P106*1000+O106,0)=Y106,4,IF(IF((M106&gt;0)*(IF(N106="",-1,N106)=0)*(1-(IF(N106="",-1,N106)&gt;=1)*(IF(N106="",-1,N106)&lt;=3)),IF(C106="peso_corporal",IF(ISNUMBER(E106),E106,0)+L106,L106)*M106*1000+L106,0)=Y106,3,IF(IF((J106&gt;0)*(IF(K106="",-1,K106)=0)*(1-(IF(K106="",-1,K106)&gt;=1)*(IF(K106="",-1,K106)&lt;=3)),IF(C106="peso_corporal",IF(ISNUMBER(E106),E106,0)+I106,I106)*J106*1000+I106,0)=Y106,2,IF(IF((G106&gt;0)*(IF(H106="",-1,H106)=0)*(1-(IF(H106="",-1,H106)&gt;=1)*(IF(H106="",-1,H106)&lt;=3)),IF(C106="peso_corporal",IF(ISNUMBER(E106),E106,0)+F106,F106)*G106*1000+F106,0)=Y106,1,0))))))</f>
        <v>0</v>
      </c>
      <c r="AA106" s="69">
        <f>MAX(IF((G106&gt;=6)*(1-(IF(H106="",-1,H106)&gt;=1)*(IF(H106="",-1,H106)&lt;=3))*(1-(IF(H106="",-1,H106)=0)),IF(C106="peso_corporal",IF(ISNUMBER(E106),E106,0)+F106,F106)*(30+G106)*100+F106,0),IF((J106&gt;=6)*(1-(IF(K106="",-1,K106)&gt;=1)*(IF(K106="",-1,K106)&lt;=3))*(1-(IF(K106="",-1,K106)=0)),IF(C106="peso_corporal",IF(ISNUMBER(E106),E106,0)+I106,I106)*(30+J106)*100+I106,0),IF((M106&gt;=6)*(1-(IF(N106="",-1,N106)&gt;=1)*(IF(N106="",-1,N106)&lt;=3))*(1-(IF(N106="",-1,N106)=0)),IF(C106="peso_corporal",IF(ISNUMBER(E106),E106,0)+L106,L106)*(30+M106)*100+L106,0),IF((P106&gt;=6)*(1-(IF(Q106="",-1,Q106)&gt;=1)*(IF(Q106="",-1,Q106)&lt;=3))*(1-(IF(Q106="",-1,Q106)=0)),IF(C106="peso_corporal",IF(ISNUMBER(E106),E106,0)+O106,O106)*(30+P106)*100+O106,0),IF((S106&gt;=6)*(1-(IF(T106="",-1,T106)&gt;=1)*(IF(T106="",-1,T106)&lt;=3))*(1-(IF(T106="",-1,T106)=0)),IF(C106="peso_corporal",IF(ISNUMBER(E106),E106,0)+R106,R106)*(30+S106)*100+R106,0))</f>
        <v>0</v>
      </c>
      <c r="AB106" s="69">
        <f>IF(AA106=0,0,IF(IF((S106&gt;=6)*(1-(IF(T106="",-1,T106)&gt;=1)*(IF(T106="",-1,T106)&lt;=3))*(1-(IF(T106="",-1,T106)=0)),IF(C106="peso_corporal",IF(ISNUMBER(E106),E106,0)+R106,R106)*(30+S106)*100+R106,0)=AA106,5,IF(IF((P106&gt;=6)*(1-(IF(Q106="",-1,Q106)&gt;=1)*(IF(Q106="",-1,Q106)&lt;=3))*(1-(IF(Q106="",-1,Q106)=0)),IF(C106="peso_corporal",IF(ISNUMBER(E106),E106,0)+O106,O106)*(30+P106)*100+O106,0)=AA106,4,IF(IF((M106&gt;=6)*(1-(IF(N106="",-1,N106)&gt;=1)*(IF(N106="",-1,N106)&lt;=3))*(1-(IF(N106="",-1,N106)=0)),IF(C106="peso_corporal",IF(ISNUMBER(E106),E106,0)+L106,L106)*(30+M106)*100+L106,0)=AA106,3,IF(IF((J106&gt;=6)*(1-(IF(K106="",-1,K106)&gt;=1)*(IF(K106="",-1,K106)&lt;=3))*(1-(IF(K106="",-1,K106)=0)),IF(C106="peso_corporal",IF(ISNUMBER(E106),E106,0)+I106,I106)*(30+J106)*100+I106,0)=AA106,2,IF(IF((G106&gt;=6)*(1-(IF(H106="",-1,H106)&gt;=1)*(IF(H106="",-1,H106)&lt;=3))*(1-(IF(H106="",-1,H106)=0)),IF(C106="peso_corporal",IF(ISNUMBER(E106),E106,0)+F106,F106)*(30+G106)*100+F106,0)=AA106,1,0))))))</f>
        <v>0</v>
      </c>
      <c r="AC106" s="69" t="str">
        <f>IF(X106&gt;0,"A"&amp;X106,IF(Z106&gt;0,"B"&amp;Z106,IF(AB106&gt;0,"C"&amp;AB106,"")))</f>
        <v/>
      </c>
    </row>
    <row r="107" spans="1:29" ht="20.100000000000001" customHeight="1">
      <c r="A107" s="14" t="s">
        <v>100</v>
      </c>
      <c r="B107" s="15" t="s">
        <v>102</v>
      </c>
      <c r="C107" s="16" t="str">
        <f>IFERROR(INDEX(EJERCICIOS!$D$3:$D$75,MATCH(A107&amp;"|"&amp;B107,EJERCICIOS!$G$3:$G$75,0)),"--")</f>
        <v>mancuerna</v>
      </c>
      <c r="D107" s="17">
        <v>3</v>
      </c>
      <c r="E107" s="18">
        <f>IFERROR(LOOKUP(2,1/(MEDIDAS_Y_PESO!$B$3:$B$7&lt;&gt;""),MEDIDAS_Y_PESO!$B$3:$B$7),"--")</f>
        <v>80</v>
      </c>
      <c r="F107" s="19"/>
      <c r="G107" s="20"/>
      <c r="H107" s="21"/>
      <c r="I107" s="19"/>
      <c r="J107" s="20"/>
      <c r="K107" s="21"/>
      <c r="L107" s="19"/>
      <c r="M107" s="20"/>
      <c r="N107" s="21"/>
      <c r="O107" s="19"/>
      <c r="P107" s="20"/>
      <c r="Q107" s="21"/>
      <c r="R107" s="19"/>
      <c r="S107" s="20"/>
      <c r="T107" s="21"/>
      <c r="U107" s="22" t="str">
        <f>IFERROR(IF(IF(X107&gt;0,X107,IF(Z107&gt;0,Z107,IF(AB107&gt;0,AB107,0)))=0,"--",ROUND(CHOOSE(IF(X107&gt;0,X107,IF(Z107&gt;0,Z107,IF(AB107&gt;0,AB107,0))),IF(C107="peso_corporal",IF(ISNUMBER(E107),E107,0)+F107,F107)*(1+G107/30),IF(C107="peso_corporal",IF(ISNUMBER(E107),E107,0)+I107,I107)*(1+J107/30),IF(C107="peso_corporal",IF(ISNUMBER(E107),E107,0)+L107,L107)*(1+M107/30),IF(C107="peso_corporal",IF(ISNUMBER(E107),E107,0)+O107,O107)*(1+P107/30),IF(C107="peso_corporal",IF(ISNUMBER(E107),E107,0)+R107,R107)*(1+S107/30)),1)),"--")</f>
        <v>--</v>
      </c>
      <c r="V107" s="23" t="str">
        <f>IF(SUGERENCIAS!N274="SIN","Sin datos anteriores",IF(SUGERENCIAS!N274="SUBIR_F","^ SUBIR FUERTE | Kg:"&amp;ROUND(SUGERENCIAS!K274,1)&amp;" R:"&amp;ROUND(SUGERENCIAS!L274,0)&amp;" RIR:"&amp;ROUND(SUGERENCIAS!M274,0),IF(SUGERENCIAS!N274="SUBIR_E","^ SUBIR (Est.) | Kg:"&amp;ROUND(SUGERENCIAS!K274,1)&amp;" R:"&amp;ROUND(SUGERENCIAS!L274,0)&amp;" RIR:"&amp;ROUND(SUGERENCIAS!M274,0),IF(SUGERENCIAS!N274="SUBIR","^ SUBIR | Kg:"&amp;ROUND(SUGERENCIAS!K274,1)&amp;" R:"&amp;ROUND(SUGERENCIAS!L274,0)&amp;" RIR:"&amp;ROUND(SUGERENCIAS!M274,0),IF(SUGERENCIAS!N274="BAJAR","v BAJAR | Kg:"&amp;ROUND(SUGERENCIAS!K274,1)&amp;" R:"&amp;ROUND(SUGERENCIAS!L274,0)&amp;" RIR:"&amp;ROUND(SUGERENCIAS!M274,0),"= MANT | Kg:"&amp;ROUND(SUGERENCIAS!K274,1)&amp;" R:"&amp;ROUND(SUGERENCIAS!L274,0)&amp;" RIR:"&amp;ROUND(SUGERENCIAS!M274,0))))))</f>
        <v>Sin datos anteriores</v>
      </c>
      <c r="W107" s="69">
        <f>MAX(IF((G107&gt;0)*(IF(H107="",-1,H107)&gt;=1)*(IF(H107="",-1,H107)&lt;=3),IF(C107="peso_corporal",IF(ISNUMBER(E107),E107,0)+F107,F107)*G107*1000+F107,0),IF((J107&gt;0)*(IF(K107="",-1,K107)&gt;=1)*(IF(K107="",-1,K107)&lt;=3),IF(C107="peso_corporal",IF(ISNUMBER(E107),E107,0)+I107,I107)*J107*1000+I107,0),IF((M107&gt;0)*(IF(N107="",-1,N107)&gt;=1)*(IF(N107="",-1,N107)&lt;=3),IF(C107="peso_corporal",IF(ISNUMBER(E107),E107,0)+L107,L107)*M107*1000+L107,0),IF((P107&gt;0)*(IF(Q107="",-1,Q107)&gt;=1)*(IF(Q107="",-1,Q107)&lt;=3),IF(C107="peso_corporal",IF(ISNUMBER(E107),E107,0)+O107,O107)*P107*1000+O107,0),IF((S107&gt;0)*(IF(T107="",-1,T107)&gt;=1)*(IF(T107="",-1,T107)&lt;=3),IF(C107="peso_corporal",IF(ISNUMBER(E107),E107,0)+R107,R107)*S107*1000+R107,0))</f>
        <v>0</v>
      </c>
      <c r="X107" s="69">
        <f>IF(W107=0,0,IF(IF((S107&gt;0)*(IF(T107="",-1,T107)&gt;=1)*(IF(T107="",-1,T107)&lt;=3),IF(C107="peso_corporal",IF(ISNUMBER(E107),E107,0)+R107,R107)*S107*1000+R107,0)=W107,5,IF(IF((P107&gt;0)*(IF(Q107="",-1,Q107)&gt;=1)*(IF(Q107="",-1,Q107)&lt;=3),IF(C107="peso_corporal",IF(ISNUMBER(E107),E107,0)+O107,O107)*P107*1000+O107,0)=W107,4,IF(IF((M107&gt;0)*(IF(N107="",-1,N107)&gt;=1)*(IF(N107="",-1,N107)&lt;=3),IF(C107="peso_corporal",IF(ISNUMBER(E107),E107,0)+L107,L107)*M107*1000+L107,0)=W107,3,IF(IF((J107&gt;0)*(IF(K107="",-1,K107)&gt;=1)*(IF(K107="",-1,K107)&lt;=3),IF(C107="peso_corporal",IF(ISNUMBER(E107),E107,0)+I107,I107)*J107*1000+I107,0)=W107,2,IF(IF((G107&gt;0)*(IF(H107="",-1,H107)&gt;=1)*(IF(H107="",-1,H107)&lt;=3),IF(C107="peso_corporal",IF(ISNUMBER(E107),E107,0)+F107,F107)*G107*1000+F107,0)=W107,1,0))))))</f>
        <v>0</v>
      </c>
      <c r="Y107" s="69">
        <f>MAX(IF((G107&gt;0)*(IF(H107="",-1,H107)=0)*(1-(IF(H107="",-1,H107)&gt;=1)*(IF(H107="",-1,H107)&lt;=3)),IF(C107="peso_corporal",IF(ISNUMBER(E107),E107,0)+F107,F107)*G107*1000+F107,0),IF((J107&gt;0)*(IF(K107="",-1,K107)=0)*(1-(IF(K107="",-1,K107)&gt;=1)*(IF(K107="",-1,K107)&lt;=3)),IF(C107="peso_corporal",IF(ISNUMBER(E107),E107,0)+I107,I107)*J107*1000+I107,0),IF((M107&gt;0)*(IF(N107="",-1,N107)=0)*(1-(IF(N107="",-1,N107)&gt;=1)*(IF(N107="",-1,N107)&lt;=3)),IF(C107="peso_corporal",IF(ISNUMBER(E107),E107,0)+L107,L107)*M107*1000+L107,0),IF((P107&gt;0)*(IF(Q107="",-1,Q107)=0)*(1-(IF(Q107="",-1,Q107)&gt;=1)*(IF(Q107="",-1,Q107)&lt;=3)),IF(C107="peso_corporal",IF(ISNUMBER(E107),E107,0)+O107,O107)*P107*1000+O107,0),IF((S107&gt;0)*(IF(T107="",-1,T107)=0)*(1-(IF(T107="",-1,T107)&gt;=1)*(IF(T107="",-1,T107)&lt;=3)),IF(C107="peso_corporal",IF(ISNUMBER(E107),E107,0)+R107,R107)*S107*1000+R107,0))</f>
        <v>0</v>
      </c>
      <c r="Z107" s="69">
        <f>IF(Y107=0,0,IF(IF((S107&gt;0)*(IF(T107="",-1,T107)=0)*(1-(IF(T107="",-1,T107)&gt;=1)*(IF(T107="",-1,T107)&lt;=3)),IF(C107="peso_corporal",IF(ISNUMBER(E107),E107,0)+R107,R107)*S107*1000+R107,0)=Y107,5,IF(IF((P107&gt;0)*(IF(Q107="",-1,Q107)=0)*(1-(IF(Q107="",-1,Q107)&gt;=1)*(IF(Q107="",-1,Q107)&lt;=3)),IF(C107="peso_corporal",IF(ISNUMBER(E107),E107,0)+O107,O107)*P107*1000+O107,0)=Y107,4,IF(IF((M107&gt;0)*(IF(N107="",-1,N107)=0)*(1-(IF(N107="",-1,N107)&gt;=1)*(IF(N107="",-1,N107)&lt;=3)),IF(C107="peso_corporal",IF(ISNUMBER(E107),E107,0)+L107,L107)*M107*1000+L107,0)=Y107,3,IF(IF((J107&gt;0)*(IF(K107="",-1,K107)=0)*(1-(IF(K107="",-1,K107)&gt;=1)*(IF(K107="",-1,K107)&lt;=3)),IF(C107="peso_corporal",IF(ISNUMBER(E107),E107,0)+I107,I107)*J107*1000+I107,0)=Y107,2,IF(IF((G107&gt;0)*(IF(H107="",-1,H107)=0)*(1-(IF(H107="",-1,H107)&gt;=1)*(IF(H107="",-1,H107)&lt;=3)),IF(C107="peso_corporal",IF(ISNUMBER(E107),E107,0)+F107,F107)*G107*1000+F107,0)=Y107,1,0))))))</f>
        <v>0</v>
      </c>
      <c r="AA107" s="69">
        <f>MAX(IF((G107&gt;=6)*(1-(IF(H107="",-1,H107)&gt;=1)*(IF(H107="",-1,H107)&lt;=3))*(1-(IF(H107="",-1,H107)=0)),IF(C107="peso_corporal",IF(ISNUMBER(E107),E107,0)+F107,F107)*(30+G107)*100+F107,0),IF((J107&gt;=6)*(1-(IF(K107="",-1,K107)&gt;=1)*(IF(K107="",-1,K107)&lt;=3))*(1-(IF(K107="",-1,K107)=0)),IF(C107="peso_corporal",IF(ISNUMBER(E107),E107,0)+I107,I107)*(30+J107)*100+I107,0),IF((M107&gt;=6)*(1-(IF(N107="",-1,N107)&gt;=1)*(IF(N107="",-1,N107)&lt;=3))*(1-(IF(N107="",-1,N107)=0)),IF(C107="peso_corporal",IF(ISNUMBER(E107),E107,0)+L107,L107)*(30+M107)*100+L107,0),IF((P107&gt;=6)*(1-(IF(Q107="",-1,Q107)&gt;=1)*(IF(Q107="",-1,Q107)&lt;=3))*(1-(IF(Q107="",-1,Q107)=0)),IF(C107="peso_corporal",IF(ISNUMBER(E107),E107,0)+O107,O107)*(30+P107)*100+O107,0),IF((S107&gt;=6)*(1-(IF(T107="",-1,T107)&gt;=1)*(IF(T107="",-1,T107)&lt;=3))*(1-(IF(T107="",-1,T107)=0)),IF(C107="peso_corporal",IF(ISNUMBER(E107),E107,0)+R107,R107)*(30+S107)*100+R107,0))</f>
        <v>0</v>
      </c>
      <c r="AB107" s="69">
        <f>IF(AA107=0,0,IF(IF((S107&gt;=6)*(1-(IF(T107="",-1,T107)&gt;=1)*(IF(T107="",-1,T107)&lt;=3))*(1-(IF(T107="",-1,T107)=0)),IF(C107="peso_corporal",IF(ISNUMBER(E107),E107,0)+R107,R107)*(30+S107)*100+R107,0)=AA107,5,IF(IF((P107&gt;=6)*(1-(IF(Q107="",-1,Q107)&gt;=1)*(IF(Q107="",-1,Q107)&lt;=3))*(1-(IF(Q107="",-1,Q107)=0)),IF(C107="peso_corporal",IF(ISNUMBER(E107),E107,0)+O107,O107)*(30+P107)*100+O107,0)=AA107,4,IF(IF((M107&gt;=6)*(1-(IF(N107="",-1,N107)&gt;=1)*(IF(N107="",-1,N107)&lt;=3))*(1-(IF(N107="",-1,N107)=0)),IF(C107="peso_corporal",IF(ISNUMBER(E107),E107,0)+L107,L107)*(30+M107)*100+L107,0)=AA107,3,IF(IF((J107&gt;=6)*(1-(IF(K107="",-1,K107)&gt;=1)*(IF(K107="",-1,K107)&lt;=3))*(1-(IF(K107="",-1,K107)=0)),IF(C107="peso_corporal",IF(ISNUMBER(E107),E107,0)+I107,I107)*(30+J107)*100+I107,0)=AA107,2,IF(IF((G107&gt;=6)*(1-(IF(H107="",-1,H107)&gt;=1)*(IF(H107="",-1,H107)&lt;=3))*(1-(IF(H107="",-1,H107)=0)),IF(C107="peso_corporal",IF(ISNUMBER(E107),E107,0)+F107,F107)*(30+G107)*100+F107,0)=AA107,1,0))))))</f>
        <v>0</v>
      </c>
      <c r="AC107" s="69" t="str">
        <f>IF(X107&gt;0,"A"&amp;X107,IF(Z107&gt;0,"B"&amp;Z107,IF(AB107&gt;0,"C"&amp;AB107,"")))</f>
        <v/>
      </c>
    </row>
    <row r="108" spans="1:29" ht="15" customHeight="1">
      <c r="A108" s="83" t="s">
        <v>103</v>
      </c>
      <c r="B108" s="73"/>
      <c r="C108" s="73"/>
      <c r="D108" s="73"/>
      <c r="E108" s="73"/>
      <c r="F108" s="73"/>
      <c r="G108" s="73"/>
      <c r="H108" s="73"/>
      <c r="I108" s="73"/>
      <c r="J108" s="73"/>
      <c r="K108" s="73"/>
      <c r="L108" s="73"/>
      <c r="M108" s="73"/>
      <c r="N108" s="73"/>
      <c r="O108" s="73"/>
      <c r="P108" s="73"/>
      <c r="Q108" s="73"/>
      <c r="R108" s="73"/>
      <c r="S108" s="73"/>
      <c r="T108" s="73"/>
      <c r="U108" s="73"/>
      <c r="V108" s="73"/>
      <c r="W108" s="69"/>
      <c r="X108" s="69"/>
      <c r="Y108" s="69"/>
      <c r="Z108" s="69"/>
      <c r="AA108" s="69"/>
      <c r="AB108" s="69"/>
      <c r="AC108" s="69"/>
    </row>
    <row r="109" spans="1:29" ht="20.100000000000001" customHeight="1">
      <c r="A109" s="14" t="s">
        <v>104</v>
      </c>
      <c r="B109" s="15" t="s">
        <v>105</v>
      </c>
      <c r="C109" s="16" t="str">
        <f>IFERROR(INDEX(EJERCICIOS!$D$3:$D$75,MATCH(A109&amp;"|"&amp;B109,EJERCICIOS!$G$3:$G$75,0)),"--")</f>
        <v>mancuerna</v>
      </c>
      <c r="D109" s="17">
        <v>3</v>
      </c>
      <c r="E109" s="18">
        <f>IFERROR(LOOKUP(2,1/(MEDIDAS_Y_PESO!$B$3:$B$7&lt;&gt;""),MEDIDAS_Y_PESO!$B$3:$B$7),"--")</f>
        <v>80</v>
      </c>
      <c r="F109" s="19"/>
      <c r="G109" s="20"/>
      <c r="H109" s="21"/>
      <c r="I109" s="19"/>
      <c r="J109" s="20"/>
      <c r="K109" s="21"/>
      <c r="L109" s="19"/>
      <c r="M109" s="20"/>
      <c r="N109" s="21"/>
      <c r="O109" s="19"/>
      <c r="P109" s="20"/>
      <c r="Q109" s="21"/>
      <c r="R109" s="19"/>
      <c r="S109" s="20"/>
      <c r="T109" s="21"/>
      <c r="U109" s="22" t="str">
        <f>IFERROR(IF(IF(X109&gt;0,X109,IF(Z109&gt;0,Z109,IF(AB109&gt;0,AB109,0)))=0,"--",ROUND(CHOOSE(IF(X109&gt;0,X109,IF(Z109&gt;0,Z109,IF(AB109&gt;0,AB109,0))),IF(C109="peso_corporal",IF(ISNUMBER(E109),E109,0)+F109,F109)*(1+G109/30),IF(C109="peso_corporal",IF(ISNUMBER(E109),E109,0)+I109,I109)*(1+J109/30),IF(C109="peso_corporal",IF(ISNUMBER(E109),E109,0)+L109,L109)*(1+M109/30),IF(C109="peso_corporal",IF(ISNUMBER(E109),E109,0)+O109,O109)*(1+P109/30),IF(C109="peso_corporal",IF(ISNUMBER(E109),E109,0)+R109,R109)*(1+S109/30)),1)),"--")</f>
        <v>--</v>
      </c>
      <c r="V109" s="23" t="str">
        <f>IF(SUGERENCIAS!N275="SIN","Sin datos anteriores",IF(SUGERENCIAS!N275="SUBIR_F","^ SUBIR FUERTE | Kg:"&amp;ROUND(SUGERENCIAS!K275,1)&amp;" R:"&amp;ROUND(SUGERENCIAS!L275,0)&amp;" RIR:"&amp;ROUND(SUGERENCIAS!M275,0),IF(SUGERENCIAS!N275="SUBIR_E","^ SUBIR (Est.) | Kg:"&amp;ROUND(SUGERENCIAS!K275,1)&amp;" R:"&amp;ROUND(SUGERENCIAS!L275,0)&amp;" RIR:"&amp;ROUND(SUGERENCIAS!M275,0),IF(SUGERENCIAS!N275="SUBIR","^ SUBIR | Kg:"&amp;ROUND(SUGERENCIAS!K275,1)&amp;" R:"&amp;ROUND(SUGERENCIAS!L275,0)&amp;" RIR:"&amp;ROUND(SUGERENCIAS!M275,0),IF(SUGERENCIAS!N275="BAJAR","v BAJAR | Kg:"&amp;ROUND(SUGERENCIAS!K275,1)&amp;" R:"&amp;ROUND(SUGERENCIAS!L275,0)&amp;" RIR:"&amp;ROUND(SUGERENCIAS!M275,0),"= MANT | Kg:"&amp;ROUND(SUGERENCIAS!K275,1)&amp;" R:"&amp;ROUND(SUGERENCIAS!L275,0)&amp;" RIR:"&amp;ROUND(SUGERENCIAS!M275,0))))))</f>
        <v>Sin datos anteriores</v>
      </c>
      <c r="W109" s="69">
        <f>MAX(IF((G109&gt;0)*(IF(H109="",-1,H109)&gt;=1)*(IF(H109="",-1,H109)&lt;=3),IF(C109="peso_corporal",IF(ISNUMBER(E109),E109,0)+F109,F109)*G109*1000+F109,0),IF((J109&gt;0)*(IF(K109="",-1,K109)&gt;=1)*(IF(K109="",-1,K109)&lt;=3),IF(C109="peso_corporal",IF(ISNUMBER(E109),E109,0)+I109,I109)*J109*1000+I109,0),IF((M109&gt;0)*(IF(N109="",-1,N109)&gt;=1)*(IF(N109="",-1,N109)&lt;=3),IF(C109="peso_corporal",IF(ISNUMBER(E109),E109,0)+L109,L109)*M109*1000+L109,0),IF((P109&gt;0)*(IF(Q109="",-1,Q109)&gt;=1)*(IF(Q109="",-1,Q109)&lt;=3),IF(C109="peso_corporal",IF(ISNUMBER(E109),E109,0)+O109,O109)*P109*1000+O109,0),IF((S109&gt;0)*(IF(T109="",-1,T109)&gt;=1)*(IF(T109="",-1,T109)&lt;=3),IF(C109="peso_corporal",IF(ISNUMBER(E109),E109,0)+R109,R109)*S109*1000+R109,0))</f>
        <v>0</v>
      </c>
      <c r="X109" s="69">
        <f>IF(W109=0,0,IF(IF((S109&gt;0)*(IF(T109="",-1,T109)&gt;=1)*(IF(T109="",-1,T109)&lt;=3),IF(C109="peso_corporal",IF(ISNUMBER(E109),E109,0)+R109,R109)*S109*1000+R109,0)=W109,5,IF(IF((P109&gt;0)*(IF(Q109="",-1,Q109)&gt;=1)*(IF(Q109="",-1,Q109)&lt;=3),IF(C109="peso_corporal",IF(ISNUMBER(E109),E109,0)+O109,O109)*P109*1000+O109,0)=W109,4,IF(IF((M109&gt;0)*(IF(N109="",-1,N109)&gt;=1)*(IF(N109="",-1,N109)&lt;=3),IF(C109="peso_corporal",IF(ISNUMBER(E109),E109,0)+L109,L109)*M109*1000+L109,0)=W109,3,IF(IF((J109&gt;0)*(IF(K109="",-1,K109)&gt;=1)*(IF(K109="",-1,K109)&lt;=3),IF(C109="peso_corporal",IF(ISNUMBER(E109),E109,0)+I109,I109)*J109*1000+I109,0)=W109,2,IF(IF((G109&gt;0)*(IF(H109="",-1,H109)&gt;=1)*(IF(H109="",-1,H109)&lt;=3),IF(C109="peso_corporal",IF(ISNUMBER(E109),E109,0)+F109,F109)*G109*1000+F109,0)=W109,1,0))))))</f>
        <v>0</v>
      </c>
      <c r="Y109" s="69">
        <f>MAX(IF((G109&gt;0)*(IF(H109="",-1,H109)=0)*(1-(IF(H109="",-1,H109)&gt;=1)*(IF(H109="",-1,H109)&lt;=3)),IF(C109="peso_corporal",IF(ISNUMBER(E109),E109,0)+F109,F109)*G109*1000+F109,0),IF((J109&gt;0)*(IF(K109="",-1,K109)=0)*(1-(IF(K109="",-1,K109)&gt;=1)*(IF(K109="",-1,K109)&lt;=3)),IF(C109="peso_corporal",IF(ISNUMBER(E109),E109,0)+I109,I109)*J109*1000+I109,0),IF((M109&gt;0)*(IF(N109="",-1,N109)=0)*(1-(IF(N109="",-1,N109)&gt;=1)*(IF(N109="",-1,N109)&lt;=3)),IF(C109="peso_corporal",IF(ISNUMBER(E109),E109,0)+L109,L109)*M109*1000+L109,0),IF((P109&gt;0)*(IF(Q109="",-1,Q109)=0)*(1-(IF(Q109="",-1,Q109)&gt;=1)*(IF(Q109="",-1,Q109)&lt;=3)),IF(C109="peso_corporal",IF(ISNUMBER(E109),E109,0)+O109,O109)*P109*1000+O109,0),IF((S109&gt;0)*(IF(T109="",-1,T109)=0)*(1-(IF(T109="",-1,T109)&gt;=1)*(IF(T109="",-1,T109)&lt;=3)),IF(C109="peso_corporal",IF(ISNUMBER(E109),E109,0)+R109,R109)*S109*1000+R109,0))</f>
        <v>0</v>
      </c>
      <c r="Z109" s="69">
        <f>IF(Y109=0,0,IF(IF((S109&gt;0)*(IF(T109="",-1,T109)=0)*(1-(IF(T109="",-1,T109)&gt;=1)*(IF(T109="",-1,T109)&lt;=3)),IF(C109="peso_corporal",IF(ISNUMBER(E109),E109,0)+R109,R109)*S109*1000+R109,0)=Y109,5,IF(IF((P109&gt;0)*(IF(Q109="",-1,Q109)=0)*(1-(IF(Q109="",-1,Q109)&gt;=1)*(IF(Q109="",-1,Q109)&lt;=3)),IF(C109="peso_corporal",IF(ISNUMBER(E109),E109,0)+O109,O109)*P109*1000+O109,0)=Y109,4,IF(IF((M109&gt;0)*(IF(N109="",-1,N109)=0)*(1-(IF(N109="",-1,N109)&gt;=1)*(IF(N109="",-1,N109)&lt;=3)),IF(C109="peso_corporal",IF(ISNUMBER(E109),E109,0)+L109,L109)*M109*1000+L109,0)=Y109,3,IF(IF((J109&gt;0)*(IF(K109="",-1,K109)=0)*(1-(IF(K109="",-1,K109)&gt;=1)*(IF(K109="",-1,K109)&lt;=3)),IF(C109="peso_corporal",IF(ISNUMBER(E109),E109,0)+I109,I109)*J109*1000+I109,0)=Y109,2,IF(IF((G109&gt;0)*(IF(H109="",-1,H109)=0)*(1-(IF(H109="",-1,H109)&gt;=1)*(IF(H109="",-1,H109)&lt;=3)),IF(C109="peso_corporal",IF(ISNUMBER(E109),E109,0)+F109,F109)*G109*1000+F109,0)=Y109,1,0))))))</f>
        <v>0</v>
      </c>
      <c r="AA109" s="69">
        <f>MAX(IF((G109&gt;=6)*(1-(IF(H109="",-1,H109)&gt;=1)*(IF(H109="",-1,H109)&lt;=3))*(1-(IF(H109="",-1,H109)=0)),IF(C109="peso_corporal",IF(ISNUMBER(E109),E109,0)+F109,F109)*(30+G109)*100+F109,0),IF((J109&gt;=6)*(1-(IF(K109="",-1,K109)&gt;=1)*(IF(K109="",-1,K109)&lt;=3))*(1-(IF(K109="",-1,K109)=0)),IF(C109="peso_corporal",IF(ISNUMBER(E109),E109,0)+I109,I109)*(30+J109)*100+I109,0),IF((M109&gt;=6)*(1-(IF(N109="",-1,N109)&gt;=1)*(IF(N109="",-1,N109)&lt;=3))*(1-(IF(N109="",-1,N109)=0)),IF(C109="peso_corporal",IF(ISNUMBER(E109),E109,0)+L109,L109)*(30+M109)*100+L109,0),IF((P109&gt;=6)*(1-(IF(Q109="",-1,Q109)&gt;=1)*(IF(Q109="",-1,Q109)&lt;=3))*(1-(IF(Q109="",-1,Q109)=0)),IF(C109="peso_corporal",IF(ISNUMBER(E109),E109,0)+O109,O109)*(30+P109)*100+O109,0),IF((S109&gt;=6)*(1-(IF(T109="",-1,T109)&gt;=1)*(IF(T109="",-1,T109)&lt;=3))*(1-(IF(T109="",-1,T109)=0)),IF(C109="peso_corporal",IF(ISNUMBER(E109),E109,0)+R109,R109)*(30+S109)*100+R109,0))</f>
        <v>0</v>
      </c>
      <c r="AB109" s="69">
        <f>IF(AA109=0,0,IF(IF((S109&gt;=6)*(1-(IF(T109="",-1,T109)&gt;=1)*(IF(T109="",-1,T109)&lt;=3))*(1-(IF(T109="",-1,T109)=0)),IF(C109="peso_corporal",IF(ISNUMBER(E109),E109,0)+R109,R109)*(30+S109)*100+R109,0)=AA109,5,IF(IF((P109&gt;=6)*(1-(IF(Q109="",-1,Q109)&gt;=1)*(IF(Q109="",-1,Q109)&lt;=3))*(1-(IF(Q109="",-1,Q109)=0)),IF(C109="peso_corporal",IF(ISNUMBER(E109),E109,0)+O109,O109)*(30+P109)*100+O109,0)=AA109,4,IF(IF((M109&gt;=6)*(1-(IF(N109="",-1,N109)&gt;=1)*(IF(N109="",-1,N109)&lt;=3))*(1-(IF(N109="",-1,N109)=0)),IF(C109="peso_corporal",IF(ISNUMBER(E109),E109,0)+L109,L109)*(30+M109)*100+L109,0)=AA109,3,IF(IF((J109&gt;=6)*(1-(IF(K109="",-1,K109)&gt;=1)*(IF(K109="",-1,K109)&lt;=3))*(1-(IF(K109="",-1,K109)=0)),IF(C109="peso_corporal",IF(ISNUMBER(E109),E109,0)+I109,I109)*(30+J109)*100+I109,0)=AA109,2,IF(IF((G109&gt;=6)*(1-(IF(H109="",-1,H109)&gt;=1)*(IF(H109="",-1,H109)&lt;=3))*(1-(IF(H109="",-1,H109)=0)),IF(C109="peso_corporal",IF(ISNUMBER(E109),E109,0)+F109,F109)*(30+G109)*100+F109,0)=AA109,1,0))))))</f>
        <v>0</v>
      </c>
      <c r="AC109" s="69" t="str">
        <f>IF(X109&gt;0,"A"&amp;X109,IF(Z109&gt;0,"B"&amp;Z109,IF(AB109&gt;0,"C"&amp;AB109,"")))</f>
        <v/>
      </c>
    </row>
    <row r="110" spans="1:29" ht="15" customHeight="1">
      <c r="A110" s="82" t="s">
        <v>47</v>
      </c>
      <c r="B110" s="73"/>
      <c r="C110" s="73"/>
      <c r="D110" s="73"/>
      <c r="E110" s="73"/>
      <c r="F110" s="73"/>
      <c r="G110" s="73"/>
      <c r="H110" s="73"/>
      <c r="I110" s="73"/>
      <c r="J110" s="73"/>
      <c r="K110" s="73"/>
      <c r="L110" s="73"/>
      <c r="M110" s="73"/>
      <c r="N110" s="73"/>
      <c r="O110" s="73"/>
      <c r="P110" s="73"/>
      <c r="Q110" s="73"/>
      <c r="R110" s="73"/>
      <c r="S110" s="73"/>
      <c r="T110" s="73"/>
      <c r="U110" s="73"/>
      <c r="V110" s="73"/>
      <c r="W110" s="69"/>
      <c r="X110" s="69"/>
      <c r="Y110" s="69"/>
      <c r="Z110" s="69"/>
      <c r="AA110" s="69"/>
      <c r="AB110" s="69"/>
      <c r="AC110" s="69"/>
    </row>
    <row r="111" spans="1:29" ht="20.100000000000001" customHeight="1">
      <c r="A111" s="14" t="s">
        <v>106</v>
      </c>
      <c r="B111" s="15" t="s">
        <v>107</v>
      </c>
      <c r="C111" s="16" t="str">
        <f>IFERROR(INDEX(EJERCICIOS!$D$3:$D$75,MATCH(A111&amp;"|"&amp;B111,EJERCICIOS!$G$3:$G$75,0)),"--")</f>
        <v>--</v>
      </c>
      <c r="D111" s="17">
        <v>3</v>
      </c>
      <c r="E111" s="18">
        <f>IFERROR(LOOKUP(2,1/(MEDIDAS_Y_PESO!$B$3:$B$7&lt;&gt;""),MEDIDAS_Y_PESO!$B$3:$B$7),"--")</f>
        <v>80</v>
      </c>
      <c r="F111" s="19"/>
      <c r="G111" s="20"/>
      <c r="H111" s="21"/>
      <c r="I111" s="19"/>
      <c r="J111" s="20"/>
      <c r="K111" s="21"/>
      <c r="L111" s="19"/>
      <c r="M111" s="20"/>
      <c r="N111" s="21"/>
      <c r="O111" s="19"/>
      <c r="P111" s="20"/>
      <c r="Q111" s="21"/>
      <c r="R111" s="19"/>
      <c r="S111" s="20"/>
      <c r="T111" s="21"/>
      <c r="U111" s="22" t="str">
        <f>IFERROR(IF(IF(X111&gt;0,X111,IF(Z111&gt;0,Z111,IF(AB111&gt;0,AB111,0)))=0,"--",ROUND(CHOOSE(IF(X111&gt;0,X111,IF(Z111&gt;0,Z111,IF(AB111&gt;0,AB111,0))),IF(C111="peso_corporal",IF(ISNUMBER(E111),E111,0)+F111,F111)*(1+G111/30),IF(C111="peso_corporal",IF(ISNUMBER(E111),E111,0)+I111,I111)*(1+J111/30),IF(C111="peso_corporal",IF(ISNUMBER(E111),E111,0)+L111,L111)*(1+M111/30),IF(C111="peso_corporal",IF(ISNUMBER(E111),E111,0)+O111,O111)*(1+P111/30),IF(C111="peso_corporal",IF(ISNUMBER(E111),E111,0)+R111,R111)*(1+S111/30)),1)),"--")</f>
        <v>--</v>
      </c>
      <c r="V111" s="23" t="str">
        <f>IF(SUGERENCIAS!N276="SIN","Sin datos anteriores",IF(SUGERENCIAS!N276="SUBIR_F","^ SUBIR FUERTE | Kg:"&amp;ROUND(SUGERENCIAS!K276,1)&amp;" R:"&amp;ROUND(SUGERENCIAS!L276,0)&amp;" RIR:"&amp;ROUND(SUGERENCIAS!M276,0),IF(SUGERENCIAS!N276="SUBIR_E","^ SUBIR (Est.) | Kg:"&amp;ROUND(SUGERENCIAS!K276,1)&amp;" R:"&amp;ROUND(SUGERENCIAS!L276,0)&amp;" RIR:"&amp;ROUND(SUGERENCIAS!M276,0),IF(SUGERENCIAS!N276="SUBIR","^ SUBIR | Kg:"&amp;ROUND(SUGERENCIAS!K276,1)&amp;" R:"&amp;ROUND(SUGERENCIAS!L276,0)&amp;" RIR:"&amp;ROUND(SUGERENCIAS!M276,0),IF(SUGERENCIAS!N276="BAJAR","v BAJAR | Kg:"&amp;ROUND(SUGERENCIAS!K276,1)&amp;" R:"&amp;ROUND(SUGERENCIAS!L276,0)&amp;" RIR:"&amp;ROUND(SUGERENCIAS!M276,0),"= MANT | Kg:"&amp;ROUND(SUGERENCIAS!K276,1)&amp;" R:"&amp;ROUND(SUGERENCIAS!L276,0)&amp;" RIR:"&amp;ROUND(SUGERENCIAS!M276,0))))))</f>
        <v>Sin datos anteriores</v>
      </c>
      <c r="W111" s="69">
        <f>MAX(IF((G111&gt;0)*(IF(H111="",-1,H111)&gt;=1)*(IF(H111="",-1,H111)&lt;=3),IF(C111="peso_corporal",IF(ISNUMBER(E111),E111,0)+F111,F111)*G111*1000+F111,0),IF((J111&gt;0)*(IF(K111="",-1,K111)&gt;=1)*(IF(K111="",-1,K111)&lt;=3),IF(C111="peso_corporal",IF(ISNUMBER(E111),E111,0)+I111,I111)*J111*1000+I111,0),IF((M111&gt;0)*(IF(N111="",-1,N111)&gt;=1)*(IF(N111="",-1,N111)&lt;=3),IF(C111="peso_corporal",IF(ISNUMBER(E111),E111,0)+L111,L111)*M111*1000+L111,0),IF((P111&gt;0)*(IF(Q111="",-1,Q111)&gt;=1)*(IF(Q111="",-1,Q111)&lt;=3),IF(C111="peso_corporal",IF(ISNUMBER(E111),E111,0)+O111,O111)*P111*1000+O111,0),IF((S111&gt;0)*(IF(T111="",-1,T111)&gt;=1)*(IF(T111="",-1,T111)&lt;=3),IF(C111="peso_corporal",IF(ISNUMBER(E111),E111,0)+R111,R111)*S111*1000+R111,0))</f>
        <v>0</v>
      </c>
      <c r="X111" s="69">
        <f>IF(W111=0,0,IF(IF((S111&gt;0)*(IF(T111="",-1,T111)&gt;=1)*(IF(T111="",-1,T111)&lt;=3),IF(C111="peso_corporal",IF(ISNUMBER(E111),E111,0)+R111,R111)*S111*1000+R111,0)=W111,5,IF(IF((P111&gt;0)*(IF(Q111="",-1,Q111)&gt;=1)*(IF(Q111="",-1,Q111)&lt;=3),IF(C111="peso_corporal",IF(ISNUMBER(E111),E111,0)+O111,O111)*P111*1000+O111,0)=W111,4,IF(IF((M111&gt;0)*(IF(N111="",-1,N111)&gt;=1)*(IF(N111="",-1,N111)&lt;=3),IF(C111="peso_corporal",IF(ISNUMBER(E111),E111,0)+L111,L111)*M111*1000+L111,0)=W111,3,IF(IF((J111&gt;0)*(IF(K111="",-1,K111)&gt;=1)*(IF(K111="",-1,K111)&lt;=3),IF(C111="peso_corporal",IF(ISNUMBER(E111),E111,0)+I111,I111)*J111*1000+I111,0)=W111,2,IF(IF((G111&gt;0)*(IF(H111="",-1,H111)&gt;=1)*(IF(H111="",-1,H111)&lt;=3),IF(C111="peso_corporal",IF(ISNUMBER(E111),E111,0)+F111,F111)*G111*1000+F111,0)=W111,1,0))))))</f>
        <v>0</v>
      </c>
      <c r="Y111" s="69">
        <f>MAX(IF((G111&gt;0)*(IF(H111="",-1,H111)=0)*(1-(IF(H111="",-1,H111)&gt;=1)*(IF(H111="",-1,H111)&lt;=3)),IF(C111="peso_corporal",IF(ISNUMBER(E111),E111,0)+F111,F111)*G111*1000+F111,0),IF((J111&gt;0)*(IF(K111="",-1,K111)=0)*(1-(IF(K111="",-1,K111)&gt;=1)*(IF(K111="",-1,K111)&lt;=3)),IF(C111="peso_corporal",IF(ISNUMBER(E111),E111,0)+I111,I111)*J111*1000+I111,0),IF((M111&gt;0)*(IF(N111="",-1,N111)=0)*(1-(IF(N111="",-1,N111)&gt;=1)*(IF(N111="",-1,N111)&lt;=3)),IF(C111="peso_corporal",IF(ISNUMBER(E111),E111,0)+L111,L111)*M111*1000+L111,0),IF((P111&gt;0)*(IF(Q111="",-1,Q111)=0)*(1-(IF(Q111="",-1,Q111)&gt;=1)*(IF(Q111="",-1,Q111)&lt;=3)),IF(C111="peso_corporal",IF(ISNUMBER(E111),E111,0)+O111,O111)*P111*1000+O111,0),IF((S111&gt;0)*(IF(T111="",-1,T111)=0)*(1-(IF(T111="",-1,T111)&gt;=1)*(IF(T111="",-1,T111)&lt;=3)),IF(C111="peso_corporal",IF(ISNUMBER(E111),E111,0)+R111,R111)*S111*1000+R111,0))</f>
        <v>0</v>
      </c>
      <c r="Z111" s="69">
        <f>IF(Y111=0,0,IF(IF((S111&gt;0)*(IF(T111="",-1,T111)=0)*(1-(IF(T111="",-1,T111)&gt;=1)*(IF(T111="",-1,T111)&lt;=3)),IF(C111="peso_corporal",IF(ISNUMBER(E111),E111,0)+R111,R111)*S111*1000+R111,0)=Y111,5,IF(IF((P111&gt;0)*(IF(Q111="",-1,Q111)=0)*(1-(IF(Q111="",-1,Q111)&gt;=1)*(IF(Q111="",-1,Q111)&lt;=3)),IF(C111="peso_corporal",IF(ISNUMBER(E111),E111,0)+O111,O111)*P111*1000+O111,0)=Y111,4,IF(IF((M111&gt;0)*(IF(N111="",-1,N111)=0)*(1-(IF(N111="",-1,N111)&gt;=1)*(IF(N111="",-1,N111)&lt;=3)),IF(C111="peso_corporal",IF(ISNUMBER(E111),E111,0)+L111,L111)*M111*1000+L111,0)=Y111,3,IF(IF((J111&gt;0)*(IF(K111="",-1,K111)=0)*(1-(IF(K111="",-1,K111)&gt;=1)*(IF(K111="",-1,K111)&lt;=3)),IF(C111="peso_corporal",IF(ISNUMBER(E111),E111,0)+I111,I111)*J111*1000+I111,0)=Y111,2,IF(IF((G111&gt;0)*(IF(H111="",-1,H111)=0)*(1-(IF(H111="",-1,H111)&gt;=1)*(IF(H111="",-1,H111)&lt;=3)),IF(C111="peso_corporal",IF(ISNUMBER(E111),E111,0)+F111,F111)*G111*1000+F111,0)=Y111,1,0))))))</f>
        <v>0</v>
      </c>
      <c r="AA111" s="69">
        <f>MAX(IF((G111&gt;=6)*(1-(IF(H111="",-1,H111)&gt;=1)*(IF(H111="",-1,H111)&lt;=3))*(1-(IF(H111="",-1,H111)=0)),IF(C111="peso_corporal",IF(ISNUMBER(E111),E111,0)+F111,F111)*(30+G111)*100+F111,0),IF((J111&gt;=6)*(1-(IF(K111="",-1,K111)&gt;=1)*(IF(K111="",-1,K111)&lt;=3))*(1-(IF(K111="",-1,K111)=0)),IF(C111="peso_corporal",IF(ISNUMBER(E111),E111,0)+I111,I111)*(30+J111)*100+I111,0),IF((M111&gt;=6)*(1-(IF(N111="",-1,N111)&gt;=1)*(IF(N111="",-1,N111)&lt;=3))*(1-(IF(N111="",-1,N111)=0)),IF(C111="peso_corporal",IF(ISNUMBER(E111),E111,0)+L111,L111)*(30+M111)*100+L111,0),IF((P111&gt;=6)*(1-(IF(Q111="",-1,Q111)&gt;=1)*(IF(Q111="",-1,Q111)&lt;=3))*(1-(IF(Q111="",-1,Q111)=0)),IF(C111="peso_corporal",IF(ISNUMBER(E111),E111,0)+O111,O111)*(30+P111)*100+O111,0),IF((S111&gt;=6)*(1-(IF(T111="",-1,T111)&gt;=1)*(IF(T111="",-1,T111)&lt;=3))*(1-(IF(T111="",-1,T111)=0)),IF(C111="peso_corporal",IF(ISNUMBER(E111),E111,0)+R111,R111)*(30+S111)*100+R111,0))</f>
        <v>0</v>
      </c>
      <c r="AB111" s="69">
        <f>IF(AA111=0,0,IF(IF((S111&gt;=6)*(1-(IF(T111="",-1,T111)&gt;=1)*(IF(T111="",-1,T111)&lt;=3))*(1-(IF(T111="",-1,T111)=0)),IF(C111="peso_corporal",IF(ISNUMBER(E111),E111,0)+R111,R111)*(30+S111)*100+R111,0)=AA111,5,IF(IF((P111&gt;=6)*(1-(IF(Q111="",-1,Q111)&gt;=1)*(IF(Q111="",-1,Q111)&lt;=3))*(1-(IF(Q111="",-1,Q111)=0)),IF(C111="peso_corporal",IF(ISNUMBER(E111),E111,0)+O111,O111)*(30+P111)*100+O111,0)=AA111,4,IF(IF((M111&gt;=6)*(1-(IF(N111="",-1,N111)&gt;=1)*(IF(N111="",-1,N111)&lt;=3))*(1-(IF(N111="",-1,N111)=0)),IF(C111="peso_corporal",IF(ISNUMBER(E111),E111,0)+L111,L111)*(30+M111)*100+L111,0)=AA111,3,IF(IF((J111&gt;=6)*(1-(IF(K111="",-1,K111)&gt;=1)*(IF(K111="",-1,K111)&lt;=3))*(1-(IF(K111="",-1,K111)=0)),IF(C111="peso_corporal",IF(ISNUMBER(E111),E111,0)+I111,I111)*(30+J111)*100+I111,0)=AA111,2,IF(IF((G111&gt;=6)*(1-(IF(H111="",-1,H111)&gt;=1)*(IF(H111="",-1,H111)&lt;=3))*(1-(IF(H111="",-1,H111)=0)),IF(C111="peso_corporal",IF(ISNUMBER(E111),E111,0)+F111,F111)*(30+G111)*100+F111,0)=AA111,1,0))))))</f>
        <v>0</v>
      </c>
      <c r="AC111" s="69" t="str">
        <f>IF(X111&gt;0,"A"&amp;X111,IF(Z111&gt;0,"B"&amp;Z111,IF(AB111&gt;0,"C"&amp;AB111,"")))</f>
        <v/>
      </c>
    </row>
    <row r="112" spans="1:29" ht="15" customHeight="1">
      <c r="A112" s="72" t="s">
        <v>56</v>
      </c>
      <c r="B112" s="73"/>
      <c r="C112" s="73"/>
      <c r="D112" s="73"/>
      <c r="E112" s="73"/>
      <c r="F112" s="73"/>
      <c r="G112" s="73"/>
      <c r="H112" s="73"/>
      <c r="I112" s="73"/>
      <c r="J112" s="73"/>
      <c r="K112" s="73"/>
      <c r="L112" s="73"/>
      <c r="M112" s="73"/>
      <c r="N112" s="73"/>
      <c r="O112" s="73"/>
      <c r="P112" s="73"/>
      <c r="Q112" s="73"/>
      <c r="R112" s="73"/>
      <c r="S112" s="73"/>
      <c r="T112" s="73"/>
      <c r="U112" s="73"/>
      <c r="V112" s="73"/>
      <c r="W112" s="69"/>
      <c r="X112" s="69"/>
      <c r="Y112" s="69"/>
      <c r="Z112" s="69"/>
      <c r="AA112" s="69"/>
      <c r="AB112" s="69"/>
      <c r="AC112" s="69"/>
    </row>
    <row r="113" spans="1:29" ht="20.100000000000001" customHeight="1">
      <c r="A113" s="14" t="s">
        <v>57</v>
      </c>
      <c r="B113" s="15" t="s">
        <v>58</v>
      </c>
      <c r="C113" s="16" t="str">
        <f>IFERROR(INDEX(EJERCICIOS!$D$3:$D$75,MATCH(A113&amp;"|"&amp;B113,EJERCICIOS!$G$3:$G$75,0)),"--")</f>
        <v>polea</v>
      </c>
      <c r="D113" s="17">
        <v>3</v>
      </c>
      <c r="E113" s="18">
        <f>IFERROR(LOOKUP(2,1/(MEDIDAS_Y_PESO!$B$3:$B$7&lt;&gt;""),MEDIDAS_Y_PESO!$B$3:$B$7),"--")</f>
        <v>80</v>
      </c>
      <c r="F113" s="19"/>
      <c r="G113" s="20"/>
      <c r="H113" s="21"/>
      <c r="I113" s="19"/>
      <c r="J113" s="20"/>
      <c r="K113" s="21"/>
      <c r="L113" s="19"/>
      <c r="M113" s="20"/>
      <c r="N113" s="21"/>
      <c r="O113" s="19"/>
      <c r="P113" s="20"/>
      <c r="Q113" s="21"/>
      <c r="R113" s="19"/>
      <c r="S113" s="20"/>
      <c r="T113" s="21"/>
      <c r="U113" s="22" t="str">
        <f>IFERROR(IF(IF(X113&gt;0,X113,IF(Z113&gt;0,Z113,IF(AB113&gt;0,AB113,0)))=0,"--",ROUND(CHOOSE(IF(X113&gt;0,X113,IF(Z113&gt;0,Z113,IF(AB113&gt;0,AB113,0))),IF(C113="peso_corporal",IF(ISNUMBER(E113),E113,0)+F113,F113)*(1+G113/30),IF(C113="peso_corporal",IF(ISNUMBER(E113),E113,0)+I113,I113)*(1+J113/30),IF(C113="peso_corporal",IF(ISNUMBER(E113),E113,0)+L113,L113)*(1+M113/30),IF(C113="peso_corporal",IF(ISNUMBER(E113),E113,0)+O113,O113)*(1+P113/30),IF(C113="peso_corporal",IF(ISNUMBER(E113),E113,0)+R113,R113)*(1+S113/30)),1)),"--")</f>
        <v>--</v>
      </c>
      <c r="V113" s="23" t="str">
        <f>IF(SUGERENCIAS!N277="SIN","Sin datos anteriores",IF(SUGERENCIAS!N277="SUBIR_F","^ SUBIR FUERTE | Kg:"&amp;ROUND(SUGERENCIAS!K277,1)&amp;" R:"&amp;ROUND(SUGERENCIAS!L277,0)&amp;" RIR:"&amp;ROUND(SUGERENCIAS!M277,0),IF(SUGERENCIAS!N277="SUBIR_E","^ SUBIR (Est.) | Kg:"&amp;ROUND(SUGERENCIAS!K277,1)&amp;" R:"&amp;ROUND(SUGERENCIAS!L277,0)&amp;" RIR:"&amp;ROUND(SUGERENCIAS!M277,0),IF(SUGERENCIAS!N277="SUBIR","^ SUBIR | Kg:"&amp;ROUND(SUGERENCIAS!K277,1)&amp;" R:"&amp;ROUND(SUGERENCIAS!L277,0)&amp;" RIR:"&amp;ROUND(SUGERENCIAS!M277,0),IF(SUGERENCIAS!N277="BAJAR","v BAJAR | Kg:"&amp;ROUND(SUGERENCIAS!K277,1)&amp;" R:"&amp;ROUND(SUGERENCIAS!L277,0)&amp;" RIR:"&amp;ROUND(SUGERENCIAS!M277,0),"= MANT | Kg:"&amp;ROUND(SUGERENCIAS!K277,1)&amp;" R:"&amp;ROUND(SUGERENCIAS!L277,0)&amp;" RIR:"&amp;ROUND(SUGERENCIAS!M277,0))))))</f>
        <v>Sin datos anteriores</v>
      </c>
      <c r="W113" s="69">
        <f>MAX(IF((G113&gt;0)*(IF(H113="",-1,H113)&gt;=1)*(IF(H113="",-1,H113)&lt;=3),IF(C113="peso_corporal",IF(ISNUMBER(E113),E113,0)+F113,F113)*G113*1000+F113,0),IF((J113&gt;0)*(IF(K113="",-1,K113)&gt;=1)*(IF(K113="",-1,K113)&lt;=3),IF(C113="peso_corporal",IF(ISNUMBER(E113),E113,0)+I113,I113)*J113*1000+I113,0),IF((M113&gt;0)*(IF(N113="",-1,N113)&gt;=1)*(IF(N113="",-1,N113)&lt;=3),IF(C113="peso_corporal",IF(ISNUMBER(E113),E113,0)+L113,L113)*M113*1000+L113,0),IF((P113&gt;0)*(IF(Q113="",-1,Q113)&gt;=1)*(IF(Q113="",-1,Q113)&lt;=3),IF(C113="peso_corporal",IF(ISNUMBER(E113),E113,0)+O113,O113)*P113*1000+O113,0),IF((S113&gt;0)*(IF(T113="",-1,T113)&gt;=1)*(IF(T113="",-1,T113)&lt;=3),IF(C113="peso_corporal",IF(ISNUMBER(E113),E113,0)+R113,R113)*S113*1000+R113,0))</f>
        <v>0</v>
      </c>
      <c r="X113" s="69">
        <f>IF(W113=0,0,IF(IF((S113&gt;0)*(IF(T113="",-1,T113)&gt;=1)*(IF(T113="",-1,T113)&lt;=3),IF(C113="peso_corporal",IF(ISNUMBER(E113),E113,0)+R113,R113)*S113*1000+R113,0)=W113,5,IF(IF((P113&gt;0)*(IF(Q113="",-1,Q113)&gt;=1)*(IF(Q113="",-1,Q113)&lt;=3),IF(C113="peso_corporal",IF(ISNUMBER(E113),E113,0)+O113,O113)*P113*1000+O113,0)=W113,4,IF(IF((M113&gt;0)*(IF(N113="",-1,N113)&gt;=1)*(IF(N113="",-1,N113)&lt;=3),IF(C113="peso_corporal",IF(ISNUMBER(E113),E113,0)+L113,L113)*M113*1000+L113,0)=W113,3,IF(IF((J113&gt;0)*(IF(K113="",-1,K113)&gt;=1)*(IF(K113="",-1,K113)&lt;=3),IF(C113="peso_corporal",IF(ISNUMBER(E113),E113,0)+I113,I113)*J113*1000+I113,0)=W113,2,IF(IF((G113&gt;0)*(IF(H113="",-1,H113)&gt;=1)*(IF(H113="",-1,H113)&lt;=3),IF(C113="peso_corporal",IF(ISNUMBER(E113),E113,0)+F113,F113)*G113*1000+F113,0)=W113,1,0))))))</f>
        <v>0</v>
      </c>
      <c r="Y113" s="69">
        <f>MAX(IF((G113&gt;0)*(IF(H113="",-1,H113)=0)*(1-(IF(H113="",-1,H113)&gt;=1)*(IF(H113="",-1,H113)&lt;=3)),IF(C113="peso_corporal",IF(ISNUMBER(E113),E113,0)+F113,F113)*G113*1000+F113,0),IF((J113&gt;0)*(IF(K113="",-1,K113)=0)*(1-(IF(K113="",-1,K113)&gt;=1)*(IF(K113="",-1,K113)&lt;=3)),IF(C113="peso_corporal",IF(ISNUMBER(E113),E113,0)+I113,I113)*J113*1000+I113,0),IF((M113&gt;0)*(IF(N113="",-1,N113)=0)*(1-(IF(N113="",-1,N113)&gt;=1)*(IF(N113="",-1,N113)&lt;=3)),IF(C113="peso_corporal",IF(ISNUMBER(E113),E113,0)+L113,L113)*M113*1000+L113,0),IF((P113&gt;0)*(IF(Q113="",-1,Q113)=0)*(1-(IF(Q113="",-1,Q113)&gt;=1)*(IF(Q113="",-1,Q113)&lt;=3)),IF(C113="peso_corporal",IF(ISNUMBER(E113),E113,0)+O113,O113)*P113*1000+O113,0),IF((S113&gt;0)*(IF(T113="",-1,T113)=0)*(1-(IF(T113="",-1,T113)&gt;=1)*(IF(T113="",-1,T113)&lt;=3)),IF(C113="peso_corporal",IF(ISNUMBER(E113),E113,0)+R113,R113)*S113*1000+R113,0))</f>
        <v>0</v>
      </c>
      <c r="Z113" s="69">
        <f>IF(Y113=0,0,IF(IF((S113&gt;0)*(IF(T113="",-1,T113)=0)*(1-(IF(T113="",-1,T113)&gt;=1)*(IF(T113="",-1,T113)&lt;=3)),IF(C113="peso_corporal",IF(ISNUMBER(E113),E113,0)+R113,R113)*S113*1000+R113,0)=Y113,5,IF(IF((P113&gt;0)*(IF(Q113="",-1,Q113)=0)*(1-(IF(Q113="",-1,Q113)&gt;=1)*(IF(Q113="",-1,Q113)&lt;=3)),IF(C113="peso_corporal",IF(ISNUMBER(E113),E113,0)+O113,O113)*P113*1000+O113,0)=Y113,4,IF(IF((M113&gt;0)*(IF(N113="",-1,N113)=0)*(1-(IF(N113="",-1,N113)&gt;=1)*(IF(N113="",-1,N113)&lt;=3)),IF(C113="peso_corporal",IF(ISNUMBER(E113),E113,0)+L113,L113)*M113*1000+L113,0)=Y113,3,IF(IF((J113&gt;0)*(IF(K113="",-1,K113)=0)*(1-(IF(K113="",-1,K113)&gt;=1)*(IF(K113="",-1,K113)&lt;=3)),IF(C113="peso_corporal",IF(ISNUMBER(E113),E113,0)+I113,I113)*J113*1000+I113,0)=Y113,2,IF(IF((G113&gt;0)*(IF(H113="",-1,H113)=0)*(1-(IF(H113="",-1,H113)&gt;=1)*(IF(H113="",-1,H113)&lt;=3)),IF(C113="peso_corporal",IF(ISNUMBER(E113),E113,0)+F113,F113)*G113*1000+F113,0)=Y113,1,0))))))</f>
        <v>0</v>
      </c>
      <c r="AA113" s="69">
        <f>MAX(IF((G113&gt;=6)*(1-(IF(H113="",-1,H113)&gt;=1)*(IF(H113="",-1,H113)&lt;=3))*(1-(IF(H113="",-1,H113)=0)),IF(C113="peso_corporal",IF(ISNUMBER(E113),E113,0)+F113,F113)*(30+G113)*100+F113,0),IF((J113&gt;=6)*(1-(IF(K113="",-1,K113)&gt;=1)*(IF(K113="",-1,K113)&lt;=3))*(1-(IF(K113="",-1,K113)=0)),IF(C113="peso_corporal",IF(ISNUMBER(E113),E113,0)+I113,I113)*(30+J113)*100+I113,0),IF((M113&gt;=6)*(1-(IF(N113="",-1,N113)&gt;=1)*(IF(N113="",-1,N113)&lt;=3))*(1-(IF(N113="",-1,N113)=0)),IF(C113="peso_corporal",IF(ISNUMBER(E113),E113,0)+L113,L113)*(30+M113)*100+L113,0),IF((P113&gt;=6)*(1-(IF(Q113="",-1,Q113)&gt;=1)*(IF(Q113="",-1,Q113)&lt;=3))*(1-(IF(Q113="",-1,Q113)=0)),IF(C113="peso_corporal",IF(ISNUMBER(E113),E113,0)+O113,O113)*(30+P113)*100+O113,0),IF((S113&gt;=6)*(1-(IF(T113="",-1,T113)&gt;=1)*(IF(T113="",-1,T113)&lt;=3))*(1-(IF(T113="",-1,T113)=0)),IF(C113="peso_corporal",IF(ISNUMBER(E113),E113,0)+R113,R113)*(30+S113)*100+R113,0))</f>
        <v>0</v>
      </c>
      <c r="AB113" s="69">
        <f>IF(AA113=0,0,IF(IF((S113&gt;=6)*(1-(IF(T113="",-1,T113)&gt;=1)*(IF(T113="",-1,T113)&lt;=3))*(1-(IF(T113="",-1,T113)=0)),IF(C113="peso_corporal",IF(ISNUMBER(E113),E113,0)+R113,R113)*(30+S113)*100+R113,0)=AA113,5,IF(IF((P113&gt;=6)*(1-(IF(Q113="",-1,Q113)&gt;=1)*(IF(Q113="",-1,Q113)&lt;=3))*(1-(IF(Q113="",-1,Q113)=0)),IF(C113="peso_corporal",IF(ISNUMBER(E113),E113,0)+O113,O113)*(30+P113)*100+O113,0)=AA113,4,IF(IF((M113&gt;=6)*(1-(IF(N113="",-1,N113)&gt;=1)*(IF(N113="",-1,N113)&lt;=3))*(1-(IF(N113="",-1,N113)=0)),IF(C113="peso_corporal",IF(ISNUMBER(E113),E113,0)+L113,L113)*(30+M113)*100+L113,0)=AA113,3,IF(IF((J113&gt;=6)*(1-(IF(K113="",-1,K113)&gt;=1)*(IF(K113="",-1,K113)&lt;=3))*(1-(IF(K113="",-1,K113)=0)),IF(C113="peso_corporal",IF(ISNUMBER(E113),E113,0)+I113,I113)*(30+J113)*100+I113,0)=AA113,2,IF(IF((G113&gt;=6)*(1-(IF(H113="",-1,H113)&gt;=1)*(IF(H113="",-1,H113)&lt;=3))*(1-(IF(H113="",-1,H113)=0)),IF(C113="peso_corporal",IF(ISNUMBER(E113),E113,0)+F113,F113)*(30+G113)*100+F113,0)=AA113,1,0))))))</f>
        <v>0</v>
      </c>
      <c r="AC113" s="69" t="str">
        <f>IF(X113&gt;0,"A"&amp;X113,IF(Z113&gt;0,"B"&amp;Z113,IF(AB113&gt;0,"C"&amp;AB113,"")))</f>
        <v/>
      </c>
    </row>
    <row r="114" spans="1:29" ht="6"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69"/>
      <c r="X114" s="69"/>
      <c r="Y114" s="69"/>
      <c r="Z114" s="69"/>
      <c r="AA114" s="69"/>
      <c r="AB114" s="69"/>
      <c r="AC114" s="69"/>
    </row>
    <row r="115" spans="1:29" ht="18" customHeight="1">
      <c r="A115" s="85" t="s">
        <v>71</v>
      </c>
      <c r="B115" s="73"/>
      <c r="C115" s="73"/>
      <c r="D115" s="73"/>
      <c r="E115" s="73"/>
      <c r="F115" s="73"/>
      <c r="G115" s="73"/>
      <c r="H115" s="73"/>
      <c r="I115" s="73"/>
      <c r="J115" s="73"/>
      <c r="K115" s="73"/>
      <c r="L115" s="73"/>
      <c r="M115" s="73"/>
      <c r="N115" s="73"/>
      <c r="O115" s="73"/>
      <c r="P115" s="73"/>
      <c r="Q115" s="73"/>
      <c r="R115" s="73"/>
      <c r="S115" s="73"/>
      <c r="T115" s="73"/>
      <c r="U115" s="73"/>
      <c r="V115" s="73"/>
      <c r="W115" s="69"/>
      <c r="X115" s="69"/>
      <c r="Y115" s="69"/>
      <c r="Z115" s="69"/>
      <c r="AA115" s="69"/>
      <c r="AB115" s="69"/>
      <c r="AC115" s="69"/>
    </row>
    <row r="116" spans="1:29" ht="15" customHeight="1">
      <c r="A116" s="75" t="s">
        <v>88</v>
      </c>
      <c r="B116" s="73"/>
      <c r="C116" s="73"/>
      <c r="D116" s="73"/>
      <c r="E116" s="73"/>
      <c r="F116" s="73"/>
      <c r="G116" s="73"/>
      <c r="H116" s="73"/>
      <c r="I116" s="73"/>
      <c r="J116" s="73"/>
      <c r="K116" s="73"/>
      <c r="L116" s="73"/>
      <c r="M116" s="73"/>
      <c r="N116" s="73"/>
      <c r="O116" s="73"/>
      <c r="P116" s="73"/>
      <c r="Q116" s="73"/>
      <c r="R116" s="73"/>
      <c r="S116" s="73"/>
      <c r="T116" s="73"/>
      <c r="U116" s="73"/>
      <c r="V116" s="73"/>
      <c r="W116" s="69"/>
      <c r="X116" s="69"/>
      <c r="Y116" s="69"/>
      <c r="Z116" s="69"/>
      <c r="AA116" s="69"/>
      <c r="AB116" s="69"/>
      <c r="AC116" s="69"/>
    </row>
    <row r="117" spans="1:29" ht="11.1" customHeight="1">
      <c r="A117" s="76" t="s">
        <v>89</v>
      </c>
      <c r="B117" s="73"/>
      <c r="C117" s="73"/>
      <c r="D117" s="73"/>
      <c r="E117" s="73"/>
      <c r="F117" s="73"/>
      <c r="G117" s="73"/>
      <c r="H117" s="73"/>
      <c r="I117" s="73"/>
      <c r="J117" s="73"/>
      <c r="K117" s="73"/>
      <c r="L117" s="73"/>
      <c r="M117" s="73"/>
      <c r="N117" s="73"/>
      <c r="O117" s="73"/>
      <c r="P117" s="73"/>
      <c r="Q117" s="73"/>
      <c r="R117" s="73"/>
      <c r="S117" s="73"/>
      <c r="T117" s="73"/>
      <c r="U117" s="73"/>
      <c r="V117" s="73"/>
      <c r="W117" s="69"/>
      <c r="X117" s="69"/>
      <c r="Y117" s="69"/>
      <c r="Z117" s="69"/>
      <c r="AA117" s="69"/>
      <c r="AB117" s="69"/>
      <c r="AC117" s="69"/>
    </row>
    <row r="118" spans="1:29" ht="20.100000000000001" customHeight="1">
      <c r="A118" s="14" t="s">
        <v>90</v>
      </c>
      <c r="B118" s="15" t="s">
        <v>91</v>
      </c>
      <c r="C118" s="16" t="str">
        <f>IFERROR(INDEX(EJERCICIOS!$D$3:$D$75,MATCH(A118&amp;"|"&amp;B118,EJERCICIOS!$G$3:$G$75,0)),"--")</f>
        <v>peso_corporal</v>
      </c>
      <c r="D118" s="17">
        <v>3</v>
      </c>
      <c r="E118" s="18">
        <f>IFERROR(LOOKUP(2,1/(MEDIDAS_Y_PESO!$B$3:$B$8&lt;&gt;""),MEDIDAS_Y_PESO!$B$3:$B$8),"--")</f>
        <v>80</v>
      </c>
      <c r="F118" s="19"/>
      <c r="G118" s="20"/>
      <c r="H118" s="21"/>
      <c r="I118" s="19"/>
      <c r="J118" s="20"/>
      <c r="K118" s="21"/>
      <c r="L118" s="19"/>
      <c r="M118" s="20"/>
      <c r="N118" s="21"/>
      <c r="O118" s="19"/>
      <c r="P118" s="20"/>
      <c r="Q118" s="21"/>
      <c r="R118" s="19"/>
      <c r="S118" s="20"/>
      <c r="T118" s="21"/>
      <c r="U118" s="22" t="str">
        <f>IFERROR(IF(IF(X118&gt;0,X118,IF(Z118&gt;0,Z118,IF(AB118&gt;0,AB118,0)))=0,"--",ROUND(CHOOSE(IF(X118&gt;0,X118,IF(Z118&gt;0,Z118,IF(AB118&gt;0,AB118,0))),IF(C118="peso_corporal",IF(ISNUMBER(E118),E118,0)+F118,F118)*(1+G118/30),IF(C118="peso_corporal",IF(ISNUMBER(E118),E118,0)+I118,I118)*(1+J118/30),IF(C118="peso_corporal",IF(ISNUMBER(E118),E118,0)+L118,L118)*(1+M118/30),IF(C118="peso_corporal",IF(ISNUMBER(E118),E118,0)+O118,O118)*(1+P118/30),IF(C118="peso_corporal",IF(ISNUMBER(E118),E118,0)+R118,R118)*(1+S118/30)),1)),"--")</f>
        <v>--</v>
      </c>
      <c r="V118" s="23" t="str">
        <f>IF(SUGERENCIAS!N330="SIN","Sin datos anteriores",IF(SUGERENCIAS!N330="SUBIR_F","^ SUBIR FUERTE | Kg:"&amp;ROUND(SUGERENCIAS!K330,1)&amp;" R:"&amp;ROUND(SUGERENCIAS!L330,0)&amp;" RIR:"&amp;ROUND(SUGERENCIAS!M330,0),IF(SUGERENCIAS!N330="SUBIR_E","^ SUBIR (Est.) | Kg:"&amp;ROUND(SUGERENCIAS!K330,1)&amp;" R:"&amp;ROUND(SUGERENCIAS!L330,0)&amp;" RIR:"&amp;ROUND(SUGERENCIAS!M330,0),IF(SUGERENCIAS!N330="SUBIR","^ SUBIR | Kg:"&amp;ROUND(SUGERENCIAS!K330,1)&amp;" R:"&amp;ROUND(SUGERENCIAS!L330,0)&amp;" RIR:"&amp;ROUND(SUGERENCIAS!M330,0),IF(SUGERENCIAS!N330="BAJAR","v BAJAR | Kg:"&amp;ROUND(SUGERENCIAS!K330,1)&amp;" R:"&amp;ROUND(SUGERENCIAS!L330,0)&amp;" RIR:"&amp;ROUND(SUGERENCIAS!M330,0),"= MANT | Kg:"&amp;ROUND(SUGERENCIAS!K330,1)&amp;" R:"&amp;ROUND(SUGERENCIAS!L330,0)&amp;" RIR:"&amp;ROUND(SUGERENCIAS!M330,0))))))</f>
        <v>Sin datos anteriores</v>
      </c>
      <c r="W118" s="69">
        <f>MAX(IF((G118&gt;0)*(IF(H118="",-1,H118)&gt;=0)*(IF(H118="",-1,H118)&lt;=1),IF(C118="peso_corporal",IF(ISNUMBER(E118),E118,0)+F118,F118)*G118*1000+F118,0),IF((J118&gt;0)*(IF(K118="",-1,K118)&gt;=0)*(IF(K118="",-1,K118)&lt;=1),IF(C118="peso_corporal",IF(ISNUMBER(E118),E118,0)+I118,I118)*J118*1000+I118,0),IF((M118&gt;0)*(IF(N118="",-1,N118)&gt;=0)*(IF(N118="",-1,N118)&lt;=1),IF(C118="peso_corporal",IF(ISNUMBER(E118),E118,0)+L118,L118)*M118*1000+L118,0),IF((P118&gt;0)*(IF(Q118="",-1,Q118)&gt;=0)*(IF(Q118="",-1,Q118)&lt;=1),IF(C118="peso_corporal",IF(ISNUMBER(E118),E118,0)+O118,O118)*P118*1000+O118,0),IF((S118&gt;0)*(IF(T118="",-1,T118)&gt;=0)*(IF(T118="",-1,T118)&lt;=1),IF(C118="peso_corporal",IF(ISNUMBER(E118),E118,0)+R118,R118)*S118*1000+R118,0))</f>
        <v>0</v>
      </c>
      <c r="X118" s="69">
        <f>IF(W118=0,0,IF(IF((S118&gt;0)*(IF(T118="",-1,T118)&gt;=0)*(IF(T118="",-1,T118)&lt;=1),IF(C118="peso_corporal",IF(ISNUMBER(E118),E118,0)+R118,R118)*S118*1000+R118,0)=W118,5,IF(IF((P118&gt;0)*(IF(Q118="",-1,Q118)&gt;=0)*(IF(Q118="",-1,Q118)&lt;=1),IF(C118="peso_corporal",IF(ISNUMBER(E118),E118,0)+O118,O118)*P118*1000+O118,0)=W118,4,IF(IF((M118&gt;0)*(IF(N118="",-1,N118)&gt;=0)*(IF(N118="",-1,N118)&lt;=1),IF(C118="peso_corporal",IF(ISNUMBER(E118),E118,0)+L118,L118)*M118*1000+L118,0)=W118,3,IF(IF((J118&gt;0)*(IF(K118="",-1,K118)&gt;=0)*(IF(K118="",-1,K118)&lt;=1),IF(C118="peso_corporal",IF(ISNUMBER(E118),E118,0)+I118,I118)*J118*1000+I118,0)=W118,2,IF(IF((G118&gt;0)*(IF(H118="",-1,H118)&gt;=0)*(IF(H118="",-1,H118)&lt;=1),IF(C118="peso_corporal",IF(ISNUMBER(E118),E118,0)+F118,F118)*G118*1000+F118,0)=W118,1,0))))))</f>
        <v>0</v>
      </c>
      <c r="Y118" s="69">
        <f>MAX(IF((G118&gt;0)*(IF(H118="",-1,H118)=0)*(1-(IF(H118="",-1,H118)&gt;=0)*(IF(H118="",-1,H118)&lt;=1)),IF(C118="peso_corporal",IF(ISNUMBER(E118),E118,0)+F118,F118)*G118*1000+F118,0),IF((J118&gt;0)*(IF(K118="",-1,K118)=0)*(1-(IF(K118="",-1,K118)&gt;=0)*(IF(K118="",-1,K118)&lt;=1)),IF(C118="peso_corporal",IF(ISNUMBER(E118),E118,0)+I118,I118)*J118*1000+I118,0),IF((M118&gt;0)*(IF(N118="",-1,N118)=0)*(1-(IF(N118="",-1,N118)&gt;=0)*(IF(N118="",-1,N118)&lt;=1)),IF(C118="peso_corporal",IF(ISNUMBER(E118),E118,0)+L118,L118)*M118*1000+L118,0),IF((P118&gt;0)*(IF(Q118="",-1,Q118)=0)*(1-(IF(Q118="",-1,Q118)&gt;=0)*(IF(Q118="",-1,Q118)&lt;=1)),IF(C118="peso_corporal",IF(ISNUMBER(E118),E118,0)+O118,O118)*P118*1000+O118,0),IF((S118&gt;0)*(IF(T118="",-1,T118)=0)*(1-(IF(T118="",-1,T118)&gt;=0)*(IF(T118="",-1,T118)&lt;=1)),IF(C118="peso_corporal",IF(ISNUMBER(E118),E118,0)+R118,R118)*S118*1000+R118,0))</f>
        <v>0</v>
      </c>
      <c r="Z118" s="69">
        <f>IF(Y118=0,0,IF(IF((S118&gt;0)*(IF(T118="",-1,T118)=0)*(1-(IF(T118="",-1,T118)&gt;=0)*(IF(T118="",-1,T118)&lt;=1)),IF(C118="peso_corporal",IF(ISNUMBER(E118),E118,0)+R118,R118)*S118*1000+R118,0)=Y118,5,IF(IF((P118&gt;0)*(IF(Q118="",-1,Q118)=0)*(1-(IF(Q118="",-1,Q118)&gt;=0)*(IF(Q118="",-1,Q118)&lt;=1)),IF(C118="peso_corporal",IF(ISNUMBER(E118),E118,0)+O118,O118)*P118*1000+O118,0)=Y118,4,IF(IF((M118&gt;0)*(IF(N118="",-1,N118)=0)*(1-(IF(N118="",-1,N118)&gt;=0)*(IF(N118="",-1,N118)&lt;=1)),IF(C118="peso_corporal",IF(ISNUMBER(E118),E118,0)+L118,L118)*M118*1000+L118,0)=Y118,3,IF(IF((J118&gt;0)*(IF(K118="",-1,K118)=0)*(1-(IF(K118="",-1,K118)&gt;=0)*(IF(K118="",-1,K118)&lt;=1)),IF(C118="peso_corporal",IF(ISNUMBER(E118),E118,0)+I118,I118)*J118*1000+I118,0)=Y118,2,IF(IF((G118&gt;0)*(IF(H118="",-1,H118)=0)*(1-(IF(H118="",-1,H118)&gt;=0)*(IF(H118="",-1,H118)&lt;=1)),IF(C118="peso_corporal",IF(ISNUMBER(E118),E118,0)+F118,F118)*G118*1000+F118,0)=Y118,1,0))))))</f>
        <v>0</v>
      </c>
      <c r="AA118" s="69">
        <f>MAX(IF((G118&gt;=3)*(1-(IF(H118="",-1,H118)&gt;=0)*(IF(H118="",-1,H118)&lt;=1))*(1-(IF(H118="",-1,H118)=0)),IF(C118="peso_corporal",IF(ISNUMBER(E118),E118,0)+F118,F118)*(30+G118)*100+F118,0),IF((J118&gt;=3)*(1-(IF(K118="",-1,K118)&gt;=0)*(IF(K118="",-1,K118)&lt;=1))*(1-(IF(K118="",-1,K118)=0)),IF(C118="peso_corporal",IF(ISNUMBER(E118),E118,0)+I118,I118)*(30+J118)*100+I118,0),IF((M118&gt;=3)*(1-(IF(N118="",-1,N118)&gt;=0)*(IF(N118="",-1,N118)&lt;=1))*(1-(IF(N118="",-1,N118)=0)),IF(C118="peso_corporal",IF(ISNUMBER(E118),E118,0)+L118,L118)*(30+M118)*100+L118,0),IF((P118&gt;=3)*(1-(IF(Q118="",-1,Q118)&gt;=0)*(IF(Q118="",-1,Q118)&lt;=1))*(1-(IF(Q118="",-1,Q118)=0)),IF(C118="peso_corporal",IF(ISNUMBER(E118),E118,0)+O118,O118)*(30+P118)*100+O118,0),IF((S118&gt;=3)*(1-(IF(T118="",-1,T118)&gt;=0)*(IF(T118="",-1,T118)&lt;=1))*(1-(IF(T118="",-1,T118)=0)),IF(C118="peso_corporal",IF(ISNUMBER(E118),E118,0)+R118,R118)*(30+S118)*100+R118,0))</f>
        <v>0</v>
      </c>
      <c r="AB118" s="69">
        <f>IF(AA118=0,0,IF(IF((S118&gt;=3)*(1-(IF(T118="",-1,T118)&gt;=0)*(IF(T118="",-1,T118)&lt;=1))*(1-(IF(T118="",-1,T118)=0)),IF(C118="peso_corporal",IF(ISNUMBER(E118),E118,0)+R118,R118)*(30+S118)*100+R118,0)=AA118,5,IF(IF((P118&gt;=3)*(1-(IF(Q118="",-1,Q118)&gt;=0)*(IF(Q118="",-1,Q118)&lt;=1))*(1-(IF(Q118="",-1,Q118)=0)),IF(C118="peso_corporal",IF(ISNUMBER(E118),E118,0)+O118,O118)*(30+P118)*100+O118,0)=AA118,4,IF(IF((M118&gt;=3)*(1-(IF(N118="",-1,N118)&gt;=0)*(IF(N118="",-1,N118)&lt;=1))*(1-(IF(N118="",-1,N118)=0)),IF(C118="peso_corporal",IF(ISNUMBER(E118),E118,0)+L118,L118)*(30+M118)*100+L118,0)=AA118,3,IF(IF((J118&gt;=3)*(1-(IF(K118="",-1,K118)&gt;=0)*(IF(K118="",-1,K118)&lt;=1))*(1-(IF(K118="",-1,K118)=0)),IF(C118="peso_corporal",IF(ISNUMBER(E118),E118,0)+I118,I118)*(30+J118)*100+I118,0)=AA118,2,IF(IF((G118&gt;=3)*(1-(IF(H118="",-1,H118)&gt;=0)*(IF(H118="",-1,H118)&lt;=1))*(1-(IF(H118="",-1,H118)=0)),IF(C118="peso_corporal",IF(ISNUMBER(E118),E118,0)+F118,F118)*(30+G118)*100+F118,0)=AA118,1,0))))))</f>
        <v>0</v>
      </c>
      <c r="AC118" s="69" t="str">
        <f>IF(X118&gt;0,"A"&amp;X118,IF(Z118&gt;0,"B"&amp;Z118,IF(AB118&gt;0,"C"&amp;AB118,"")))</f>
        <v/>
      </c>
    </row>
    <row r="119" spans="1:29" ht="20.100000000000001" customHeight="1">
      <c r="A119" s="14" t="s">
        <v>92</v>
      </c>
      <c r="B119" s="15" t="s">
        <v>108</v>
      </c>
      <c r="C119" s="16" t="str">
        <f>IFERROR(INDEX(EJERCICIOS!$D$3:$D$75,MATCH(A119&amp;"|"&amp;B119,EJERCICIOS!$G$3:$G$75,0)),"--")</f>
        <v>polea</v>
      </c>
      <c r="D119" s="17">
        <v>3</v>
      </c>
      <c r="E119" s="18">
        <f>IFERROR(LOOKUP(2,1/(MEDIDAS_Y_PESO!$B$3:$B$8&lt;&gt;""),MEDIDAS_Y_PESO!$B$3:$B$8),"--")</f>
        <v>80</v>
      </c>
      <c r="F119" s="19"/>
      <c r="G119" s="20"/>
      <c r="H119" s="21"/>
      <c r="I119" s="19"/>
      <c r="J119" s="20"/>
      <c r="K119" s="21"/>
      <c r="L119" s="19"/>
      <c r="M119" s="20"/>
      <c r="N119" s="21"/>
      <c r="O119" s="19"/>
      <c r="P119" s="20"/>
      <c r="Q119" s="21"/>
      <c r="R119" s="19"/>
      <c r="S119" s="20"/>
      <c r="T119" s="21"/>
      <c r="U119" s="22" t="str">
        <f>IFERROR(IF(IF(X119&gt;0,X119,IF(Z119&gt;0,Z119,IF(AB119&gt;0,AB119,0)))=0,"--",ROUND(CHOOSE(IF(X119&gt;0,X119,IF(Z119&gt;0,Z119,IF(AB119&gt;0,AB119,0))),IF(C119="peso_corporal",IF(ISNUMBER(E119),E119,0)+F119,F119)*(1+G119/30),IF(C119="peso_corporal",IF(ISNUMBER(E119),E119,0)+I119,I119)*(1+J119/30),IF(C119="peso_corporal",IF(ISNUMBER(E119),E119,0)+L119,L119)*(1+M119/30),IF(C119="peso_corporal",IF(ISNUMBER(E119),E119,0)+O119,O119)*(1+P119/30),IF(C119="peso_corporal",IF(ISNUMBER(E119),E119,0)+R119,R119)*(1+S119/30)),1)),"--")</f>
        <v>--</v>
      </c>
      <c r="V119" s="23" t="str">
        <f>IF(SUGERENCIAS!N331="SIN","Sin datos anteriores",IF(SUGERENCIAS!N331="SUBIR_F","^ SUBIR FUERTE | Kg:"&amp;ROUND(SUGERENCIAS!K331,1)&amp;" R:"&amp;ROUND(SUGERENCIAS!L331,0)&amp;" RIR:"&amp;ROUND(SUGERENCIAS!M331,0),IF(SUGERENCIAS!N331="SUBIR_E","^ SUBIR (Est.) | Kg:"&amp;ROUND(SUGERENCIAS!K331,1)&amp;" R:"&amp;ROUND(SUGERENCIAS!L331,0)&amp;" RIR:"&amp;ROUND(SUGERENCIAS!M331,0),IF(SUGERENCIAS!N331="SUBIR","^ SUBIR | Kg:"&amp;ROUND(SUGERENCIAS!K331,1)&amp;" R:"&amp;ROUND(SUGERENCIAS!L331,0)&amp;" RIR:"&amp;ROUND(SUGERENCIAS!M331,0),IF(SUGERENCIAS!N331="BAJAR","v BAJAR | Kg:"&amp;ROUND(SUGERENCIAS!K331,1)&amp;" R:"&amp;ROUND(SUGERENCIAS!L331,0)&amp;" RIR:"&amp;ROUND(SUGERENCIAS!M331,0),"= MANT | Kg:"&amp;ROUND(SUGERENCIAS!K331,1)&amp;" R:"&amp;ROUND(SUGERENCIAS!L331,0)&amp;" RIR:"&amp;ROUND(SUGERENCIAS!M331,0))))))</f>
        <v>Sin datos anteriores</v>
      </c>
      <c r="W119" s="69">
        <f>MAX(IF((G119&gt;0)*(IF(H119="",-1,H119)&gt;=0)*(IF(H119="",-1,H119)&lt;=1),IF(C119="peso_corporal",IF(ISNUMBER(E119),E119,0)+F119,F119)*G119*1000+F119,0),IF((J119&gt;0)*(IF(K119="",-1,K119)&gt;=0)*(IF(K119="",-1,K119)&lt;=1),IF(C119="peso_corporal",IF(ISNUMBER(E119),E119,0)+I119,I119)*J119*1000+I119,0),IF((M119&gt;0)*(IF(N119="",-1,N119)&gt;=0)*(IF(N119="",-1,N119)&lt;=1),IF(C119="peso_corporal",IF(ISNUMBER(E119),E119,0)+L119,L119)*M119*1000+L119,0),IF((P119&gt;0)*(IF(Q119="",-1,Q119)&gt;=0)*(IF(Q119="",-1,Q119)&lt;=1),IF(C119="peso_corporal",IF(ISNUMBER(E119),E119,0)+O119,O119)*P119*1000+O119,0),IF((S119&gt;0)*(IF(T119="",-1,T119)&gt;=0)*(IF(T119="",-1,T119)&lt;=1),IF(C119="peso_corporal",IF(ISNUMBER(E119),E119,0)+R119,R119)*S119*1000+R119,0))</f>
        <v>0</v>
      </c>
      <c r="X119" s="69">
        <f>IF(W119=0,0,IF(IF((S119&gt;0)*(IF(T119="",-1,T119)&gt;=0)*(IF(T119="",-1,T119)&lt;=1),IF(C119="peso_corporal",IF(ISNUMBER(E119),E119,0)+R119,R119)*S119*1000+R119,0)=W119,5,IF(IF((P119&gt;0)*(IF(Q119="",-1,Q119)&gt;=0)*(IF(Q119="",-1,Q119)&lt;=1),IF(C119="peso_corporal",IF(ISNUMBER(E119),E119,0)+O119,O119)*P119*1000+O119,0)=W119,4,IF(IF((M119&gt;0)*(IF(N119="",-1,N119)&gt;=0)*(IF(N119="",-1,N119)&lt;=1),IF(C119="peso_corporal",IF(ISNUMBER(E119),E119,0)+L119,L119)*M119*1000+L119,0)=W119,3,IF(IF((J119&gt;0)*(IF(K119="",-1,K119)&gt;=0)*(IF(K119="",-1,K119)&lt;=1),IF(C119="peso_corporal",IF(ISNUMBER(E119),E119,0)+I119,I119)*J119*1000+I119,0)=W119,2,IF(IF((G119&gt;0)*(IF(H119="",-1,H119)&gt;=0)*(IF(H119="",-1,H119)&lt;=1),IF(C119="peso_corporal",IF(ISNUMBER(E119),E119,0)+F119,F119)*G119*1000+F119,0)=W119,1,0))))))</f>
        <v>0</v>
      </c>
      <c r="Y119" s="69">
        <f>MAX(IF((G119&gt;0)*(IF(H119="",-1,H119)=0)*(1-(IF(H119="",-1,H119)&gt;=0)*(IF(H119="",-1,H119)&lt;=1)),IF(C119="peso_corporal",IF(ISNUMBER(E119),E119,0)+F119,F119)*G119*1000+F119,0),IF((J119&gt;0)*(IF(K119="",-1,K119)=0)*(1-(IF(K119="",-1,K119)&gt;=0)*(IF(K119="",-1,K119)&lt;=1)),IF(C119="peso_corporal",IF(ISNUMBER(E119),E119,0)+I119,I119)*J119*1000+I119,0),IF((M119&gt;0)*(IF(N119="",-1,N119)=0)*(1-(IF(N119="",-1,N119)&gt;=0)*(IF(N119="",-1,N119)&lt;=1)),IF(C119="peso_corporal",IF(ISNUMBER(E119),E119,0)+L119,L119)*M119*1000+L119,0),IF((P119&gt;0)*(IF(Q119="",-1,Q119)=0)*(1-(IF(Q119="",-1,Q119)&gt;=0)*(IF(Q119="",-1,Q119)&lt;=1)),IF(C119="peso_corporal",IF(ISNUMBER(E119),E119,0)+O119,O119)*P119*1000+O119,0),IF((S119&gt;0)*(IF(T119="",-1,T119)=0)*(1-(IF(T119="",-1,T119)&gt;=0)*(IF(T119="",-1,T119)&lt;=1)),IF(C119="peso_corporal",IF(ISNUMBER(E119),E119,0)+R119,R119)*S119*1000+R119,0))</f>
        <v>0</v>
      </c>
      <c r="Z119" s="69">
        <f>IF(Y119=0,0,IF(IF((S119&gt;0)*(IF(T119="",-1,T119)=0)*(1-(IF(T119="",-1,T119)&gt;=0)*(IF(T119="",-1,T119)&lt;=1)),IF(C119="peso_corporal",IF(ISNUMBER(E119),E119,0)+R119,R119)*S119*1000+R119,0)=Y119,5,IF(IF((P119&gt;0)*(IF(Q119="",-1,Q119)=0)*(1-(IF(Q119="",-1,Q119)&gt;=0)*(IF(Q119="",-1,Q119)&lt;=1)),IF(C119="peso_corporal",IF(ISNUMBER(E119),E119,0)+O119,O119)*P119*1000+O119,0)=Y119,4,IF(IF((M119&gt;0)*(IF(N119="",-1,N119)=0)*(1-(IF(N119="",-1,N119)&gt;=0)*(IF(N119="",-1,N119)&lt;=1)),IF(C119="peso_corporal",IF(ISNUMBER(E119),E119,0)+L119,L119)*M119*1000+L119,0)=Y119,3,IF(IF((J119&gt;0)*(IF(K119="",-1,K119)=0)*(1-(IF(K119="",-1,K119)&gt;=0)*(IF(K119="",-1,K119)&lt;=1)),IF(C119="peso_corporal",IF(ISNUMBER(E119),E119,0)+I119,I119)*J119*1000+I119,0)=Y119,2,IF(IF((G119&gt;0)*(IF(H119="",-1,H119)=0)*(1-(IF(H119="",-1,H119)&gt;=0)*(IF(H119="",-1,H119)&lt;=1)),IF(C119="peso_corporal",IF(ISNUMBER(E119),E119,0)+F119,F119)*G119*1000+F119,0)=Y119,1,0))))))</f>
        <v>0</v>
      </c>
      <c r="AA119" s="69">
        <f>MAX(IF((G119&gt;=3)*(1-(IF(H119="",-1,H119)&gt;=0)*(IF(H119="",-1,H119)&lt;=1))*(1-(IF(H119="",-1,H119)=0)),IF(C119="peso_corporal",IF(ISNUMBER(E119),E119,0)+F119,F119)*(30+G119)*100+F119,0),IF((J119&gt;=3)*(1-(IF(K119="",-1,K119)&gt;=0)*(IF(K119="",-1,K119)&lt;=1))*(1-(IF(K119="",-1,K119)=0)),IF(C119="peso_corporal",IF(ISNUMBER(E119),E119,0)+I119,I119)*(30+J119)*100+I119,0),IF((M119&gt;=3)*(1-(IF(N119="",-1,N119)&gt;=0)*(IF(N119="",-1,N119)&lt;=1))*(1-(IF(N119="",-1,N119)=0)),IF(C119="peso_corporal",IF(ISNUMBER(E119),E119,0)+L119,L119)*(30+M119)*100+L119,0),IF((P119&gt;=3)*(1-(IF(Q119="",-1,Q119)&gt;=0)*(IF(Q119="",-1,Q119)&lt;=1))*(1-(IF(Q119="",-1,Q119)=0)),IF(C119="peso_corporal",IF(ISNUMBER(E119),E119,0)+O119,O119)*(30+P119)*100+O119,0),IF((S119&gt;=3)*(1-(IF(T119="",-1,T119)&gt;=0)*(IF(T119="",-1,T119)&lt;=1))*(1-(IF(T119="",-1,T119)=0)),IF(C119="peso_corporal",IF(ISNUMBER(E119),E119,0)+R119,R119)*(30+S119)*100+R119,0))</f>
        <v>0</v>
      </c>
      <c r="AB119" s="69">
        <f>IF(AA119=0,0,IF(IF((S119&gt;=3)*(1-(IF(T119="",-1,T119)&gt;=0)*(IF(T119="",-1,T119)&lt;=1))*(1-(IF(T119="",-1,T119)=0)),IF(C119="peso_corporal",IF(ISNUMBER(E119),E119,0)+R119,R119)*(30+S119)*100+R119,0)=AA119,5,IF(IF((P119&gt;=3)*(1-(IF(Q119="",-1,Q119)&gt;=0)*(IF(Q119="",-1,Q119)&lt;=1))*(1-(IF(Q119="",-1,Q119)=0)),IF(C119="peso_corporal",IF(ISNUMBER(E119),E119,0)+O119,O119)*(30+P119)*100+O119,0)=AA119,4,IF(IF((M119&gt;=3)*(1-(IF(N119="",-1,N119)&gt;=0)*(IF(N119="",-1,N119)&lt;=1))*(1-(IF(N119="",-1,N119)=0)),IF(C119="peso_corporal",IF(ISNUMBER(E119),E119,0)+L119,L119)*(30+M119)*100+L119,0)=AA119,3,IF(IF((J119&gt;=3)*(1-(IF(K119="",-1,K119)&gt;=0)*(IF(K119="",-1,K119)&lt;=1))*(1-(IF(K119="",-1,K119)=0)),IF(C119="peso_corporal",IF(ISNUMBER(E119),E119,0)+I119,I119)*(30+J119)*100+I119,0)=AA119,2,IF(IF((G119&gt;=3)*(1-(IF(H119="",-1,H119)&gt;=0)*(IF(H119="",-1,H119)&lt;=1))*(1-(IF(H119="",-1,H119)=0)),IF(C119="peso_corporal",IF(ISNUMBER(E119),E119,0)+F119,F119)*(30+G119)*100+F119,0)=AA119,1,0))))))</f>
        <v>0</v>
      </c>
      <c r="AC119" s="69" t="str">
        <f>IF(X119&gt;0,"A"&amp;X119,IF(Z119&gt;0,"B"&amp;Z119,IF(AB119&gt;0,"C"&amp;AB119,"")))</f>
        <v/>
      </c>
    </row>
    <row r="120" spans="1:29" ht="11.1" customHeight="1">
      <c r="A120" s="84" t="s">
        <v>94</v>
      </c>
      <c r="B120" s="73"/>
      <c r="C120" s="73"/>
      <c r="D120" s="73"/>
      <c r="E120" s="73"/>
      <c r="F120" s="73"/>
      <c r="G120" s="73"/>
      <c r="H120" s="73"/>
      <c r="I120" s="73"/>
      <c r="J120" s="73"/>
      <c r="K120" s="73"/>
      <c r="L120" s="73"/>
      <c r="M120" s="73"/>
      <c r="N120" s="73"/>
      <c r="O120" s="73"/>
      <c r="P120" s="73"/>
      <c r="Q120" s="73"/>
      <c r="R120" s="73"/>
      <c r="S120" s="73"/>
      <c r="T120" s="73"/>
      <c r="U120" s="73"/>
      <c r="V120" s="73"/>
      <c r="W120" s="69"/>
      <c r="X120" s="69"/>
      <c r="Y120" s="69"/>
      <c r="Z120" s="69"/>
      <c r="AA120" s="69"/>
      <c r="AB120" s="69"/>
      <c r="AC120" s="69"/>
    </row>
    <row r="121" spans="1:29" ht="20.100000000000001" customHeight="1">
      <c r="A121" s="14" t="s">
        <v>95</v>
      </c>
      <c r="B121" s="15" t="s">
        <v>96</v>
      </c>
      <c r="C121" s="16" t="str">
        <f>IFERROR(INDEX(EJERCICIOS!$D$3:$D$75,MATCH(A121&amp;"|"&amp;B121,EJERCICIOS!$G$3:$G$75,0)),"--")</f>
        <v>polea</v>
      </c>
      <c r="D121" s="17">
        <v>3</v>
      </c>
      <c r="E121" s="18">
        <f>IFERROR(LOOKUP(2,1/(MEDIDAS_Y_PESO!$B$3:$B$8&lt;&gt;""),MEDIDAS_Y_PESO!$B$3:$B$8),"--")</f>
        <v>80</v>
      </c>
      <c r="F121" s="19"/>
      <c r="G121" s="20"/>
      <c r="H121" s="21"/>
      <c r="I121" s="19"/>
      <c r="J121" s="20"/>
      <c r="K121" s="21"/>
      <c r="L121" s="19"/>
      <c r="M121" s="20"/>
      <c r="N121" s="21"/>
      <c r="O121" s="19"/>
      <c r="P121" s="20"/>
      <c r="Q121" s="21"/>
      <c r="R121" s="19"/>
      <c r="S121" s="20"/>
      <c r="T121" s="21"/>
      <c r="U121" s="22" t="str">
        <f>IFERROR(IF(IF(X121&gt;0,X121,IF(Z121&gt;0,Z121,IF(AB121&gt;0,AB121,0)))=0,"--",ROUND(CHOOSE(IF(X121&gt;0,X121,IF(Z121&gt;0,Z121,IF(AB121&gt;0,AB121,0))),IF(C121="peso_corporal",IF(ISNUMBER(E121),E121,0)+F121,F121)*(1+G121/30),IF(C121="peso_corporal",IF(ISNUMBER(E121),E121,0)+I121,I121)*(1+J121/30),IF(C121="peso_corporal",IF(ISNUMBER(E121),E121,0)+L121,L121)*(1+M121/30),IF(C121="peso_corporal",IF(ISNUMBER(E121),E121,0)+O121,O121)*(1+P121/30),IF(C121="peso_corporal",IF(ISNUMBER(E121),E121,0)+R121,R121)*(1+S121/30)),1)),"--")</f>
        <v>--</v>
      </c>
      <c r="V121" s="23" t="str">
        <f>IF(SUGERENCIAS!N332="SIN","Sin datos anteriores",IF(SUGERENCIAS!N332="SUBIR_F","^ SUBIR FUERTE | Kg:"&amp;ROUND(SUGERENCIAS!K332,1)&amp;" R:"&amp;ROUND(SUGERENCIAS!L332,0)&amp;" RIR:"&amp;ROUND(SUGERENCIAS!M332,0),IF(SUGERENCIAS!N332="SUBIR_E","^ SUBIR (Est.) | Kg:"&amp;ROUND(SUGERENCIAS!K332,1)&amp;" R:"&amp;ROUND(SUGERENCIAS!L332,0)&amp;" RIR:"&amp;ROUND(SUGERENCIAS!M332,0),IF(SUGERENCIAS!N332="SUBIR","^ SUBIR | Kg:"&amp;ROUND(SUGERENCIAS!K332,1)&amp;" R:"&amp;ROUND(SUGERENCIAS!L332,0)&amp;" RIR:"&amp;ROUND(SUGERENCIAS!M332,0),IF(SUGERENCIAS!N332="BAJAR","v BAJAR | Kg:"&amp;ROUND(SUGERENCIAS!K332,1)&amp;" R:"&amp;ROUND(SUGERENCIAS!L332,0)&amp;" RIR:"&amp;ROUND(SUGERENCIAS!M332,0),"= MANT | Kg:"&amp;ROUND(SUGERENCIAS!K332,1)&amp;" R:"&amp;ROUND(SUGERENCIAS!L332,0)&amp;" RIR:"&amp;ROUND(SUGERENCIAS!M332,0))))))</f>
        <v>Sin datos anteriores</v>
      </c>
      <c r="W121" s="69">
        <f>MAX(IF((G121&gt;0)*(IF(H121="",-1,H121)&gt;=0)*(IF(H121="",-1,H121)&lt;=1),IF(C121="peso_corporal",IF(ISNUMBER(E121),E121,0)+F121,F121)*G121*1000+F121,0),IF((J121&gt;0)*(IF(K121="",-1,K121)&gt;=0)*(IF(K121="",-1,K121)&lt;=1),IF(C121="peso_corporal",IF(ISNUMBER(E121),E121,0)+I121,I121)*J121*1000+I121,0),IF((M121&gt;0)*(IF(N121="",-1,N121)&gt;=0)*(IF(N121="",-1,N121)&lt;=1),IF(C121="peso_corporal",IF(ISNUMBER(E121),E121,0)+L121,L121)*M121*1000+L121,0),IF((P121&gt;0)*(IF(Q121="",-1,Q121)&gt;=0)*(IF(Q121="",-1,Q121)&lt;=1),IF(C121="peso_corporal",IF(ISNUMBER(E121),E121,0)+O121,O121)*P121*1000+O121,0),IF((S121&gt;0)*(IF(T121="",-1,T121)&gt;=0)*(IF(T121="",-1,T121)&lt;=1),IF(C121="peso_corporal",IF(ISNUMBER(E121),E121,0)+R121,R121)*S121*1000+R121,0))</f>
        <v>0</v>
      </c>
      <c r="X121" s="69">
        <f>IF(W121=0,0,IF(IF((S121&gt;0)*(IF(T121="",-1,T121)&gt;=0)*(IF(T121="",-1,T121)&lt;=1),IF(C121="peso_corporal",IF(ISNUMBER(E121),E121,0)+R121,R121)*S121*1000+R121,0)=W121,5,IF(IF((P121&gt;0)*(IF(Q121="",-1,Q121)&gt;=0)*(IF(Q121="",-1,Q121)&lt;=1),IF(C121="peso_corporal",IF(ISNUMBER(E121),E121,0)+O121,O121)*P121*1000+O121,0)=W121,4,IF(IF((M121&gt;0)*(IF(N121="",-1,N121)&gt;=0)*(IF(N121="",-1,N121)&lt;=1),IF(C121="peso_corporal",IF(ISNUMBER(E121),E121,0)+L121,L121)*M121*1000+L121,0)=W121,3,IF(IF((J121&gt;0)*(IF(K121="",-1,K121)&gt;=0)*(IF(K121="",-1,K121)&lt;=1),IF(C121="peso_corporal",IF(ISNUMBER(E121),E121,0)+I121,I121)*J121*1000+I121,0)=W121,2,IF(IF((G121&gt;0)*(IF(H121="",-1,H121)&gt;=0)*(IF(H121="",-1,H121)&lt;=1),IF(C121="peso_corporal",IF(ISNUMBER(E121),E121,0)+F121,F121)*G121*1000+F121,0)=W121,1,0))))))</f>
        <v>0</v>
      </c>
      <c r="Y121" s="69">
        <f>MAX(IF((G121&gt;0)*(IF(H121="",-1,H121)=0)*(1-(IF(H121="",-1,H121)&gt;=0)*(IF(H121="",-1,H121)&lt;=1)),IF(C121="peso_corporal",IF(ISNUMBER(E121),E121,0)+F121,F121)*G121*1000+F121,0),IF((J121&gt;0)*(IF(K121="",-1,K121)=0)*(1-(IF(K121="",-1,K121)&gt;=0)*(IF(K121="",-1,K121)&lt;=1)),IF(C121="peso_corporal",IF(ISNUMBER(E121),E121,0)+I121,I121)*J121*1000+I121,0),IF((M121&gt;0)*(IF(N121="",-1,N121)=0)*(1-(IF(N121="",-1,N121)&gt;=0)*(IF(N121="",-1,N121)&lt;=1)),IF(C121="peso_corporal",IF(ISNUMBER(E121),E121,0)+L121,L121)*M121*1000+L121,0),IF((P121&gt;0)*(IF(Q121="",-1,Q121)=0)*(1-(IF(Q121="",-1,Q121)&gt;=0)*(IF(Q121="",-1,Q121)&lt;=1)),IF(C121="peso_corporal",IF(ISNUMBER(E121),E121,0)+O121,O121)*P121*1000+O121,0),IF((S121&gt;0)*(IF(T121="",-1,T121)=0)*(1-(IF(T121="",-1,T121)&gt;=0)*(IF(T121="",-1,T121)&lt;=1)),IF(C121="peso_corporal",IF(ISNUMBER(E121),E121,0)+R121,R121)*S121*1000+R121,0))</f>
        <v>0</v>
      </c>
      <c r="Z121" s="69">
        <f>IF(Y121=0,0,IF(IF((S121&gt;0)*(IF(T121="",-1,T121)=0)*(1-(IF(T121="",-1,T121)&gt;=0)*(IF(T121="",-1,T121)&lt;=1)),IF(C121="peso_corporal",IF(ISNUMBER(E121),E121,0)+R121,R121)*S121*1000+R121,0)=Y121,5,IF(IF((P121&gt;0)*(IF(Q121="",-1,Q121)=0)*(1-(IF(Q121="",-1,Q121)&gt;=0)*(IF(Q121="",-1,Q121)&lt;=1)),IF(C121="peso_corporal",IF(ISNUMBER(E121),E121,0)+O121,O121)*P121*1000+O121,0)=Y121,4,IF(IF((M121&gt;0)*(IF(N121="",-1,N121)=0)*(1-(IF(N121="",-1,N121)&gt;=0)*(IF(N121="",-1,N121)&lt;=1)),IF(C121="peso_corporal",IF(ISNUMBER(E121),E121,0)+L121,L121)*M121*1000+L121,0)=Y121,3,IF(IF((J121&gt;0)*(IF(K121="",-1,K121)=0)*(1-(IF(K121="",-1,K121)&gt;=0)*(IF(K121="",-1,K121)&lt;=1)),IF(C121="peso_corporal",IF(ISNUMBER(E121),E121,0)+I121,I121)*J121*1000+I121,0)=Y121,2,IF(IF((G121&gt;0)*(IF(H121="",-1,H121)=0)*(1-(IF(H121="",-1,H121)&gt;=0)*(IF(H121="",-1,H121)&lt;=1)),IF(C121="peso_corporal",IF(ISNUMBER(E121),E121,0)+F121,F121)*G121*1000+F121,0)=Y121,1,0))))))</f>
        <v>0</v>
      </c>
      <c r="AA121" s="69">
        <f>MAX(IF((G121&gt;=3)*(1-(IF(H121="",-1,H121)&gt;=0)*(IF(H121="",-1,H121)&lt;=1))*(1-(IF(H121="",-1,H121)=0)),IF(C121="peso_corporal",IF(ISNUMBER(E121),E121,0)+F121,F121)*(30+G121)*100+F121,0),IF((J121&gt;=3)*(1-(IF(K121="",-1,K121)&gt;=0)*(IF(K121="",-1,K121)&lt;=1))*(1-(IF(K121="",-1,K121)=0)),IF(C121="peso_corporal",IF(ISNUMBER(E121),E121,0)+I121,I121)*(30+J121)*100+I121,0),IF((M121&gt;=3)*(1-(IF(N121="",-1,N121)&gt;=0)*(IF(N121="",-1,N121)&lt;=1))*(1-(IF(N121="",-1,N121)=0)),IF(C121="peso_corporal",IF(ISNUMBER(E121),E121,0)+L121,L121)*(30+M121)*100+L121,0),IF((P121&gt;=3)*(1-(IF(Q121="",-1,Q121)&gt;=0)*(IF(Q121="",-1,Q121)&lt;=1))*(1-(IF(Q121="",-1,Q121)=0)),IF(C121="peso_corporal",IF(ISNUMBER(E121),E121,0)+O121,O121)*(30+P121)*100+O121,0),IF((S121&gt;=3)*(1-(IF(T121="",-1,T121)&gt;=0)*(IF(T121="",-1,T121)&lt;=1))*(1-(IF(T121="",-1,T121)=0)),IF(C121="peso_corporal",IF(ISNUMBER(E121),E121,0)+R121,R121)*(30+S121)*100+R121,0))</f>
        <v>0</v>
      </c>
      <c r="AB121" s="69">
        <f>IF(AA121=0,0,IF(IF((S121&gt;=3)*(1-(IF(T121="",-1,T121)&gt;=0)*(IF(T121="",-1,T121)&lt;=1))*(1-(IF(T121="",-1,T121)=0)),IF(C121="peso_corporal",IF(ISNUMBER(E121),E121,0)+R121,R121)*(30+S121)*100+R121,0)=AA121,5,IF(IF((P121&gt;=3)*(1-(IF(Q121="",-1,Q121)&gt;=0)*(IF(Q121="",-1,Q121)&lt;=1))*(1-(IF(Q121="",-1,Q121)=0)),IF(C121="peso_corporal",IF(ISNUMBER(E121),E121,0)+O121,O121)*(30+P121)*100+O121,0)=AA121,4,IF(IF((M121&gt;=3)*(1-(IF(N121="",-1,N121)&gt;=0)*(IF(N121="",-1,N121)&lt;=1))*(1-(IF(N121="",-1,N121)=0)),IF(C121="peso_corporal",IF(ISNUMBER(E121),E121,0)+L121,L121)*(30+M121)*100+L121,0)=AA121,3,IF(IF((J121&gt;=3)*(1-(IF(K121="",-1,K121)&gt;=0)*(IF(K121="",-1,K121)&lt;=1))*(1-(IF(K121="",-1,K121)=0)),IF(C121="peso_corporal",IF(ISNUMBER(E121),E121,0)+I121,I121)*(30+J121)*100+I121,0)=AA121,2,IF(IF((G121&gt;=3)*(1-(IF(H121="",-1,H121)&gt;=0)*(IF(H121="",-1,H121)&lt;=1))*(1-(IF(H121="",-1,H121)=0)),IF(C121="peso_corporal",IF(ISNUMBER(E121),E121,0)+F121,F121)*(30+G121)*100+F121,0)=AA121,1,0))))))</f>
        <v>0</v>
      </c>
      <c r="AC121" s="69" t="str">
        <f>IF(X121&gt;0,"A"&amp;X121,IF(Z121&gt;0,"B"&amp;Z121,IF(AB121&gt;0,"C"&amp;AB121,"")))</f>
        <v/>
      </c>
    </row>
    <row r="122" spans="1:29" ht="20.100000000000001" customHeight="1">
      <c r="A122" s="14" t="s">
        <v>95</v>
      </c>
      <c r="B122" s="15" t="s">
        <v>97</v>
      </c>
      <c r="C122" s="16" t="str">
        <f>IFERROR(INDEX(EJERCICIOS!$D$3:$D$75,MATCH(A122&amp;"|"&amp;B122,EJERCICIOS!$G$3:$G$75,0)),"--")</f>
        <v>polea</v>
      </c>
      <c r="D122" s="17">
        <v>3</v>
      </c>
      <c r="E122" s="18">
        <f>IFERROR(LOOKUP(2,1/(MEDIDAS_Y_PESO!$B$3:$B$8&lt;&gt;""),MEDIDAS_Y_PESO!$B$3:$B$8),"--")</f>
        <v>80</v>
      </c>
      <c r="F122" s="19"/>
      <c r="G122" s="20"/>
      <c r="H122" s="21"/>
      <c r="I122" s="19"/>
      <c r="J122" s="20"/>
      <c r="K122" s="21"/>
      <c r="L122" s="19"/>
      <c r="M122" s="20"/>
      <c r="N122" s="21"/>
      <c r="O122" s="19"/>
      <c r="P122" s="20"/>
      <c r="Q122" s="21"/>
      <c r="R122" s="19"/>
      <c r="S122" s="20"/>
      <c r="T122" s="21"/>
      <c r="U122" s="22" t="str">
        <f>IFERROR(IF(IF(X122&gt;0,X122,IF(Z122&gt;0,Z122,IF(AB122&gt;0,AB122,0)))=0,"--",ROUND(CHOOSE(IF(X122&gt;0,X122,IF(Z122&gt;0,Z122,IF(AB122&gt;0,AB122,0))),IF(C122="peso_corporal",IF(ISNUMBER(E122),E122,0)+F122,F122)*(1+G122/30),IF(C122="peso_corporal",IF(ISNUMBER(E122),E122,0)+I122,I122)*(1+J122/30),IF(C122="peso_corporal",IF(ISNUMBER(E122),E122,0)+L122,L122)*(1+M122/30),IF(C122="peso_corporal",IF(ISNUMBER(E122),E122,0)+O122,O122)*(1+P122/30),IF(C122="peso_corporal",IF(ISNUMBER(E122),E122,0)+R122,R122)*(1+S122/30)),1)),"--")</f>
        <v>--</v>
      </c>
      <c r="V122" s="23" t="str">
        <f>IF(SUGERENCIAS!N333="SIN","Sin datos anteriores",IF(SUGERENCIAS!N333="SUBIR_F","^ SUBIR FUERTE | Kg:"&amp;ROUND(SUGERENCIAS!K333,1)&amp;" R:"&amp;ROUND(SUGERENCIAS!L333,0)&amp;" RIR:"&amp;ROUND(SUGERENCIAS!M333,0),IF(SUGERENCIAS!N333="SUBIR_E","^ SUBIR (Est.) | Kg:"&amp;ROUND(SUGERENCIAS!K333,1)&amp;" R:"&amp;ROUND(SUGERENCIAS!L333,0)&amp;" RIR:"&amp;ROUND(SUGERENCIAS!M333,0),IF(SUGERENCIAS!N333="SUBIR","^ SUBIR | Kg:"&amp;ROUND(SUGERENCIAS!K333,1)&amp;" R:"&amp;ROUND(SUGERENCIAS!L333,0)&amp;" RIR:"&amp;ROUND(SUGERENCIAS!M333,0),IF(SUGERENCIAS!N333="BAJAR","v BAJAR | Kg:"&amp;ROUND(SUGERENCIAS!K333,1)&amp;" R:"&amp;ROUND(SUGERENCIAS!L333,0)&amp;" RIR:"&amp;ROUND(SUGERENCIAS!M333,0),"= MANT | Kg:"&amp;ROUND(SUGERENCIAS!K333,1)&amp;" R:"&amp;ROUND(SUGERENCIAS!L333,0)&amp;" RIR:"&amp;ROUND(SUGERENCIAS!M333,0))))))</f>
        <v>Sin datos anteriores</v>
      </c>
      <c r="W122" s="69">
        <f>MAX(IF((G122&gt;0)*(IF(H122="",-1,H122)&gt;=0)*(IF(H122="",-1,H122)&lt;=1),IF(C122="peso_corporal",IF(ISNUMBER(E122),E122,0)+F122,F122)*G122*1000+F122,0),IF((J122&gt;0)*(IF(K122="",-1,K122)&gt;=0)*(IF(K122="",-1,K122)&lt;=1),IF(C122="peso_corporal",IF(ISNUMBER(E122),E122,0)+I122,I122)*J122*1000+I122,0),IF((M122&gt;0)*(IF(N122="",-1,N122)&gt;=0)*(IF(N122="",-1,N122)&lt;=1),IF(C122="peso_corporal",IF(ISNUMBER(E122),E122,0)+L122,L122)*M122*1000+L122,0),IF((P122&gt;0)*(IF(Q122="",-1,Q122)&gt;=0)*(IF(Q122="",-1,Q122)&lt;=1),IF(C122="peso_corporal",IF(ISNUMBER(E122),E122,0)+O122,O122)*P122*1000+O122,0),IF((S122&gt;0)*(IF(T122="",-1,T122)&gt;=0)*(IF(T122="",-1,T122)&lt;=1),IF(C122="peso_corporal",IF(ISNUMBER(E122),E122,0)+R122,R122)*S122*1000+R122,0))</f>
        <v>0</v>
      </c>
      <c r="X122" s="69">
        <f>IF(W122=0,0,IF(IF((S122&gt;0)*(IF(T122="",-1,T122)&gt;=0)*(IF(T122="",-1,T122)&lt;=1),IF(C122="peso_corporal",IF(ISNUMBER(E122),E122,0)+R122,R122)*S122*1000+R122,0)=W122,5,IF(IF((P122&gt;0)*(IF(Q122="",-1,Q122)&gt;=0)*(IF(Q122="",-1,Q122)&lt;=1),IF(C122="peso_corporal",IF(ISNUMBER(E122),E122,0)+O122,O122)*P122*1000+O122,0)=W122,4,IF(IF((M122&gt;0)*(IF(N122="",-1,N122)&gt;=0)*(IF(N122="",-1,N122)&lt;=1),IF(C122="peso_corporal",IF(ISNUMBER(E122),E122,0)+L122,L122)*M122*1000+L122,0)=W122,3,IF(IF((J122&gt;0)*(IF(K122="",-1,K122)&gt;=0)*(IF(K122="",-1,K122)&lt;=1),IF(C122="peso_corporal",IF(ISNUMBER(E122),E122,0)+I122,I122)*J122*1000+I122,0)=W122,2,IF(IF((G122&gt;0)*(IF(H122="",-1,H122)&gt;=0)*(IF(H122="",-1,H122)&lt;=1),IF(C122="peso_corporal",IF(ISNUMBER(E122),E122,0)+F122,F122)*G122*1000+F122,0)=W122,1,0))))))</f>
        <v>0</v>
      </c>
      <c r="Y122" s="69">
        <f>MAX(IF((G122&gt;0)*(IF(H122="",-1,H122)=0)*(1-(IF(H122="",-1,H122)&gt;=0)*(IF(H122="",-1,H122)&lt;=1)),IF(C122="peso_corporal",IF(ISNUMBER(E122),E122,0)+F122,F122)*G122*1000+F122,0),IF((J122&gt;0)*(IF(K122="",-1,K122)=0)*(1-(IF(K122="",-1,K122)&gt;=0)*(IF(K122="",-1,K122)&lt;=1)),IF(C122="peso_corporal",IF(ISNUMBER(E122),E122,0)+I122,I122)*J122*1000+I122,0),IF((M122&gt;0)*(IF(N122="",-1,N122)=0)*(1-(IF(N122="",-1,N122)&gt;=0)*(IF(N122="",-1,N122)&lt;=1)),IF(C122="peso_corporal",IF(ISNUMBER(E122),E122,0)+L122,L122)*M122*1000+L122,0),IF((P122&gt;0)*(IF(Q122="",-1,Q122)=0)*(1-(IF(Q122="",-1,Q122)&gt;=0)*(IF(Q122="",-1,Q122)&lt;=1)),IF(C122="peso_corporal",IF(ISNUMBER(E122),E122,0)+O122,O122)*P122*1000+O122,0),IF((S122&gt;0)*(IF(T122="",-1,T122)=0)*(1-(IF(T122="",-1,T122)&gt;=0)*(IF(T122="",-1,T122)&lt;=1)),IF(C122="peso_corporal",IF(ISNUMBER(E122),E122,0)+R122,R122)*S122*1000+R122,0))</f>
        <v>0</v>
      </c>
      <c r="Z122" s="69">
        <f>IF(Y122=0,0,IF(IF((S122&gt;0)*(IF(T122="",-1,T122)=0)*(1-(IF(T122="",-1,T122)&gt;=0)*(IF(T122="",-1,T122)&lt;=1)),IF(C122="peso_corporal",IF(ISNUMBER(E122),E122,0)+R122,R122)*S122*1000+R122,0)=Y122,5,IF(IF((P122&gt;0)*(IF(Q122="",-1,Q122)=0)*(1-(IF(Q122="",-1,Q122)&gt;=0)*(IF(Q122="",-1,Q122)&lt;=1)),IF(C122="peso_corporal",IF(ISNUMBER(E122),E122,0)+O122,O122)*P122*1000+O122,0)=Y122,4,IF(IF((M122&gt;0)*(IF(N122="",-1,N122)=0)*(1-(IF(N122="",-1,N122)&gt;=0)*(IF(N122="",-1,N122)&lt;=1)),IF(C122="peso_corporal",IF(ISNUMBER(E122),E122,0)+L122,L122)*M122*1000+L122,0)=Y122,3,IF(IF((J122&gt;0)*(IF(K122="",-1,K122)=0)*(1-(IF(K122="",-1,K122)&gt;=0)*(IF(K122="",-1,K122)&lt;=1)),IF(C122="peso_corporal",IF(ISNUMBER(E122),E122,0)+I122,I122)*J122*1000+I122,0)=Y122,2,IF(IF((G122&gt;0)*(IF(H122="",-1,H122)=0)*(1-(IF(H122="",-1,H122)&gt;=0)*(IF(H122="",-1,H122)&lt;=1)),IF(C122="peso_corporal",IF(ISNUMBER(E122),E122,0)+F122,F122)*G122*1000+F122,0)=Y122,1,0))))))</f>
        <v>0</v>
      </c>
      <c r="AA122" s="69">
        <f>MAX(IF((G122&gt;=3)*(1-(IF(H122="",-1,H122)&gt;=0)*(IF(H122="",-1,H122)&lt;=1))*(1-(IF(H122="",-1,H122)=0)),IF(C122="peso_corporal",IF(ISNUMBER(E122),E122,0)+F122,F122)*(30+G122)*100+F122,0),IF((J122&gt;=3)*(1-(IF(K122="",-1,K122)&gt;=0)*(IF(K122="",-1,K122)&lt;=1))*(1-(IF(K122="",-1,K122)=0)),IF(C122="peso_corporal",IF(ISNUMBER(E122),E122,0)+I122,I122)*(30+J122)*100+I122,0),IF((M122&gt;=3)*(1-(IF(N122="",-1,N122)&gt;=0)*(IF(N122="",-1,N122)&lt;=1))*(1-(IF(N122="",-1,N122)=0)),IF(C122="peso_corporal",IF(ISNUMBER(E122),E122,0)+L122,L122)*(30+M122)*100+L122,0),IF((P122&gt;=3)*(1-(IF(Q122="",-1,Q122)&gt;=0)*(IF(Q122="",-1,Q122)&lt;=1))*(1-(IF(Q122="",-1,Q122)=0)),IF(C122="peso_corporal",IF(ISNUMBER(E122),E122,0)+O122,O122)*(30+P122)*100+O122,0),IF((S122&gt;=3)*(1-(IF(T122="",-1,T122)&gt;=0)*(IF(T122="",-1,T122)&lt;=1))*(1-(IF(T122="",-1,T122)=0)),IF(C122="peso_corporal",IF(ISNUMBER(E122),E122,0)+R122,R122)*(30+S122)*100+R122,0))</f>
        <v>0</v>
      </c>
      <c r="AB122" s="69">
        <f>IF(AA122=0,0,IF(IF((S122&gt;=3)*(1-(IF(T122="",-1,T122)&gt;=0)*(IF(T122="",-1,T122)&lt;=1))*(1-(IF(T122="",-1,T122)=0)),IF(C122="peso_corporal",IF(ISNUMBER(E122),E122,0)+R122,R122)*(30+S122)*100+R122,0)=AA122,5,IF(IF((P122&gt;=3)*(1-(IF(Q122="",-1,Q122)&gt;=0)*(IF(Q122="",-1,Q122)&lt;=1))*(1-(IF(Q122="",-1,Q122)=0)),IF(C122="peso_corporal",IF(ISNUMBER(E122),E122,0)+O122,O122)*(30+P122)*100+O122,0)=AA122,4,IF(IF((M122&gt;=3)*(1-(IF(N122="",-1,N122)&gt;=0)*(IF(N122="",-1,N122)&lt;=1))*(1-(IF(N122="",-1,N122)=0)),IF(C122="peso_corporal",IF(ISNUMBER(E122),E122,0)+L122,L122)*(30+M122)*100+L122,0)=AA122,3,IF(IF((J122&gt;=3)*(1-(IF(K122="",-1,K122)&gt;=0)*(IF(K122="",-1,K122)&lt;=1))*(1-(IF(K122="",-1,K122)=0)),IF(C122="peso_corporal",IF(ISNUMBER(E122),E122,0)+I122,I122)*(30+J122)*100+I122,0)=AA122,2,IF(IF((G122&gt;=3)*(1-(IF(H122="",-1,H122)&gt;=0)*(IF(H122="",-1,H122)&lt;=1))*(1-(IF(H122="",-1,H122)=0)),IF(C122="peso_corporal",IF(ISNUMBER(E122),E122,0)+F122,F122)*(30+G122)*100+F122,0)=AA122,1,0))))))</f>
        <v>0</v>
      </c>
      <c r="AC122" s="69" t="str">
        <f>IF(X122&gt;0,"A"&amp;X122,IF(Z122&gt;0,"B"&amp;Z122,IF(AB122&gt;0,"C"&amp;AB122,"")))</f>
        <v/>
      </c>
    </row>
    <row r="123" spans="1:29" ht="15" customHeight="1">
      <c r="A123" s="81" t="s">
        <v>53</v>
      </c>
      <c r="B123" s="73"/>
      <c r="C123" s="73"/>
      <c r="D123" s="73"/>
      <c r="E123" s="73"/>
      <c r="F123" s="73"/>
      <c r="G123" s="73"/>
      <c r="H123" s="73"/>
      <c r="I123" s="73"/>
      <c r="J123" s="73"/>
      <c r="K123" s="73"/>
      <c r="L123" s="73"/>
      <c r="M123" s="73"/>
      <c r="N123" s="73"/>
      <c r="O123" s="73"/>
      <c r="P123" s="73"/>
      <c r="Q123" s="73"/>
      <c r="R123" s="73"/>
      <c r="S123" s="73"/>
      <c r="T123" s="73"/>
      <c r="U123" s="73"/>
      <c r="V123" s="73"/>
      <c r="W123" s="69"/>
      <c r="X123" s="69"/>
      <c r="Y123" s="69"/>
      <c r="Z123" s="69"/>
      <c r="AA123" s="69"/>
      <c r="AB123" s="69"/>
      <c r="AC123" s="69"/>
    </row>
    <row r="124" spans="1:29" ht="20.100000000000001" customHeight="1">
      <c r="A124" s="14" t="s">
        <v>54</v>
      </c>
      <c r="B124" s="15" t="s">
        <v>67</v>
      </c>
      <c r="C124" s="16" t="str">
        <f>IFERROR(INDEX(EJERCICIOS!$D$3:$D$75,MATCH(A124&amp;"|"&amp;B124,EJERCICIOS!$G$3:$G$75,0)),"--")</f>
        <v>mancuerna</v>
      </c>
      <c r="D124" s="17">
        <v>3</v>
      </c>
      <c r="E124" s="18">
        <f>IFERROR(LOOKUP(2,1/(MEDIDAS_Y_PESO!$B$3:$B$8&lt;&gt;""),MEDIDAS_Y_PESO!$B$3:$B$8),"--")</f>
        <v>80</v>
      </c>
      <c r="F124" s="19"/>
      <c r="G124" s="20"/>
      <c r="H124" s="21"/>
      <c r="I124" s="19"/>
      <c r="J124" s="20"/>
      <c r="K124" s="21"/>
      <c r="L124" s="19"/>
      <c r="M124" s="20"/>
      <c r="N124" s="21"/>
      <c r="O124" s="19"/>
      <c r="P124" s="20"/>
      <c r="Q124" s="21"/>
      <c r="R124" s="19"/>
      <c r="S124" s="20"/>
      <c r="T124" s="21"/>
      <c r="U124" s="22" t="str">
        <f>IFERROR(IF(IF(X124&gt;0,X124,IF(Z124&gt;0,Z124,IF(AB124&gt;0,AB124,0)))=0,"--",ROUND(CHOOSE(IF(X124&gt;0,X124,IF(Z124&gt;0,Z124,IF(AB124&gt;0,AB124,0))),IF(C124="peso_corporal",IF(ISNUMBER(E124),E124,0)+F124,F124)*(1+G124/30),IF(C124="peso_corporal",IF(ISNUMBER(E124),E124,0)+I124,I124)*(1+J124/30),IF(C124="peso_corporal",IF(ISNUMBER(E124),E124,0)+L124,L124)*(1+M124/30),IF(C124="peso_corporal",IF(ISNUMBER(E124),E124,0)+O124,O124)*(1+P124/30),IF(C124="peso_corporal",IF(ISNUMBER(E124),E124,0)+R124,R124)*(1+S124/30)),1)),"--")</f>
        <v>--</v>
      </c>
      <c r="V124" s="23" t="str">
        <f>IF(SUGERENCIAS!N334="SIN","Sin datos anteriores",IF(SUGERENCIAS!N334="SUBIR_F","^ SUBIR FUERTE | Kg:"&amp;ROUND(SUGERENCIAS!K334,1)&amp;" R:"&amp;ROUND(SUGERENCIAS!L334,0)&amp;" RIR:"&amp;ROUND(SUGERENCIAS!M334,0),IF(SUGERENCIAS!N334="SUBIR_E","^ SUBIR (Est.) | Kg:"&amp;ROUND(SUGERENCIAS!K334,1)&amp;" R:"&amp;ROUND(SUGERENCIAS!L334,0)&amp;" RIR:"&amp;ROUND(SUGERENCIAS!M334,0),IF(SUGERENCIAS!N334="SUBIR","^ SUBIR | Kg:"&amp;ROUND(SUGERENCIAS!K334,1)&amp;" R:"&amp;ROUND(SUGERENCIAS!L334,0)&amp;" RIR:"&amp;ROUND(SUGERENCIAS!M334,0),IF(SUGERENCIAS!N334="BAJAR","v BAJAR | Kg:"&amp;ROUND(SUGERENCIAS!K334,1)&amp;" R:"&amp;ROUND(SUGERENCIAS!L334,0)&amp;" RIR:"&amp;ROUND(SUGERENCIAS!M334,0),"= MANT | Kg:"&amp;ROUND(SUGERENCIAS!K334,1)&amp;" R:"&amp;ROUND(SUGERENCIAS!L334,0)&amp;" RIR:"&amp;ROUND(SUGERENCIAS!M334,0))))))</f>
        <v>Sin datos anteriores</v>
      </c>
      <c r="W124" s="69">
        <f>MAX(IF((G124&gt;0)*(IF(H124="",-1,H124)&gt;=0)*(IF(H124="",-1,H124)&lt;=1),IF(C124="peso_corporal",IF(ISNUMBER(E124),E124,0)+F124,F124)*G124*1000+F124,0),IF((J124&gt;0)*(IF(K124="",-1,K124)&gt;=0)*(IF(K124="",-1,K124)&lt;=1),IF(C124="peso_corporal",IF(ISNUMBER(E124),E124,0)+I124,I124)*J124*1000+I124,0),IF((M124&gt;0)*(IF(N124="",-1,N124)&gt;=0)*(IF(N124="",-1,N124)&lt;=1),IF(C124="peso_corporal",IF(ISNUMBER(E124),E124,0)+L124,L124)*M124*1000+L124,0),IF((P124&gt;0)*(IF(Q124="",-1,Q124)&gt;=0)*(IF(Q124="",-1,Q124)&lt;=1),IF(C124="peso_corporal",IF(ISNUMBER(E124),E124,0)+O124,O124)*P124*1000+O124,0),IF((S124&gt;0)*(IF(T124="",-1,T124)&gt;=0)*(IF(T124="",-1,T124)&lt;=1),IF(C124="peso_corporal",IF(ISNUMBER(E124),E124,0)+R124,R124)*S124*1000+R124,0))</f>
        <v>0</v>
      </c>
      <c r="X124" s="69">
        <f>IF(W124=0,0,IF(IF((S124&gt;0)*(IF(T124="",-1,T124)&gt;=0)*(IF(T124="",-1,T124)&lt;=1),IF(C124="peso_corporal",IF(ISNUMBER(E124),E124,0)+R124,R124)*S124*1000+R124,0)=W124,5,IF(IF((P124&gt;0)*(IF(Q124="",-1,Q124)&gt;=0)*(IF(Q124="",-1,Q124)&lt;=1),IF(C124="peso_corporal",IF(ISNUMBER(E124),E124,0)+O124,O124)*P124*1000+O124,0)=W124,4,IF(IF((M124&gt;0)*(IF(N124="",-1,N124)&gt;=0)*(IF(N124="",-1,N124)&lt;=1),IF(C124="peso_corporal",IF(ISNUMBER(E124),E124,0)+L124,L124)*M124*1000+L124,0)=W124,3,IF(IF((J124&gt;0)*(IF(K124="",-1,K124)&gt;=0)*(IF(K124="",-1,K124)&lt;=1),IF(C124="peso_corporal",IF(ISNUMBER(E124),E124,0)+I124,I124)*J124*1000+I124,0)=W124,2,IF(IF((G124&gt;0)*(IF(H124="",-1,H124)&gt;=0)*(IF(H124="",-1,H124)&lt;=1),IF(C124="peso_corporal",IF(ISNUMBER(E124),E124,0)+F124,F124)*G124*1000+F124,0)=W124,1,0))))))</f>
        <v>0</v>
      </c>
      <c r="Y124" s="69">
        <f>MAX(IF((G124&gt;0)*(IF(H124="",-1,H124)=0)*(1-(IF(H124="",-1,H124)&gt;=0)*(IF(H124="",-1,H124)&lt;=1)),IF(C124="peso_corporal",IF(ISNUMBER(E124),E124,0)+F124,F124)*G124*1000+F124,0),IF((J124&gt;0)*(IF(K124="",-1,K124)=0)*(1-(IF(K124="",-1,K124)&gt;=0)*(IF(K124="",-1,K124)&lt;=1)),IF(C124="peso_corporal",IF(ISNUMBER(E124),E124,0)+I124,I124)*J124*1000+I124,0),IF((M124&gt;0)*(IF(N124="",-1,N124)=0)*(1-(IF(N124="",-1,N124)&gt;=0)*(IF(N124="",-1,N124)&lt;=1)),IF(C124="peso_corporal",IF(ISNUMBER(E124),E124,0)+L124,L124)*M124*1000+L124,0),IF((P124&gt;0)*(IF(Q124="",-1,Q124)=0)*(1-(IF(Q124="",-1,Q124)&gt;=0)*(IF(Q124="",-1,Q124)&lt;=1)),IF(C124="peso_corporal",IF(ISNUMBER(E124),E124,0)+O124,O124)*P124*1000+O124,0),IF((S124&gt;0)*(IF(T124="",-1,T124)=0)*(1-(IF(T124="",-1,T124)&gt;=0)*(IF(T124="",-1,T124)&lt;=1)),IF(C124="peso_corporal",IF(ISNUMBER(E124),E124,0)+R124,R124)*S124*1000+R124,0))</f>
        <v>0</v>
      </c>
      <c r="Z124" s="69">
        <f>IF(Y124=0,0,IF(IF((S124&gt;0)*(IF(T124="",-1,T124)=0)*(1-(IF(T124="",-1,T124)&gt;=0)*(IF(T124="",-1,T124)&lt;=1)),IF(C124="peso_corporal",IF(ISNUMBER(E124),E124,0)+R124,R124)*S124*1000+R124,0)=Y124,5,IF(IF((P124&gt;0)*(IF(Q124="",-1,Q124)=0)*(1-(IF(Q124="",-1,Q124)&gt;=0)*(IF(Q124="",-1,Q124)&lt;=1)),IF(C124="peso_corporal",IF(ISNUMBER(E124),E124,0)+O124,O124)*P124*1000+O124,0)=Y124,4,IF(IF((M124&gt;0)*(IF(N124="",-1,N124)=0)*(1-(IF(N124="",-1,N124)&gt;=0)*(IF(N124="",-1,N124)&lt;=1)),IF(C124="peso_corporal",IF(ISNUMBER(E124),E124,0)+L124,L124)*M124*1000+L124,0)=Y124,3,IF(IF((J124&gt;0)*(IF(K124="",-1,K124)=0)*(1-(IF(K124="",-1,K124)&gt;=0)*(IF(K124="",-1,K124)&lt;=1)),IF(C124="peso_corporal",IF(ISNUMBER(E124),E124,0)+I124,I124)*J124*1000+I124,0)=Y124,2,IF(IF((G124&gt;0)*(IF(H124="",-1,H124)=0)*(1-(IF(H124="",-1,H124)&gt;=0)*(IF(H124="",-1,H124)&lt;=1)),IF(C124="peso_corporal",IF(ISNUMBER(E124),E124,0)+F124,F124)*G124*1000+F124,0)=Y124,1,0))))))</f>
        <v>0</v>
      </c>
      <c r="AA124" s="69">
        <f>MAX(IF((G124&gt;=3)*(1-(IF(H124="",-1,H124)&gt;=0)*(IF(H124="",-1,H124)&lt;=1))*(1-(IF(H124="",-1,H124)=0)),IF(C124="peso_corporal",IF(ISNUMBER(E124),E124,0)+F124,F124)*(30+G124)*100+F124,0),IF((J124&gt;=3)*(1-(IF(K124="",-1,K124)&gt;=0)*(IF(K124="",-1,K124)&lt;=1))*(1-(IF(K124="",-1,K124)=0)),IF(C124="peso_corporal",IF(ISNUMBER(E124),E124,0)+I124,I124)*(30+J124)*100+I124,0),IF((M124&gt;=3)*(1-(IF(N124="",-1,N124)&gt;=0)*(IF(N124="",-1,N124)&lt;=1))*(1-(IF(N124="",-1,N124)=0)),IF(C124="peso_corporal",IF(ISNUMBER(E124),E124,0)+L124,L124)*(30+M124)*100+L124,0),IF((P124&gt;=3)*(1-(IF(Q124="",-1,Q124)&gt;=0)*(IF(Q124="",-1,Q124)&lt;=1))*(1-(IF(Q124="",-1,Q124)=0)),IF(C124="peso_corporal",IF(ISNUMBER(E124),E124,0)+O124,O124)*(30+P124)*100+O124,0),IF((S124&gt;=3)*(1-(IF(T124="",-1,T124)&gt;=0)*(IF(T124="",-1,T124)&lt;=1))*(1-(IF(T124="",-1,T124)=0)),IF(C124="peso_corporal",IF(ISNUMBER(E124),E124,0)+R124,R124)*(30+S124)*100+R124,0))</f>
        <v>0</v>
      </c>
      <c r="AB124" s="69">
        <f>IF(AA124=0,0,IF(IF((S124&gt;=3)*(1-(IF(T124="",-1,T124)&gt;=0)*(IF(T124="",-1,T124)&lt;=1))*(1-(IF(T124="",-1,T124)=0)),IF(C124="peso_corporal",IF(ISNUMBER(E124),E124,0)+R124,R124)*(30+S124)*100+R124,0)=AA124,5,IF(IF((P124&gt;=3)*(1-(IF(Q124="",-1,Q124)&gt;=0)*(IF(Q124="",-1,Q124)&lt;=1))*(1-(IF(Q124="",-1,Q124)=0)),IF(C124="peso_corporal",IF(ISNUMBER(E124),E124,0)+O124,O124)*(30+P124)*100+O124,0)=AA124,4,IF(IF((M124&gt;=3)*(1-(IF(N124="",-1,N124)&gt;=0)*(IF(N124="",-1,N124)&lt;=1))*(1-(IF(N124="",-1,N124)=0)),IF(C124="peso_corporal",IF(ISNUMBER(E124),E124,0)+L124,L124)*(30+M124)*100+L124,0)=AA124,3,IF(IF((J124&gt;=3)*(1-(IF(K124="",-1,K124)&gt;=0)*(IF(K124="",-1,K124)&lt;=1))*(1-(IF(K124="",-1,K124)=0)),IF(C124="peso_corporal",IF(ISNUMBER(E124),E124,0)+I124,I124)*(30+J124)*100+I124,0)=AA124,2,IF(IF((G124&gt;=3)*(1-(IF(H124="",-1,H124)&gt;=0)*(IF(H124="",-1,H124)&lt;=1))*(1-(IF(H124="",-1,H124)=0)),IF(C124="peso_corporal",IF(ISNUMBER(E124),E124,0)+F124,F124)*(30+G124)*100+F124,0)=AA124,1,0))))))</f>
        <v>0</v>
      </c>
      <c r="AC124" s="69" t="str">
        <f>IF(X124&gt;0,"A"&amp;X124,IF(Z124&gt;0,"B"&amp;Z124,IF(AB124&gt;0,"C"&amp;AB124,"")))</f>
        <v/>
      </c>
    </row>
    <row r="125" spans="1:29" ht="20.100000000000001" customHeight="1">
      <c r="A125" s="14" t="s">
        <v>54</v>
      </c>
      <c r="B125" s="15" t="s">
        <v>98</v>
      </c>
      <c r="C125" s="16" t="str">
        <f>IFERROR(INDEX(EJERCICIOS!$D$3:$D$75,MATCH(A125&amp;"|"&amp;B125,EJERCICIOS!$G$3:$G$75,0)),"--")</f>
        <v>polea</v>
      </c>
      <c r="D125" s="17">
        <v>3</v>
      </c>
      <c r="E125" s="18">
        <f>IFERROR(LOOKUP(2,1/(MEDIDAS_Y_PESO!$B$3:$B$8&lt;&gt;""),MEDIDAS_Y_PESO!$B$3:$B$8),"--")</f>
        <v>80</v>
      </c>
      <c r="F125" s="19"/>
      <c r="G125" s="20"/>
      <c r="H125" s="21"/>
      <c r="I125" s="19"/>
      <c r="J125" s="20"/>
      <c r="K125" s="21"/>
      <c r="L125" s="19"/>
      <c r="M125" s="20"/>
      <c r="N125" s="21"/>
      <c r="O125" s="19"/>
      <c r="P125" s="20"/>
      <c r="Q125" s="21"/>
      <c r="R125" s="19"/>
      <c r="S125" s="20"/>
      <c r="T125" s="21"/>
      <c r="U125" s="22" t="str">
        <f>IFERROR(IF(IF(X125&gt;0,X125,IF(Z125&gt;0,Z125,IF(AB125&gt;0,AB125,0)))=0,"--",ROUND(CHOOSE(IF(X125&gt;0,X125,IF(Z125&gt;0,Z125,IF(AB125&gt;0,AB125,0))),IF(C125="peso_corporal",IF(ISNUMBER(E125),E125,0)+F125,F125)*(1+G125/30),IF(C125="peso_corporal",IF(ISNUMBER(E125),E125,0)+I125,I125)*(1+J125/30),IF(C125="peso_corporal",IF(ISNUMBER(E125),E125,0)+L125,L125)*(1+M125/30),IF(C125="peso_corporal",IF(ISNUMBER(E125),E125,0)+O125,O125)*(1+P125/30),IF(C125="peso_corporal",IF(ISNUMBER(E125),E125,0)+R125,R125)*(1+S125/30)),1)),"--")</f>
        <v>--</v>
      </c>
      <c r="V125" s="23" t="str">
        <f>IF(SUGERENCIAS!N335="SIN","Sin datos anteriores",IF(SUGERENCIAS!N335="SUBIR_F","^ SUBIR FUERTE | Kg:"&amp;ROUND(SUGERENCIAS!K335,1)&amp;" R:"&amp;ROUND(SUGERENCIAS!L335,0)&amp;" RIR:"&amp;ROUND(SUGERENCIAS!M335,0),IF(SUGERENCIAS!N335="SUBIR_E","^ SUBIR (Est.) | Kg:"&amp;ROUND(SUGERENCIAS!K335,1)&amp;" R:"&amp;ROUND(SUGERENCIAS!L335,0)&amp;" RIR:"&amp;ROUND(SUGERENCIAS!M335,0),IF(SUGERENCIAS!N335="SUBIR","^ SUBIR | Kg:"&amp;ROUND(SUGERENCIAS!K335,1)&amp;" R:"&amp;ROUND(SUGERENCIAS!L335,0)&amp;" RIR:"&amp;ROUND(SUGERENCIAS!M335,0),IF(SUGERENCIAS!N335="BAJAR","v BAJAR | Kg:"&amp;ROUND(SUGERENCIAS!K335,1)&amp;" R:"&amp;ROUND(SUGERENCIAS!L335,0)&amp;" RIR:"&amp;ROUND(SUGERENCIAS!M335,0),"= MANT | Kg:"&amp;ROUND(SUGERENCIAS!K335,1)&amp;" R:"&amp;ROUND(SUGERENCIAS!L335,0)&amp;" RIR:"&amp;ROUND(SUGERENCIAS!M335,0))))))</f>
        <v>Sin datos anteriores</v>
      </c>
      <c r="W125" s="69">
        <f>MAX(IF((G125&gt;0)*(IF(H125="",-1,H125)&gt;=0)*(IF(H125="",-1,H125)&lt;=1),IF(C125="peso_corporal",IF(ISNUMBER(E125),E125,0)+F125,F125)*G125*1000+F125,0),IF((J125&gt;0)*(IF(K125="",-1,K125)&gt;=0)*(IF(K125="",-1,K125)&lt;=1),IF(C125="peso_corporal",IF(ISNUMBER(E125),E125,0)+I125,I125)*J125*1000+I125,0),IF((M125&gt;0)*(IF(N125="",-1,N125)&gt;=0)*(IF(N125="",-1,N125)&lt;=1),IF(C125="peso_corporal",IF(ISNUMBER(E125),E125,0)+L125,L125)*M125*1000+L125,0),IF((P125&gt;0)*(IF(Q125="",-1,Q125)&gt;=0)*(IF(Q125="",-1,Q125)&lt;=1),IF(C125="peso_corporal",IF(ISNUMBER(E125),E125,0)+O125,O125)*P125*1000+O125,0),IF((S125&gt;0)*(IF(T125="",-1,T125)&gt;=0)*(IF(T125="",-1,T125)&lt;=1),IF(C125="peso_corporal",IF(ISNUMBER(E125),E125,0)+R125,R125)*S125*1000+R125,0))</f>
        <v>0</v>
      </c>
      <c r="X125" s="69">
        <f>IF(W125=0,0,IF(IF((S125&gt;0)*(IF(T125="",-1,T125)&gt;=0)*(IF(T125="",-1,T125)&lt;=1),IF(C125="peso_corporal",IF(ISNUMBER(E125),E125,0)+R125,R125)*S125*1000+R125,0)=W125,5,IF(IF((P125&gt;0)*(IF(Q125="",-1,Q125)&gt;=0)*(IF(Q125="",-1,Q125)&lt;=1),IF(C125="peso_corporal",IF(ISNUMBER(E125),E125,0)+O125,O125)*P125*1000+O125,0)=W125,4,IF(IF((M125&gt;0)*(IF(N125="",-1,N125)&gt;=0)*(IF(N125="",-1,N125)&lt;=1),IF(C125="peso_corporal",IF(ISNUMBER(E125),E125,0)+L125,L125)*M125*1000+L125,0)=W125,3,IF(IF((J125&gt;0)*(IF(K125="",-1,K125)&gt;=0)*(IF(K125="",-1,K125)&lt;=1),IF(C125="peso_corporal",IF(ISNUMBER(E125),E125,0)+I125,I125)*J125*1000+I125,0)=W125,2,IF(IF((G125&gt;0)*(IF(H125="",-1,H125)&gt;=0)*(IF(H125="",-1,H125)&lt;=1),IF(C125="peso_corporal",IF(ISNUMBER(E125),E125,0)+F125,F125)*G125*1000+F125,0)=W125,1,0))))))</f>
        <v>0</v>
      </c>
      <c r="Y125" s="69">
        <f>MAX(IF((G125&gt;0)*(IF(H125="",-1,H125)=0)*(1-(IF(H125="",-1,H125)&gt;=0)*(IF(H125="",-1,H125)&lt;=1)),IF(C125="peso_corporal",IF(ISNUMBER(E125),E125,0)+F125,F125)*G125*1000+F125,0),IF((J125&gt;0)*(IF(K125="",-1,K125)=0)*(1-(IF(K125="",-1,K125)&gt;=0)*(IF(K125="",-1,K125)&lt;=1)),IF(C125="peso_corporal",IF(ISNUMBER(E125),E125,0)+I125,I125)*J125*1000+I125,0),IF((M125&gt;0)*(IF(N125="",-1,N125)=0)*(1-(IF(N125="",-1,N125)&gt;=0)*(IF(N125="",-1,N125)&lt;=1)),IF(C125="peso_corporal",IF(ISNUMBER(E125),E125,0)+L125,L125)*M125*1000+L125,0),IF((P125&gt;0)*(IF(Q125="",-1,Q125)=0)*(1-(IF(Q125="",-1,Q125)&gt;=0)*(IF(Q125="",-1,Q125)&lt;=1)),IF(C125="peso_corporal",IF(ISNUMBER(E125),E125,0)+O125,O125)*P125*1000+O125,0),IF((S125&gt;0)*(IF(T125="",-1,T125)=0)*(1-(IF(T125="",-1,T125)&gt;=0)*(IF(T125="",-1,T125)&lt;=1)),IF(C125="peso_corporal",IF(ISNUMBER(E125),E125,0)+R125,R125)*S125*1000+R125,0))</f>
        <v>0</v>
      </c>
      <c r="Z125" s="69">
        <f>IF(Y125=0,0,IF(IF((S125&gt;0)*(IF(T125="",-1,T125)=0)*(1-(IF(T125="",-1,T125)&gt;=0)*(IF(T125="",-1,T125)&lt;=1)),IF(C125="peso_corporal",IF(ISNUMBER(E125),E125,0)+R125,R125)*S125*1000+R125,0)=Y125,5,IF(IF((P125&gt;0)*(IF(Q125="",-1,Q125)=0)*(1-(IF(Q125="",-1,Q125)&gt;=0)*(IF(Q125="",-1,Q125)&lt;=1)),IF(C125="peso_corporal",IF(ISNUMBER(E125),E125,0)+O125,O125)*P125*1000+O125,0)=Y125,4,IF(IF((M125&gt;0)*(IF(N125="",-1,N125)=0)*(1-(IF(N125="",-1,N125)&gt;=0)*(IF(N125="",-1,N125)&lt;=1)),IF(C125="peso_corporal",IF(ISNUMBER(E125),E125,0)+L125,L125)*M125*1000+L125,0)=Y125,3,IF(IF((J125&gt;0)*(IF(K125="",-1,K125)=0)*(1-(IF(K125="",-1,K125)&gt;=0)*(IF(K125="",-1,K125)&lt;=1)),IF(C125="peso_corporal",IF(ISNUMBER(E125),E125,0)+I125,I125)*J125*1000+I125,0)=Y125,2,IF(IF((G125&gt;0)*(IF(H125="",-1,H125)=0)*(1-(IF(H125="",-1,H125)&gt;=0)*(IF(H125="",-1,H125)&lt;=1)),IF(C125="peso_corporal",IF(ISNUMBER(E125),E125,0)+F125,F125)*G125*1000+F125,0)=Y125,1,0))))))</f>
        <v>0</v>
      </c>
      <c r="AA125" s="69">
        <f>MAX(IF((G125&gt;=3)*(1-(IF(H125="",-1,H125)&gt;=0)*(IF(H125="",-1,H125)&lt;=1))*(1-(IF(H125="",-1,H125)=0)),IF(C125="peso_corporal",IF(ISNUMBER(E125),E125,0)+F125,F125)*(30+G125)*100+F125,0),IF((J125&gt;=3)*(1-(IF(K125="",-1,K125)&gt;=0)*(IF(K125="",-1,K125)&lt;=1))*(1-(IF(K125="",-1,K125)=0)),IF(C125="peso_corporal",IF(ISNUMBER(E125),E125,0)+I125,I125)*(30+J125)*100+I125,0),IF((M125&gt;=3)*(1-(IF(N125="",-1,N125)&gt;=0)*(IF(N125="",-1,N125)&lt;=1))*(1-(IF(N125="",-1,N125)=0)),IF(C125="peso_corporal",IF(ISNUMBER(E125),E125,0)+L125,L125)*(30+M125)*100+L125,0),IF((P125&gt;=3)*(1-(IF(Q125="",-1,Q125)&gt;=0)*(IF(Q125="",-1,Q125)&lt;=1))*(1-(IF(Q125="",-1,Q125)=0)),IF(C125="peso_corporal",IF(ISNUMBER(E125),E125,0)+O125,O125)*(30+P125)*100+O125,0),IF((S125&gt;=3)*(1-(IF(T125="",-1,T125)&gt;=0)*(IF(T125="",-1,T125)&lt;=1))*(1-(IF(T125="",-1,T125)=0)),IF(C125="peso_corporal",IF(ISNUMBER(E125),E125,0)+R125,R125)*(30+S125)*100+R125,0))</f>
        <v>0</v>
      </c>
      <c r="AB125" s="69">
        <f>IF(AA125=0,0,IF(IF((S125&gt;=3)*(1-(IF(T125="",-1,T125)&gt;=0)*(IF(T125="",-1,T125)&lt;=1))*(1-(IF(T125="",-1,T125)=0)),IF(C125="peso_corporal",IF(ISNUMBER(E125),E125,0)+R125,R125)*(30+S125)*100+R125,0)=AA125,5,IF(IF((P125&gt;=3)*(1-(IF(Q125="",-1,Q125)&gt;=0)*(IF(Q125="",-1,Q125)&lt;=1))*(1-(IF(Q125="",-1,Q125)=0)),IF(C125="peso_corporal",IF(ISNUMBER(E125),E125,0)+O125,O125)*(30+P125)*100+O125,0)=AA125,4,IF(IF((M125&gt;=3)*(1-(IF(N125="",-1,N125)&gt;=0)*(IF(N125="",-1,N125)&lt;=1))*(1-(IF(N125="",-1,N125)=0)),IF(C125="peso_corporal",IF(ISNUMBER(E125),E125,0)+L125,L125)*(30+M125)*100+L125,0)=AA125,3,IF(IF((J125&gt;=3)*(1-(IF(K125="",-1,K125)&gt;=0)*(IF(K125="",-1,K125)&lt;=1))*(1-(IF(K125="",-1,K125)=0)),IF(C125="peso_corporal",IF(ISNUMBER(E125),E125,0)+I125,I125)*(30+J125)*100+I125,0)=AA125,2,IF(IF((G125&gt;=3)*(1-(IF(H125="",-1,H125)&gt;=0)*(IF(H125="",-1,H125)&lt;=1))*(1-(IF(H125="",-1,H125)=0)),IF(C125="peso_corporal",IF(ISNUMBER(E125),E125,0)+F125,F125)*(30+G125)*100+F125,0)=AA125,1,0))))))</f>
        <v>0</v>
      </c>
      <c r="AC125" s="69" t="str">
        <f>IF(X125&gt;0,"A"&amp;X125,IF(Z125&gt;0,"B"&amp;Z125,IF(AB125&gt;0,"C"&amp;AB125,"")))</f>
        <v/>
      </c>
    </row>
    <row r="126" spans="1:29" ht="15" customHeight="1">
      <c r="A126" s="83" t="s">
        <v>99</v>
      </c>
      <c r="B126" s="73"/>
      <c r="C126" s="73"/>
      <c r="D126" s="73"/>
      <c r="E126" s="73"/>
      <c r="F126" s="73"/>
      <c r="G126" s="73"/>
      <c r="H126" s="73"/>
      <c r="I126" s="73"/>
      <c r="J126" s="73"/>
      <c r="K126" s="73"/>
      <c r="L126" s="73"/>
      <c r="M126" s="73"/>
      <c r="N126" s="73"/>
      <c r="O126" s="73"/>
      <c r="P126" s="73"/>
      <c r="Q126" s="73"/>
      <c r="R126" s="73"/>
      <c r="S126" s="73"/>
      <c r="T126" s="73"/>
      <c r="U126" s="73"/>
      <c r="V126" s="73"/>
      <c r="W126" s="69"/>
      <c r="X126" s="69"/>
      <c r="Y126" s="69"/>
      <c r="Z126" s="69"/>
      <c r="AA126" s="69"/>
      <c r="AB126" s="69"/>
      <c r="AC126" s="69"/>
    </row>
    <row r="127" spans="1:29" ht="20.100000000000001" customHeight="1">
      <c r="A127" s="14" t="s">
        <v>100</v>
      </c>
      <c r="B127" s="15" t="s">
        <v>101</v>
      </c>
      <c r="C127" s="16" t="str">
        <f>IFERROR(INDEX(EJERCICIOS!$D$3:$D$75,MATCH(A127&amp;"|"&amp;B127,EJERCICIOS!$G$3:$G$75,0)),"--")</f>
        <v>mancuerna</v>
      </c>
      <c r="D127" s="17">
        <v>3</v>
      </c>
      <c r="E127" s="18">
        <f>IFERROR(LOOKUP(2,1/(MEDIDAS_Y_PESO!$B$3:$B$8&lt;&gt;""),MEDIDAS_Y_PESO!$B$3:$B$8),"--")</f>
        <v>80</v>
      </c>
      <c r="F127" s="19"/>
      <c r="G127" s="20"/>
      <c r="H127" s="21"/>
      <c r="I127" s="19"/>
      <c r="J127" s="20"/>
      <c r="K127" s="21"/>
      <c r="L127" s="19"/>
      <c r="M127" s="20"/>
      <c r="N127" s="21"/>
      <c r="O127" s="19"/>
      <c r="P127" s="20"/>
      <c r="Q127" s="21"/>
      <c r="R127" s="19"/>
      <c r="S127" s="20"/>
      <c r="T127" s="21"/>
      <c r="U127" s="22" t="str">
        <f>IFERROR(IF(IF(X127&gt;0,X127,IF(Z127&gt;0,Z127,IF(AB127&gt;0,AB127,0)))=0,"--",ROUND(CHOOSE(IF(X127&gt;0,X127,IF(Z127&gt;0,Z127,IF(AB127&gt;0,AB127,0))),IF(C127="peso_corporal",IF(ISNUMBER(E127),E127,0)+F127,F127)*(1+G127/30),IF(C127="peso_corporal",IF(ISNUMBER(E127),E127,0)+I127,I127)*(1+J127/30),IF(C127="peso_corporal",IF(ISNUMBER(E127),E127,0)+L127,L127)*(1+M127/30),IF(C127="peso_corporal",IF(ISNUMBER(E127),E127,0)+O127,O127)*(1+P127/30),IF(C127="peso_corporal",IF(ISNUMBER(E127),E127,0)+R127,R127)*(1+S127/30)),1)),"--")</f>
        <v>--</v>
      </c>
      <c r="V127" s="23" t="str">
        <f>IF(SUGERENCIAS!N336="SIN","Sin datos anteriores",IF(SUGERENCIAS!N336="SUBIR_F","^ SUBIR FUERTE | Kg:"&amp;ROUND(SUGERENCIAS!K336,1)&amp;" R:"&amp;ROUND(SUGERENCIAS!L336,0)&amp;" RIR:"&amp;ROUND(SUGERENCIAS!M336,0),IF(SUGERENCIAS!N336="SUBIR_E","^ SUBIR (Est.) | Kg:"&amp;ROUND(SUGERENCIAS!K336,1)&amp;" R:"&amp;ROUND(SUGERENCIAS!L336,0)&amp;" RIR:"&amp;ROUND(SUGERENCIAS!M336,0),IF(SUGERENCIAS!N336="SUBIR","^ SUBIR | Kg:"&amp;ROUND(SUGERENCIAS!K336,1)&amp;" R:"&amp;ROUND(SUGERENCIAS!L336,0)&amp;" RIR:"&amp;ROUND(SUGERENCIAS!M336,0),IF(SUGERENCIAS!N336="BAJAR","v BAJAR | Kg:"&amp;ROUND(SUGERENCIAS!K336,1)&amp;" R:"&amp;ROUND(SUGERENCIAS!L336,0)&amp;" RIR:"&amp;ROUND(SUGERENCIAS!M336,0),"= MANT | Kg:"&amp;ROUND(SUGERENCIAS!K336,1)&amp;" R:"&amp;ROUND(SUGERENCIAS!L336,0)&amp;" RIR:"&amp;ROUND(SUGERENCIAS!M336,0))))))</f>
        <v>Sin datos anteriores</v>
      </c>
      <c r="W127" s="69">
        <f>MAX(IF((G127&gt;0)*(IF(H127="",-1,H127)&gt;=0)*(IF(H127="",-1,H127)&lt;=1),IF(C127="peso_corporal",IF(ISNUMBER(E127),E127,0)+F127,F127)*G127*1000+F127,0),IF((J127&gt;0)*(IF(K127="",-1,K127)&gt;=0)*(IF(K127="",-1,K127)&lt;=1),IF(C127="peso_corporal",IF(ISNUMBER(E127),E127,0)+I127,I127)*J127*1000+I127,0),IF((M127&gt;0)*(IF(N127="",-1,N127)&gt;=0)*(IF(N127="",-1,N127)&lt;=1),IF(C127="peso_corporal",IF(ISNUMBER(E127),E127,0)+L127,L127)*M127*1000+L127,0),IF((P127&gt;0)*(IF(Q127="",-1,Q127)&gt;=0)*(IF(Q127="",-1,Q127)&lt;=1),IF(C127="peso_corporal",IF(ISNUMBER(E127),E127,0)+O127,O127)*P127*1000+O127,0),IF((S127&gt;0)*(IF(T127="",-1,T127)&gt;=0)*(IF(T127="",-1,T127)&lt;=1),IF(C127="peso_corporal",IF(ISNUMBER(E127),E127,0)+R127,R127)*S127*1000+R127,0))</f>
        <v>0</v>
      </c>
      <c r="X127" s="69">
        <f>IF(W127=0,0,IF(IF((S127&gt;0)*(IF(T127="",-1,T127)&gt;=0)*(IF(T127="",-1,T127)&lt;=1),IF(C127="peso_corporal",IF(ISNUMBER(E127),E127,0)+R127,R127)*S127*1000+R127,0)=W127,5,IF(IF((P127&gt;0)*(IF(Q127="",-1,Q127)&gt;=0)*(IF(Q127="",-1,Q127)&lt;=1),IF(C127="peso_corporal",IF(ISNUMBER(E127),E127,0)+O127,O127)*P127*1000+O127,0)=W127,4,IF(IF((M127&gt;0)*(IF(N127="",-1,N127)&gt;=0)*(IF(N127="",-1,N127)&lt;=1),IF(C127="peso_corporal",IF(ISNUMBER(E127),E127,0)+L127,L127)*M127*1000+L127,0)=W127,3,IF(IF((J127&gt;0)*(IF(K127="",-1,K127)&gt;=0)*(IF(K127="",-1,K127)&lt;=1),IF(C127="peso_corporal",IF(ISNUMBER(E127),E127,0)+I127,I127)*J127*1000+I127,0)=W127,2,IF(IF((G127&gt;0)*(IF(H127="",-1,H127)&gt;=0)*(IF(H127="",-1,H127)&lt;=1),IF(C127="peso_corporal",IF(ISNUMBER(E127),E127,0)+F127,F127)*G127*1000+F127,0)=W127,1,0))))))</f>
        <v>0</v>
      </c>
      <c r="Y127" s="69">
        <f>MAX(IF((G127&gt;0)*(IF(H127="",-1,H127)=0)*(1-(IF(H127="",-1,H127)&gt;=0)*(IF(H127="",-1,H127)&lt;=1)),IF(C127="peso_corporal",IF(ISNUMBER(E127),E127,0)+F127,F127)*G127*1000+F127,0),IF((J127&gt;0)*(IF(K127="",-1,K127)=0)*(1-(IF(K127="",-1,K127)&gt;=0)*(IF(K127="",-1,K127)&lt;=1)),IF(C127="peso_corporal",IF(ISNUMBER(E127),E127,0)+I127,I127)*J127*1000+I127,0),IF((M127&gt;0)*(IF(N127="",-1,N127)=0)*(1-(IF(N127="",-1,N127)&gt;=0)*(IF(N127="",-1,N127)&lt;=1)),IF(C127="peso_corporal",IF(ISNUMBER(E127),E127,0)+L127,L127)*M127*1000+L127,0),IF((P127&gt;0)*(IF(Q127="",-1,Q127)=0)*(1-(IF(Q127="",-1,Q127)&gt;=0)*(IF(Q127="",-1,Q127)&lt;=1)),IF(C127="peso_corporal",IF(ISNUMBER(E127),E127,0)+O127,O127)*P127*1000+O127,0),IF((S127&gt;0)*(IF(T127="",-1,T127)=0)*(1-(IF(T127="",-1,T127)&gt;=0)*(IF(T127="",-1,T127)&lt;=1)),IF(C127="peso_corporal",IF(ISNUMBER(E127),E127,0)+R127,R127)*S127*1000+R127,0))</f>
        <v>0</v>
      </c>
      <c r="Z127" s="69">
        <f>IF(Y127=0,0,IF(IF((S127&gt;0)*(IF(T127="",-1,T127)=0)*(1-(IF(T127="",-1,T127)&gt;=0)*(IF(T127="",-1,T127)&lt;=1)),IF(C127="peso_corporal",IF(ISNUMBER(E127),E127,0)+R127,R127)*S127*1000+R127,0)=Y127,5,IF(IF((P127&gt;0)*(IF(Q127="",-1,Q127)=0)*(1-(IF(Q127="",-1,Q127)&gt;=0)*(IF(Q127="",-1,Q127)&lt;=1)),IF(C127="peso_corporal",IF(ISNUMBER(E127),E127,0)+O127,O127)*P127*1000+O127,0)=Y127,4,IF(IF((M127&gt;0)*(IF(N127="",-1,N127)=0)*(1-(IF(N127="",-1,N127)&gt;=0)*(IF(N127="",-1,N127)&lt;=1)),IF(C127="peso_corporal",IF(ISNUMBER(E127),E127,0)+L127,L127)*M127*1000+L127,0)=Y127,3,IF(IF((J127&gt;0)*(IF(K127="",-1,K127)=0)*(1-(IF(K127="",-1,K127)&gt;=0)*(IF(K127="",-1,K127)&lt;=1)),IF(C127="peso_corporal",IF(ISNUMBER(E127),E127,0)+I127,I127)*J127*1000+I127,0)=Y127,2,IF(IF((G127&gt;0)*(IF(H127="",-1,H127)=0)*(1-(IF(H127="",-1,H127)&gt;=0)*(IF(H127="",-1,H127)&lt;=1)),IF(C127="peso_corporal",IF(ISNUMBER(E127),E127,0)+F127,F127)*G127*1000+F127,0)=Y127,1,0))))))</f>
        <v>0</v>
      </c>
      <c r="AA127" s="69">
        <f>MAX(IF((G127&gt;=3)*(1-(IF(H127="",-1,H127)&gt;=0)*(IF(H127="",-1,H127)&lt;=1))*(1-(IF(H127="",-1,H127)=0)),IF(C127="peso_corporal",IF(ISNUMBER(E127),E127,0)+F127,F127)*(30+G127)*100+F127,0),IF((J127&gt;=3)*(1-(IF(K127="",-1,K127)&gt;=0)*(IF(K127="",-1,K127)&lt;=1))*(1-(IF(K127="",-1,K127)=0)),IF(C127="peso_corporal",IF(ISNUMBER(E127),E127,0)+I127,I127)*(30+J127)*100+I127,0),IF((M127&gt;=3)*(1-(IF(N127="",-1,N127)&gt;=0)*(IF(N127="",-1,N127)&lt;=1))*(1-(IF(N127="",-1,N127)=0)),IF(C127="peso_corporal",IF(ISNUMBER(E127),E127,0)+L127,L127)*(30+M127)*100+L127,0),IF((P127&gt;=3)*(1-(IF(Q127="",-1,Q127)&gt;=0)*(IF(Q127="",-1,Q127)&lt;=1))*(1-(IF(Q127="",-1,Q127)=0)),IF(C127="peso_corporal",IF(ISNUMBER(E127),E127,0)+O127,O127)*(30+P127)*100+O127,0),IF((S127&gt;=3)*(1-(IF(T127="",-1,T127)&gt;=0)*(IF(T127="",-1,T127)&lt;=1))*(1-(IF(T127="",-1,T127)=0)),IF(C127="peso_corporal",IF(ISNUMBER(E127),E127,0)+R127,R127)*(30+S127)*100+R127,0))</f>
        <v>0</v>
      </c>
      <c r="AB127" s="69">
        <f>IF(AA127=0,0,IF(IF((S127&gt;=3)*(1-(IF(T127="",-1,T127)&gt;=0)*(IF(T127="",-1,T127)&lt;=1))*(1-(IF(T127="",-1,T127)=0)),IF(C127="peso_corporal",IF(ISNUMBER(E127),E127,0)+R127,R127)*(30+S127)*100+R127,0)=AA127,5,IF(IF((P127&gt;=3)*(1-(IF(Q127="",-1,Q127)&gt;=0)*(IF(Q127="",-1,Q127)&lt;=1))*(1-(IF(Q127="",-1,Q127)=0)),IF(C127="peso_corporal",IF(ISNUMBER(E127),E127,0)+O127,O127)*(30+P127)*100+O127,0)=AA127,4,IF(IF((M127&gt;=3)*(1-(IF(N127="",-1,N127)&gt;=0)*(IF(N127="",-1,N127)&lt;=1))*(1-(IF(N127="",-1,N127)=0)),IF(C127="peso_corporal",IF(ISNUMBER(E127),E127,0)+L127,L127)*(30+M127)*100+L127,0)=AA127,3,IF(IF((J127&gt;=3)*(1-(IF(K127="",-1,K127)&gt;=0)*(IF(K127="",-1,K127)&lt;=1))*(1-(IF(K127="",-1,K127)=0)),IF(C127="peso_corporal",IF(ISNUMBER(E127),E127,0)+I127,I127)*(30+J127)*100+I127,0)=AA127,2,IF(IF((G127&gt;=3)*(1-(IF(H127="",-1,H127)&gt;=0)*(IF(H127="",-1,H127)&lt;=1))*(1-(IF(H127="",-1,H127)=0)),IF(C127="peso_corporal",IF(ISNUMBER(E127),E127,0)+F127,F127)*(30+G127)*100+F127,0)=AA127,1,0))))))</f>
        <v>0</v>
      </c>
      <c r="AC127" s="69" t="str">
        <f>IF(X127&gt;0,"A"&amp;X127,IF(Z127&gt;0,"B"&amp;Z127,IF(AB127&gt;0,"C"&amp;AB127,"")))</f>
        <v/>
      </c>
    </row>
    <row r="128" spans="1:29" ht="20.100000000000001" customHeight="1">
      <c r="A128" s="14" t="s">
        <v>100</v>
      </c>
      <c r="B128" s="15" t="s">
        <v>102</v>
      </c>
      <c r="C128" s="16" t="str">
        <f>IFERROR(INDEX(EJERCICIOS!$D$3:$D$75,MATCH(A128&amp;"|"&amp;B128,EJERCICIOS!$G$3:$G$75,0)),"--")</f>
        <v>mancuerna</v>
      </c>
      <c r="D128" s="17">
        <v>3</v>
      </c>
      <c r="E128" s="18">
        <f>IFERROR(LOOKUP(2,1/(MEDIDAS_Y_PESO!$B$3:$B$8&lt;&gt;""),MEDIDAS_Y_PESO!$B$3:$B$8),"--")</f>
        <v>80</v>
      </c>
      <c r="F128" s="19"/>
      <c r="G128" s="20"/>
      <c r="H128" s="21"/>
      <c r="I128" s="19"/>
      <c r="J128" s="20"/>
      <c r="K128" s="21"/>
      <c r="L128" s="19"/>
      <c r="M128" s="20"/>
      <c r="N128" s="21"/>
      <c r="O128" s="19"/>
      <c r="P128" s="20"/>
      <c r="Q128" s="21"/>
      <c r="R128" s="19"/>
      <c r="S128" s="20"/>
      <c r="T128" s="21"/>
      <c r="U128" s="22" t="str">
        <f>IFERROR(IF(IF(X128&gt;0,X128,IF(Z128&gt;0,Z128,IF(AB128&gt;0,AB128,0)))=0,"--",ROUND(CHOOSE(IF(X128&gt;0,X128,IF(Z128&gt;0,Z128,IF(AB128&gt;0,AB128,0))),IF(C128="peso_corporal",IF(ISNUMBER(E128),E128,0)+F128,F128)*(1+G128/30),IF(C128="peso_corporal",IF(ISNUMBER(E128),E128,0)+I128,I128)*(1+J128/30),IF(C128="peso_corporal",IF(ISNUMBER(E128),E128,0)+L128,L128)*(1+M128/30),IF(C128="peso_corporal",IF(ISNUMBER(E128),E128,0)+O128,O128)*(1+P128/30),IF(C128="peso_corporal",IF(ISNUMBER(E128),E128,0)+R128,R128)*(1+S128/30)),1)),"--")</f>
        <v>--</v>
      </c>
      <c r="V128" s="23" t="str">
        <f>IF(SUGERENCIAS!N337="SIN","Sin datos anteriores",IF(SUGERENCIAS!N337="SUBIR_F","^ SUBIR FUERTE | Kg:"&amp;ROUND(SUGERENCIAS!K337,1)&amp;" R:"&amp;ROUND(SUGERENCIAS!L337,0)&amp;" RIR:"&amp;ROUND(SUGERENCIAS!M337,0),IF(SUGERENCIAS!N337="SUBIR_E","^ SUBIR (Est.) | Kg:"&amp;ROUND(SUGERENCIAS!K337,1)&amp;" R:"&amp;ROUND(SUGERENCIAS!L337,0)&amp;" RIR:"&amp;ROUND(SUGERENCIAS!M337,0),IF(SUGERENCIAS!N337="SUBIR","^ SUBIR | Kg:"&amp;ROUND(SUGERENCIAS!K337,1)&amp;" R:"&amp;ROUND(SUGERENCIAS!L337,0)&amp;" RIR:"&amp;ROUND(SUGERENCIAS!M337,0),IF(SUGERENCIAS!N337="BAJAR","v BAJAR | Kg:"&amp;ROUND(SUGERENCIAS!K337,1)&amp;" R:"&amp;ROUND(SUGERENCIAS!L337,0)&amp;" RIR:"&amp;ROUND(SUGERENCIAS!M337,0),"= MANT | Kg:"&amp;ROUND(SUGERENCIAS!K337,1)&amp;" R:"&amp;ROUND(SUGERENCIAS!L337,0)&amp;" RIR:"&amp;ROUND(SUGERENCIAS!M337,0))))))</f>
        <v>Sin datos anteriores</v>
      </c>
      <c r="W128" s="69">
        <f>MAX(IF((G128&gt;0)*(IF(H128="",-1,H128)&gt;=0)*(IF(H128="",-1,H128)&lt;=1),IF(C128="peso_corporal",IF(ISNUMBER(E128),E128,0)+F128,F128)*G128*1000+F128,0),IF((J128&gt;0)*(IF(K128="",-1,K128)&gt;=0)*(IF(K128="",-1,K128)&lt;=1),IF(C128="peso_corporal",IF(ISNUMBER(E128),E128,0)+I128,I128)*J128*1000+I128,0),IF((M128&gt;0)*(IF(N128="",-1,N128)&gt;=0)*(IF(N128="",-1,N128)&lt;=1),IF(C128="peso_corporal",IF(ISNUMBER(E128),E128,0)+L128,L128)*M128*1000+L128,0),IF((P128&gt;0)*(IF(Q128="",-1,Q128)&gt;=0)*(IF(Q128="",-1,Q128)&lt;=1),IF(C128="peso_corporal",IF(ISNUMBER(E128),E128,0)+O128,O128)*P128*1000+O128,0),IF((S128&gt;0)*(IF(T128="",-1,T128)&gt;=0)*(IF(T128="",-1,T128)&lt;=1),IF(C128="peso_corporal",IF(ISNUMBER(E128),E128,0)+R128,R128)*S128*1000+R128,0))</f>
        <v>0</v>
      </c>
      <c r="X128" s="69">
        <f>IF(W128=0,0,IF(IF((S128&gt;0)*(IF(T128="",-1,T128)&gt;=0)*(IF(T128="",-1,T128)&lt;=1),IF(C128="peso_corporal",IF(ISNUMBER(E128),E128,0)+R128,R128)*S128*1000+R128,0)=W128,5,IF(IF((P128&gt;0)*(IF(Q128="",-1,Q128)&gt;=0)*(IF(Q128="",-1,Q128)&lt;=1),IF(C128="peso_corporal",IF(ISNUMBER(E128),E128,0)+O128,O128)*P128*1000+O128,0)=W128,4,IF(IF((M128&gt;0)*(IF(N128="",-1,N128)&gt;=0)*(IF(N128="",-1,N128)&lt;=1),IF(C128="peso_corporal",IF(ISNUMBER(E128),E128,0)+L128,L128)*M128*1000+L128,0)=W128,3,IF(IF((J128&gt;0)*(IF(K128="",-1,K128)&gt;=0)*(IF(K128="",-1,K128)&lt;=1),IF(C128="peso_corporal",IF(ISNUMBER(E128),E128,0)+I128,I128)*J128*1000+I128,0)=W128,2,IF(IF((G128&gt;0)*(IF(H128="",-1,H128)&gt;=0)*(IF(H128="",-1,H128)&lt;=1),IF(C128="peso_corporal",IF(ISNUMBER(E128),E128,0)+F128,F128)*G128*1000+F128,0)=W128,1,0))))))</f>
        <v>0</v>
      </c>
      <c r="Y128" s="69">
        <f>MAX(IF((G128&gt;0)*(IF(H128="",-1,H128)=0)*(1-(IF(H128="",-1,H128)&gt;=0)*(IF(H128="",-1,H128)&lt;=1)),IF(C128="peso_corporal",IF(ISNUMBER(E128),E128,0)+F128,F128)*G128*1000+F128,0),IF((J128&gt;0)*(IF(K128="",-1,K128)=0)*(1-(IF(K128="",-1,K128)&gt;=0)*(IF(K128="",-1,K128)&lt;=1)),IF(C128="peso_corporal",IF(ISNUMBER(E128),E128,0)+I128,I128)*J128*1000+I128,0),IF((M128&gt;0)*(IF(N128="",-1,N128)=0)*(1-(IF(N128="",-1,N128)&gt;=0)*(IF(N128="",-1,N128)&lt;=1)),IF(C128="peso_corporal",IF(ISNUMBER(E128),E128,0)+L128,L128)*M128*1000+L128,0),IF((P128&gt;0)*(IF(Q128="",-1,Q128)=0)*(1-(IF(Q128="",-1,Q128)&gt;=0)*(IF(Q128="",-1,Q128)&lt;=1)),IF(C128="peso_corporal",IF(ISNUMBER(E128),E128,0)+O128,O128)*P128*1000+O128,0),IF((S128&gt;0)*(IF(T128="",-1,T128)=0)*(1-(IF(T128="",-1,T128)&gt;=0)*(IF(T128="",-1,T128)&lt;=1)),IF(C128="peso_corporal",IF(ISNUMBER(E128),E128,0)+R128,R128)*S128*1000+R128,0))</f>
        <v>0</v>
      </c>
      <c r="Z128" s="69">
        <f>IF(Y128=0,0,IF(IF((S128&gt;0)*(IF(T128="",-1,T128)=0)*(1-(IF(T128="",-1,T128)&gt;=0)*(IF(T128="",-1,T128)&lt;=1)),IF(C128="peso_corporal",IF(ISNUMBER(E128),E128,0)+R128,R128)*S128*1000+R128,0)=Y128,5,IF(IF((P128&gt;0)*(IF(Q128="",-1,Q128)=0)*(1-(IF(Q128="",-1,Q128)&gt;=0)*(IF(Q128="",-1,Q128)&lt;=1)),IF(C128="peso_corporal",IF(ISNUMBER(E128),E128,0)+O128,O128)*P128*1000+O128,0)=Y128,4,IF(IF((M128&gt;0)*(IF(N128="",-1,N128)=0)*(1-(IF(N128="",-1,N128)&gt;=0)*(IF(N128="",-1,N128)&lt;=1)),IF(C128="peso_corporal",IF(ISNUMBER(E128),E128,0)+L128,L128)*M128*1000+L128,0)=Y128,3,IF(IF((J128&gt;0)*(IF(K128="",-1,K128)=0)*(1-(IF(K128="",-1,K128)&gt;=0)*(IF(K128="",-1,K128)&lt;=1)),IF(C128="peso_corporal",IF(ISNUMBER(E128),E128,0)+I128,I128)*J128*1000+I128,0)=Y128,2,IF(IF((G128&gt;0)*(IF(H128="",-1,H128)=0)*(1-(IF(H128="",-1,H128)&gt;=0)*(IF(H128="",-1,H128)&lt;=1)),IF(C128="peso_corporal",IF(ISNUMBER(E128),E128,0)+F128,F128)*G128*1000+F128,0)=Y128,1,0))))))</f>
        <v>0</v>
      </c>
      <c r="AA128" s="69">
        <f>MAX(IF((G128&gt;=3)*(1-(IF(H128="",-1,H128)&gt;=0)*(IF(H128="",-1,H128)&lt;=1))*(1-(IF(H128="",-1,H128)=0)),IF(C128="peso_corporal",IF(ISNUMBER(E128),E128,0)+F128,F128)*(30+G128)*100+F128,0),IF((J128&gt;=3)*(1-(IF(K128="",-1,K128)&gt;=0)*(IF(K128="",-1,K128)&lt;=1))*(1-(IF(K128="",-1,K128)=0)),IF(C128="peso_corporal",IF(ISNUMBER(E128),E128,0)+I128,I128)*(30+J128)*100+I128,0),IF((M128&gt;=3)*(1-(IF(N128="",-1,N128)&gt;=0)*(IF(N128="",-1,N128)&lt;=1))*(1-(IF(N128="",-1,N128)=0)),IF(C128="peso_corporal",IF(ISNUMBER(E128),E128,0)+L128,L128)*(30+M128)*100+L128,0),IF((P128&gt;=3)*(1-(IF(Q128="",-1,Q128)&gt;=0)*(IF(Q128="",-1,Q128)&lt;=1))*(1-(IF(Q128="",-1,Q128)=0)),IF(C128="peso_corporal",IF(ISNUMBER(E128),E128,0)+O128,O128)*(30+P128)*100+O128,0),IF((S128&gt;=3)*(1-(IF(T128="",-1,T128)&gt;=0)*(IF(T128="",-1,T128)&lt;=1))*(1-(IF(T128="",-1,T128)=0)),IF(C128="peso_corporal",IF(ISNUMBER(E128),E128,0)+R128,R128)*(30+S128)*100+R128,0))</f>
        <v>0</v>
      </c>
      <c r="AB128" s="69">
        <f>IF(AA128=0,0,IF(IF((S128&gt;=3)*(1-(IF(T128="",-1,T128)&gt;=0)*(IF(T128="",-1,T128)&lt;=1))*(1-(IF(T128="",-1,T128)=0)),IF(C128="peso_corporal",IF(ISNUMBER(E128),E128,0)+R128,R128)*(30+S128)*100+R128,0)=AA128,5,IF(IF((P128&gt;=3)*(1-(IF(Q128="",-1,Q128)&gt;=0)*(IF(Q128="",-1,Q128)&lt;=1))*(1-(IF(Q128="",-1,Q128)=0)),IF(C128="peso_corporal",IF(ISNUMBER(E128),E128,0)+O128,O128)*(30+P128)*100+O128,0)=AA128,4,IF(IF((M128&gt;=3)*(1-(IF(N128="",-1,N128)&gt;=0)*(IF(N128="",-1,N128)&lt;=1))*(1-(IF(N128="",-1,N128)=0)),IF(C128="peso_corporal",IF(ISNUMBER(E128),E128,0)+L128,L128)*(30+M128)*100+L128,0)=AA128,3,IF(IF((J128&gt;=3)*(1-(IF(K128="",-1,K128)&gt;=0)*(IF(K128="",-1,K128)&lt;=1))*(1-(IF(K128="",-1,K128)=0)),IF(C128="peso_corporal",IF(ISNUMBER(E128),E128,0)+I128,I128)*(30+J128)*100+I128,0)=AA128,2,IF(IF((G128&gt;=3)*(1-(IF(H128="",-1,H128)&gt;=0)*(IF(H128="",-1,H128)&lt;=1))*(1-(IF(H128="",-1,H128)=0)),IF(C128="peso_corporal",IF(ISNUMBER(E128),E128,0)+F128,F128)*(30+G128)*100+F128,0)=AA128,1,0))))))</f>
        <v>0</v>
      </c>
      <c r="AC128" s="69" t="str">
        <f>IF(X128&gt;0,"A"&amp;X128,IF(Z128&gt;0,"B"&amp;Z128,IF(AB128&gt;0,"C"&amp;AB128,"")))</f>
        <v/>
      </c>
    </row>
    <row r="129" spans="1:29" ht="15" customHeight="1">
      <c r="A129" s="83" t="s">
        <v>103</v>
      </c>
      <c r="B129" s="73"/>
      <c r="C129" s="73"/>
      <c r="D129" s="73"/>
      <c r="E129" s="73"/>
      <c r="F129" s="73"/>
      <c r="G129" s="73"/>
      <c r="H129" s="73"/>
      <c r="I129" s="73"/>
      <c r="J129" s="73"/>
      <c r="K129" s="73"/>
      <c r="L129" s="73"/>
      <c r="M129" s="73"/>
      <c r="N129" s="73"/>
      <c r="O129" s="73"/>
      <c r="P129" s="73"/>
      <c r="Q129" s="73"/>
      <c r="R129" s="73"/>
      <c r="S129" s="73"/>
      <c r="T129" s="73"/>
      <c r="U129" s="73"/>
      <c r="V129" s="73"/>
      <c r="W129" s="69"/>
      <c r="X129" s="69"/>
      <c r="Y129" s="69"/>
      <c r="Z129" s="69"/>
      <c r="AA129" s="69"/>
      <c r="AB129" s="69"/>
      <c r="AC129" s="69"/>
    </row>
    <row r="130" spans="1:29" ht="20.100000000000001" customHeight="1">
      <c r="A130" s="14" t="s">
        <v>104</v>
      </c>
      <c r="B130" s="15" t="s">
        <v>105</v>
      </c>
      <c r="C130" s="16" t="str">
        <f>IFERROR(INDEX(EJERCICIOS!$D$3:$D$75,MATCH(A130&amp;"|"&amp;B130,EJERCICIOS!$G$3:$G$75,0)),"--")</f>
        <v>mancuerna</v>
      </c>
      <c r="D130" s="17">
        <v>3</v>
      </c>
      <c r="E130" s="18">
        <f>IFERROR(LOOKUP(2,1/(MEDIDAS_Y_PESO!$B$3:$B$8&lt;&gt;""),MEDIDAS_Y_PESO!$B$3:$B$8),"--")</f>
        <v>80</v>
      </c>
      <c r="F130" s="19"/>
      <c r="G130" s="20"/>
      <c r="H130" s="21"/>
      <c r="I130" s="19"/>
      <c r="J130" s="20"/>
      <c r="K130" s="21"/>
      <c r="L130" s="19"/>
      <c r="M130" s="20"/>
      <c r="N130" s="21"/>
      <c r="O130" s="19"/>
      <c r="P130" s="20"/>
      <c r="Q130" s="21"/>
      <c r="R130" s="19"/>
      <c r="S130" s="20"/>
      <c r="T130" s="21"/>
      <c r="U130" s="22" t="str">
        <f>IFERROR(IF(IF(X130&gt;0,X130,IF(Z130&gt;0,Z130,IF(AB130&gt;0,AB130,0)))=0,"--",ROUND(CHOOSE(IF(X130&gt;0,X130,IF(Z130&gt;0,Z130,IF(AB130&gt;0,AB130,0))),IF(C130="peso_corporal",IF(ISNUMBER(E130),E130,0)+F130,F130)*(1+G130/30),IF(C130="peso_corporal",IF(ISNUMBER(E130),E130,0)+I130,I130)*(1+J130/30),IF(C130="peso_corporal",IF(ISNUMBER(E130),E130,0)+L130,L130)*(1+M130/30),IF(C130="peso_corporal",IF(ISNUMBER(E130),E130,0)+O130,O130)*(1+P130/30),IF(C130="peso_corporal",IF(ISNUMBER(E130),E130,0)+R130,R130)*(1+S130/30)),1)),"--")</f>
        <v>--</v>
      </c>
      <c r="V130" s="23" t="str">
        <f>IF(SUGERENCIAS!N338="SIN","Sin datos anteriores",IF(SUGERENCIAS!N338="SUBIR_F","^ SUBIR FUERTE | Kg:"&amp;ROUND(SUGERENCIAS!K338,1)&amp;" R:"&amp;ROUND(SUGERENCIAS!L338,0)&amp;" RIR:"&amp;ROUND(SUGERENCIAS!M338,0),IF(SUGERENCIAS!N338="SUBIR_E","^ SUBIR (Est.) | Kg:"&amp;ROUND(SUGERENCIAS!K338,1)&amp;" R:"&amp;ROUND(SUGERENCIAS!L338,0)&amp;" RIR:"&amp;ROUND(SUGERENCIAS!M338,0),IF(SUGERENCIAS!N338="SUBIR","^ SUBIR | Kg:"&amp;ROUND(SUGERENCIAS!K338,1)&amp;" R:"&amp;ROUND(SUGERENCIAS!L338,0)&amp;" RIR:"&amp;ROUND(SUGERENCIAS!M338,0),IF(SUGERENCIAS!N338="BAJAR","v BAJAR | Kg:"&amp;ROUND(SUGERENCIAS!K338,1)&amp;" R:"&amp;ROUND(SUGERENCIAS!L338,0)&amp;" RIR:"&amp;ROUND(SUGERENCIAS!M338,0),"= MANT | Kg:"&amp;ROUND(SUGERENCIAS!K338,1)&amp;" R:"&amp;ROUND(SUGERENCIAS!L338,0)&amp;" RIR:"&amp;ROUND(SUGERENCIAS!M338,0))))))</f>
        <v>Sin datos anteriores</v>
      </c>
      <c r="W130" s="69">
        <f>MAX(IF((G130&gt;0)*(IF(H130="",-1,H130)&gt;=0)*(IF(H130="",-1,H130)&lt;=1),IF(C130="peso_corporal",IF(ISNUMBER(E130),E130,0)+F130,F130)*G130*1000+F130,0),IF((J130&gt;0)*(IF(K130="",-1,K130)&gt;=0)*(IF(K130="",-1,K130)&lt;=1),IF(C130="peso_corporal",IF(ISNUMBER(E130),E130,0)+I130,I130)*J130*1000+I130,0),IF((M130&gt;0)*(IF(N130="",-1,N130)&gt;=0)*(IF(N130="",-1,N130)&lt;=1),IF(C130="peso_corporal",IF(ISNUMBER(E130),E130,0)+L130,L130)*M130*1000+L130,0),IF((P130&gt;0)*(IF(Q130="",-1,Q130)&gt;=0)*(IF(Q130="",-1,Q130)&lt;=1),IF(C130="peso_corporal",IF(ISNUMBER(E130),E130,0)+O130,O130)*P130*1000+O130,0),IF((S130&gt;0)*(IF(T130="",-1,T130)&gt;=0)*(IF(T130="",-1,T130)&lt;=1),IF(C130="peso_corporal",IF(ISNUMBER(E130),E130,0)+R130,R130)*S130*1000+R130,0))</f>
        <v>0</v>
      </c>
      <c r="X130" s="69">
        <f>IF(W130=0,0,IF(IF((S130&gt;0)*(IF(T130="",-1,T130)&gt;=0)*(IF(T130="",-1,T130)&lt;=1),IF(C130="peso_corporal",IF(ISNUMBER(E130),E130,0)+R130,R130)*S130*1000+R130,0)=W130,5,IF(IF((P130&gt;0)*(IF(Q130="",-1,Q130)&gt;=0)*(IF(Q130="",-1,Q130)&lt;=1),IF(C130="peso_corporal",IF(ISNUMBER(E130),E130,0)+O130,O130)*P130*1000+O130,0)=W130,4,IF(IF((M130&gt;0)*(IF(N130="",-1,N130)&gt;=0)*(IF(N130="",-1,N130)&lt;=1),IF(C130="peso_corporal",IF(ISNUMBER(E130),E130,0)+L130,L130)*M130*1000+L130,0)=W130,3,IF(IF((J130&gt;0)*(IF(K130="",-1,K130)&gt;=0)*(IF(K130="",-1,K130)&lt;=1),IF(C130="peso_corporal",IF(ISNUMBER(E130),E130,0)+I130,I130)*J130*1000+I130,0)=W130,2,IF(IF((G130&gt;0)*(IF(H130="",-1,H130)&gt;=0)*(IF(H130="",-1,H130)&lt;=1),IF(C130="peso_corporal",IF(ISNUMBER(E130),E130,0)+F130,F130)*G130*1000+F130,0)=W130,1,0))))))</f>
        <v>0</v>
      </c>
      <c r="Y130" s="69">
        <f>MAX(IF((G130&gt;0)*(IF(H130="",-1,H130)=0)*(1-(IF(H130="",-1,H130)&gt;=0)*(IF(H130="",-1,H130)&lt;=1)),IF(C130="peso_corporal",IF(ISNUMBER(E130),E130,0)+F130,F130)*G130*1000+F130,0),IF((J130&gt;0)*(IF(K130="",-1,K130)=0)*(1-(IF(K130="",-1,K130)&gt;=0)*(IF(K130="",-1,K130)&lt;=1)),IF(C130="peso_corporal",IF(ISNUMBER(E130),E130,0)+I130,I130)*J130*1000+I130,0),IF((M130&gt;0)*(IF(N130="",-1,N130)=0)*(1-(IF(N130="",-1,N130)&gt;=0)*(IF(N130="",-1,N130)&lt;=1)),IF(C130="peso_corporal",IF(ISNUMBER(E130),E130,0)+L130,L130)*M130*1000+L130,0),IF((P130&gt;0)*(IF(Q130="",-1,Q130)=0)*(1-(IF(Q130="",-1,Q130)&gt;=0)*(IF(Q130="",-1,Q130)&lt;=1)),IF(C130="peso_corporal",IF(ISNUMBER(E130),E130,0)+O130,O130)*P130*1000+O130,0),IF((S130&gt;0)*(IF(T130="",-1,T130)=0)*(1-(IF(T130="",-1,T130)&gt;=0)*(IF(T130="",-1,T130)&lt;=1)),IF(C130="peso_corporal",IF(ISNUMBER(E130),E130,0)+R130,R130)*S130*1000+R130,0))</f>
        <v>0</v>
      </c>
      <c r="Z130" s="69">
        <f>IF(Y130=0,0,IF(IF((S130&gt;0)*(IF(T130="",-1,T130)=0)*(1-(IF(T130="",-1,T130)&gt;=0)*(IF(T130="",-1,T130)&lt;=1)),IF(C130="peso_corporal",IF(ISNUMBER(E130),E130,0)+R130,R130)*S130*1000+R130,0)=Y130,5,IF(IF((P130&gt;0)*(IF(Q130="",-1,Q130)=0)*(1-(IF(Q130="",-1,Q130)&gt;=0)*(IF(Q130="",-1,Q130)&lt;=1)),IF(C130="peso_corporal",IF(ISNUMBER(E130),E130,0)+O130,O130)*P130*1000+O130,0)=Y130,4,IF(IF((M130&gt;0)*(IF(N130="",-1,N130)=0)*(1-(IF(N130="",-1,N130)&gt;=0)*(IF(N130="",-1,N130)&lt;=1)),IF(C130="peso_corporal",IF(ISNUMBER(E130),E130,0)+L130,L130)*M130*1000+L130,0)=Y130,3,IF(IF((J130&gt;0)*(IF(K130="",-1,K130)=0)*(1-(IF(K130="",-1,K130)&gt;=0)*(IF(K130="",-1,K130)&lt;=1)),IF(C130="peso_corporal",IF(ISNUMBER(E130),E130,0)+I130,I130)*J130*1000+I130,0)=Y130,2,IF(IF((G130&gt;0)*(IF(H130="",-1,H130)=0)*(1-(IF(H130="",-1,H130)&gt;=0)*(IF(H130="",-1,H130)&lt;=1)),IF(C130="peso_corporal",IF(ISNUMBER(E130),E130,0)+F130,F130)*G130*1000+F130,0)=Y130,1,0))))))</f>
        <v>0</v>
      </c>
      <c r="AA130" s="69">
        <f>MAX(IF((G130&gt;=3)*(1-(IF(H130="",-1,H130)&gt;=0)*(IF(H130="",-1,H130)&lt;=1))*(1-(IF(H130="",-1,H130)=0)),IF(C130="peso_corporal",IF(ISNUMBER(E130),E130,0)+F130,F130)*(30+G130)*100+F130,0),IF((J130&gt;=3)*(1-(IF(K130="",-1,K130)&gt;=0)*(IF(K130="",-1,K130)&lt;=1))*(1-(IF(K130="",-1,K130)=0)),IF(C130="peso_corporal",IF(ISNUMBER(E130),E130,0)+I130,I130)*(30+J130)*100+I130,0),IF((M130&gt;=3)*(1-(IF(N130="",-1,N130)&gt;=0)*(IF(N130="",-1,N130)&lt;=1))*(1-(IF(N130="",-1,N130)=0)),IF(C130="peso_corporal",IF(ISNUMBER(E130),E130,0)+L130,L130)*(30+M130)*100+L130,0),IF((P130&gt;=3)*(1-(IF(Q130="",-1,Q130)&gt;=0)*(IF(Q130="",-1,Q130)&lt;=1))*(1-(IF(Q130="",-1,Q130)=0)),IF(C130="peso_corporal",IF(ISNUMBER(E130),E130,0)+O130,O130)*(30+P130)*100+O130,0),IF((S130&gt;=3)*(1-(IF(T130="",-1,T130)&gt;=0)*(IF(T130="",-1,T130)&lt;=1))*(1-(IF(T130="",-1,T130)=0)),IF(C130="peso_corporal",IF(ISNUMBER(E130),E130,0)+R130,R130)*(30+S130)*100+R130,0))</f>
        <v>0</v>
      </c>
      <c r="AB130" s="69">
        <f>IF(AA130=0,0,IF(IF((S130&gt;=3)*(1-(IF(T130="",-1,T130)&gt;=0)*(IF(T130="",-1,T130)&lt;=1))*(1-(IF(T130="",-1,T130)=0)),IF(C130="peso_corporal",IF(ISNUMBER(E130),E130,0)+R130,R130)*(30+S130)*100+R130,0)=AA130,5,IF(IF((P130&gt;=3)*(1-(IF(Q130="",-1,Q130)&gt;=0)*(IF(Q130="",-1,Q130)&lt;=1))*(1-(IF(Q130="",-1,Q130)=0)),IF(C130="peso_corporal",IF(ISNUMBER(E130),E130,0)+O130,O130)*(30+P130)*100+O130,0)=AA130,4,IF(IF((M130&gt;=3)*(1-(IF(N130="",-1,N130)&gt;=0)*(IF(N130="",-1,N130)&lt;=1))*(1-(IF(N130="",-1,N130)=0)),IF(C130="peso_corporal",IF(ISNUMBER(E130),E130,0)+L130,L130)*(30+M130)*100+L130,0)=AA130,3,IF(IF((J130&gt;=3)*(1-(IF(K130="",-1,K130)&gt;=0)*(IF(K130="",-1,K130)&lt;=1))*(1-(IF(K130="",-1,K130)=0)),IF(C130="peso_corporal",IF(ISNUMBER(E130),E130,0)+I130,I130)*(30+J130)*100+I130,0)=AA130,2,IF(IF((G130&gt;=3)*(1-(IF(H130="",-1,H130)&gt;=0)*(IF(H130="",-1,H130)&lt;=1))*(1-(IF(H130="",-1,H130)=0)),IF(C130="peso_corporal",IF(ISNUMBER(E130),E130,0)+F130,F130)*(30+G130)*100+F130,0)=AA130,1,0))))))</f>
        <v>0</v>
      </c>
      <c r="AC130" s="69" t="str">
        <f>IF(X130&gt;0,"A"&amp;X130,IF(Z130&gt;0,"B"&amp;Z130,IF(AB130&gt;0,"C"&amp;AB130,"")))</f>
        <v/>
      </c>
    </row>
    <row r="131" spans="1:29" ht="15" customHeight="1">
      <c r="A131" s="82" t="s">
        <v>47</v>
      </c>
      <c r="B131" s="73"/>
      <c r="C131" s="73"/>
      <c r="D131" s="73"/>
      <c r="E131" s="73"/>
      <c r="F131" s="73"/>
      <c r="G131" s="73"/>
      <c r="H131" s="73"/>
      <c r="I131" s="73"/>
      <c r="J131" s="73"/>
      <c r="K131" s="73"/>
      <c r="L131" s="73"/>
      <c r="M131" s="73"/>
      <c r="N131" s="73"/>
      <c r="O131" s="73"/>
      <c r="P131" s="73"/>
      <c r="Q131" s="73"/>
      <c r="R131" s="73"/>
      <c r="S131" s="73"/>
      <c r="T131" s="73"/>
      <c r="U131" s="73"/>
      <c r="V131" s="73"/>
      <c r="W131" s="69"/>
      <c r="X131" s="69"/>
      <c r="Y131" s="69"/>
      <c r="Z131" s="69"/>
      <c r="AA131" s="69"/>
      <c r="AB131" s="69"/>
      <c r="AC131" s="69"/>
    </row>
    <row r="132" spans="1:29" ht="20.100000000000001" customHeight="1">
      <c r="A132" s="14" t="s">
        <v>106</v>
      </c>
      <c r="B132" s="15" t="s">
        <v>107</v>
      </c>
      <c r="C132" s="16" t="str">
        <f>IFERROR(INDEX(EJERCICIOS!$D$3:$D$75,MATCH(A132&amp;"|"&amp;B132,EJERCICIOS!$G$3:$G$75,0)),"--")</f>
        <v>--</v>
      </c>
      <c r="D132" s="17">
        <v>3</v>
      </c>
      <c r="E132" s="18">
        <f>IFERROR(LOOKUP(2,1/(MEDIDAS_Y_PESO!$B$3:$B$8&lt;&gt;""),MEDIDAS_Y_PESO!$B$3:$B$8),"--")</f>
        <v>80</v>
      </c>
      <c r="F132" s="19"/>
      <c r="G132" s="20"/>
      <c r="H132" s="21"/>
      <c r="I132" s="19"/>
      <c r="J132" s="20"/>
      <c r="K132" s="21"/>
      <c r="L132" s="19"/>
      <c r="M132" s="20"/>
      <c r="N132" s="21"/>
      <c r="O132" s="19"/>
      <c r="P132" s="20"/>
      <c r="Q132" s="21"/>
      <c r="R132" s="19"/>
      <c r="S132" s="20"/>
      <c r="T132" s="21"/>
      <c r="U132" s="22" t="str">
        <f>IFERROR(IF(IF(X132&gt;0,X132,IF(Z132&gt;0,Z132,IF(AB132&gt;0,AB132,0)))=0,"--",ROUND(CHOOSE(IF(X132&gt;0,X132,IF(Z132&gt;0,Z132,IF(AB132&gt;0,AB132,0))),IF(C132="peso_corporal",IF(ISNUMBER(E132),E132,0)+F132,F132)*(1+G132/30),IF(C132="peso_corporal",IF(ISNUMBER(E132),E132,0)+I132,I132)*(1+J132/30),IF(C132="peso_corporal",IF(ISNUMBER(E132),E132,0)+L132,L132)*(1+M132/30),IF(C132="peso_corporal",IF(ISNUMBER(E132),E132,0)+O132,O132)*(1+P132/30),IF(C132="peso_corporal",IF(ISNUMBER(E132),E132,0)+R132,R132)*(1+S132/30)),1)),"--")</f>
        <v>--</v>
      </c>
      <c r="V132" s="23" t="str">
        <f>IF(SUGERENCIAS!N339="SIN","Sin datos anteriores",IF(SUGERENCIAS!N339="SUBIR_F","^ SUBIR FUERTE | Kg:"&amp;ROUND(SUGERENCIAS!K339,1)&amp;" R:"&amp;ROUND(SUGERENCIAS!L339,0)&amp;" RIR:"&amp;ROUND(SUGERENCIAS!M339,0),IF(SUGERENCIAS!N339="SUBIR_E","^ SUBIR (Est.) | Kg:"&amp;ROUND(SUGERENCIAS!K339,1)&amp;" R:"&amp;ROUND(SUGERENCIAS!L339,0)&amp;" RIR:"&amp;ROUND(SUGERENCIAS!M339,0),IF(SUGERENCIAS!N339="SUBIR","^ SUBIR | Kg:"&amp;ROUND(SUGERENCIAS!K339,1)&amp;" R:"&amp;ROUND(SUGERENCIAS!L339,0)&amp;" RIR:"&amp;ROUND(SUGERENCIAS!M339,0),IF(SUGERENCIAS!N339="BAJAR","v BAJAR | Kg:"&amp;ROUND(SUGERENCIAS!K339,1)&amp;" R:"&amp;ROUND(SUGERENCIAS!L339,0)&amp;" RIR:"&amp;ROUND(SUGERENCIAS!M339,0),"= MANT | Kg:"&amp;ROUND(SUGERENCIAS!K339,1)&amp;" R:"&amp;ROUND(SUGERENCIAS!L339,0)&amp;" RIR:"&amp;ROUND(SUGERENCIAS!M339,0))))))</f>
        <v>Sin datos anteriores</v>
      </c>
      <c r="W132" s="69">
        <f>MAX(IF((G132&gt;0)*(IF(H132="",-1,H132)&gt;=0)*(IF(H132="",-1,H132)&lt;=1),IF(C132="peso_corporal",IF(ISNUMBER(E132),E132,0)+F132,F132)*G132*1000+F132,0),IF((J132&gt;0)*(IF(K132="",-1,K132)&gt;=0)*(IF(K132="",-1,K132)&lt;=1),IF(C132="peso_corporal",IF(ISNUMBER(E132),E132,0)+I132,I132)*J132*1000+I132,0),IF((M132&gt;0)*(IF(N132="",-1,N132)&gt;=0)*(IF(N132="",-1,N132)&lt;=1),IF(C132="peso_corporal",IF(ISNUMBER(E132),E132,0)+L132,L132)*M132*1000+L132,0),IF((P132&gt;0)*(IF(Q132="",-1,Q132)&gt;=0)*(IF(Q132="",-1,Q132)&lt;=1),IF(C132="peso_corporal",IF(ISNUMBER(E132),E132,0)+O132,O132)*P132*1000+O132,0),IF((S132&gt;0)*(IF(T132="",-1,T132)&gt;=0)*(IF(T132="",-1,T132)&lt;=1),IF(C132="peso_corporal",IF(ISNUMBER(E132),E132,0)+R132,R132)*S132*1000+R132,0))</f>
        <v>0</v>
      </c>
      <c r="X132" s="69">
        <f>IF(W132=0,0,IF(IF((S132&gt;0)*(IF(T132="",-1,T132)&gt;=0)*(IF(T132="",-1,T132)&lt;=1),IF(C132="peso_corporal",IF(ISNUMBER(E132),E132,0)+R132,R132)*S132*1000+R132,0)=W132,5,IF(IF((P132&gt;0)*(IF(Q132="",-1,Q132)&gt;=0)*(IF(Q132="",-1,Q132)&lt;=1),IF(C132="peso_corporal",IF(ISNUMBER(E132),E132,0)+O132,O132)*P132*1000+O132,0)=W132,4,IF(IF((M132&gt;0)*(IF(N132="",-1,N132)&gt;=0)*(IF(N132="",-1,N132)&lt;=1),IF(C132="peso_corporal",IF(ISNUMBER(E132),E132,0)+L132,L132)*M132*1000+L132,0)=W132,3,IF(IF((J132&gt;0)*(IF(K132="",-1,K132)&gt;=0)*(IF(K132="",-1,K132)&lt;=1),IF(C132="peso_corporal",IF(ISNUMBER(E132),E132,0)+I132,I132)*J132*1000+I132,0)=W132,2,IF(IF((G132&gt;0)*(IF(H132="",-1,H132)&gt;=0)*(IF(H132="",-1,H132)&lt;=1),IF(C132="peso_corporal",IF(ISNUMBER(E132),E132,0)+F132,F132)*G132*1000+F132,0)=W132,1,0))))))</f>
        <v>0</v>
      </c>
      <c r="Y132" s="69">
        <f>MAX(IF((G132&gt;0)*(IF(H132="",-1,H132)=0)*(1-(IF(H132="",-1,H132)&gt;=0)*(IF(H132="",-1,H132)&lt;=1)),IF(C132="peso_corporal",IF(ISNUMBER(E132),E132,0)+F132,F132)*G132*1000+F132,0),IF((J132&gt;0)*(IF(K132="",-1,K132)=0)*(1-(IF(K132="",-1,K132)&gt;=0)*(IF(K132="",-1,K132)&lt;=1)),IF(C132="peso_corporal",IF(ISNUMBER(E132),E132,0)+I132,I132)*J132*1000+I132,0),IF((M132&gt;0)*(IF(N132="",-1,N132)=0)*(1-(IF(N132="",-1,N132)&gt;=0)*(IF(N132="",-1,N132)&lt;=1)),IF(C132="peso_corporal",IF(ISNUMBER(E132),E132,0)+L132,L132)*M132*1000+L132,0),IF((P132&gt;0)*(IF(Q132="",-1,Q132)=0)*(1-(IF(Q132="",-1,Q132)&gt;=0)*(IF(Q132="",-1,Q132)&lt;=1)),IF(C132="peso_corporal",IF(ISNUMBER(E132),E132,0)+O132,O132)*P132*1000+O132,0),IF((S132&gt;0)*(IF(T132="",-1,T132)=0)*(1-(IF(T132="",-1,T132)&gt;=0)*(IF(T132="",-1,T132)&lt;=1)),IF(C132="peso_corporal",IF(ISNUMBER(E132),E132,0)+R132,R132)*S132*1000+R132,0))</f>
        <v>0</v>
      </c>
      <c r="Z132" s="69">
        <f>IF(Y132=0,0,IF(IF((S132&gt;0)*(IF(T132="",-1,T132)=0)*(1-(IF(T132="",-1,T132)&gt;=0)*(IF(T132="",-1,T132)&lt;=1)),IF(C132="peso_corporal",IF(ISNUMBER(E132),E132,0)+R132,R132)*S132*1000+R132,0)=Y132,5,IF(IF((P132&gt;0)*(IF(Q132="",-1,Q132)=0)*(1-(IF(Q132="",-1,Q132)&gt;=0)*(IF(Q132="",-1,Q132)&lt;=1)),IF(C132="peso_corporal",IF(ISNUMBER(E132),E132,0)+O132,O132)*P132*1000+O132,0)=Y132,4,IF(IF((M132&gt;0)*(IF(N132="",-1,N132)=0)*(1-(IF(N132="",-1,N132)&gt;=0)*(IF(N132="",-1,N132)&lt;=1)),IF(C132="peso_corporal",IF(ISNUMBER(E132),E132,0)+L132,L132)*M132*1000+L132,0)=Y132,3,IF(IF((J132&gt;0)*(IF(K132="",-1,K132)=0)*(1-(IF(K132="",-1,K132)&gt;=0)*(IF(K132="",-1,K132)&lt;=1)),IF(C132="peso_corporal",IF(ISNUMBER(E132),E132,0)+I132,I132)*J132*1000+I132,0)=Y132,2,IF(IF((G132&gt;0)*(IF(H132="",-1,H132)=0)*(1-(IF(H132="",-1,H132)&gt;=0)*(IF(H132="",-1,H132)&lt;=1)),IF(C132="peso_corporal",IF(ISNUMBER(E132),E132,0)+F132,F132)*G132*1000+F132,0)=Y132,1,0))))))</f>
        <v>0</v>
      </c>
      <c r="AA132" s="69">
        <f>MAX(IF((G132&gt;=3)*(1-(IF(H132="",-1,H132)&gt;=0)*(IF(H132="",-1,H132)&lt;=1))*(1-(IF(H132="",-1,H132)=0)),IF(C132="peso_corporal",IF(ISNUMBER(E132),E132,0)+F132,F132)*(30+G132)*100+F132,0),IF((J132&gt;=3)*(1-(IF(K132="",-1,K132)&gt;=0)*(IF(K132="",-1,K132)&lt;=1))*(1-(IF(K132="",-1,K132)=0)),IF(C132="peso_corporal",IF(ISNUMBER(E132),E132,0)+I132,I132)*(30+J132)*100+I132,0),IF((M132&gt;=3)*(1-(IF(N132="",-1,N132)&gt;=0)*(IF(N132="",-1,N132)&lt;=1))*(1-(IF(N132="",-1,N132)=0)),IF(C132="peso_corporal",IF(ISNUMBER(E132),E132,0)+L132,L132)*(30+M132)*100+L132,0),IF((P132&gt;=3)*(1-(IF(Q132="",-1,Q132)&gt;=0)*(IF(Q132="",-1,Q132)&lt;=1))*(1-(IF(Q132="",-1,Q132)=0)),IF(C132="peso_corporal",IF(ISNUMBER(E132),E132,0)+O132,O132)*(30+P132)*100+O132,0),IF((S132&gt;=3)*(1-(IF(T132="",-1,T132)&gt;=0)*(IF(T132="",-1,T132)&lt;=1))*(1-(IF(T132="",-1,T132)=0)),IF(C132="peso_corporal",IF(ISNUMBER(E132),E132,0)+R132,R132)*(30+S132)*100+R132,0))</f>
        <v>0</v>
      </c>
      <c r="AB132" s="69">
        <f>IF(AA132=0,0,IF(IF((S132&gt;=3)*(1-(IF(T132="",-1,T132)&gt;=0)*(IF(T132="",-1,T132)&lt;=1))*(1-(IF(T132="",-1,T132)=0)),IF(C132="peso_corporal",IF(ISNUMBER(E132),E132,0)+R132,R132)*(30+S132)*100+R132,0)=AA132,5,IF(IF((P132&gt;=3)*(1-(IF(Q132="",-1,Q132)&gt;=0)*(IF(Q132="",-1,Q132)&lt;=1))*(1-(IF(Q132="",-1,Q132)=0)),IF(C132="peso_corporal",IF(ISNUMBER(E132),E132,0)+O132,O132)*(30+P132)*100+O132,0)=AA132,4,IF(IF((M132&gt;=3)*(1-(IF(N132="",-1,N132)&gt;=0)*(IF(N132="",-1,N132)&lt;=1))*(1-(IF(N132="",-1,N132)=0)),IF(C132="peso_corporal",IF(ISNUMBER(E132),E132,0)+L132,L132)*(30+M132)*100+L132,0)=AA132,3,IF(IF((J132&gt;=3)*(1-(IF(K132="",-1,K132)&gt;=0)*(IF(K132="",-1,K132)&lt;=1))*(1-(IF(K132="",-1,K132)=0)),IF(C132="peso_corporal",IF(ISNUMBER(E132),E132,0)+I132,I132)*(30+J132)*100+I132,0)=AA132,2,IF(IF((G132&gt;=3)*(1-(IF(H132="",-1,H132)&gt;=0)*(IF(H132="",-1,H132)&lt;=1))*(1-(IF(H132="",-1,H132)=0)),IF(C132="peso_corporal",IF(ISNUMBER(E132),E132,0)+F132,F132)*(30+G132)*100+F132,0)=AA132,1,0))))))</f>
        <v>0</v>
      </c>
      <c r="AC132" s="69" t="str">
        <f>IF(X132&gt;0,"A"&amp;X132,IF(Z132&gt;0,"B"&amp;Z132,IF(AB132&gt;0,"C"&amp;AB132,"")))</f>
        <v/>
      </c>
    </row>
    <row r="133" spans="1:29" ht="15" customHeight="1">
      <c r="A133" s="72" t="s">
        <v>56</v>
      </c>
      <c r="B133" s="73"/>
      <c r="C133" s="73"/>
      <c r="D133" s="73"/>
      <c r="E133" s="73"/>
      <c r="F133" s="73"/>
      <c r="G133" s="73"/>
      <c r="H133" s="73"/>
      <c r="I133" s="73"/>
      <c r="J133" s="73"/>
      <c r="K133" s="73"/>
      <c r="L133" s="73"/>
      <c r="M133" s="73"/>
      <c r="N133" s="73"/>
      <c r="O133" s="73"/>
      <c r="P133" s="73"/>
      <c r="Q133" s="73"/>
      <c r="R133" s="73"/>
      <c r="S133" s="73"/>
      <c r="T133" s="73"/>
      <c r="U133" s="73"/>
      <c r="V133" s="73"/>
      <c r="W133" s="69"/>
      <c r="X133" s="69"/>
      <c r="Y133" s="69"/>
      <c r="Z133" s="69"/>
      <c r="AA133" s="69"/>
      <c r="AB133" s="69"/>
      <c r="AC133" s="69"/>
    </row>
    <row r="134" spans="1:29" ht="20.100000000000001" customHeight="1">
      <c r="A134" s="14" t="s">
        <v>57</v>
      </c>
      <c r="B134" s="15" t="s">
        <v>58</v>
      </c>
      <c r="C134" s="16" t="str">
        <f>IFERROR(INDEX(EJERCICIOS!$D$3:$D$75,MATCH(A134&amp;"|"&amp;B134,EJERCICIOS!$G$3:$G$75,0)),"--")</f>
        <v>polea</v>
      </c>
      <c r="D134" s="17">
        <v>3</v>
      </c>
      <c r="E134" s="18">
        <f>IFERROR(LOOKUP(2,1/(MEDIDAS_Y_PESO!$B$3:$B$8&lt;&gt;""),MEDIDAS_Y_PESO!$B$3:$B$8),"--")</f>
        <v>80</v>
      </c>
      <c r="F134" s="19"/>
      <c r="G134" s="20"/>
      <c r="H134" s="21"/>
      <c r="I134" s="19"/>
      <c r="J134" s="20"/>
      <c r="K134" s="21"/>
      <c r="L134" s="19"/>
      <c r="M134" s="20"/>
      <c r="N134" s="21"/>
      <c r="O134" s="19"/>
      <c r="P134" s="20"/>
      <c r="Q134" s="21"/>
      <c r="R134" s="19"/>
      <c r="S134" s="20"/>
      <c r="T134" s="21"/>
      <c r="U134" s="22" t="str">
        <f>IFERROR(IF(IF(X134&gt;0,X134,IF(Z134&gt;0,Z134,IF(AB134&gt;0,AB134,0)))=0,"--",ROUND(CHOOSE(IF(X134&gt;0,X134,IF(Z134&gt;0,Z134,IF(AB134&gt;0,AB134,0))),IF(C134="peso_corporal",IF(ISNUMBER(E134),E134,0)+F134,F134)*(1+G134/30),IF(C134="peso_corporal",IF(ISNUMBER(E134),E134,0)+I134,I134)*(1+J134/30),IF(C134="peso_corporal",IF(ISNUMBER(E134),E134,0)+L134,L134)*(1+M134/30),IF(C134="peso_corporal",IF(ISNUMBER(E134),E134,0)+O134,O134)*(1+P134/30),IF(C134="peso_corporal",IF(ISNUMBER(E134),E134,0)+R134,R134)*(1+S134/30)),1)),"--")</f>
        <v>--</v>
      </c>
      <c r="V134" s="23" t="str">
        <f>IF(SUGERENCIAS!N340="SIN","Sin datos anteriores",IF(SUGERENCIAS!N340="SUBIR_F","^ SUBIR FUERTE | Kg:"&amp;ROUND(SUGERENCIAS!K340,1)&amp;" R:"&amp;ROUND(SUGERENCIAS!L340,0)&amp;" RIR:"&amp;ROUND(SUGERENCIAS!M340,0),IF(SUGERENCIAS!N340="SUBIR_E","^ SUBIR (Est.) | Kg:"&amp;ROUND(SUGERENCIAS!K340,1)&amp;" R:"&amp;ROUND(SUGERENCIAS!L340,0)&amp;" RIR:"&amp;ROUND(SUGERENCIAS!M340,0),IF(SUGERENCIAS!N340="SUBIR","^ SUBIR | Kg:"&amp;ROUND(SUGERENCIAS!K340,1)&amp;" R:"&amp;ROUND(SUGERENCIAS!L340,0)&amp;" RIR:"&amp;ROUND(SUGERENCIAS!M340,0),IF(SUGERENCIAS!N340="BAJAR","v BAJAR | Kg:"&amp;ROUND(SUGERENCIAS!K340,1)&amp;" R:"&amp;ROUND(SUGERENCIAS!L340,0)&amp;" RIR:"&amp;ROUND(SUGERENCIAS!M340,0),"= MANT | Kg:"&amp;ROUND(SUGERENCIAS!K340,1)&amp;" R:"&amp;ROUND(SUGERENCIAS!L340,0)&amp;" RIR:"&amp;ROUND(SUGERENCIAS!M340,0))))))</f>
        <v>Sin datos anteriores</v>
      </c>
      <c r="W134" s="69">
        <f>MAX(IF((G134&gt;0)*(IF(H134="",-1,H134)&gt;=0)*(IF(H134="",-1,H134)&lt;=1),IF(C134="peso_corporal",IF(ISNUMBER(E134),E134,0)+F134,F134)*G134*1000+F134,0),IF((J134&gt;0)*(IF(K134="",-1,K134)&gt;=0)*(IF(K134="",-1,K134)&lt;=1),IF(C134="peso_corporal",IF(ISNUMBER(E134),E134,0)+I134,I134)*J134*1000+I134,0),IF((M134&gt;0)*(IF(N134="",-1,N134)&gt;=0)*(IF(N134="",-1,N134)&lt;=1),IF(C134="peso_corporal",IF(ISNUMBER(E134),E134,0)+L134,L134)*M134*1000+L134,0),IF((P134&gt;0)*(IF(Q134="",-1,Q134)&gt;=0)*(IF(Q134="",-1,Q134)&lt;=1),IF(C134="peso_corporal",IF(ISNUMBER(E134),E134,0)+O134,O134)*P134*1000+O134,0),IF((S134&gt;0)*(IF(T134="",-1,T134)&gt;=0)*(IF(T134="",-1,T134)&lt;=1),IF(C134="peso_corporal",IF(ISNUMBER(E134),E134,0)+R134,R134)*S134*1000+R134,0))</f>
        <v>0</v>
      </c>
      <c r="X134" s="69">
        <f>IF(W134=0,0,IF(IF((S134&gt;0)*(IF(T134="",-1,T134)&gt;=0)*(IF(T134="",-1,T134)&lt;=1),IF(C134="peso_corporal",IF(ISNUMBER(E134),E134,0)+R134,R134)*S134*1000+R134,0)=W134,5,IF(IF((P134&gt;0)*(IF(Q134="",-1,Q134)&gt;=0)*(IF(Q134="",-1,Q134)&lt;=1),IF(C134="peso_corporal",IF(ISNUMBER(E134),E134,0)+O134,O134)*P134*1000+O134,0)=W134,4,IF(IF((M134&gt;0)*(IF(N134="",-1,N134)&gt;=0)*(IF(N134="",-1,N134)&lt;=1),IF(C134="peso_corporal",IF(ISNUMBER(E134),E134,0)+L134,L134)*M134*1000+L134,0)=W134,3,IF(IF((J134&gt;0)*(IF(K134="",-1,K134)&gt;=0)*(IF(K134="",-1,K134)&lt;=1),IF(C134="peso_corporal",IF(ISNUMBER(E134),E134,0)+I134,I134)*J134*1000+I134,0)=W134,2,IF(IF((G134&gt;0)*(IF(H134="",-1,H134)&gt;=0)*(IF(H134="",-1,H134)&lt;=1),IF(C134="peso_corporal",IF(ISNUMBER(E134),E134,0)+F134,F134)*G134*1000+F134,0)=W134,1,0))))))</f>
        <v>0</v>
      </c>
      <c r="Y134" s="69">
        <f>MAX(IF((G134&gt;0)*(IF(H134="",-1,H134)=0)*(1-(IF(H134="",-1,H134)&gt;=0)*(IF(H134="",-1,H134)&lt;=1)),IF(C134="peso_corporal",IF(ISNUMBER(E134),E134,0)+F134,F134)*G134*1000+F134,0),IF((J134&gt;0)*(IF(K134="",-1,K134)=0)*(1-(IF(K134="",-1,K134)&gt;=0)*(IF(K134="",-1,K134)&lt;=1)),IF(C134="peso_corporal",IF(ISNUMBER(E134),E134,0)+I134,I134)*J134*1000+I134,0),IF((M134&gt;0)*(IF(N134="",-1,N134)=0)*(1-(IF(N134="",-1,N134)&gt;=0)*(IF(N134="",-1,N134)&lt;=1)),IF(C134="peso_corporal",IF(ISNUMBER(E134),E134,0)+L134,L134)*M134*1000+L134,0),IF((P134&gt;0)*(IF(Q134="",-1,Q134)=0)*(1-(IF(Q134="",-1,Q134)&gt;=0)*(IF(Q134="",-1,Q134)&lt;=1)),IF(C134="peso_corporal",IF(ISNUMBER(E134),E134,0)+O134,O134)*P134*1000+O134,0),IF((S134&gt;0)*(IF(T134="",-1,T134)=0)*(1-(IF(T134="",-1,T134)&gt;=0)*(IF(T134="",-1,T134)&lt;=1)),IF(C134="peso_corporal",IF(ISNUMBER(E134),E134,0)+R134,R134)*S134*1000+R134,0))</f>
        <v>0</v>
      </c>
      <c r="Z134" s="69">
        <f>IF(Y134=0,0,IF(IF((S134&gt;0)*(IF(T134="",-1,T134)=0)*(1-(IF(T134="",-1,T134)&gt;=0)*(IF(T134="",-1,T134)&lt;=1)),IF(C134="peso_corporal",IF(ISNUMBER(E134),E134,0)+R134,R134)*S134*1000+R134,0)=Y134,5,IF(IF((P134&gt;0)*(IF(Q134="",-1,Q134)=0)*(1-(IF(Q134="",-1,Q134)&gt;=0)*(IF(Q134="",-1,Q134)&lt;=1)),IF(C134="peso_corporal",IF(ISNUMBER(E134),E134,0)+O134,O134)*P134*1000+O134,0)=Y134,4,IF(IF((M134&gt;0)*(IF(N134="",-1,N134)=0)*(1-(IF(N134="",-1,N134)&gt;=0)*(IF(N134="",-1,N134)&lt;=1)),IF(C134="peso_corporal",IF(ISNUMBER(E134),E134,0)+L134,L134)*M134*1000+L134,0)=Y134,3,IF(IF((J134&gt;0)*(IF(K134="",-1,K134)=0)*(1-(IF(K134="",-1,K134)&gt;=0)*(IF(K134="",-1,K134)&lt;=1)),IF(C134="peso_corporal",IF(ISNUMBER(E134),E134,0)+I134,I134)*J134*1000+I134,0)=Y134,2,IF(IF((G134&gt;0)*(IF(H134="",-1,H134)=0)*(1-(IF(H134="",-1,H134)&gt;=0)*(IF(H134="",-1,H134)&lt;=1)),IF(C134="peso_corporal",IF(ISNUMBER(E134),E134,0)+F134,F134)*G134*1000+F134,0)=Y134,1,0))))))</f>
        <v>0</v>
      </c>
      <c r="AA134" s="69">
        <f>MAX(IF((G134&gt;=3)*(1-(IF(H134="",-1,H134)&gt;=0)*(IF(H134="",-1,H134)&lt;=1))*(1-(IF(H134="",-1,H134)=0)),IF(C134="peso_corporal",IF(ISNUMBER(E134),E134,0)+F134,F134)*(30+G134)*100+F134,0),IF((J134&gt;=3)*(1-(IF(K134="",-1,K134)&gt;=0)*(IF(K134="",-1,K134)&lt;=1))*(1-(IF(K134="",-1,K134)=0)),IF(C134="peso_corporal",IF(ISNUMBER(E134),E134,0)+I134,I134)*(30+J134)*100+I134,0),IF((M134&gt;=3)*(1-(IF(N134="",-1,N134)&gt;=0)*(IF(N134="",-1,N134)&lt;=1))*(1-(IF(N134="",-1,N134)=0)),IF(C134="peso_corporal",IF(ISNUMBER(E134),E134,0)+L134,L134)*(30+M134)*100+L134,0),IF((P134&gt;=3)*(1-(IF(Q134="",-1,Q134)&gt;=0)*(IF(Q134="",-1,Q134)&lt;=1))*(1-(IF(Q134="",-1,Q134)=0)),IF(C134="peso_corporal",IF(ISNUMBER(E134),E134,0)+O134,O134)*(30+P134)*100+O134,0),IF((S134&gt;=3)*(1-(IF(T134="",-1,T134)&gt;=0)*(IF(T134="",-1,T134)&lt;=1))*(1-(IF(T134="",-1,T134)=0)),IF(C134="peso_corporal",IF(ISNUMBER(E134),E134,0)+R134,R134)*(30+S134)*100+R134,0))</f>
        <v>0</v>
      </c>
      <c r="AB134" s="69">
        <f>IF(AA134=0,0,IF(IF((S134&gt;=3)*(1-(IF(T134="",-1,T134)&gt;=0)*(IF(T134="",-1,T134)&lt;=1))*(1-(IF(T134="",-1,T134)=0)),IF(C134="peso_corporal",IF(ISNUMBER(E134),E134,0)+R134,R134)*(30+S134)*100+R134,0)=AA134,5,IF(IF((P134&gt;=3)*(1-(IF(Q134="",-1,Q134)&gt;=0)*(IF(Q134="",-1,Q134)&lt;=1))*(1-(IF(Q134="",-1,Q134)=0)),IF(C134="peso_corporal",IF(ISNUMBER(E134),E134,0)+O134,O134)*(30+P134)*100+O134,0)=AA134,4,IF(IF((M134&gt;=3)*(1-(IF(N134="",-1,N134)&gt;=0)*(IF(N134="",-1,N134)&lt;=1))*(1-(IF(N134="",-1,N134)=0)),IF(C134="peso_corporal",IF(ISNUMBER(E134),E134,0)+L134,L134)*(30+M134)*100+L134,0)=AA134,3,IF(IF((J134&gt;=3)*(1-(IF(K134="",-1,K134)&gt;=0)*(IF(K134="",-1,K134)&lt;=1))*(1-(IF(K134="",-1,K134)=0)),IF(C134="peso_corporal",IF(ISNUMBER(E134),E134,0)+I134,I134)*(30+J134)*100+I134,0)=AA134,2,IF(IF((G134&gt;=3)*(1-(IF(H134="",-1,H134)&gt;=0)*(IF(H134="",-1,H134)&lt;=1))*(1-(IF(H134="",-1,H134)=0)),IF(C134="peso_corporal",IF(ISNUMBER(E134),E134,0)+F134,F134)*(30+G134)*100+F134,0)=AA134,1,0))))))</f>
        <v>0</v>
      </c>
      <c r="AC134" s="69" t="str">
        <f>IF(X134&gt;0,"A"&amp;X134,IF(Z134&gt;0,"B"&amp;Z134,IF(AB134&gt;0,"C"&amp;AB134,"")))</f>
        <v/>
      </c>
    </row>
    <row r="135" spans="1:29" ht="6"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69"/>
      <c r="X135" s="69"/>
      <c r="Y135" s="69"/>
      <c r="Z135" s="69"/>
      <c r="AA135" s="69"/>
      <c r="AB135" s="69"/>
      <c r="AC135" s="69"/>
    </row>
    <row r="136" spans="1:29" ht="18" customHeight="1">
      <c r="A136" s="85" t="s">
        <v>72</v>
      </c>
      <c r="B136" s="73"/>
      <c r="C136" s="73"/>
      <c r="D136" s="73"/>
      <c r="E136" s="73"/>
      <c r="F136" s="73"/>
      <c r="G136" s="73"/>
      <c r="H136" s="73"/>
      <c r="I136" s="73"/>
      <c r="J136" s="73"/>
      <c r="K136" s="73"/>
      <c r="L136" s="73"/>
      <c r="M136" s="73"/>
      <c r="N136" s="73"/>
      <c r="O136" s="73"/>
      <c r="P136" s="73"/>
      <c r="Q136" s="73"/>
      <c r="R136" s="73"/>
      <c r="S136" s="73"/>
      <c r="T136" s="73"/>
      <c r="U136" s="73"/>
      <c r="V136" s="73"/>
      <c r="W136" s="69"/>
      <c r="X136" s="69"/>
      <c r="Y136" s="69"/>
      <c r="Z136" s="69"/>
      <c r="AA136" s="69"/>
      <c r="AB136" s="69"/>
      <c r="AC136" s="69"/>
    </row>
    <row r="137" spans="1:29" ht="15" customHeight="1">
      <c r="A137" s="75" t="s">
        <v>88</v>
      </c>
      <c r="B137" s="73"/>
      <c r="C137" s="73"/>
      <c r="D137" s="73"/>
      <c r="E137" s="73"/>
      <c r="F137" s="73"/>
      <c r="G137" s="73"/>
      <c r="H137" s="73"/>
      <c r="I137" s="73"/>
      <c r="J137" s="73"/>
      <c r="K137" s="73"/>
      <c r="L137" s="73"/>
      <c r="M137" s="73"/>
      <c r="N137" s="73"/>
      <c r="O137" s="73"/>
      <c r="P137" s="73"/>
      <c r="Q137" s="73"/>
      <c r="R137" s="73"/>
      <c r="S137" s="73"/>
      <c r="T137" s="73"/>
      <c r="U137" s="73"/>
      <c r="V137" s="73"/>
      <c r="W137" s="69"/>
      <c r="X137" s="69"/>
      <c r="Y137" s="69"/>
      <c r="Z137" s="69"/>
      <c r="AA137" s="69"/>
      <c r="AB137" s="69"/>
      <c r="AC137" s="69"/>
    </row>
    <row r="138" spans="1:29" ht="11.1" customHeight="1">
      <c r="A138" s="76" t="s">
        <v>89</v>
      </c>
      <c r="B138" s="73"/>
      <c r="C138" s="73"/>
      <c r="D138" s="73"/>
      <c r="E138" s="73"/>
      <c r="F138" s="73"/>
      <c r="G138" s="73"/>
      <c r="H138" s="73"/>
      <c r="I138" s="73"/>
      <c r="J138" s="73"/>
      <c r="K138" s="73"/>
      <c r="L138" s="73"/>
      <c r="M138" s="73"/>
      <c r="N138" s="73"/>
      <c r="O138" s="73"/>
      <c r="P138" s="73"/>
      <c r="Q138" s="73"/>
      <c r="R138" s="73"/>
      <c r="S138" s="73"/>
      <c r="T138" s="73"/>
      <c r="U138" s="73"/>
      <c r="V138" s="73"/>
      <c r="W138" s="69"/>
      <c r="X138" s="69"/>
      <c r="Y138" s="69"/>
      <c r="Z138" s="69"/>
      <c r="AA138" s="69"/>
      <c r="AB138" s="69"/>
      <c r="AC138" s="69"/>
    </row>
    <row r="139" spans="1:29" ht="20.100000000000001" customHeight="1">
      <c r="A139" s="14" t="s">
        <v>90</v>
      </c>
      <c r="B139" s="15" t="s">
        <v>91</v>
      </c>
      <c r="C139" s="16" t="str">
        <f>IFERROR(INDEX(EJERCICIOS!$D$3:$D$75,MATCH(A139&amp;"|"&amp;B139,EJERCICIOS!$G$3:$G$75,0)),"--")</f>
        <v>peso_corporal</v>
      </c>
      <c r="D139" s="17">
        <v>3</v>
      </c>
      <c r="E139" s="18">
        <f>IFERROR(LOOKUP(2,1/(MEDIDAS_Y_PESO!$B$3:$B$9&lt;&gt;""),MEDIDAS_Y_PESO!$B$3:$B$9),"--")</f>
        <v>80</v>
      </c>
      <c r="F139" s="19"/>
      <c r="G139" s="20"/>
      <c r="H139" s="21"/>
      <c r="I139" s="19"/>
      <c r="J139" s="20"/>
      <c r="K139" s="21"/>
      <c r="L139" s="19"/>
      <c r="M139" s="20"/>
      <c r="N139" s="21"/>
      <c r="O139" s="19"/>
      <c r="P139" s="20"/>
      <c r="Q139" s="21"/>
      <c r="R139" s="19"/>
      <c r="S139" s="20"/>
      <c r="T139" s="21"/>
      <c r="U139" s="22" t="str">
        <f>IFERROR(IF(IF(X139&gt;0,X139,IF(Z139&gt;0,Z139,IF(AB139&gt;0,AB139,0)))=0,"--",ROUND(CHOOSE(IF(X139&gt;0,X139,IF(Z139&gt;0,Z139,IF(AB139&gt;0,AB139,0))),IF(C139="peso_corporal",IF(ISNUMBER(E139),E139,0)+F139,F139)*(1+G139/30),IF(C139="peso_corporal",IF(ISNUMBER(E139),E139,0)+I139,I139)*(1+J139/30),IF(C139="peso_corporal",IF(ISNUMBER(E139),E139,0)+L139,L139)*(1+M139/30),IF(C139="peso_corporal",IF(ISNUMBER(E139),E139,0)+O139,O139)*(1+P139/30),IF(C139="peso_corporal",IF(ISNUMBER(E139),E139,0)+R139,R139)*(1+S139/30)),1)),"--")</f>
        <v>--</v>
      </c>
      <c r="V139" s="23" t="str">
        <f>IF(SUGERENCIAS!N393="SIN","Sin datos anteriores",IF(SUGERENCIAS!N393="SUBIR_F","^ SUBIR FUERTE | Kg:"&amp;ROUND(SUGERENCIAS!K393,1)&amp;" R:"&amp;ROUND(SUGERENCIAS!L393,0)&amp;" RIR:"&amp;ROUND(SUGERENCIAS!M393,0),IF(SUGERENCIAS!N393="SUBIR_E","^ SUBIR (Est.) | Kg:"&amp;ROUND(SUGERENCIAS!K393,1)&amp;" R:"&amp;ROUND(SUGERENCIAS!L393,0)&amp;" RIR:"&amp;ROUND(SUGERENCIAS!M393,0),IF(SUGERENCIAS!N393="SUBIR","^ SUBIR | Kg:"&amp;ROUND(SUGERENCIAS!K393,1)&amp;" R:"&amp;ROUND(SUGERENCIAS!L393,0)&amp;" RIR:"&amp;ROUND(SUGERENCIAS!M393,0),IF(SUGERENCIAS!N393="BAJAR","v BAJAR | Kg:"&amp;ROUND(SUGERENCIAS!K393,1)&amp;" R:"&amp;ROUND(SUGERENCIAS!L393,0)&amp;" RIR:"&amp;ROUND(SUGERENCIAS!M393,0),"= MANT | Kg:"&amp;ROUND(SUGERENCIAS!K393,1)&amp;" R:"&amp;ROUND(SUGERENCIAS!L393,0)&amp;" RIR:"&amp;ROUND(SUGERENCIAS!M393,0))))))</f>
        <v>Sin datos anteriores</v>
      </c>
      <c r="W139" s="69">
        <f>MAX(IF((G139&gt;0)*(IF(H139="",-1,H139)&gt;=1)*(IF(H139="",-1,H139)&lt;=3),IF(C139="peso_corporal",IF(ISNUMBER(E139),E139,0)+F139,F139)*G139*1000+F139,0),IF((J139&gt;0)*(IF(K139="",-1,K139)&gt;=1)*(IF(K139="",-1,K139)&lt;=3),IF(C139="peso_corporal",IF(ISNUMBER(E139),E139,0)+I139,I139)*J139*1000+I139,0),IF((M139&gt;0)*(IF(N139="",-1,N139)&gt;=1)*(IF(N139="",-1,N139)&lt;=3),IF(C139="peso_corporal",IF(ISNUMBER(E139),E139,0)+L139,L139)*M139*1000+L139,0),IF((P139&gt;0)*(IF(Q139="",-1,Q139)&gt;=1)*(IF(Q139="",-1,Q139)&lt;=3),IF(C139="peso_corporal",IF(ISNUMBER(E139),E139,0)+O139,O139)*P139*1000+O139,0),IF((S139&gt;0)*(IF(T139="",-1,T139)&gt;=1)*(IF(T139="",-1,T139)&lt;=3),IF(C139="peso_corporal",IF(ISNUMBER(E139),E139,0)+R139,R139)*S139*1000+R139,0))</f>
        <v>0</v>
      </c>
      <c r="X139" s="69">
        <f>IF(W139=0,0,IF(IF((S139&gt;0)*(IF(T139="",-1,T139)&gt;=1)*(IF(T139="",-1,T139)&lt;=3),IF(C139="peso_corporal",IF(ISNUMBER(E139),E139,0)+R139,R139)*S139*1000+R139,0)=W139,5,IF(IF((P139&gt;0)*(IF(Q139="",-1,Q139)&gt;=1)*(IF(Q139="",-1,Q139)&lt;=3),IF(C139="peso_corporal",IF(ISNUMBER(E139),E139,0)+O139,O139)*P139*1000+O139,0)=W139,4,IF(IF((M139&gt;0)*(IF(N139="",-1,N139)&gt;=1)*(IF(N139="",-1,N139)&lt;=3),IF(C139="peso_corporal",IF(ISNUMBER(E139),E139,0)+L139,L139)*M139*1000+L139,0)=W139,3,IF(IF((J139&gt;0)*(IF(K139="",-1,K139)&gt;=1)*(IF(K139="",-1,K139)&lt;=3),IF(C139="peso_corporal",IF(ISNUMBER(E139),E139,0)+I139,I139)*J139*1000+I139,0)=W139,2,IF(IF((G139&gt;0)*(IF(H139="",-1,H139)&gt;=1)*(IF(H139="",-1,H139)&lt;=3),IF(C139="peso_corporal",IF(ISNUMBER(E139),E139,0)+F139,F139)*G139*1000+F139,0)=W139,1,0))))))</f>
        <v>0</v>
      </c>
      <c r="Y139" s="69">
        <f>MAX(IF((G139&gt;0)*(IF(H139="",-1,H139)=0)*(1-(IF(H139="",-1,H139)&gt;=1)*(IF(H139="",-1,H139)&lt;=3)),IF(C139="peso_corporal",IF(ISNUMBER(E139),E139,0)+F139,F139)*G139*1000+F139,0),IF((J139&gt;0)*(IF(K139="",-1,K139)=0)*(1-(IF(K139="",-1,K139)&gt;=1)*(IF(K139="",-1,K139)&lt;=3)),IF(C139="peso_corporal",IF(ISNUMBER(E139),E139,0)+I139,I139)*J139*1000+I139,0),IF((M139&gt;0)*(IF(N139="",-1,N139)=0)*(1-(IF(N139="",-1,N139)&gt;=1)*(IF(N139="",-1,N139)&lt;=3)),IF(C139="peso_corporal",IF(ISNUMBER(E139),E139,0)+L139,L139)*M139*1000+L139,0),IF((P139&gt;0)*(IF(Q139="",-1,Q139)=0)*(1-(IF(Q139="",-1,Q139)&gt;=1)*(IF(Q139="",-1,Q139)&lt;=3)),IF(C139="peso_corporal",IF(ISNUMBER(E139),E139,0)+O139,O139)*P139*1000+O139,0),IF((S139&gt;0)*(IF(T139="",-1,T139)=0)*(1-(IF(T139="",-1,T139)&gt;=1)*(IF(T139="",-1,T139)&lt;=3)),IF(C139="peso_corporal",IF(ISNUMBER(E139),E139,0)+R139,R139)*S139*1000+R139,0))</f>
        <v>0</v>
      </c>
      <c r="Z139" s="69">
        <f>IF(Y139=0,0,IF(IF((S139&gt;0)*(IF(T139="",-1,T139)=0)*(1-(IF(T139="",-1,T139)&gt;=1)*(IF(T139="",-1,T139)&lt;=3)),IF(C139="peso_corporal",IF(ISNUMBER(E139),E139,0)+R139,R139)*S139*1000+R139,0)=Y139,5,IF(IF((P139&gt;0)*(IF(Q139="",-1,Q139)=0)*(1-(IF(Q139="",-1,Q139)&gt;=1)*(IF(Q139="",-1,Q139)&lt;=3)),IF(C139="peso_corporal",IF(ISNUMBER(E139),E139,0)+O139,O139)*P139*1000+O139,0)=Y139,4,IF(IF((M139&gt;0)*(IF(N139="",-1,N139)=0)*(1-(IF(N139="",-1,N139)&gt;=1)*(IF(N139="",-1,N139)&lt;=3)),IF(C139="peso_corporal",IF(ISNUMBER(E139),E139,0)+L139,L139)*M139*1000+L139,0)=Y139,3,IF(IF((J139&gt;0)*(IF(K139="",-1,K139)=0)*(1-(IF(K139="",-1,K139)&gt;=1)*(IF(K139="",-1,K139)&lt;=3)),IF(C139="peso_corporal",IF(ISNUMBER(E139),E139,0)+I139,I139)*J139*1000+I139,0)=Y139,2,IF(IF((G139&gt;0)*(IF(H139="",-1,H139)=0)*(1-(IF(H139="",-1,H139)&gt;=1)*(IF(H139="",-1,H139)&lt;=3)),IF(C139="peso_corporal",IF(ISNUMBER(E139),E139,0)+F139,F139)*G139*1000+F139,0)=Y139,1,0))))))</f>
        <v>0</v>
      </c>
      <c r="AA139" s="69">
        <f>MAX(IF((G139&gt;=6)*(1-(IF(H139="",-1,H139)&gt;=1)*(IF(H139="",-1,H139)&lt;=3))*(1-(IF(H139="",-1,H139)=0)),IF(C139="peso_corporal",IF(ISNUMBER(E139),E139,0)+F139,F139)*(30+G139)*100+F139,0),IF((J139&gt;=6)*(1-(IF(K139="",-1,K139)&gt;=1)*(IF(K139="",-1,K139)&lt;=3))*(1-(IF(K139="",-1,K139)=0)),IF(C139="peso_corporal",IF(ISNUMBER(E139),E139,0)+I139,I139)*(30+J139)*100+I139,0),IF((M139&gt;=6)*(1-(IF(N139="",-1,N139)&gt;=1)*(IF(N139="",-1,N139)&lt;=3))*(1-(IF(N139="",-1,N139)=0)),IF(C139="peso_corporal",IF(ISNUMBER(E139),E139,0)+L139,L139)*(30+M139)*100+L139,0),IF((P139&gt;=6)*(1-(IF(Q139="",-1,Q139)&gt;=1)*(IF(Q139="",-1,Q139)&lt;=3))*(1-(IF(Q139="",-1,Q139)=0)),IF(C139="peso_corporal",IF(ISNUMBER(E139),E139,0)+O139,O139)*(30+P139)*100+O139,0),IF((S139&gt;=6)*(1-(IF(T139="",-1,T139)&gt;=1)*(IF(T139="",-1,T139)&lt;=3))*(1-(IF(T139="",-1,T139)=0)),IF(C139="peso_corporal",IF(ISNUMBER(E139),E139,0)+R139,R139)*(30+S139)*100+R139,0))</f>
        <v>0</v>
      </c>
      <c r="AB139" s="69">
        <f>IF(AA139=0,0,IF(IF((S139&gt;=6)*(1-(IF(T139="",-1,T139)&gt;=1)*(IF(T139="",-1,T139)&lt;=3))*(1-(IF(T139="",-1,T139)=0)),IF(C139="peso_corporal",IF(ISNUMBER(E139),E139,0)+R139,R139)*(30+S139)*100+R139,0)=AA139,5,IF(IF((P139&gt;=6)*(1-(IF(Q139="",-1,Q139)&gt;=1)*(IF(Q139="",-1,Q139)&lt;=3))*(1-(IF(Q139="",-1,Q139)=0)),IF(C139="peso_corporal",IF(ISNUMBER(E139),E139,0)+O139,O139)*(30+P139)*100+O139,0)=AA139,4,IF(IF((M139&gt;=6)*(1-(IF(N139="",-1,N139)&gt;=1)*(IF(N139="",-1,N139)&lt;=3))*(1-(IF(N139="",-1,N139)=0)),IF(C139="peso_corporal",IF(ISNUMBER(E139),E139,0)+L139,L139)*(30+M139)*100+L139,0)=AA139,3,IF(IF((J139&gt;=6)*(1-(IF(K139="",-1,K139)&gt;=1)*(IF(K139="",-1,K139)&lt;=3))*(1-(IF(K139="",-1,K139)=0)),IF(C139="peso_corporal",IF(ISNUMBER(E139),E139,0)+I139,I139)*(30+J139)*100+I139,0)=AA139,2,IF(IF((G139&gt;=6)*(1-(IF(H139="",-1,H139)&gt;=1)*(IF(H139="",-1,H139)&lt;=3))*(1-(IF(H139="",-1,H139)=0)),IF(C139="peso_corporal",IF(ISNUMBER(E139),E139,0)+F139,F139)*(30+G139)*100+F139,0)=AA139,1,0))))))</f>
        <v>0</v>
      </c>
      <c r="AC139" s="69" t="str">
        <f>IF(X139&gt;0,"A"&amp;X139,IF(Z139&gt;0,"B"&amp;Z139,IF(AB139&gt;0,"C"&amp;AB139,"")))</f>
        <v/>
      </c>
    </row>
    <row r="140" spans="1:29" ht="20.100000000000001" customHeight="1">
      <c r="A140" s="14" t="s">
        <v>92</v>
      </c>
      <c r="B140" s="15" t="s">
        <v>108</v>
      </c>
      <c r="C140" s="16" t="str">
        <f>IFERROR(INDEX(EJERCICIOS!$D$3:$D$75,MATCH(A140&amp;"|"&amp;B140,EJERCICIOS!$G$3:$G$75,0)),"--")</f>
        <v>polea</v>
      </c>
      <c r="D140" s="17">
        <v>3</v>
      </c>
      <c r="E140" s="18">
        <f>IFERROR(LOOKUP(2,1/(MEDIDAS_Y_PESO!$B$3:$B$9&lt;&gt;""),MEDIDAS_Y_PESO!$B$3:$B$9),"--")</f>
        <v>80</v>
      </c>
      <c r="F140" s="19"/>
      <c r="G140" s="20"/>
      <c r="H140" s="21"/>
      <c r="I140" s="19"/>
      <c r="J140" s="20"/>
      <c r="K140" s="21"/>
      <c r="L140" s="19"/>
      <c r="M140" s="20"/>
      <c r="N140" s="21"/>
      <c r="O140" s="19"/>
      <c r="P140" s="20"/>
      <c r="Q140" s="21"/>
      <c r="R140" s="19"/>
      <c r="S140" s="20"/>
      <c r="T140" s="21"/>
      <c r="U140" s="22" t="str">
        <f>IFERROR(IF(IF(X140&gt;0,X140,IF(Z140&gt;0,Z140,IF(AB140&gt;0,AB140,0)))=0,"--",ROUND(CHOOSE(IF(X140&gt;0,X140,IF(Z140&gt;0,Z140,IF(AB140&gt;0,AB140,0))),IF(C140="peso_corporal",IF(ISNUMBER(E140),E140,0)+F140,F140)*(1+G140/30),IF(C140="peso_corporal",IF(ISNUMBER(E140),E140,0)+I140,I140)*(1+J140/30),IF(C140="peso_corporal",IF(ISNUMBER(E140),E140,0)+L140,L140)*(1+M140/30),IF(C140="peso_corporal",IF(ISNUMBER(E140),E140,0)+O140,O140)*(1+P140/30),IF(C140="peso_corporal",IF(ISNUMBER(E140),E140,0)+R140,R140)*(1+S140/30)),1)),"--")</f>
        <v>--</v>
      </c>
      <c r="V140" s="23" t="str">
        <f>IF(SUGERENCIAS!N394="SIN","Sin datos anteriores",IF(SUGERENCIAS!N394="SUBIR_F","^ SUBIR FUERTE | Kg:"&amp;ROUND(SUGERENCIAS!K394,1)&amp;" R:"&amp;ROUND(SUGERENCIAS!L394,0)&amp;" RIR:"&amp;ROUND(SUGERENCIAS!M394,0),IF(SUGERENCIAS!N394="SUBIR_E","^ SUBIR (Est.) | Kg:"&amp;ROUND(SUGERENCIAS!K394,1)&amp;" R:"&amp;ROUND(SUGERENCIAS!L394,0)&amp;" RIR:"&amp;ROUND(SUGERENCIAS!M394,0),IF(SUGERENCIAS!N394="SUBIR","^ SUBIR | Kg:"&amp;ROUND(SUGERENCIAS!K394,1)&amp;" R:"&amp;ROUND(SUGERENCIAS!L394,0)&amp;" RIR:"&amp;ROUND(SUGERENCIAS!M394,0),IF(SUGERENCIAS!N394="BAJAR","v BAJAR | Kg:"&amp;ROUND(SUGERENCIAS!K394,1)&amp;" R:"&amp;ROUND(SUGERENCIAS!L394,0)&amp;" RIR:"&amp;ROUND(SUGERENCIAS!M394,0),"= MANT | Kg:"&amp;ROUND(SUGERENCIAS!K394,1)&amp;" R:"&amp;ROUND(SUGERENCIAS!L394,0)&amp;" RIR:"&amp;ROUND(SUGERENCIAS!M394,0))))))</f>
        <v>Sin datos anteriores</v>
      </c>
      <c r="W140" s="69">
        <f>MAX(IF((G140&gt;0)*(IF(H140="",-1,H140)&gt;=1)*(IF(H140="",-1,H140)&lt;=3),IF(C140="peso_corporal",IF(ISNUMBER(E140),E140,0)+F140,F140)*G140*1000+F140,0),IF((J140&gt;0)*(IF(K140="",-1,K140)&gt;=1)*(IF(K140="",-1,K140)&lt;=3),IF(C140="peso_corporal",IF(ISNUMBER(E140),E140,0)+I140,I140)*J140*1000+I140,0),IF((M140&gt;0)*(IF(N140="",-1,N140)&gt;=1)*(IF(N140="",-1,N140)&lt;=3),IF(C140="peso_corporal",IF(ISNUMBER(E140),E140,0)+L140,L140)*M140*1000+L140,0),IF((P140&gt;0)*(IF(Q140="",-1,Q140)&gt;=1)*(IF(Q140="",-1,Q140)&lt;=3),IF(C140="peso_corporal",IF(ISNUMBER(E140),E140,0)+O140,O140)*P140*1000+O140,0),IF((S140&gt;0)*(IF(T140="",-1,T140)&gt;=1)*(IF(T140="",-1,T140)&lt;=3),IF(C140="peso_corporal",IF(ISNUMBER(E140),E140,0)+R140,R140)*S140*1000+R140,0))</f>
        <v>0</v>
      </c>
      <c r="X140" s="69">
        <f>IF(W140=0,0,IF(IF((S140&gt;0)*(IF(T140="",-1,T140)&gt;=1)*(IF(T140="",-1,T140)&lt;=3),IF(C140="peso_corporal",IF(ISNUMBER(E140),E140,0)+R140,R140)*S140*1000+R140,0)=W140,5,IF(IF((P140&gt;0)*(IF(Q140="",-1,Q140)&gt;=1)*(IF(Q140="",-1,Q140)&lt;=3),IF(C140="peso_corporal",IF(ISNUMBER(E140),E140,0)+O140,O140)*P140*1000+O140,0)=W140,4,IF(IF((M140&gt;0)*(IF(N140="",-1,N140)&gt;=1)*(IF(N140="",-1,N140)&lt;=3),IF(C140="peso_corporal",IF(ISNUMBER(E140),E140,0)+L140,L140)*M140*1000+L140,0)=W140,3,IF(IF((J140&gt;0)*(IF(K140="",-1,K140)&gt;=1)*(IF(K140="",-1,K140)&lt;=3),IF(C140="peso_corporal",IF(ISNUMBER(E140),E140,0)+I140,I140)*J140*1000+I140,0)=W140,2,IF(IF((G140&gt;0)*(IF(H140="",-1,H140)&gt;=1)*(IF(H140="",-1,H140)&lt;=3),IF(C140="peso_corporal",IF(ISNUMBER(E140),E140,0)+F140,F140)*G140*1000+F140,0)=W140,1,0))))))</f>
        <v>0</v>
      </c>
      <c r="Y140" s="69">
        <f>MAX(IF((G140&gt;0)*(IF(H140="",-1,H140)=0)*(1-(IF(H140="",-1,H140)&gt;=1)*(IF(H140="",-1,H140)&lt;=3)),IF(C140="peso_corporal",IF(ISNUMBER(E140),E140,0)+F140,F140)*G140*1000+F140,0),IF((J140&gt;0)*(IF(K140="",-1,K140)=0)*(1-(IF(K140="",-1,K140)&gt;=1)*(IF(K140="",-1,K140)&lt;=3)),IF(C140="peso_corporal",IF(ISNUMBER(E140),E140,0)+I140,I140)*J140*1000+I140,0),IF((M140&gt;0)*(IF(N140="",-1,N140)=0)*(1-(IF(N140="",-1,N140)&gt;=1)*(IF(N140="",-1,N140)&lt;=3)),IF(C140="peso_corporal",IF(ISNUMBER(E140),E140,0)+L140,L140)*M140*1000+L140,0),IF((P140&gt;0)*(IF(Q140="",-1,Q140)=0)*(1-(IF(Q140="",-1,Q140)&gt;=1)*(IF(Q140="",-1,Q140)&lt;=3)),IF(C140="peso_corporal",IF(ISNUMBER(E140),E140,0)+O140,O140)*P140*1000+O140,0),IF((S140&gt;0)*(IF(T140="",-1,T140)=0)*(1-(IF(T140="",-1,T140)&gt;=1)*(IF(T140="",-1,T140)&lt;=3)),IF(C140="peso_corporal",IF(ISNUMBER(E140),E140,0)+R140,R140)*S140*1000+R140,0))</f>
        <v>0</v>
      </c>
      <c r="Z140" s="69">
        <f>IF(Y140=0,0,IF(IF((S140&gt;0)*(IF(T140="",-1,T140)=0)*(1-(IF(T140="",-1,T140)&gt;=1)*(IF(T140="",-1,T140)&lt;=3)),IF(C140="peso_corporal",IF(ISNUMBER(E140),E140,0)+R140,R140)*S140*1000+R140,0)=Y140,5,IF(IF((P140&gt;0)*(IF(Q140="",-1,Q140)=0)*(1-(IF(Q140="",-1,Q140)&gt;=1)*(IF(Q140="",-1,Q140)&lt;=3)),IF(C140="peso_corporal",IF(ISNUMBER(E140),E140,0)+O140,O140)*P140*1000+O140,0)=Y140,4,IF(IF((M140&gt;0)*(IF(N140="",-1,N140)=0)*(1-(IF(N140="",-1,N140)&gt;=1)*(IF(N140="",-1,N140)&lt;=3)),IF(C140="peso_corporal",IF(ISNUMBER(E140),E140,0)+L140,L140)*M140*1000+L140,0)=Y140,3,IF(IF((J140&gt;0)*(IF(K140="",-1,K140)=0)*(1-(IF(K140="",-1,K140)&gt;=1)*(IF(K140="",-1,K140)&lt;=3)),IF(C140="peso_corporal",IF(ISNUMBER(E140),E140,0)+I140,I140)*J140*1000+I140,0)=Y140,2,IF(IF((G140&gt;0)*(IF(H140="",-1,H140)=0)*(1-(IF(H140="",-1,H140)&gt;=1)*(IF(H140="",-1,H140)&lt;=3)),IF(C140="peso_corporal",IF(ISNUMBER(E140),E140,0)+F140,F140)*G140*1000+F140,0)=Y140,1,0))))))</f>
        <v>0</v>
      </c>
      <c r="AA140" s="69">
        <f>MAX(IF((G140&gt;=6)*(1-(IF(H140="",-1,H140)&gt;=1)*(IF(H140="",-1,H140)&lt;=3))*(1-(IF(H140="",-1,H140)=0)),IF(C140="peso_corporal",IF(ISNUMBER(E140),E140,0)+F140,F140)*(30+G140)*100+F140,0),IF((J140&gt;=6)*(1-(IF(K140="",-1,K140)&gt;=1)*(IF(K140="",-1,K140)&lt;=3))*(1-(IF(K140="",-1,K140)=0)),IF(C140="peso_corporal",IF(ISNUMBER(E140),E140,0)+I140,I140)*(30+J140)*100+I140,0),IF((M140&gt;=6)*(1-(IF(N140="",-1,N140)&gt;=1)*(IF(N140="",-1,N140)&lt;=3))*(1-(IF(N140="",-1,N140)=0)),IF(C140="peso_corporal",IF(ISNUMBER(E140),E140,0)+L140,L140)*(30+M140)*100+L140,0),IF((P140&gt;=6)*(1-(IF(Q140="",-1,Q140)&gt;=1)*(IF(Q140="",-1,Q140)&lt;=3))*(1-(IF(Q140="",-1,Q140)=0)),IF(C140="peso_corporal",IF(ISNUMBER(E140),E140,0)+O140,O140)*(30+P140)*100+O140,0),IF((S140&gt;=6)*(1-(IF(T140="",-1,T140)&gt;=1)*(IF(T140="",-1,T140)&lt;=3))*(1-(IF(T140="",-1,T140)=0)),IF(C140="peso_corporal",IF(ISNUMBER(E140),E140,0)+R140,R140)*(30+S140)*100+R140,0))</f>
        <v>0</v>
      </c>
      <c r="AB140" s="69">
        <f>IF(AA140=0,0,IF(IF((S140&gt;=6)*(1-(IF(T140="",-1,T140)&gt;=1)*(IF(T140="",-1,T140)&lt;=3))*(1-(IF(T140="",-1,T140)=0)),IF(C140="peso_corporal",IF(ISNUMBER(E140),E140,0)+R140,R140)*(30+S140)*100+R140,0)=AA140,5,IF(IF((P140&gt;=6)*(1-(IF(Q140="",-1,Q140)&gt;=1)*(IF(Q140="",-1,Q140)&lt;=3))*(1-(IF(Q140="",-1,Q140)=0)),IF(C140="peso_corporal",IF(ISNUMBER(E140),E140,0)+O140,O140)*(30+P140)*100+O140,0)=AA140,4,IF(IF((M140&gt;=6)*(1-(IF(N140="",-1,N140)&gt;=1)*(IF(N140="",-1,N140)&lt;=3))*(1-(IF(N140="",-1,N140)=0)),IF(C140="peso_corporal",IF(ISNUMBER(E140),E140,0)+L140,L140)*(30+M140)*100+L140,0)=AA140,3,IF(IF((J140&gt;=6)*(1-(IF(K140="",-1,K140)&gt;=1)*(IF(K140="",-1,K140)&lt;=3))*(1-(IF(K140="",-1,K140)=0)),IF(C140="peso_corporal",IF(ISNUMBER(E140),E140,0)+I140,I140)*(30+J140)*100+I140,0)=AA140,2,IF(IF((G140&gt;=6)*(1-(IF(H140="",-1,H140)&gt;=1)*(IF(H140="",-1,H140)&lt;=3))*(1-(IF(H140="",-1,H140)=0)),IF(C140="peso_corporal",IF(ISNUMBER(E140),E140,0)+F140,F140)*(30+G140)*100+F140,0)=AA140,1,0))))))</f>
        <v>0</v>
      </c>
      <c r="AC140" s="69" t="str">
        <f>IF(X140&gt;0,"A"&amp;X140,IF(Z140&gt;0,"B"&amp;Z140,IF(AB140&gt;0,"C"&amp;AB140,"")))</f>
        <v/>
      </c>
    </row>
    <row r="141" spans="1:29" ht="11.1" customHeight="1">
      <c r="A141" s="84" t="s">
        <v>94</v>
      </c>
      <c r="B141" s="73"/>
      <c r="C141" s="73"/>
      <c r="D141" s="73"/>
      <c r="E141" s="73"/>
      <c r="F141" s="73"/>
      <c r="G141" s="73"/>
      <c r="H141" s="73"/>
      <c r="I141" s="73"/>
      <c r="J141" s="73"/>
      <c r="K141" s="73"/>
      <c r="L141" s="73"/>
      <c r="M141" s="73"/>
      <c r="N141" s="73"/>
      <c r="O141" s="73"/>
      <c r="P141" s="73"/>
      <c r="Q141" s="73"/>
      <c r="R141" s="73"/>
      <c r="S141" s="73"/>
      <c r="T141" s="73"/>
      <c r="U141" s="73"/>
      <c r="V141" s="73"/>
      <c r="W141" s="69"/>
      <c r="X141" s="69"/>
      <c r="Y141" s="69"/>
      <c r="Z141" s="69"/>
      <c r="AA141" s="69"/>
      <c r="AB141" s="69"/>
      <c r="AC141" s="69"/>
    </row>
    <row r="142" spans="1:29" ht="20.100000000000001" customHeight="1">
      <c r="A142" s="14" t="s">
        <v>95</v>
      </c>
      <c r="B142" s="15" t="s">
        <v>96</v>
      </c>
      <c r="C142" s="16" t="str">
        <f>IFERROR(INDEX(EJERCICIOS!$D$3:$D$75,MATCH(A142&amp;"|"&amp;B142,EJERCICIOS!$G$3:$G$75,0)),"--")</f>
        <v>polea</v>
      </c>
      <c r="D142" s="17">
        <v>3</v>
      </c>
      <c r="E142" s="18">
        <f>IFERROR(LOOKUP(2,1/(MEDIDAS_Y_PESO!$B$3:$B$9&lt;&gt;""),MEDIDAS_Y_PESO!$B$3:$B$9),"--")</f>
        <v>80</v>
      </c>
      <c r="F142" s="19"/>
      <c r="G142" s="20"/>
      <c r="H142" s="21"/>
      <c r="I142" s="19"/>
      <c r="J142" s="20"/>
      <c r="K142" s="21"/>
      <c r="L142" s="19"/>
      <c r="M142" s="20"/>
      <c r="N142" s="21"/>
      <c r="O142" s="19"/>
      <c r="P142" s="20"/>
      <c r="Q142" s="21"/>
      <c r="R142" s="19"/>
      <c r="S142" s="20"/>
      <c r="T142" s="21"/>
      <c r="U142" s="22" t="str">
        <f>IFERROR(IF(IF(X142&gt;0,X142,IF(Z142&gt;0,Z142,IF(AB142&gt;0,AB142,0)))=0,"--",ROUND(CHOOSE(IF(X142&gt;0,X142,IF(Z142&gt;0,Z142,IF(AB142&gt;0,AB142,0))),IF(C142="peso_corporal",IF(ISNUMBER(E142),E142,0)+F142,F142)*(1+G142/30),IF(C142="peso_corporal",IF(ISNUMBER(E142),E142,0)+I142,I142)*(1+J142/30),IF(C142="peso_corporal",IF(ISNUMBER(E142),E142,0)+L142,L142)*(1+M142/30),IF(C142="peso_corporal",IF(ISNUMBER(E142),E142,0)+O142,O142)*(1+P142/30),IF(C142="peso_corporal",IF(ISNUMBER(E142),E142,0)+R142,R142)*(1+S142/30)),1)),"--")</f>
        <v>--</v>
      </c>
      <c r="V142" s="23" t="str">
        <f>IF(SUGERENCIAS!N395="SIN","Sin datos anteriores",IF(SUGERENCIAS!N395="SUBIR_F","^ SUBIR FUERTE | Kg:"&amp;ROUND(SUGERENCIAS!K395,1)&amp;" R:"&amp;ROUND(SUGERENCIAS!L395,0)&amp;" RIR:"&amp;ROUND(SUGERENCIAS!M395,0),IF(SUGERENCIAS!N395="SUBIR_E","^ SUBIR (Est.) | Kg:"&amp;ROUND(SUGERENCIAS!K395,1)&amp;" R:"&amp;ROUND(SUGERENCIAS!L395,0)&amp;" RIR:"&amp;ROUND(SUGERENCIAS!M395,0),IF(SUGERENCIAS!N395="SUBIR","^ SUBIR | Kg:"&amp;ROUND(SUGERENCIAS!K395,1)&amp;" R:"&amp;ROUND(SUGERENCIAS!L395,0)&amp;" RIR:"&amp;ROUND(SUGERENCIAS!M395,0),IF(SUGERENCIAS!N395="BAJAR","v BAJAR | Kg:"&amp;ROUND(SUGERENCIAS!K395,1)&amp;" R:"&amp;ROUND(SUGERENCIAS!L395,0)&amp;" RIR:"&amp;ROUND(SUGERENCIAS!M395,0),"= MANT | Kg:"&amp;ROUND(SUGERENCIAS!K395,1)&amp;" R:"&amp;ROUND(SUGERENCIAS!L395,0)&amp;" RIR:"&amp;ROUND(SUGERENCIAS!M395,0))))))</f>
        <v>Sin datos anteriores</v>
      </c>
      <c r="W142" s="69">
        <f>MAX(IF((G142&gt;0)*(IF(H142="",-1,H142)&gt;=1)*(IF(H142="",-1,H142)&lt;=3),IF(C142="peso_corporal",IF(ISNUMBER(E142),E142,0)+F142,F142)*G142*1000+F142,0),IF((J142&gt;0)*(IF(K142="",-1,K142)&gt;=1)*(IF(K142="",-1,K142)&lt;=3),IF(C142="peso_corporal",IF(ISNUMBER(E142),E142,0)+I142,I142)*J142*1000+I142,0),IF((M142&gt;0)*(IF(N142="",-1,N142)&gt;=1)*(IF(N142="",-1,N142)&lt;=3),IF(C142="peso_corporal",IF(ISNUMBER(E142),E142,0)+L142,L142)*M142*1000+L142,0),IF((P142&gt;0)*(IF(Q142="",-1,Q142)&gt;=1)*(IF(Q142="",-1,Q142)&lt;=3),IF(C142="peso_corporal",IF(ISNUMBER(E142),E142,0)+O142,O142)*P142*1000+O142,0),IF((S142&gt;0)*(IF(T142="",-1,T142)&gt;=1)*(IF(T142="",-1,T142)&lt;=3),IF(C142="peso_corporal",IF(ISNUMBER(E142),E142,0)+R142,R142)*S142*1000+R142,0))</f>
        <v>0</v>
      </c>
      <c r="X142" s="69">
        <f>IF(W142=0,0,IF(IF((S142&gt;0)*(IF(T142="",-1,T142)&gt;=1)*(IF(T142="",-1,T142)&lt;=3),IF(C142="peso_corporal",IF(ISNUMBER(E142),E142,0)+R142,R142)*S142*1000+R142,0)=W142,5,IF(IF((P142&gt;0)*(IF(Q142="",-1,Q142)&gt;=1)*(IF(Q142="",-1,Q142)&lt;=3),IF(C142="peso_corporal",IF(ISNUMBER(E142),E142,0)+O142,O142)*P142*1000+O142,0)=W142,4,IF(IF((M142&gt;0)*(IF(N142="",-1,N142)&gt;=1)*(IF(N142="",-1,N142)&lt;=3),IF(C142="peso_corporal",IF(ISNUMBER(E142),E142,0)+L142,L142)*M142*1000+L142,0)=W142,3,IF(IF((J142&gt;0)*(IF(K142="",-1,K142)&gt;=1)*(IF(K142="",-1,K142)&lt;=3),IF(C142="peso_corporal",IF(ISNUMBER(E142),E142,0)+I142,I142)*J142*1000+I142,0)=W142,2,IF(IF((G142&gt;0)*(IF(H142="",-1,H142)&gt;=1)*(IF(H142="",-1,H142)&lt;=3),IF(C142="peso_corporal",IF(ISNUMBER(E142),E142,0)+F142,F142)*G142*1000+F142,0)=W142,1,0))))))</f>
        <v>0</v>
      </c>
      <c r="Y142" s="69">
        <f>MAX(IF((G142&gt;0)*(IF(H142="",-1,H142)=0)*(1-(IF(H142="",-1,H142)&gt;=1)*(IF(H142="",-1,H142)&lt;=3)),IF(C142="peso_corporal",IF(ISNUMBER(E142),E142,0)+F142,F142)*G142*1000+F142,0),IF((J142&gt;0)*(IF(K142="",-1,K142)=0)*(1-(IF(K142="",-1,K142)&gt;=1)*(IF(K142="",-1,K142)&lt;=3)),IF(C142="peso_corporal",IF(ISNUMBER(E142),E142,0)+I142,I142)*J142*1000+I142,0),IF((M142&gt;0)*(IF(N142="",-1,N142)=0)*(1-(IF(N142="",-1,N142)&gt;=1)*(IF(N142="",-1,N142)&lt;=3)),IF(C142="peso_corporal",IF(ISNUMBER(E142),E142,0)+L142,L142)*M142*1000+L142,0),IF((P142&gt;0)*(IF(Q142="",-1,Q142)=0)*(1-(IF(Q142="",-1,Q142)&gt;=1)*(IF(Q142="",-1,Q142)&lt;=3)),IF(C142="peso_corporal",IF(ISNUMBER(E142),E142,0)+O142,O142)*P142*1000+O142,0),IF((S142&gt;0)*(IF(T142="",-1,T142)=0)*(1-(IF(T142="",-1,T142)&gt;=1)*(IF(T142="",-1,T142)&lt;=3)),IF(C142="peso_corporal",IF(ISNUMBER(E142),E142,0)+R142,R142)*S142*1000+R142,0))</f>
        <v>0</v>
      </c>
      <c r="Z142" s="69">
        <f>IF(Y142=0,0,IF(IF((S142&gt;0)*(IF(T142="",-1,T142)=0)*(1-(IF(T142="",-1,T142)&gt;=1)*(IF(T142="",-1,T142)&lt;=3)),IF(C142="peso_corporal",IF(ISNUMBER(E142),E142,0)+R142,R142)*S142*1000+R142,0)=Y142,5,IF(IF((P142&gt;0)*(IF(Q142="",-1,Q142)=0)*(1-(IF(Q142="",-1,Q142)&gt;=1)*(IF(Q142="",-1,Q142)&lt;=3)),IF(C142="peso_corporal",IF(ISNUMBER(E142),E142,0)+O142,O142)*P142*1000+O142,0)=Y142,4,IF(IF((M142&gt;0)*(IF(N142="",-1,N142)=0)*(1-(IF(N142="",-1,N142)&gt;=1)*(IF(N142="",-1,N142)&lt;=3)),IF(C142="peso_corporal",IF(ISNUMBER(E142),E142,0)+L142,L142)*M142*1000+L142,0)=Y142,3,IF(IF((J142&gt;0)*(IF(K142="",-1,K142)=0)*(1-(IF(K142="",-1,K142)&gt;=1)*(IF(K142="",-1,K142)&lt;=3)),IF(C142="peso_corporal",IF(ISNUMBER(E142),E142,0)+I142,I142)*J142*1000+I142,0)=Y142,2,IF(IF((G142&gt;0)*(IF(H142="",-1,H142)=0)*(1-(IF(H142="",-1,H142)&gt;=1)*(IF(H142="",-1,H142)&lt;=3)),IF(C142="peso_corporal",IF(ISNUMBER(E142),E142,0)+F142,F142)*G142*1000+F142,0)=Y142,1,0))))))</f>
        <v>0</v>
      </c>
      <c r="AA142" s="69">
        <f>MAX(IF((G142&gt;=6)*(1-(IF(H142="",-1,H142)&gt;=1)*(IF(H142="",-1,H142)&lt;=3))*(1-(IF(H142="",-1,H142)=0)),IF(C142="peso_corporal",IF(ISNUMBER(E142),E142,0)+F142,F142)*(30+G142)*100+F142,0),IF((J142&gt;=6)*(1-(IF(K142="",-1,K142)&gt;=1)*(IF(K142="",-1,K142)&lt;=3))*(1-(IF(K142="",-1,K142)=0)),IF(C142="peso_corporal",IF(ISNUMBER(E142),E142,0)+I142,I142)*(30+J142)*100+I142,0),IF((M142&gt;=6)*(1-(IF(N142="",-1,N142)&gt;=1)*(IF(N142="",-1,N142)&lt;=3))*(1-(IF(N142="",-1,N142)=0)),IF(C142="peso_corporal",IF(ISNUMBER(E142),E142,0)+L142,L142)*(30+M142)*100+L142,0),IF((P142&gt;=6)*(1-(IF(Q142="",-1,Q142)&gt;=1)*(IF(Q142="",-1,Q142)&lt;=3))*(1-(IF(Q142="",-1,Q142)=0)),IF(C142="peso_corporal",IF(ISNUMBER(E142),E142,0)+O142,O142)*(30+P142)*100+O142,0),IF((S142&gt;=6)*(1-(IF(T142="",-1,T142)&gt;=1)*(IF(T142="",-1,T142)&lt;=3))*(1-(IF(T142="",-1,T142)=0)),IF(C142="peso_corporal",IF(ISNUMBER(E142),E142,0)+R142,R142)*(30+S142)*100+R142,0))</f>
        <v>0</v>
      </c>
      <c r="AB142" s="69">
        <f>IF(AA142=0,0,IF(IF((S142&gt;=6)*(1-(IF(T142="",-1,T142)&gt;=1)*(IF(T142="",-1,T142)&lt;=3))*(1-(IF(T142="",-1,T142)=0)),IF(C142="peso_corporal",IF(ISNUMBER(E142),E142,0)+R142,R142)*(30+S142)*100+R142,0)=AA142,5,IF(IF((P142&gt;=6)*(1-(IF(Q142="",-1,Q142)&gt;=1)*(IF(Q142="",-1,Q142)&lt;=3))*(1-(IF(Q142="",-1,Q142)=0)),IF(C142="peso_corporal",IF(ISNUMBER(E142),E142,0)+O142,O142)*(30+P142)*100+O142,0)=AA142,4,IF(IF((M142&gt;=6)*(1-(IF(N142="",-1,N142)&gt;=1)*(IF(N142="",-1,N142)&lt;=3))*(1-(IF(N142="",-1,N142)=0)),IF(C142="peso_corporal",IF(ISNUMBER(E142),E142,0)+L142,L142)*(30+M142)*100+L142,0)=AA142,3,IF(IF((J142&gt;=6)*(1-(IF(K142="",-1,K142)&gt;=1)*(IF(K142="",-1,K142)&lt;=3))*(1-(IF(K142="",-1,K142)=0)),IF(C142="peso_corporal",IF(ISNUMBER(E142),E142,0)+I142,I142)*(30+J142)*100+I142,0)=AA142,2,IF(IF((G142&gt;=6)*(1-(IF(H142="",-1,H142)&gt;=1)*(IF(H142="",-1,H142)&lt;=3))*(1-(IF(H142="",-1,H142)=0)),IF(C142="peso_corporal",IF(ISNUMBER(E142),E142,0)+F142,F142)*(30+G142)*100+F142,0)=AA142,1,0))))))</f>
        <v>0</v>
      </c>
      <c r="AC142" s="69" t="str">
        <f>IF(X142&gt;0,"A"&amp;X142,IF(Z142&gt;0,"B"&amp;Z142,IF(AB142&gt;0,"C"&amp;AB142,"")))</f>
        <v/>
      </c>
    </row>
    <row r="143" spans="1:29" ht="20.100000000000001" customHeight="1">
      <c r="A143" s="14" t="s">
        <v>95</v>
      </c>
      <c r="B143" s="15" t="s">
        <v>97</v>
      </c>
      <c r="C143" s="16" t="str">
        <f>IFERROR(INDEX(EJERCICIOS!$D$3:$D$75,MATCH(A143&amp;"|"&amp;B143,EJERCICIOS!$G$3:$G$75,0)),"--")</f>
        <v>polea</v>
      </c>
      <c r="D143" s="17">
        <v>3</v>
      </c>
      <c r="E143" s="18">
        <f>IFERROR(LOOKUP(2,1/(MEDIDAS_Y_PESO!$B$3:$B$9&lt;&gt;""),MEDIDAS_Y_PESO!$B$3:$B$9),"--")</f>
        <v>80</v>
      </c>
      <c r="F143" s="19"/>
      <c r="G143" s="20"/>
      <c r="H143" s="21"/>
      <c r="I143" s="19"/>
      <c r="J143" s="20"/>
      <c r="K143" s="21"/>
      <c r="L143" s="19"/>
      <c r="M143" s="20"/>
      <c r="N143" s="21"/>
      <c r="O143" s="19"/>
      <c r="P143" s="20"/>
      <c r="Q143" s="21"/>
      <c r="R143" s="19"/>
      <c r="S143" s="20"/>
      <c r="T143" s="21"/>
      <c r="U143" s="22" t="str">
        <f>IFERROR(IF(IF(X143&gt;0,X143,IF(Z143&gt;0,Z143,IF(AB143&gt;0,AB143,0)))=0,"--",ROUND(CHOOSE(IF(X143&gt;0,X143,IF(Z143&gt;0,Z143,IF(AB143&gt;0,AB143,0))),IF(C143="peso_corporal",IF(ISNUMBER(E143),E143,0)+F143,F143)*(1+G143/30),IF(C143="peso_corporal",IF(ISNUMBER(E143),E143,0)+I143,I143)*(1+J143/30),IF(C143="peso_corporal",IF(ISNUMBER(E143),E143,0)+L143,L143)*(1+M143/30),IF(C143="peso_corporal",IF(ISNUMBER(E143),E143,0)+O143,O143)*(1+P143/30),IF(C143="peso_corporal",IF(ISNUMBER(E143),E143,0)+R143,R143)*(1+S143/30)),1)),"--")</f>
        <v>--</v>
      </c>
      <c r="V143" s="23" t="str">
        <f>IF(SUGERENCIAS!N396="SIN","Sin datos anteriores",IF(SUGERENCIAS!N396="SUBIR_F","^ SUBIR FUERTE | Kg:"&amp;ROUND(SUGERENCIAS!K396,1)&amp;" R:"&amp;ROUND(SUGERENCIAS!L396,0)&amp;" RIR:"&amp;ROUND(SUGERENCIAS!M396,0),IF(SUGERENCIAS!N396="SUBIR_E","^ SUBIR (Est.) | Kg:"&amp;ROUND(SUGERENCIAS!K396,1)&amp;" R:"&amp;ROUND(SUGERENCIAS!L396,0)&amp;" RIR:"&amp;ROUND(SUGERENCIAS!M396,0),IF(SUGERENCIAS!N396="SUBIR","^ SUBIR | Kg:"&amp;ROUND(SUGERENCIAS!K396,1)&amp;" R:"&amp;ROUND(SUGERENCIAS!L396,0)&amp;" RIR:"&amp;ROUND(SUGERENCIAS!M396,0),IF(SUGERENCIAS!N396="BAJAR","v BAJAR | Kg:"&amp;ROUND(SUGERENCIAS!K396,1)&amp;" R:"&amp;ROUND(SUGERENCIAS!L396,0)&amp;" RIR:"&amp;ROUND(SUGERENCIAS!M396,0),"= MANT | Kg:"&amp;ROUND(SUGERENCIAS!K396,1)&amp;" R:"&amp;ROUND(SUGERENCIAS!L396,0)&amp;" RIR:"&amp;ROUND(SUGERENCIAS!M396,0))))))</f>
        <v>Sin datos anteriores</v>
      </c>
      <c r="W143" s="69">
        <f>MAX(IF((G143&gt;0)*(IF(H143="",-1,H143)&gt;=1)*(IF(H143="",-1,H143)&lt;=3),IF(C143="peso_corporal",IF(ISNUMBER(E143),E143,0)+F143,F143)*G143*1000+F143,0),IF((J143&gt;0)*(IF(K143="",-1,K143)&gt;=1)*(IF(K143="",-1,K143)&lt;=3),IF(C143="peso_corporal",IF(ISNUMBER(E143),E143,0)+I143,I143)*J143*1000+I143,0),IF((M143&gt;0)*(IF(N143="",-1,N143)&gt;=1)*(IF(N143="",-1,N143)&lt;=3),IF(C143="peso_corporal",IF(ISNUMBER(E143),E143,0)+L143,L143)*M143*1000+L143,0),IF((P143&gt;0)*(IF(Q143="",-1,Q143)&gt;=1)*(IF(Q143="",-1,Q143)&lt;=3),IF(C143="peso_corporal",IF(ISNUMBER(E143),E143,0)+O143,O143)*P143*1000+O143,0),IF((S143&gt;0)*(IF(T143="",-1,T143)&gt;=1)*(IF(T143="",-1,T143)&lt;=3),IF(C143="peso_corporal",IF(ISNUMBER(E143),E143,0)+R143,R143)*S143*1000+R143,0))</f>
        <v>0</v>
      </c>
      <c r="X143" s="69">
        <f>IF(W143=0,0,IF(IF((S143&gt;0)*(IF(T143="",-1,T143)&gt;=1)*(IF(T143="",-1,T143)&lt;=3),IF(C143="peso_corporal",IF(ISNUMBER(E143),E143,0)+R143,R143)*S143*1000+R143,0)=W143,5,IF(IF((P143&gt;0)*(IF(Q143="",-1,Q143)&gt;=1)*(IF(Q143="",-1,Q143)&lt;=3),IF(C143="peso_corporal",IF(ISNUMBER(E143),E143,0)+O143,O143)*P143*1000+O143,0)=W143,4,IF(IF((M143&gt;0)*(IF(N143="",-1,N143)&gt;=1)*(IF(N143="",-1,N143)&lt;=3),IF(C143="peso_corporal",IF(ISNUMBER(E143),E143,0)+L143,L143)*M143*1000+L143,0)=W143,3,IF(IF((J143&gt;0)*(IF(K143="",-1,K143)&gt;=1)*(IF(K143="",-1,K143)&lt;=3),IF(C143="peso_corporal",IF(ISNUMBER(E143),E143,0)+I143,I143)*J143*1000+I143,0)=W143,2,IF(IF((G143&gt;0)*(IF(H143="",-1,H143)&gt;=1)*(IF(H143="",-1,H143)&lt;=3),IF(C143="peso_corporal",IF(ISNUMBER(E143),E143,0)+F143,F143)*G143*1000+F143,0)=W143,1,0))))))</f>
        <v>0</v>
      </c>
      <c r="Y143" s="69">
        <f>MAX(IF((G143&gt;0)*(IF(H143="",-1,H143)=0)*(1-(IF(H143="",-1,H143)&gt;=1)*(IF(H143="",-1,H143)&lt;=3)),IF(C143="peso_corporal",IF(ISNUMBER(E143),E143,0)+F143,F143)*G143*1000+F143,0),IF((J143&gt;0)*(IF(K143="",-1,K143)=0)*(1-(IF(K143="",-1,K143)&gt;=1)*(IF(K143="",-1,K143)&lt;=3)),IF(C143="peso_corporal",IF(ISNUMBER(E143),E143,0)+I143,I143)*J143*1000+I143,0),IF((M143&gt;0)*(IF(N143="",-1,N143)=0)*(1-(IF(N143="",-1,N143)&gt;=1)*(IF(N143="",-1,N143)&lt;=3)),IF(C143="peso_corporal",IF(ISNUMBER(E143),E143,0)+L143,L143)*M143*1000+L143,0),IF((P143&gt;0)*(IF(Q143="",-1,Q143)=0)*(1-(IF(Q143="",-1,Q143)&gt;=1)*(IF(Q143="",-1,Q143)&lt;=3)),IF(C143="peso_corporal",IF(ISNUMBER(E143),E143,0)+O143,O143)*P143*1000+O143,0),IF((S143&gt;0)*(IF(T143="",-1,T143)=0)*(1-(IF(T143="",-1,T143)&gt;=1)*(IF(T143="",-1,T143)&lt;=3)),IF(C143="peso_corporal",IF(ISNUMBER(E143),E143,0)+R143,R143)*S143*1000+R143,0))</f>
        <v>0</v>
      </c>
      <c r="Z143" s="69">
        <f>IF(Y143=0,0,IF(IF((S143&gt;0)*(IF(T143="",-1,T143)=0)*(1-(IF(T143="",-1,T143)&gt;=1)*(IF(T143="",-1,T143)&lt;=3)),IF(C143="peso_corporal",IF(ISNUMBER(E143),E143,0)+R143,R143)*S143*1000+R143,0)=Y143,5,IF(IF((P143&gt;0)*(IF(Q143="",-1,Q143)=0)*(1-(IF(Q143="",-1,Q143)&gt;=1)*(IF(Q143="",-1,Q143)&lt;=3)),IF(C143="peso_corporal",IF(ISNUMBER(E143),E143,0)+O143,O143)*P143*1000+O143,0)=Y143,4,IF(IF((M143&gt;0)*(IF(N143="",-1,N143)=0)*(1-(IF(N143="",-1,N143)&gt;=1)*(IF(N143="",-1,N143)&lt;=3)),IF(C143="peso_corporal",IF(ISNUMBER(E143),E143,0)+L143,L143)*M143*1000+L143,0)=Y143,3,IF(IF((J143&gt;0)*(IF(K143="",-1,K143)=0)*(1-(IF(K143="",-1,K143)&gt;=1)*(IF(K143="",-1,K143)&lt;=3)),IF(C143="peso_corporal",IF(ISNUMBER(E143),E143,0)+I143,I143)*J143*1000+I143,0)=Y143,2,IF(IF((G143&gt;0)*(IF(H143="",-1,H143)=0)*(1-(IF(H143="",-1,H143)&gt;=1)*(IF(H143="",-1,H143)&lt;=3)),IF(C143="peso_corporal",IF(ISNUMBER(E143),E143,0)+F143,F143)*G143*1000+F143,0)=Y143,1,0))))))</f>
        <v>0</v>
      </c>
      <c r="AA143" s="69">
        <f>MAX(IF((G143&gt;=6)*(1-(IF(H143="",-1,H143)&gt;=1)*(IF(H143="",-1,H143)&lt;=3))*(1-(IF(H143="",-1,H143)=0)),IF(C143="peso_corporal",IF(ISNUMBER(E143),E143,0)+F143,F143)*(30+G143)*100+F143,0),IF((J143&gt;=6)*(1-(IF(K143="",-1,K143)&gt;=1)*(IF(K143="",-1,K143)&lt;=3))*(1-(IF(K143="",-1,K143)=0)),IF(C143="peso_corporal",IF(ISNUMBER(E143),E143,0)+I143,I143)*(30+J143)*100+I143,0),IF((M143&gt;=6)*(1-(IF(N143="",-1,N143)&gt;=1)*(IF(N143="",-1,N143)&lt;=3))*(1-(IF(N143="",-1,N143)=0)),IF(C143="peso_corporal",IF(ISNUMBER(E143),E143,0)+L143,L143)*(30+M143)*100+L143,0),IF((P143&gt;=6)*(1-(IF(Q143="",-1,Q143)&gt;=1)*(IF(Q143="",-1,Q143)&lt;=3))*(1-(IF(Q143="",-1,Q143)=0)),IF(C143="peso_corporal",IF(ISNUMBER(E143),E143,0)+O143,O143)*(30+P143)*100+O143,0),IF((S143&gt;=6)*(1-(IF(T143="",-1,T143)&gt;=1)*(IF(T143="",-1,T143)&lt;=3))*(1-(IF(T143="",-1,T143)=0)),IF(C143="peso_corporal",IF(ISNUMBER(E143),E143,0)+R143,R143)*(30+S143)*100+R143,0))</f>
        <v>0</v>
      </c>
      <c r="AB143" s="69">
        <f>IF(AA143=0,0,IF(IF((S143&gt;=6)*(1-(IF(T143="",-1,T143)&gt;=1)*(IF(T143="",-1,T143)&lt;=3))*(1-(IF(T143="",-1,T143)=0)),IF(C143="peso_corporal",IF(ISNUMBER(E143),E143,0)+R143,R143)*(30+S143)*100+R143,0)=AA143,5,IF(IF((P143&gt;=6)*(1-(IF(Q143="",-1,Q143)&gt;=1)*(IF(Q143="",-1,Q143)&lt;=3))*(1-(IF(Q143="",-1,Q143)=0)),IF(C143="peso_corporal",IF(ISNUMBER(E143),E143,0)+O143,O143)*(30+P143)*100+O143,0)=AA143,4,IF(IF((M143&gt;=6)*(1-(IF(N143="",-1,N143)&gt;=1)*(IF(N143="",-1,N143)&lt;=3))*(1-(IF(N143="",-1,N143)=0)),IF(C143="peso_corporal",IF(ISNUMBER(E143),E143,0)+L143,L143)*(30+M143)*100+L143,0)=AA143,3,IF(IF((J143&gt;=6)*(1-(IF(K143="",-1,K143)&gt;=1)*(IF(K143="",-1,K143)&lt;=3))*(1-(IF(K143="",-1,K143)=0)),IF(C143="peso_corporal",IF(ISNUMBER(E143),E143,0)+I143,I143)*(30+J143)*100+I143,0)=AA143,2,IF(IF((G143&gt;=6)*(1-(IF(H143="",-1,H143)&gt;=1)*(IF(H143="",-1,H143)&lt;=3))*(1-(IF(H143="",-1,H143)=0)),IF(C143="peso_corporal",IF(ISNUMBER(E143),E143,0)+F143,F143)*(30+G143)*100+F143,0)=AA143,1,0))))))</f>
        <v>0</v>
      </c>
      <c r="AC143" s="69" t="str">
        <f>IF(X143&gt;0,"A"&amp;X143,IF(Z143&gt;0,"B"&amp;Z143,IF(AB143&gt;0,"C"&amp;AB143,"")))</f>
        <v/>
      </c>
    </row>
    <row r="144" spans="1:29" ht="15" customHeight="1">
      <c r="A144" s="81" t="s">
        <v>53</v>
      </c>
      <c r="B144" s="73"/>
      <c r="C144" s="73"/>
      <c r="D144" s="73"/>
      <c r="E144" s="73"/>
      <c r="F144" s="73"/>
      <c r="G144" s="73"/>
      <c r="H144" s="73"/>
      <c r="I144" s="73"/>
      <c r="J144" s="73"/>
      <c r="K144" s="73"/>
      <c r="L144" s="73"/>
      <c r="M144" s="73"/>
      <c r="N144" s="73"/>
      <c r="O144" s="73"/>
      <c r="P144" s="73"/>
      <c r="Q144" s="73"/>
      <c r="R144" s="73"/>
      <c r="S144" s="73"/>
      <c r="T144" s="73"/>
      <c r="U144" s="73"/>
      <c r="V144" s="73"/>
      <c r="W144" s="69"/>
      <c r="X144" s="69"/>
      <c r="Y144" s="69"/>
      <c r="Z144" s="69"/>
      <c r="AA144" s="69"/>
      <c r="AB144" s="69"/>
      <c r="AC144" s="69"/>
    </row>
    <row r="145" spans="1:29" ht="20.100000000000001" customHeight="1">
      <c r="A145" s="14" t="s">
        <v>54</v>
      </c>
      <c r="B145" s="15" t="s">
        <v>67</v>
      </c>
      <c r="C145" s="16" t="str">
        <f>IFERROR(INDEX(EJERCICIOS!$D$3:$D$75,MATCH(A145&amp;"|"&amp;B145,EJERCICIOS!$G$3:$G$75,0)),"--")</f>
        <v>mancuerna</v>
      </c>
      <c r="D145" s="17">
        <v>3</v>
      </c>
      <c r="E145" s="18">
        <f>IFERROR(LOOKUP(2,1/(MEDIDAS_Y_PESO!$B$3:$B$9&lt;&gt;""),MEDIDAS_Y_PESO!$B$3:$B$9),"--")</f>
        <v>80</v>
      </c>
      <c r="F145" s="19"/>
      <c r="G145" s="20"/>
      <c r="H145" s="21"/>
      <c r="I145" s="19"/>
      <c r="J145" s="20"/>
      <c r="K145" s="21"/>
      <c r="L145" s="19"/>
      <c r="M145" s="20"/>
      <c r="N145" s="21"/>
      <c r="O145" s="19"/>
      <c r="P145" s="20"/>
      <c r="Q145" s="21"/>
      <c r="R145" s="19"/>
      <c r="S145" s="20"/>
      <c r="T145" s="21"/>
      <c r="U145" s="22" t="str">
        <f>IFERROR(IF(IF(X145&gt;0,X145,IF(Z145&gt;0,Z145,IF(AB145&gt;0,AB145,0)))=0,"--",ROUND(CHOOSE(IF(X145&gt;0,X145,IF(Z145&gt;0,Z145,IF(AB145&gt;0,AB145,0))),IF(C145="peso_corporal",IF(ISNUMBER(E145),E145,0)+F145,F145)*(1+G145/30),IF(C145="peso_corporal",IF(ISNUMBER(E145),E145,0)+I145,I145)*(1+J145/30),IF(C145="peso_corporal",IF(ISNUMBER(E145),E145,0)+L145,L145)*(1+M145/30),IF(C145="peso_corporal",IF(ISNUMBER(E145),E145,0)+O145,O145)*(1+P145/30),IF(C145="peso_corporal",IF(ISNUMBER(E145),E145,0)+R145,R145)*(1+S145/30)),1)),"--")</f>
        <v>--</v>
      </c>
      <c r="V145" s="23" t="str">
        <f>IF(SUGERENCIAS!N397="SIN","Sin datos anteriores",IF(SUGERENCIAS!N397="SUBIR_F","^ SUBIR FUERTE | Kg:"&amp;ROUND(SUGERENCIAS!K397,1)&amp;" R:"&amp;ROUND(SUGERENCIAS!L397,0)&amp;" RIR:"&amp;ROUND(SUGERENCIAS!M397,0),IF(SUGERENCIAS!N397="SUBIR_E","^ SUBIR (Est.) | Kg:"&amp;ROUND(SUGERENCIAS!K397,1)&amp;" R:"&amp;ROUND(SUGERENCIAS!L397,0)&amp;" RIR:"&amp;ROUND(SUGERENCIAS!M397,0),IF(SUGERENCIAS!N397="SUBIR","^ SUBIR | Kg:"&amp;ROUND(SUGERENCIAS!K397,1)&amp;" R:"&amp;ROUND(SUGERENCIAS!L397,0)&amp;" RIR:"&amp;ROUND(SUGERENCIAS!M397,0),IF(SUGERENCIAS!N397="BAJAR","v BAJAR | Kg:"&amp;ROUND(SUGERENCIAS!K397,1)&amp;" R:"&amp;ROUND(SUGERENCIAS!L397,0)&amp;" RIR:"&amp;ROUND(SUGERENCIAS!M397,0),"= MANT | Kg:"&amp;ROUND(SUGERENCIAS!K397,1)&amp;" R:"&amp;ROUND(SUGERENCIAS!L397,0)&amp;" RIR:"&amp;ROUND(SUGERENCIAS!M397,0))))))</f>
        <v>Sin datos anteriores</v>
      </c>
      <c r="W145" s="69">
        <f>MAX(IF((G145&gt;0)*(IF(H145="",-1,H145)&gt;=1)*(IF(H145="",-1,H145)&lt;=3),IF(C145="peso_corporal",IF(ISNUMBER(E145),E145,0)+F145,F145)*G145*1000+F145,0),IF((J145&gt;0)*(IF(K145="",-1,K145)&gt;=1)*(IF(K145="",-1,K145)&lt;=3),IF(C145="peso_corporal",IF(ISNUMBER(E145),E145,0)+I145,I145)*J145*1000+I145,0),IF((M145&gt;0)*(IF(N145="",-1,N145)&gt;=1)*(IF(N145="",-1,N145)&lt;=3),IF(C145="peso_corporal",IF(ISNUMBER(E145),E145,0)+L145,L145)*M145*1000+L145,0),IF((P145&gt;0)*(IF(Q145="",-1,Q145)&gt;=1)*(IF(Q145="",-1,Q145)&lt;=3),IF(C145="peso_corporal",IF(ISNUMBER(E145),E145,0)+O145,O145)*P145*1000+O145,0),IF((S145&gt;0)*(IF(T145="",-1,T145)&gt;=1)*(IF(T145="",-1,T145)&lt;=3),IF(C145="peso_corporal",IF(ISNUMBER(E145),E145,0)+R145,R145)*S145*1000+R145,0))</f>
        <v>0</v>
      </c>
      <c r="X145" s="69">
        <f>IF(W145=0,0,IF(IF((S145&gt;0)*(IF(T145="",-1,T145)&gt;=1)*(IF(T145="",-1,T145)&lt;=3),IF(C145="peso_corporal",IF(ISNUMBER(E145),E145,0)+R145,R145)*S145*1000+R145,0)=W145,5,IF(IF((P145&gt;0)*(IF(Q145="",-1,Q145)&gt;=1)*(IF(Q145="",-1,Q145)&lt;=3),IF(C145="peso_corporal",IF(ISNUMBER(E145),E145,0)+O145,O145)*P145*1000+O145,0)=W145,4,IF(IF((M145&gt;0)*(IF(N145="",-1,N145)&gt;=1)*(IF(N145="",-1,N145)&lt;=3),IF(C145="peso_corporal",IF(ISNUMBER(E145),E145,0)+L145,L145)*M145*1000+L145,0)=W145,3,IF(IF((J145&gt;0)*(IF(K145="",-1,K145)&gt;=1)*(IF(K145="",-1,K145)&lt;=3),IF(C145="peso_corporal",IF(ISNUMBER(E145),E145,0)+I145,I145)*J145*1000+I145,0)=W145,2,IF(IF((G145&gt;0)*(IF(H145="",-1,H145)&gt;=1)*(IF(H145="",-1,H145)&lt;=3),IF(C145="peso_corporal",IF(ISNUMBER(E145),E145,0)+F145,F145)*G145*1000+F145,0)=W145,1,0))))))</f>
        <v>0</v>
      </c>
      <c r="Y145" s="69">
        <f>MAX(IF((G145&gt;0)*(IF(H145="",-1,H145)=0)*(1-(IF(H145="",-1,H145)&gt;=1)*(IF(H145="",-1,H145)&lt;=3)),IF(C145="peso_corporal",IF(ISNUMBER(E145),E145,0)+F145,F145)*G145*1000+F145,0),IF((J145&gt;0)*(IF(K145="",-1,K145)=0)*(1-(IF(K145="",-1,K145)&gt;=1)*(IF(K145="",-1,K145)&lt;=3)),IF(C145="peso_corporal",IF(ISNUMBER(E145),E145,0)+I145,I145)*J145*1000+I145,0),IF((M145&gt;0)*(IF(N145="",-1,N145)=0)*(1-(IF(N145="",-1,N145)&gt;=1)*(IF(N145="",-1,N145)&lt;=3)),IF(C145="peso_corporal",IF(ISNUMBER(E145),E145,0)+L145,L145)*M145*1000+L145,0),IF((P145&gt;0)*(IF(Q145="",-1,Q145)=0)*(1-(IF(Q145="",-1,Q145)&gt;=1)*(IF(Q145="",-1,Q145)&lt;=3)),IF(C145="peso_corporal",IF(ISNUMBER(E145),E145,0)+O145,O145)*P145*1000+O145,0),IF((S145&gt;0)*(IF(T145="",-1,T145)=0)*(1-(IF(T145="",-1,T145)&gt;=1)*(IF(T145="",-1,T145)&lt;=3)),IF(C145="peso_corporal",IF(ISNUMBER(E145),E145,0)+R145,R145)*S145*1000+R145,0))</f>
        <v>0</v>
      </c>
      <c r="Z145" s="69">
        <f>IF(Y145=0,0,IF(IF((S145&gt;0)*(IF(T145="",-1,T145)=0)*(1-(IF(T145="",-1,T145)&gt;=1)*(IF(T145="",-1,T145)&lt;=3)),IF(C145="peso_corporal",IF(ISNUMBER(E145),E145,0)+R145,R145)*S145*1000+R145,0)=Y145,5,IF(IF((P145&gt;0)*(IF(Q145="",-1,Q145)=0)*(1-(IF(Q145="",-1,Q145)&gt;=1)*(IF(Q145="",-1,Q145)&lt;=3)),IF(C145="peso_corporal",IF(ISNUMBER(E145),E145,0)+O145,O145)*P145*1000+O145,0)=Y145,4,IF(IF((M145&gt;0)*(IF(N145="",-1,N145)=0)*(1-(IF(N145="",-1,N145)&gt;=1)*(IF(N145="",-1,N145)&lt;=3)),IF(C145="peso_corporal",IF(ISNUMBER(E145),E145,0)+L145,L145)*M145*1000+L145,0)=Y145,3,IF(IF((J145&gt;0)*(IF(K145="",-1,K145)=0)*(1-(IF(K145="",-1,K145)&gt;=1)*(IF(K145="",-1,K145)&lt;=3)),IF(C145="peso_corporal",IF(ISNUMBER(E145),E145,0)+I145,I145)*J145*1000+I145,0)=Y145,2,IF(IF((G145&gt;0)*(IF(H145="",-1,H145)=0)*(1-(IF(H145="",-1,H145)&gt;=1)*(IF(H145="",-1,H145)&lt;=3)),IF(C145="peso_corporal",IF(ISNUMBER(E145),E145,0)+F145,F145)*G145*1000+F145,0)=Y145,1,0))))))</f>
        <v>0</v>
      </c>
      <c r="AA145" s="69">
        <f>MAX(IF((G145&gt;=6)*(1-(IF(H145="",-1,H145)&gt;=1)*(IF(H145="",-1,H145)&lt;=3))*(1-(IF(H145="",-1,H145)=0)),IF(C145="peso_corporal",IF(ISNUMBER(E145),E145,0)+F145,F145)*(30+G145)*100+F145,0),IF((J145&gt;=6)*(1-(IF(K145="",-1,K145)&gt;=1)*(IF(K145="",-1,K145)&lt;=3))*(1-(IF(K145="",-1,K145)=0)),IF(C145="peso_corporal",IF(ISNUMBER(E145),E145,0)+I145,I145)*(30+J145)*100+I145,0),IF((M145&gt;=6)*(1-(IF(N145="",-1,N145)&gt;=1)*(IF(N145="",-1,N145)&lt;=3))*(1-(IF(N145="",-1,N145)=0)),IF(C145="peso_corporal",IF(ISNUMBER(E145),E145,0)+L145,L145)*(30+M145)*100+L145,0),IF((P145&gt;=6)*(1-(IF(Q145="",-1,Q145)&gt;=1)*(IF(Q145="",-1,Q145)&lt;=3))*(1-(IF(Q145="",-1,Q145)=0)),IF(C145="peso_corporal",IF(ISNUMBER(E145),E145,0)+O145,O145)*(30+P145)*100+O145,0),IF((S145&gt;=6)*(1-(IF(T145="",-1,T145)&gt;=1)*(IF(T145="",-1,T145)&lt;=3))*(1-(IF(T145="",-1,T145)=0)),IF(C145="peso_corporal",IF(ISNUMBER(E145),E145,0)+R145,R145)*(30+S145)*100+R145,0))</f>
        <v>0</v>
      </c>
      <c r="AB145" s="69">
        <f>IF(AA145=0,0,IF(IF((S145&gt;=6)*(1-(IF(T145="",-1,T145)&gt;=1)*(IF(T145="",-1,T145)&lt;=3))*(1-(IF(T145="",-1,T145)=0)),IF(C145="peso_corporal",IF(ISNUMBER(E145),E145,0)+R145,R145)*(30+S145)*100+R145,0)=AA145,5,IF(IF((P145&gt;=6)*(1-(IF(Q145="",-1,Q145)&gt;=1)*(IF(Q145="",-1,Q145)&lt;=3))*(1-(IF(Q145="",-1,Q145)=0)),IF(C145="peso_corporal",IF(ISNUMBER(E145),E145,0)+O145,O145)*(30+P145)*100+O145,0)=AA145,4,IF(IF((M145&gt;=6)*(1-(IF(N145="",-1,N145)&gt;=1)*(IF(N145="",-1,N145)&lt;=3))*(1-(IF(N145="",-1,N145)=0)),IF(C145="peso_corporal",IF(ISNUMBER(E145),E145,0)+L145,L145)*(30+M145)*100+L145,0)=AA145,3,IF(IF((J145&gt;=6)*(1-(IF(K145="",-1,K145)&gt;=1)*(IF(K145="",-1,K145)&lt;=3))*(1-(IF(K145="",-1,K145)=0)),IF(C145="peso_corporal",IF(ISNUMBER(E145),E145,0)+I145,I145)*(30+J145)*100+I145,0)=AA145,2,IF(IF((G145&gt;=6)*(1-(IF(H145="",-1,H145)&gt;=1)*(IF(H145="",-1,H145)&lt;=3))*(1-(IF(H145="",-1,H145)=0)),IF(C145="peso_corporal",IF(ISNUMBER(E145),E145,0)+F145,F145)*(30+G145)*100+F145,0)=AA145,1,0))))))</f>
        <v>0</v>
      </c>
      <c r="AC145" s="69" t="str">
        <f>IF(X145&gt;0,"A"&amp;X145,IF(Z145&gt;0,"B"&amp;Z145,IF(AB145&gt;0,"C"&amp;AB145,"")))</f>
        <v/>
      </c>
    </row>
    <row r="146" spans="1:29" ht="20.100000000000001" customHeight="1">
      <c r="A146" s="14" t="s">
        <v>54</v>
      </c>
      <c r="B146" s="15" t="s">
        <v>98</v>
      </c>
      <c r="C146" s="16" t="str">
        <f>IFERROR(INDEX(EJERCICIOS!$D$3:$D$75,MATCH(A146&amp;"|"&amp;B146,EJERCICIOS!$G$3:$G$75,0)),"--")</f>
        <v>polea</v>
      </c>
      <c r="D146" s="17">
        <v>3</v>
      </c>
      <c r="E146" s="18">
        <f>IFERROR(LOOKUP(2,1/(MEDIDAS_Y_PESO!$B$3:$B$9&lt;&gt;""),MEDIDAS_Y_PESO!$B$3:$B$9),"--")</f>
        <v>80</v>
      </c>
      <c r="F146" s="19"/>
      <c r="G146" s="20"/>
      <c r="H146" s="21"/>
      <c r="I146" s="19"/>
      <c r="J146" s="20"/>
      <c r="K146" s="21"/>
      <c r="L146" s="19"/>
      <c r="M146" s="20"/>
      <c r="N146" s="21"/>
      <c r="O146" s="19"/>
      <c r="P146" s="20"/>
      <c r="Q146" s="21"/>
      <c r="R146" s="19"/>
      <c r="S146" s="20"/>
      <c r="T146" s="21"/>
      <c r="U146" s="22" t="str">
        <f>IFERROR(IF(IF(X146&gt;0,X146,IF(Z146&gt;0,Z146,IF(AB146&gt;0,AB146,0)))=0,"--",ROUND(CHOOSE(IF(X146&gt;0,X146,IF(Z146&gt;0,Z146,IF(AB146&gt;0,AB146,0))),IF(C146="peso_corporal",IF(ISNUMBER(E146),E146,0)+F146,F146)*(1+G146/30),IF(C146="peso_corporal",IF(ISNUMBER(E146),E146,0)+I146,I146)*(1+J146/30),IF(C146="peso_corporal",IF(ISNUMBER(E146),E146,0)+L146,L146)*(1+M146/30),IF(C146="peso_corporal",IF(ISNUMBER(E146),E146,0)+O146,O146)*(1+P146/30),IF(C146="peso_corporal",IF(ISNUMBER(E146),E146,0)+R146,R146)*(1+S146/30)),1)),"--")</f>
        <v>--</v>
      </c>
      <c r="V146" s="23" t="str">
        <f>IF(SUGERENCIAS!N398="SIN","Sin datos anteriores",IF(SUGERENCIAS!N398="SUBIR_F","^ SUBIR FUERTE | Kg:"&amp;ROUND(SUGERENCIAS!K398,1)&amp;" R:"&amp;ROUND(SUGERENCIAS!L398,0)&amp;" RIR:"&amp;ROUND(SUGERENCIAS!M398,0),IF(SUGERENCIAS!N398="SUBIR_E","^ SUBIR (Est.) | Kg:"&amp;ROUND(SUGERENCIAS!K398,1)&amp;" R:"&amp;ROUND(SUGERENCIAS!L398,0)&amp;" RIR:"&amp;ROUND(SUGERENCIAS!M398,0),IF(SUGERENCIAS!N398="SUBIR","^ SUBIR | Kg:"&amp;ROUND(SUGERENCIAS!K398,1)&amp;" R:"&amp;ROUND(SUGERENCIAS!L398,0)&amp;" RIR:"&amp;ROUND(SUGERENCIAS!M398,0),IF(SUGERENCIAS!N398="BAJAR","v BAJAR | Kg:"&amp;ROUND(SUGERENCIAS!K398,1)&amp;" R:"&amp;ROUND(SUGERENCIAS!L398,0)&amp;" RIR:"&amp;ROUND(SUGERENCIAS!M398,0),"= MANT | Kg:"&amp;ROUND(SUGERENCIAS!K398,1)&amp;" R:"&amp;ROUND(SUGERENCIAS!L398,0)&amp;" RIR:"&amp;ROUND(SUGERENCIAS!M398,0))))))</f>
        <v>Sin datos anteriores</v>
      </c>
      <c r="W146" s="69">
        <f>MAX(IF((G146&gt;0)*(IF(H146="",-1,H146)&gt;=1)*(IF(H146="",-1,H146)&lt;=3),IF(C146="peso_corporal",IF(ISNUMBER(E146),E146,0)+F146,F146)*G146*1000+F146,0),IF((J146&gt;0)*(IF(K146="",-1,K146)&gt;=1)*(IF(K146="",-1,K146)&lt;=3),IF(C146="peso_corporal",IF(ISNUMBER(E146),E146,0)+I146,I146)*J146*1000+I146,0),IF((M146&gt;0)*(IF(N146="",-1,N146)&gt;=1)*(IF(N146="",-1,N146)&lt;=3),IF(C146="peso_corporal",IF(ISNUMBER(E146),E146,0)+L146,L146)*M146*1000+L146,0),IF((P146&gt;0)*(IF(Q146="",-1,Q146)&gt;=1)*(IF(Q146="",-1,Q146)&lt;=3),IF(C146="peso_corporal",IF(ISNUMBER(E146),E146,0)+O146,O146)*P146*1000+O146,0),IF((S146&gt;0)*(IF(T146="",-1,T146)&gt;=1)*(IF(T146="",-1,T146)&lt;=3),IF(C146="peso_corporal",IF(ISNUMBER(E146),E146,0)+R146,R146)*S146*1000+R146,0))</f>
        <v>0</v>
      </c>
      <c r="X146" s="69">
        <f>IF(W146=0,0,IF(IF((S146&gt;0)*(IF(T146="",-1,T146)&gt;=1)*(IF(T146="",-1,T146)&lt;=3),IF(C146="peso_corporal",IF(ISNUMBER(E146),E146,0)+R146,R146)*S146*1000+R146,0)=W146,5,IF(IF((P146&gt;0)*(IF(Q146="",-1,Q146)&gt;=1)*(IF(Q146="",-1,Q146)&lt;=3),IF(C146="peso_corporal",IF(ISNUMBER(E146),E146,0)+O146,O146)*P146*1000+O146,0)=W146,4,IF(IF((M146&gt;0)*(IF(N146="",-1,N146)&gt;=1)*(IF(N146="",-1,N146)&lt;=3),IF(C146="peso_corporal",IF(ISNUMBER(E146),E146,0)+L146,L146)*M146*1000+L146,0)=W146,3,IF(IF((J146&gt;0)*(IF(K146="",-1,K146)&gt;=1)*(IF(K146="",-1,K146)&lt;=3),IF(C146="peso_corporal",IF(ISNUMBER(E146),E146,0)+I146,I146)*J146*1000+I146,0)=W146,2,IF(IF((G146&gt;0)*(IF(H146="",-1,H146)&gt;=1)*(IF(H146="",-1,H146)&lt;=3),IF(C146="peso_corporal",IF(ISNUMBER(E146),E146,0)+F146,F146)*G146*1000+F146,0)=W146,1,0))))))</f>
        <v>0</v>
      </c>
      <c r="Y146" s="69">
        <f>MAX(IF((G146&gt;0)*(IF(H146="",-1,H146)=0)*(1-(IF(H146="",-1,H146)&gt;=1)*(IF(H146="",-1,H146)&lt;=3)),IF(C146="peso_corporal",IF(ISNUMBER(E146),E146,0)+F146,F146)*G146*1000+F146,0),IF((J146&gt;0)*(IF(K146="",-1,K146)=0)*(1-(IF(K146="",-1,K146)&gt;=1)*(IF(K146="",-1,K146)&lt;=3)),IF(C146="peso_corporal",IF(ISNUMBER(E146),E146,0)+I146,I146)*J146*1000+I146,0),IF((M146&gt;0)*(IF(N146="",-1,N146)=0)*(1-(IF(N146="",-1,N146)&gt;=1)*(IF(N146="",-1,N146)&lt;=3)),IF(C146="peso_corporal",IF(ISNUMBER(E146),E146,0)+L146,L146)*M146*1000+L146,0),IF((P146&gt;0)*(IF(Q146="",-1,Q146)=0)*(1-(IF(Q146="",-1,Q146)&gt;=1)*(IF(Q146="",-1,Q146)&lt;=3)),IF(C146="peso_corporal",IF(ISNUMBER(E146),E146,0)+O146,O146)*P146*1000+O146,0),IF((S146&gt;0)*(IF(T146="",-1,T146)=0)*(1-(IF(T146="",-1,T146)&gt;=1)*(IF(T146="",-1,T146)&lt;=3)),IF(C146="peso_corporal",IF(ISNUMBER(E146),E146,0)+R146,R146)*S146*1000+R146,0))</f>
        <v>0</v>
      </c>
      <c r="Z146" s="69">
        <f>IF(Y146=0,0,IF(IF((S146&gt;0)*(IF(T146="",-1,T146)=0)*(1-(IF(T146="",-1,T146)&gt;=1)*(IF(T146="",-1,T146)&lt;=3)),IF(C146="peso_corporal",IF(ISNUMBER(E146),E146,0)+R146,R146)*S146*1000+R146,0)=Y146,5,IF(IF((P146&gt;0)*(IF(Q146="",-1,Q146)=0)*(1-(IF(Q146="",-1,Q146)&gt;=1)*(IF(Q146="",-1,Q146)&lt;=3)),IF(C146="peso_corporal",IF(ISNUMBER(E146),E146,0)+O146,O146)*P146*1000+O146,0)=Y146,4,IF(IF((M146&gt;0)*(IF(N146="",-1,N146)=0)*(1-(IF(N146="",-1,N146)&gt;=1)*(IF(N146="",-1,N146)&lt;=3)),IF(C146="peso_corporal",IF(ISNUMBER(E146),E146,0)+L146,L146)*M146*1000+L146,0)=Y146,3,IF(IF((J146&gt;0)*(IF(K146="",-1,K146)=0)*(1-(IF(K146="",-1,K146)&gt;=1)*(IF(K146="",-1,K146)&lt;=3)),IF(C146="peso_corporal",IF(ISNUMBER(E146),E146,0)+I146,I146)*J146*1000+I146,0)=Y146,2,IF(IF((G146&gt;0)*(IF(H146="",-1,H146)=0)*(1-(IF(H146="",-1,H146)&gt;=1)*(IF(H146="",-1,H146)&lt;=3)),IF(C146="peso_corporal",IF(ISNUMBER(E146),E146,0)+F146,F146)*G146*1000+F146,0)=Y146,1,0))))))</f>
        <v>0</v>
      </c>
      <c r="AA146" s="69">
        <f>MAX(IF((G146&gt;=6)*(1-(IF(H146="",-1,H146)&gt;=1)*(IF(H146="",-1,H146)&lt;=3))*(1-(IF(H146="",-1,H146)=0)),IF(C146="peso_corporal",IF(ISNUMBER(E146),E146,0)+F146,F146)*(30+G146)*100+F146,0),IF((J146&gt;=6)*(1-(IF(K146="",-1,K146)&gt;=1)*(IF(K146="",-1,K146)&lt;=3))*(1-(IF(K146="",-1,K146)=0)),IF(C146="peso_corporal",IF(ISNUMBER(E146),E146,0)+I146,I146)*(30+J146)*100+I146,0),IF((M146&gt;=6)*(1-(IF(N146="",-1,N146)&gt;=1)*(IF(N146="",-1,N146)&lt;=3))*(1-(IF(N146="",-1,N146)=0)),IF(C146="peso_corporal",IF(ISNUMBER(E146),E146,0)+L146,L146)*(30+M146)*100+L146,0),IF((P146&gt;=6)*(1-(IF(Q146="",-1,Q146)&gt;=1)*(IF(Q146="",-1,Q146)&lt;=3))*(1-(IF(Q146="",-1,Q146)=0)),IF(C146="peso_corporal",IF(ISNUMBER(E146),E146,0)+O146,O146)*(30+P146)*100+O146,0),IF((S146&gt;=6)*(1-(IF(T146="",-1,T146)&gt;=1)*(IF(T146="",-1,T146)&lt;=3))*(1-(IF(T146="",-1,T146)=0)),IF(C146="peso_corporal",IF(ISNUMBER(E146),E146,0)+R146,R146)*(30+S146)*100+R146,0))</f>
        <v>0</v>
      </c>
      <c r="AB146" s="69">
        <f>IF(AA146=0,0,IF(IF((S146&gt;=6)*(1-(IF(T146="",-1,T146)&gt;=1)*(IF(T146="",-1,T146)&lt;=3))*(1-(IF(T146="",-1,T146)=0)),IF(C146="peso_corporal",IF(ISNUMBER(E146),E146,0)+R146,R146)*(30+S146)*100+R146,0)=AA146,5,IF(IF((P146&gt;=6)*(1-(IF(Q146="",-1,Q146)&gt;=1)*(IF(Q146="",-1,Q146)&lt;=3))*(1-(IF(Q146="",-1,Q146)=0)),IF(C146="peso_corporal",IF(ISNUMBER(E146),E146,0)+O146,O146)*(30+P146)*100+O146,0)=AA146,4,IF(IF((M146&gt;=6)*(1-(IF(N146="",-1,N146)&gt;=1)*(IF(N146="",-1,N146)&lt;=3))*(1-(IF(N146="",-1,N146)=0)),IF(C146="peso_corporal",IF(ISNUMBER(E146),E146,0)+L146,L146)*(30+M146)*100+L146,0)=AA146,3,IF(IF((J146&gt;=6)*(1-(IF(K146="",-1,K146)&gt;=1)*(IF(K146="",-1,K146)&lt;=3))*(1-(IF(K146="",-1,K146)=0)),IF(C146="peso_corporal",IF(ISNUMBER(E146),E146,0)+I146,I146)*(30+J146)*100+I146,0)=AA146,2,IF(IF((G146&gt;=6)*(1-(IF(H146="",-1,H146)&gt;=1)*(IF(H146="",-1,H146)&lt;=3))*(1-(IF(H146="",-1,H146)=0)),IF(C146="peso_corporal",IF(ISNUMBER(E146),E146,0)+F146,F146)*(30+G146)*100+F146,0)=AA146,1,0))))))</f>
        <v>0</v>
      </c>
      <c r="AC146" s="69" t="str">
        <f>IF(X146&gt;0,"A"&amp;X146,IF(Z146&gt;0,"B"&amp;Z146,IF(AB146&gt;0,"C"&amp;AB146,"")))</f>
        <v/>
      </c>
    </row>
    <row r="147" spans="1:29" ht="15" customHeight="1">
      <c r="A147" s="83" t="s">
        <v>99</v>
      </c>
      <c r="B147" s="73"/>
      <c r="C147" s="73"/>
      <c r="D147" s="73"/>
      <c r="E147" s="73"/>
      <c r="F147" s="73"/>
      <c r="G147" s="73"/>
      <c r="H147" s="73"/>
      <c r="I147" s="73"/>
      <c r="J147" s="73"/>
      <c r="K147" s="73"/>
      <c r="L147" s="73"/>
      <c r="M147" s="73"/>
      <c r="N147" s="73"/>
      <c r="O147" s="73"/>
      <c r="P147" s="73"/>
      <c r="Q147" s="73"/>
      <c r="R147" s="73"/>
      <c r="S147" s="73"/>
      <c r="T147" s="73"/>
      <c r="U147" s="73"/>
      <c r="V147" s="73"/>
      <c r="W147" s="69"/>
      <c r="X147" s="69"/>
      <c r="Y147" s="69"/>
      <c r="Z147" s="69"/>
      <c r="AA147" s="69"/>
      <c r="AB147" s="69"/>
      <c r="AC147" s="69"/>
    </row>
    <row r="148" spans="1:29" ht="20.100000000000001" customHeight="1">
      <c r="A148" s="14" t="s">
        <v>100</v>
      </c>
      <c r="B148" s="15" t="s">
        <v>101</v>
      </c>
      <c r="C148" s="16" t="str">
        <f>IFERROR(INDEX(EJERCICIOS!$D$3:$D$75,MATCH(A148&amp;"|"&amp;B148,EJERCICIOS!$G$3:$G$75,0)),"--")</f>
        <v>mancuerna</v>
      </c>
      <c r="D148" s="17">
        <v>3</v>
      </c>
      <c r="E148" s="18">
        <f>IFERROR(LOOKUP(2,1/(MEDIDAS_Y_PESO!$B$3:$B$9&lt;&gt;""),MEDIDAS_Y_PESO!$B$3:$B$9),"--")</f>
        <v>80</v>
      </c>
      <c r="F148" s="19"/>
      <c r="G148" s="20"/>
      <c r="H148" s="21"/>
      <c r="I148" s="19"/>
      <c r="J148" s="20"/>
      <c r="K148" s="21"/>
      <c r="L148" s="19"/>
      <c r="M148" s="20"/>
      <c r="N148" s="21"/>
      <c r="O148" s="19"/>
      <c r="P148" s="20"/>
      <c r="Q148" s="21"/>
      <c r="R148" s="19"/>
      <c r="S148" s="20"/>
      <c r="T148" s="21"/>
      <c r="U148" s="22" t="str">
        <f>IFERROR(IF(IF(X148&gt;0,X148,IF(Z148&gt;0,Z148,IF(AB148&gt;0,AB148,0)))=0,"--",ROUND(CHOOSE(IF(X148&gt;0,X148,IF(Z148&gt;0,Z148,IF(AB148&gt;0,AB148,0))),IF(C148="peso_corporal",IF(ISNUMBER(E148),E148,0)+F148,F148)*(1+G148/30),IF(C148="peso_corporal",IF(ISNUMBER(E148),E148,0)+I148,I148)*(1+J148/30),IF(C148="peso_corporal",IF(ISNUMBER(E148),E148,0)+L148,L148)*(1+M148/30),IF(C148="peso_corporal",IF(ISNUMBER(E148),E148,0)+O148,O148)*(1+P148/30),IF(C148="peso_corporal",IF(ISNUMBER(E148),E148,0)+R148,R148)*(1+S148/30)),1)),"--")</f>
        <v>--</v>
      </c>
      <c r="V148" s="23" t="str">
        <f>IF(SUGERENCIAS!N399="SIN","Sin datos anteriores",IF(SUGERENCIAS!N399="SUBIR_F","^ SUBIR FUERTE | Kg:"&amp;ROUND(SUGERENCIAS!K399,1)&amp;" R:"&amp;ROUND(SUGERENCIAS!L399,0)&amp;" RIR:"&amp;ROUND(SUGERENCIAS!M399,0),IF(SUGERENCIAS!N399="SUBIR_E","^ SUBIR (Est.) | Kg:"&amp;ROUND(SUGERENCIAS!K399,1)&amp;" R:"&amp;ROUND(SUGERENCIAS!L399,0)&amp;" RIR:"&amp;ROUND(SUGERENCIAS!M399,0),IF(SUGERENCIAS!N399="SUBIR","^ SUBIR | Kg:"&amp;ROUND(SUGERENCIAS!K399,1)&amp;" R:"&amp;ROUND(SUGERENCIAS!L399,0)&amp;" RIR:"&amp;ROUND(SUGERENCIAS!M399,0),IF(SUGERENCIAS!N399="BAJAR","v BAJAR | Kg:"&amp;ROUND(SUGERENCIAS!K399,1)&amp;" R:"&amp;ROUND(SUGERENCIAS!L399,0)&amp;" RIR:"&amp;ROUND(SUGERENCIAS!M399,0),"= MANT | Kg:"&amp;ROUND(SUGERENCIAS!K399,1)&amp;" R:"&amp;ROUND(SUGERENCIAS!L399,0)&amp;" RIR:"&amp;ROUND(SUGERENCIAS!M399,0))))))</f>
        <v>Sin datos anteriores</v>
      </c>
      <c r="W148" s="69">
        <f>MAX(IF((G148&gt;0)*(IF(H148="",-1,H148)&gt;=1)*(IF(H148="",-1,H148)&lt;=3),IF(C148="peso_corporal",IF(ISNUMBER(E148),E148,0)+F148,F148)*G148*1000+F148,0),IF((J148&gt;0)*(IF(K148="",-1,K148)&gt;=1)*(IF(K148="",-1,K148)&lt;=3),IF(C148="peso_corporal",IF(ISNUMBER(E148),E148,0)+I148,I148)*J148*1000+I148,0),IF((M148&gt;0)*(IF(N148="",-1,N148)&gt;=1)*(IF(N148="",-1,N148)&lt;=3),IF(C148="peso_corporal",IF(ISNUMBER(E148),E148,0)+L148,L148)*M148*1000+L148,0),IF((P148&gt;0)*(IF(Q148="",-1,Q148)&gt;=1)*(IF(Q148="",-1,Q148)&lt;=3),IF(C148="peso_corporal",IF(ISNUMBER(E148),E148,0)+O148,O148)*P148*1000+O148,0),IF((S148&gt;0)*(IF(T148="",-1,T148)&gt;=1)*(IF(T148="",-1,T148)&lt;=3),IF(C148="peso_corporal",IF(ISNUMBER(E148),E148,0)+R148,R148)*S148*1000+R148,0))</f>
        <v>0</v>
      </c>
      <c r="X148" s="69">
        <f>IF(W148=0,0,IF(IF((S148&gt;0)*(IF(T148="",-1,T148)&gt;=1)*(IF(T148="",-1,T148)&lt;=3),IF(C148="peso_corporal",IF(ISNUMBER(E148),E148,0)+R148,R148)*S148*1000+R148,0)=W148,5,IF(IF((P148&gt;0)*(IF(Q148="",-1,Q148)&gt;=1)*(IF(Q148="",-1,Q148)&lt;=3),IF(C148="peso_corporal",IF(ISNUMBER(E148),E148,0)+O148,O148)*P148*1000+O148,0)=W148,4,IF(IF((M148&gt;0)*(IF(N148="",-1,N148)&gt;=1)*(IF(N148="",-1,N148)&lt;=3),IF(C148="peso_corporal",IF(ISNUMBER(E148),E148,0)+L148,L148)*M148*1000+L148,0)=W148,3,IF(IF((J148&gt;0)*(IF(K148="",-1,K148)&gt;=1)*(IF(K148="",-1,K148)&lt;=3),IF(C148="peso_corporal",IF(ISNUMBER(E148),E148,0)+I148,I148)*J148*1000+I148,0)=W148,2,IF(IF((G148&gt;0)*(IF(H148="",-1,H148)&gt;=1)*(IF(H148="",-1,H148)&lt;=3),IF(C148="peso_corporal",IF(ISNUMBER(E148),E148,0)+F148,F148)*G148*1000+F148,0)=W148,1,0))))))</f>
        <v>0</v>
      </c>
      <c r="Y148" s="69">
        <f>MAX(IF((G148&gt;0)*(IF(H148="",-1,H148)=0)*(1-(IF(H148="",-1,H148)&gt;=1)*(IF(H148="",-1,H148)&lt;=3)),IF(C148="peso_corporal",IF(ISNUMBER(E148),E148,0)+F148,F148)*G148*1000+F148,0),IF((J148&gt;0)*(IF(K148="",-1,K148)=0)*(1-(IF(K148="",-1,K148)&gt;=1)*(IF(K148="",-1,K148)&lt;=3)),IF(C148="peso_corporal",IF(ISNUMBER(E148),E148,0)+I148,I148)*J148*1000+I148,0),IF((M148&gt;0)*(IF(N148="",-1,N148)=0)*(1-(IF(N148="",-1,N148)&gt;=1)*(IF(N148="",-1,N148)&lt;=3)),IF(C148="peso_corporal",IF(ISNUMBER(E148),E148,0)+L148,L148)*M148*1000+L148,0),IF((P148&gt;0)*(IF(Q148="",-1,Q148)=0)*(1-(IF(Q148="",-1,Q148)&gt;=1)*(IF(Q148="",-1,Q148)&lt;=3)),IF(C148="peso_corporal",IF(ISNUMBER(E148),E148,0)+O148,O148)*P148*1000+O148,0),IF((S148&gt;0)*(IF(T148="",-1,T148)=0)*(1-(IF(T148="",-1,T148)&gt;=1)*(IF(T148="",-1,T148)&lt;=3)),IF(C148="peso_corporal",IF(ISNUMBER(E148),E148,0)+R148,R148)*S148*1000+R148,0))</f>
        <v>0</v>
      </c>
      <c r="Z148" s="69">
        <f>IF(Y148=0,0,IF(IF((S148&gt;0)*(IF(T148="",-1,T148)=0)*(1-(IF(T148="",-1,T148)&gt;=1)*(IF(T148="",-1,T148)&lt;=3)),IF(C148="peso_corporal",IF(ISNUMBER(E148),E148,0)+R148,R148)*S148*1000+R148,0)=Y148,5,IF(IF((P148&gt;0)*(IF(Q148="",-1,Q148)=0)*(1-(IF(Q148="",-1,Q148)&gt;=1)*(IF(Q148="",-1,Q148)&lt;=3)),IF(C148="peso_corporal",IF(ISNUMBER(E148),E148,0)+O148,O148)*P148*1000+O148,0)=Y148,4,IF(IF((M148&gt;0)*(IF(N148="",-1,N148)=0)*(1-(IF(N148="",-1,N148)&gt;=1)*(IF(N148="",-1,N148)&lt;=3)),IF(C148="peso_corporal",IF(ISNUMBER(E148),E148,0)+L148,L148)*M148*1000+L148,0)=Y148,3,IF(IF((J148&gt;0)*(IF(K148="",-1,K148)=0)*(1-(IF(K148="",-1,K148)&gt;=1)*(IF(K148="",-1,K148)&lt;=3)),IF(C148="peso_corporal",IF(ISNUMBER(E148),E148,0)+I148,I148)*J148*1000+I148,0)=Y148,2,IF(IF((G148&gt;0)*(IF(H148="",-1,H148)=0)*(1-(IF(H148="",-1,H148)&gt;=1)*(IF(H148="",-1,H148)&lt;=3)),IF(C148="peso_corporal",IF(ISNUMBER(E148),E148,0)+F148,F148)*G148*1000+F148,0)=Y148,1,0))))))</f>
        <v>0</v>
      </c>
      <c r="AA148" s="69">
        <f>MAX(IF((G148&gt;=6)*(1-(IF(H148="",-1,H148)&gt;=1)*(IF(H148="",-1,H148)&lt;=3))*(1-(IF(H148="",-1,H148)=0)),IF(C148="peso_corporal",IF(ISNUMBER(E148),E148,0)+F148,F148)*(30+G148)*100+F148,0),IF((J148&gt;=6)*(1-(IF(K148="",-1,K148)&gt;=1)*(IF(K148="",-1,K148)&lt;=3))*(1-(IF(K148="",-1,K148)=0)),IF(C148="peso_corporal",IF(ISNUMBER(E148),E148,0)+I148,I148)*(30+J148)*100+I148,0),IF((M148&gt;=6)*(1-(IF(N148="",-1,N148)&gt;=1)*(IF(N148="",-1,N148)&lt;=3))*(1-(IF(N148="",-1,N148)=0)),IF(C148="peso_corporal",IF(ISNUMBER(E148),E148,0)+L148,L148)*(30+M148)*100+L148,0),IF((P148&gt;=6)*(1-(IF(Q148="",-1,Q148)&gt;=1)*(IF(Q148="",-1,Q148)&lt;=3))*(1-(IF(Q148="",-1,Q148)=0)),IF(C148="peso_corporal",IF(ISNUMBER(E148),E148,0)+O148,O148)*(30+P148)*100+O148,0),IF((S148&gt;=6)*(1-(IF(T148="",-1,T148)&gt;=1)*(IF(T148="",-1,T148)&lt;=3))*(1-(IF(T148="",-1,T148)=0)),IF(C148="peso_corporal",IF(ISNUMBER(E148),E148,0)+R148,R148)*(30+S148)*100+R148,0))</f>
        <v>0</v>
      </c>
      <c r="AB148" s="69">
        <f>IF(AA148=0,0,IF(IF((S148&gt;=6)*(1-(IF(T148="",-1,T148)&gt;=1)*(IF(T148="",-1,T148)&lt;=3))*(1-(IF(T148="",-1,T148)=0)),IF(C148="peso_corporal",IF(ISNUMBER(E148),E148,0)+R148,R148)*(30+S148)*100+R148,0)=AA148,5,IF(IF((P148&gt;=6)*(1-(IF(Q148="",-1,Q148)&gt;=1)*(IF(Q148="",-1,Q148)&lt;=3))*(1-(IF(Q148="",-1,Q148)=0)),IF(C148="peso_corporal",IF(ISNUMBER(E148),E148,0)+O148,O148)*(30+P148)*100+O148,0)=AA148,4,IF(IF((M148&gt;=6)*(1-(IF(N148="",-1,N148)&gt;=1)*(IF(N148="",-1,N148)&lt;=3))*(1-(IF(N148="",-1,N148)=0)),IF(C148="peso_corporal",IF(ISNUMBER(E148),E148,0)+L148,L148)*(30+M148)*100+L148,0)=AA148,3,IF(IF((J148&gt;=6)*(1-(IF(K148="",-1,K148)&gt;=1)*(IF(K148="",-1,K148)&lt;=3))*(1-(IF(K148="",-1,K148)=0)),IF(C148="peso_corporal",IF(ISNUMBER(E148),E148,0)+I148,I148)*(30+J148)*100+I148,0)=AA148,2,IF(IF((G148&gt;=6)*(1-(IF(H148="",-1,H148)&gt;=1)*(IF(H148="",-1,H148)&lt;=3))*(1-(IF(H148="",-1,H148)=0)),IF(C148="peso_corporal",IF(ISNUMBER(E148),E148,0)+F148,F148)*(30+G148)*100+F148,0)=AA148,1,0))))))</f>
        <v>0</v>
      </c>
      <c r="AC148" s="69" t="str">
        <f>IF(X148&gt;0,"A"&amp;X148,IF(Z148&gt;0,"B"&amp;Z148,IF(AB148&gt;0,"C"&amp;AB148,"")))</f>
        <v/>
      </c>
    </row>
    <row r="149" spans="1:29" ht="20.100000000000001" customHeight="1">
      <c r="A149" s="14" t="s">
        <v>100</v>
      </c>
      <c r="B149" s="15" t="s">
        <v>102</v>
      </c>
      <c r="C149" s="16" t="str">
        <f>IFERROR(INDEX(EJERCICIOS!$D$3:$D$75,MATCH(A149&amp;"|"&amp;B149,EJERCICIOS!$G$3:$G$75,0)),"--")</f>
        <v>mancuerna</v>
      </c>
      <c r="D149" s="17">
        <v>3</v>
      </c>
      <c r="E149" s="18">
        <f>IFERROR(LOOKUP(2,1/(MEDIDAS_Y_PESO!$B$3:$B$9&lt;&gt;""),MEDIDAS_Y_PESO!$B$3:$B$9),"--")</f>
        <v>80</v>
      </c>
      <c r="F149" s="19"/>
      <c r="G149" s="20"/>
      <c r="H149" s="21"/>
      <c r="I149" s="19"/>
      <c r="J149" s="20"/>
      <c r="K149" s="21"/>
      <c r="L149" s="19"/>
      <c r="M149" s="20"/>
      <c r="N149" s="21"/>
      <c r="O149" s="19"/>
      <c r="P149" s="20"/>
      <c r="Q149" s="21"/>
      <c r="R149" s="19"/>
      <c r="S149" s="20"/>
      <c r="T149" s="21"/>
      <c r="U149" s="22" t="str">
        <f>IFERROR(IF(IF(X149&gt;0,X149,IF(Z149&gt;0,Z149,IF(AB149&gt;0,AB149,0)))=0,"--",ROUND(CHOOSE(IF(X149&gt;0,X149,IF(Z149&gt;0,Z149,IF(AB149&gt;0,AB149,0))),IF(C149="peso_corporal",IF(ISNUMBER(E149),E149,0)+F149,F149)*(1+G149/30),IF(C149="peso_corporal",IF(ISNUMBER(E149),E149,0)+I149,I149)*(1+J149/30),IF(C149="peso_corporal",IF(ISNUMBER(E149),E149,0)+L149,L149)*(1+M149/30),IF(C149="peso_corporal",IF(ISNUMBER(E149),E149,0)+O149,O149)*(1+P149/30),IF(C149="peso_corporal",IF(ISNUMBER(E149),E149,0)+R149,R149)*(1+S149/30)),1)),"--")</f>
        <v>--</v>
      </c>
      <c r="V149" s="23" t="str">
        <f>IF(SUGERENCIAS!N400="SIN","Sin datos anteriores",IF(SUGERENCIAS!N400="SUBIR_F","^ SUBIR FUERTE | Kg:"&amp;ROUND(SUGERENCIAS!K400,1)&amp;" R:"&amp;ROUND(SUGERENCIAS!L400,0)&amp;" RIR:"&amp;ROUND(SUGERENCIAS!M400,0),IF(SUGERENCIAS!N400="SUBIR_E","^ SUBIR (Est.) | Kg:"&amp;ROUND(SUGERENCIAS!K400,1)&amp;" R:"&amp;ROUND(SUGERENCIAS!L400,0)&amp;" RIR:"&amp;ROUND(SUGERENCIAS!M400,0),IF(SUGERENCIAS!N400="SUBIR","^ SUBIR | Kg:"&amp;ROUND(SUGERENCIAS!K400,1)&amp;" R:"&amp;ROUND(SUGERENCIAS!L400,0)&amp;" RIR:"&amp;ROUND(SUGERENCIAS!M400,0),IF(SUGERENCIAS!N400="BAJAR","v BAJAR | Kg:"&amp;ROUND(SUGERENCIAS!K400,1)&amp;" R:"&amp;ROUND(SUGERENCIAS!L400,0)&amp;" RIR:"&amp;ROUND(SUGERENCIAS!M400,0),"= MANT | Kg:"&amp;ROUND(SUGERENCIAS!K400,1)&amp;" R:"&amp;ROUND(SUGERENCIAS!L400,0)&amp;" RIR:"&amp;ROUND(SUGERENCIAS!M400,0))))))</f>
        <v>Sin datos anteriores</v>
      </c>
      <c r="W149" s="69">
        <f>MAX(IF((G149&gt;0)*(IF(H149="",-1,H149)&gt;=1)*(IF(H149="",-1,H149)&lt;=3),IF(C149="peso_corporal",IF(ISNUMBER(E149),E149,0)+F149,F149)*G149*1000+F149,0),IF((J149&gt;0)*(IF(K149="",-1,K149)&gt;=1)*(IF(K149="",-1,K149)&lt;=3),IF(C149="peso_corporal",IF(ISNUMBER(E149),E149,0)+I149,I149)*J149*1000+I149,0),IF((M149&gt;0)*(IF(N149="",-1,N149)&gt;=1)*(IF(N149="",-1,N149)&lt;=3),IF(C149="peso_corporal",IF(ISNUMBER(E149),E149,0)+L149,L149)*M149*1000+L149,0),IF((P149&gt;0)*(IF(Q149="",-1,Q149)&gt;=1)*(IF(Q149="",-1,Q149)&lt;=3),IF(C149="peso_corporal",IF(ISNUMBER(E149),E149,0)+O149,O149)*P149*1000+O149,0),IF((S149&gt;0)*(IF(T149="",-1,T149)&gt;=1)*(IF(T149="",-1,T149)&lt;=3),IF(C149="peso_corporal",IF(ISNUMBER(E149),E149,0)+R149,R149)*S149*1000+R149,0))</f>
        <v>0</v>
      </c>
      <c r="X149" s="69">
        <f>IF(W149=0,0,IF(IF((S149&gt;0)*(IF(T149="",-1,T149)&gt;=1)*(IF(T149="",-1,T149)&lt;=3),IF(C149="peso_corporal",IF(ISNUMBER(E149),E149,0)+R149,R149)*S149*1000+R149,0)=W149,5,IF(IF((P149&gt;0)*(IF(Q149="",-1,Q149)&gt;=1)*(IF(Q149="",-1,Q149)&lt;=3),IF(C149="peso_corporal",IF(ISNUMBER(E149),E149,0)+O149,O149)*P149*1000+O149,0)=W149,4,IF(IF((M149&gt;0)*(IF(N149="",-1,N149)&gt;=1)*(IF(N149="",-1,N149)&lt;=3),IF(C149="peso_corporal",IF(ISNUMBER(E149),E149,0)+L149,L149)*M149*1000+L149,0)=W149,3,IF(IF((J149&gt;0)*(IF(K149="",-1,K149)&gt;=1)*(IF(K149="",-1,K149)&lt;=3),IF(C149="peso_corporal",IF(ISNUMBER(E149),E149,0)+I149,I149)*J149*1000+I149,0)=W149,2,IF(IF((G149&gt;0)*(IF(H149="",-1,H149)&gt;=1)*(IF(H149="",-1,H149)&lt;=3),IF(C149="peso_corporal",IF(ISNUMBER(E149),E149,0)+F149,F149)*G149*1000+F149,0)=W149,1,0))))))</f>
        <v>0</v>
      </c>
      <c r="Y149" s="69">
        <f>MAX(IF((G149&gt;0)*(IF(H149="",-1,H149)=0)*(1-(IF(H149="",-1,H149)&gt;=1)*(IF(H149="",-1,H149)&lt;=3)),IF(C149="peso_corporal",IF(ISNUMBER(E149),E149,0)+F149,F149)*G149*1000+F149,0),IF((J149&gt;0)*(IF(K149="",-1,K149)=0)*(1-(IF(K149="",-1,K149)&gt;=1)*(IF(K149="",-1,K149)&lt;=3)),IF(C149="peso_corporal",IF(ISNUMBER(E149),E149,0)+I149,I149)*J149*1000+I149,0),IF((M149&gt;0)*(IF(N149="",-1,N149)=0)*(1-(IF(N149="",-1,N149)&gt;=1)*(IF(N149="",-1,N149)&lt;=3)),IF(C149="peso_corporal",IF(ISNUMBER(E149),E149,0)+L149,L149)*M149*1000+L149,0),IF((P149&gt;0)*(IF(Q149="",-1,Q149)=0)*(1-(IF(Q149="",-1,Q149)&gt;=1)*(IF(Q149="",-1,Q149)&lt;=3)),IF(C149="peso_corporal",IF(ISNUMBER(E149),E149,0)+O149,O149)*P149*1000+O149,0),IF((S149&gt;0)*(IF(T149="",-1,T149)=0)*(1-(IF(T149="",-1,T149)&gt;=1)*(IF(T149="",-1,T149)&lt;=3)),IF(C149="peso_corporal",IF(ISNUMBER(E149),E149,0)+R149,R149)*S149*1000+R149,0))</f>
        <v>0</v>
      </c>
      <c r="Z149" s="69">
        <f>IF(Y149=0,0,IF(IF((S149&gt;0)*(IF(T149="",-1,T149)=0)*(1-(IF(T149="",-1,T149)&gt;=1)*(IF(T149="",-1,T149)&lt;=3)),IF(C149="peso_corporal",IF(ISNUMBER(E149),E149,0)+R149,R149)*S149*1000+R149,0)=Y149,5,IF(IF((P149&gt;0)*(IF(Q149="",-1,Q149)=0)*(1-(IF(Q149="",-1,Q149)&gt;=1)*(IF(Q149="",-1,Q149)&lt;=3)),IF(C149="peso_corporal",IF(ISNUMBER(E149),E149,0)+O149,O149)*P149*1000+O149,0)=Y149,4,IF(IF((M149&gt;0)*(IF(N149="",-1,N149)=0)*(1-(IF(N149="",-1,N149)&gt;=1)*(IF(N149="",-1,N149)&lt;=3)),IF(C149="peso_corporal",IF(ISNUMBER(E149),E149,0)+L149,L149)*M149*1000+L149,0)=Y149,3,IF(IF((J149&gt;0)*(IF(K149="",-1,K149)=0)*(1-(IF(K149="",-1,K149)&gt;=1)*(IF(K149="",-1,K149)&lt;=3)),IF(C149="peso_corporal",IF(ISNUMBER(E149),E149,0)+I149,I149)*J149*1000+I149,0)=Y149,2,IF(IF((G149&gt;0)*(IF(H149="",-1,H149)=0)*(1-(IF(H149="",-1,H149)&gt;=1)*(IF(H149="",-1,H149)&lt;=3)),IF(C149="peso_corporal",IF(ISNUMBER(E149),E149,0)+F149,F149)*G149*1000+F149,0)=Y149,1,0))))))</f>
        <v>0</v>
      </c>
      <c r="AA149" s="69">
        <f>MAX(IF((G149&gt;=6)*(1-(IF(H149="",-1,H149)&gt;=1)*(IF(H149="",-1,H149)&lt;=3))*(1-(IF(H149="",-1,H149)=0)),IF(C149="peso_corporal",IF(ISNUMBER(E149),E149,0)+F149,F149)*(30+G149)*100+F149,0),IF((J149&gt;=6)*(1-(IF(K149="",-1,K149)&gt;=1)*(IF(K149="",-1,K149)&lt;=3))*(1-(IF(K149="",-1,K149)=0)),IF(C149="peso_corporal",IF(ISNUMBER(E149),E149,0)+I149,I149)*(30+J149)*100+I149,0),IF((M149&gt;=6)*(1-(IF(N149="",-1,N149)&gt;=1)*(IF(N149="",-1,N149)&lt;=3))*(1-(IF(N149="",-1,N149)=0)),IF(C149="peso_corporal",IF(ISNUMBER(E149),E149,0)+L149,L149)*(30+M149)*100+L149,0),IF((P149&gt;=6)*(1-(IF(Q149="",-1,Q149)&gt;=1)*(IF(Q149="",-1,Q149)&lt;=3))*(1-(IF(Q149="",-1,Q149)=0)),IF(C149="peso_corporal",IF(ISNUMBER(E149),E149,0)+O149,O149)*(30+P149)*100+O149,0),IF((S149&gt;=6)*(1-(IF(T149="",-1,T149)&gt;=1)*(IF(T149="",-1,T149)&lt;=3))*(1-(IF(T149="",-1,T149)=0)),IF(C149="peso_corporal",IF(ISNUMBER(E149),E149,0)+R149,R149)*(30+S149)*100+R149,0))</f>
        <v>0</v>
      </c>
      <c r="AB149" s="69">
        <f>IF(AA149=0,0,IF(IF((S149&gt;=6)*(1-(IF(T149="",-1,T149)&gt;=1)*(IF(T149="",-1,T149)&lt;=3))*(1-(IF(T149="",-1,T149)=0)),IF(C149="peso_corporal",IF(ISNUMBER(E149),E149,0)+R149,R149)*(30+S149)*100+R149,0)=AA149,5,IF(IF((P149&gt;=6)*(1-(IF(Q149="",-1,Q149)&gt;=1)*(IF(Q149="",-1,Q149)&lt;=3))*(1-(IF(Q149="",-1,Q149)=0)),IF(C149="peso_corporal",IF(ISNUMBER(E149),E149,0)+O149,O149)*(30+P149)*100+O149,0)=AA149,4,IF(IF((M149&gt;=6)*(1-(IF(N149="",-1,N149)&gt;=1)*(IF(N149="",-1,N149)&lt;=3))*(1-(IF(N149="",-1,N149)=0)),IF(C149="peso_corporal",IF(ISNUMBER(E149),E149,0)+L149,L149)*(30+M149)*100+L149,0)=AA149,3,IF(IF((J149&gt;=6)*(1-(IF(K149="",-1,K149)&gt;=1)*(IF(K149="",-1,K149)&lt;=3))*(1-(IF(K149="",-1,K149)=0)),IF(C149="peso_corporal",IF(ISNUMBER(E149),E149,0)+I149,I149)*(30+J149)*100+I149,0)=AA149,2,IF(IF((G149&gt;=6)*(1-(IF(H149="",-1,H149)&gt;=1)*(IF(H149="",-1,H149)&lt;=3))*(1-(IF(H149="",-1,H149)=0)),IF(C149="peso_corporal",IF(ISNUMBER(E149),E149,0)+F149,F149)*(30+G149)*100+F149,0)=AA149,1,0))))))</f>
        <v>0</v>
      </c>
      <c r="AC149" s="69" t="str">
        <f>IF(X149&gt;0,"A"&amp;X149,IF(Z149&gt;0,"B"&amp;Z149,IF(AB149&gt;0,"C"&amp;AB149,"")))</f>
        <v/>
      </c>
    </row>
    <row r="150" spans="1:29" ht="15" customHeight="1">
      <c r="A150" s="83" t="s">
        <v>103</v>
      </c>
      <c r="B150" s="73"/>
      <c r="C150" s="73"/>
      <c r="D150" s="73"/>
      <c r="E150" s="73"/>
      <c r="F150" s="73"/>
      <c r="G150" s="73"/>
      <c r="H150" s="73"/>
      <c r="I150" s="73"/>
      <c r="J150" s="73"/>
      <c r="K150" s="73"/>
      <c r="L150" s="73"/>
      <c r="M150" s="73"/>
      <c r="N150" s="73"/>
      <c r="O150" s="73"/>
      <c r="P150" s="73"/>
      <c r="Q150" s="73"/>
      <c r="R150" s="73"/>
      <c r="S150" s="73"/>
      <c r="T150" s="73"/>
      <c r="U150" s="73"/>
      <c r="V150" s="73"/>
      <c r="W150" s="69"/>
      <c r="X150" s="69"/>
      <c r="Y150" s="69"/>
      <c r="Z150" s="69"/>
      <c r="AA150" s="69"/>
      <c r="AB150" s="69"/>
      <c r="AC150" s="69"/>
    </row>
    <row r="151" spans="1:29" ht="20.100000000000001" customHeight="1">
      <c r="A151" s="14" t="s">
        <v>104</v>
      </c>
      <c r="B151" s="15" t="s">
        <v>105</v>
      </c>
      <c r="C151" s="16" t="str">
        <f>IFERROR(INDEX(EJERCICIOS!$D$3:$D$75,MATCH(A151&amp;"|"&amp;B151,EJERCICIOS!$G$3:$G$75,0)),"--")</f>
        <v>mancuerna</v>
      </c>
      <c r="D151" s="17">
        <v>3</v>
      </c>
      <c r="E151" s="18">
        <f>IFERROR(LOOKUP(2,1/(MEDIDAS_Y_PESO!$B$3:$B$9&lt;&gt;""),MEDIDAS_Y_PESO!$B$3:$B$9),"--")</f>
        <v>80</v>
      </c>
      <c r="F151" s="19"/>
      <c r="G151" s="20"/>
      <c r="H151" s="21"/>
      <c r="I151" s="19"/>
      <c r="J151" s="20"/>
      <c r="K151" s="21"/>
      <c r="L151" s="19"/>
      <c r="M151" s="20"/>
      <c r="N151" s="21"/>
      <c r="O151" s="19"/>
      <c r="P151" s="20"/>
      <c r="Q151" s="21"/>
      <c r="R151" s="19"/>
      <c r="S151" s="20"/>
      <c r="T151" s="21"/>
      <c r="U151" s="22" t="str">
        <f>IFERROR(IF(IF(X151&gt;0,X151,IF(Z151&gt;0,Z151,IF(AB151&gt;0,AB151,0)))=0,"--",ROUND(CHOOSE(IF(X151&gt;0,X151,IF(Z151&gt;0,Z151,IF(AB151&gt;0,AB151,0))),IF(C151="peso_corporal",IF(ISNUMBER(E151),E151,0)+F151,F151)*(1+G151/30),IF(C151="peso_corporal",IF(ISNUMBER(E151),E151,0)+I151,I151)*(1+J151/30),IF(C151="peso_corporal",IF(ISNUMBER(E151),E151,0)+L151,L151)*(1+M151/30),IF(C151="peso_corporal",IF(ISNUMBER(E151),E151,0)+O151,O151)*(1+P151/30),IF(C151="peso_corporal",IF(ISNUMBER(E151),E151,0)+R151,R151)*(1+S151/30)),1)),"--")</f>
        <v>--</v>
      </c>
      <c r="V151" s="23" t="str">
        <f>IF(SUGERENCIAS!N401="SIN","Sin datos anteriores",IF(SUGERENCIAS!N401="SUBIR_F","^ SUBIR FUERTE | Kg:"&amp;ROUND(SUGERENCIAS!K401,1)&amp;" R:"&amp;ROUND(SUGERENCIAS!L401,0)&amp;" RIR:"&amp;ROUND(SUGERENCIAS!M401,0),IF(SUGERENCIAS!N401="SUBIR_E","^ SUBIR (Est.) | Kg:"&amp;ROUND(SUGERENCIAS!K401,1)&amp;" R:"&amp;ROUND(SUGERENCIAS!L401,0)&amp;" RIR:"&amp;ROUND(SUGERENCIAS!M401,0),IF(SUGERENCIAS!N401="SUBIR","^ SUBIR | Kg:"&amp;ROUND(SUGERENCIAS!K401,1)&amp;" R:"&amp;ROUND(SUGERENCIAS!L401,0)&amp;" RIR:"&amp;ROUND(SUGERENCIAS!M401,0),IF(SUGERENCIAS!N401="BAJAR","v BAJAR | Kg:"&amp;ROUND(SUGERENCIAS!K401,1)&amp;" R:"&amp;ROUND(SUGERENCIAS!L401,0)&amp;" RIR:"&amp;ROUND(SUGERENCIAS!M401,0),"= MANT | Kg:"&amp;ROUND(SUGERENCIAS!K401,1)&amp;" R:"&amp;ROUND(SUGERENCIAS!L401,0)&amp;" RIR:"&amp;ROUND(SUGERENCIAS!M401,0))))))</f>
        <v>Sin datos anteriores</v>
      </c>
      <c r="W151" s="69">
        <f>MAX(IF((G151&gt;0)*(IF(H151="",-1,H151)&gt;=1)*(IF(H151="",-1,H151)&lt;=3),IF(C151="peso_corporal",IF(ISNUMBER(E151),E151,0)+F151,F151)*G151*1000+F151,0),IF((J151&gt;0)*(IF(K151="",-1,K151)&gt;=1)*(IF(K151="",-1,K151)&lt;=3),IF(C151="peso_corporal",IF(ISNUMBER(E151),E151,0)+I151,I151)*J151*1000+I151,0),IF((M151&gt;0)*(IF(N151="",-1,N151)&gt;=1)*(IF(N151="",-1,N151)&lt;=3),IF(C151="peso_corporal",IF(ISNUMBER(E151),E151,0)+L151,L151)*M151*1000+L151,0),IF((P151&gt;0)*(IF(Q151="",-1,Q151)&gt;=1)*(IF(Q151="",-1,Q151)&lt;=3),IF(C151="peso_corporal",IF(ISNUMBER(E151),E151,0)+O151,O151)*P151*1000+O151,0),IF((S151&gt;0)*(IF(T151="",-1,T151)&gt;=1)*(IF(T151="",-1,T151)&lt;=3),IF(C151="peso_corporal",IF(ISNUMBER(E151),E151,0)+R151,R151)*S151*1000+R151,0))</f>
        <v>0</v>
      </c>
      <c r="X151" s="69">
        <f>IF(W151=0,0,IF(IF((S151&gt;0)*(IF(T151="",-1,T151)&gt;=1)*(IF(T151="",-1,T151)&lt;=3),IF(C151="peso_corporal",IF(ISNUMBER(E151),E151,0)+R151,R151)*S151*1000+R151,0)=W151,5,IF(IF((P151&gt;0)*(IF(Q151="",-1,Q151)&gt;=1)*(IF(Q151="",-1,Q151)&lt;=3),IF(C151="peso_corporal",IF(ISNUMBER(E151),E151,0)+O151,O151)*P151*1000+O151,0)=W151,4,IF(IF((M151&gt;0)*(IF(N151="",-1,N151)&gt;=1)*(IF(N151="",-1,N151)&lt;=3),IF(C151="peso_corporal",IF(ISNUMBER(E151),E151,0)+L151,L151)*M151*1000+L151,0)=W151,3,IF(IF((J151&gt;0)*(IF(K151="",-1,K151)&gt;=1)*(IF(K151="",-1,K151)&lt;=3),IF(C151="peso_corporal",IF(ISNUMBER(E151),E151,0)+I151,I151)*J151*1000+I151,0)=W151,2,IF(IF((G151&gt;0)*(IF(H151="",-1,H151)&gt;=1)*(IF(H151="",-1,H151)&lt;=3),IF(C151="peso_corporal",IF(ISNUMBER(E151),E151,0)+F151,F151)*G151*1000+F151,0)=W151,1,0))))))</f>
        <v>0</v>
      </c>
      <c r="Y151" s="69">
        <f>MAX(IF((G151&gt;0)*(IF(H151="",-1,H151)=0)*(1-(IF(H151="",-1,H151)&gt;=1)*(IF(H151="",-1,H151)&lt;=3)),IF(C151="peso_corporal",IF(ISNUMBER(E151),E151,0)+F151,F151)*G151*1000+F151,0),IF((J151&gt;0)*(IF(K151="",-1,K151)=0)*(1-(IF(K151="",-1,K151)&gt;=1)*(IF(K151="",-1,K151)&lt;=3)),IF(C151="peso_corporal",IF(ISNUMBER(E151),E151,0)+I151,I151)*J151*1000+I151,0),IF((M151&gt;0)*(IF(N151="",-1,N151)=0)*(1-(IF(N151="",-1,N151)&gt;=1)*(IF(N151="",-1,N151)&lt;=3)),IF(C151="peso_corporal",IF(ISNUMBER(E151),E151,0)+L151,L151)*M151*1000+L151,0),IF((P151&gt;0)*(IF(Q151="",-1,Q151)=0)*(1-(IF(Q151="",-1,Q151)&gt;=1)*(IF(Q151="",-1,Q151)&lt;=3)),IF(C151="peso_corporal",IF(ISNUMBER(E151),E151,0)+O151,O151)*P151*1000+O151,0),IF((S151&gt;0)*(IF(T151="",-1,T151)=0)*(1-(IF(T151="",-1,T151)&gt;=1)*(IF(T151="",-1,T151)&lt;=3)),IF(C151="peso_corporal",IF(ISNUMBER(E151),E151,0)+R151,R151)*S151*1000+R151,0))</f>
        <v>0</v>
      </c>
      <c r="Z151" s="69">
        <f>IF(Y151=0,0,IF(IF((S151&gt;0)*(IF(T151="",-1,T151)=0)*(1-(IF(T151="",-1,T151)&gt;=1)*(IF(T151="",-1,T151)&lt;=3)),IF(C151="peso_corporal",IF(ISNUMBER(E151),E151,0)+R151,R151)*S151*1000+R151,0)=Y151,5,IF(IF((P151&gt;0)*(IF(Q151="",-1,Q151)=0)*(1-(IF(Q151="",-1,Q151)&gt;=1)*(IF(Q151="",-1,Q151)&lt;=3)),IF(C151="peso_corporal",IF(ISNUMBER(E151),E151,0)+O151,O151)*P151*1000+O151,0)=Y151,4,IF(IF((M151&gt;0)*(IF(N151="",-1,N151)=0)*(1-(IF(N151="",-1,N151)&gt;=1)*(IF(N151="",-1,N151)&lt;=3)),IF(C151="peso_corporal",IF(ISNUMBER(E151),E151,0)+L151,L151)*M151*1000+L151,0)=Y151,3,IF(IF((J151&gt;0)*(IF(K151="",-1,K151)=0)*(1-(IF(K151="",-1,K151)&gt;=1)*(IF(K151="",-1,K151)&lt;=3)),IF(C151="peso_corporal",IF(ISNUMBER(E151),E151,0)+I151,I151)*J151*1000+I151,0)=Y151,2,IF(IF((G151&gt;0)*(IF(H151="",-1,H151)=0)*(1-(IF(H151="",-1,H151)&gt;=1)*(IF(H151="",-1,H151)&lt;=3)),IF(C151="peso_corporal",IF(ISNUMBER(E151),E151,0)+F151,F151)*G151*1000+F151,0)=Y151,1,0))))))</f>
        <v>0</v>
      </c>
      <c r="AA151" s="69">
        <f>MAX(IF((G151&gt;=6)*(1-(IF(H151="",-1,H151)&gt;=1)*(IF(H151="",-1,H151)&lt;=3))*(1-(IF(H151="",-1,H151)=0)),IF(C151="peso_corporal",IF(ISNUMBER(E151),E151,0)+F151,F151)*(30+G151)*100+F151,0),IF((J151&gt;=6)*(1-(IF(K151="",-1,K151)&gt;=1)*(IF(K151="",-1,K151)&lt;=3))*(1-(IF(K151="",-1,K151)=0)),IF(C151="peso_corporal",IF(ISNUMBER(E151),E151,0)+I151,I151)*(30+J151)*100+I151,0),IF((M151&gt;=6)*(1-(IF(N151="",-1,N151)&gt;=1)*(IF(N151="",-1,N151)&lt;=3))*(1-(IF(N151="",-1,N151)=0)),IF(C151="peso_corporal",IF(ISNUMBER(E151),E151,0)+L151,L151)*(30+M151)*100+L151,0),IF((P151&gt;=6)*(1-(IF(Q151="",-1,Q151)&gt;=1)*(IF(Q151="",-1,Q151)&lt;=3))*(1-(IF(Q151="",-1,Q151)=0)),IF(C151="peso_corporal",IF(ISNUMBER(E151),E151,0)+O151,O151)*(30+P151)*100+O151,0),IF((S151&gt;=6)*(1-(IF(T151="",-1,T151)&gt;=1)*(IF(T151="",-1,T151)&lt;=3))*(1-(IF(T151="",-1,T151)=0)),IF(C151="peso_corporal",IF(ISNUMBER(E151),E151,0)+R151,R151)*(30+S151)*100+R151,0))</f>
        <v>0</v>
      </c>
      <c r="AB151" s="69">
        <f>IF(AA151=0,0,IF(IF((S151&gt;=6)*(1-(IF(T151="",-1,T151)&gt;=1)*(IF(T151="",-1,T151)&lt;=3))*(1-(IF(T151="",-1,T151)=0)),IF(C151="peso_corporal",IF(ISNUMBER(E151),E151,0)+R151,R151)*(30+S151)*100+R151,0)=AA151,5,IF(IF((P151&gt;=6)*(1-(IF(Q151="",-1,Q151)&gt;=1)*(IF(Q151="",-1,Q151)&lt;=3))*(1-(IF(Q151="",-1,Q151)=0)),IF(C151="peso_corporal",IF(ISNUMBER(E151),E151,0)+O151,O151)*(30+P151)*100+O151,0)=AA151,4,IF(IF((M151&gt;=6)*(1-(IF(N151="",-1,N151)&gt;=1)*(IF(N151="",-1,N151)&lt;=3))*(1-(IF(N151="",-1,N151)=0)),IF(C151="peso_corporal",IF(ISNUMBER(E151),E151,0)+L151,L151)*(30+M151)*100+L151,0)=AA151,3,IF(IF((J151&gt;=6)*(1-(IF(K151="",-1,K151)&gt;=1)*(IF(K151="",-1,K151)&lt;=3))*(1-(IF(K151="",-1,K151)=0)),IF(C151="peso_corporal",IF(ISNUMBER(E151),E151,0)+I151,I151)*(30+J151)*100+I151,0)=AA151,2,IF(IF((G151&gt;=6)*(1-(IF(H151="",-1,H151)&gt;=1)*(IF(H151="",-1,H151)&lt;=3))*(1-(IF(H151="",-1,H151)=0)),IF(C151="peso_corporal",IF(ISNUMBER(E151),E151,0)+F151,F151)*(30+G151)*100+F151,0)=AA151,1,0))))))</f>
        <v>0</v>
      </c>
      <c r="AC151" s="69" t="str">
        <f>IF(X151&gt;0,"A"&amp;X151,IF(Z151&gt;0,"B"&amp;Z151,IF(AB151&gt;0,"C"&amp;AB151,"")))</f>
        <v/>
      </c>
    </row>
    <row r="152" spans="1:29" ht="15" customHeight="1">
      <c r="A152" s="82" t="s">
        <v>47</v>
      </c>
      <c r="B152" s="73"/>
      <c r="C152" s="73"/>
      <c r="D152" s="73"/>
      <c r="E152" s="73"/>
      <c r="F152" s="73"/>
      <c r="G152" s="73"/>
      <c r="H152" s="73"/>
      <c r="I152" s="73"/>
      <c r="J152" s="73"/>
      <c r="K152" s="73"/>
      <c r="L152" s="73"/>
      <c r="M152" s="73"/>
      <c r="N152" s="73"/>
      <c r="O152" s="73"/>
      <c r="P152" s="73"/>
      <c r="Q152" s="73"/>
      <c r="R152" s="73"/>
      <c r="S152" s="73"/>
      <c r="T152" s="73"/>
      <c r="U152" s="73"/>
      <c r="V152" s="73"/>
      <c r="W152" s="69"/>
      <c r="X152" s="69"/>
      <c r="Y152" s="69"/>
      <c r="Z152" s="69"/>
      <c r="AA152" s="69"/>
      <c r="AB152" s="69"/>
      <c r="AC152" s="69"/>
    </row>
    <row r="153" spans="1:29" ht="20.100000000000001" customHeight="1">
      <c r="A153" s="14" t="s">
        <v>106</v>
      </c>
      <c r="B153" s="15" t="s">
        <v>107</v>
      </c>
      <c r="C153" s="16" t="str">
        <f>IFERROR(INDEX(EJERCICIOS!$D$3:$D$75,MATCH(A153&amp;"|"&amp;B153,EJERCICIOS!$G$3:$G$75,0)),"--")</f>
        <v>--</v>
      </c>
      <c r="D153" s="17">
        <v>3</v>
      </c>
      <c r="E153" s="18">
        <f>IFERROR(LOOKUP(2,1/(MEDIDAS_Y_PESO!$B$3:$B$9&lt;&gt;""),MEDIDAS_Y_PESO!$B$3:$B$9),"--")</f>
        <v>80</v>
      </c>
      <c r="F153" s="19"/>
      <c r="G153" s="20"/>
      <c r="H153" s="21"/>
      <c r="I153" s="19"/>
      <c r="J153" s="20"/>
      <c r="K153" s="21"/>
      <c r="L153" s="19"/>
      <c r="M153" s="20"/>
      <c r="N153" s="21"/>
      <c r="O153" s="19"/>
      <c r="P153" s="20"/>
      <c r="Q153" s="21"/>
      <c r="R153" s="19"/>
      <c r="S153" s="20"/>
      <c r="T153" s="21"/>
      <c r="U153" s="22" t="str">
        <f>IFERROR(IF(IF(X153&gt;0,X153,IF(Z153&gt;0,Z153,IF(AB153&gt;0,AB153,0)))=0,"--",ROUND(CHOOSE(IF(X153&gt;0,X153,IF(Z153&gt;0,Z153,IF(AB153&gt;0,AB153,0))),IF(C153="peso_corporal",IF(ISNUMBER(E153),E153,0)+F153,F153)*(1+G153/30),IF(C153="peso_corporal",IF(ISNUMBER(E153),E153,0)+I153,I153)*(1+J153/30),IF(C153="peso_corporal",IF(ISNUMBER(E153),E153,0)+L153,L153)*(1+M153/30),IF(C153="peso_corporal",IF(ISNUMBER(E153),E153,0)+O153,O153)*(1+P153/30),IF(C153="peso_corporal",IF(ISNUMBER(E153),E153,0)+R153,R153)*(1+S153/30)),1)),"--")</f>
        <v>--</v>
      </c>
      <c r="V153" s="23" t="str">
        <f>IF(SUGERENCIAS!N402="SIN","Sin datos anteriores",IF(SUGERENCIAS!N402="SUBIR_F","^ SUBIR FUERTE | Kg:"&amp;ROUND(SUGERENCIAS!K402,1)&amp;" R:"&amp;ROUND(SUGERENCIAS!L402,0)&amp;" RIR:"&amp;ROUND(SUGERENCIAS!M402,0),IF(SUGERENCIAS!N402="SUBIR_E","^ SUBIR (Est.) | Kg:"&amp;ROUND(SUGERENCIAS!K402,1)&amp;" R:"&amp;ROUND(SUGERENCIAS!L402,0)&amp;" RIR:"&amp;ROUND(SUGERENCIAS!M402,0),IF(SUGERENCIAS!N402="SUBIR","^ SUBIR | Kg:"&amp;ROUND(SUGERENCIAS!K402,1)&amp;" R:"&amp;ROUND(SUGERENCIAS!L402,0)&amp;" RIR:"&amp;ROUND(SUGERENCIAS!M402,0),IF(SUGERENCIAS!N402="BAJAR","v BAJAR | Kg:"&amp;ROUND(SUGERENCIAS!K402,1)&amp;" R:"&amp;ROUND(SUGERENCIAS!L402,0)&amp;" RIR:"&amp;ROUND(SUGERENCIAS!M402,0),"= MANT | Kg:"&amp;ROUND(SUGERENCIAS!K402,1)&amp;" R:"&amp;ROUND(SUGERENCIAS!L402,0)&amp;" RIR:"&amp;ROUND(SUGERENCIAS!M402,0))))))</f>
        <v>Sin datos anteriores</v>
      </c>
      <c r="W153" s="69">
        <f>MAX(IF((G153&gt;0)*(IF(H153="",-1,H153)&gt;=1)*(IF(H153="",-1,H153)&lt;=3),IF(C153="peso_corporal",IF(ISNUMBER(E153),E153,0)+F153,F153)*G153*1000+F153,0),IF((J153&gt;0)*(IF(K153="",-1,K153)&gt;=1)*(IF(K153="",-1,K153)&lt;=3),IF(C153="peso_corporal",IF(ISNUMBER(E153),E153,0)+I153,I153)*J153*1000+I153,0),IF((M153&gt;0)*(IF(N153="",-1,N153)&gt;=1)*(IF(N153="",-1,N153)&lt;=3),IF(C153="peso_corporal",IF(ISNUMBER(E153),E153,0)+L153,L153)*M153*1000+L153,0),IF((P153&gt;0)*(IF(Q153="",-1,Q153)&gt;=1)*(IF(Q153="",-1,Q153)&lt;=3),IF(C153="peso_corporal",IF(ISNUMBER(E153),E153,0)+O153,O153)*P153*1000+O153,0),IF((S153&gt;0)*(IF(T153="",-1,T153)&gt;=1)*(IF(T153="",-1,T153)&lt;=3),IF(C153="peso_corporal",IF(ISNUMBER(E153),E153,0)+R153,R153)*S153*1000+R153,0))</f>
        <v>0</v>
      </c>
      <c r="X153" s="69">
        <f>IF(W153=0,0,IF(IF((S153&gt;0)*(IF(T153="",-1,T153)&gt;=1)*(IF(T153="",-1,T153)&lt;=3),IF(C153="peso_corporal",IF(ISNUMBER(E153),E153,0)+R153,R153)*S153*1000+R153,0)=W153,5,IF(IF((P153&gt;0)*(IF(Q153="",-1,Q153)&gt;=1)*(IF(Q153="",-1,Q153)&lt;=3),IF(C153="peso_corporal",IF(ISNUMBER(E153),E153,0)+O153,O153)*P153*1000+O153,0)=W153,4,IF(IF((M153&gt;0)*(IF(N153="",-1,N153)&gt;=1)*(IF(N153="",-1,N153)&lt;=3),IF(C153="peso_corporal",IF(ISNUMBER(E153),E153,0)+L153,L153)*M153*1000+L153,0)=W153,3,IF(IF((J153&gt;0)*(IF(K153="",-1,K153)&gt;=1)*(IF(K153="",-1,K153)&lt;=3),IF(C153="peso_corporal",IF(ISNUMBER(E153),E153,0)+I153,I153)*J153*1000+I153,0)=W153,2,IF(IF((G153&gt;0)*(IF(H153="",-1,H153)&gt;=1)*(IF(H153="",-1,H153)&lt;=3),IF(C153="peso_corporal",IF(ISNUMBER(E153),E153,0)+F153,F153)*G153*1000+F153,0)=W153,1,0))))))</f>
        <v>0</v>
      </c>
      <c r="Y153" s="69">
        <f>MAX(IF((G153&gt;0)*(IF(H153="",-1,H153)=0)*(1-(IF(H153="",-1,H153)&gt;=1)*(IF(H153="",-1,H153)&lt;=3)),IF(C153="peso_corporal",IF(ISNUMBER(E153),E153,0)+F153,F153)*G153*1000+F153,0),IF((J153&gt;0)*(IF(K153="",-1,K153)=0)*(1-(IF(K153="",-1,K153)&gt;=1)*(IF(K153="",-1,K153)&lt;=3)),IF(C153="peso_corporal",IF(ISNUMBER(E153),E153,0)+I153,I153)*J153*1000+I153,0),IF((M153&gt;0)*(IF(N153="",-1,N153)=0)*(1-(IF(N153="",-1,N153)&gt;=1)*(IF(N153="",-1,N153)&lt;=3)),IF(C153="peso_corporal",IF(ISNUMBER(E153),E153,0)+L153,L153)*M153*1000+L153,0),IF((P153&gt;0)*(IF(Q153="",-1,Q153)=0)*(1-(IF(Q153="",-1,Q153)&gt;=1)*(IF(Q153="",-1,Q153)&lt;=3)),IF(C153="peso_corporal",IF(ISNUMBER(E153),E153,0)+O153,O153)*P153*1000+O153,0),IF((S153&gt;0)*(IF(T153="",-1,T153)=0)*(1-(IF(T153="",-1,T153)&gt;=1)*(IF(T153="",-1,T153)&lt;=3)),IF(C153="peso_corporal",IF(ISNUMBER(E153),E153,0)+R153,R153)*S153*1000+R153,0))</f>
        <v>0</v>
      </c>
      <c r="Z153" s="69">
        <f>IF(Y153=0,0,IF(IF((S153&gt;0)*(IF(T153="",-1,T153)=0)*(1-(IF(T153="",-1,T153)&gt;=1)*(IF(T153="",-1,T153)&lt;=3)),IF(C153="peso_corporal",IF(ISNUMBER(E153),E153,0)+R153,R153)*S153*1000+R153,0)=Y153,5,IF(IF((P153&gt;0)*(IF(Q153="",-1,Q153)=0)*(1-(IF(Q153="",-1,Q153)&gt;=1)*(IF(Q153="",-1,Q153)&lt;=3)),IF(C153="peso_corporal",IF(ISNUMBER(E153),E153,0)+O153,O153)*P153*1000+O153,0)=Y153,4,IF(IF((M153&gt;0)*(IF(N153="",-1,N153)=0)*(1-(IF(N153="",-1,N153)&gt;=1)*(IF(N153="",-1,N153)&lt;=3)),IF(C153="peso_corporal",IF(ISNUMBER(E153),E153,0)+L153,L153)*M153*1000+L153,0)=Y153,3,IF(IF((J153&gt;0)*(IF(K153="",-1,K153)=0)*(1-(IF(K153="",-1,K153)&gt;=1)*(IF(K153="",-1,K153)&lt;=3)),IF(C153="peso_corporal",IF(ISNUMBER(E153),E153,0)+I153,I153)*J153*1000+I153,0)=Y153,2,IF(IF((G153&gt;0)*(IF(H153="",-1,H153)=0)*(1-(IF(H153="",-1,H153)&gt;=1)*(IF(H153="",-1,H153)&lt;=3)),IF(C153="peso_corporal",IF(ISNUMBER(E153),E153,0)+F153,F153)*G153*1000+F153,0)=Y153,1,0))))))</f>
        <v>0</v>
      </c>
      <c r="AA153" s="69">
        <f>MAX(IF((G153&gt;=6)*(1-(IF(H153="",-1,H153)&gt;=1)*(IF(H153="",-1,H153)&lt;=3))*(1-(IF(H153="",-1,H153)=0)),IF(C153="peso_corporal",IF(ISNUMBER(E153),E153,0)+F153,F153)*(30+G153)*100+F153,0),IF((J153&gt;=6)*(1-(IF(K153="",-1,K153)&gt;=1)*(IF(K153="",-1,K153)&lt;=3))*(1-(IF(K153="",-1,K153)=0)),IF(C153="peso_corporal",IF(ISNUMBER(E153),E153,0)+I153,I153)*(30+J153)*100+I153,0),IF((M153&gt;=6)*(1-(IF(N153="",-1,N153)&gt;=1)*(IF(N153="",-1,N153)&lt;=3))*(1-(IF(N153="",-1,N153)=0)),IF(C153="peso_corporal",IF(ISNUMBER(E153),E153,0)+L153,L153)*(30+M153)*100+L153,0),IF((P153&gt;=6)*(1-(IF(Q153="",-1,Q153)&gt;=1)*(IF(Q153="",-1,Q153)&lt;=3))*(1-(IF(Q153="",-1,Q153)=0)),IF(C153="peso_corporal",IF(ISNUMBER(E153),E153,0)+O153,O153)*(30+P153)*100+O153,0),IF((S153&gt;=6)*(1-(IF(T153="",-1,T153)&gt;=1)*(IF(T153="",-1,T153)&lt;=3))*(1-(IF(T153="",-1,T153)=0)),IF(C153="peso_corporal",IF(ISNUMBER(E153),E153,0)+R153,R153)*(30+S153)*100+R153,0))</f>
        <v>0</v>
      </c>
      <c r="AB153" s="69">
        <f>IF(AA153=0,0,IF(IF((S153&gt;=6)*(1-(IF(T153="",-1,T153)&gt;=1)*(IF(T153="",-1,T153)&lt;=3))*(1-(IF(T153="",-1,T153)=0)),IF(C153="peso_corporal",IF(ISNUMBER(E153),E153,0)+R153,R153)*(30+S153)*100+R153,0)=AA153,5,IF(IF((P153&gt;=6)*(1-(IF(Q153="",-1,Q153)&gt;=1)*(IF(Q153="",-1,Q153)&lt;=3))*(1-(IF(Q153="",-1,Q153)=0)),IF(C153="peso_corporal",IF(ISNUMBER(E153),E153,0)+O153,O153)*(30+P153)*100+O153,0)=AA153,4,IF(IF((M153&gt;=6)*(1-(IF(N153="",-1,N153)&gt;=1)*(IF(N153="",-1,N153)&lt;=3))*(1-(IF(N153="",-1,N153)=0)),IF(C153="peso_corporal",IF(ISNUMBER(E153),E153,0)+L153,L153)*(30+M153)*100+L153,0)=AA153,3,IF(IF((J153&gt;=6)*(1-(IF(K153="",-1,K153)&gt;=1)*(IF(K153="",-1,K153)&lt;=3))*(1-(IF(K153="",-1,K153)=0)),IF(C153="peso_corporal",IF(ISNUMBER(E153),E153,0)+I153,I153)*(30+J153)*100+I153,0)=AA153,2,IF(IF((G153&gt;=6)*(1-(IF(H153="",-1,H153)&gt;=1)*(IF(H153="",-1,H153)&lt;=3))*(1-(IF(H153="",-1,H153)=0)),IF(C153="peso_corporal",IF(ISNUMBER(E153),E153,0)+F153,F153)*(30+G153)*100+F153,0)=AA153,1,0))))))</f>
        <v>0</v>
      </c>
      <c r="AC153" s="69" t="str">
        <f>IF(X153&gt;0,"A"&amp;X153,IF(Z153&gt;0,"B"&amp;Z153,IF(AB153&gt;0,"C"&amp;AB153,"")))</f>
        <v/>
      </c>
    </row>
    <row r="154" spans="1:29" ht="15" customHeight="1">
      <c r="A154" s="72" t="s">
        <v>56</v>
      </c>
      <c r="B154" s="73"/>
      <c r="C154" s="73"/>
      <c r="D154" s="73"/>
      <c r="E154" s="73"/>
      <c r="F154" s="73"/>
      <c r="G154" s="73"/>
      <c r="H154" s="73"/>
      <c r="I154" s="73"/>
      <c r="J154" s="73"/>
      <c r="K154" s="73"/>
      <c r="L154" s="73"/>
      <c r="M154" s="73"/>
      <c r="N154" s="73"/>
      <c r="O154" s="73"/>
      <c r="P154" s="73"/>
      <c r="Q154" s="73"/>
      <c r="R154" s="73"/>
      <c r="S154" s="73"/>
      <c r="T154" s="73"/>
      <c r="U154" s="73"/>
      <c r="V154" s="73"/>
      <c r="W154" s="69"/>
      <c r="X154" s="69"/>
      <c r="Y154" s="69"/>
      <c r="Z154" s="69"/>
      <c r="AA154" s="69"/>
      <c r="AB154" s="69"/>
      <c r="AC154" s="69"/>
    </row>
    <row r="155" spans="1:29" ht="20.100000000000001" customHeight="1">
      <c r="A155" s="14" t="s">
        <v>57</v>
      </c>
      <c r="B155" s="15" t="s">
        <v>58</v>
      </c>
      <c r="C155" s="16" t="str">
        <f>IFERROR(INDEX(EJERCICIOS!$D$3:$D$75,MATCH(A155&amp;"|"&amp;B155,EJERCICIOS!$G$3:$G$75,0)),"--")</f>
        <v>polea</v>
      </c>
      <c r="D155" s="17">
        <v>3</v>
      </c>
      <c r="E155" s="18">
        <f>IFERROR(LOOKUP(2,1/(MEDIDAS_Y_PESO!$B$3:$B$9&lt;&gt;""),MEDIDAS_Y_PESO!$B$3:$B$9),"--")</f>
        <v>80</v>
      </c>
      <c r="F155" s="19"/>
      <c r="G155" s="20"/>
      <c r="H155" s="21"/>
      <c r="I155" s="19"/>
      <c r="J155" s="20"/>
      <c r="K155" s="21"/>
      <c r="L155" s="19"/>
      <c r="M155" s="20"/>
      <c r="N155" s="21"/>
      <c r="O155" s="19"/>
      <c r="P155" s="20"/>
      <c r="Q155" s="21"/>
      <c r="R155" s="19"/>
      <c r="S155" s="20"/>
      <c r="T155" s="21"/>
      <c r="U155" s="22" t="str">
        <f>IFERROR(IF(IF(X155&gt;0,X155,IF(Z155&gt;0,Z155,IF(AB155&gt;0,AB155,0)))=0,"--",ROUND(CHOOSE(IF(X155&gt;0,X155,IF(Z155&gt;0,Z155,IF(AB155&gt;0,AB155,0))),IF(C155="peso_corporal",IF(ISNUMBER(E155),E155,0)+F155,F155)*(1+G155/30),IF(C155="peso_corporal",IF(ISNUMBER(E155),E155,0)+I155,I155)*(1+J155/30),IF(C155="peso_corporal",IF(ISNUMBER(E155),E155,0)+L155,L155)*(1+M155/30),IF(C155="peso_corporal",IF(ISNUMBER(E155),E155,0)+O155,O155)*(1+P155/30),IF(C155="peso_corporal",IF(ISNUMBER(E155),E155,0)+R155,R155)*(1+S155/30)),1)),"--")</f>
        <v>--</v>
      </c>
      <c r="V155" s="23" t="str">
        <f>IF(SUGERENCIAS!N403="SIN","Sin datos anteriores",IF(SUGERENCIAS!N403="SUBIR_F","^ SUBIR FUERTE | Kg:"&amp;ROUND(SUGERENCIAS!K403,1)&amp;" R:"&amp;ROUND(SUGERENCIAS!L403,0)&amp;" RIR:"&amp;ROUND(SUGERENCIAS!M403,0),IF(SUGERENCIAS!N403="SUBIR_E","^ SUBIR (Est.) | Kg:"&amp;ROUND(SUGERENCIAS!K403,1)&amp;" R:"&amp;ROUND(SUGERENCIAS!L403,0)&amp;" RIR:"&amp;ROUND(SUGERENCIAS!M403,0),IF(SUGERENCIAS!N403="SUBIR","^ SUBIR | Kg:"&amp;ROUND(SUGERENCIAS!K403,1)&amp;" R:"&amp;ROUND(SUGERENCIAS!L403,0)&amp;" RIR:"&amp;ROUND(SUGERENCIAS!M403,0),IF(SUGERENCIAS!N403="BAJAR","v BAJAR | Kg:"&amp;ROUND(SUGERENCIAS!K403,1)&amp;" R:"&amp;ROUND(SUGERENCIAS!L403,0)&amp;" RIR:"&amp;ROUND(SUGERENCIAS!M403,0),"= MANT | Kg:"&amp;ROUND(SUGERENCIAS!K403,1)&amp;" R:"&amp;ROUND(SUGERENCIAS!L403,0)&amp;" RIR:"&amp;ROUND(SUGERENCIAS!M403,0))))))</f>
        <v>Sin datos anteriores</v>
      </c>
      <c r="W155" s="69">
        <f>MAX(IF((G155&gt;0)*(IF(H155="",-1,H155)&gt;=1)*(IF(H155="",-1,H155)&lt;=3),IF(C155="peso_corporal",IF(ISNUMBER(E155),E155,0)+F155,F155)*G155*1000+F155,0),IF((J155&gt;0)*(IF(K155="",-1,K155)&gt;=1)*(IF(K155="",-1,K155)&lt;=3),IF(C155="peso_corporal",IF(ISNUMBER(E155),E155,0)+I155,I155)*J155*1000+I155,0),IF((M155&gt;0)*(IF(N155="",-1,N155)&gt;=1)*(IF(N155="",-1,N155)&lt;=3),IF(C155="peso_corporal",IF(ISNUMBER(E155),E155,0)+L155,L155)*M155*1000+L155,0),IF((P155&gt;0)*(IF(Q155="",-1,Q155)&gt;=1)*(IF(Q155="",-1,Q155)&lt;=3),IF(C155="peso_corporal",IF(ISNUMBER(E155),E155,0)+O155,O155)*P155*1000+O155,0),IF((S155&gt;0)*(IF(T155="",-1,T155)&gt;=1)*(IF(T155="",-1,T155)&lt;=3),IF(C155="peso_corporal",IF(ISNUMBER(E155),E155,0)+R155,R155)*S155*1000+R155,0))</f>
        <v>0</v>
      </c>
      <c r="X155" s="69">
        <f>IF(W155=0,0,IF(IF((S155&gt;0)*(IF(T155="",-1,T155)&gt;=1)*(IF(T155="",-1,T155)&lt;=3),IF(C155="peso_corporal",IF(ISNUMBER(E155),E155,0)+R155,R155)*S155*1000+R155,0)=W155,5,IF(IF((P155&gt;0)*(IF(Q155="",-1,Q155)&gt;=1)*(IF(Q155="",-1,Q155)&lt;=3),IF(C155="peso_corporal",IF(ISNUMBER(E155),E155,0)+O155,O155)*P155*1000+O155,0)=W155,4,IF(IF((M155&gt;0)*(IF(N155="",-1,N155)&gt;=1)*(IF(N155="",-1,N155)&lt;=3),IF(C155="peso_corporal",IF(ISNUMBER(E155),E155,0)+L155,L155)*M155*1000+L155,0)=W155,3,IF(IF((J155&gt;0)*(IF(K155="",-1,K155)&gt;=1)*(IF(K155="",-1,K155)&lt;=3),IF(C155="peso_corporal",IF(ISNUMBER(E155),E155,0)+I155,I155)*J155*1000+I155,0)=W155,2,IF(IF((G155&gt;0)*(IF(H155="",-1,H155)&gt;=1)*(IF(H155="",-1,H155)&lt;=3),IF(C155="peso_corporal",IF(ISNUMBER(E155),E155,0)+F155,F155)*G155*1000+F155,0)=W155,1,0))))))</f>
        <v>0</v>
      </c>
      <c r="Y155" s="69">
        <f>MAX(IF((G155&gt;0)*(IF(H155="",-1,H155)=0)*(1-(IF(H155="",-1,H155)&gt;=1)*(IF(H155="",-1,H155)&lt;=3)),IF(C155="peso_corporal",IF(ISNUMBER(E155),E155,0)+F155,F155)*G155*1000+F155,0),IF((J155&gt;0)*(IF(K155="",-1,K155)=0)*(1-(IF(K155="",-1,K155)&gt;=1)*(IF(K155="",-1,K155)&lt;=3)),IF(C155="peso_corporal",IF(ISNUMBER(E155),E155,0)+I155,I155)*J155*1000+I155,0),IF((M155&gt;0)*(IF(N155="",-1,N155)=0)*(1-(IF(N155="",-1,N155)&gt;=1)*(IF(N155="",-1,N155)&lt;=3)),IF(C155="peso_corporal",IF(ISNUMBER(E155),E155,0)+L155,L155)*M155*1000+L155,0),IF((P155&gt;0)*(IF(Q155="",-1,Q155)=0)*(1-(IF(Q155="",-1,Q155)&gt;=1)*(IF(Q155="",-1,Q155)&lt;=3)),IF(C155="peso_corporal",IF(ISNUMBER(E155),E155,0)+O155,O155)*P155*1000+O155,0),IF((S155&gt;0)*(IF(T155="",-1,T155)=0)*(1-(IF(T155="",-1,T155)&gt;=1)*(IF(T155="",-1,T155)&lt;=3)),IF(C155="peso_corporal",IF(ISNUMBER(E155),E155,0)+R155,R155)*S155*1000+R155,0))</f>
        <v>0</v>
      </c>
      <c r="Z155" s="69">
        <f>IF(Y155=0,0,IF(IF((S155&gt;0)*(IF(T155="",-1,T155)=0)*(1-(IF(T155="",-1,T155)&gt;=1)*(IF(T155="",-1,T155)&lt;=3)),IF(C155="peso_corporal",IF(ISNUMBER(E155),E155,0)+R155,R155)*S155*1000+R155,0)=Y155,5,IF(IF((P155&gt;0)*(IF(Q155="",-1,Q155)=0)*(1-(IF(Q155="",-1,Q155)&gt;=1)*(IF(Q155="",-1,Q155)&lt;=3)),IF(C155="peso_corporal",IF(ISNUMBER(E155),E155,0)+O155,O155)*P155*1000+O155,0)=Y155,4,IF(IF((M155&gt;0)*(IF(N155="",-1,N155)=0)*(1-(IF(N155="",-1,N155)&gt;=1)*(IF(N155="",-1,N155)&lt;=3)),IF(C155="peso_corporal",IF(ISNUMBER(E155),E155,0)+L155,L155)*M155*1000+L155,0)=Y155,3,IF(IF((J155&gt;0)*(IF(K155="",-1,K155)=0)*(1-(IF(K155="",-1,K155)&gt;=1)*(IF(K155="",-1,K155)&lt;=3)),IF(C155="peso_corporal",IF(ISNUMBER(E155),E155,0)+I155,I155)*J155*1000+I155,0)=Y155,2,IF(IF((G155&gt;0)*(IF(H155="",-1,H155)=0)*(1-(IF(H155="",-1,H155)&gt;=1)*(IF(H155="",-1,H155)&lt;=3)),IF(C155="peso_corporal",IF(ISNUMBER(E155),E155,0)+F155,F155)*G155*1000+F155,0)=Y155,1,0))))))</f>
        <v>0</v>
      </c>
      <c r="AA155" s="69">
        <f>MAX(IF((G155&gt;=6)*(1-(IF(H155="",-1,H155)&gt;=1)*(IF(H155="",-1,H155)&lt;=3))*(1-(IF(H155="",-1,H155)=0)),IF(C155="peso_corporal",IF(ISNUMBER(E155),E155,0)+F155,F155)*(30+G155)*100+F155,0),IF((J155&gt;=6)*(1-(IF(K155="",-1,K155)&gt;=1)*(IF(K155="",-1,K155)&lt;=3))*(1-(IF(K155="",-1,K155)=0)),IF(C155="peso_corporal",IF(ISNUMBER(E155),E155,0)+I155,I155)*(30+J155)*100+I155,0),IF((M155&gt;=6)*(1-(IF(N155="",-1,N155)&gt;=1)*(IF(N155="",-1,N155)&lt;=3))*(1-(IF(N155="",-1,N155)=0)),IF(C155="peso_corporal",IF(ISNUMBER(E155),E155,0)+L155,L155)*(30+M155)*100+L155,0),IF((P155&gt;=6)*(1-(IF(Q155="",-1,Q155)&gt;=1)*(IF(Q155="",-1,Q155)&lt;=3))*(1-(IF(Q155="",-1,Q155)=0)),IF(C155="peso_corporal",IF(ISNUMBER(E155),E155,0)+O155,O155)*(30+P155)*100+O155,0),IF((S155&gt;=6)*(1-(IF(T155="",-1,T155)&gt;=1)*(IF(T155="",-1,T155)&lt;=3))*(1-(IF(T155="",-1,T155)=0)),IF(C155="peso_corporal",IF(ISNUMBER(E155),E155,0)+R155,R155)*(30+S155)*100+R155,0))</f>
        <v>0</v>
      </c>
      <c r="AB155" s="69">
        <f>IF(AA155=0,0,IF(IF((S155&gt;=6)*(1-(IF(T155="",-1,T155)&gt;=1)*(IF(T155="",-1,T155)&lt;=3))*(1-(IF(T155="",-1,T155)=0)),IF(C155="peso_corporal",IF(ISNUMBER(E155),E155,0)+R155,R155)*(30+S155)*100+R155,0)=AA155,5,IF(IF((P155&gt;=6)*(1-(IF(Q155="",-1,Q155)&gt;=1)*(IF(Q155="",-1,Q155)&lt;=3))*(1-(IF(Q155="",-1,Q155)=0)),IF(C155="peso_corporal",IF(ISNUMBER(E155),E155,0)+O155,O155)*(30+P155)*100+O155,0)=AA155,4,IF(IF((M155&gt;=6)*(1-(IF(N155="",-1,N155)&gt;=1)*(IF(N155="",-1,N155)&lt;=3))*(1-(IF(N155="",-1,N155)=0)),IF(C155="peso_corporal",IF(ISNUMBER(E155),E155,0)+L155,L155)*(30+M155)*100+L155,0)=AA155,3,IF(IF((J155&gt;=6)*(1-(IF(K155="",-1,K155)&gt;=1)*(IF(K155="",-1,K155)&lt;=3))*(1-(IF(K155="",-1,K155)=0)),IF(C155="peso_corporal",IF(ISNUMBER(E155),E155,0)+I155,I155)*(30+J155)*100+I155,0)=AA155,2,IF(IF((G155&gt;=6)*(1-(IF(H155="",-1,H155)&gt;=1)*(IF(H155="",-1,H155)&lt;=3))*(1-(IF(H155="",-1,H155)=0)),IF(C155="peso_corporal",IF(ISNUMBER(E155),E155,0)+F155,F155)*(30+G155)*100+F155,0)=AA155,1,0))))))</f>
        <v>0</v>
      </c>
      <c r="AC155" s="69" t="str">
        <f>IF(X155&gt;0,"A"&amp;X155,IF(Z155&gt;0,"B"&amp;Z155,IF(AB155&gt;0,"C"&amp;AB155,"")))</f>
        <v/>
      </c>
    </row>
    <row r="156" spans="1:29" ht="6"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69"/>
      <c r="X156" s="69"/>
      <c r="Y156" s="69"/>
      <c r="Z156" s="69"/>
      <c r="AA156" s="69"/>
      <c r="AB156" s="69"/>
      <c r="AC156" s="69"/>
    </row>
    <row r="157" spans="1:29" ht="18" customHeight="1">
      <c r="A157" s="85" t="s">
        <v>73</v>
      </c>
      <c r="B157" s="73"/>
      <c r="C157" s="73"/>
      <c r="D157" s="73"/>
      <c r="E157" s="73"/>
      <c r="F157" s="73"/>
      <c r="G157" s="73"/>
      <c r="H157" s="73"/>
      <c r="I157" s="73"/>
      <c r="J157" s="73"/>
      <c r="K157" s="73"/>
      <c r="L157" s="73"/>
      <c r="M157" s="73"/>
      <c r="N157" s="73"/>
      <c r="O157" s="73"/>
      <c r="P157" s="73"/>
      <c r="Q157" s="73"/>
      <c r="R157" s="73"/>
      <c r="S157" s="73"/>
      <c r="T157" s="73"/>
      <c r="U157" s="73"/>
      <c r="V157" s="73"/>
      <c r="W157" s="69"/>
      <c r="X157" s="69"/>
      <c r="Y157" s="69"/>
      <c r="Z157" s="69"/>
      <c r="AA157" s="69"/>
      <c r="AB157" s="69"/>
      <c r="AC157" s="69"/>
    </row>
    <row r="158" spans="1:29" ht="15" customHeight="1">
      <c r="A158" s="75" t="s">
        <v>88</v>
      </c>
      <c r="B158" s="73"/>
      <c r="C158" s="73"/>
      <c r="D158" s="73"/>
      <c r="E158" s="73"/>
      <c r="F158" s="73"/>
      <c r="G158" s="73"/>
      <c r="H158" s="73"/>
      <c r="I158" s="73"/>
      <c r="J158" s="73"/>
      <c r="K158" s="73"/>
      <c r="L158" s="73"/>
      <c r="M158" s="73"/>
      <c r="N158" s="73"/>
      <c r="O158" s="73"/>
      <c r="P158" s="73"/>
      <c r="Q158" s="73"/>
      <c r="R158" s="73"/>
      <c r="S158" s="73"/>
      <c r="T158" s="73"/>
      <c r="U158" s="73"/>
      <c r="V158" s="73"/>
      <c r="W158" s="69"/>
      <c r="X158" s="69"/>
      <c r="Y158" s="69"/>
      <c r="Z158" s="69"/>
      <c r="AA158" s="69"/>
      <c r="AB158" s="69"/>
      <c r="AC158" s="69"/>
    </row>
    <row r="159" spans="1:29" ht="11.1" customHeight="1">
      <c r="A159" s="76" t="s">
        <v>89</v>
      </c>
      <c r="B159" s="73"/>
      <c r="C159" s="73"/>
      <c r="D159" s="73"/>
      <c r="E159" s="73"/>
      <c r="F159" s="73"/>
      <c r="G159" s="73"/>
      <c r="H159" s="73"/>
      <c r="I159" s="73"/>
      <c r="J159" s="73"/>
      <c r="K159" s="73"/>
      <c r="L159" s="73"/>
      <c r="M159" s="73"/>
      <c r="N159" s="73"/>
      <c r="O159" s="73"/>
      <c r="P159" s="73"/>
      <c r="Q159" s="73"/>
      <c r="R159" s="73"/>
      <c r="S159" s="73"/>
      <c r="T159" s="73"/>
      <c r="U159" s="73"/>
      <c r="V159" s="73"/>
      <c r="W159" s="69"/>
      <c r="X159" s="69"/>
      <c r="Y159" s="69"/>
      <c r="Z159" s="69"/>
      <c r="AA159" s="69"/>
      <c r="AB159" s="69"/>
      <c r="AC159" s="69"/>
    </row>
    <row r="160" spans="1:29" ht="20.100000000000001" customHeight="1">
      <c r="A160" s="14" t="s">
        <v>90</v>
      </c>
      <c r="B160" s="15" t="s">
        <v>91</v>
      </c>
      <c r="C160" s="16" t="str">
        <f>IFERROR(INDEX(EJERCICIOS!$D$3:$D$75,MATCH(A160&amp;"|"&amp;B160,EJERCICIOS!$G$3:$G$75,0)),"--")</f>
        <v>peso_corporal</v>
      </c>
      <c r="D160" s="17">
        <v>3</v>
      </c>
      <c r="E160" s="18">
        <f>IFERROR(LOOKUP(2,1/(MEDIDAS_Y_PESO!$B$3:$B$10&lt;&gt;""),MEDIDAS_Y_PESO!$B$3:$B$10),"--")</f>
        <v>80</v>
      </c>
      <c r="F160" s="19"/>
      <c r="G160" s="20"/>
      <c r="H160" s="21"/>
      <c r="I160" s="19"/>
      <c r="J160" s="20"/>
      <c r="K160" s="21"/>
      <c r="L160" s="19"/>
      <c r="M160" s="20"/>
      <c r="N160" s="21"/>
      <c r="O160" s="19"/>
      <c r="P160" s="20"/>
      <c r="Q160" s="21"/>
      <c r="R160" s="19"/>
      <c r="S160" s="20"/>
      <c r="T160" s="21"/>
      <c r="U160" s="22" t="str">
        <f>IFERROR(IF(IF(X160&gt;0,X160,IF(Z160&gt;0,Z160,IF(AB160&gt;0,AB160,0)))=0,"--",ROUND(CHOOSE(IF(X160&gt;0,X160,IF(Z160&gt;0,Z160,IF(AB160&gt;0,AB160,0))),IF(C160="peso_corporal",IF(ISNUMBER(E160),E160,0)+F160,F160)*(1+G160/30),IF(C160="peso_corporal",IF(ISNUMBER(E160),E160,0)+I160,I160)*(1+J160/30),IF(C160="peso_corporal",IF(ISNUMBER(E160),E160,0)+L160,L160)*(1+M160/30),IF(C160="peso_corporal",IF(ISNUMBER(E160),E160,0)+O160,O160)*(1+P160/30),IF(C160="peso_corporal",IF(ISNUMBER(E160),E160,0)+R160,R160)*(1+S160/30)),1)),"--")</f>
        <v>--</v>
      </c>
      <c r="V160" s="23" t="str">
        <f>IF(SUGERENCIAS!N456="SIN","Sin datos anteriores",IF(SUGERENCIAS!N456="SUBIR_F","^ SUBIR FUERTE | Kg:"&amp;ROUND(SUGERENCIAS!K456,1)&amp;" R:"&amp;ROUND(SUGERENCIAS!L456,0)&amp;" RIR:"&amp;ROUND(SUGERENCIAS!M456,0),IF(SUGERENCIAS!N456="SUBIR_E","^ SUBIR (Est.) | Kg:"&amp;ROUND(SUGERENCIAS!K456,1)&amp;" R:"&amp;ROUND(SUGERENCIAS!L456,0)&amp;" RIR:"&amp;ROUND(SUGERENCIAS!M456,0),IF(SUGERENCIAS!N456="SUBIR","^ SUBIR | Kg:"&amp;ROUND(SUGERENCIAS!K456,1)&amp;" R:"&amp;ROUND(SUGERENCIAS!L456,0)&amp;" RIR:"&amp;ROUND(SUGERENCIAS!M456,0),IF(SUGERENCIAS!N456="BAJAR","v BAJAR | Kg:"&amp;ROUND(SUGERENCIAS!K456,1)&amp;" R:"&amp;ROUND(SUGERENCIAS!L456,0)&amp;" RIR:"&amp;ROUND(SUGERENCIAS!M456,0),"= MANT | Kg:"&amp;ROUND(SUGERENCIAS!K456,1)&amp;" R:"&amp;ROUND(SUGERENCIAS!L456,0)&amp;" RIR:"&amp;ROUND(SUGERENCIAS!M456,0))))))</f>
        <v>Sin datos anteriores</v>
      </c>
      <c r="W160" s="69">
        <f>MAX(IF((G160&gt;0)*(IF(H160="",-1,H160)&gt;=1)*(IF(H160="",-1,H160)&lt;=3),IF(C160="peso_corporal",IF(ISNUMBER(E160),E160,0)+F160,F160)*G160*1000+F160,0),IF((J160&gt;0)*(IF(K160="",-1,K160)&gt;=1)*(IF(K160="",-1,K160)&lt;=3),IF(C160="peso_corporal",IF(ISNUMBER(E160),E160,0)+I160,I160)*J160*1000+I160,0),IF((M160&gt;0)*(IF(N160="",-1,N160)&gt;=1)*(IF(N160="",-1,N160)&lt;=3),IF(C160="peso_corporal",IF(ISNUMBER(E160),E160,0)+L160,L160)*M160*1000+L160,0),IF((P160&gt;0)*(IF(Q160="",-1,Q160)&gt;=1)*(IF(Q160="",-1,Q160)&lt;=3),IF(C160="peso_corporal",IF(ISNUMBER(E160),E160,0)+O160,O160)*P160*1000+O160,0),IF((S160&gt;0)*(IF(T160="",-1,T160)&gt;=1)*(IF(T160="",-1,T160)&lt;=3),IF(C160="peso_corporal",IF(ISNUMBER(E160),E160,0)+R160,R160)*S160*1000+R160,0))</f>
        <v>0</v>
      </c>
      <c r="X160" s="69">
        <f>IF(W160=0,0,IF(IF((S160&gt;0)*(IF(T160="",-1,T160)&gt;=1)*(IF(T160="",-1,T160)&lt;=3),IF(C160="peso_corporal",IF(ISNUMBER(E160),E160,0)+R160,R160)*S160*1000+R160,0)=W160,5,IF(IF((P160&gt;0)*(IF(Q160="",-1,Q160)&gt;=1)*(IF(Q160="",-1,Q160)&lt;=3),IF(C160="peso_corporal",IF(ISNUMBER(E160),E160,0)+O160,O160)*P160*1000+O160,0)=W160,4,IF(IF((M160&gt;0)*(IF(N160="",-1,N160)&gt;=1)*(IF(N160="",-1,N160)&lt;=3),IF(C160="peso_corporal",IF(ISNUMBER(E160),E160,0)+L160,L160)*M160*1000+L160,0)=W160,3,IF(IF((J160&gt;0)*(IF(K160="",-1,K160)&gt;=1)*(IF(K160="",-1,K160)&lt;=3),IF(C160="peso_corporal",IF(ISNUMBER(E160),E160,0)+I160,I160)*J160*1000+I160,0)=W160,2,IF(IF((G160&gt;0)*(IF(H160="",-1,H160)&gt;=1)*(IF(H160="",-1,H160)&lt;=3),IF(C160="peso_corporal",IF(ISNUMBER(E160),E160,0)+F160,F160)*G160*1000+F160,0)=W160,1,0))))))</f>
        <v>0</v>
      </c>
      <c r="Y160" s="69">
        <f>MAX(IF((G160&gt;0)*(IF(H160="",-1,H160)=0)*(1-(IF(H160="",-1,H160)&gt;=1)*(IF(H160="",-1,H160)&lt;=3)),IF(C160="peso_corporal",IF(ISNUMBER(E160),E160,0)+F160,F160)*G160*1000+F160,0),IF((J160&gt;0)*(IF(K160="",-1,K160)=0)*(1-(IF(K160="",-1,K160)&gt;=1)*(IF(K160="",-1,K160)&lt;=3)),IF(C160="peso_corporal",IF(ISNUMBER(E160),E160,0)+I160,I160)*J160*1000+I160,0),IF((M160&gt;0)*(IF(N160="",-1,N160)=0)*(1-(IF(N160="",-1,N160)&gt;=1)*(IF(N160="",-1,N160)&lt;=3)),IF(C160="peso_corporal",IF(ISNUMBER(E160),E160,0)+L160,L160)*M160*1000+L160,0),IF((P160&gt;0)*(IF(Q160="",-1,Q160)=0)*(1-(IF(Q160="",-1,Q160)&gt;=1)*(IF(Q160="",-1,Q160)&lt;=3)),IF(C160="peso_corporal",IF(ISNUMBER(E160),E160,0)+O160,O160)*P160*1000+O160,0),IF((S160&gt;0)*(IF(T160="",-1,T160)=0)*(1-(IF(T160="",-1,T160)&gt;=1)*(IF(T160="",-1,T160)&lt;=3)),IF(C160="peso_corporal",IF(ISNUMBER(E160),E160,0)+R160,R160)*S160*1000+R160,0))</f>
        <v>0</v>
      </c>
      <c r="Z160" s="69">
        <f>IF(Y160=0,0,IF(IF((S160&gt;0)*(IF(T160="",-1,T160)=0)*(1-(IF(T160="",-1,T160)&gt;=1)*(IF(T160="",-1,T160)&lt;=3)),IF(C160="peso_corporal",IF(ISNUMBER(E160),E160,0)+R160,R160)*S160*1000+R160,0)=Y160,5,IF(IF((P160&gt;0)*(IF(Q160="",-1,Q160)=0)*(1-(IF(Q160="",-1,Q160)&gt;=1)*(IF(Q160="",-1,Q160)&lt;=3)),IF(C160="peso_corporal",IF(ISNUMBER(E160),E160,0)+O160,O160)*P160*1000+O160,0)=Y160,4,IF(IF((M160&gt;0)*(IF(N160="",-1,N160)=0)*(1-(IF(N160="",-1,N160)&gt;=1)*(IF(N160="",-1,N160)&lt;=3)),IF(C160="peso_corporal",IF(ISNUMBER(E160),E160,0)+L160,L160)*M160*1000+L160,0)=Y160,3,IF(IF((J160&gt;0)*(IF(K160="",-1,K160)=0)*(1-(IF(K160="",-1,K160)&gt;=1)*(IF(K160="",-1,K160)&lt;=3)),IF(C160="peso_corporal",IF(ISNUMBER(E160),E160,0)+I160,I160)*J160*1000+I160,0)=Y160,2,IF(IF((G160&gt;0)*(IF(H160="",-1,H160)=0)*(1-(IF(H160="",-1,H160)&gt;=1)*(IF(H160="",-1,H160)&lt;=3)),IF(C160="peso_corporal",IF(ISNUMBER(E160),E160,0)+F160,F160)*G160*1000+F160,0)=Y160,1,0))))))</f>
        <v>0</v>
      </c>
      <c r="AA160" s="69">
        <f>MAX(IF((G160&gt;=6)*(1-(IF(H160="",-1,H160)&gt;=1)*(IF(H160="",-1,H160)&lt;=3))*(1-(IF(H160="",-1,H160)=0)),IF(C160="peso_corporal",IF(ISNUMBER(E160),E160,0)+F160,F160)*(30+G160)*100+F160,0),IF((J160&gt;=6)*(1-(IF(K160="",-1,K160)&gt;=1)*(IF(K160="",-1,K160)&lt;=3))*(1-(IF(K160="",-1,K160)=0)),IF(C160="peso_corporal",IF(ISNUMBER(E160),E160,0)+I160,I160)*(30+J160)*100+I160,0),IF((M160&gt;=6)*(1-(IF(N160="",-1,N160)&gt;=1)*(IF(N160="",-1,N160)&lt;=3))*(1-(IF(N160="",-1,N160)=0)),IF(C160="peso_corporal",IF(ISNUMBER(E160),E160,0)+L160,L160)*(30+M160)*100+L160,0),IF((P160&gt;=6)*(1-(IF(Q160="",-1,Q160)&gt;=1)*(IF(Q160="",-1,Q160)&lt;=3))*(1-(IF(Q160="",-1,Q160)=0)),IF(C160="peso_corporal",IF(ISNUMBER(E160),E160,0)+O160,O160)*(30+P160)*100+O160,0),IF((S160&gt;=6)*(1-(IF(T160="",-1,T160)&gt;=1)*(IF(T160="",-1,T160)&lt;=3))*(1-(IF(T160="",-1,T160)=0)),IF(C160="peso_corporal",IF(ISNUMBER(E160),E160,0)+R160,R160)*(30+S160)*100+R160,0))</f>
        <v>0</v>
      </c>
      <c r="AB160" s="69">
        <f>IF(AA160=0,0,IF(IF((S160&gt;=6)*(1-(IF(T160="",-1,T160)&gt;=1)*(IF(T160="",-1,T160)&lt;=3))*(1-(IF(T160="",-1,T160)=0)),IF(C160="peso_corporal",IF(ISNUMBER(E160),E160,0)+R160,R160)*(30+S160)*100+R160,0)=AA160,5,IF(IF((P160&gt;=6)*(1-(IF(Q160="",-1,Q160)&gt;=1)*(IF(Q160="",-1,Q160)&lt;=3))*(1-(IF(Q160="",-1,Q160)=0)),IF(C160="peso_corporal",IF(ISNUMBER(E160),E160,0)+O160,O160)*(30+P160)*100+O160,0)=AA160,4,IF(IF((M160&gt;=6)*(1-(IF(N160="",-1,N160)&gt;=1)*(IF(N160="",-1,N160)&lt;=3))*(1-(IF(N160="",-1,N160)=0)),IF(C160="peso_corporal",IF(ISNUMBER(E160),E160,0)+L160,L160)*(30+M160)*100+L160,0)=AA160,3,IF(IF((J160&gt;=6)*(1-(IF(K160="",-1,K160)&gt;=1)*(IF(K160="",-1,K160)&lt;=3))*(1-(IF(K160="",-1,K160)=0)),IF(C160="peso_corporal",IF(ISNUMBER(E160),E160,0)+I160,I160)*(30+J160)*100+I160,0)=AA160,2,IF(IF((G160&gt;=6)*(1-(IF(H160="",-1,H160)&gt;=1)*(IF(H160="",-1,H160)&lt;=3))*(1-(IF(H160="",-1,H160)=0)),IF(C160="peso_corporal",IF(ISNUMBER(E160),E160,0)+F160,F160)*(30+G160)*100+F160,0)=AA160,1,0))))))</f>
        <v>0</v>
      </c>
      <c r="AC160" s="69" t="str">
        <f>IF(X160&gt;0,"A"&amp;X160,IF(Z160&gt;0,"B"&amp;Z160,IF(AB160&gt;0,"C"&amp;AB160,"")))</f>
        <v/>
      </c>
    </row>
    <row r="161" spans="1:29" ht="20.100000000000001" customHeight="1">
      <c r="A161" s="14" t="s">
        <v>92</v>
      </c>
      <c r="B161" s="15" t="s">
        <v>108</v>
      </c>
      <c r="C161" s="16" t="str">
        <f>IFERROR(INDEX(EJERCICIOS!$D$3:$D$75,MATCH(A161&amp;"|"&amp;B161,EJERCICIOS!$G$3:$G$75,0)),"--")</f>
        <v>polea</v>
      </c>
      <c r="D161" s="17">
        <v>3</v>
      </c>
      <c r="E161" s="18">
        <f>IFERROR(LOOKUP(2,1/(MEDIDAS_Y_PESO!$B$3:$B$10&lt;&gt;""),MEDIDAS_Y_PESO!$B$3:$B$10),"--")</f>
        <v>80</v>
      </c>
      <c r="F161" s="19"/>
      <c r="G161" s="20"/>
      <c r="H161" s="21"/>
      <c r="I161" s="19"/>
      <c r="J161" s="20"/>
      <c r="K161" s="21"/>
      <c r="L161" s="19"/>
      <c r="M161" s="20"/>
      <c r="N161" s="21"/>
      <c r="O161" s="19"/>
      <c r="P161" s="20"/>
      <c r="Q161" s="21"/>
      <c r="R161" s="19"/>
      <c r="S161" s="20"/>
      <c r="T161" s="21"/>
      <c r="U161" s="22" t="str">
        <f>IFERROR(IF(IF(X161&gt;0,X161,IF(Z161&gt;0,Z161,IF(AB161&gt;0,AB161,0)))=0,"--",ROUND(CHOOSE(IF(X161&gt;0,X161,IF(Z161&gt;0,Z161,IF(AB161&gt;0,AB161,0))),IF(C161="peso_corporal",IF(ISNUMBER(E161),E161,0)+F161,F161)*(1+G161/30),IF(C161="peso_corporal",IF(ISNUMBER(E161),E161,0)+I161,I161)*(1+J161/30),IF(C161="peso_corporal",IF(ISNUMBER(E161),E161,0)+L161,L161)*(1+M161/30),IF(C161="peso_corporal",IF(ISNUMBER(E161),E161,0)+O161,O161)*(1+P161/30),IF(C161="peso_corporal",IF(ISNUMBER(E161),E161,0)+R161,R161)*(1+S161/30)),1)),"--")</f>
        <v>--</v>
      </c>
      <c r="V161" s="23" t="str">
        <f>IF(SUGERENCIAS!N457="SIN","Sin datos anteriores",IF(SUGERENCIAS!N457="SUBIR_F","^ SUBIR FUERTE | Kg:"&amp;ROUND(SUGERENCIAS!K457,1)&amp;" R:"&amp;ROUND(SUGERENCIAS!L457,0)&amp;" RIR:"&amp;ROUND(SUGERENCIAS!M457,0),IF(SUGERENCIAS!N457="SUBIR_E","^ SUBIR (Est.) | Kg:"&amp;ROUND(SUGERENCIAS!K457,1)&amp;" R:"&amp;ROUND(SUGERENCIAS!L457,0)&amp;" RIR:"&amp;ROUND(SUGERENCIAS!M457,0),IF(SUGERENCIAS!N457="SUBIR","^ SUBIR | Kg:"&amp;ROUND(SUGERENCIAS!K457,1)&amp;" R:"&amp;ROUND(SUGERENCIAS!L457,0)&amp;" RIR:"&amp;ROUND(SUGERENCIAS!M457,0),IF(SUGERENCIAS!N457="BAJAR","v BAJAR | Kg:"&amp;ROUND(SUGERENCIAS!K457,1)&amp;" R:"&amp;ROUND(SUGERENCIAS!L457,0)&amp;" RIR:"&amp;ROUND(SUGERENCIAS!M457,0),"= MANT | Kg:"&amp;ROUND(SUGERENCIAS!K457,1)&amp;" R:"&amp;ROUND(SUGERENCIAS!L457,0)&amp;" RIR:"&amp;ROUND(SUGERENCIAS!M457,0))))))</f>
        <v>Sin datos anteriores</v>
      </c>
      <c r="W161" s="69">
        <f>MAX(IF((G161&gt;0)*(IF(H161="",-1,H161)&gt;=1)*(IF(H161="",-1,H161)&lt;=3),IF(C161="peso_corporal",IF(ISNUMBER(E161),E161,0)+F161,F161)*G161*1000+F161,0),IF((J161&gt;0)*(IF(K161="",-1,K161)&gt;=1)*(IF(K161="",-1,K161)&lt;=3),IF(C161="peso_corporal",IF(ISNUMBER(E161),E161,0)+I161,I161)*J161*1000+I161,0),IF((M161&gt;0)*(IF(N161="",-1,N161)&gt;=1)*(IF(N161="",-1,N161)&lt;=3),IF(C161="peso_corporal",IF(ISNUMBER(E161),E161,0)+L161,L161)*M161*1000+L161,0),IF((P161&gt;0)*(IF(Q161="",-1,Q161)&gt;=1)*(IF(Q161="",-1,Q161)&lt;=3),IF(C161="peso_corporal",IF(ISNUMBER(E161),E161,0)+O161,O161)*P161*1000+O161,0),IF((S161&gt;0)*(IF(T161="",-1,T161)&gt;=1)*(IF(T161="",-1,T161)&lt;=3),IF(C161="peso_corporal",IF(ISNUMBER(E161),E161,0)+R161,R161)*S161*1000+R161,0))</f>
        <v>0</v>
      </c>
      <c r="X161" s="69">
        <f>IF(W161=0,0,IF(IF((S161&gt;0)*(IF(T161="",-1,T161)&gt;=1)*(IF(T161="",-1,T161)&lt;=3),IF(C161="peso_corporal",IF(ISNUMBER(E161),E161,0)+R161,R161)*S161*1000+R161,0)=W161,5,IF(IF((P161&gt;0)*(IF(Q161="",-1,Q161)&gt;=1)*(IF(Q161="",-1,Q161)&lt;=3),IF(C161="peso_corporal",IF(ISNUMBER(E161),E161,0)+O161,O161)*P161*1000+O161,0)=W161,4,IF(IF((M161&gt;0)*(IF(N161="",-1,N161)&gt;=1)*(IF(N161="",-1,N161)&lt;=3),IF(C161="peso_corporal",IF(ISNUMBER(E161),E161,0)+L161,L161)*M161*1000+L161,0)=W161,3,IF(IF((J161&gt;0)*(IF(K161="",-1,K161)&gt;=1)*(IF(K161="",-1,K161)&lt;=3),IF(C161="peso_corporal",IF(ISNUMBER(E161),E161,0)+I161,I161)*J161*1000+I161,0)=W161,2,IF(IF((G161&gt;0)*(IF(H161="",-1,H161)&gt;=1)*(IF(H161="",-1,H161)&lt;=3),IF(C161="peso_corporal",IF(ISNUMBER(E161),E161,0)+F161,F161)*G161*1000+F161,0)=W161,1,0))))))</f>
        <v>0</v>
      </c>
      <c r="Y161" s="69">
        <f>MAX(IF((G161&gt;0)*(IF(H161="",-1,H161)=0)*(1-(IF(H161="",-1,H161)&gt;=1)*(IF(H161="",-1,H161)&lt;=3)),IF(C161="peso_corporal",IF(ISNUMBER(E161),E161,0)+F161,F161)*G161*1000+F161,0),IF((J161&gt;0)*(IF(K161="",-1,K161)=0)*(1-(IF(K161="",-1,K161)&gt;=1)*(IF(K161="",-1,K161)&lt;=3)),IF(C161="peso_corporal",IF(ISNUMBER(E161),E161,0)+I161,I161)*J161*1000+I161,0),IF((M161&gt;0)*(IF(N161="",-1,N161)=0)*(1-(IF(N161="",-1,N161)&gt;=1)*(IF(N161="",-1,N161)&lt;=3)),IF(C161="peso_corporal",IF(ISNUMBER(E161),E161,0)+L161,L161)*M161*1000+L161,0),IF((P161&gt;0)*(IF(Q161="",-1,Q161)=0)*(1-(IF(Q161="",-1,Q161)&gt;=1)*(IF(Q161="",-1,Q161)&lt;=3)),IF(C161="peso_corporal",IF(ISNUMBER(E161),E161,0)+O161,O161)*P161*1000+O161,0),IF((S161&gt;0)*(IF(T161="",-1,T161)=0)*(1-(IF(T161="",-1,T161)&gt;=1)*(IF(T161="",-1,T161)&lt;=3)),IF(C161="peso_corporal",IF(ISNUMBER(E161),E161,0)+R161,R161)*S161*1000+R161,0))</f>
        <v>0</v>
      </c>
      <c r="Z161" s="69">
        <f>IF(Y161=0,0,IF(IF((S161&gt;0)*(IF(T161="",-1,T161)=0)*(1-(IF(T161="",-1,T161)&gt;=1)*(IF(T161="",-1,T161)&lt;=3)),IF(C161="peso_corporal",IF(ISNUMBER(E161),E161,0)+R161,R161)*S161*1000+R161,0)=Y161,5,IF(IF((P161&gt;0)*(IF(Q161="",-1,Q161)=0)*(1-(IF(Q161="",-1,Q161)&gt;=1)*(IF(Q161="",-1,Q161)&lt;=3)),IF(C161="peso_corporal",IF(ISNUMBER(E161),E161,0)+O161,O161)*P161*1000+O161,0)=Y161,4,IF(IF((M161&gt;0)*(IF(N161="",-1,N161)=0)*(1-(IF(N161="",-1,N161)&gt;=1)*(IF(N161="",-1,N161)&lt;=3)),IF(C161="peso_corporal",IF(ISNUMBER(E161),E161,0)+L161,L161)*M161*1000+L161,0)=Y161,3,IF(IF((J161&gt;0)*(IF(K161="",-1,K161)=0)*(1-(IF(K161="",-1,K161)&gt;=1)*(IF(K161="",-1,K161)&lt;=3)),IF(C161="peso_corporal",IF(ISNUMBER(E161),E161,0)+I161,I161)*J161*1000+I161,0)=Y161,2,IF(IF((G161&gt;0)*(IF(H161="",-1,H161)=0)*(1-(IF(H161="",-1,H161)&gt;=1)*(IF(H161="",-1,H161)&lt;=3)),IF(C161="peso_corporal",IF(ISNUMBER(E161),E161,0)+F161,F161)*G161*1000+F161,0)=Y161,1,0))))))</f>
        <v>0</v>
      </c>
      <c r="AA161" s="69">
        <f>MAX(IF((G161&gt;=6)*(1-(IF(H161="",-1,H161)&gt;=1)*(IF(H161="",-1,H161)&lt;=3))*(1-(IF(H161="",-1,H161)=0)),IF(C161="peso_corporal",IF(ISNUMBER(E161),E161,0)+F161,F161)*(30+G161)*100+F161,0),IF((J161&gt;=6)*(1-(IF(K161="",-1,K161)&gt;=1)*(IF(K161="",-1,K161)&lt;=3))*(1-(IF(K161="",-1,K161)=0)),IF(C161="peso_corporal",IF(ISNUMBER(E161),E161,0)+I161,I161)*(30+J161)*100+I161,0),IF((M161&gt;=6)*(1-(IF(N161="",-1,N161)&gt;=1)*(IF(N161="",-1,N161)&lt;=3))*(1-(IF(N161="",-1,N161)=0)),IF(C161="peso_corporal",IF(ISNUMBER(E161),E161,0)+L161,L161)*(30+M161)*100+L161,0),IF((P161&gt;=6)*(1-(IF(Q161="",-1,Q161)&gt;=1)*(IF(Q161="",-1,Q161)&lt;=3))*(1-(IF(Q161="",-1,Q161)=0)),IF(C161="peso_corporal",IF(ISNUMBER(E161),E161,0)+O161,O161)*(30+P161)*100+O161,0),IF((S161&gt;=6)*(1-(IF(T161="",-1,T161)&gt;=1)*(IF(T161="",-1,T161)&lt;=3))*(1-(IF(T161="",-1,T161)=0)),IF(C161="peso_corporal",IF(ISNUMBER(E161),E161,0)+R161,R161)*(30+S161)*100+R161,0))</f>
        <v>0</v>
      </c>
      <c r="AB161" s="69">
        <f>IF(AA161=0,0,IF(IF((S161&gt;=6)*(1-(IF(T161="",-1,T161)&gt;=1)*(IF(T161="",-1,T161)&lt;=3))*(1-(IF(T161="",-1,T161)=0)),IF(C161="peso_corporal",IF(ISNUMBER(E161),E161,0)+R161,R161)*(30+S161)*100+R161,0)=AA161,5,IF(IF((P161&gt;=6)*(1-(IF(Q161="",-1,Q161)&gt;=1)*(IF(Q161="",-1,Q161)&lt;=3))*(1-(IF(Q161="",-1,Q161)=0)),IF(C161="peso_corporal",IF(ISNUMBER(E161),E161,0)+O161,O161)*(30+P161)*100+O161,0)=AA161,4,IF(IF((M161&gt;=6)*(1-(IF(N161="",-1,N161)&gt;=1)*(IF(N161="",-1,N161)&lt;=3))*(1-(IF(N161="",-1,N161)=0)),IF(C161="peso_corporal",IF(ISNUMBER(E161),E161,0)+L161,L161)*(30+M161)*100+L161,0)=AA161,3,IF(IF((J161&gt;=6)*(1-(IF(K161="",-1,K161)&gt;=1)*(IF(K161="",-1,K161)&lt;=3))*(1-(IF(K161="",-1,K161)=0)),IF(C161="peso_corporal",IF(ISNUMBER(E161),E161,0)+I161,I161)*(30+J161)*100+I161,0)=AA161,2,IF(IF((G161&gt;=6)*(1-(IF(H161="",-1,H161)&gt;=1)*(IF(H161="",-1,H161)&lt;=3))*(1-(IF(H161="",-1,H161)=0)),IF(C161="peso_corporal",IF(ISNUMBER(E161),E161,0)+F161,F161)*(30+G161)*100+F161,0)=AA161,1,0))))))</f>
        <v>0</v>
      </c>
      <c r="AC161" s="69" t="str">
        <f>IF(X161&gt;0,"A"&amp;X161,IF(Z161&gt;0,"B"&amp;Z161,IF(AB161&gt;0,"C"&amp;AB161,"")))</f>
        <v/>
      </c>
    </row>
    <row r="162" spans="1:29" ht="11.1" customHeight="1">
      <c r="A162" s="84" t="s">
        <v>94</v>
      </c>
      <c r="B162" s="73"/>
      <c r="C162" s="73"/>
      <c r="D162" s="73"/>
      <c r="E162" s="73"/>
      <c r="F162" s="73"/>
      <c r="G162" s="73"/>
      <c r="H162" s="73"/>
      <c r="I162" s="73"/>
      <c r="J162" s="73"/>
      <c r="K162" s="73"/>
      <c r="L162" s="73"/>
      <c r="M162" s="73"/>
      <c r="N162" s="73"/>
      <c r="O162" s="73"/>
      <c r="P162" s="73"/>
      <c r="Q162" s="73"/>
      <c r="R162" s="73"/>
      <c r="S162" s="73"/>
      <c r="T162" s="73"/>
      <c r="U162" s="73"/>
      <c r="V162" s="73"/>
      <c r="W162" s="69"/>
      <c r="X162" s="69"/>
      <c r="Y162" s="69"/>
      <c r="Z162" s="69"/>
      <c r="AA162" s="69"/>
      <c r="AB162" s="69"/>
      <c r="AC162" s="69"/>
    </row>
    <row r="163" spans="1:29" ht="20.100000000000001" customHeight="1">
      <c r="A163" s="14" t="s">
        <v>95</v>
      </c>
      <c r="B163" s="15" t="s">
        <v>96</v>
      </c>
      <c r="C163" s="16" t="str">
        <f>IFERROR(INDEX(EJERCICIOS!$D$3:$D$75,MATCH(A163&amp;"|"&amp;B163,EJERCICIOS!$G$3:$G$75,0)),"--")</f>
        <v>polea</v>
      </c>
      <c r="D163" s="17">
        <v>3</v>
      </c>
      <c r="E163" s="18">
        <f>IFERROR(LOOKUP(2,1/(MEDIDAS_Y_PESO!$B$3:$B$10&lt;&gt;""),MEDIDAS_Y_PESO!$B$3:$B$10),"--")</f>
        <v>80</v>
      </c>
      <c r="F163" s="19"/>
      <c r="G163" s="20"/>
      <c r="H163" s="21"/>
      <c r="I163" s="19"/>
      <c r="J163" s="20"/>
      <c r="K163" s="21"/>
      <c r="L163" s="19"/>
      <c r="M163" s="20"/>
      <c r="N163" s="21"/>
      <c r="O163" s="19"/>
      <c r="P163" s="20"/>
      <c r="Q163" s="21"/>
      <c r="R163" s="19"/>
      <c r="S163" s="20"/>
      <c r="T163" s="21"/>
      <c r="U163" s="22" t="str">
        <f>IFERROR(IF(IF(X163&gt;0,X163,IF(Z163&gt;0,Z163,IF(AB163&gt;0,AB163,0)))=0,"--",ROUND(CHOOSE(IF(X163&gt;0,X163,IF(Z163&gt;0,Z163,IF(AB163&gt;0,AB163,0))),IF(C163="peso_corporal",IF(ISNUMBER(E163),E163,0)+F163,F163)*(1+G163/30),IF(C163="peso_corporal",IF(ISNUMBER(E163),E163,0)+I163,I163)*(1+J163/30),IF(C163="peso_corporal",IF(ISNUMBER(E163),E163,0)+L163,L163)*(1+M163/30),IF(C163="peso_corporal",IF(ISNUMBER(E163),E163,0)+O163,O163)*(1+P163/30),IF(C163="peso_corporal",IF(ISNUMBER(E163),E163,0)+R163,R163)*(1+S163/30)),1)),"--")</f>
        <v>--</v>
      </c>
      <c r="V163" s="23" t="str">
        <f>IF(SUGERENCIAS!N458="SIN","Sin datos anteriores",IF(SUGERENCIAS!N458="SUBIR_F","^ SUBIR FUERTE | Kg:"&amp;ROUND(SUGERENCIAS!K458,1)&amp;" R:"&amp;ROUND(SUGERENCIAS!L458,0)&amp;" RIR:"&amp;ROUND(SUGERENCIAS!M458,0),IF(SUGERENCIAS!N458="SUBIR_E","^ SUBIR (Est.) | Kg:"&amp;ROUND(SUGERENCIAS!K458,1)&amp;" R:"&amp;ROUND(SUGERENCIAS!L458,0)&amp;" RIR:"&amp;ROUND(SUGERENCIAS!M458,0),IF(SUGERENCIAS!N458="SUBIR","^ SUBIR | Kg:"&amp;ROUND(SUGERENCIAS!K458,1)&amp;" R:"&amp;ROUND(SUGERENCIAS!L458,0)&amp;" RIR:"&amp;ROUND(SUGERENCIAS!M458,0),IF(SUGERENCIAS!N458="BAJAR","v BAJAR | Kg:"&amp;ROUND(SUGERENCIAS!K458,1)&amp;" R:"&amp;ROUND(SUGERENCIAS!L458,0)&amp;" RIR:"&amp;ROUND(SUGERENCIAS!M458,0),"= MANT | Kg:"&amp;ROUND(SUGERENCIAS!K458,1)&amp;" R:"&amp;ROUND(SUGERENCIAS!L458,0)&amp;" RIR:"&amp;ROUND(SUGERENCIAS!M458,0))))))</f>
        <v>Sin datos anteriores</v>
      </c>
      <c r="W163" s="69">
        <f>MAX(IF((G163&gt;0)*(IF(H163="",-1,H163)&gt;=1)*(IF(H163="",-1,H163)&lt;=3),IF(C163="peso_corporal",IF(ISNUMBER(E163),E163,0)+F163,F163)*G163*1000+F163,0),IF((J163&gt;0)*(IF(K163="",-1,K163)&gt;=1)*(IF(K163="",-1,K163)&lt;=3),IF(C163="peso_corporal",IF(ISNUMBER(E163),E163,0)+I163,I163)*J163*1000+I163,0),IF((M163&gt;0)*(IF(N163="",-1,N163)&gt;=1)*(IF(N163="",-1,N163)&lt;=3),IF(C163="peso_corporal",IF(ISNUMBER(E163),E163,0)+L163,L163)*M163*1000+L163,0),IF((P163&gt;0)*(IF(Q163="",-1,Q163)&gt;=1)*(IF(Q163="",-1,Q163)&lt;=3),IF(C163="peso_corporal",IF(ISNUMBER(E163),E163,0)+O163,O163)*P163*1000+O163,0),IF((S163&gt;0)*(IF(T163="",-1,T163)&gt;=1)*(IF(T163="",-1,T163)&lt;=3),IF(C163="peso_corporal",IF(ISNUMBER(E163),E163,0)+R163,R163)*S163*1000+R163,0))</f>
        <v>0</v>
      </c>
      <c r="X163" s="69">
        <f>IF(W163=0,0,IF(IF((S163&gt;0)*(IF(T163="",-1,T163)&gt;=1)*(IF(T163="",-1,T163)&lt;=3),IF(C163="peso_corporal",IF(ISNUMBER(E163),E163,0)+R163,R163)*S163*1000+R163,0)=W163,5,IF(IF((P163&gt;0)*(IF(Q163="",-1,Q163)&gt;=1)*(IF(Q163="",-1,Q163)&lt;=3),IF(C163="peso_corporal",IF(ISNUMBER(E163),E163,0)+O163,O163)*P163*1000+O163,0)=W163,4,IF(IF((M163&gt;0)*(IF(N163="",-1,N163)&gt;=1)*(IF(N163="",-1,N163)&lt;=3),IF(C163="peso_corporal",IF(ISNUMBER(E163),E163,0)+L163,L163)*M163*1000+L163,0)=W163,3,IF(IF((J163&gt;0)*(IF(K163="",-1,K163)&gt;=1)*(IF(K163="",-1,K163)&lt;=3),IF(C163="peso_corporal",IF(ISNUMBER(E163),E163,0)+I163,I163)*J163*1000+I163,0)=W163,2,IF(IF((G163&gt;0)*(IF(H163="",-1,H163)&gt;=1)*(IF(H163="",-1,H163)&lt;=3),IF(C163="peso_corporal",IF(ISNUMBER(E163),E163,0)+F163,F163)*G163*1000+F163,0)=W163,1,0))))))</f>
        <v>0</v>
      </c>
      <c r="Y163" s="69">
        <f>MAX(IF((G163&gt;0)*(IF(H163="",-1,H163)=0)*(1-(IF(H163="",-1,H163)&gt;=1)*(IF(H163="",-1,H163)&lt;=3)),IF(C163="peso_corporal",IF(ISNUMBER(E163),E163,0)+F163,F163)*G163*1000+F163,0),IF((J163&gt;0)*(IF(K163="",-1,K163)=0)*(1-(IF(K163="",-1,K163)&gt;=1)*(IF(K163="",-1,K163)&lt;=3)),IF(C163="peso_corporal",IF(ISNUMBER(E163),E163,0)+I163,I163)*J163*1000+I163,0),IF((M163&gt;0)*(IF(N163="",-1,N163)=0)*(1-(IF(N163="",-1,N163)&gt;=1)*(IF(N163="",-1,N163)&lt;=3)),IF(C163="peso_corporal",IF(ISNUMBER(E163),E163,0)+L163,L163)*M163*1000+L163,0),IF((P163&gt;0)*(IF(Q163="",-1,Q163)=0)*(1-(IF(Q163="",-1,Q163)&gt;=1)*(IF(Q163="",-1,Q163)&lt;=3)),IF(C163="peso_corporal",IF(ISNUMBER(E163),E163,0)+O163,O163)*P163*1000+O163,0),IF((S163&gt;0)*(IF(T163="",-1,T163)=0)*(1-(IF(T163="",-1,T163)&gt;=1)*(IF(T163="",-1,T163)&lt;=3)),IF(C163="peso_corporal",IF(ISNUMBER(E163),E163,0)+R163,R163)*S163*1000+R163,0))</f>
        <v>0</v>
      </c>
      <c r="Z163" s="69">
        <f>IF(Y163=0,0,IF(IF((S163&gt;0)*(IF(T163="",-1,T163)=0)*(1-(IF(T163="",-1,T163)&gt;=1)*(IF(T163="",-1,T163)&lt;=3)),IF(C163="peso_corporal",IF(ISNUMBER(E163),E163,0)+R163,R163)*S163*1000+R163,0)=Y163,5,IF(IF((P163&gt;0)*(IF(Q163="",-1,Q163)=0)*(1-(IF(Q163="",-1,Q163)&gt;=1)*(IF(Q163="",-1,Q163)&lt;=3)),IF(C163="peso_corporal",IF(ISNUMBER(E163),E163,0)+O163,O163)*P163*1000+O163,0)=Y163,4,IF(IF((M163&gt;0)*(IF(N163="",-1,N163)=0)*(1-(IF(N163="",-1,N163)&gt;=1)*(IF(N163="",-1,N163)&lt;=3)),IF(C163="peso_corporal",IF(ISNUMBER(E163),E163,0)+L163,L163)*M163*1000+L163,0)=Y163,3,IF(IF((J163&gt;0)*(IF(K163="",-1,K163)=0)*(1-(IF(K163="",-1,K163)&gt;=1)*(IF(K163="",-1,K163)&lt;=3)),IF(C163="peso_corporal",IF(ISNUMBER(E163),E163,0)+I163,I163)*J163*1000+I163,0)=Y163,2,IF(IF((G163&gt;0)*(IF(H163="",-1,H163)=0)*(1-(IF(H163="",-1,H163)&gt;=1)*(IF(H163="",-1,H163)&lt;=3)),IF(C163="peso_corporal",IF(ISNUMBER(E163),E163,0)+F163,F163)*G163*1000+F163,0)=Y163,1,0))))))</f>
        <v>0</v>
      </c>
      <c r="AA163" s="69">
        <f>MAX(IF((G163&gt;=6)*(1-(IF(H163="",-1,H163)&gt;=1)*(IF(H163="",-1,H163)&lt;=3))*(1-(IF(H163="",-1,H163)=0)),IF(C163="peso_corporal",IF(ISNUMBER(E163),E163,0)+F163,F163)*(30+G163)*100+F163,0),IF((J163&gt;=6)*(1-(IF(K163="",-1,K163)&gt;=1)*(IF(K163="",-1,K163)&lt;=3))*(1-(IF(K163="",-1,K163)=0)),IF(C163="peso_corporal",IF(ISNUMBER(E163),E163,0)+I163,I163)*(30+J163)*100+I163,0),IF((M163&gt;=6)*(1-(IF(N163="",-1,N163)&gt;=1)*(IF(N163="",-1,N163)&lt;=3))*(1-(IF(N163="",-1,N163)=0)),IF(C163="peso_corporal",IF(ISNUMBER(E163),E163,0)+L163,L163)*(30+M163)*100+L163,0),IF((P163&gt;=6)*(1-(IF(Q163="",-1,Q163)&gt;=1)*(IF(Q163="",-1,Q163)&lt;=3))*(1-(IF(Q163="",-1,Q163)=0)),IF(C163="peso_corporal",IF(ISNUMBER(E163),E163,0)+O163,O163)*(30+P163)*100+O163,0),IF((S163&gt;=6)*(1-(IF(T163="",-1,T163)&gt;=1)*(IF(T163="",-1,T163)&lt;=3))*(1-(IF(T163="",-1,T163)=0)),IF(C163="peso_corporal",IF(ISNUMBER(E163),E163,0)+R163,R163)*(30+S163)*100+R163,0))</f>
        <v>0</v>
      </c>
      <c r="AB163" s="69">
        <f>IF(AA163=0,0,IF(IF((S163&gt;=6)*(1-(IF(T163="",-1,T163)&gt;=1)*(IF(T163="",-1,T163)&lt;=3))*(1-(IF(T163="",-1,T163)=0)),IF(C163="peso_corporal",IF(ISNUMBER(E163),E163,0)+R163,R163)*(30+S163)*100+R163,0)=AA163,5,IF(IF((P163&gt;=6)*(1-(IF(Q163="",-1,Q163)&gt;=1)*(IF(Q163="",-1,Q163)&lt;=3))*(1-(IF(Q163="",-1,Q163)=0)),IF(C163="peso_corporal",IF(ISNUMBER(E163),E163,0)+O163,O163)*(30+P163)*100+O163,0)=AA163,4,IF(IF((M163&gt;=6)*(1-(IF(N163="",-1,N163)&gt;=1)*(IF(N163="",-1,N163)&lt;=3))*(1-(IF(N163="",-1,N163)=0)),IF(C163="peso_corporal",IF(ISNUMBER(E163),E163,0)+L163,L163)*(30+M163)*100+L163,0)=AA163,3,IF(IF((J163&gt;=6)*(1-(IF(K163="",-1,K163)&gt;=1)*(IF(K163="",-1,K163)&lt;=3))*(1-(IF(K163="",-1,K163)=0)),IF(C163="peso_corporal",IF(ISNUMBER(E163),E163,0)+I163,I163)*(30+J163)*100+I163,0)=AA163,2,IF(IF((G163&gt;=6)*(1-(IF(H163="",-1,H163)&gt;=1)*(IF(H163="",-1,H163)&lt;=3))*(1-(IF(H163="",-1,H163)=0)),IF(C163="peso_corporal",IF(ISNUMBER(E163),E163,0)+F163,F163)*(30+G163)*100+F163,0)=AA163,1,0))))))</f>
        <v>0</v>
      </c>
      <c r="AC163" s="69" t="str">
        <f>IF(X163&gt;0,"A"&amp;X163,IF(Z163&gt;0,"B"&amp;Z163,IF(AB163&gt;0,"C"&amp;AB163,"")))</f>
        <v/>
      </c>
    </row>
    <row r="164" spans="1:29" ht="20.100000000000001" customHeight="1">
      <c r="A164" s="14" t="s">
        <v>95</v>
      </c>
      <c r="B164" s="15" t="s">
        <v>97</v>
      </c>
      <c r="C164" s="16" t="str">
        <f>IFERROR(INDEX(EJERCICIOS!$D$3:$D$75,MATCH(A164&amp;"|"&amp;B164,EJERCICIOS!$G$3:$G$75,0)),"--")</f>
        <v>polea</v>
      </c>
      <c r="D164" s="17">
        <v>3</v>
      </c>
      <c r="E164" s="18">
        <f>IFERROR(LOOKUP(2,1/(MEDIDAS_Y_PESO!$B$3:$B$10&lt;&gt;""),MEDIDAS_Y_PESO!$B$3:$B$10),"--")</f>
        <v>80</v>
      </c>
      <c r="F164" s="19"/>
      <c r="G164" s="20"/>
      <c r="H164" s="21"/>
      <c r="I164" s="19"/>
      <c r="J164" s="20"/>
      <c r="K164" s="21"/>
      <c r="L164" s="19"/>
      <c r="M164" s="20"/>
      <c r="N164" s="21"/>
      <c r="O164" s="19"/>
      <c r="P164" s="20"/>
      <c r="Q164" s="21"/>
      <c r="R164" s="19"/>
      <c r="S164" s="20"/>
      <c r="T164" s="21"/>
      <c r="U164" s="22" t="str">
        <f>IFERROR(IF(IF(X164&gt;0,X164,IF(Z164&gt;0,Z164,IF(AB164&gt;0,AB164,0)))=0,"--",ROUND(CHOOSE(IF(X164&gt;0,X164,IF(Z164&gt;0,Z164,IF(AB164&gt;0,AB164,0))),IF(C164="peso_corporal",IF(ISNUMBER(E164),E164,0)+F164,F164)*(1+G164/30),IF(C164="peso_corporal",IF(ISNUMBER(E164),E164,0)+I164,I164)*(1+J164/30),IF(C164="peso_corporal",IF(ISNUMBER(E164),E164,0)+L164,L164)*(1+M164/30),IF(C164="peso_corporal",IF(ISNUMBER(E164),E164,0)+O164,O164)*(1+P164/30),IF(C164="peso_corporal",IF(ISNUMBER(E164),E164,0)+R164,R164)*(1+S164/30)),1)),"--")</f>
        <v>--</v>
      </c>
      <c r="V164" s="23" t="str">
        <f>IF(SUGERENCIAS!N459="SIN","Sin datos anteriores",IF(SUGERENCIAS!N459="SUBIR_F","^ SUBIR FUERTE | Kg:"&amp;ROUND(SUGERENCIAS!K459,1)&amp;" R:"&amp;ROUND(SUGERENCIAS!L459,0)&amp;" RIR:"&amp;ROUND(SUGERENCIAS!M459,0),IF(SUGERENCIAS!N459="SUBIR_E","^ SUBIR (Est.) | Kg:"&amp;ROUND(SUGERENCIAS!K459,1)&amp;" R:"&amp;ROUND(SUGERENCIAS!L459,0)&amp;" RIR:"&amp;ROUND(SUGERENCIAS!M459,0),IF(SUGERENCIAS!N459="SUBIR","^ SUBIR | Kg:"&amp;ROUND(SUGERENCIAS!K459,1)&amp;" R:"&amp;ROUND(SUGERENCIAS!L459,0)&amp;" RIR:"&amp;ROUND(SUGERENCIAS!M459,0),IF(SUGERENCIAS!N459="BAJAR","v BAJAR | Kg:"&amp;ROUND(SUGERENCIAS!K459,1)&amp;" R:"&amp;ROUND(SUGERENCIAS!L459,0)&amp;" RIR:"&amp;ROUND(SUGERENCIAS!M459,0),"= MANT | Kg:"&amp;ROUND(SUGERENCIAS!K459,1)&amp;" R:"&amp;ROUND(SUGERENCIAS!L459,0)&amp;" RIR:"&amp;ROUND(SUGERENCIAS!M459,0))))))</f>
        <v>Sin datos anteriores</v>
      </c>
      <c r="W164" s="69">
        <f>MAX(IF((G164&gt;0)*(IF(H164="",-1,H164)&gt;=1)*(IF(H164="",-1,H164)&lt;=3),IF(C164="peso_corporal",IF(ISNUMBER(E164),E164,0)+F164,F164)*G164*1000+F164,0),IF((J164&gt;0)*(IF(K164="",-1,K164)&gt;=1)*(IF(K164="",-1,K164)&lt;=3),IF(C164="peso_corporal",IF(ISNUMBER(E164),E164,0)+I164,I164)*J164*1000+I164,0),IF((M164&gt;0)*(IF(N164="",-1,N164)&gt;=1)*(IF(N164="",-1,N164)&lt;=3),IF(C164="peso_corporal",IF(ISNUMBER(E164),E164,0)+L164,L164)*M164*1000+L164,0),IF((P164&gt;0)*(IF(Q164="",-1,Q164)&gt;=1)*(IF(Q164="",-1,Q164)&lt;=3),IF(C164="peso_corporal",IF(ISNUMBER(E164),E164,0)+O164,O164)*P164*1000+O164,0),IF((S164&gt;0)*(IF(T164="",-1,T164)&gt;=1)*(IF(T164="",-1,T164)&lt;=3),IF(C164="peso_corporal",IF(ISNUMBER(E164),E164,0)+R164,R164)*S164*1000+R164,0))</f>
        <v>0</v>
      </c>
      <c r="X164" s="69">
        <f>IF(W164=0,0,IF(IF((S164&gt;0)*(IF(T164="",-1,T164)&gt;=1)*(IF(T164="",-1,T164)&lt;=3),IF(C164="peso_corporal",IF(ISNUMBER(E164),E164,0)+R164,R164)*S164*1000+R164,0)=W164,5,IF(IF((P164&gt;0)*(IF(Q164="",-1,Q164)&gt;=1)*(IF(Q164="",-1,Q164)&lt;=3),IF(C164="peso_corporal",IF(ISNUMBER(E164),E164,0)+O164,O164)*P164*1000+O164,0)=W164,4,IF(IF((M164&gt;0)*(IF(N164="",-1,N164)&gt;=1)*(IF(N164="",-1,N164)&lt;=3),IF(C164="peso_corporal",IF(ISNUMBER(E164),E164,0)+L164,L164)*M164*1000+L164,0)=W164,3,IF(IF((J164&gt;0)*(IF(K164="",-1,K164)&gt;=1)*(IF(K164="",-1,K164)&lt;=3),IF(C164="peso_corporal",IF(ISNUMBER(E164),E164,0)+I164,I164)*J164*1000+I164,0)=W164,2,IF(IF((G164&gt;0)*(IF(H164="",-1,H164)&gt;=1)*(IF(H164="",-1,H164)&lt;=3),IF(C164="peso_corporal",IF(ISNUMBER(E164),E164,0)+F164,F164)*G164*1000+F164,0)=W164,1,0))))))</f>
        <v>0</v>
      </c>
      <c r="Y164" s="69">
        <f>MAX(IF((G164&gt;0)*(IF(H164="",-1,H164)=0)*(1-(IF(H164="",-1,H164)&gt;=1)*(IF(H164="",-1,H164)&lt;=3)),IF(C164="peso_corporal",IF(ISNUMBER(E164),E164,0)+F164,F164)*G164*1000+F164,0),IF((J164&gt;0)*(IF(K164="",-1,K164)=0)*(1-(IF(K164="",-1,K164)&gt;=1)*(IF(K164="",-1,K164)&lt;=3)),IF(C164="peso_corporal",IF(ISNUMBER(E164),E164,0)+I164,I164)*J164*1000+I164,0),IF((M164&gt;0)*(IF(N164="",-1,N164)=0)*(1-(IF(N164="",-1,N164)&gt;=1)*(IF(N164="",-1,N164)&lt;=3)),IF(C164="peso_corporal",IF(ISNUMBER(E164),E164,0)+L164,L164)*M164*1000+L164,0),IF((P164&gt;0)*(IF(Q164="",-1,Q164)=0)*(1-(IF(Q164="",-1,Q164)&gt;=1)*(IF(Q164="",-1,Q164)&lt;=3)),IF(C164="peso_corporal",IF(ISNUMBER(E164),E164,0)+O164,O164)*P164*1000+O164,0),IF((S164&gt;0)*(IF(T164="",-1,T164)=0)*(1-(IF(T164="",-1,T164)&gt;=1)*(IF(T164="",-1,T164)&lt;=3)),IF(C164="peso_corporal",IF(ISNUMBER(E164),E164,0)+R164,R164)*S164*1000+R164,0))</f>
        <v>0</v>
      </c>
      <c r="Z164" s="69">
        <f>IF(Y164=0,0,IF(IF((S164&gt;0)*(IF(T164="",-1,T164)=0)*(1-(IF(T164="",-1,T164)&gt;=1)*(IF(T164="",-1,T164)&lt;=3)),IF(C164="peso_corporal",IF(ISNUMBER(E164),E164,0)+R164,R164)*S164*1000+R164,0)=Y164,5,IF(IF((P164&gt;0)*(IF(Q164="",-1,Q164)=0)*(1-(IF(Q164="",-1,Q164)&gt;=1)*(IF(Q164="",-1,Q164)&lt;=3)),IF(C164="peso_corporal",IF(ISNUMBER(E164),E164,0)+O164,O164)*P164*1000+O164,0)=Y164,4,IF(IF((M164&gt;0)*(IF(N164="",-1,N164)=0)*(1-(IF(N164="",-1,N164)&gt;=1)*(IF(N164="",-1,N164)&lt;=3)),IF(C164="peso_corporal",IF(ISNUMBER(E164),E164,0)+L164,L164)*M164*1000+L164,0)=Y164,3,IF(IF((J164&gt;0)*(IF(K164="",-1,K164)=0)*(1-(IF(K164="",-1,K164)&gt;=1)*(IF(K164="",-1,K164)&lt;=3)),IF(C164="peso_corporal",IF(ISNUMBER(E164),E164,0)+I164,I164)*J164*1000+I164,0)=Y164,2,IF(IF((G164&gt;0)*(IF(H164="",-1,H164)=0)*(1-(IF(H164="",-1,H164)&gt;=1)*(IF(H164="",-1,H164)&lt;=3)),IF(C164="peso_corporal",IF(ISNUMBER(E164),E164,0)+F164,F164)*G164*1000+F164,0)=Y164,1,0))))))</f>
        <v>0</v>
      </c>
      <c r="AA164" s="69">
        <f>MAX(IF((G164&gt;=6)*(1-(IF(H164="",-1,H164)&gt;=1)*(IF(H164="",-1,H164)&lt;=3))*(1-(IF(H164="",-1,H164)=0)),IF(C164="peso_corporal",IF(ISNUMBER(E164),E164,0)+F164,F164)*(30+G164)*100+F164,0),IF((J164&gt;=6)*(1-(IF(K164="",-1,K164)&gt;=1)*(IF(K164="",-1,K164)&lt;=3))*(1-(IF(K164="",-1,K164)=0)),IF(C164="peso_corporal",IF(ISNUMBER(E164),E164,0)+I164,I164)*(30+J164)*100+I164,0),IF((M164&gt;=6)*(1-(IF(N164="",-1,N164)&gt;=1)*(IF(N164="",-1,N164)&lt;=3))*(1-(IF(N164="",-1,N164)=0)),IF(C164="peso_corporal",IF(ISNUMBER(E164),E164,0)+L164,L164)*(30+M164)*100+L164,0),IF((P164&gt;=6)*(1-(IF(Q164="",-1,Q164)&gt;=1)*(IF(Q164="",-1,Q164)&lt;=3))*(1-(IF(Q164="",-1,Q164)=0)),IF(C164="peso_corporal",IF(ISNUMBER(E164),E164,0)+O164,O164)*(30+P164)*100+O164,0),IF((S164&gt;=6)*(1-(IF(T164="",-1,T164)&gt;=1)*(IF(T164="",-1,T164)&lt;=3))*(1-(IF(T164="",-1,T164)=0)),IF(C164="peso_corporal",IF(ISNUMBER(E164),E164,0)+R164,R164)*(30+S164)*100+R164,0))</f>
        <v>0</v>
      </c>
      <c r="AB164" s="69">
        <f>IF(AA164=0,0,IF(IF((S164&gt;=6)*(1-(IF(T164="",-1,T164)&gt;=1)*(IF(T164="",-1,T164)&lt;=3))*(1-(IF(T164="",-1,T164)=0)),IF(C164="peso_corporal",IF(ISNUMBER(E164),E164,0)+R164,R164)*(30+S164)*100+R164,0)=AA164,5,IF(IF((P164&gt;=6)*(1-(IF(Q164="",-1,Q164)&gt;=1)*(IF(Q164="",-1,Q164)&lt;=3))*(1-(IF(Q164="",-1,Q164)=0)),IF(C164="peso_corporal",IF(ISNUMBER(E164),E164,0)+O164,O164)*(30+P164)*100+O164,0)=AA164,4,IF(IF((M164&gt;=6)*(1-(IF(N164="",-1,N164)&gt;=1)*(IF(N164="",-1,N164)&lt;=3))*(1-(IF(N164="",-1,N164)=0)),IF(C164="peso_corporal",IF(ISNUMBER(E164),E164,0)+L164,L164)*(30+M164)*100+L164,0)=AA164,3,IF(IF((J164&gt;=6)*(1-(IF(K164="",-1,K164)&gt;=1)*(IF(K164="",-1,K164)&lt;=3))*(1-(IF(K164="",-1,K164)=0)),IF(C164="peso_corporal",IF(ISNUMBER(E164),E164,0)+I164,I164)*(30+J164)*100+I164,0)=AA164,2,IF(IF((G164&gt;=6)*(1-(IF(H164="",-1,H164)&gt;=1)*(IF(H164="",-1,H164)&lt;=3))*(1-(IF(H164="",-1,H164)=0)),IF(C164="peso_corporal",IF(ISNUMBER(E164),E164,0)+F164,F164)*(30+G164)*100+F164,0)=AA164,1,0))))))</f>
        <v>0</v>
      </c>
      <c r="AC164" s="69" t="str">
        <f>IF(X164&gt;0,"A"&amp;X164,IF(Z164&gt;0,"B"&amp;Z164,IF(AB164&gt;0,"C"&amp;AB164,"")))</f>
        <v/>
      </c>
    </row>
    <row r="165" spans="1:29" ht="15" customHeight="1">
      <c r="A165" s="81" t="s">
        <v>53</v>
      </c>
      <c r="B165" s="73"/>
      <c r="C165" s="73"/>
      <c r="D165" s="73"/>
      <c r="E165" s="73"/>
      <c r="F165" s="73"/>
      <c r="G165" s="73"/>
      <c r="H165" s="73"/>
      <c r="I165" s="73"/>
      <c r="J165" s="73"/>
      <c r="K165" s="73"/>
      <c r="L165" s="73"/>
      <c r="M165" s="73"/>
      <c r="N165" s="73"/>
      <c r="O165" s="73"/>
      <c r="P165" s="73"/>
      <c r="Q165" s="73"/>
      <c r="R165" s="73"/>
      <c r="S165" s="73"/>
      <c r="T165" s="73"/>
      <c r="U165" s="73"/>
      <c r="V165" s="73"/>
      <c r="W165" s="69"/>
      <c r="X165" s="69"/>
      <c r="Y165" s="69"/>
      <c r="Z165" s="69"/>
      <c r="AA165" s="69"/>
      <c r="AB165" s="69"/>
      <c r="AC165" s="69"/>
    </row>
    <row r="166" spans="1:29" ht="20.100000000000001" customHeight="1">
      <c r="A166" s="14" t="s">
        <v>54</v>
      </c>
      <c r="B166" s="15" t="s">
        <v>67</v>
      </c>
      <c r="C166" s="16" t="str">
        <f>IFERROR(INDEX(EJERCICIOS!$D$3:$D$75,MATCH(A166&amp;"|"&amp;B166,EJERCICIOS!$G$3:$G$75,0)),"--")</f>
        <v>mancuerna</v>
      </c>
      <c r="D166" s="17">
        <v>3</v>
      </c>
      <c r="E166" s="18">
        <f>IFERROR(LOOKUP(2,1/(MEDIDAS_Y_PESO!$B$3:$B$10&lt;&gt;""),MEDIDAS_Y_PESO!$B$3:$B$10),"--")</f>
        <v>80</v>
      </c>
      <c r="F166" s="19"/>
      <c r="G166" s="20"/>
      <c r="H166" s="21"/>
      <c r="I166" s="19"/>
      <c r="J166" s="20"/>
      <c r="K166" s="21"/>
      <c r="L166" s="19"/>
      <c r="M166" s="20"/>
      <c r="N166" s="21"/>
      <c r="O166" s="19"/>
      <c r="P166" s="20"/>
      <c r="Q166" s="21"/>
      <c r="R166" s="19"/>
      <c r="S166" s="20"/>
      <c r="T166" s="21"/>
      <c r="U166" s="22" t="str">
        <f>IFERROR(IF(IF(X166&gt;0,X166,IF(Z166&gt;0,Z166,IF(AB166&gt;0,AB166,0)))=0,"--",ROUND(CHOOSE(IF(X166&gt;0,X166,IF(Z166&gt;0,Z166,IF(AB166&gt;0,AB166,0))),IF(C166="peso_corporal",IF(ISNUMBER(E166),E166,0)+F166,F166)*(1+G166/30),IF(C166="peso_corporal",IF(ISNUMBER(E166),E166,0)+I166,I166)*(1+J166/30),IF(C166="peso_corporal",IF(ISNUMBER(E166),E166,0)+L166,L166)*(1+M166/30),IF(C166="peso_corporal",IF(ISNUMBER(E166),E166,0)+O166,O166)*(1+P166/30),IF(C166="peso_corporal",IF(ISNUMBER(E166),E166,0)+R166,R166)*(1+S166/30)),1)),"--")</f>
        <v>--</v>
      </c>
      <c r="V166" s="23" t="str">
        <f>IF(SUGERENCIAS!N460="SIN","Sin datos anteriores",IF(SUGERENCIAS!N460="SUBIR_F","^ SUBIR FUERTE | Kg:"&amp;ROUND(SUGERENCIAS!K460,1)&amp;" R:"&amp;ROUND(SUGERENCIAS!L460,0)&amp;" RIR:"&amp;ROUND(SUGERENCIAS!M460,0),IF(SUGERENCIAS!N460="SUBIR_E","^ SUBIR (Est.) | Kg:"&amp;ROUND(SUGERENCIAS!K460,1)&amp;" R:"&amp;ROUND(SUGERENCIAS!L460,0)&amp;" RIR:"&amp;ROUND(SUGERENCIAS!M460,0),IF(SUGERENCIAS!N460="SUBIR","^ SUBIR | Kg:"&amp;ROUND(SUGERENCIAS!K460,1)&amp;" R:"&amp;ROUND(SUGERENCIAS!L460,0)&amp;" RIR:"&amp;ROUND(SUGERENCIAS!M460,0),IF(SUGERENCIAS!N460="BAJAR","v BAJAR | Kg:"&amp;ROUND(SUGERENCIAS!K460,1)&amp;" R:"&amp;ROUND(SUGERENCIAS!L460,0)&amp;" RIR:"&amp;ROUND(SUGERENCIAS!M460,0),"= MANT | Kg:"&amp;ROUND(SUGERENCIAS!K460,1)&amp;" R:"&amp;ROUND(SUGERENCIAS!L460,0)&amp;" RIR:"&amp;ROUND(SUGERENCIAS!M460,0))))))</f>
        <v>Sin datos anteriores</v>
      </c>
      <c r="W166" s="69">
        <f>MAX(IF((G166&gt;0)*(IF(H166="",-1,H166)&gt;=1)*(IF(H166="",-1,H166)&lt;=3),IF(C166="peso_corporal",IF(ISNUMBER(E166),E166,0)+F166,F166)*G166*1000+F166,0),IF((J166&gt;0)*(IF(K166="",-1,K166)&gt;=1)*(IF(K166="",-1,K166)&lt;=3),IF(C166="peso_corporal",IF(ISNUMBER(E166),E166,0)+I166,I166)*J166*1000+I166,0),IF((M166&gt;0)*(IF(N166="",-1,N166)&gt;=1)*(IF(N166="",-1,N166)&lt;=3),IF(C166="peso_corporal",IF(ISNUMBER(E166),E166,0)+L166,L166)*M166*1000+L166,0),IF((P166&gt;0)*(IF(Q166="",-1,Q166)&gt;=1)*(IF(Q166="",-1,Q166)&lt;=3),IF(C166="peso_corporal",IF(ISNUMBER(E166),E166,0)+O166,O166)*P166*1000+O166,0),IF((S166&gt;0)*(IF(T166="",-1,T166)&gt;=1)*(IF(T166="",-1,T166)&lt;=3),IF(C166="peso_corporal",IF(ISNUMBER(E166),E166,0)+R166,R166)*S166*1000+R166,0))</f>
        <v>0</v>
      </c>
      <c r="X166" s="69">
        <f>IF(W166=0,0,IF(IF((S166&gt;0)*(IF(T166="",-1,T166)&gt;=1)*(IF(T166="",-1,T166)&lt;=3),IF(C166="peso_corporal",IF(ISNUMBER(E166),E166,0)+R166,R166)*S166*1000+R166,0)=W166,5,IF(IF((P166&gt;0)*(IF(Q166="",-1,Q166)&gt;=1)*(IF(Q166="",-1,Q166)&lt;=3),IF(C166="peso_corporal",IF(ISNUMBER(E166),E166,0)+O166,O166)*P166*1000+O166,0)=W166,4,IF(IF((M166&gt;0)*(IF(N166="",-1,N166)&gt;=1)*(IF(N166="",-1,N166)&lt;=3),IF(C166="peso_corporal",IF(ISNUMBER(E166),E166,0)+L166,L166)*M166*1000+L166,0)=W166,3,IF(IF((J166&gt;0)*(IF(K166="",-1,K166)&gt;=1)*(IF(K166="",-1,K166)&lt;=3),IF(C166="peso_corporal",IF(ISNUMBER(E166),E166,0)+I166,I166)*J166*1000+I166,0)=W166,2,IF(IF((G166&gt;0)*(IF(H166="",-1,H166)&gt;=1)*(IF(H166="",-1,H166)&lt;=3),IF(C166="peso_corporal",IF(ISNUMBER(E166),E166,0)+F166,F166)*G166*1000+F166,0)=W166,1,0))))))</f>
        <v>0</v>
      </c>
      <c r="Y166" s="69">
        <f>MAX(IF((G166&gt;0)*(IF(H166="",-1,H166)=0)*(1-(IF(H166="",-1,H166)&gt;=1)*(IF(H166="",-1,H166)&lt;=3)),IF(C166="peso_corporal",IF(ISNUMBER(E166),E166,0)+F166,F166)*G166*1000+F166,0),IF((J166&gt;0)*(IF(K166="",-1,K166)=0)*(1-(IF(K166="",-1,K166)&gt;=1)*(IF(K166="",-1,K166)&lt;=3)),IF(C166="peso_corporal",IF(ISNUMBER(E166),E166,0)+I166,I166)*J166*1000+I166,0),IF((M166&gt;0)*(IF(N166="",-1,N166)=0)*(1-(IF(N166="",-1,N166)&gt;=1)*(IF(N166="",-1,N166)&lt;=3)),IF(C166="peso_corporal",IF(ISNUMBER(E166),E166,0)+L166,L166)*M166*1000+L166,0),IF((P166&gt;0)*(IF(Q166="",-1,Q166)=0)*(1-(IF(Q166="",-1,Q166)&gt;=1)*(IF(Q166="",-1,Q166)&lt;=3)),IF(C166="peso_corporal",IF(ISNUMBER(E166),E166,0)+O166,O166)*P166*1000+O166,0),IF((S166&gt;0)*(IF(T166="",-1,T166)=0)*(1-(IF(T166="",-1,T166)&gt;=1)*(IF(T166="",-1,T166)&lt;=3)),IF(C166="peso_corporal",IF(ISNUMBER(E166),E166,0)+R166,R166)*S166*1000+R166,0))</f>
        <v>0</v>
      </c>
      <c r="Z166" s="69">
        <f>IF(Y166=0,0,IF(IF((S166&gt;0)*(IF(T166="",-1,T166)=0)*(1-(IF(T166="",-1,T166)&gt;=1)*(IF(T166="",-1,T166)&lt;=3)),IF(C166="peso_corporal",IF(ISNUMBER(E166),E166,0)+R166,R166)*S166*1000+R166,0)=Y166,5,IF(IF((P166&gt;0)*(IF(Q166="",-1,Q166)=0)*(1-(IF(Q166="",-1,Q166)&gt;=1)*(IF(Q166="",-1,Q166)&lt;=3)),IF(C166="peso_corporal",IF(ISNUMBER(E166),E166,0)+O166,O166)*P166*1000+O166,0)=Y166,4,IF(IF((M166&gt;0)*(IF(N166="",-1,N166)=0)*(1-(IF(N166="",-1,N166)&gt;=1)*(IF(N166="",-1,N166)&lt;=3)),IF(C166="peso_corporal",IF(ISNUMBER(E166),E166,0)+L166,L166)*M166*1000+L166,0)=Y166,3,IF(IF((J166&gt;0)*(IF(K166="",-1,K166)=0)*(1-(IF(K166="",-1,K166)&gt;=1)*(IF(K166="",-1,K166)&lt;=3)),IF(C166="peso_corporal",IF(ISNUMBER(E166),E166,0)+I166,I166)*J166*1000+I166,0)=Y166,2,IF(IF((G166&gt;0)*(IF(H166="",-1,H166)=0)*(1-(IF(H166="",-1,H166)&gt;=1)*(IF(H166="",-1,H166)&lt;=3)),IF(C166="peso_corporal",IF(ISNUMBER(E166),E166,0)+F166,F166)*G166*1000+F166,0)=Y166,1,0))))))</f>
        <v>0</v>
      </c>
      <c r="AA166" s="69">
        <f>MAX(IF((G166&gt;=6)*(1-(IF(H166="",-1,H166)&gt;=1)*(IF(H166="",-1,H166)&lt;=3))*(1-(IF(H166="",-1,H166)=0)),IF(C166="peso_corporal",IF(ISNUMBER(E166),E166,0)+F166,F166)*(30+G166)*100+F166,0),IF((J166&gt;=6)*(1-(IF(K166="",-1,K166)&gt;=1)*(IF(K166="",-1,K166)&lt;=3))*(1-(IF(K166="",-1,K166)=0)),IF(C166="peso_corporal",IF(ISNUMBER(E166),E166,0)+I166,I166)*(30+J166)*100+I166,0),IF((M166&gt;=6)*(1-(IF(N166="",-1,N166)&gt;=1)*(IF(N166="",-1,N166)&lt;=3))*(1-(IF(N166="",-1,N166)=0)),IF(C166="peso_corporal",IF(ISNUMBER(E166),E166,0)+L166,L166)*(30+M166)*100+L166,0),IF((P166&gt;=6)*(1-(IF(Q166="",-1,Q166)&gt;=1)*(IF(Q166="",-1,Q166)&lt;=3))*(1-(IF(Q166="",-1,Q166)=0)),IF(C166="peso_corporal",IF(ISNUMBER(E166),E166,0)+O166,O166)*(30+P166)*100+O166,0),IF((S166&gt;=6)*(1-(IF(T166="",-1,T166)&gt;=1)*(IF(T166="",-1,T166)&lt;=3))*(1-(IF(T166="",-1,T166)=0)),IF(C166="peso_corporal",IF(ISNUMBER(E166),E166,0)+R166,R166)*(30+S166)*100+R166,0))</f>
        <v>0</v>
      </c>
      <c r="AB166" s="69">
        <f>IF(AA166=0,0,IF(IF((S166&gt;=6)*(1-(IF(T166="",-1,T166)&gt;=1)*(IF(T166="",-1,T166)&lt;=3))*(1-(IF(T166="",-1,T166)=0)),IF(C166="peso_corporal",IF(ISNUMBER(E166),E166,0)+R166,R166)*(30+S166)*100+R166,0)=AA166,5,IF(IF((P166&gt;=6)*(1-(IF(Q166="",-1,Q166)&gt;=1)*(IF(Q166="",-1,Q166)&lt;=3))*(1-(IF(Q166="",-1,Q166)=0)),IF(C166="peso_corporal",IF(ISNUMBER(E166),E166,0)+O166,O166)*(30+P166)*100+O166,0)=AA166,4,IF(IF((M166&gt;=6)*(1-(IF(N166="",-1,N166)&gt;=1)*(IF(N166="",-1,N166)&lt;=3))*(1-(IF(N166="",-1,N166)=0)),IF(C166="peso_corporal",IF(ISNUMBER(E166),E166,0)+L166,L166)*(30+M166)*100+L166,0)=AA166,3,IF(IF((J166&gt;=6)*(1-(IF(K166="",-1,K166)&gt;=1)*(IF(K166="",-1,K166)&lt;=3))*(1-(IF(K166="",-1,K166)=0)),IF(C166="peso_corporal",IF(ISNUMBER(E166),E166,0)+I166,I166)*(30+J166)*100+I166,0)=AA166,2,IF(IF((G166&gt;=6)*(1-(IF(H166="",-1,H166)&gt;=1)*(IF(H166="",-1,H166)&lt;=3))*(1-(IF(H166="",-1,H166)=0)),IF(C166="peso_corporal",IF(ISNUMBER(E166),E166,0)+F166,F166)*(30+G166)*100+F166,0)=AA166,1,0))))))</f>
        <v>0</v>
      </c>
      <c r="AC166" s="69" t="str">
        <f>IF(X166&gt;0,"A"&amp;X166,IF(Z166&gt;0,"B"&amp;Z166,IF(AB166&gt;0,"C"&amp;AB166,"")))</f>
        <v/>
      </c>
    </row>
    <row r="167" spans="1:29" ht="20.100000000000001" customHeight="1">
      <c r="A167" s="14" t="s">
        <v>54</v>
      </c>
      <c r="B167" s="15" t="s">
        <v>98</v>
      </c>
      <c r="C167" s="16" t="str">
        <f>IFERROR(INDEX(EJERCICIOS!$D$3:$D$75,MATCH(A167&amp;"|"&amp;B167,EJERCICIOS!$G$3:$G$75,0)),"--")</f>
        <v>polea</v>
      </c>
      <c r="D167" s="17">
        <v>3</v>
      </c>
      <c r="E167" s="18">
        <f>IFERROR(LOOKUP(2,1/(MEDIDAS_Y_PESO!$B$3:$B$10&lt;&gt;""),MEDIDAS_Y_PESO!$B$3:$B$10),"--")</f>
        <v>80</v>
      </c>
      <c r="F167" s="19"/>
      <c r="G167" s="20"/>
      <c r="H167" s="21"/>
      <c r="I167" s="19"/>
      <c r="J167" s="20"/>
      <c r="K167" s="21"/>
      <c r="L167" s="19"/>
      <c r="M167" s="20"/>
      <c r="N167" s="21"/>
      <c r="O167" s="19"/>
      <c r="P167" s="20"/>
      <c r="Q167" s="21"/>
      <c r="R167" s="19"/>
      <c r="S167" s="20"/>
      <c r="T167" s="21"/>
      <c r="U167" s="22" t="str">
        <f>IFERROR(IF(IF(X167&gt;0,X167,IF(Z167&gt;0,Z167,IF(AB167&gt;0,AB167,0)))=0,"--",ROUND(CHOOSE(IF(X167&gt;0,X167,IF(Z167&gt;0,Z167,IF(AB167&gt;0,AB167,0))),IF(C167="peso_corporal",IF(ISNUMBER(E167),E167,0)+F167,F167)*(1+G167/30),IF(C167="peso_corporal",IF(ISNUMBER(E167),E167,0)+I167,I167)*(1+J167/30),IF(C167="peso_corporal",IF(ISNUMBER(E167),E167,0)+L167,L167)*(1+M167/30),IF(C167="peso_corporal",IF(ISNUMBER(E167),E167,0)+O167,O167)*(1+P167/30),IF(C167="peso_corporal",IF(ISNUMBER(E167),E167,0)+R167,R167)*(1+S167/30)),1)),"--")</f>
        <v>--</v>
      </c>
      <c r="V167" s="23" t="str">
        <f>IF(SUGERENCIAS!N461="SIN","Sin datos anteriores",IF(SUGERENCIAS!N461="SUBIR_F","^ SUBIR FUERTE | Kg:"&amp;ROUND(SUGERENCIAS!K461,1)&amp;" R:"&amp;ROUND(SUGERENCIAS!L461,0)&amp;" RIR:"&amp;ROUND(SUGERENCIAS!M461,0),IF(SUGERENCIAS!N461="SUBIR_E","^ SUBIR (Est.) | Kg:"&amp;ROUND(SUGERENCIAS!K461,1)&amp;" R:"&amp;ROUND(SUGERENCIAS!L461,0)&amp;" RIR:"&amp;ROUND(SUGERENCIAS!M461,0),IF(SUGERENCIAS!N461="SUBIR","^ SUBIR | Kg:"&amp;ROUND(SUGERENCIAS!K461,1)&amp;" R:"&amp;ROUND(SUGERENCIAS!L461,0)&amp;" RIR:"&amp;ROUND(SUGERENCIAS!M461,0),IF(SUGERENCIAS!N461="BAJAR","v BAJAR | Kg:"&amp;ROUND(SUGERENCIAS!K461,1)&amp;" R:"&amp;ROUND(SUGERENCIAS!L461,0)&amp;" RIR:"&amp;ROUND(SUGERENCIAS!M461,0),"= MANT | Kg:"&amp;ROUND(SUGERENCIAS!K461,1)&amp;" R:"&amp;ROUND(SUGERENCIAS!L461,0)&amp;" RIR:"&amp;ROUND(SUGERENCIAS!M461,0))))))</f>
        <v>Sin datos anteriores</v>
      </c>
      <c r="W167" s="69">
        <f>MAX(IF((G167&gt;0)*(IF(H167="",-1,H167)&gt;=1)*(IF(H167="",-1,H167)&lt;=3),IF(C167="peso_corporal",IF(ISNUMBER(E167),E167,0)+F167,F167)*G167*1000+F167,0),IF((J167&gt;0)*(IF(K167="",-1,K167)&gt;=1)*(IF(K167="",-1,K167)&lt;=3),IF(C167="peso_corporal",IF(ISNUMBER(E167),E167,0)+I167,I167)*J167*1000+I167,0),IF((M167&gt;0)*(IF(N167="",-1,N167)&gt;=1)*(IF(N167="",-1,N167)&lt;=3),IF(C167="peso_corporal",IF(ISNUMBER(E167),E167,0)+L167,L167)*M167*1000+L167,0),IF((P167&gt;0)*(IF(Q167="",-1,Q167)&gt;=1)*(IF(Q167="",-1,Q167)&lt;=3),IF(C167="peso_corporal",IF(ISNUMBER(E167),E167,0)+O167,O167)*P167*1000+O167,0),IF((S167&gt;0)*(IF(T167="",-1,T167)&gt;=1)*(IF(T167="",-1,T167)&lt;=3),IF(C167="peso_corporal",IF(ISNUMBER(E167),E167,0)+R167,R167)*S167*1000+R167,0))</f>
        <v>0</v>
      </c>
      <c r="X167" s="69">
        <f>IF(W167=0,0,IF(IF((S167&gt;0)*(IF(T167="",-1,T167)&gt;=1)*(IF(T167="",-1,T167)&lt;=3),IF(C167="peso_corporal",IF(ISNUMBER(E167),E167,0)+R167,R167)*S167*1000+R167,0)=W167,5,IF(IF((P167&gt;0)*(IF(Q167="",-1,Q167)&gt;=1)*(IF(Q167="",-1,Q167)&lt;=3),IF(C167="peso_corporal",IF(ISNUMBER(E167),E167,0)+O167,O167)*P167*1000+O167,0)=W167,4,IF(IF((M167&gt;0)*(IF(N167="",-1,N167)&gt;=1)*(IF(N167="",-1,N167)&lt;=3),IF(C167="peso_corporal",IF(ISNUMBER(E167),E167,0)+L167,L167)*M167*1000+L167,0)=W167,3,IF(IF((J167&gt;0)*(IF(K167="",-1,K167)&gt;=1)*(IF(K167="",-1,K167)&lt;=3),IF(C167="peso_corporal",IF(ISNUMBER(E167),E167,0)+I167,I167)*J167*1000+I167,0)=W167,2,IF(IF((G167&gt;0)*(IF(H167="",-1,H167)&gt;=1)*(IF(H167="",-1,H167)&lt;=3),IF(C167="peso_corporal",IF(ISNUMBER(E167),E167,0)+F167,F167)*G167*1000+F167,0)=W167,1,0))))))</f>
        <v>0</v>
      </c>
      <c r="Y167" s="69">
        <f>MAX(IF((G167&gt;0)*(IF(H167="",-1,H167)=0)*(1-(IF(H167="",-1,H167)&gt;=1)*(IF(H167="",-1,H167)&lt;=3)),IF(C167="peso_corporal",IF(ISNUMBER(E167),E167,0)+F167,F167)*G167*1000+F167,0),IF((J167&gt;0)*(IF(K167="",-1,K167)=0)*(1-(IF(K167="",-1,K167)&gt;=1)*(IF(K167="",-1,K167)&lt;=3)),IF(C167="peso_corporal",IF(ISNUMBER(E167),E167,0)+I167,I167)*J167*1000+I167,0),IF((M167&gt;0)*(IF(N167="",-1,N167)=0)*(1-(IF(N167="",-1,N167)&gt;=1)*(IF(N167="",-1,N167)&lt;=3)),IF(C167="peso_corporal",IF(ISNUMBER(E167),E167,0)+L167,L167)*M167*1000+L167,0),IF((P167&gt;0)*(IF(Q167="",-1,Q167)=0)*(1-(IF(Q167="",-1,Q167)&gt;=1)*(IF(Q167="",-1,Q167)&lt;=3)),IF(C167="peso_corporal",IF(ISNUMBER(E167),E167,0)+O167,O167)*P167*1000+O167,0),IF((S167&gt;0)*(IF(T167="",-1,T167)=0)*(1-(IF(T167="",-1,T167)&gt;=1)*(IF(T167="",-1,T167)&lt;=3)),IF(C167="peso_corporal",IF(ISNUMBER(E167),E167,0)+R167,R167)*S167*1000+R167,0))</f>
        <v>0</v>
      </c>
      <c r="Z167" s="69">
        <f>IF(Y167=0,0,IF(IF((S167&gt;0)*(IF(T167="",-1,T167)=0)*(1-(IF(T167="",-1,T167)&gt;=1)*(IF(T167="",-1,T167)&lt;=3)),IF(C167="peso_corporal",IF(ISNUMBER(E167),E167,0)+R167,R167)*S167*1000+R167,0)=Y167,5,IF(IF((P167&gt;0)*(IF(Q167="",-1,Q167)=0)*(1-(IF(Q167="",-1,Q167)&gt;=1)*(IF(Q167="",-1,Q167)&lt;=3)),IF(C167="peso_corporal",IF(ISNUMBER(E167),E167,0)+O167,O167)*P167*1000+O167,0)=Y167,4,IF(IF((M167&gt;0)*(IF(N167="",-1,N167)=0)*(1-(IF(N167="",-1,N167)&gt;=1)*(IF(N167="",-1,N167)&lt;=3)),IF(C167="peso_corporal",IF(ISNUMBER(E167),E167,0)+L167,L167)*M167*1000+L167,0)=Y167,3,IF(IF((J167&gt;0)*(IF(K167="",-1,K167)=0)*(1-(IF(K167="",-1,K167)&gt;=1)*(IF(K167="",-1,K167)&lt;=3)),IF(C167="peso_corporal",IF(ISNUMBER(E167),E167,0)+I167,I167)*J167*1000+I167,0)=Y167,2,IF(IF((G167&gt;0)*(IF(H167="",-1,H167)=0)*(1-(IF(H167="",-1,H167)&gt;=1)*(IF(H167="",-1,H167)&lt;=3)),IF(C167="peso_corporal",IF(ISNUMBER(E167),E167,0)+F167,F167)*G167*1000+F167,0)=Y167,1,0))))))</f>
        <v>0</v>
      </c>
      <c r="AA167" s="69">
        <f>MAX(IF((G167&gt;=6)*(1-(IF(H167="",-1,H167)&gt;=1)*(IF(H167="",-1,H167)&lt;=3))*(1-(IF(H167="",-1,H167)=0)),IF(C167="peso_corporal",IF(ISNUMBER(E167),E167,0)+F167,F167)*(30+G167)*100+F167,0),IF((J167&gt;=6)*(1-(IF(K167="",-1,K167)&gt;=1)*(IF(K167="",-1,K167)&lt;=3))*(1-(IF(K167="",-1,K167)=0)),IF(C167="peso_corporal",IF(ISNUMBER(E167),E167,0)+I167,I167)*(30+J167)*100+I167,0),IF((M167&gt;=6)*(1-(IF(N167="",-1,N167)&gt;=1)*(IF(N167="",-1,N167)&lt;=3))*(1-(IF(N167="",-1,N167)=0)),IF(C167="peso_corporal",IF(ISNUMBER(E167),E167,0)+L167,L167)*(30+M167)*100+L167,0),IF((P167&gt;=6)*(1-(IF(Q167="",-1,Q167)&gt;=1)*(IF(Q167="",-1,Q167)&lt;=3))*(1-(IF(Q167="",-1,Q167)=0)),IF(C167="peso_corporal",IF(ISNUMBER(E167),E167,0)+O167,O167)*(30+P167)*100+O167,0),IF((S167&gt;=6)*(1-(IF(T167="",-1,T167)&gt;=1)*(IF(T167="",-1,T167)&lt;=3))*(1-(IF(T167="",-1,T167)=0)),IF(C167="peso_corporal",IF(ISNUMBER(E167),E167,0)+R167,R167)*(30+S167)*100+R167,0))</f>
        <v>0</v>
      </c>
      <c r="AB167" s="69">
        <f>IF(AA167=0,0,IF(IF((S167&gt;=6)*(1-(IF(T167="",-1,T167)&gt;=1)*(IF(T167="",-1,T167)&lt;=3))*(1-(IF(T167="",-1,T167)=0)),IF(C167="peso_corporal",IF(ISNUMBER(E167),E167,0)+R167,R167)*(30+S167)*100+R167,0)=AA167,5,IF(IF((P167&gt;=6)*(1-(IF(Q167="",-1,Q167)&gt;=1)*(IF(Q167="",-1,Q167)&lt;=3))*(1-(IF(Q167="",-1,Q167)=0)),IF(C167="peso_corporal",IF(ISNUMBER(E167),E167,0)+O167,O167)*(30+P167)*100+O167,0)=AA167,4,IF(IF((M167&gt;=6)*(1-(IF(N167="",-1,N167)&gt;=1)*(IF(N167="",-1,N167)&lt;=3))*(1-(IF(N167="",-1,N167)=0)),IF(C167="peso_corporal",IF(ISNUMBER(E167),E167,0)+L167,L167)*(30+M167)*100+L167,0)=AA167,3,IF(IF((J167&gt;=6)*(1-(IF(K167="",-1,K167)&gt;=1)*(IF(K167="",-1,K167)&lt;=3))*(1-(IF(K167="",-1,K167)=0)),IF(C167="peso_corporal",IF(ISNUMBER(E167),E167,0)+I167,I167)*(30+J167)*100+I167,0)=AA167,2,IF(IF((G167&gt;=6)*(1-(IF(H167="",-1,H167)&gt;=1)*(IF(H167="",-1,H167)&lt;=3))*(1-(IF(H167="",-1,H167)=0)),IF(C167="peso_corporal",IF(ISNUMBER(E167),E167,0)+F167,F167)*(30+G167)*100+F167,0)=AA167,1,0))))))</f>
        <v>0</v>
      </c>
      <c r="AC167" s="69" t="str">
        <f>IF(X167&gt;0,"A"&amp;X167,IF(Z167&gt;0,"B"&amp;Z167,IF(AB167&gt;0,"C"&amp;AB167,"")))</f>
        <v/>
      </c>
    </row>
    <row r="168" spans="1:29" ht="15" customHeight="1">
      <c r="A168" s="83" t="s">
        <v>99</v>
      </c>
      <c r="B168" s="73"/>
      <c r="C168" s="73"/>
      <c r="D168" s="73"/>
      <c r="E168" s="73"/>
      <c r="F168" s="73"/>
      <c r="G168" s="73"/>
      <c r="H168" s="73"/>
      <c r="I168" s="73"/>
      <c r="J168" s="73"/>
      <c r="K168" s="73"/>
      <c r="L168" s="73"/>
      <c r="M168" s="73"/>
      <c r="N168" s="73"/>
      <c r="O168" s="73"/>
      <c r="P168" s="73"/>
      <c r="Q168" s="73"/>
      <c r="R168" s="73"/>
      <c r="S168" s="73"/>
      <c r="T168" s="73"/>
      <c r="U168" s="73"/>
      <c r="V168" s="73"/>
      <c r="W168" s="69"/>
      <c r="X168" s="69"/>
      <c r="Y168" s="69"/>
      <c r="Z168" s="69"/>
      <c r="AA168" s="69"/>
      <c r="AB168" s="69"/>
      <c r="AC168" s="69"/>
    </row>
    <row r="169" spans="1:29" ht="20.100000000000001" customHeight="1">
      <c r="A169" s="14" t="s">
        <v>100</v>
      </c>
      <c r="B169" s="15" t="s">
        <v>101</v>
      </c>
      <c r="C169" s="16" t="str">
        <f>IFERROR(INDEX(EJERCICIOS!$D$3:$D$75,MATCH(A169&amp;"|"&amp;B169,EJERCICIOS!$G$3:$G$75,0)),"--")</f>
        <v>mancuerna</v>
      </c>
      <c r="D169" s="17">
        <v>3</v>
      </c>
      <c r="E169" s="18">
        <f>IFERROR(LOOKUP(2,1/(MEDIDAS_Y_PESO!$B$3:$B$10&lt;&gt;""),MEDIDAS_Y_PESO!$B$3:$B$10),"--")</f>
        <v>80</v>
      </c>
      <c r="F169" s="19"/>
      <c r="G169" s="20"/>
      <c r="H169" s="21"/>
      <c r="I169" s="19"/>
      <c r="J169" s="20"/>
      <c r="K169" s="21"/>
      <c r="L169" s="19"/>
      <c r="M169" s="20"/>
      <c r="N169" s="21"/>
      <c r="O169" s="19"/>
      <c r="P169" s="20"/>
      <c r="Q169" s="21"/>
      <c r="R169" s="19"/>
      <c r="S169" s="20"/>
      <c r="T169" s="21"/>
      <c r="U169" s="22" t="str">
        <f>IFERROR(IF(IF(X169&gt;0,X169,IF(Z169&gt;0,Z169,IF(AB169&gt;0,AB169,0)))=0,"--",ROUND(CHOOSE(IF(X169&gt;0,X169,IF(Z169&gt;0,Z169,IF(AB169&gt;0,AB169,0))),IF(C169="peso_corporal",IF(ISNUMBER(E169),E169,0)+F169,F169)*(1+G169/30),IF(C169="peso_corporal",IF(ISNUMBER(E169),E169,0)+I169,I169)*(1+J169/30),IF(C169="peso_corporal",IF(ISNUMBER(E169),E169,0)+L169,L169)*(1+M169/30),IF(C169="peso_corporal",IF(ISNUMBER(E169),E169,0)+O169,O169)*(1+P169/30),IF(C169="peso_corporal",IF(ISNUMBER(E169),E169,0)+R169,R169)*(1+S169/30)),1)),"--")</f>
        <v>--</v>
      </c>
      <c r="V169" s="23" t="str">
        <f>IF(SUGERENCIAS!N462="SIN","Sin datos anteriores",IF(SUGERENCIAS!N462="SUBIR_F","^ SUBIR FUERTE | Kg:"&amp;ROUND(SUGERENCIAS!K462,1)&amp;" R:"&amp;ROUND(SUGERENCIAS!L462,0)&amp;" RIR:"&amp;ROUND(SUGERENCIAS!M462,0),IF(SUGERENCIAS!N462="SUBIR_E","^ SUBIR (Est.) | Kg:"&amp;ROUND(SUGERENCIAS!K462,1)&amp;" R:"&amp;ROUND(SUGERENCIAS!L462,0)&amp;" RIR:"&amp;ROUND(SUGERENCIAS!M462,0),IF(SUGERENCIAS!N462="SUBIR","^ SUBIR | Kg:"&amp;ROUND(SUGERENCIAS!K462,1)&amp;" R:"&amp;ROUND(SUGERENCIAS!L462,0)&amp;" RIR:"&amp;ROUND(SUGERENCIAS!M462,0),IF(SUGERENCIAS!N462="BAJAR","v BAJAR | Kg:"&amp;ROUND(SUGERENCIAS!K462,1)&amp;" R:"&amp;ROUND(SUGERENCIAS!L462,0)&amp;" RIR:"&amp;ROUND(SUGERENCIAS!M462,0),"= MANT | Kg:"&amp;ROUND(SUGERENCIAS!K462,1)&amp;" R:"&amp;ROUND(SUGERENCIAS!L462,0)&amp;" RIR:"&amp;ROUND(SUGERENCIAS!M462,0))))))</f>
        <v>Sin datos anteriores</v>
      </c>
      <c r="W169" s="69">
        <f>MAX(IF((G169&gt;0)*(IF(H169="",-1,H169)&gt;=1)*(IF(H169="",-1,H169)&lt;=3),IF(C169="peso_corporal",IF(ISNUMBER(E169),E169,0)+F169,F169)*G169*1000+F169,0),IF((J169&gt;0)*(IF(K169="",-1,K169)&gt;=1)*(IF(K169="",-1,K169)&lt;=3),IF(C169="peso_corporal",IF(ISNUMBER(E169),E169,0)+I169,I169)*J169*1000+I169,0),IF((M169&gt;0)*(IF(N169="",-1,N169)&gt;=1)*(IF(N169="",-1,N169)&lt;=3),IF(C169="peso_corporal",IF(ISNUMBER(E169),E169,0)+L169,L169)*M169*1000+L169,0),IF((P169&gt;0)*(IF(Q169="",-1,Q169)&gt;=1)*(IF(Q169="",-1,Q169)&lt;=3),IF(C169="peso_corporal",IF(ISNUMBER(E169),E169,0)+O169,O169)*P169*1000+O169,0),IF((S169&gt;0)*(IF(T169="",-1,T169)&gt;=1)*(IF(T169="",-1,T169)&lt;=3),IF(C169="peso_corporal",IF(ISNUMBER(E169),E169,0)+R169,R169)*S169*1000+R169,0))</f>
        <v>0</v>
      </c>
      <c r="X169" s="69">
        <f>IF(W169=0,0,IF(IF((S169&gt;0)*(IF(T169="",-1,T169)&gt;=1)*(IF(T169="",-1,T169)&lt;=3),IF(C169="peso_corporal",IF(ISNUMBER(E169),E169,0)+R169,R169)*S169*1000+R169,0)=W169,5,IF(IF((P169&gt;0)*(IF(Q169="",-1,Q169)&gt;=1)*(IF(Q169="",-1,Q169)&lt;=3),IF(C169="peso_corporal",IF(ISNUMBER(E169),E169,0)+O169,O169)*P169*1000+O169,0)=W169,4,IF(IF((M169&gt;0)*(IF(N169="",-1,N169)&gt;=1)*(IF(N169="",-1,N169)&lt;=3),IF(C169="peso_corporal",IF(ISNUMBER(E169),E169,0)+L169,L169)*M169*1000+L169,0)=W169,3,IF(IF((J169&gt;0)*(IF(K169="",-1,K169)&gt;=1)*(IF(K169="",-1,K169)&lt;=3),IF(C169="peso_corporal",IF(ISNUMBER(E169),E169,0)+I169,I169)*J169*1000+I169,0)=W169,2,IF(IF((G169&gt;0)*(IF(H169="",-1,H169)&gt;=1)*(IF(H169="",-1,H169)&lt;=3),IF(C169="peso_corporal",IF(ISNUMBER(E169),E169,0)+F169,F169)*G169*1000+F169,0)=W169,1,0))))))</f>
        <v>0</v>
      </c>
      <c r="Y169" s="69">
        <f>MAX(IF((G169&gt;0)*(IF(H169="",-1,H169)=0)*(1-(IF(H169="",-1,H169)&gt;=1)*(IF(H169="",-1,H169)&lt;=3)),IF(C169="peso_corporal",IF(ISNUMBER(E169),E169,0)+F169,F169)*G169*1000+F169,0),IF((J169&gt;0)*(IF(K169="",-1,K169)=0)*(1-(IF(K169="",-1,K169)&gt;=1)*(IF(K169="",-1,K169)&lt;=3)),IF(C169="peso_corporal",IF(ISNUMBER(E169),E169,0)+I169,I169)*J169*1000+I169,0),IF((M169&gt;0)*(IF(N169="",-1,N169)=0)*(1-(IF(N169="",-1,N169)&gt;=1)*(IF(N169="",-1,N169)&lt;=3)),IF(C169="peso_corporal",IF(ISNUMBER(E169),E169,0)+L169,L169)*M169*1000+L169,0),IF((P169&gt;0)*(IF(Q169="",-1,Q169)=0)*(1-(IF(Q169="",-1,Q169)&gt;=1)*(IF(Q169="",-1,Q169)&lt;=3)),IF(C169="peso_corporal",IF(ISNUMBER(E169),E169,0)+O169,O169)*P169*1000+O169,0),IF((S169&gt;0)*(IF(T169="",-1,T169)=0)*(1-(IF(T169="",-1,T169)&gt;=1)*(IF(T169="",-1,T169)&lt;=3)),IF(C169="peso_corporal",IF(ISNUMBER(E169),E169,0)+R169,R169)*S169*1000+R169,0))</f>
        <v>0</v>
      </c>
      <c r="Z169" s="69">
        <f>IF(Y169=0,0,IF(IF((S169&gt;0)*(IF(T169="",-1,T169)=0)*(1-(IF(T169="",-1,T169)&gt;=1)*(IF(T169="",-1,T169)&lt;=3)),IF(C169="peso_corporal",IF(ISNUMBER(E169),E169,0)+R169,R169)*S169*1000+R169,0)=Y169,5,IF(IF((P169&gt;0)*(IF(Q169="",-1,Q169)=0)*(1-(IF(Q169="",-1,Q169)&gt;=1)*(IF(Q169="",-1,Q169)&lt;=3)),IF(C169="peso_corporal",IF(ISNUMBER(E169),E169,0)+O169,O169)*P169*1000+O169,0)=Y169,4,IF(IF((M169&gt;0)*(IF(N169="",-1,N169)=0)*(1-(IF(N169="",-1,N169)&gt;=1)*(IF(N169="",-1,N169)&lt;=3)),IF(C169="peso_corporal",IF(ISNUMBER(E169),E169,0)+L169,L169)*M169*1000+L169,0)=Y169,3,IF(IF((J169&gt;0)*(IF(K169="",-1,K169)=0)*(1-(IF(K169="",-1,K169)&gt;=1)*(IF(K169="",-1,K169)&lt;=3)),IF(C169="peso_corporal",IF(ISNUMBER(E169),E169,0)+I169,I169)*J169*1000+I169,0)=Y169,2,IF(IF((G169&gt;0)*(IF(H169="",-1,H169)=0)*(1-(IF(H169="",-1,H169)&gt;=1)*(IF(H169="",-1,H169)&lt;=3)),IF(C169="peso_corporal",IF(ISNUMBER(E169),E169,0)+F169,F169)*G169*1000+F169,0)=Y169,1,0))))))</f>
        <v>0</v>
      </c>
      <c r="AA169" s="69">
        <f>MAX(IF((G169&gt;=6)*(1-(IF(H169="",-1,H169)&gt;=1)*(IF(H169="",-1,H169)&lt;=3))*(1-(IF(H169="",-1,H169)=0)),IF(C169="peso_corporal",IF(ISNUMBER(E169),E169,0)+F169,F169)*(30+G169)*100+F169,0),IF((J169&gt;=6)*(1-(IF(K169="",-1,K169)&gt;=1)*(IF(K169="",-1,K169)&lt;=3))*(1-(IF(K169="",-1,K169)=0)),IF(C169="peso_corporal",IF(ISNUMBER(E169),E169,0)+I169,I169)*(30+J169)*100+I169,0),IF((M169&gt;=6)*(1-(IF(N169="",-1,N169)&gt;=1)*(IF(N169="",-1,N169)&lt;=3))*(1-(IF(N169="",-1,N169)=0)),IF(C169="peso_corporal",IF(ISNUMBER(E169),E169,0)+L169,L169)*(30+M169)*100+L169,0),IF((P169&gt;=6)*(1-(IF(Q169="",-1,Q169)&gt;=1)*(IF(Q169="",-1,Q169)&lt;=3))*(1-(IF(Q169="",-1,Q169)=0)),IF(C169="peso_corporal",IF(ISNUMBER(E169),E169,0)+O169,O169)*(30+P169)*100+O169,0),IF((S169&gt;=6)*(1-(IF(T169="",-1,T169)&gt;=1)*(IF(T169="",-1,T169)&lt;=3))*(1-(IF(T169="",-1,T169)=0)),IF(C169="peso_corporal",IF(ISNUMBER(E169),E169,0)+R169,R169)*(30+S169)*100+R169,0))</f>
        <v>0</v>
      </c>
      <c r="AB169" s="69">
        <f>IF(AA169=0,0,IF(IF((S169&gt;=6)*(1-(IF(T169="",-1,T169)&gt;=1)*(IF(T169="",-1,T169)&lt;=3))*(1-(IF(T169="",-1,T169)=0)),IF(C169="peso_corporal",IF(ISNUMBER(E169),E169,0)+R169,R169)*(30+S169)*100+R169,0)=AA169,5,IF(IF((P169&gt;=6)*(1-(IF(Q169="",-1,Q169)&gt;=1)*(IF(Q169="",-1,Q169)&lt;=3))*(1-(IF(Q169="",-1,Q169)=0)),IF(C169="peso_corporal",IF(ISNUMBER(E169),E169,0)+O169,O169)*(30+P169)*100+O169,0)=AA169,4,IF(IF((M169&gt;=6)*(1-(IF(N169="",-1,N169)&gt;=1)*(IF(N169="",-1,N169)&lt;=3))*(1-(IF(N169="",-1,N169)=0)),IF(C169="peso_corporal",IF(ISNUMBER(E169),E169,0)+L169,L169)*(30+M169)*100+L169,0)=AA169,3,IF(IF((J169&gt;=6)*(1-(IF(K169="",-1,K169)&gt;=1)*(IF(K169="",-1,K169)&lt;=3))*(1-(IF(K169="",-1,K169)=0)),IF(C169="peso_corporal",IF(ISNUMBER(E169),E169,0)+I169,I169)*(30+J169)*100+I169,0)=AA169,2,IF(IF((G169&gt;=6)*(1-(IF(H169="",-1,H169)&gt;=1)*(IF(H169="",-1,H169)&lt;=3))*(1-(IF(H169="",-1,H169)=0)),IF(C169="peso_corporal",IF(ISNUMBER(E169),E169,0)+F169,F169)*(30+G169)*100+F169,0)=AA169,1,0))))))</f>
        <v>0</v>
      </c>
      <c r="AC169" s="69" t="str">
        <f>IF(X169&gt;0,"A"&amp;X169,IF(Z169&gt;0,"B"&amp;Z169,IF(AB169&gt;0,"C"&amp;AB169,"")))</f>
        <v/>
      </c>
    </row>
    <row r="170" spans="1:29" ht="20.100000000000001" customHeight="1">
      <c r="A170" s="14" t="s">
        <v>100</v>
      </c>
      <c r="B170" s="15" t="s">
        <v>102</v>
      </c>
      <c r="C170" s="16" t="str">
        <f>IFERROR(INDEX(EJERCICIOS!$D$3:$D$75,MATCH(A170&amp;"|"&amp;B170,EJERCICIOS!$G$3:$G$75,0)),"--")</f>
        <v>mancuerna</v>
      </c>
      <c r="D170" s="17">
        <v>3</v>
      </c>
      <c r="E170" s="18">
        <f>IFERROR(LOOKUP(2,1/(MEDIDAS_Y_PESO!$B$3:$B$10&lt;&gt;""),MEDIDAS_Y_PESO!$B$3:$B$10),"--")</f>
        <v>80</v>
      </c>
      <c r="F170" s="19"/>
      <c r="G170" s="20"/>
      <c r="H170" s="21"/>
      <c r="I170" s="19"/>
      <c r="J170" s="20"/>
      <c r="K170" s="21"/>
      <c r="L170" s="19"/>
      <c r="M170" s="20"/>
      <c r="N170" s="21"/>
      <c r="O170" s="19"/>
      <c r="P170" s="20"/>
      <c r="Q170" s="21"/>
      <c r="R170" s="19"/>
      <c r="S170" s="20"/>
      <c r="T170" s="21"/>
      <c r="U170" s="22" t="str">
        <f>IFERROR(IF(IF(X170&gt;0,X170,IF(Z170&gt;0,Z170,IF(AB170&gt;0,AB170,0)))=0,"--",ROUND(CHOOSE(IF(X170&gt;0,X170,IF(Z170&gt;0,Z170,IF(AB170&gt;0,AB170,0))),IF(C170="peso_corporal",IF(ISNUMBER(E170),E170,0)+F170,F170)*(1+G170/30),IF(C170="peso_corporal",IF(ISNUMBER(E170),E170,0)+I170,I170)*(1+J170/30),IF(C170="peso_corporal",IF(ISNUMBER(E170),E170,0)+L170,L170)*(1+M170/30),IF(C170="peso_corporal",IF(ISNUMBER(E170),E170,0)+O170,O170)*(1+P170/30),IF(C170="peso_corporal",IF(ISNUMBER(E170),E170,0)+R170,R170)*(1+S170/30)),1)),"--")</f>
        <v>--</v>
      </c>
      <c r="V170" s="23" t="str">
        <f>IF(SUGERENCIAS!N463="SIN","Sin datos anteriores",IF(SUGERENCIAS!N463="SUBIR_F","^ SUBIR FUERTE | Kg:"&amp;ROUND(SUGERENCIAS!K463,1)&amp;" R:"&amp;ROUND(SUGERENCIAS!L463,0)&amp;" RIR:"&amp;ROUND(SUGERENCIAS!M463,0),IF(SUGERENCIAS!N463="SUBIR_E","^ SUBIR (Est.) | Kg:"&amp;ROUND(SUGERENCIAS!K463,1)&amp;" R:"&amp;ROUND(SUGERENCIAS!L463,0)&amp;" RIR:"&amp;ROUND(SUGERENCIAS!M463,0),IF(SUGERENCIAS!N463="SUBIR","^ SUBIR | Kg:"&amp;ROUND(SUGERENCIAS!K463,1)&amp;" R:"&amp;ROUND(SUGERENCIAS!L463,0)&amp;" RIR:"&amp;ROUND(SUGERENCIAS!M463,0),IF(SUGERENCIAS!N463="BAJAR","v BAJAR | Kg:"&amp;ROUND(SUGERENCIAS!K463,1)&amp;" R:"&amp;ROUND(SUGERENCIAS!L463,0)&amp;" RIR:"&amp;ROUND(SUGERENCIAS!M463,0),"= MANT | Kg:"&amp;ROUND(SUGERENCIAS!K463,1)&amp;" R:"&amp;ROUND(SUGERENCIAS!L463,0)&amp;" RIR:"&amp;ROUND(SUGERENCIAS!M463,0))))))</f>
        <v>Sin datos anteriores</v>
      </c>
      <c r="W170" s="69">
        <f>MAX(IF((G170&gt;0)*(IF(H170="",-1,H170)&gt;=1)*(IF(H170="",-1,H170)&lt;=3),IF(C170="peso_corporal",IF(ISNUMBER(E170),E170,0)+F170,F170)*G170*1000+F170,0),IF((J170&gt;0)*(IF(K170="",-1,K170)&gt;=1)*(IF(K170="",-1,K170)&lt;=3),IF(C170="peso_corporal",IF(ISNUMBER(E170),E170,0)+I170,I170)*J170*1000+I170,0),IF((M170&gt;0)*(IF(N170="",-1,N170)&gt;=1)*(IF(N170="",-1,N170)&lt;=3),IF(C170="peso_corporal",IF(ISNUMBER(E170),E170,0)+L170,L170)*M170*1000+L170,0),IF((P170&gt;0)*(IF(Q170="",-1,Q170)&gt;=1)*(IF(Q170="",-1,Q170)&lt;=3),IF(C170="peso_corporal",IF(ISNUMBER(E170),E170,0)+O170,O170)*P170*1000+O170,0),IF((S170&gt;0)*(IF(T170="",-1,T170)&gt;=1)*(IF(T170="",-1,T170)&lt;=3),IF(C170="peso_corporal",IF(ISNUMBER(E170),E170,0)+R170,R170)*S170*1000+R170,0))</f>
        <v>0</v>
      </c>
      <c r="X170" s="69">
        <f>IF(W170=0,0,IF(IF((S170&gt;0)*(IF(T170="",-1,T170)&gt;=1)*(IF(T170="",-1,T170)&lt;=3),IF(C170="peso_corporal",IF(ISNUMBER(E170),E170,0)+R170,R170)*S170*1000+R170,0)=W170,5,IF(IF((P170&gt;0)*(IF(Q170="",-1,Q170)&gt;=1)*(IF(Q170="",-1,Q170)&lt;=3),IF(C170="peso_corporal",IF(ISNUMBER(E170),E170,0)+O170,O170)*P170*1000+O170,0)=W170,4,IF(IF((M170&gt;0)*(IF(N170="",-1,N170)&gt;=1)*(IF(N170="",-1,N170)&lt;=3),IF(C170="peso_corporal",IF(ISNUMBER(E170),E170,0)+L170,L170)*M170*1000+L170,0)=W170,3,IF(IF((J170&gt;0)*(IF(K170="",-1,K170)&gt;=1)*(IF(K170="",-1,K170)&lt;=3),IF(C170="peso_corporal",IF(ISNUMBER(E170),E170,0)+I170,I170)*J170*1000+I170,0)=W170,2,IF(IF((G170&gt;0)*(IF(H170="",-1,H170)&gt;=1)*(IF(H170="",-1,H170)&lt;=3),IF(C170="peso_corporal",IF(ISNUMBER(E170),E170,0)+F170,F170)*G170*1000+F170,0)=W170,1,0))))))</f>
        <v>0</v>
      </c>
      <c r="Y170" s="69">
        <f>MAX(IF((G170&gt;0)*(IF(H170="",-1,H170)=0)*(1-(IF(H170="",-1,H170)&gt;=1)*(IF(H170="",-1,H170)&lt;=3)),IF(C170="peso_corporal",IF(ISNUMBER(E170),E170,0)+F170,F170)*G170*1000+F170,0),IF((J170&gt;0)*(IF(K170="",-1,K170)=0)*(1-(IF(K170="",-1,K170)&gt;=1)*(IF(K170="",-1,K170)&lt;=3)),IF(C170="peso_corporal",IF(ISNUMBER(E170),E170,0)+I170,I170)*J170*1000+I170,0),IF((M170&gt;0)*(IF(N170="",-1,N170)=0)*(1-(IF(N170="",-1,N170)&gt;=1)*(IF(N170="",-1,N170)&lt;=3)),IF(C170="peso_corporal",IF(ISNUMBER(E170),E170,0)+L170,L170)*M170*1000+L170,0),IF((P170&gt;0)*(IF(Q170="",-1,Q170)=0)*(1-(IF(Q170="",-1,Q170)&gt;=1)*(IF(Q170="",-1,Q170)&lt;=3)),IF(C170="peso_corporal",IF(ISNUMBER(E170),E170,0)+O170,O170)*P170*1000+O170,0),IF((S170&gt;0)*(IF(T170="",-1,T170)=0)*(1-(IF(T170="",-1,T170)&gt;=1)*(IF(T170="",-1,T170)&lt;=3)),IF(C170="peso_corporal",IF(ISNUMBER(E170),E170,0)+R170,R170)*S170*1000+R170,0))</f>
        <v>0</v>
      </c>
      <c r="Z170" s="69">
        <f>IF(Y170=0,0,IF(IF((S170&gt;0)*(IF(T170="",-1,T170)=0)*(1-(IF(T170="",-1,T170)&gt;=1)*(IF(T170="",-1,T170)&lt;=3)),IF(C170="peso_corporal",IF(ISNUMBER(E170),E170,0)+R170,R170)*S170*1000+R170,0)=Y170,5,IF(IF((P170&gt;0)*(IF(Q170="",-1,Q170)=0)*(1-(IF(Q170="",-1,Q170)&gt;=1)*(IF(Q170="",-1,Q170)&lt;=3)),IF(C170="peso_corporal",IF(ISNUMBER(E170),E170,0)+O170,O170)*P170*1000+O170,0)=Y170,4,IF(IF((M170&gt;0)*(IF(N170="",-1,N170)=0)*(1-(IF(N170="",-1,N170)&gt;=1)*(IF(N170="",-1,N170)&lt;=3)),IF(C170="peso_corporal",IF(ISNUMBER(E170),E170,0)+L170,L170)*M170*1000+L170,0)=Y170,3,IF(IF((J170&gt;0)*(IF(K170="",-1,K170)=0)*(1-(IF(K170="",-1,K170)&gt;=1)*(IF(K170="",-1,K170)&lt;=3)),IF(C170="peso_corporal",IF(ISNUMBER(E170),E170,0)+I170,I170)*J170*1000+I170,0)=Y170,2,IF(IF((G170&gt;0)*(IF(H170="",-1,H170)=0)*(1-(IF(H170="",-1,H170)&gt;=1)*(IF(H170="",-1,H170)&lt;=3)),IF(C170="peso_corporal",IF(ISNUMBER(E170),E170,0)+F170,F170)*G170*1000+F170,0)=Y170,1,0))))))</f>
        <v>0</v>
      </c>
      <c r="AA170" s="69">
        <f>MAX(IF((G170&gt;=6)*(1-(IF(H170="",-1,H170)&gt;=1)*(IF(H170="",-1,H170)&lt;=3))*(1-(IF(H170="",-1,H170)=0)),IF(C170="peso_corporal",IF(ISNUMBER(E170),E170,0)+F170,F170)*(30+G170)*100+F170,0),IF((J170&gt;=6)*(1-(IF(K170="",-1,K170)&gt;=1)*(IF(K170="",-1,K170)&lt;=3))*(1-(IF(K170="",-1,K170)=0)),IF(C170="peso_corporal",IF(ISNUMBER(E170),E170,0)+I170,I170)*(30+J170)*100+I170,0),IF((M170&gt;=6)*(1-(IF(N170="",-1,N170)&gt;=1)*(IF(N170="",-1,N170)&lt;=3))*(1-(IF(N170="",-1,N170)=0)),IF(C170="peso_corporal",IF(ISNUMBER(E170),E170,0)+L170,L170)*(30+M170)*100+L170,0),IF((P170&gt;=6)*(1-(IF(Q170="",-1,Q170)&gt;=1)*(IF(Q170="",-1,Q170)&lt;=3))*(1-(IF(Q170="",-1,Q170)=0)),IF(C170="peso_corporal",IF(ISNUMBER(E170),E170,0)+O170,O170)*(30+P170)*100+O170,0),IF((S170&gt;=6)*(1-(IF(T170="",-1,T170)&gt;=1)*(IF(T170="",-1,T170)&lt;=3))*(1-(IF(T170="",-1,T170)=0)),IF(C170="peso_corporal",IF(ISNUMBER(E170),E170,0)+R170,R170)*(30+S170)*100+R170,0))</f>
        <v>0</v>
      </c>
      <c r="AB170" s="69">
        <f>IF(AA170=0,0,IF(IF((S170&gt;=6)*(1-(IF(T170="",-1,T170)&gt;=1)*(IF(T170="",-1,T170)&lt;=3))*(1-(IF(T170="",-1,T170)=0)),IF(C170="peso_corporal",IF(ISNUMBER(E170),E170,0)+R170,R170)*(30+S170)*100+R170,0)=AA170,5,IF(IF((P170&gt;=6)*(1-(IF(Q170="",-1,Q170)&gt;=1)*(IF(Q170="",-1,Q170)&lt;=3))*(1-(IF(Q170="",-1,Q170)=0)),IF(C170="peso_corporal",IF(ISNUMBER(E170),E170,0)+O170,O170)*(30+P170)*100+O170,0)=AA170,4,IF(IF((M170&gt;=6)*(1-(IF(N170="",-1,N170)&gt;=1)*(IF(N170="",-1,N170)&lt;=3))*(1-(IF(N170="",-1,N170)=0)),IF(C170="peso_corporal",IF(ISNUMBER(E170),E170,0)+L170,L170)*(30+M170)*100+L170,0)=AA170,3,IF(IF((J170&gt;=6)*(1-(IF(K170="",-1,K170)&gt;=1)*(IF(K170="",-1,K170)&lt;=3))*(1-(IF(K170="",-1,K170)=0)),IF(C170="peso_corporal",IF(ISNUMBER(E170),E170,0)+I170,I170)*(30+J170)*100+I170,0)=AA170,2,IF(IF((G170&gt;=6)*(1-(IF(H170="",-1,H170)&gt;=1)*(IF(H170="",-1,H170)&lt;=3))*(1-(IF(H170="",-1,H170)=0)),IF(C170="peso_corporal",IF(ISNUMBER(E170),E170,0)+F170,F170)*(30+G170)*100+F170,0)=AA170,1,0))))))</f>
        <v>0</v>
      </c>
      <c r="AC170" s="69" t="str">
        <f>IF(X170&gt;0,"A"&amp;X170,IF(Z170&gt;0,"B"&amp;Z170,IF(AB170&gt;0,"C"&amp;AB170,"")))</f>
        <v/>
      </c>
    </row>
    <row r="171" spans="1:29" ht="15" customHeight="1">
      <c r="A171" s="83" t="s">
        <v>103</v>
      </c>
      <c r="B171" s="73"/>
      <c r="C171" s="73"/>
      <c r="D171" s="73"/>
      <c r="E171" s="73"/>
      <c r="F171" s="73"/>
      <c r="G171" s="73"/>
      <c r="H171" s="73"/>
      <c r="I171" s="73"/>
      <c r="J171" s="73"/>
      <c r="K171" s="73"/>
      <c r="L171" s="73"/>
      <c r="M171" s="73"/>
      <c r="N171" s="73"/>
      <c r="O171" s="73"/>
      <c r="P171" s="73"/>
      <c r="Q171" s="73"/>
      <c r="R171" s="73"/>
      <c r="S171" s="73"/>
      <c r="T171" s="73"/>
      <c r="U171" s="73"/>
      <c r="V171" s="73"/>
      <c r="W171" s="69"/>
      <c r="X171" s="69"/>
      <c r="Y171" s="69"/>
      <c r="Z171" s="69"/>
      <c r="AA171" s="69"/>
      <c r="AB171" s="69"/>
      <c r="AC171" s="69"/>
    </row>
    <row r="172" spans="1:29" ht="20.100000000000001" customHeight="1">
      <c r="A172" s="14" t="s">
        <v>104</v>
      </c>
      <c r="B172" s="15" t="s">
        <v>105</v>
      </c>
      <c r="C172" s="16" t="str">
        <f>IFERROR(INDEX(EJERCICIOS!$D$3:$D$75,MATCH(A172&amp;"|"&amp;B172,EJERCICIOS!$G$3:$G$75,0)),"--")</f>
        <v>mancuerna</v>
      </c>
      <c r="D172" s="17">
        <v>3</v>
      </c>
      <c r="E172" s="18">
        <f>IFERROR(LOOKUP(2,1/(MEDIDAS_Y_PESO!$B$3:$B$10&lt;&gt;""),MEDIDAS_Y_PESO!$B$3:$B$10),"--")</f>
        <v>80</v>
      </c>
      <c r="F172" s="19"/>
      <c r="G172" s="20"/>
      <c r="H172" s="21"/>
      <c r="I172" s="19"/>
      <c r="J172" s="20"/>
      <c r="K172" s="21"/>
      <c r="L172" s="19"/>
      <c r="M172" s="20"/>
      <c r="N172" s="21"/>
      <c r="O172" s="19"/>
      <c r="P172" s="20"/>
      <c r="Q172" s="21"/>
      <c r="R172" s="19"/>
      <c r="S172" s="20"/>
      <c r="T172" s="21"/>
      <c r="U172" s="22" t="str">
        <f>IFERROR(IF(IF(X172&gt;0,X172,IF(Z172&gt;0,Z172,IF(AB172&gt;0,AB172,0)))=0,"--",ROUND(CHOOSE(IF(X172&gt;0,X172,IF(Z172&gt;0,Z172,IF(AB172&gt;0,AB172,0))),IF(C172="peso_corporal",IF(ISNUMBER(E172),E172,0)+F172,F172)*(1+G172/30),IF(C172="peso_corporal",IF(ISNUMBER(E172),E172,0)+I172,I172)*(1+J172/30),IF(C172="peso_corporal",IF(ISNUMBER(E172),E172,0)+L172,L172)*(1+M172/30),IF(C172="peso_corporal",IF(ISNUMBER(E172),E172,0)+O172,O172)*(1+P172/30),IF(C172="peso_corporal",IF(ISNUMBER(E172),E172,0)+R172,R172)*(1+S172/30)),1)),"--")</f>
        <v>--</v>
      </c>
      <c r="V172" s="23" t="str">
        <f>IF(SUGERENCIAS!N464="SIN","Sin datos anteriores",IF(SUGERENCIAS!N464="SUBIR_F","^ SUBIR FUERTE | Kg:"&amp;ROUND(SUGERENCIAS!K464,1)&amp;" R:"&amp;ROUND(SUGERENCIAS!L464,0)&amp;" RIR:"&amp;ROUND(SUGERENCIAS!M464,0),IF(SUGERENCIAS!N464="SUBIR_E","^ SUBIR (Est.) | Kg:"&amp;ROUND(SUGERENCIAS!K464,1)&amp;" R:"&amp;ROUND(SUGERENCIAS!L464,0)&amp;" RIR:"&amp;ROUND(SUGERENCIAS!M464,0),IF(SUGERENCIAS!N464="SUBIR","^ SUBIR | Kg:"&amp;ROUND(SUGERENCIAS!K464,1)&amp;" R:"&amp;ROUND(SUGERENCIAS!L464,0)&amp;" RIR:"&amp;ROUND(SUGERENCIAS!M464,0),IF(SUGERENCIAS!N464="BAJAR","v BAJAR | Kg:"&amp;ROUND(SUGERENCIAS!K464,1)&amp;" R:"&amp;ROUND(SUGERENCIAS!L464,0)&amp;" RIR:"&amp;ROUND(SUGERENCIAS!M464,0),"= MANT | Kg:"&amp;ROUND(SUGERENCIAS!K464,1)&amp;" R:"&amp;ROUND(SUGERENCIAS!L464,0)&amp;" RIR:"&amp;ROUND(SUGERENCIAS!M464,0))))))</f>
        <v>Sin datos anteriores</v>
      </c>
      <c r="W172" s="69">
        <f>MAX(IF((G172&gt;0)*(IF(H172="",-1,H172)&gt;=1)*(IF(H172="",-1,H172)&lt;=3),IF(C172="peso_corporal",IF(ISNUMBER(E172),E172,0)+F172,F172)*G172*1000+F172,0),IF((J172&gt;0)*(IF(K172="",-1,K172)&gt;=1)*(IF(K172="",-1,K172)&lt;=3),IF(C172="peso_corporal",IF(ISNUMBER(E172),E172,0)+I172,I172)*J172*1000+I172,0),IF((M172&gt;0)*(IF(N172="",-1,N172)&gt;=1)*(IF(N172="",-1,N172)&lt;=3),IF(C172="peso_corporal",IF(ISNUMBER(E172),E172,0)+L172,L172)*M172*1000+L172,0),IF((P172&gt;0)*(IF(Q172="",-1,Q172)&gt;=1)*(IF(Q172="",-1,Q172)&lt;=3),IF(C172="peso_corporal",IF(ISNUMBER(E172),E172,0)+O172,O172)*P172*1000+O172,0),IF((S172&gt;0)*(IF(T172="",-1,T172)&gt;=1)*(IF(T172="",-1,T172)&lt;=3),IF(C172="peso_corporal",IF(ISNUMBER(E172),E172,0)+R172,R172)*S172*1000+R172,0))</f>
        <v>0</v>
      </c>
      <c r="X172" s="69">
        <f>IF(W172=0,0,IF(IF((S172&gt;0)*(IF(T172="",-1,T172)&gt;=1)*(IF(T172="",-1,T172)&lt;=3),IF(C172="peso_corporal",IF(ISNUMBER(E172),E172,0)+R172,R172)*S172*1000+R172,0)=W172,5,IF(IF((P172&gt;0)*(IF(Q172="",-1,Q172)&gt;=1)*(IF(Q172="",-1,Q172)&lt;=3),IF(C172="peso_corporal",IF(ISNUMBER(E172),E172,0)+O172,O172)*P172*1000+O172,0)=W172,4,IF(IF((M172&gt;0)*(IF(N172="",-1,N172)&gt;=1)*(IF(N172="",-1,N172)&lt;=3),IF(C172="peso_corporal",IF(ISNUMBER(E172),E172,0)+L172,L172)*M172*1000+L172,0)=W172,3,IF(IF((J172&gt;0)*(IF(K172="",-1,K172)&gt;=1)*(IF(K172="",-1,K172)&lt;=3),IF(C172="peso_corporal",IF(ISNUMBER(E172),E172,0)+I172,I172)*J172*1000+I172,0)=W172,2,IF(IF((G172&gt;0)*(IF(H172="",-1,H172)&gt;=1)*(IF(H172="",-1,H172)&lt;=3),IF(C172="peso_corporal",IF(ISNUMBER(E172),E172,0)+F172,F172)*G172*1000+F172,0)=W172,1,0))))))</f>
        <v>0</v>
      </c>
      <c r="Y172" s="69">
        <f>MAX(IF((G172&gt;0)*(IF(H172="",-1,H172)=0)*(1-(IF(H172="",-1,H172)&gt;=1)*(IF(H172="",-1,H172)&lt;=3)),IF(C172="peso_corporal",IF(ISNUMBER(E172),E172,0)+F172,F172)*G172*1000+F172,0),IF((J172&gt;0)*(IF(K172="",-1,K172)=0)*(1-(IF(K172="",-1,K172)&gt;=1)*(IF(K172="",-1,K172)&lt;=3)),IF(C172="peso_corporal",IF(ISNUMBER(E172),E172,0)+I172,I172)*J172*1000+I172,0),IF((M172&gt;0)*(IF(N172="",-1,N172)=0)*(1-(IF(N172="",-1,N172)&gt;=1)*(IF(N172="",-1,N172)&lt;=3)),IF(C172="peso_corporal",IF(ISNUMBER(E172),E172,0)+L172,L172)*M172*1000+L172,0),IF((P172&gt;0)*(IF(Q172="",-1,Q172)=0)*(1-(IF(Q172="",-1,Q172)&gt;=1)*(IF(Q172="",-1,Q172)&lt;=3)),IF(C172="peso_corporal",IF(ISNUMBER(E172),E172,0)+O172,O172)*P172*1000+O172,0),IF((S172&gt;0)*(IF(T172="",-1,T172)=0)*(1-(IF(T172="",-1,T172)&gt;=1)*(IF(T172="",-1,T172)&lt;=3)),IF(C172="peso_corporal",IF(ISNUMBER(E172),E172,0)+R172,R172)*S172*1000+R172,0))</f>
        <v>0</v>
      </c>
      <c r="Z172" s="69">
        <f>IF(Y172=0,0,IF(IF((S172&gt;0)*(IF(T172="",-1,T172)=0)*(1-(IF(T172="",-1,T172)&gt;=1)*(IF(T172="",-1,T172)&lt;=3)),IF(C172="peso_corporal",IF(ISNUMBER(E172),E172,0)+R172,R172)*S172*1000+R172,0)=Y172,5,IF(IF((P172&gt;0)*(IF(Q172="",-1,Q172)=0)*(1-(IF(Q172="",-1,Q172)&gt;=1)*(IF(Q172="",-1,Q172)&lt;=3)),IF(C172="peso_corporal",IF(ISNUMBER(E172),E172,0)+O172,O172)*P172*1000+O172,0)=Y172,4,IF(IF((M172&gt;0)*(IF(N172="",-1,N172)=0)*(1-(IF(N172="",-1,N172)&gt;=1)*(IF(N172="",-1,N172)&lt;=3)),IF(C172="peso_corporal",IF(ISNUMBER(E172),E172,0)+L172,L172)*M172*1000+L172,0)=Y172,3,IF(IF((J172&gt;0)*(IF(K172="",-1,K172)=0)*(1-(IF(K172="",-1,K172)&gt;=1)*(IF(K172="",-1,K172)&lt;=3)),IF(C172="peso_corporal",IF(ISNUMBER(E172),E172,0)+I172,I172)*J172*1000+I172,0)=Y172,2,IF(IF((G172&gt;0)*(IF(H172="",-1,H172)=0)*(1-(IF(H172="",-1,H172)&gt;=1)*(IF(H172="",-1,H172)&lt;=3)),IF(C172="peso_corporal",IF(ISNUMBER(E172),E172,0)+F172,F172)*G172*1000+F172,0)=Y172,1,0))))))</f>
        <v>0</v>
      </c>
      <c r="AA172" s="69">
        <f>MAX(IF((G172&gt;=6)*(1-(IF(H172="",-1,H172)&gt;=1)*(IF(H172="",-1,H172)&lt;=3))*(1-(IF(H172="",-1,H172)=0)),IF(C172="peso_corporal",IF(ISNUMBER(E172),E172,0)+F172,F172)*(30+G172)*100+F172,0),IF((J172&gt;=6)*(1-(IF(K172="",-1,K172)&gt;=1)*(IF(K172="",-1,K172)&lt;=3))*(1-(IF(K172="",-1,K172)=0)),IF(C172="peso_corporal",IF(ISNUMBER(E172),E172,0)+I172,I172)*(30+J172)*100+I172,0),IF((M172&gt;=6)*(1-(IF(N172="",-1,N172)&gt;=1)*(IF(N172="",-1,N172)&lt;=3))*(1-(IF(N172="",-1,N172)=0)),IF(C172="peso_corporal",IF(ISNUMBER(E172),E172,0)+L172,L172)*(30+M172)*100+L172,0),IF((P172&gt;=6)*(1-(IF(Q172="",-1,Q172)&gt;=1)*(IF(Q172="",-1,Q172)&lt;=3))*(1-(IF(Q172="",-1,Q172)=0)),IF(C172="peso_corporal",IF(ISNUMBER(E172),E172,0)+O172,O172)*(30+P172)*100+O172,0),IF((S172&gt;=6)*(1-(IF(T172="",-1,T172)&gt;=1)*(IF(T172="",-1,T172)&lt;=3))*(1-(IF(T172="",-1,T172)=0)),IF(C172="peso_corporal",IF(ISNUMBER(E172),E172,0)+R172,R172)*(30+S172)*100+R172,0))</f>
        <v>0</v>
      </c>
      <c r="AB172" s="69">
        <f>IF(AA172=0,0,IF(IF((S172&gt;=6)*(1-(IF(T172="",-1,T172)&gt;=1)*(IF(T172="",-1,T172)&lt;=3))*(1-(IF(T172="",-1,T172)=0)),IF(C172="peso_corporal",IF(ISNUMBER(E172),E172,0)+R172,R172)*(30+S172)*100+R172,0)=AA172,5,IF(IF((P172&gt;=6)*(1-(IF(Q172="",-1,Q172)&gt;=1)*(IF(Q172="",-1,Q172)&lt;=3))*(1-(IF(Q172="",-1,Q172)=0)),IF(C172="peso_corporal",IF(ISNUMBER(E172),E172,0)+O172,O172)*(30+P172)*100+O172,0)=AA172,4,IF(IF((M172&gt;=6)*(1-(IF(N172="",-1,N172)&gt;=1)*(IF(N172="",-1,N172)&lt;=3))*(1-(IF(N172="",-1,N172)=0)),IF(C172="peso_corporal",IF(ISNUMBER(E172),E172,0)+L172,L172)*(30+M172)*100+L172,0)=AA172,3,IF(IF((J172&gt;=6)*(1-(IF(K172="",-1,K172)&gt;=1)*(IF(K172="",-1,K172)&lt;=3))*(1-(IF(K172="",-1,K172)=0)),IF(C172="peso_corporal",IF(ISNUMBER(E172),E172,0)+I172,I172)*(30+J172)*100+I172,0)=AA172,2,IF(IF((G172&gt;=6)*(1-(IF(H172="",-1,H172)&gt;=1)*(IF(H172="",-1,H172)&lt;=3))*(1-(IF(H172="",-1,H172)=0)),IF(C172="peso_corporal",IF(ISNUMBER(E172),E172,0)+F172,F172)*(30+G172)*100+F172,0)=AA172,1,0))))))</f>
        <v>0</v>
      </c>
      <c r="AC172" s="69" t="str">
        <f>IF(X172&gt;0,"A"&amp;X172,IF(Z172&gt;0,"B"&amp;Z172,IF(AB172&gt;0,"C"&amp;AB172,"")))</f>
        <v/>
      </c>
    </row>
    <row r="173" spans="1:29" ht="15" customHeight="1">
      <c r="A173" s="82" t="s">
        <v>47</v>
      </c>
      <c r="B173" s="73"/>
      <c r="C173" s="73"/>
      <c r="D173" s="73"/>
      <c r="E173" s="73"/>
      <c r="F173" s="73"/>
      <c r="G173" s="73"/>
      <c r="H173" s="73"/>
      <c r="I173" s="73"/>
      <c r="J173" s="73"/>
      <c r="K173" s="73"/>
      <c r="L173" s="73"/>
      <c r="M173" s="73"/>
      <c r="N173" s="73"/>
      <c r="O173" s="73"/>
      <c r="P173" s="73"/>
      <c r="Q173" s="73"/>
      <c r="R173" s="73"/>
      <c r="S173" s="73"/>
      <c r="T173" s="73"/>
      <c r="U173" s="73"/>
      <c r="V173" s="73"/>
      <c r="W173" s="69"/>
      <c r="X173" s="69"/>
      <c r="Y173" s="69"/>
      <c r="Z173" s="69"/>
      <c r="AA173" s="69"/>
      <c r="AB173" s="69"/>
      <c r="AC173" s="69"/>
    </row>
    <row r="174" spans="1:29" ht="20.100000000000001" customHeight="1">
      <c r="A174" s="14" t="s">
        <v>106</v>
      </c>
      <c r="B174" s="15" t="s">
        <v>107</v>
      </c>
      <c r="C174" s="16" t="str">
        <f>IFERROR(INDEX(EJERCICIOS!$D$3:$D$75,MATCH(A174&amp;"|"&amp;B174,EJERCICIOS!$G$3:$G$75,0)),"--")</f>
        <v>--</v>
      </c>
      <c r="D174" s="17">
        <v>3</v>
      </c>
      <c r="E174" s="18">
        <f>IFERROR(LOOKUP(2,1/(MEDIDAS_Y_PESO!$B$3:$B$10&lt;&gt;""),MEDIDAS_Y_PESO!$B$3:$B$10),"--")</f>
        <v>80</v>
      </c>
      <c r="F174" s="19"/>
      <c r="G174" s="20"/>
      <c r="H174" s="21"/>
      <c r="I174" s="19"/>
      <c r="J174" s="20"/>
      <c r="K174" s="21"/>
      <c r="L174" s="19"/>
      <c r="M174" s="20"/>
      <c r="N174" s="21"/>
      <c r="O174" s="19"/>
      <c r="P174" s="20"/>
      <c r="Q174" s="21"/>
      <c r="R174" s="19"/>
      <c r="S174" s="20"/>
      <c r="T174" s="21"/>
      <c r="U174" s="22" t="str">
        <f>IFERROR(IF(IF(X174&gt;0,X174,IF(Z174&gt;0,Z174,IF(AB174&gt;0,AB174,0)))=0,"--",ROUND(CHOOSE(IF(X174&gt;0,X174,IF(Z174&gt;0,Z174,IF(AB174&gt;0,AB174,0))),IF(C174="peso_corporal",IF(ISNUMBER(E174),E174,0)+F174,F174)*(1+G174/30),IF(C174="peso_corporal",IF(ISNUMBER(E174),E174,0)+I174,I174)*(1+J174/30),IF(C174="peso_corporal",IF(ISNUMBER(E174),E174,0)+L174,L174)*(1+M174/30),IF(C174="peso_corporal",IF(ISNUMBER(E174),E174,0)+O174,O174)*(1+P174/30),IF(C174="peso_corporal",IF(ISNUMBER(E174),E174,0)+R174,R174)*(1+S174/30)),1)),"--")</f>
        <v>--</v>
      </c>
      <c r="V174" s="23" t="str">
        <f>IF(SUGERENCIAS!N465="SIN","Sin datos anteriores",IF(SUGERENCIAS!N465="SUBIR_F","^ SUBIR FUERTE | Kg:"&amp;ROUND(SUGERENCIAS!K465,1)&amp;" R:"&amp;ROUND(SUGERENCIAS!L465,0)&amp;" RIR:"&amp;ROUND(SUGERENCIAS!M465,0),IF(SUGERENCIAS!N465="SUBIR_E","^ SUBIR (Est.) | Kg:"&amp;ROUND(SUGERENCIAS!K465,1)&amp;" R:"&amp;ROUND(SUGERENCIAS!L465,0)&amp;" RIR:"&amp;ROUND(SUGERENCIAS!M465,0),IF(SUGERENCIAS!N465="SUBIR","^ SUBIR | Kg:"&amp;ROUND(SUGERENCIAS!K465,1)&amp;" R:"&amp;ROUND(SUGERENCIAS!L465,0)&amp;" RIR:"&amp;ROUND(SUGERENCIAS!M465,0),IF(SUGERENCIAS!N465="BAJAR","v BAJAR | Kg:"&amp;ROUND(SUGERENCIAS!K465,1)&amp;" R:"&amp;ROUND(SUGERENCIAS!L465,0)&amp;" RIR:"&amp;ROUND(SUGERENCIAS!M465,0),"= MANT | Kg:"&amp;ROUND(SUGERENCIAS!K465,1)&amp;" R:"&amp;ROUND(SUGERENCIAS!L465,0)&amp;" RIR:"&amp;ROUND(SUGERENCIAS!M465,0))))))</f>
        <v>Sin datos anteriores</v>
      </c>
      <c r="W174" s="69">
        <f>MAX(IF((G174&gt;0)*(IF(H174="",-1,H174)&gt;=1)*(IF(H174="",-1,H174)&lt;=3),IF(C174="peso_corporal",IF(ISNUMBER(E174),E174,0)+F174,F174)*G174*1000+F174,0),IF((J174&gt;0)*(IF(K174="",-1,K174)&gt;=1)*(IF(K174="",-1,K174)&lt;=3),IF(C174="peso_corporal",IF(ISNUMBER(E174),E174,0)+I174,I174)*J174*1000+I174,0),IF((M174&gt;0)*(IF(N174="",-1,N174)&gt;=1)*(IF(N174="",-1,N174)&lt;=3),IF(C174="peso_corporal",IF(ISNUMBER(E174),E174,0)+L174,L174)*M174*1000+L174,0),IF((P174&gt;0)*(IF(Q174="",-1,Q174)&gt;=1)*(IF(Q174="",-1,Q174)&lt;=3),IF(C174="peso_corporal",IF(ISNUMBER(E174),E174,0)+O174,O174)*P174*1000+O174,0),IF((S174&gt;0)*(IF(T174="",-1,T174)&gt;=1)*(IF(T174="",-1,T174)&lt;=3),IF(C174="peso_corporal",IF(ISNUMBER(E174),E174,0)+R174,R174)*S174*1000+R174,0))</f>
        <v>0</v>
      </c>
      <c r="X174" s="69">
        <f>IF(W174=0,0,IF(IF((S174&gt;0)*(IF(T174="",-1,T174)&gt;=1)*(IF(T174="",-1,T174)&lt;=3),IF(C174="peso_corporal",IF(ISNUMBER(E174),E174,0)+R174,R174)*S174*1000+R174,0)=W174,5,IF(IF((P174&gt;0)*(IF(Q174="",-1,Q174)&gt;=1)*(IF(Q174="",-1,Q174)&lt;=3),IF(C174="peso_corporal",IF(ISNUMBER(E174),E174,0)+O174,O174)*P174*1000+O174,0)=W174,4,IF(IF((M174&gt;0)*(IF(N174="",-1,N174)&gt;=1)*(IF(N174="",-1,N174)&lt;=3),IF(C174="peso_corporal",IF(ISNUMBER(E174),E174,0)+L174,L174)*M174*1000+L174,0)=W174,3,IF(IF((J174&gt;0)*(IF(K174="",-1,K174)&gt;=1)*(IF(K174="",-1,K174)&lt;=3),IF(C174="peso_corporal",IF(ISNUMBER(E174),E174,0)+I174,I174)*J174*1000+I174,0)=W174,2,IF(IF((G174&gt;0)*(IF(H174="",-1,H174)&gt;=1)*(IF(H174="",-1,H174)&lt;=3),IF(C174="peso_corporal",IF(ISNUMBER(E174),E174,0)+F174,F174)*G174*1000+F174,0)=W174,1,0))))))</f>
        <v>0</v>
      </c>
      <c r="Y174" s="69">
        <f>MAX(IF((G174&gt;0)*(IF(H174="",-1,H174)=0)*(1-(IF(H174="",-1,H174)&gt;=1)*(IF(H174="",-1,H174)&lt;=3)),IF(C174="peso_corporal",IF(ISNUMBER(E174),E174,0)+F174,F174)*G174*1000+F174,0),IF((J174&gt;0)*(IF(K174="",-1,K174)=0)*(1-(IF(K174="",-1,K174)&gt;=1)*(IF(K174="",-1,K174)&lt;=3)),IF(C174="peso_corporal",IF(ISNUMBER(E174),E174,0)+I174,I174)*J174*1000+I174,0),IF((M174&gt;0)*(IF(N174="",-1,N174)=0)*(1-(IF(N174="",-1,N174)&gt;=1)*(IF(N174="",-1,N174)&lt;=3)),IF(C174="peso_corporal",IF(ISNUMBER(E174),E174,0)+L174,L174)*M174*1000+L174,0),IF((P174&gt;0)*(IF(Q174="",-1,Q174)=0)*(1-(IF(Q174="",-1,Q174)&gt;=1)*(IF(Q174="",-1,Q174)&lt;=3)),IF(C174="peso_corporal",IF(ISNUMBER(E174),E174,0)+O174,O174)*P174*1000+O174,0),IF((S174&gt;0)*(IF(T174="",-1,T174)=0)*(1-(IF(T174="",-1,T174)&gt;=1)*(IF(T174="",-1,T174)&lt;=3)),IF(C174="peso_corporal",IF(ISNUMBER(E174),E174,0)+R174,R174)*S174*1000+R174,0))</f>
        <v>0</v>
      </c>
      <c r="Z174" s="69">
        <f>IF(Y174=0,0,IF(IF((S174&gt;0)*(IF(T174="",-1,T174)=0)*(1-(IF(T174="",-1,T174)&gt;=1)*(IF(T174="",-1,T174)&lt;=3)),IF(C174="peso_corporal",IF(ISNUMBER(E174),E174,0)+R174,R174)*S174*1000+R174,0)=Y174,5,IF(IF((P174&gt;0)*(IF(Q174="",-1,Q174)=0)*(1-(IF(Q174="",-1,Q174)&gt;=1)*(IF(Q174="",-1,Q174)&lt;=3)),IF(C174="peso_corporal",IF(ISNUMBER(E174),E174,0)+O174,O174)*P174*1000+O174,0)=Y174,4,IF(IF((M174&gt;0)*(IF(N174="",-1,N174)=0)*(1-(IF(N174="",-1,N174)&gt;=1)*(IF(N174="",-1,N174)&lt;=3)),IF(C174="peso_corporal",IF(ISNUMBER(E174),E174,0)+L174,L174)*M174*1000+L174,0)=Y174,3,IF(IF((J174&gt;0)*(IF(K174="",-1,K174)=0)*(1-(IF(K174="",-1,K174)&gt;=1)*(IF(K174="",-1,K174)&lt;=3)),IF(C174="peso_corporal",IF(ISNUMBER(E174),E174,0)+I174,I174)*J174*1000+I174,0)=Y174,2,IF(IF((G174&gt;0)*(IF(H174="",-1,H174)=0)*(1-(IF(H174="",-1,H174)&gt;=1)*(IF(H174="",-1,H174)&lt;=3)),IF(C174="peso_corporal",IF(ISNUMBER(E174),E174,0)+F174,F174)*G174*1000+F174,0)=Y174,1,0))))))</f>
        <v>0</v>
      </c>
      <c r="AA174" s="69">
        <f>MAX(IF((G174&gt;=6)*(1-(IF(H174="",-1,H174)&gt;=1)*(IF(H174="",-1,H174)&lt;=3))*(1-(IF(H174="",-1,H174)=0)),IF(C174="peso_corporal",IF(ISNUMBER(E174),E174,0)+F174,F174)*(30+G174)*100+F174,0),IF((J174&gt;=6)*(1-(IF(K174="",-1,K174)&gt;=1)*(IF(K174="",-1,K174)&lt;=3))*(1-(IF(K174="",-1,K174)=0)),IF(C174="peso_corporal",IF(ISNUMBER(E174),E174,0)+I174,I174)*(30+J174)*100+I174,0),IF((M174&gt;=6)*(1-(IF(N174="",-1,N174)&gt;=1)*(IF(N174="",-1,N174)&lt;=3))*(1-(IF(N174="",-1,N174)=0)),IF(C174="peso_corporal",IF(ISNUMBER(E174),E174,0)+L174,L174)*(30+M174)*100+L174,0),IF((P174&gt;=6)*(1-(IF(Q174="",-1,Q174)&gt;=1)*(IF(Q174="",-1,Q174)&lt;=3))*(1-(IF(Q174="",-1,Q174)=0)),IF(C174="peso_corporal",IF(ISNUMBER(E174),E174,0)+O174,O174)*(30+P174)*100+O174,0),IF((S174&gt;=6)*(1-(IF(T174="",-1,T174)&gt;=1)*(IF(T174="",-1,T174)&lt;=3))*(1-(IF(T174="",-1,T174)=0)),IF(C174="peso_corporal",IF(ISNUMBER(E174),E174,0)+R174,R174)*(30+S174)*100+R174,0))</f>
        <v>0</v>
      </c>
      <c r="AB174" s="69">
        <f>IF(AA174=0,0,IF(IF((S174&gt;=6)*(1-(IF(T174="",-1,T174)&gt;=1)*(IF(T174="",-1,T174)&lt;=3))*(1-(IF(T174="",-1,T174)=0)),IF(C174="peso_corporal",IF(ISNUMBER(E174),E174,0)+R174,R174)*(30+S174)*100+R174,0)=AA174,5,IF(IF((P174&gt;=6)*(1-(IF(Q174="",-1,Q174)&gt;=1)*(IF(Q174="",-1,Q174)&lt;=3))*(1-(IF(Q174="",-1,Q174)=0)),IF(C174="peso_corporal",IF(ISNUMBER(E174),E174,0)+O174,O174)*(30+P174)*100+O174,0)=AA174,4,IF(IF((M174&gt;=6)*(1-(IF(N174="",-1,N174)&gt;=1)*(IF(N174="",-1,N174)&lt;=3))*(1-(IF(N174="",-1,N174)=0)),IF(C174="peso_corporal",IF(ISNUMBER(E174),E174,0)+L174,L174)*(30+M174)*100+L174,0)=AA174,3,IF(IF((J174&gt;=6)*(1-(IF(K174="",-1,K174)&gt;=1)*(IF(K174="",-1,K174)&lt;=3))*(1-(IF(K174="",-1,K174)=0)),IF(C174="peso_corporal",IF(ISNUMBER(E174),E174,0)+I174,I174)*(30+J174)*100+I174,0)=AA174,2,IF(IF((G174&gt;=6)*(1-(IF(H174="",-1,H174)&gt;=1)*(IF(H174="",-1,H174)&lt;=3))*(1-(IF(H174="",-1,H174)=0)),IF(C174="peso_corporal",IF(ISNUMBER(E174),E174,0)+F174,F174)*(30+G174)*100+F174,0)=AA174,1,0))))))</f>
        <v>0</v>
      </c>
      <c r="AC174" s="69" t="str">
        <f>IF(X174&gt;0,"A"&amp;X174,IF(Z174&gt;0,"B"&amp;Z174,IF(AB174&gt;0,"C"&amp;AB174,"")))</f>
        <v/>
      </c>
    </row>
    <row r="175" spans="1:29" ht="15" customHeight="1">
      <c r="A175" s="72" t="s">
        <v>56</v>
      </c>
      <c r="B175" s="73"/>
      <c r="C175" s="73"/>
      <c r="D175" s="73"/>
      <c r="E175" s="73"/>
      <c r="F175" s="73"/>
      <c r="G175" s="73"/>
      <c r="H175" s="73"/>
      <c r="I175" s="73"/>
      <c r="J175" s="73"/>
      <c r="K175" s="73"/>
      <c r="L175" s="73"/>
      <c r="M175" s="73"/>
      <c r="N175" s="73"/>
      <c r="O175" s="73"/>
      <c r="P175" s="73"/>
      <c r="Q175" s="73"/>
      <c r="R175" s="73"/>
      <c r="S175" s="73"/>
      <c r="T175" s="73"/>
      <c r="U175" s="73"/>
      <c r="V175" s="73"/>
      <c r="W175" s="69"/>
      <c r="X175" s="69"/>
      <c r="Y175" s="69"/>
      <c r="Z175" s="69"/>
      <c r="AA175" s="69"/>
      <c r="AB175" s="69"/>
      <c r="AC175" s="69"/>
    </row>
    <row r="176" spans="1:29" ht="20.100000000000001" customHeight="1">
      <c r="A176" s="14" t="s">
        <v>57</v>
      </c>
      <c r="B176" s="15" t="s">
        <v>58</v>
      </c>
      <c r="C176" s="16" t="str">
        <f>IFERROR(INDEX(EJERCICIOS!$D$3:$D$75,MATCH(A176&amp;"|"&amp;B176,EJERCICIOS!$G$3:$G$75,0)),"--")</f>
        <v>polea</v>
      </c>
      <c r="D176" s="17">
        <v>3</v>
      </c>
      <c r="E176" s="18">
        <f>IFERROR(LOOKUP(2,1/(MEDIDAS_Y_PESO!$B$3:$B$10&lt;&gt;""),MEDIDAS_Y_PESO!$B$3:$B$10),"--")</f>
        <v>80</v>
      </c>
      <c r="F176" s="19"/>
      <c r="G176" s="20"/>
      <c r="H176" s="21"/>
      <c r="I176" s="19"/>
      <c r="J176" s="20"/>
      <c r="K176" s="21"/>
      <c r="L176" s="19"/>
      <c r="M176" s="20"/>
      <c r="N176" s="21"/>
      <c r="O176" s="19"/>
      <c r="P176" s="20"/>
      <c r="Q176" s="21"/>
      <c r="R176" s="19"/>
      <c r="S176" s="20"/>
      <c r="T176" s="21"/>
      <c r="U176" s="22" t="str">
        <f>IFERROR(IF(IF(X176&gt;0,X176,IF(Z176&gt;0,Z176,IF(AB176&gt;0,AB176,0)))=0,"--",ROUND(CHOOSE(IF(X176&gt;0,X176,IF(Z176&gt;0,Z176,IF(AB176&gt;0,AB176,0))),IF(C176="peso_corporal",IF(ISNUMBER(E176),E176,0)+F176,F176)*(1+G176/30),IF(C176="peso_corporal",IF(ISNUMBER(E176),E176,0)+I176,I176)*(1+J176/30),IF(C176="peso_corporal",IF(ISNUMBER(E176),E176,0)+L176,L176)*(1+M176/30),IF(C176="peso_corporal",IF(ISNUMBER(E176),E176,0)+O176,O176)*(1+P176/30),IF(C176="peso_corporal",IF(ISNUMBER(E176),E176,0)+R176,R176)*(1+S176/30)),1)),"--")</f>
        <v>--</v>
      </c>
      <c r="V176" s="23" t="str">
        <f>IF(SUGERENCIAS!N466="SIN","Sin datos anteriores",IF(SUGERENCIAS!N466="SUBIR_F","^ SUBIR FUERTE | Kg:"&amp;ROUND(SUGERENCIAS!K466,1)&amp;" R:"&amp;ROUND(SUGERENCIAS!L466,0)&amp;" RIR:"&amp;ROUND(SUGERENCIAS!M466,0),IF(SUGERENCIAS!N466="SUBIR_E","^ SUBIR (Est.) | Kg:"&amp;ROUND(SUGERENCIAS!K466,1)&amp;" R:"&amp;ROUND(SUGERENCIAS!L466,0)&amp;" RIR:"&amp;ROUND(SUGERENCIAS!M466,0),IF(SUGERENCIAS!N466="SUBIR","^ SUBIR | Kg:"&amp;ROUND(SUGERENCIAS!K466,1)&amp;" R:"&amp;ROUND(SUGERENCIAS!L466,0)&amp;" RIR:"&amp;ROUND(SUGERENCIAS!M466,0),IF(SUGERENCIAS!N466="BAJAR","v BAJAR | Kg:"&amp;ROUND(SUGERENCIAS!K466,1)&amp;" R:"&amp;ROUND(SUGERENCIAS!L466,0)&amp;" RIR:"&amp;ROUND(SUGERENCIAS!M466,0),"= MANT | Kg:"&amp;ROUND(SUGERENCIAS!K466,1)&amp;" R:"&amp;ROUND(SUGERENCIAS!L466,0)&amp;" RIR:"&amp;ROUND(SUGERENCIAS!M466,0))))))</f>
        <v>Sin datos anteriores</v>
      </c>
      <c r="W176" s="69">
        <f>MAX(IF((G176&gt;0)*(IF(H176="",-1,H176)&gt;=1)*(IF(H176="",-1,H176)&lt;=3),IF(C176="peso_corporal",IF(ISNUMBER(E176),E176,0)+F176,F176)*G176*1000+F176,0),IF((J176&gt;0)*(IF(K176="",-1,K176)&gt;=1)*(IF(K176="",-1,K176)&lt;=3),IF(C176="peso_corporal",IF(ISNUMBER(E176),E176,0)+I176,I176)*J176*1000+I176,0),IF((M176&gt;0)*(IF(N176="",-1,N176)&gt;=1)*(IF(N176="",-1,N176)&lt;=3),IF(C176="peso_corporal",IF(ISNUMBER(E176),E176,0)+L176,L176)*M176*1000+L176,0),IF((P176&gt;0)*(IF(Q176="",-1,Q176)&gt;=1)*(IF(Q176="",-1,Q176)&lt;=3),IF(C176="peso_corporal",IF(ISNUMBER(E176),E176,0)+O176,O176)*P176*1000+O176,0),IF((S176&gt;0)*(IF(T176="",-1,T176)&gt;=1)*(IF(T176="",-1,T176)&lt;=3),IF(C176="peso_corporal",IF(ISNUMBER(E176),E176,0)+R176,R176)*S176*1000+R176,0))</f>
        <v>0</v>
      </c>
      <c r="X176" s="69">
        <f>IF(W176=0,0,IF(IF((S176&gt;0)*(IF(T176="",-1,T176)&gt;=1)*(IF(T176="",-1,T176)&lt;=3),IF(C176="peso_corporal",IF(ISNUMBER(E176),E176,0)+R176,R176)*S176*1000+R176,0)=W176,5,IF(IF((P176&gt;0)*(IF(Q176="",-1,Q176)&gt;=1)*(IF(Q176="",-1,Q176)&lt;=3),IF(C176="peso_corporal",IF(ISNUMBER(E176),E176,0)+O176,O176)*P176*1000+O176,0)=W176,4,IF(IF((M176&gt;0)*(IF(N176="",-1,N176)&gt;=1)*(IF(N176="",-1,N176)&lt;=3),IF(C176="peso_corporal",IF(ISNUMBER(E176),E176,0)+L176,L176)*M176*1000+L176,0)=W176,3,IF(IF((J176&gt;0)*(IF(K176="",-1,K176)&gt;=1)*(IF(K176="",-1,K176)&lt;=3),IF(C176="peso_corporal",IF(ISNUMBER(E176),E176,0)+I176,I176)*J176*1000+I176,0)=W176,2,IF(IF((G176&gt;0)*(IF(H176="",-1,H176)&gt;=1)*(IF(H176="",-1,H176)&lt;=3),IF(C176="peso_corporal",IF(ISNUMBER(E176),E176,0)+F176,F176)*G176*1000+F176,0)=W176,1,0))))))</f>
        <v>0</v>
      </c>
      <c r="Y176" s="69">
        <f>MAX(IF((G176&gt;0)*(IF(H176="",-1,H176)=0)*(1-(IF(H176="",-1,H176)&gt;=1)*(IF(H176="",-1,H176)&lt;=3)),IF(C176="peso_corporal",IF(ISNUMBER(E176),E176,0)+F176,F176)*G176*1000+F176,0),IF((J176&gt;0)*(IF(K176="",-1,K176)=0)*(1-(IF(K176="",-1,K176)&gt;=1)*(IF(K176="",-1,K176)&lt;=3)),IF(C176="peso_corporal",IF(ISNUMBER(E176),E176,0)+I176,I176)*J176*1000+I176,0),IF((M176&gt;0)*(IF(N176="",-1,N176)=0)*(1-(IF(N176="",-1,N176)&gt;=1)*(IF(N176="",-1,N176)&lt;=3)),IF(C176="peso_corporal",IF(ISNUMBER(E176),E176,0)+L176,L176)*M176*1000+L176,0),IF((P176&gt;0)*(IF(Q176="",-1,Q176)=0)*(1-(IF(Q176="",-1,Q176)&gt;=1)*(IF(Q176="",-1,Q176)&lt;=3)),IF(C176="peso_corporal",IF(ISNUMBER(E176),E176,0)+O176,O176)*P176*1000+O176,0),IF((S176&gt;0)*(IF(T176="",-1,T176)=0)*(1-(IF(T176="",-1,T176)&gt;=1)*(IF(T176="",-1,T176)&lt;=3)),IF(C176="peso_corporal",IF(ISNUMBER(E176),E176,0)+R176,R176)*S176*1000+R176,0))</f>
        <v>0</v>
      </c>
      <c r="Z176" s="69">
        <f>IF(Y176=0,0,IF(IF((S176&gt;0)*(IF(T176="",-1,T176)=0)*(1-(IF(T176="",-1,T176)&gt;=1)*(IF(T176="",-1,T176)&lt;=3)),IF(C176="peso_corporal",IF(ISNUMBER(E176),E176,0)+R176,R176)*S176*1000+R176,0)=Y176,5,IF(IF((P176&gt;0)*(IF(Q176="",-1,Q176)=0)*(1-(IF(Q176="",-1,Q176)&gt;=1)*(IF(Q176="",-1,Q176)&lt;=3)),IF(C176="peso_corporal",IF(ISNUMBER(E176),E176,0)+O176,O176)*P176*1000+O176,0)=Y176,4,IF(IF((M176&gt;0)*(IF(N176="",-1,N176)=0)*(1-(IF(N176="",-1,N176)&gt;=1)*(IF(N176="",-1,N176)&lt;=3)),IF(C176="peso_corporal",IF(ISNUMBER(E176),E176,0)+L176,L176)*M176*1000+L176,0)=Y176,3,IF(IF((J176&gt;0)*(IF(K176="",-1,K176)=0)*(1-(IF(K176="",-1,K176)&gt;=1)*(IF(K176="",-1,K176)&lt;=3)),IF(C176="peso_corporal",IF(ISNUMBER(E176),E176,0)+I176,I176)*J176*1000+I176,0)=Y176,2,IF(IF((G176&gt;0)*(IF(H176="",-1,H176)=0)*(1-(IF(H176="",-1,H176)&gt;=1)*(IF(H176="",-1,H176)&lt;=3)),IF(C176="peso_corporal",IF(ISNUMBER(E176),E176,0)+F176,F176)*G176*1000+F176,0)=Y176,1,0))))))</f>
        <v>0</v>
      </c>
      <c r="AA176" s="69">
        <f>MAX(IF((G176&gt;=6)*(1-(IF(H176="",-1,H176)&gt;=1)*(IF(H176="",-1,H176)&lt;=3))*(1-(IF(H176="",-1,H176)=0)),IF(C176="peso_corporal",IF(ISNUMBER(E176),E176,0)+F176,F176)*(30+G176)*100+F176,0),IF((J176&gt;=6)*(1-(IF(K176="",-1,K176)&gt;=1)*(IF(K176="",-1,K176)&lt;=3))*(1-(IF(K176="",-1,K176)=0)),IF(C176="peso_corporal",IF(ISNUMBER(E176),E176,0)+I176,I176)*(30+J176)*100+I176,0),IF((M176&gt;=6)*(1-(IF(N176="",-1,N176)&gt;=1)*(IF(N176="",-1,N176)&lt;=3))*(1-(IF(N176="",-1,N176)=0)),IF(C176="peso_corporal",IF(ISNUMBER(E176),E176,0)+L176,L176)*(30+M176)*100+L176,0),IF((P176&gt;=6)*(1-(IF(Q176="",-1,Q176)&gt;=1)*(IF(Q176="",-1,Q176)&lt;=3))*(1-(IF(Q176="",-1,Q176)=0)),IF(C176="peso_corporal",IF(ISNUMBER(E176),E176,0)+O176,O176)*(30+P176)*100+O176,0),IF((S176&gt;=6)*(1-(IF(T176="",-1,T176)&gt;=1)*(IF(T176="",-1,T176)&lt;=3))*(1-(IF(T176="",-1,T176)=0)),IF(C176="peso_corporal",IF(ISNUMBER(E176),E176,0)+R176,R176)*(30+S176)*100+R176,0))</f>
        <v>0</v>
      </c>
      <c r="AB176" s="69">
        <f>IF(AA176=0,0,IF(IF((S176&gt;=6)*(1-(IF(T176="",-1,T176)&gt;=1)*(IF(T176="",-1,T176)&lt;=3))*(1-(IF(T176="",-1,T176)=0)),IF(C176="peso_corporal",IF(ISNUMBER(E176),E176,0)+R176,R176)*(30+S176)*100+R176,0)=AA176,5,IF(IF((P176&gt;=6)*(1-(IF(Q176="",-1,Q176)&gt;=1)*(IF(Q176="",-1,Q176)&lt;=3))*(1-(IF(Q176="",-1,Q176)=0)),IF(C176="peso_corporal",IF(ISNUMBER(E176),E176,0)+O176,O176)*(30+P176)*100+O176,0)=AA176,4,IF(IF((M176&gt;=6)*(1-(IF(N176="",-1,N176)&gt;=1)*(IF(N176="",-1,N176)&lt;=3))*(1-(IF(N176="",-1,N176)=0)),IF(C176="peso_corporal",IF(ISNUMBER(E176),E176,0)+L176,L176)*(30+M176)*100+L176,0)=AA176,3,IF(IF((J176&gt;=6)*(1-(IF(K176="",-1,K176)&gt;=1)*(IF(K176="",-1,K176)&lt;=3))*(1-(IF(K176="",-1,K176)=0)),IF(C176="peso_corporal",IF(ISNUMBER(E176),E176,0)+I176,I176)*(30+J176)*100+I176,0)=AA176,2,IF(IF((G176&gt;=6)*(1-(IF(H176="",-1,H176)&gt;=1)*(IF(H176="",-1,H176)&lt;=3))*(1-(IF(H176="",-1,H176)=0)),IF(C176="peso_corporal",IF(ISNUMBER(E176),E176,0)+F176,F176)*(30+G176)*100+F176,0)=AA176,1,0))))))</f>
        <v>0</v>
      </c>
      <c r="AC176" s="69" t="str">
        <f>IF(X176&gt;0,"A"&amp;X176,IF(Z176&gt;0,"B"&amp;Z176,IF(AB176&gt;0,"C"&amp;AB176,"")))</f>
        <v/>
      </c>
    </row>
    <row r="177" spans="1:29" ht="6"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69"/>
      <c r="X177" s="69"/>
      <c r="Y177" s="69"/>
      <c r="Z177" s="69"/>
      <c r="AA177" s="69"/>
      <c r="AB177" s="69"/>
      <c r="AC177" s="69"/>
    </row>
    <row r="178" spans="1:29" ht="18" customHeight="1">
      <c r="A178" s="85" t="s">
        <v>74</v>
      </c>
      <c r="B178" s="73"/>
      <c r="C178" s="73"/>
      <c r="D178" s="73"/>
      <c r="E178" s="73"/>
      <c r="F178" s="73"/>
      <c r="G178" s="73"/>
      <c r="H178" s="73"/>
      <c r="I178" s="73"/>
      <c r="J178" s="73"/>
      <c r="K178" s="73"/>
      <c r="L178" s="73"/>
      <c r="M178" s="73"/>
      <c r="N178" s="73"/>
      <c r="O178" s="73"/>
      <c r="P178" s="73"/>
      <c r="Q178" s="73"/>
      <c r="R178" s="73"/>
      <c r="S178" s="73"/>
      <c r="T178" s="73"/>
      <c r="U178" s="73"/>
      <c r="V178" s="73"/>
      <c r="W178" s="69"/>
      <c r="X178" s="69"/>
      <c r="Y178" s="69"/>
      <c r="Z178" s="69"/>
      <c r="AA178" s="69"/>
      <c r="AB178" s="69"/>
      <c r="AC178" s="69"/>
    </row>
    <row r="179" spans="1:29" ht="15" customHeight="1">
      <c r="A179" s="75" t="s">
        <v>88</v>
      </c>
      <c r="B179" s="73"/>
      <c r="C179" s="73"/>
      <c r="D179" s="73"/>
      <c r="E179" s="73"/>
      <c r="F179" s="73"/>
      <c r="G179" s="73"/>
      <c r="H179" s="73"/>
      <c r="I179" s="73"/>
      <c r="J179" s="73"/>
      <c r="K179" s="73"/>
      <c r="L179" s="73"/>
      <c r="M179" s="73"/>
      <c r="N179" s="73"/>
      <c r="O179" s="73"/>
      <c r="P179" s="73"/>
      <c r="Q179" s="73"/>
      <c r="R179" s="73"/>
      <c r="S179" s="73"/>
      <c r="T179" s="73"/>
      <c r="U179" s="73"/>
      <c r="V179" s="73"/>
      <c r="W179" s="69"/>
      <c r="X179" s="69"/>
      <c r="Y179" s="69"/>
      <c r="Z179" s="69"/>
      <c r="AA179" s="69"/>
      <c r="AB179" s="69"/>
      <c r="AC179" s="69"/>
    </row>
    <row r="180" spans="1:29" ht="11.1" customHeight="1">
      <c r="A180" s="76" t="s">
        <v>89</v>
      </c>
      <c r="B180" s="73"/>
      <c r="C180" s="73"/>
      <c r="D180" s="73"/>
      <c r="E180" s="73"/>
      <c r="F180" s="73"/>
      <c r="G180" s="73"/>
      <c r="H180" s="73"/>
      <c r="I180" s="73"/>
      <c r="J180" s="73"/>
      <c r="K180" s="73"/>
      <c r="L180" s="73"/>
      <c r="M180" s="73"/>
      <c r="N180" s="73"/>
      <c r="O180" s="73"/>
      <c r="P180" s="73"/>
      <c r="Q180" s="73"/>
      <c r="R180" s="73"/>
      <c r="S180" s="73"/>
      <c r="T180" s="73"/>
      <c r="U180" s="73"/>
      <c r="V180" s="73"/>
      <c r="W180" s="69"/>
      <c r="X180" s="69"/>
      <c r="Y180" s="69"/>
      <c r="Z180" s="69"/>
      <c r="AA180" s="69"/>
      <c r="AB180" s="69"/>
      <c r="AC180" s="69"/>
    </row>
    <row r="181" spans="1:29" ht="20.100000000000001" customHeight="1">
      <c r="A181" s="14" t="s">
        <v>90</v>
      </c>
      <c r="B181" s="15" t="s">
        <v>91</v>
      </c>
      <c r="C181" s="16" t="str">
        <f>IFERROR(INDEX(EJERCICIOS!$D$3:$D$75,MATCH(A181&amp;"|"&amp;B181,EJERCICIOS!$G$3:$G$75,0)),"--")</f>
        <v>peso_corporal</v>
      </c>
      <c r="D181" s="17">
        <v>3</v>
      </c>
      <c r="E181" s="18">
        <f>IFERROR(LOOKUP(2,1/(MEDIDAS_Y_PESO!$B$3:$B$11&lt;&gt;""),MEDIDAS_Y_PESO!$B$3:$B$11),"--")</f>
        <v>80</v>
      </c>
      <c r="F181" s="19"/>
      <c r="G181" s="20"/>
      <c r="H181" s="21"/>
      <c r="I181" s="19"/>
      <c r="J181" s="20"/>
      <c r="K181" s="21"/>
      <c r="L181" s="19"/>
      <c r="M181" s="20"/>
      <c r="N181" s="21"/>
      <c r="O181" s="19"/>
      <c r="P181" s="20"/>
      <c r="Q181" s="21"/>
      <c r="R181" s="19"/>
      <c r="S181" s="20"/>
      <c r="T181" s="21"/>
      <c r="U181" s="22" t="str">
        <f>IFERROR(IF(IF(X181&gt;0,X181,IF(Z181&gt;0,Z181,IF(AB181&gt;0,AB181,0)))=0,"--",ROUND(CHOOSE(IF(X181&gt;0,X181,IF(Z181&gt;0,Z181,IF(AB181&gt;0,AB181,0))),IF(C181="peso_corporal",IF(ISNUMBER(E181),E181,0)+F181,F181)*(1+G181/30),IF(C181="peso_corporal",IF(ISNUMBER(E181),E181,0)+I181,I181)*(1+J181/30),IF(C181="peso_corporal",IF(ISNUMBER(E181),E181,0)+L181,L181)*(1+M181/30),IF(C181="peso_corporal",IF(ISNUMBER(E181),E181,0)+O181,O181)*(1+P181/30),IF(C181="peso_corporal",IF(ISNUMBER(E181),E181,0)+R181,R181)*(1+S181/30)),1)),"--")</f>
        <v>--</v>
      </c>
      <c r="V181" s="23" t="str">
        <f>IF(SUGERENCIAS!N519="SIN","Sin datos anteriores",IF(SUGERENCIAS!N519="SUBIR_F","^ SUBIR FUERTE | Kg:"&amp;ROUND(SUGERENCIAS!K519,1)&amp;" R:"&amp;ROUND(SUGERENCIAS!L519,0)&amp;" RIR:"&amp;ROUND(SUGERENCIAS!M519,0),IF(SUGERENCIAS!N519="SUBIR_E","^ SUBIR (Est.) | Kg:"&amp;ROUND(SUGERENCIAS!K519,1)&amp;" R:"&amp;ROUND(SUGERENCIAS!L519,0)&amp;" RIR:"&amp;ROUND(SUGERENCIAS!M519,0),IF(SUGERENCIAS!N519="SUBIR","^ SUBIR | Kg:"&amp;ROUND(SUGERENCIAS!K519,1)&amp;" R:"&amp;ROUND(SUGERENCIAS!L519,0)&amp;" RIR:"&amp;ROUND(SUGERENCIAS!M519,0),IF(SUGERENCIAS!N519="BAJAR","v BAJAR | Kg:"&amp;ROUND(SUGERENCIAS!K519,1)&amp;" R:"&amp;ROUND(SUGERENCIAS!L519,0)&amp;" RIR:"&amp;ROUND(SUGERENCIAS!M519,0),"= MANT | Kg:"&amp;ROUND(SUGERENCIAS!K519,1)&amp;" R:"&amp;ROUND(SUGERENCIAS!L519,0)&amp;" RIR:"&amp;ROUND(SUGERENCIAS!M519,0))))))</f>
        <v>Sin datos anteriores</v>
      </c>
      <c r="W181" s="69">
        <f>MAX(IF((G181&gt;0)*(IF(H181="",-1,H181)&gt;=0)*(IF(H181="",-1,H181)&lt;=1),IF(C181="peso_corporal",IF(ISNUMBER(E181),E181,0)+F181,F181)*G181*1000+F181,0),IF((J181&gt;0)*(IF(K181="",-1,K181)&gt;=0)*(IF(K181="",-1,K181)&lt;=1),IF(C181="peso_corporal",IF(ISNUMBER(E181),E181,0)+I181,I181)*J181*1000+I181,0),IF((M181&gt;0)*(IF(N181="",-1,N181)&gt;=0)*(IF(N181="",-1,N181)&lt;=1),IF(C181="peso_corporal",IF(ISNUMBER(E181),E181,0)+L181,L181)*M181*1000+L181,0),IF((P181&gt;0)*(IF(Q181="",-1,Q181)&gt;=0)*(IF(Q181="",-1,Q181)&lt;=1),IF(C181="peso_corporal",IF(ISNUMBER(E181),E181,0)+O181,O181)*P181*1000+O181,0),IF((S181&gt;0)*(IF(T181="",-1,T181)&gt;=0)*(IF(T181="",-1,T181)&lt;=1),IF(C181="peso_corporal",IF(ISNUMBER(E181),E181,0)+R181,R181)*S181*1000+R181,0))</f>
        <v>0</v>
      </c>
      <c r="X181" s="69">
        <f>IF(W181=0,0,IF(IF((S181&gt;0)*(IF(T181="",-1,T181)&gt;=0)*(IF(T181="",-1,T181)&lt;=1),IF(C181="peso_corporal",IF(ISNUMBER(E181),E181,0)+R181,R181)*S181*1000+R181,0)=W181,5,IF(IF((P181&gt;0)*(IF(Q181="",-1,Q181)&gt;=0)*(IF(Q181="",-1,Q181)&lt;=1),IF(C181="peso_corporal",IF(ISNUMBER(E181),E181,0)+O181,O181)*P181*1000+O181,0)=W181,4,IF(IF((M181&gt;0)*(IF(N181="",-1,N181)&gt;=0)*(IF(N181="",-1,N181)&lt;=1),IF(C181="peso_corporal",IF(ISNUMBER(E181),E181,0)+L181,L181)*M181*1000+L181,0)=W181,3,IF(IF((J181&gt;0)*(IF(K181="",-1,K181)&gt;=0)*(IF(K181="",-1,K181)&lt;=1),IF(C181="peso_corporal",IF(ISNUMBER(E181),E181,0)+I181,I181)*J181*1000+I181,0)=W181,2,IF(IF((G181&gt;0)*(IF(H181="",-1,H181)&gt;=0)*(IF(H181="",-1,H181)&lt;=1),IF(C181="peso_corporal",IF(ISNUMBER(E181),E181,0)+F181,F181)*G181*1000+F181,0)=W181,1,0))))))</f>
        <v>0</v>
      </c>
      <c r="Y181" s="69">
        <f>MAX(IF((G181&gt;0)*(IF(H181="",-1,H181)=0)*(1-(IF(H181="",-1,H181)&gt;=0)*(IF(H181="",-1,H181)&lt;=1)),IF(C181="peso_corporal",IF(ISNUMBER(E181),E181,0)+F181,F181)*G181*1000+F181,0),IF((J181&gt;0)*(IF(K181="",-1,K181)=0)*(1-(IF(K181="",-1,K181)&gt;=0)*(IF(K181="",-1,K181)&lt;=1)),IF(C181="peso_corporal",IF(ISNUMBER(E181),E181,0)+I181,I181)*J181*1000+I181,0),IF((M181&gt;0)*(IF(N181="",-1,N181)=0)*(1-(IF(N181="",-1,N181)&gt;=0)*(IF(N181="",-1,N181)&lt;=1)),IF(C181="peso_corporal",IF(ISNUMBER(E181),E181,0)+L181,L181)*M181*1000+L181,0),IF((P181&gt;0)*(IF(Q181="",-1,Q181)=0)*(1-(IF(Q181="",-1,Q181)&gt;=0)*(IF(Q181="",-1,Q181)&lt;=1)),IF(C181="peso_corporal",IF(ISNUMBER(E181),E181,0)+O181,O181)*P181*1000+O181,0),IF((S181&gt;0)*(IF(T181="",-1,T181)=0)*(1-(IF(T181="",-1,T181)&gt;=0)*(IF(T181="",-1,T181)&lt;=1)),IF(C181="peso_corporal",IF(ISNUMBER(E181),E181,0)+R181,R181)*S181*1000+R181,0))</f>
        <v>0</v>
      </c>
      <c r="Z181" s="69">
        <f>IF(Y181=0,0,IF(IF((S181&gt;0)*(IF(T181="",-1,T181)=0)*(1-(IF(T181="",-1,T181)&gt;=0)*(IF(T181="",-1,T181)&lt;=1)),IF(C181="peso_corporal",IF(ISNUMBER(E181),E181,0)+R181,R181)*S181*1000+R181,0)=Y181,5,IF(IF((P181&gt;0)*(IF(Q181="",-1,Q181)=0)*(1-(IF(Q181="",-1,Q181)&gt;=0)*(IF(Q181="",-1,Q181)&lt;=1)),IF(C181="peso_corporal",IF(ISNUMBER(E181),E181,0)+O181,O181)*P181*1000+O181,0)=Y181,4,IF(IF((M181&gt;0)*(IF(N181="",-1,N181)=0)*(1-(IF(N181="",-1,N181)&gt;=0)*(IF(N181="",-1,N181)&lt;=1)),IF(C181="peso_corporal",IF(ISNUMBER(E181),E181,0)+L181,L181)*M181*1000+L181,0)=Y181,3,IF(IF((J181&gt;0)*(IF(K181="",-1,K181)=0)*(1-(IF(K181="",-1,K181)&gt;=0)*(IF(K181="",-1,K181)&lt;=1)),IF(C181="peso_corporal",IF(ISNUMBER(E181),E181,0)+I181,I181)*J181*1000+I181,0)=Y181,2,IF(IF((G181&gt;0)*(IF(H181="",-1,H181)=0)*(1-(IF(H181="",-1,H181)&gt;=0)*(IF(H181="",-1,H181)&lt;=1)),IF(C181="peso_corporal",IF(ISNUMBER(E181),E181,0)+F181,F181)*G181*1000+F181,0)=Y181,1,0))))))</f>
        <v>0</v>
      </c>
      <c r="AA181" s="69">
        <f>MAX(IF((G181&gt;=3)*(1-(IF(H181="",-1,H181)&gt;=0)*(IF(H181="",-1,H181)&lt;=1))*(1-(IF(H181="",-1,H181)=0)),IF(C181="peso_corporal",IF(ISNUMBER(E181),E181,0)+F181,F181)*(30+G181)*100+F181,0),IF((J181&gt;=3)*(1-(IF(K181="",-1,K181)&gt;=0)*(IF(K181="",-1,K181)&lt;=1))*(1-(IF(K181="",-1,K181)=0)),IF(C181="peso_corporal",IF(ISNUMBER(E181),E181,0)+I181,I181)*(30+J181)*100+I181,0),IF((M181&gt;=3)*(1-(IF(N181="",-1,N181)&gt;=0)*(IF(N181="",-1,N181)&lt;=1))*(1-(IF(N181="",-1,N181)=0)),IF(C181="peso_corporal",IF(ISNUMBER(E181),E181,0)+L181,L181)*(30+M181)*100+L181,0),IF((P181&gt;=3)*(1-(IF(Q181="",-1,Q181)&gt;=0)*(IF(Q181="",-1,Q181)&lt;=1))*(1-(IF(Q181="",-1,Q181)=0)),IF(C181="peso_corporal",IF(ISNUMBER(E181),E181,0)+O181,O181)*(30+P181)*100+O181,0),IF((S181&gt;=3)*(1-(IF(T181="",-1,T181)&gt;=0)*(IF(T181="",-1,T181)&lt;=1))*(1-(IF(T181="",-1,T181)=0)),IF(C181="peso_corporal",IF(ISNUMBER(E181),E181,0)+R181,R181)*(30+S181)*100+R181,0))</f>
        <v>0</v>
      </c>
      <c r="AB181" s="69">
        <f>IF(AA181=0,0,IF(IF((S181&gt;=3)*(1-(IF(T181="",-1,T181)&gt;=0)*(IF(T181="",-1,T181)&lt;=1))*(1-(IF(T181="",-1,T181)=0)),IF(C181="peso_corporal",IF(ISNUMBER(E181),E181,0)+R181,R181)*(30+S181)*100+R181,0)=AA181,5,IF(IF((P181&gt;=3)*(1-(IF(Q181="",-1,Q181)&gt;=0)*(IF(Q181="",-1,Q181)&lt;=1))*(1-(IF(Q181="",-1,Q181)=0)),IF(C181="peso_corporal",IF(ISNUMBER(E181),E181,0)+O181,O181)*(30+P181)*100+O181,0)=AA181,4,IF(IF((M181&gt;=3)*(1-(IF(N181="",-1,N181)&gt;=0)*(IF(N181="",-1,N181)&lt;=1))*(1-(IF(N181="",-1,N181)=0)),IF(C181="peso_corporal",IF(ISNUMBER(E181),E181,0)+L181,L181)*(30+M181)*100+L181,0)=AA181,3,IF(IF((J181&gt;=3)*(1-(IF(K181="",-1,K181)&gt;=0)*(IF(K181="",-1,K181)&lt;=1))*(1-(IF(K181="",-1,K181)=0)),IF(C181="peso_corporal",IF(ISNUMBER(E181),E181,0)+I181,I181)*(30+J181)*100+I181,0)=AA181,2,IF(IF((G181&gt;=3)*(1-(IF(H181="",-1,H181)&gt;=0)*(IF(H181="",-1,H181)&lt;=1))*(1-(IF(H181="",-1,H181)=0)),IF(C181="peso_corporal",IF(ISNUMBER(E181),E181,0)+F181,F181)*(30+G181)*100+F181,0)=AA181,1,0))))))</f>
        <v>0</v>
      </c>
      <c r="AC181" s="69" t="str">
        <f>IF(X181&gt;0,"A"&amp;X181,IF(Z181&gt;0,"B"&amp;Z181,IF(AB181&gt;0,"C"&amp;AB181,"")))</f>
        <v/>
      </c>
    </row>
    <row r="182" spans="1:29" ht="20.100000000000001" customHeight="1">
      <c r="A182" s="14" t="s">
        <v>92</v>
      </c>
      <c r="B182" s="15" t="s">
        <v>108</v>
      </c>
      <c r="C182" s="16" t="str">
        <f>IFERROR(INDEX(EJERCICIOS!$D$3:$D$75,MATCH(A182&amp;"|"&amp;B182,EJERCICIOS!$G$3:$G$75,0)),"--")</f>
        <v>polea</v>
      </c>
      <c r="D182" s="17">
        <v>3</v>
      </c>
      <c r="E182" s="18">
        <f>IFERROR(LOOKUP(2,1/(MEDIDAS_Y_PESO!$B$3:$B$11&lt;&gt;""),MEDIDAS_Y_PESO!$B$3:$B$11),"--")</f>
        <v>80</v>
      </c>
      <c r="F182" s="19"/>
      <c r="G182" s="20"/>
      <c r="H182" s="21"/>
      <c r="I182" s="19"/>
      <c r="J182" s="20"/>
      <c r="K182" s="21"/>
      <c r="L182" s="19"/>
      <c r="M182" s="20"/>
      <c r="N182" s="21"/>
      <c r="O182" s="19"/>
      <c r="P182" s="20"/>
      <c r="Q182" s="21"/>
      <c r="R182" s="19"/>
      <c r="S182" s="20"/>
      <c r="T182" s="21"/>
      <c r="U182" s="22" t="str">
        <f>IFERROR(IF(IF(X182&gt;0,X182,IF(Z182&gt;0,Z182,IF(AB182&gt;0,AB182,0)))=0,"--",ROUND(CHOOSE(IF(X182&gt;0,X182,IF(Z182&gt;0,Z182,IF(AB182&gt;0,AB182,0))),IF(C182="peso_corporal",IF(ISNUMBER(E182),E182,0)+F182,F182)*(1+G182/30),IF(C182="peso_corporal",IF(ISNUMBER(E182),E182,0)+I182,I182)*(1+J182/30),IF(C182="peso_corporal",IF(ISNUMBER(E182),E182,0)+L182,L182)*(1+M182/30),IF(C182="peso_corporal",IF(ISNUMBER(E182),E182,0)+O182,O182)*(1+P182/30),IF(C182="peso_corporal",IF(ISNUMBER(E182),E182,0)+R182,R182)*(1+S182/30)),1)),"--")</f>
        <v>--</v>
      </c>
      <c r="V182" s="23" t="str">
        <f>IF(SUGERENCIAS!N520="SIN","Sin datos anteriores",IF(SUGERENCIAS!N520="SUBIR_F","^ SUBIR FUERTE | Kg:"&amp;ROUND(SUGERENCIAS!K520,1)&amp;" R:"&amp;ROUND(SUGERENCIAS!L520,0)&amp;" RIR:"&amp;ROUND(SUGERENCIAS!M520,0),IF(SUGERENCIAS!N520="SUBIR_E","^ SUBIR (Est.) | Kg:"&amp;ROUND(SUGERENCIAS!K520,1)&amp;" R:"&amp;ROUND(SUGERENCIAS!L520,0)&amp;" RIR:"&amp;ROUND(SUGERENCIAS!M520,0),IF(SUGERENCIAS!N520="SUBIR","^ SUBIR | Kg:"&amp;ROUND(SUGERENCIAS!K520,1)&amp;" R:"&amp;ROUND(SUGERENCIAS!L520,0)&amp;" RIR:"&amp;ROUND(SUGERENCIAS!M520,0),IF(SUGERENCIAS!N520="BAJAR","v BAJAR | Kg:"&amp;ROUND(SUGERENCIAS!K520,1)&amp;" R:"&amp;ROUND(SUGERENCIAS!L520,0)&amp;" RIR:"&amp;ROUND(SUGERENCIAS!M520,0),"= MANT | Kg:"&amp;ROUND(SUGERENCIAS!K520,1)&amp;" R:"&amp;ROUND(SUGERENCIAS!L520,0)&amp;" RIR:"&amp;ROUND(SUGERENCIAS!M520,0))))))</f>
        <v>Sin datos anteriores</v>
      </c>
      <c r="W182" s="69">
        <f>MAX(IF((G182&gt;0)*(IF(H182="",-1,H182)&gt;=0)*(IF(H182="",-1,H182)&lt;=1),IF(C182="peso_corporal",IF(ISNUMBER(E182),E182,0)+F182,F182)*G182*1000+F182,0),IF((J182&gt;0)*(IF(K182="",-1,K182)&gt;=0)*(IF(K182="",-1,K182)&lt;=1),IF(C182="peso_corporal",IF(ISNUMBER(E182),E182,0)+I182,I182)*J182*1000+I182,0),IF((M182&gt;0)*(IF(N182="",-1,N182)&gt;=0)*(IF(N182="",-1,N182)&lt;=1),IF(C182="peso_corporal",IF(ISNUMBER(E182),E182,0)+L182,L182)*M182*1000+L182,0),IF((P182&gt;0)*(IF(Q182="",-1,Q182)&gt;=0)*(IF(Q182="",-1,Q182)&lt;=1),IF(C182="peso_corporal",IF(ISNUMBER(E182),E182,0)+O182,O182)*P182*1000+O182,0),IF((S182&gt;0)*(IF(T182="",-1,T182)&gt;=0)*(IF(T182="",-1,T182)&lt;=1),IF(C182="peso_corporal",IF(ISNUMBER(E182),E182,0)+R182,R182)*S182*1000+R182,0))</f>
        <v>0</v>
      </c>
      <c r="X182" s="69">
        <f>IF(W182=0,0,IF(IF((S182&gt;0)*(IF(T182="",-1,T182)&gt;=0)*(IF(T182="",-1,T182)&lt;=1),IF(C182="peso_corporal",IF(ISNUMBER(E182),E182,0)+R182,R182)*S182*1000+R182,0)=W182,5,IF(IF((P182&gt;0)*(IF(Q182="",-1,Q182)&gt;=0)*(IF(Q182="",-1,Q182)&lt;=1),IF(C182="peso_corporal",IF(ISNUMBER(E182),E182,0)+O182,O182)*P182*1000+O182,0)=W182,4,IF(IF((M182&gt;0)*(IF(N182="",-1,N182)&gt;=0)*(IF(N182="",-1,N182)&lt;=1),IF(C182="peso_corporal",IF(ISNUMBER(E182),E182,0)+L182,L182)*M182*1000+L182,0)=W182,3,IF(IF((J182&gt;0)*(IF(K182="",-1,K182)&gt;=0)*(IF(K182="",-1,K182)&lt;=1),IF(C182="peso_corporal",IF(ISNUMBER(E182),E182,0)+I182,I182)*J182*1000+I182,0)=W182,2,IF(IF((G182&gt;0)*(IF(H182="",-1,H182)&gt;=0)*(IF(H182="",-1,H182)&lt;=1),IF(C182="peso_corporal",IF(ISNUMBER(E182),E182,0)+F182,F182)*G182*1000+F182,0)=W182,1,0))))))</f>
        <v>0</v>
      </c>
      <c r="Y182" s="69">
        <f>MAX(IF((G182&gt;0)*(IF(H182="",-1,H182)=0)*(1-(IF(H182="",-1,H182)&gt;=0)*(IF(H182="",-1,H182)&lt;=1)),IF(C182="peso_corporal",IF(ISNUMBER(E182),E182,0)+F182,F182)*G182*1000+F182,0),IF((J182&gt;0)*(IF(K182="",-1,K182)=0)*(1-(IF(K182="",-1,K182)&gt;=0)*(IF(K182="",-1,K182)&lt;=1)),IF(C182="peso_corporal",IF(ISNUMBER(E182),E182,0)+I182,I182)*J182*1000+I182,0),IF((M182&gt;0)*(IF(N182="",-1,N182)=0)*(1-(IF(N182="",-1,N182)&gt;=0)*(IF(N182="",-1,N182)&lt;=1)),IF(C182="peso_corporal",IF(ISNUMBER(E182),E182,0)+L182,L182)*M182*1000+L182,0),IF((P182&gt;0)*(IF(Q182="",-1,Q182)=0)*(1-(IF(Q182="",-1,Q182)&gt;=0)*(IF(Q182="",-1,Q182)&lt;=1)),IF(C182="peso_corporal",IF(ISNUMBER(E182),E182,0)+O182,O182)*P182*1000+O182,0),IF((S182&gt;0)*(IF(T182="",-1,T182)=0)*(1-(IF(T182="",-1,T182)&gt;=0)*(IF(T182="",-1,T182)&lt;=1)),IF(C182="peso_corporal",IF(ISNUMBER(E182),E182,0)+R182,R182)*S182*1000+R182,0))</f>
        <v>0</v>
      </c>
      <c r="Z182" s="69">
        <f>IF(Y182=0,0,IF(IF((S182&gt;0)*(IF(T182="",-1,T182)=0)*(1-(IF(T182="",-1,T182)&gt;=0)*(IF(T182="",-1,T182)&lt;=1)),IF(C182="peso_corporal",IF(ISNUMBER(E182),E182,0)+R182,R182)*S182*1000+R182,0)=Y182,5,IF(IF((P182&gt;0)*(IF(Q182="",-1,Q182)=0)*(1-(IF(Q182="",-1,Q182)&gt;=0)*(IF(Q182="",-1,Q182)&lt;=1)),IF(C182="peso_corporal",IF(ISNUMBER(E182),E182,0)+O182,O182)*P182*1000+O182,0)=Y182,4,IF(IF((M182&gt;0)*(IF(N182="",-1,N182)=0)*(1-(IF(N182="",-1,N182)&gt;=0)*(IF(N182="",-1,N182)&lt;=1)),IF(C182="peso_corporal",IF(ISNUMBER(E182),E182,0)+L182,L182)*M182*1000+L182,0)=Y182,3,IF(IF((J182&gt;0)*(IF(K182="",-1,K182)=0)*(1-(IF(K182="",-1,K182)&gt;=0)*(IF(K182="",-1,K182)&lt;=1)),IF(C182="peso_corporal",IF(ISNUMBER(E182),E182,0)+I182,I182)*J182*1000+I182,0)=Y182,2,IF(IF((G182&gt;0)*(IF(H182="",-1,H182)=0)*(1-(IF(H182="",-1,H182)&gt;=0)*(IF(H182="",-1,H182)&lt;=1)),IF(C182="peso_corporal",IF(ISNUMBER(E182),E182,0)+F182,F182)*G182*1000+F182,0)=Y182,1,0))))))</f>
        <v>0</v>
      </c>
      <c r="AA182" s="69">
        <f>MAX(IF((G182&gt;=3)*(1-(IF(H182="",-1,H182)&gt;=0)*(IF(H182="",-1,H182)&lt;=1))*(1-(IF(H182="",-1,H182)=0)),IF(C182="peso_corporal",IF(ISNUMBER(E182),E182,0)+F182,F182)*(30+G182)*100+F182,0),IF((J182&gt;=3)*(1-(IF(K182="",-1,K182)&gt;=0)*(IF(K182="",-1,K182)&lt;=1))*(1-(IF(K182="",-1,K182)=0)),IF(C182="peso_corporal",IF(ISNUMBER(E182),E182,0)+I182,I182)*(30+J182)*100+I182,0),IF((M182&gt;=3)*(1-(IF(N182="",-1,N182)&gt;=0)*(IF(N182="",-1,N182)&lt;=1))*(1-(IF(N182="",-1,N182)=0)),IF(C182="peso_corporal",IF(ISNUMBER(E182),E182,0)+L182,L182)*(30+M182)*100+L182,0),IF((P182&gt;=3)*(1-(IF(Q182="",-1,Q182)&gt;=0)*(IF(Q182="",-1,Q182)&lt;=1))*(1-(IF(Q182="",-1,Q182)=0)),IF(C182="peso_corporal",IF(ISNUMBER(E182),E182,0)+O182,O182)*(30+P182)*100+O182,0),IF((S182&gt;=3)*(1-(IF(T182="",-1,T182)&gt;=0)*(IF(T182="",-1,T182)&lt;=1))*(1-(IF(T182="",-1,T182)=0)),IF(C182="peso_corporal",IF(ISNUMBER(E182),E182,0)+R182,R182)*(30+S182)*100+R182,0))</f>
        <v>0</v>
      </c>
      <c r="AB182" s="69">
        <f>IF(AA182=0,0,IF(IF((S182&gt;=3)*(1-(IF(T182="",-1,T182)&gt;=0)*(IF(T182="",-1,T182)&lt;=1))*(1-(IF(T182="",-1,T182)=0)),IF(C182="peso_corporal",IF(ISNUMBER(E182),E182,0)+R182,R182)*(30+S182)*100+R182,0)=AA182,5,IF(IF((P182&gt;=3)*(1-(IF(Q182="",-1,Q182)&gt;=0)*(IF(Q182="",-1,Q182)&lt;=1))*(1-(IF(Q182="",-1,Q182)=0)),IF(C182="peso_corporal",IF(ISNUMBER(E182),E182,0)+O182,O182)*(30+P182)*100+O182,0)=AA182,4,IF(IF((M182&gt;=3)*(1-(IF(N182="",-1,N182)&gt;=0)*(IF(N182="",-1,N182)&lt;=1))*(1-(IF(N182="",-1,N182)=0)),IF(C182="peso_corporal",IF(ISNUMBER(E182),E182,0)+L182,L182)*(30+M182)*100+L182,0)=AA182,3,IF(IF((J182&gt;=3)*(1-(IF(K182="",-1,K182)&gt;=0)*(IF(K182="",-1,K182)&lt;=1))*(1-(IF(K182="",-1,K182)=0)),IF(C182="peso_corporal",IF(ISNUMBER(E182),E182,0)+I182,I182)*(30+J182)*100+I182,0)=AA182,2,IF(IF((G182&gt;=3)*(1-(IF(H182="",-1,H182)&gt;=0)*(IF(H182="",-1,H182)&lt;=1))*(1-(IF(H182="",-1,H182)=0)),IF(C182="peso_corporal",IF(ISNUMBER(E182),E182,0)+F182,F182)*(30+G182)*100+F182,0)=AA182,1,0))))))</f>
        <v>0</v>
      </c>
      <c r="AC182" s="69" t="str">
        <f>IF(X182&gt;0,"A"&amp;X182,IF(Z182&gt;0,"B"&amp;Z182,IF(AB182&gt;0,"C"&amp;AB182,"")))</f>
        <v/>
      </c>
    </row>
    <row r="183" spans="1:29" ht="11.1" customHeight="1">
      <c r="A183" s="84" t="s">
        <v>94</v>
      </c>
      <c r="B183" s="73"/>
      <c r="C183" s="73"/>
      <c r="D183" s="73"/>
      <c r="E183" s="73"/>
      <c r="F183" s="73"/>
      <c r="G183" s="73"/>
      <c r="H183" s="73"/>
      <c r="I183" s="73"/>
      <c r="J183" s="73"/>
      <c r="K183" s="73"/>
      <c r="L183" s="73"/>
      <c r="M183" s="73"/>
      <c r="N183" s="73"/>
      <c r="O183" s="73"/>
      <c r="P183" s="73"/>
      <c r="Q183" s="73"/>
      <c r="R183" s="73"/>
      <c r="S183" s="73"/>
      <c r="T183" s="73"/>
      <c r="U183" s="73"/>
      <c r="V183" s="73"/>
      <c r="W183" s="69"/>
      <c r="X183" s="69"/>
      <c r="Y183" s="69"/>
      <c r="Z183" s="69"/>
      <c r="AA183" s="69"/>
      <c r="AB183" s="69"/>
      <c r="AC183" s="69"/>
    </row>
    <row r="184" spans="1:29" ht="20.100000000000001" customHeight="1">
      <c r="A184" s="14" t="s">
        <v>95</v>
      </c>
      <c r="B184" s="15" t="s">
        <v>96</v>
      </c>
      <c r="C184" s="16" t="str">
        <f>IFERROR(INDEX(EJERCICIOS!$D$3:$D$75,MATCH(A184&amp;"|"&amp;B184,EJERCICIOS!$G$3:$G$75,0)),"--")</f>
        <v>polea</v>
      </c>
      <c r="D184" s="17">
        <v>3</v>
      </c>
      <c r="E184" s="18">
        <f>IFERROR(LOOKUP(2,1/(MEDIDAS_Y_PESO!$B$3:$B$11&lt;&gt;""),MEDIDAS_Y_PESO!$B$3:$B$11),"--")</f>
        <v>80</v>
      </c>
      <c r="F184" s="19"/>
      <c r="G184" s="20"/>
      <c r="H184" s="21"/>
      <c r="I184" s="19"/>
      <c r="J184" s="20"/>
      <c r="K184" s="21"/>
      <c r="L184" s="19"/>
      <c r="M184" s="20"/>
      <c r="N184" s="21"/>
      <c r="O184" s="19"/>
      <c r="P184" s="20"/>
      <c r="Q184" s="21"/>
      <c r="R184" s="19"/>
      <c r="S184" s="20"/>
      <c r="T184" s="21"/>
      <c r="U184" s="22" t="str">
        <f>IFERROR(IF(IF(X184&gt;0,X184,IF(Z184&gt;0,Z184,IF(AB184&gt;0,AB184,0)))=0,"--",ROUND(CHOOSE(IF(X184&gt;0,X184,IF(Z184&gt;0,Z184,IF(AB184&gt;0,AB184,0))),IF(C184="peso_corporal",IF(ISNUMBER(E184),E184,0)+F184,F184)*(1+G184/30),IF(C184="peso_corporal",IF(ISNUMBER(E184),E184,0)+I184,I184)*(1+J184/30),IF(C184="peso_corporal",IF(ISNUMBER(E184),E184,0)+L184,L184)*(1+M184/30),IF(C184="peso_corporal",IF(ISNUMBER(E184),E184,0)+O184,O184)*(1+P184/30),IF(C184="peso_corporal",IF(ISNUMBER(E184),E184,0)+R184,R184)*(1+S184/30)),1)),"--")</f>
        <v>--</v>
      </c>
      <c r="V184" s="23" t="str">
        <f>IF(SUGERENCIAS!N521="SIN","Sin datos anteriores",IF(SUGERENCIAS!N521="SUBIR_F","^ SUBIR FUERTE | Kg:"&amp;ROUND(SUGERENCIAS!K521,1)&amp;" R:"&amp;ROUND(SUGERENCIAS!L521,0)&amp;" RIR:"&amp;ROUND(SUGERENCIAS!M521,0),IF(SUGERENCIAS!N521="SUBIR_E","^ SUBIR (Est.) | Kg:"&amp;ROUND(SUGERENCIAS!K521,1)&amp;" R:"&amp;ROUND(SUGERENCIAS!L521,0)&amp;" RIR:"&amp;ROUND(SUGERENCIAS!M521,0),IF(SUGERENCIAS!N521="SUBIR","^ SUBIR | Kg:"&amp;ROUND(SUGERENCIAS!K521,1)&amp;" R:"&amp;ROUND(SUGERENCIAS!L521,0)&amp;" RIR:"&amp;ROUND(SUGERENCIAS!M521,0),IF(SUGERENCIAS!N521="BAJAR","v BAJAR | Kg:"&amp;ROUND(SUGERENCIAS!K521,1)&amp;" R:"&amp;ROUND(SUGERENCIAS!L521,0)&amp;" RIR:"&amp;ROUND(SUGERENCIAS!M521,0),"= MANT | Kg:"&amp;ROUND(SUGERENCIAS!K521,1)&amp;" R:"&amp;ROUND(SUGERENCIAS!L521,0)&amp;" RIR:"&amp;ROUND(SUGERENCIAS!M521,0))))))</f>
        <v>Sin datos anteriores</v>
      </c>
      <c r="W184" s="69">
        <f>MAX(IF((G184&gt;0)*(IF(H184="",-1,H184)&gt;=0)*(IF(H184="",-1,H184)&lt;=1),IF(C184="peso_corporal",IF(ISNUMBER(E184),E184,0)+F184,F184)*G184*1000+F184,0),IF((J184&gt;0)*(IF(K184="",-1,K184)&gt;=0)*(IF(K184="",-1,K184)&lt;=1),IF(C184="peso_corporal",IF(ISNUMBER(E184),E184,0)+I184,I184)*J184*1000+I184,0),IF((M184&gt;0)*(IF(N184="",-1,N184)&gt;=0)*(IF(N184="",-1,N184)&lt;=1),IF(C184="peso_corporal",IF(ISNUMBER(E184),E184,0)+L184,L184)*M184*1000+L184,0),IF((P184&gt;0)*(IF(Q184="",-1,Q184)&gt;=0)*(IF(Q184="",-1,Q184)&lt;=1),IF(C184="peso_corporal",IF(ISNUMBER(E184),E184,0)+O184,O184)*P184*1000+O184,0),IF((S184&gt;0)*(IF(T184="",-1,T184)&gt;=0)*(IF(T184="",-1,T184)&lt;=1),IF(C184="peso_corporal",IF(ISNUMBER(E184),E184,0)+R184,R184)*S184*1000+R184,0))</f>
        <v>0</v>
      </c>
      <c r="X184" s="69">
        <f>IF(W184=0,0,IF(IF((S184&gt;0)*(IF(T184="",-1,T184)&gt;=0)*(IF(T184="",-1,T184)&lt;=1),IF(C184="peso_corporal",IF(ISNUMBER(E184),E184,0)+R184,R184)*S184*1000+R184,0)=W184,5,IF(IF((P184&gt;0)*(IF(Q184="",-1,Q184)&gt;=0)*(IF(Q184="",-1,Q184)&lt;=1),IF(C184="peso_corporal",IF(ISNUMBER(E184),E184,0)+O184,O184)*P184*1000+O184,0)=W184,4,IF(IF((M184&gt;0)*(IF(N184="",-1,N184)&gt;=0)*(IF(N184="",-1,N184)&lt;=1),IF(C184="peso_corporal",IF(ISNUMBER(E184),E184,0)+L184,L184)*M184*1000+L184,0)=W184,3,IF(IF((J184&gt;0)*(IF(K184="",-1,K184)&gt;=0)*(IF(K184="",-1,K184)&lt;=1),IF(C184="peso_corporal",IF(ISNUMBER(E184),E184,0)+I184,I184)*J184*1000+I184,0)=W184,2,IF(IF((G184&gt;0)*(IF(H184="",-1,H184)&gt;=0)*(IF(H184="",-1,H184)&lt;=1),IF(C184="peso_corporal",IF(ISNUMBER(E184),E184,0)+F184,F184)*G184*1000+F184,0)=W184,1,0))))))</f>
        <v>0</v>
      </c>
      <c r="Y184" s="69">
        <f>MAX(IF((G184&gt;0)*(IF(H184="",-1,H184)=0)*(1-(IF(H184="",-1,H184)&gt;=0)*(IF(H184="",-1,H184)&lt;=1)),IF(C184="peso_corporal",IF(ISNUMBER(E184),E184,0)+F184,F184)*G184*1000+F184,0),IF((J184&gt;0)*(IF(K184="",-1,K184)=0)*(1-(IF(K184="",-1,K184)&gt;=0)*(IF(K184="",-1,K184)&lt;=1)),IF(C184="peso_corporal",IF(ISNUMBER(E184),E184,0)+I184,I184)*J184*1000+I184,0),IF((M184&gt;0)*(IF(N184="",-1,N184)=0)*(1-(IF(N184="",-1,N184)&gt;=0)*(IF(N184="",-1,N184)&lt;=1)),IF(C184="peso_corporal",IF(ISNUMBER(E184),E184,0)+L184,L184)*M184*1000+L184,0),IF((P184&gt;0)*(IF(Q184="",-1,Q184)=0)*(1-(IF(Q184="",-1,Q184)&gt;=0)*(IF(Q184="",-1,Q184)&lt;=1)),IF(C184="peso_corporal",IF(ISNUMBER(E184),E184,0)+O184,O184)*P184*1000+O184,0),IF((S184&gt;0)*(IF(T184="",-1,T184)=0)*(1-(IF(T184="",-1,T184)&gt;=0)*(IF(T184="",-1,T184)&lt;=1)),IF(C184="peso_corporal",IF(ISNUMBER(E184),E184,0)+R184,R184)*S184*1000+R184,0))</f>
        <v>0</v>
      </c>
      <c r="Z184" s="69">
        <f>IF(Y184=0,0,IF(IF((S184&gt;0)*(IF(T184="",-1,T184)=0)*(1-(IF(T184="",-1,T184)&gt;=0)*(IF(T184="",-1,T184)&lt;=1)),IF(C184="peso_corporal",IF(ISNUMBER(E184),E184,0)+R184,R184)*S184*1000+R184,0)=Y184,5,IF(IF((P184&gt;0)*(IF(Q184="",-1,Q184)=0)*(1-(IF(Q184="",-1,Q184)&gt;=0)*(IF(Q184="",-1,Q184)&lt;=1)),IF(C184="peso_corporal",IF(ISNUMBER(E184),E184,0)+O184,O184)*P184*1000+O184,0)=Y184,4,IF(IF((M184&gt;0)*(IF(N184="",-1,N184)=0)*(1-(IF(N184="",-1,N184)&gt;=0)*(IF(N184="",-1,N184)&lt;=1)),IF(C184="peso_corporal",IF(ISNUMBER(E184),E184,0)+L184,L184)*M184*1000+L184,0)=Y184,3,IF(IF((J184&gt;0)*(IF(K184="",-1,K184)=0)*(1-(IF(K184="",-1,K184)&gt;=0)*(IF(K184="",-1,K184)&lt;=1)),IF(C184="peso_corporal",IF(ISNUMBER(E184),E184,0)+I184,I184)*J184*1000+I184,0)=Y184,2,IF(IF((G184&gt;0)*(IF(H184="",-1,H184)=0)*(1-(IF(H184="",-1,H184)&gt;=0)*(IF(H184="",-1,H184)&lt;=1)),IF(C184="peso_corporal",IF(ISNUMBER(E184),E184,0)+F184,F184)*G184*1000+F184,0)=Y184,1,0))))))</f>
        <v>0</v>
      </c>
      <c r="AA184" s="69">
        <f>MAX(IF((G184&gt;=3)*(1-(IF(H184="",-1,H184)&gt;=0)*(IF(H184="",-1,H184)&lt;=1))*(1-(IF(H184="",-1,H184)=0)),IF(C184="peso_corporal",IF(ISNUMBER(E184),E184,0)+F184,F184)*(30+G184)*100+F184,0),IF((J184&gt;=3)*(1-(IF(K184="",-1,K184)&gt;=0)*(IF(K184="",-1,K184)&lt;=1))*(1-(IF(K184="",-1,K184)=0)),IF(C184="peso_corporal",IF(ISNUMBER(E184),E184,0)+I184,I184)*(30+J184)*100+I184,0),IF((M184&gt;=3)*(1-(IF(N184="",-1,N184)&gt;=0)*(IF(N184="",-1,N184)&lt;=1))*(1-(IF(N184="",-1,N184)=0)),IF(C184="peso_corporal",IF(ISNUMBER(E184),E184,0)+L184,L184)*(30+M184)*100+L184,0),IF((P184&gt;=3)*(1-(IF(Q184="",-1,Q184)&gt;=0)*(IF(Q184="",-1,Q184)&lt;=1))*(1-(IF(Q184="",-1,Q184)=0)),IF(C184="peso_corporal",IF(ISNUMBER(E184),E184,0)+O184,O184)*(30+P184)*100+O184,0),IF((S184&gt;=3)*(1-(IF(T184="",-1,T184)&gt;=0)*(IF(T184="",-1,T184)&lt;=1))*(1-(IF(T184="",-1,T184)=0)),IF(C184="peso_corporal",IF(ISNUMBER(E184),E184,0)+R184,R184)*(30+S184)*100+R184,0))</f>
        <v>0</v>
      </c>
      <c r="AB184" s="69">
        <f>IF(AA184=0,0,IF(IF((S184&gt;=3)*(1-(IF(T184="",-1,T184)&gt;=0)*(IF(T184="",-1,T184)&lt;=1))*(1-(IF(T184="",-1,T184)=0)),IF(C184="peso_corporal",IF(ISNUMBER(E184),E184,0)+R184,R184)*(30+S184)*100+R184,0)=AA184,5,IF(IF((P184&gt;=3)*(1-(IF(Q184="",-1,Q184)&gt;=0)*(IF(Q184="",-1,Q184)&lt;=1))*(1-(IF(Q184="",-1,Q184)=0)),IF(C184="peso_corporal",IF(ISNUMBER(E184),E184,0)+O184,O184)*(30+P184)*100+O184,0)=AA184,4,IF(IF((M184&gt;=3)*(1-(IF(N184="",-1,N184)&gt;=0)*(IF(N184="",-1,N184)&lt;=1))*(1-(IF(N184="",-1,N184)=0)),IF(C184="peso_corporal",IF(ISNUMBER(E184),E184,0)+L184,L184)*(30+M184)*100+L184,0)=AA184,3,IF(IF((J184&gt;=3)*(1-(IF(K184="",-1,K184)&gt;=0)*(IF(K184="",-1,K184)&lt;=1))*(1-(IF(K184="",-1,K184)=0)),IF(C184="peso_corporal",IF(ISNUMBER(E184),E184,0)+I184,I184)*(30+J184)*100+I184,0)=AA184,2,IF(IF((G184&gt;=3)*(1-(IF(H184="",-1,H184)&gt;=0)*(IF(H184="",-1,H184)&lt;=1))*(1-(IF(H184="",-1,H184)=0)),IF(C184="peso_corporal",IF(ISNUMBER(E184),E184,0)+F184,F184)*(30+G184)*100+F184,0)=AA184,1,0))))))</f>
        <v>0</v>
      </c>
      <c r="AC184" s="69" t="str">
        <f>IF(X184&gt;0,"A"&amp;X184,IF(Z184&gt;0,"B"&amp;Z184,IF(AB184&gt;0,"C"&amp;AB184,"")))</f>
        <v/>
      </c>
    </row>
    <row r="185" spans="1:29" ht="20.100000000000001" customHeight="1">
      <c r="A185" s="14" t="s">
        <v>95</v>
      </c>
      <c r="B185" s="15" t="s">
        <v>97</v>
      </c>
      <c r="C185" s="16" t="str">
        <f>IFERROR(INDEX(EJERCICIOS!$D$3:$D$75,MATCH(A185&amp;"|"&amp;B185,EJERCICIOS!$G$3:$G$75,0)),"--")</f>
        <v>polea</v>
      </c>
      <c r="D185" s="17">
        <v>3</v>
      </c>
      <c r="E185" s="18">
        <f>IFERROR(LOOKUP(2,1/(MEDIDAS_Y_PESO!$B$3:$B$11&lt;&gt;""),MEDIDAS_Y_PESO!$B$3:$B$11),"--")</f>
        <v>80</v>
      </c>
      <c r="F185" s="19"/>
      <c r="G185" s="20"/>
      <c r="H185" s="21"/>
      <c r="I185" s="19"/>
      <c r="J185" s="20"/>
      <c r="K185" s="21"/>
      <c r="L185" s="19"/>
      <c r="M185" s="20"/>
      <c r="N185" s="21"/>
      <c r="O185" s="19"/>
      <c r="P185" s="20"/>
      <c r="Q185" s="21"/>
      <c r="R185" s="19"/>
      <c r="S185" s="20"/>
      <c r="T185" s="21"/>
      <c r="U185" s="22" t="str">
        <f>IFERROR(IF(IF(X185&gt;0,X185,IF(Z185&gt;0,Z185,IF(AB185&gt;0,AB185,0)))=0,"--",ROUND(CHOOSE(IF(X185&gt;0,X185,IF(Z185&gt;0,Z185,IF(AB185&gt;0,AB185,0))),IF(C185="peso_corporal",IF(ISNUMBER(E185),E185,0)+F185,F185)*(1+G185/30),IF(C185="peso_corporal",IF(ISNUMBER(E185),E185,0)+I185,I185)*(1+J185/30),IF(C185="peso_corporal",IF(ISNUMBER(E185),E185,0)+L185,L185)*(1+M185/30),IF(C185="peso_corporal",IF(ISNUMBER(E185),E185,0)+O185,O185)*(1+P185/30),IF(C185="peso_corporal",IF(ISNUMBER(E185),E185,0)+R185,R185)*(1+S185/30)),1)),"--")</f>
        <v>--</v>
      </c>
      <c r="V185" s="23" t="str">
        <f>IF(SUGERENCIAS!N522="SIN","Sin datos anteriores",IF(SUGERENCIAS!N522="SUBIR_F","^ SUBIR FUERTE | Kg:"&amp;ROUND(SUGERENCIAS!K522,1)&amp;" R:"&amp;ROUND(SUGERENCIAS!L522,0)&amp;" RIR:"&amp;ROUND(SUGERENCIAS!M522,0),IF(SUGERENCIAS!N522="SUBIR_E","^ SUBIR (Est.) | Kg:"&amp;ROUND(SUGERENCIAS!K522,1)&amp;" R:"&amp;ROUND(SUGERENCIAS!L522,0)&amp;" RIR:"&amp;ROUND(SUGERENCIAS!M522,0),IF(SUGERENCIAS!N522="SUBIR","^ SUBIR | Kg:"&amp;ROUND(SUGERENCIAS!K522,1)&amp;" R:"&amp;ROUND(SUGERENCIAS!L522,0)&amp;" RIR:"&amp;ROUND(SUGERENCIAS!M522,0),IF(SUGERENCIAS!N522="BAJAR","v BAJAR | Kg:"&amp;ROUND(SUGERENCIAS!K522,1)&amp;" R:"&amp;ROUND(SUGERENCIAS!L522,0)&amp;" RIR:"&amp;ROUND(SUGERENCIAS!M522,0),"= MANT | Kg:"&amp;ROUND(SUGERENCIAS!K522,1)&amp;" R:"&amp;ROUND(SUGERENCIAS!L522,0)&amp;" RIR:"&amp;ROUND(SUGERENCIAS!M522,0))))))</f>
        <v>Sin datos anteriores</v>
      </c>
      <c r="W185" s="69">
        <f>MAX(IF((G185&gt;0)*(IF(H185="",-1,H185)&gt;=0)*(IF(H185="",-1,H185)&lt;=1),IF(C185="peso_corporal",IF(ISNUMBER(E185),E185,0)+F185,F185)*G185*1000+F185,0),IF((J185&gt;0)*(IF(K185="",-1,K185)&gt;=0)*(IF(K185="",-1,K185)&lt;=1),IF(C185="peso_corporal",IF(ISNUMBER(E185),E185,0)+I185,I185)*J185*1000+I185,0),IF((M185&gt;0)*(IF(N185="",-1,N185)&gt;=0)*(IF(N185="",-1,N185)&lt;=1),IF(C185="peso_corporal",IF(ISNUMBER(E185),E185,0)+L185,L185)*M185*1000+L185,0),IF((P185&gt;0)*(IF(Q185="",-1,Q185)&gt;=0)*(IF(Q185="",-1,Q185)&lt;=1),IF(C185="peso_corporal",IF(ISNUMBER(E185),E185,0)+O185,O185)*P185*1000+O185,0),IF((S185&gt;0)*(IF(T185="",-1,T185)&gt;=0)*(IF(T185="",-1,T185)&lt;=1),IF(C185="peso_corporal",IF(ISNUMBER(E185),E185,0)+R185,R185)*S185*1000+R185,0))</f>
        <v>0</v>
      </c>
      <c r="X185" s="69">
        <f>IF(W185=0,0,IF(IF((S185&gt;0)*(IF(T185="",-1,T185)&gt;=0)*(IF(T185="",-1,T185)&lt;=1),IF(C185="peso_corporal",IF(ISNUMBER(E185),E185,0)+R185,R185)*S185*1000+R185,0)=W185,5,IF(IF((P185&gt;0)*(IF(Q185="",-1,Q185)&gt;=0)*(IF(Q185="",-1,Q185)&lt;=1),IF(C185="peso_corporal",IF(ISNUMBER(E185),E185,0)+O185,O185)*P185*1000+O185,0)=W185,4,IF(IF((M185&gt;0)*(IF(N185="",-1,N185)&gt;=0)*(IF(N185="",-1,N185)&lt;=1),IF(C185="peso_corporal",IF(ISNUMBER(E185),E185,0)+L185,L185)*M185*1000+L185,0)=W185,3,IF(IF((J185&gt;0)*(IF(K185="",-1,K185)&gt;=0)*(IF(K185="",-1,K185)&lt;=1),IF(C185="peso_corporal",IF(ISNUMBER(E185),E185,0)+I185,I185)*J185*1000+I185,0)=W185,2,IF(IF((G185&gt;0)*(IF(H185="",-1,H185)&gt;=0)*(IF(H185="",-1,H185)&lt;=1),IF(C185="peso_corporal",IF(ISNUMBER(E185),E185,0)+F185,F185)*G185*1000+F185,0)=W185,1,0))))))</f>
        <v>0</v>
      </c>
      <c r="Y185" s="69">
        <f>MAX(IF((G185&gt;0)*(IF(H185="",-1,H185)=0)*(1-(IF(H185="",-1,H185)&gt;=0)*(IF(H185="",-1,H185)&lt;=1)),IF(C185="peso_corporal",IF(ISNUMBER(E185),E185,0)+F185,F185)*G185*1000+F185,0),IF((J185&gt;0)*(IF(K185="",-1,K185)=0)*(1-(IF(K185="",-1,K185)&gt;=0)*(IF(K185="",-1,K185)&lt;=1)),IF(C185="peso_corporal",IF(ISNUMBER(E185),E185,0)+I185,I185)*J185*1000+I185,0),IF((M185&gt;0)*(IF(N185="",-1,N185)=0)*(1-(IF(N185="",-1,N185)&gt;=0)*(IF(N185="",-1,N185)&lt;=1)),IF(C185="peso_corporal",IF(ISNUMBER(E185),E185,0)+L185,L185)*M185*1000+L185,0),IF((P185&gt;0)*(IF(Q185="",-1,Q185)=0)*(1-(IF(Q185="",-1,Q185)&gt;=0)*(IF(Q185="",-1,Q185)&lt;=1)),IF(C185="peso_corporal",IF(ISNUMBER(E185),E185,0)+O185,O185)*P185*1000+O185,0),IF((S185&gt;0)*(IF(T185="",-1,T185)=0)*(1-(IF(T185="",-1,T185)&gt;=0)*(IF(T185="",-1,T185)&lt;=1)),IF(C185="peso_corporal",IF(ISNUMBER(E185),E185,0)+R185,R185)*S185*1000+R185,0))</f>
        <v>0</v>
      </c>
      <c r="Z185" s="69">
        <f>IF(Y185=0,0,IF(IF((S185&gt;0)*(IF(T185="",-1,T185)=0)*(1-(IF(T185="",-1,T185)&gt;=0)*(IF(T185="",-1,T185)&lt;=1)),IF(C185="peso_corporal",IF(ISNUMBER(E185),E185,0)+R185,R185)*S185*1000+R185,0)=Y185,5,IF(IF((P185&gt;0)*(IF(Q185="",-1,Q185)=0)*(1-(IF(Q185="",-1,Q185)&gt;=0)*(IF(Q185="",-1,Q185)&lt;=1)),IF(C185="peso_corporal",IF(ISNUMBER(E185),E185,0)+O185,O185)*P185*1000+O185,0)=Y185,4,IF(IF((M185&gt;0)*(IF(N185="",-1,N185)=0)*(1-(IF(N185="",-1,N185)&gt;=0)*(IF(N185="",-1,N185)&lt;=1)),IF(C185="peso_corporal",IF(ISNUMBER(E185),E185,0)+L185,L185)*M185*1000+L185,0)=Y185,3,IF(IF((J185&gt;0)*(IF(K185="",-1,K185)=0)*(1-(IF(K185="",-1,K185)&gt;=0)*(IF(K185="",-1,K185)&lt;=1)),IF(C185="peso_corporal",IF(ISNUMBER(E185),E185,0)+I185,I185)*J185*1000+I185,0)=Y185,2,IF(IF((G185&gt;0)*(IF(H185="",-1,H185)=0)*(1-(IF(H185="",-1,H185)&gt;=0)*(IF(H185="",-1,H185)&lt;=1)),IF(C185="peso_corporal",IF(ISNUMBER(E185),E185,0)+F185,F185)*G185*1000+F185,0)=Y185,1,0))))))</f>
        <v>0</v>
      </c>
      <c r="AA185" s="69">
        <f>MAX(IF((G185&gt;=3)*(1-(IF(H185="",-1,H185)&gt;=0)*(IF(H185="",-1,H185)&lt;=1))*(1-(IF(H185="",-1,H185)=0)),IF(C185="peso_corporal",IF(ISNUMBER(E185),E185,0)+F185,F185)*(30+G185)*100+F185,0),IF((J185&gt;=3)*(1-(IF(K185="",-1,K185)&gt;=0)*(IF(K185="",-1,K185)&lt;=1))*(1-(IF(K185="",-1,K185)=0)),IF(C185="peso_corporal",IF(ISNUMBER(E185),E185,0)+I185,I185)*(30+J185)*100+I185,0),IF((M185&gt;=3)*(1-(IF(N185="",-1,N185)&gt;=0)*(IF(N185="",-1,N185)&lt;=1))*(1-(IF(N185="",-1,N185)=0)),IF(C185="peso_corporal",IF(ISNUMBER(E185),E185,0)+L185,L185)*(30+M185)*100+L185,0),IF((P185&gt;=3)*(1-(IF(Q185="",-1,Q185)&gt;=0)*(IF(Q185="",-1,Q185)&lt;=1))*(1-(IF(Q185="",-1,Q185)=0)),IF(C185="peso_corporal",IF(ISNUMBER(E185),E185,0)+O185,O185)*(30+P185)*100+O185,0),IF((S185&gt;=3)*(1-(IF(T185="",-1,T185)&gt;=0)*(IF(T185="",-1,T185)&lt;=1))*(1-(IF(T185="",-1,T185)=0)),IF(C185="peso_corporal",IF(ISNUMBER(E185),E185,0)+R185,R185)*(30+S185)*100+R185,0))</f>
        <v>0</v>
      </c>
      <c r="AB185" s="69">
        <f>IF(AA185=0,0,IF(IF((S185&gt;=3)*(1-(IF(T185="",-1,T185)&gt;=0)*(IF(T185="",-1,T185)&lt;=1))*(1-(IF(T185="",-1,T185)=0)),IF(C185="peso_corporal",IF(ISNUMBER(E185),E185,0)+R185,R185)*(30+S185)*100+R185,0)=AA185,5,IF(IF((P185&gt;=3)*(1-(IF(Q185="",-1,Q185)&gt;=0)*(IF(Q185="",-1,Q185)&lt;=1))*(1-(IF(Q185="",-1,Q185)=0)),IF(C185="peso_corporal",IF(ISNUMBER(E185),E185,0)+O185,O185)*(30+P185)*100+O185,0)=AA185,4,IF(IF((M185&gt;=3)*(1-(IF(N185="",-1,N185)&gt;=0)*(IF(N185="",-1,N185)&lt;=1))*(1-(IF(N185="",-1,N185)=0)),IF(C185="peso_corporal",IF(ISNUMBER(E185),E185,0)+L185,L185)*(30+M185)*100+L185,0)=AA185,3,IF(IF((J185&gt;=3)*(1-(IF(K185="",-1,K185)&gt;=0)*(IF(K185="",-1,K185)&lt;=1))*(1-(IF(K185="",-1,K185)=0)),IF(C185="peso_corporal",IF(ISNUMBER(E185),E185,0)+I185,I185)*(30+J185)*100+I185,0)=AA185,2,IF(IF((G185&gt;=3)*(1-(IF(H185="",-1,H185)&gt;=0)*(IF(H185="",-1,H185)&lt;=1))*(1-(IF(H185="",-1,H185)=0)),IF(C185="peso_corporal",IF(ISNUMBER(E185),E185,0)+F185,F185)*(30+G185)*100+F185,0)=AA185,1,0))))))</f>
        <v>0</v>
      </c>
      <c r="AC185" s="69" t="str">
        <f>IF(X185&gt;0,"A"&amp;X185,IF(Z185&gt;0,"B"&amp;Z185,IF(AB185&gt;0,"C"&amp;AB185,"")))</f>
        <v/>
      </c>
    </row>
    <row r="186" spans="1:29" ht="15" customHeight="1">
      <c r="A186" s="81" t="s">
        <v>53</v>
      </c>
      <c r="B186" s="73"/>
      <c r="C186" s="73"/>
      <c r="D186" s="73"/>
      <c r="E186" s="73"/>
      <c r="F186" s="73"/>
      <c r="G186" s="73"/>
      <c r="H186" s="73"/>
      <c r="I186" s="73"/>
      <c r="J186" s="73"/>
      <c r="K186" s="73"/>
      <c r="L186" s="73"/>
      <c r="M186" s="73"/>
      <c r="N186" s="73"/>
      <c r="O186" s="73"/>
      <c r="P186" s="73"/>
      <c r="Q186" s="73"/>
      <c r="R186" s="73"/>
      <c r="S186" s="73"/>
      <c r="T186" s="73"/>
      <c r="U186" s="73"/>
      <c r="V186" s="73"/>
      <c r="W186" s="69"/>
      <c r="X186" s="69"/>
      <c r="Y186" s="69"/>
      <c r="Z186" s="69"/>
      <c r="AA186" s="69"/>
      <c r="AB186" s="69"/>
      <c r="AC186" s="69"/>
    </row>
    <row r="187" spans="1:29" ht="20.100000000000001" customHeight="1">
      <c r="A187" s="14" t="s">
        <v>54</v>
      </c>
      <c r="B187" s="15" t="s">
        <v>67</v>
      </c>
      <c r="C187" s="16" t="str">
        <f>IFERROR(INDEX(EJERCICIOS!$D$3:$D$75,MATCH(A187&amp;"|"&amp;B187,EJERCICIOS!$G$3:$G$75,0)),"--")</f>
        <v>mancuerna</v>
      </c>
      <c r="D187" s="17">
        <v>3</v>
      </c>
      <c r="E187" s="18">
        <f>IFERROR(LOOKUP(2,1/(MEDIDAS_Y_PESO!$B$3:$B$11&lt;&gt;""),MEDIDAS_Y_PESO!$B$3:$B$11),"--")</f>
        <v>80</v>
      </c>
      <c r="F187" s="19"/>
      <c r="G187" s="20"/>
      <c r="H187" s="21"/>
      <c r="I187" s="19"/>
      <c r="J187" s="20"/>
      <c r="K187" s="21"/>
      <c r="L187" s="19"/>
      <c r="M187" s="20"/>
      <c r="N187" s="21"/>
      <c r="O187" s="19"/>
      <c r="P187" s="20"/>
      <c r="Q187" s="21"/>
      <c r="R187" s="19"/>
      <c r="S187" s="20"/>
      <c r="T187" s="21"/>
      <c r="U187" s="22" t="str">
        <f>IFERROR(IF(IF(X187&gt;0,X187,IF(Z187&gt;0,Z187,IF(AB187&gt;0,AB187,0)))=0,"--",ROUND(CHOOSE(IF(X187&gt;0,X187,IF(Z187&gt;0,Z187,IF(AB187&gt;0,AB187,0))),IF(C187="peso_corporal",IF(ISNUMBER(E187),E187,0)+F187,F187)*(1+G187/30),IF(C187="peso_corporal",IF(ISNUMBER(E187),E187,0)+I187,I187)*(1+J187/30),IF(C187="peso_corporal",IF(ISNUMBER(E187),E187,0)+L187,L187)*(1+M187/30),IF(C187="peso_corporal",IF(ISNUMBER(E187),E187,0)+O187,O187)*(1+P187/30),IF(C187="peso_corporal",IF(ISNUMBER(E187),E187,0)+R187,R187)*(1+S187/30)),1)),"--")</f>
        <v>--</v>
      </c>
      <c r="V187" s="23" t="str">
        <f>IF(SUGERENCIAS!N523="SIN","Sin datos anteriores",IF(SUGERENCIAS!N523="SUBIR_F","^ SUBIR FUERTE | Kg:"&amp;ROUND(SUGERENCIAS!K523,1)&amp;" R:"&amp;ROUND(SUGERENCIAS!L523,0)&amp;" RIR:"&amp;ROUND(SUGERENCIAS!M523,0),IF(SUGERENCIAS!N523="SUBIR_E","^ SUBIR (Est.) | Kg:"&amp;ROUND(SUGERENCIAS!K523,1)&amp;" R:"&amp;ROUND(SUGERENCIAS!L523,0)&amp;" RIR:"&amp;ROUND(SUGERENCIAS!M523,0),IF(SUGERENCIAS!N523="SUBIR","^ SUBIR | Kg:"&amp;ROUND(SUGERENCIAS!K523,1)&amp;" R:"&amp;ROUND(SUGERENCIAS!L523,0)&amp;" RIR:"&amp;ROUND(SUGERENCIAS!M523,0),IF(SUGERENCIAS!N523="BAJAR","v BAJAR | Kg:"&amp;ROUND(SUGERENCIAS!K523,1)&amp;" R:"&amp;ROUND(SUGERENCIAS!L523,0)&amp;" RIR:"&amp;ROUND(SUGERENCIAS!M523,0),"= MANT | Kg:"&amp;ROUND(SUGERENCIAS!K523,1)&amp;" R:"&amp;ROUND(SUGERENCIAS!L523,0)&amp;" RIR:"&amp;ROUND(SUGERENCIAS!M523,0))))))</f>
        <v>Sin datos anteriores</v>
      </c>
      <c r="W187" s="69">
        <f>MAX(IF((G187&gt;0)*(IF(H187="",-1,H187)&gt;=0)*(IF(H187="",-1,H187)&lt;=1),IF(C187="peso_corporal",IF(ISNUMBER(E187),E187,0)+F187,F187)*G187*1000+F187,0),IF((J187&gt;0)*(IF(K187="",-1,K187)&gt;=0)*(IF(K187="",-1,K187)&lt;=1),IF(C187="peso_corporal",IF(ISNUMBER(E187),E187,0)+I187,I187)*J187*1000+I187,0),IF((M187&gt;0)*(IF(N187="",-1,N187)&gt;=0)*(IF(N187="",-1,N187)&lt;=1),IF(C187="peso_corporal",IF(ISNUMBER(E187),E187,0)+L187,L187)*M187*1000+L187,0),IF((P187&gt;0)*(IF(Q187="",-1,Q187)&gt;=0)*(IF(Q187="",-1,Q187)&lt;=1),IF(C187="peso_corporal",IF(ISNUMBER(E187),E187,0)+O187,O187)*P187*1000+O187,0),IF((S187&gt;0)*(IF(T187="",-1,T187)&gt;=0)*(IF(T187="",-1,T187)&lt;=1),IF(C187="peso_corporal",IF(ISNUMBER(E187),E187,0)+R187,R187)*S187*1000+R187,0))</f>
        <v>0</v>
      </c>
      <c r="X187" s="69">
        <f>IF(W187=0,0,IF(IF((S187&gt;0)*(IF(T187="",-1,T187)&gt;=0)*(IF(T187="",-1,T187)&lt;=1),IF(C187="peso_corporal",IF(ISNUMBER(E187),E187,0)+R187,R187)*S187*1000+R187,0)=W187,5,IF(IF((P187&gt;0)*(IF(Q187="",-1,Q187)&gt;=0)*(IF(Q187="",-1,Q187)&lt;=1),IF(C187="peso_corporal",IF(ISNUMBER(E187),E187,0)+O187,O187)*P187*1000+O187,0)=W187,4,IF(IF((M187&gt;0)*(IF(N187="",-1,N187)&gt;=0)*(IF(N187="",-1,N187)&lt;=1),IF(C187="peso_corporal",IF(ISNUMBER(E187),E187,0)+L187,L187)*M187*1000+L187,0)=W187,3,IF(IF((J187&gt;0)*(IF(K187="",-1,K187)&gt;=0)*(IF(K187="",-1,K187)&lt;=1),IF(C187="peso_corporal",IF(ISNUMBER(E187),E187,0)+I187,I187)*J187*1000+I187,0)=W187,2,IF(IF((G187&gt;0)*(IF(H187="",-1,H187)&gt;=0)*(IF(H187="",-1,H187)&lt;=1),IF(C187="peso_corporal",IF(ISNUMBER(E187),E187,0)+F187,F187)*G187*1000+F187,0)=W187,1,0))))))</f>
        <v>0</v>
      </c>
      <c r="Y187" s="69">
        <f>MAX(IF((G187&gt;0)*(IF(H187="",-1,H187)=0)*(1-(IF(H187="",-1,H187)&gt;=0)*(IF(H187="",-1,H187)&lt;=1)),IF(C187="peso_corporal",IF(ISNUMBER(E187),E187,0)+F187,F187)*G187*1000+F187,0),IF((J187&gt;0)*(IF(K187="",-1,K187)=0)*(1-(IF(K187="",-1,K187)&gt;=0)*(IF(K187="",-1,K187)&lt;=1)),IF(C187="peso_corporal",IF(ISNUMBER(E187),E187,0)+I187,I187)*J187*1000+I187,0),IF((M187&gt;0)*(IF(N187="",-1,N187)=0)*(1-(IF(N187="",-1,N187)&gt;=0)*(IF(N187="",-1,N187)&lt;=1)),IF(C187="peso_corporal",IF(ISNUMBER(E187),E187,0)+L187,L187)*M187*1000+L187,0),IF((P187&gt;0)*(IF(Q187="",-1,Q187)=0)*(1-(IF(Q187="",-1,Q187)&gt;=0)*(IF(Q187="",-1,Q187)&lt;=1)),IF(C187="peso_corporal",IF(ISNUMBER(E187),E187,0)+O187,O187)*P187*1000+O187,0),IF((S187&gt;0)*(IF(T187="",-1,T187)=0)*(1-(IF(T187="",-1,T187)&gt;=0)*(IF(T187="",-1,T187)&lt;=1)),IF(C187="peso_corporal",IF(ISNUMBER(E187),E187,0)+R187,R187)*S187*1000+R187,0))</f>
        <v>0</v>
      </c>
      <c r="Z187" s="69">
        <f>IF(Y187=0,0,IF(IF((S187&gt;0)*(IF(T187="",-1,T187)=0)*(1-(IF(T187="",-1,T187)&gt;=0)*(IF(T187="",-1,T187)&lt;=1)),IF(C187="peso_corporal",IF(ISNUMBER(E187),E187,0)+R187,R187)*S187*1000+R187,0)=Y187,5,IF(IF((P187&gt;0)*(IF(Q187="",-1,Q187)=0)*(1-(IF(Q187="",-1,Q187)&gt;=0)*(IF(Q187="",-1,Q187)&lt;=1)),IF(C187="peso_corporal",IF(ISNUMBER(E187),E187,0)+O187,O187)*P187*1000+O187,0)=Y187,4,IF(IF((M187&gt;0)*(IF(N187="",-1,N187)=0)*(1-(IF(N187="",-1,N187)&gt;=0)*(IF(N187="",-1,N187)&lt;=1)),IF(C187="peso_corporal",IF(ISNUMBER(E187),E187,0)+L187,L187)*M187*1000+L187,0)=Y187,3,IF(IF((J187&gt;0)*(IF(K187="",-1,K187)=0)*(1-(IF(K187="",-1,K187)&gt;=0)*(IF(K187="",-1,K187)&lt;=1)),IF(C187="peso_corporal",IF(ISNUMBER(E187),E187,0)+I187,I187)*J187*1000+I187,0)=Y187,2,IF(IF((G187&gt;0)*(IF(H187="",-1,H187)=0)*(1-(IF(H187="",-1,H187)&gt;=0)*(IF(H187="",-1,H187)&lt;=1)),IF(C187="peso_corporal",IF(ISNUMBER(E187),E187,0)+F187,F187)*G187*1000+F187,0)=Y187,1,0))))))</f>
        <v>0</v>
      </c>
      <c r="AA187" s="69">
        <f>MAX(IF((G187&gt;=3)*(1-(IF(H187="",-1,H187)&gt;=0)*(IF(H187="",-1,H187)&lt;=1))*(1-(IF(H187="",-1,H187)=0)),IF(C187="peso_corporal",IF(ISNUMBER(E187),E187,0)+F187,F187)*(30+G187)*100+F187,0),IF((J187&gt;=3)*(1-(IF(K187="",-1,K187)&gt;=0)*(IF(K187="",-1,K187)&lt;=1))*(1-(IF(K187="",-1,K187)=0)),IF(C187="peso_corporal",IF(ISNUMBER(E187),E187,0)+I187,I187)*(30+J187)*100+I187,0),IF((M187&gt;=3)*(1-(IF(N187="",-1,N187)&gt;=0)*(IF(N187="",-1,N187)&lt;=1))*(1-(IF(N187="",-1,N187)=0)),IF(C187="peso_corporal",IF(ISNUMBER(E187),E187,0)+L187,L187)*(30+M187)*100+L187,0),IF((P187&gt;=3)*(1-(IF(Q187="",-1,Q187)&gt;=0)*(IF(Q187="",-1,Q187)&lt;=1))*(1-(IF(Q187="",-1,Q187)=0)),IF(C187="peso_corporal",IF(ISNUMBER(E187),E187,0)+O187,O187)*(30+P187)*100+O187,0),IF((S187&gt;=3)*(1-(IF(T187="",-1,T187)&gt;=0)*(IF(T187="",-1,T187)&lt;=1))*(1-(IF(T187="",-1,T187)=0)),IF(C187="peso_corporal",IF(ISNUMBER(E187),E187,0)+R187,R187)*(30+S187)*100+R187,0))</f>
        <v>0</v>
      </c>
      <c r="AB187" s="69">
        <f>IF(AA187=0,0,IF(IF((S187&gt;=3)*(1-(IF(T187="",-1,T187)&gt;=0)*(IF(T187="",-1,T187)&lt;=1))*(1-(IF(T187="",-1,T187)=0)),IF(C187="peso_corporal",IF(ISNUMBER(E187),E187,0)+R187,R187)*(30+S187)*100+R187,0)=AA187,5,IF(IF((P187&gt;=3)*(1-(IF(Q187="",-1,Q187)&gt;=0)*(IF(Q187="",-1,Q187)&lt;=1))*(1-(IF(Q187="",-1,Q187)=0)),IF(C187="peso_corporal",IF(ISNUMBER(E187),E187,0)+O187,O187)*(30+P187)*100+O187,0)=AA187,4,IF(IF((M187&gt;=3)*(1-(IF(N187="",-1,N187)&gt;=0)*(IF(N187="",-1,N187)&lt;=1))*(1-(IF(N187="",-1,N187)=0)),IF(C187="peso_corporal",IF(ISNUMBER(E187),E187,0)+L187,L187)*(30+M187)*100+L187,0)=AA187,3,IF(IF((J187&gt;=3)*(1-(IF(K187="",-1,K187)&gt;=0)*(IF(K187="",-1,K187)&lt;=1))*(1-(IF(K187="",-1,K187)=0)),IF(C187="peso_corporal",IF(ISNUMBER(E187),E187,0)+I187,I187)*(30+J187)*100+I187,0)=AA187,2,IF(IF((G187&gt;=3)*(1-(IF(H187="",-1,H187)&gt;=0)*(IF(H187="",-1,H187)&lt;=1))*(1-(IF(H187="",-1,H187)=0)),IF(C187="peso_corporal",IF(ISNUMBER(E187),E187,0)+F187,F187)*(30+G187)*100+F187,0)=AA187,1,0))))))</f>
        <v>0</v>
      </c>
      <c r="AC187" s="69" t="str">
        <f>IF(X187&gt;0,"A"&amp;X187,IF(Z187&gt;0,"B"&amp;Z187,IF(AB187&gt;0,"C"&amp;AB187,"")))</f>
        <v/>
      </c>
    </row>
    <row r="188" spans="1:29" ht="20.100000000000001" customHeight="1">
      <c r="A188" s="14" t="s">
        <v>54</v>
      </c>
      <c r="B188" s="15" t="s">
        <v>98</v>
      </c>
      <c r="C188" s="16" t="str">
        <f>IFERROR(INDEX(EJERCICIOS!$D$3:$D$75,MATCH(A188&amp;"|"&amp;B188,EJERCICIOS!$G$3:$G$75,0)),"--")</f>
        <v>polea</v>
      </c>
      <c r="D188" s="17">
        <v>3</v>
      </c>
      <c r="E188" s="18">
        <f>IFERROR(LOOKUP(2,1/(MEDIDAS_Y_PESO!$B$3:$B$11&lt;&gt;""),MEDIDAS_Y_PESO!$B$3:$B$11),"--")</f>
        <v>80</v>
      </c>
      <c r="F188" s="19"/>
      <c r="G188" s="20"/>
      <c r="H188" s="21"/>
      <c r="I188" s="19"/>
      <c r="J188" s="20"/>
      <c r="K188" s="21"/>
      <c r="L188" s="19"/>
      <c r="M188" s="20"/>
      <c r="N188" s="21"/>
      <c r="O188" s="19"/>
      <c r="P188" s="20"/>
      <c r="Q188" s="21"/>
      <c r="R188" s="19"/>
      <c r="S188" s="20"/>
      <c r="T188" s="21"/>
      <c r="U188" s="22" t="str">
        <f>IFERROR(IF(IF(X188&gt;0,X188,IF(Z188&gt;0,Z188,IF(AB188&gt;0,AB188,0)))=0,"--",ROUND(CHOOSE(IF(X188&gt;0,X188,IF(Z188&gt;0,Z188,IF(AB188&gt;0,AB188,0))),IF(C188="peso_corporal",IF(ISNUMBER(E188),E188,0)+F188,F188)*(1+G188/30),IF(C188="peso_corporal",IF(ISNUMBER(E188),E188,0)+I188,I188)*(1+J188/30),IF(C188="peso_corporal",IF(ISNUMBER(E188),E188,0)+L188,L188)*(1+M188/30),IF(C188="peso_corporal",IF(ISNUMBER(E188),E188,0)+O188,O188)*(1+P188/30),IF(C188="peso_corporal",IF(ISNUMBER(E188),E188,0)+R188,R188)*(1+S188/30)),1)),"--")</f>
        <v>--</v>
      </c>
      <c r="V188" s="23" t="str">
        <f>IF(SUGERENCIAS!N524="SIN","Sin datos anteriores",IF(SUGERENCIAS!N524="SUBIR_F","^ SUBIR FUERTE | Kg:"&amp;ROUND(SUGERENCIAS!K524,1)&amp;" R:"&amp;ROUND(SUGERENCIAS!L524,0)&amp;" RIR:"&amp;ROUND(SUGERENCIAS!M524,0),IF(SUGERENCIAS!N524="SUBIR_E","^ SUBIR (Est.) | Kg:"&amp;ROUND(SUGERENCIAS!K524,1)&amp;" R:"&amp;ROUND(SUGERENCIAS!L524,0)&amp;" RIR:"&amp;ROUND(SUGERENCIAS!M524,0),IF(SUGERENCIAS!N524="SUBIR","^ SUBIR | Kg:"&amp;ROUND(SUGERENCIAS!K524,1)&amp;" R:"&amp;ROUND(SUGERENCIAS!L524,0)&amp;" RIR:"&amp;ROUND(SUGERENCIAS!M524,0),IF(SUGERENCIAS!N524="BAJAR","v BAJAR | Kg:"&amp;ROUND(SUGERENCIAS!K524,1)&amp;" R:"&amp;ROUND(SUGERENCIAS!L524,0)&amp;" RIR:"&amp;ROUND(SUGERENCIAS!M524,0),"= MANT | Kg:"&amp;ROUND(SUGERENCIAS!K524,1)&amp;" R:"&amp;ROUND(SUGERENCIAS!L524,0)&amp;" RIR:"&amp;ROUND(SUGERENCIAS!M524,0))))))</f>
        <v>Sin datos anteriores</v>
      </c>
      <c r="W188" s="69">
        <f>MAX(IF((G188&gt;0)*(IF(H188="",-1,H188)&gt;=0)*(IF(H188="",-1,H188)&lt;=1),IF(C188="peso_corporal",IF(ISNUMBER(E188),E188,0)+F188,F188)*G188*1000+F188,0),IF((J188&gt;0)*(IF(K188="",-1,K188)&gt;=0)*(IF(K188="",-1,K188)&lt;=1),IF(C188="peso_corporal",IF(ISNUMBER(E188),E188,0)+I188,I188)*J188*1000+I188,0),IF((M188&gt;0)*(IF(N188="",-1,N188)&gt;=0)*(IF(N188="",-1,N188)&lt;=1),IF(C188="peso_corporal",IF(ISNUMBER(E188),E188,0)+L188,L188)*M188*1000+L188,0),IF((P188&gt;0)*(IF(Q188="",-1,Q188)&gt;=0)*(IF(Q188="",-1,Q188)&lt;=1),IF(C188="peso_corporal",IF(ISNUMBER(E188),E188,0)+O188,O188)*P188*1000+O188,0),IF((S188&gt;0)*(IF(T188="",-1,T188)&gt;=0)*(IF(T188="",-1,T188)&lt;=1),IF(C188="peso_corporal",IF(ISNUMBER(E188),E188,0)+R188,R188)*S188*1000+R188,0))</f>
        <v>0</v>
      </c>
      <c r="X188" s="69">
        <f>IF(W188=0,0,IF(IF((S188&gt;0)*(IF(T188="",-1,T188)&gt;=0)*(IF(T188="",-1,T188)&lt;=1),IF(C188="peso_corporal",IF(ISNUMBER(E188),E188,0)+R188,R188)*S188*1000+R188,0)=W188,5,IF(IF((P188&gt;0)*(IF(Q188="",-1,Q188)&gt;=0)*(IF(Q188="",-1,Q188)&lt;=1),IF(C188="peso_corporal",IF(ISNUMBER(E188),E188,0)+O188,O188)*P188*1000+O188,0)=W188,4,IF(IF((M188&gt;0)*(IF(N188="",-1,N188)&gt;=0)*(IF(N188="",-1,N188)&lt;=1),IF(C188="peso_corporal",IF(ISNUMBER(E188),E188,0)+L188,L188)*M188*1000+L188,0)=W188,3,IF(IF((J188&gt;0)*(IF(K188="",-1,K188)&gt;=0)*(IF(K188="",-1,K188)&lt;=1),IF(C188="peso_corporal",IF(ISNUMBER(E188),E188,0)+I188,I188)*J188*1000+I188,0)=W188,2,IF(IF((G188&gt;0)*(IF(H188="",-1,H188)&gt;=0)*(IF(H188="",-1,H188)&lt;=1),IF(C188="peso_corporal",IF(ISNUMBER(E188),E188,0)+F188,F188)*G188*1000+F188,0)=W188,1,0))))))</f>
        <v>0</v>
      </c>
      <c r="Y188" s="69">
        <f>MAX(IF((G188&gt;0)*(IF(H188="",-1,H188)=0)*(1-(IF(H188="",-1,H188)&gt;=0)*(IF(H188="",-1,H188)&lt;=1)),IF(C188="peso_corporal",IF(ISNUMBER(E188),E188,0)+F188,F188)*G188*1000+F188,0),IF((J188&gt;0)*(IF(K188="",-1,K188)=0)*(1-(IF(K188="",-1,K188)&gt;=0)*(IF(K188="",-1,K188)&lt;=1)),IF(C188="peso_corporal",IF(ISNUMBER(E188),E188,0)+I188,I188)*J188*1000+I188,0),IF((M188&gt;0)*(IF(N188="",-1,N188)=0)*(1-(IF(N188="",-1,N188)&gt;=0)*(IF(N188="",-1,N188)&lt;=1)),IF(C188="peso_corporal",IF(ISNUMBER(E188),E188,0)+L188,L188)*M188*1000+L188,0),IF((P188&gt;0)*(IF(Q188="",-1,Q188)=0)*(1-(IF(Q188="",-1,Q188)&gt;=0)*(IF(Q188="",-1,Q188)&lt;=1)),IF(C188="peso_corporal",IF(ISNUMBER(E188),E188,0)+O188,O188)*P188*1000+O188,0),IF((S188&gt;0)*(IF(T188="",-1,T188)=0)*(1-(IF(T188="",-1,T188)&gt;=0)*(IF(T188="",-1,T188)&lt;=1)),IF(C188="peso_corporal",IF(ISNUMBER(E188),E188,0)+R188,R188)*S188*1000+R188,0))</f>
        <v>0</v>
      </c>
      <c r="Z188" s="69">
        <f>IF(Y188=0,0,IF(IF((S188&gt;0)*(IF(T188="",-1,T188)=0)*(1-(IF(T188="",-1,T188)&gt;=0)*(IF(T188="",-1,T188)&lt;=1)),IF(C188="peso_corporal",IF(ISNUMBER(E188),E188,0)+R188,R188)*S188*1000+R188,0)=Y188,5,IF(IF((P188&gt;0)*(IF(Q188="",-1,Q188)=0)*(1-(IF(Q188="",-1,Q188)&gt;=0)*(IF(Q188="",-1,Q188)&lt;=1)),IF(C188="peso_corporal",IF(ISNUMBER(E188),E188,0)+O188,O188)*P188*1000+O188,0)=Y188,4,IF(IF((M188&gt;0)*(IF(N188="",-1,N188)=0)*(1-(IF(N188="",-1,N188)&gt;=0)*(IF(N188="",-1,N188)&lt;=1)),IF(C188="peso_corporal",IF(ISNUMBER(E188),E188,0)+L188,L188)*M188*1000+L188,0)=Y188,3,IF(IF((J188&gt;0)*(IF(K188="",-1,K188)=0)*(1-(IF(K188="",-1,K188)&gt;=0)*(IF(K188="",-1,K188)&lt;=1)),IF(C188="peso_corporal",IF(ISNUMBER(E188),E188,0)+I188,I188)*J188*1000+I188,0)=Y188,2,IF(IF((G188&gt;0)*(IF(H188="",-1,H188)=0)*(1-(IF(H188="",-1,H188)&gt;=0)*(IF(H188="",-1,H188)&lt;=1)),IF(C188="peso_corporal",IF(ISNUMBER(E188),E188,0)+F188,F188)*G188*1000+F188,0)=Y188,1,0))))))</f>
        <v>0</v>
      </c>
      <c r="AA188" s="69">
        <f>MAX(IF((G188&gt;=3)*(1-(IF(H188="",-1,H188)&gt;=0)*(IF(H188="",-1,H188)&lt;=1))*(1-(IF(H188="",-1,H188)=0)),IF(C188="peso_corporal",IF(ISNUMBER(E188),E188,0)+F188,F188)*(30+G188)*100+F188,0),IF((J188&gt;=3)*(1-(IF(K188="",-1,K188)&gt;=0)*(IF(K188="",-1,K188)&lt;=1))*(1-(IF(K188="",-1,K188)=0)),IF(C188="peso_corporal",IF(ISNUMBER(E188),E188,0)+I188,I188)*(30+J188)*100+I188,0),IF((M188&gt;=3)*(1-(IF(N188="",-1,N188)&gt;=0)*(IF(N188="",-1,N188)&lt;=1))*(1-(IF(N188="",-1,N188)=0)),IF(C188="peso_corporal",IF(ISNUMBER(E188),E188,0)+L188,L188)*(30+M188)*100+L188,0),IF((P188&gt;=3)*(1-(IF(Q188="",-1,Q188)&gt;=0)*(IF(Q188="",-1,Q188)&lt;=1))*(1-(IF(Q188="",-1,Q188)=0)),IF(C188="peso_corporal",IF(ISNUMBER(E188),E188,0)+O188,O188)*(30+P188)*100+O188,0),IF((S188&gt;=3)*(1-(IF(T188="",-1,T188)&gt;=0)*(IF(T188="",-1,T188)&lt;=1))*(1-(IF(T188="",-1,T188)=0)),IF(C188="peso_corporal",IF(ISNUMBER(E188),E188,0)+R188,R188)*(30+S188)*100+R188,0))</f>
        <v>0</v>
      </c>
      <c r="AB188" s="69">
        <f>IF(AA188=0,0,IF(IF((S188&gt;=3)*(1-(IF(T188="",-1,T188)&gt;=0)*(IF(T188="",-1,T188)&lt;=1))*(1-(IF(T188="",-1,T188)=0)),IF(C188="peso_corporal",IF(ISNUMBER(E188),E188,0)+R188,R188)*(30+S188)*100+R188,0)=AA188,5,IF(IF((P188&gt;=3)*(1-(IF(Q188="",-1,Q188)&gt;=0)*(IF(Q188="",-1,Q188)&lt;=1))*(1-(IF(Q188="",-1,Q188)=0)),IF(C188="peso_corporal",IF(ISNUMBER(E188),E188,0)+O188,O188)*(30+P188)*100+O188,0)=AA188,4,IF(IF((M188&gt;=3)*(1-(IF(N188="",-1,N188)&gt;=0)*(IF(N188="",-1,N188)&lt;=1))*(1-(IF(N188="",-1,N188)=0)),IF(C188="peso_corporal",IF(ISNUMBER(E188),E188,0)+L188,L188)*(30+M188)*100+L188,0)=AA188,3,IF(IF((J188&gt;=3)*(1-(IF(K188="",-1,K188)&gt;=0)*(IF(K188="",-1,K188)&lt;=1))*(1-(IF(K188="",-1,K188)=0)),IF(C188="peso_corporal",IF(ISNUMBER(E188),E188,0)+I188,I188)*(30+J188)*100+I188,0)=AA188,2,IF(IF((G188&gt;=3)*(1-(IF(H188="",-1,H188)&gt;=0)*(IF(H188="",-1,H188)&lt;=1))*(1-(IF(H188="",-1,H188)=0)),IF(C188="peso_corporal",IF(ISNUMBER(E188),E188,0)+F188,F188)*(30+G188)*100+F188,0)=AA188,1,0))))))</f>
        <v>0</v>
      </c>
      <c r="AC188" s="69" t="str">
        <f>IF(X188&gt;0,"A"&amp;X188,IF(Z188&gt;0,"B"&amp;Z188,IF(AB188&gt;0,"C"&amp;AB188,"")))</f>
        <v/>
      </c>
    </row>
    <row r="189" spans="1:29" ht="15" customHeight="1">
      <c r="A189" s="83" t="s">
        <v>99</v>
      </c>
      <c r="B189" s="73"/>
      <c r="C189" s="73"/>
      <c r="D189" s="73"/>
      <c r="E189" s="73"/>
      <c r="F189" s="73"/>
      <c r="G189" s="73"/>
      <c r="H189" s="73"/>
      <c r="I189" s="73"/>
      <c r="J189" s="73"/>
      <c r="K189" s="73"/>
      <c r="L189" s="73"/>
      <c r="M189" s="73"/>
      <c r="N189" s="73"/>
      <c r="O189" s="73"/>
      <c r="P189" s="73"/>
      <c r="Q189" s="73"/>
      <c r="R189" s="73"/>
      <c r="S189" s="73"/>
      <c r="T189" s="73"/>
      <c r="U189" s="73"/>
      <c r="V189" s="73"/>
      <c r="W189" s="69"/>
      <c r="X189" s="69"/>
      <c r="Y189" s="69"/>
      <c r="Z189" s="69"/>
      <c r="AA189" s="69"/>
      <c r="AB189" s="69"/>
      <c r="AC189" s="69"/>
    </row>
    <row r="190" spans="1:29" ht="20.100000000000001" customHeight="1">
      <c r="A190" s="14" t="s">
        <v>100</v>
      </c>
      <c r="B190" s="15" t="s">
        <v>101</v>
      </c>
      <c r="C190" s="16" t="str">
        <f>IFERROR(INDEX(EJERCICIOS!$D$3:$D$75,MATCH(A190&amp;"|"&amp;B190,EJERCICIOS!$G$3:$G$75,0)),"--")</f>
        <v>mancuerna</v>
      </c>
      <c r="D190" s="17">
        <v>3</v>
      </c>
      <c r="E190" s="18">
        <f>IFERROR(LOOKUP(2,1/(MEDIDAS_Y_PESO!$B$3:$B$11&lt;&gt;""),MEDIDAS_Y_PESO!$B$3:$B$11),"--")</f>
        <v>80</v>
      </c>
      <c r="F190" s="19"/>
      <c r="G190" s="20"/>
      <c r="H190" s="21"/>
      <c r="I190" s="19"/>
      <c r="J190" s="20"/>
      <c r="K190" s="21"/>
      <c r="L190" s="19"/>
      <c r="M190" s="20"/>
      <c r="N190" s="21"/>
      <c r="O190" s="19"/>
      <c r="P190" s="20"/>
      <c r="Q190" s="21"/>
      <c r="R190" s="19"/>
      <c r="S190" s="20"/>
      <c r="T190" s="21"/>
      <c r="U190" s="22" t="str">
        <f>IFERROR(IF(IF(X190&gt;0,X190,IF(Z190&gt;0,Z190,IF(AB190&gt;0,AB190,0)))=0,"--",ROUND(CHOOSE(IF(X190&gt;0,X190,IF(Z190&gt;0,Z190,IF(AB190&gt;0,AB190,0))),IF(C190="peso_corporal",IF(ISNUMBER(E190),E190,0)+F190,F190)*(1+G190/30),IF(C190="peso_corporal",IF(ISNUMBER(E190),E190,0)+I190,I190)*(1+J190/30),IF(C190="peso_corporal",IF(ISNUMBER(E190),E190,0)+L190,L190)*(1+M190/30),IF(C190="peso_corporal",IF(ISNUMBER(E190),E190,0)+O190,O190)*(1+P190/30),IF(C190="peso_corporal",IF(ISNUMBER(E190),E190,0)+R190,R190)*(1+S190/30)),1)),"--")</f>
        <v>--</v>
      </c>
      <c r="V190" s="23" t="str">
        <f>IF(SUGERENCIAS!N525="SIN","Sin datos anteriores",IF(SUGERENCIAS!N525="SUBIR_F","^ SUBIR FUERTE | Kg:"&amp;ROUND(SUGERENCIAS!K525,1)&amp;" R:"&amp;ROUND(SUGERENCIAS!L525,0)&amp;" RIR:"&amp;ROUND(SUGERENCIAS!M525,0),IF(SUGERENCIAS!N525="SUBIR_E","^ SUBIR (Est.) | Kg:"&amp;ROUND(SUGERENCIAS!K525,1)&amp;" R:"&amp;ROUND(SUGERENCIAS!L525,0)&amp;" RIR:"&amp;ROUND(SUGERENCIAS!M525,0),IF(SUGERENCIAS!N525="SUBIR","^ SUBIR | Kg:"&amp;ROUND(SUGERENCIAS!K525,1)&amp;" R:"&amp;ROUND(SUGERENCIAS!L525,0)&amp;" RIR:"&amp;ROUND(SUGERENCIAS!M525,0),IF(SUGERENCIAS!N525="BAJAR","v BAJAR | Kg:"&amp;ROUND(SUGERENCIAS!K525,1)&amp;" R:"&amp;ROUND(SUGERENCIAS!L525,0)&amp;" RIR:"&amp;ROUND(SUGERENCIAS!M525,0),"= MANT | Kg:"&amp;ROUND(SUGERENCIAS!K525,1)&amp;" R:"&amp;ROUND(SUGERENCIAS!L525,0)&amp;" RIR:"&amp;ROUND(SUGERENCIAS!M525,0))))))</f>
        <v>Sin datos anteriores</v>
      </c>
      <c r="W190" s="69">
        <f>MAX(IF((G190&gt;0)*(IF(H190="",-1,H190)&gt;=0)*(IF(H190="",-1,H190)&lt;=1),IF(C190="peso_corporal",IF(ISNUMBER(E190),E190,0)+F190,F190)*G190*1000+F190,0),IF((J190&gt;0)*(IF(K190="",-1,K190)&gt;=0)*(IF(K190="",-1,K190)&lt;=1),IF(C190="peso_corporal",IF(ISNUMBER(E190),E190,0)+I190,I190)*J190*1000+I190,0),IF((M190&gt;0)*(IF(N190="",-1,N190)&gt;=0)*(IF(N190="",-1,N190)&lt;=1),IF(C190="peso_corporal",IF(ISNUMBER(E190),E190,0)+L190,L190)*M190*1000+L190,0),IF((P190&gt;0)*(IF(Q190="",-1,Q190)&gt;=0)*(IF(Q190="",-1,Q190)&lt;=1),IF(C190="peso_corporal",IF(ISNUMBER(E190),E190,0)+O190,O190)*P190*1000+O190,0),IF((S190&gt;0)*(IF(T190="",-1,T190)&gt;=0)*(IF(T190="",-1,T190)&lt;=1),IF(C190="peso_corporal",IF(ISNUMBER(E190),E190,0)+R190,R190)*S190*1000+R190,0))</f>
        <v>0</v>
      </c>
      <c r="X190" s="69">
        <f>IF(W190=0,0,IF(IF((S190&gt;0)*(IF(T190="",-1,T190)&gt;=0)*(IF(T190="",-1,T190)&lt;=1),IF(C190="peso_corporal",IF(ISNUMBER(E190),E190,0)+R190,R190)*S190*1000+R190,0)=W190,5,IF(IF((P190&gt;0)*(IF(Q190="",-1,Q190)&gt;=0)*(IF(Q190="",-1,Q190)&lt;=1),IF(C190="peso_corporal",IF(ISNUMBER(E190),E190,0)+O190,O190)*P190*1000+O190,0)=W190,4,IF(IF((M190&gt;0)*(IF(N190="",-1,N190)&gt;=0)*(IF(N190="",-1,N190)&lt;=1),IF(C190="peso_corporal",IF(ISNUMBER(E190),E190,0)+L190,L190)*M190*1000+L190,0)=W190,3,IF(IF((J190&gt;0)*(IF(K190="",-1,K190)&gt;=0)*(IF(K190="",-1,K190)&lt;=1),IF(C190="peso_corporal",IF(ISNUMBER(E190),E190,0)+I190,I190)*J190*1000+I190,0)=W190,2,IF(IF((G190&gt;0)*(IF(H190="",-1,H190)&gt;=0)*(IF(H190="",-1,H190)&lt;=1),IF(C190="peso_corporal",IF(ISNUMBER(E190),E190,0)+F190,F190)*G190*1000+F190,0)=W190,1,0))))))</f>
        <v>0</v>
      </c>
      <c r="Y190" s="69">
        <f>MAX(IF((G190&gt;0)*(IF(H190="",-1,H190)=0)*(1-(IF(H190="",-1,H190)&gt;=0)*(IF(H190="",-1,H190)&lt;=1)),IF(C190="peso_corporal",IF(ISNUMBER(E190),E190,0)+F190,F190)*G190*1000+F190,0),IF((J190&gt;0)*(IF(K190="",-1,K190)=0)*(1-(IF(K190="",-1,K190)&gt;=0)*(IF(K190="",-1,K190)&lt;=1)),IF(C190="peso_corporal",IF(ISNUMBER(E190),E190,0)+I190,I190)*J190*1000+I190,0),IF((M190&gt;0)*(IF(N190="",-1,N190)=0)*(1-(IF(N190="",-1,N190)&gt;=0)*(IF(N190="",-1,N190)&lt;=1)),IF(C190="peso_corporal",IF(ISNUMBER(E190),E190,0)+L190,L190)*M190*1000+L190,0),IF((P190&gt;0)*(IF(Q190="",-1,Q190)=0)*(1-(IF(Q190="",-1,Q190)&gt;=0)*(IF(Q190="",-1,Q190)&lt;=1)),IF(C190="peso_corporal",IF(ISNUMBER(E190),E190,0)+O190,O190)*P190*1000+O190,0),IF((S190&gt;0)*(IF(T190="",-1,T190)=0)*(1-(IF(T190="",-1,T190)&gt;=0)*(IF(T190="",-1,T190)&lt;=1)),IF(C190="peso_corporal",IF(ISNUMBER(E190),E190,0)+R190,R190)*S190*1000+R190,0))</f>
        <v>0</v>
      </c>
      <c r="Z190" s="69">
        <f>IF(Y190=0,0,IF(IF((S190&gt;0)*(IF(T190="",-1,T190)=0)*(1-(IF(T190="",-1,T190)&gt;=0)*(IF(T190="",-1,T190)&lt;=1)),IF(C190="peso_corporal",IF(ISNUMBER(E190),E190,0)+R190,R190)*S190*1000+R190,0)=Y190,5,IF(IF((P190&gt;0)*(IF(Q190="",-1,Q190)=0)*(1-(IF(Q190="",-1,Q190)&gt;=0)*(IF(Q190="",-1,Q190)&lt;=1)),IF(C190="peso_corporal",IF(ISNUMBER(E190),E190,0)+O190,O190)*P190*1000+O190,0)=Y190,4,IF(IF((M190&gt;0)*(IF(N190="",-1,N190)=0)*(1-(IF(N190="",-1,N190)&gt;=0)*(IF(N190="",-1,N190)&lt;=1)),IF(C190="peso_corporal",IF(ISNUMBER(E190),E190,0)+L190,L190)*M190*1000+L190,0)=Y190,3,IF(IF((J190&gt;0)*(IF(K190="",-1,K190)=0)*(1-(IF(K190="",-1,K190)&gt;=0)*(IF(K190="",-1,K190)&lt;=1)),IF(C190="peso_corporal",IF(ISNUMBER(E190),E190,0)+I190,I190)*J190*1000+I190,0)=Y190,2,IF(IF((G190&gt;0)*(IF(H190="",-1,H190)=0)*(1-(IF(H190="",-1,H190)&gt;=0)*(IF(H190="",-1,H190)&lt;=1)),IF(C190="peso_corporal",IF(ISNUMBER(E190),E190,0)+F190,F190)*G190*1000+F190,0)=Y190,1,0))))))</f>
        <v>0</v>
      </c>
      <c r="AA190" s="69">
        <f>MAX(IF((G190&gt;=3)*(1-(IF(H190="",-1,H190)&gt;=0)*(IF(H190="",-1,H190)&lt;=1))*(1-(IF(H190="",-1,H190)=0)),IF(C190="peso_corporal",IF(ISNUMBER(E190),E190,0)+F190,F190)*(30+G190)*100+F190,0),IF((J190&gt;=3)*(1-(IF(K190="",-1,K190)&gt;=0)*(IF(K190="",-1,K190)&lt;=1))*(1-(IF(K190="",-1,K190)=0)),IF(C190="peso_corporal",IF(ISNUMBER(E190),E190,0)+I190,I190)*(30+J190)*100+I190,0),IF((M190&gt;=3)*(1-(IF(N190="",-1,N190)&gt;=0)*(IF(N190="",-1,N190)&lt;=1))*(1-(IF(N190="",-1,N190)=0)),IF(C190="peso_corporal",IF(ISNUMBER(E190),E190,0)+L190,L190)*(30+M190)*100+L190,0),IF((P190&gt;=3)*(1-(IF(Q190="",-1,Q190)&gt;=0)*(IF(Q190="",-1,Q190)&lt;=1))*(1-(IF(Q190="",-1,Q190)=0)),IF(C190="peso_corporal",IF(ISNUMBER(E190),E190,0)+O190,O190)*(30+P190)*100+O190,0),IF((S190&gt;=3)*(1-(IF(T190="",-1,T190)&gt;=0)*(IF(T190="",-1,T190)&lt;=1))*(1-(IF(T190="",-1,T190)=0)),IF(C190="peso_corporal",IF(ISNUMBER(E190),E190,0)+R190,R190)*(30+S190)*100+R190,0))</f>
        <v>0</v>
      </c>
      <c r="AB190" s="69">
        <f>IF(AA190=0,0,IF(IF((S190&gt;=3)*(1-(IF(T190="",-1,T190)&gt;=0)*(IF(T190="",-1,T190)&lt;=1))*(1-(IF(T190="",-1,T190)=0)),IF(C190="peso_corporal",IF(ISNUMBER(E190),E190,0)+R190,R190)*(30+S190)*100+R190,0)=AA190,5,IF(IF((P190&gt;=3)*(1-(IF(Q190="",-1,Q190)&gt;=0)*(IF(Q190="",-1,Q190)&lt;=1))*(1-(IF(Q190="",-1,Q190)=0)),IF(C190="peso_corporal",IF(ISNUMBER(E190),E190,0)+O190,O190)*(30+P190)*100+O190,0)=AA190,4,IF(IF((M190&gt;=3)*(1-(IF(N190="",-1,N190)&gt;=0)*(IF(N190="",-1,N190)&lt;=1))*(1-(IF(N190="",-1,N190)=0)),IF(C190="peso_corporal",IF(ISNUMBER(E190),E190,0)+L190,L190)*(30+M190)*100+L190,0)=AA190,3,IF(IF((J190&gt;=3)*(1-(IF(K190="",-1,K190)&gt;=0)*(IF(K190="",-1,K190)&lt;=1))*(1-(IF(K190="",-1,K190)=0)),IF(C190="peso_corporal",IF(ISNUMBER(E190),E190,0)+I190,I190)*(30+J190)*100+I190,0)=AA190,2,IF(IF((G190&gt;=3)*(1-(IF(H190="",-1,H190)&gt;=0)*(IF(H190="",-1,H190)&lt;=1))*(1-(IF(H190="",-1,H190)=0)),IF(C190="peso_corporal",IF(ISNUMBER(E190),E190,0)+F190,F190)*(30+G190)*100+F190,0)=AA190,1,0))))))</f>
        <v>0</v>
      </c>
      <c r="AC190" s="69" t="str">
        <f>IF(X190&gt;0,"A"&amp;X190,IF(Z190&gt;0,"B"&amp;Z190,IF(AB190&gt;0,"C"&amp;AB190,"")))</f>
        <v/>
      </c>
    </row>
    <row r="191" spans="1:29" ht="20.100000000000001" customHeight="1">
      <c r="A191" s="14" t="s">
        <v>100</v>
      </c>
      <c r="B191" s="15" t="s">
        <v>102</v>
      </c>
      <c r="C191" s="16" t="str">
        <f>IFERROR(INDEX(EJERCICIOS!$D$3:$D$75,MATCH(A191&amp;"|"&amp;B191,EJERCICIOS!$G$3:$G$75,0)),"--")</f>
        <v>mancuerna</v>
      </c>
      <c r="D191" s="17">
        <v>3</v>
      </c>
      <c r="E191" s="18">
        <f>IFERROR(LOOKUP(2,1/(MEDIDAS_Y_PESO!$B$3:$B$11&lt;&gt;""),MEDIDAS_Y_PESO!$B$3:$B$11),"--")</f>
        <v>80</v>
      </c>
      <c r="F191" s="19"/>
      <c r="G191" s="20"/>
      <c r="H191" s="21"/>
      <c r="I191" s="19"/>
      <c r="J191" s="20"/>
      <c r="K191" s="21"/>
      <c r="L191" s="19"/>
      <c r="M191" s="20"/>
      <c r="N191" s="21"/>
      <c r="O191" s="19"/>
      <c r="P191" s="20"/>
      <c r="Q191" s="21"/>
      <c r="R191" s="19"/>
      <c r="S191" s="20"/>
      <c r="T191" s="21"/>
      <c r="U191" s="22" t="str">
        <f>IFERROR(IF(IF(X191&gt;0,X191,IF(Z191&gt;0,Z191,IF(AB191&gt;0,AB191,0)))=0,"--",ROUND(CHOOSE(IF(X191&gt;0,X191,IF(Z191&gt;0,Z191,IF(AB191&gt;0,AB191,0))),IF(C191="peso_corporal",IF(ISNUMBER(E191),E191,0)+F191,F191)*(1+G191/30),IF(C191="peso_corporal",IF(ISNUMBER(E191),E191,0)+I191,I191)*(1+J191/30),IF(C191="peso_corporal",IF(ISNUMBER(E191),E191,0)+L191,L191)*(1+M191/30),IF(C191="peso_corporal",IF(ISNUMBER(E191),E191,0)+O191,O191)*(1+P191/30),IF(C191="peso_corporal",IF(ISNUMBER(E191),E191,0)+R191,R191)*(1+S191/30)),1)),"--")</f>
        <v>--</v>
      </c>
      <c r="V191" s="23" t="str">
        <f>IF(SUGERENCIAS!N526="SIN","Sin datos anteriores",IF(SUGERENCIAS!N526="SUBIR_F","^ SUBIR FUERTE | Kg:"&amp;ROUND(SUGERENCIAS!K526,1)&amp;" R:"&amp;ROUND(SUGERENCIAS!L526,0)&amp;" RIR:"&amp;ROUND(SUGERENCIAS!M526,0),IF(SUGERENCIAS!N526="SUBIR_E","^ SUBIR (Est.) | Kg:"&amp;ROUND(SUGERENCIAS!K526,1)&amp;" R:"&amp;ROUND(SUGERENCIAS!L526,0)&amp;" RIR:"&amp;ROUND(SUGERENCIAS!M526,0),IF(SUGERENCIAS!N526="SUBIR","^ SUBIR | Kg:"&amp;ROUND(SUGERENCIAS!K526,1)&amp;" R:"&amp;ROUND(SUGERENCIAS!L526,0)&amp;" RIR:"&amp;ROUND(SUGERENCIAS!M526,0),IF(SUGERENCIAS!N526="BAJAR","v BAJAR | Kg:"&amp;ROUND(SUGERENCIAS!K526,1)&amp;" R:"&amp;ROUND(SUGERENCIAS!L526,0)&amp;" RIR:"&amp;ROUND(SUGERENCIAS!M526,0),"= MANT | Kg:"&amp;ROUND(SUGERENCIAS!K526,1)&amp;" R:"&amp;ROUND(SUGERENCIAS!L526,0)&amp;" RIR:"&amp;ROUND(SUGERENCIAS!M526,0))))))</f>
        <v>Sin datos anteriores</v>
      </c>
      <c r="W191" s="69">
        <f>MAX(IF((G191&gt;0)*(IF(H191="",-1,H191)&gt;=0)*(IF(H191="",-1,H191)&lt;=1),IF(C191="peso_corporal",IF(ISNUMBER(E191),E191,0)+F191,F191)*G191*1000+F191,0),IF((J191&gt;0)*(IF(K191="",-1,K191)&gt;=0)*(IF(K191="",-1,K191)&lt;=1),IF(C191="peso_corporal",IF(ISNUMBER(E191),E191,0)+I191,I191)*J191*1000+I191,0),IF((M191&gt;0)*(IF(N191="",-1,N191)&gt;=0)*(IF(N191="",-1,N191)&lt;=1),IF(C191="peso_corporal",IF(ISNUMBER(E191),E191,0)+L191,L191)*M191*1000+L191,0),IF((P191&gt;0)*(IF(Q191="",-1,Q191)&gt;=0)*(IF(Q191="",-1,Q191)&lt;=1),IF(C191="peso_corporal",IF(ISNUMBER(E191),E191,0)+O191,O191)*P191*1000+O191,0),IF((S191&gt;0)*(IF(T191="",-1,T191)&gt;=0)*(IF(T191="",-1,T191)&lt;=1),IF(C191="peso_corporal",IF(ISNUMBER(E191),E191,0)+R191,R191)*S191*1000+R191,0))</f>
        <v>0</v>
      </c>
      <c r="X191" s="69">
        <f>IF(W191=0,0,IF(IF((S191&gt;0)*(IF(T191="",-1,T191)&gt;=0)*(IF(T191="",-1,T191)&lt;=1),IF(C191="peso_corporal",IF(ISNUMBER(E191),E191,0)+R191,R191)*S191*1000+R191,0)=W191,5,IF(IF((P191&gt;0)*(IF(Q191="",-1,Q191)&gt;=0)*(IF(Q191="",-1,Q191)&lt;=1),IF(C191="peso_corporal",IF(ISNUMBER(E191),E191,0)+O191,O191)*P191*1000+O191,0)=W191,4,IF(IF((M191&gt;0)*(IF(N191="",-1,N191)&gt;=0)*(IF(N191="",-1,N191)&lt;=1),IF(C191="peso_corporal",IF(ISNUMBER(E191),E191,0)+L191,L191)*M191*1000+L191,0)=W191,3,IF(IF((J191&gt;0)*(IF(K191="",-1,K191)&gt;=0)*(IF(K191="",-1,K191)&lt;=1),IF(C191="peso_corporal",IF(ISNUMBER(E191),E191,0)+I191,I191)*J191*1000+I191,0)=W191,2,IF(IF((G191&gt;0)*(IF(H191="",-1,H191)&gt;=0)*(IF(H191="",-1,H191)&lt;=1),IF(C191="peso_corporal",IF(ISNUMBER(E191),E191,0)+F191,F191)*G191*1000+F191,0)=W191,1,0))))))</f>
        <v>0</v>
      </c>
      <c r="Y191" s="69">
        <f>MAX(IF((G191&gt;0)*(IF(H191="",-1,H191)=0)*(1-(IF(H191="",-1,H191)&gt;=0)*(IF(H191="",-1,H191)&lt;=1)),IF(C191="peso_corporal",IF(ISNUMBER(E191),E191,0)+F191,F191)*G191*1000+F191,0),IF((J191&gt;0)*(IF(K191="",-1,K191)=0)*(1-(IF(K191="",-1,K191)&gt;=0)*(IF(K191="",-1,K191)&lt;=1)),IF(C191="peso_corporal",IF(ISNUMBER(E191),E191,0)+I191,I191)*J191*1000+I191,0),IF((M191&gt;0)*(IF(N191="",-1,N191)=0)*(1-(IF(N191="",-1,N191)&gt;=0)*(IF(N191="",-1,N191)&lt;=1)),IF(C191="peso_corporal",IF(ISNUMBER(E191),E191,0)+L191,L191)*M191*1000+L191,0),IF((P191&gt;0)*(IF(Q191="",-1,Q191)=0)*(1-(IF(Q191="",-1,Q191)&gt;=0)*(IF(Q191="",-1,Q191)&lt;=1)),IF(C191="peso_corporal",IF(ISNUMBER(E191),E191,0)+O191,O191)*P191*1000+O191,0),IF((S191&gt;0)*(IF(T191="",-1,T191)=0)*(1-(IF(T191="",-1,T191)&gt;=0)*(IF(T191="",-1,T191)&lt;=1)),IF(C191="peso_corporal",IF(ISNUMBER(E191),E191,0)+R191,R191)*S191*1000+R191,0))</f>
        <v>0</v>
      </c>
      <c r="Z191" s="69">
        <f>IF(Y191=0,0,IF(IF((S191&gt;0)*(IF(T191="",-1,T191)=0)*(1-(IF(T191="",-1,T191)&gt;=0)*(IF(T191="",-1,T191)&lt;=1)),IF(C191="peso_corporal",IF(ISNUMBER(E191),E191,0)+R191,R191)*S191*1000+R191,0)=Y191,5,IF(IF((P191&gt;0)*(IF(Q191="",-1,Q191)=0)*(1-(IF(Q191="",-1,Q191)&gt;=0)*(IF(Q191="",-1,Q191)&lt;=1)),IF(C191="peso_corporal",IF(ISNUMBER(E191),E191,0)+O191,O191)*P191*1000+O191,0)=Y191,4,IF(IF((M191&gt;0)*(IF(N191="",-1,N191)=0)*(1-(IF(N191="",-1,N191)&gt;=0)*(IF(N191="",-1,N191)&lt;=1)),IF(C191="peso_corporal",IF(ISNUMBER(E191),E191,0)+L191,L191)*M191*1000+L191,0)=Y191,3,IF(IF((J191&gt;0)*(IF(K191="",-1,K191)=0)*(1-(IF(K191="",-1,K191)&gt;=0)*(IF(K191="",-1,K191)&lt;=1)),IF(C191="peso_corporal",IF(ISNUMBER(E191),E191,0)+I191,I191)*J191*1000+I191,0)=Y191,2,IF(IF((G191&gt;0)*(IF(H191="",-1,H191)=0)*(1-(IF(H191="",-1,H191)&gt;=0)*(IF(H191="",-1,H191)&lt;=1)),IF(C191="peso_corporal",IF(ISNUMBER(E191),E191,0)+F191,F191)*G191*1000+F191,0)=Y191,1,0))))))</f>
        <v>0</v>
      </c>
      <c r="AA191" s="69">
        <f>MAX(IF((G191&gt;=3)*(1-(IF(H191="",-1,H191)&gt;=0)*(IF(H191="",-1,H191)&lt;=1))*(1-(IF(H191="",-1,H191)=0)),IF(C191="peso_corporal",IF(ISNUMBER(E191),E191,0)+F191,F191)*(30+G191)*100+F191,0),IF((J191&gt;=3)*(1-(IF(K191="",-1,K191)&gt;=0)*(IF(K191="",-1,K191)&lt;=1))*(1-(IF(K191="",-1,K191)=0)),IF(C191="peso_corporal",IF(ISNUMBER(E191),E191,0)+I191,I191)*(30+J191)*100+I191,0),IF((M191&gt;=3)*(1-(IF(N191="",-1,N191)&gt;=0)*(IF(N191="",-1,N191)&lt;=1))*(1-(IF(N191="",-1,N191)=0)),IF(C191="peso_corporal",IF(ISNUMBER(E191),E191,0)+L191,L191)*(30+M191)*100+L191,0),IF((P191&gt;=3)*(1-(IF(Q191="",-1,Q191)&gt;=0)*(IF(Q191="",-1,Q191)&lt;=1))*(1-(IF(Q191="",-1,Q191)=0)),IF(C191="peso_corporal",IF(ISNUMBER(E191),E191,0)+O191,O191)*(30+P191)*100+O191,0),IF((S191&gt;=3)*(1-(IF(T191="",-1,T191)&gt;=0)*(IF(T191="",-1,T191)&lt;=1))*(1-(IF(T191="",-1,T191)=0)),IF(C191="peso_corporal",IF(ISNUMBER(E191),E191,0)+R191,R191)*(30+S191)*100+R191,0))</f>
        <v>0</v>
      </c>
      <c r="AB191" s="69">
        <f>IF(AA191=0,0,IF(IF((S191&gt;=3)*(1-(IF(T191="",-1,T191)&gt;=0)*(IF(T191="",-1,T191)&lt;=1))*(1-(IF(T191="",-1,T191)=0)),IF(C191="peso_corporal",IF(ISNUMBER(E191),E191,0)+R191,R191)*(30+S191)*100+R191,0)=AA191,5,IF(IF((P191&gt;=3)*(1-(IF(Q191="",-1,Q191)&gt;=0)*(IF(Q191="",-1,Q191)&lt;=1))*(1-(IF(Q191="",-1,Q191)=0)),IF(C191="peso_corporal",IF(ISNUMBER(E191),E191,0)+O191,O191)*(30+P191)*100+O191,0)=AA191,4,IF(IF((M191&gt;=3)*(1-(IF(N191="",-1,N191)&gt;=0)*(IF(N191="",-1,N191)&lt;=1))*(1-(IF(N191="",-1,N191)=0)),IF(C191="peso_corporal",IF(ISNUMBER(E191),E191,0)+L191,L191)*(30+M191)*100+L191,0)=AA191,3,IF(IF((J191&gt;=3)*(1-(IF(K191="",-1,K191)&gt;=0)*(IF(K191="",-1,K191)&lt;=1))*(1-(IF(K191="",-1,K191)=0)),IF(C191="peso_corporal",IF(ISNUMBER(E191),E191,0)+I191,I191)*(30+J191)*100+I191,0)=AA191,2,IF(IF((G191&gt;=3)*(1-(IF(H191="",-1,H191)&gt;=0)*(IF(H191="",-1,H191)&lt;=1))*(1-(IF(H191="",-1,H191)=0)),IF(C191="peso_corporal",IF(ISNUMBER(E191),E191,0)+F191,F191)*(30+G191)*100+F191,0)=AA191,1,0))))))</f>
        <v>0</v>
      </c>
      <c r="AC191" s="69" t="str">
        <f>IF(X191&gt;0,"A"&amp;X191,IF(Z191&gt;0,"B"&amp;Z191,IF(AB191&gt;0,"C"&amp;AB191,"")))</f>
        <v/>
      </c>
    </row>
    <row r="192" spans="1:29" ht="15" customHeight="1">
      <c r="A192" s="83" t="s">
        <v>103</v>
      </c>
      <c r="B192" s="73"/>
      <c r="C192" s="73"/>
      <c r="D192" s="73"/>
      <c r="E192" s="73"/>
      <c r="F192" s="73"/>
      <c r="G192" s="73"/>
      <c r="H192" s="73"/>
      <c r="I192" s="73"/>
      <c r="J192" s="73"/>
      <c r="K192" s="73"/>
      <c r="L192" s="73"/>
      <c r="M192" s="73"/>
      <c r="N192" s="73"/>
      <c r="O192" s="73"/>
      <c r="P192" s="73"/>
      <c r="Q192" s="73"/>
      <c r="R192" s="73"/>
      <c r="S192" s="73"/>
      <c r="T192" s="73"/>
      <c r="U192" s="73"/>
      <c r="V192" s="73"/>
      <c r="W192" s="69"/>
      <c r="X192" s="69"/>
      <c r="Y192" s="69"/>
      <c r="Z192" s="69"/>
      <c r="AA192" s="69"/>
      <c r="AB192" s="69"/>
      <c r="AC192" s="69"/>
    </row>
    <row r="193" spans="1:29" ht="20.100000000000001" customHeight="1">
      <c r="A193" s="14" t="s">
        <v>104</v>
      </c>
      <c r="B193" s="15" t="s">
        <v>105</v>
      </c>
      <c r="C193" s="16" t="str">
        <f>IFERROR(INDEX(EJERCICIOS!$D$3:$D$75,MATCH(A193&amp;"|"&amp;B193,EJERCICIOS!$G$3:$G$75,0)),"--")</f>
        <v>mancuerna</v>
      </c>
      <c r="D193" s="17">
        <v>3</v>
      </c>
      <c r="E193" s="18">
        <f>IFERROR(LOOKUP(2,1/(MEDIDAS_Y_PESO!$B$3:$B$11&lt;&gt;""),MEDIDAS_Y_PESO!$B$3:$B$11),"--")</f>
        <v>80</v>
      </c>
      <c r="F193" s="19"/>
      <c r="G193" s="20"/>
      <c r="H193" s="21"/>
      <c r="I193" s="19"/>
      <c r="J193" s="20"/>
      <c r="K193" s="21"/>
      <c r="L193" s="19"/>
      <c r="M193" s="20"/>
      <c r="N193" s="21"/>
      <c r="O193" s="19"/>
      <c r="P193" s="20"/>
      <c r="Q193" s="21"/>
      <c r="R193" s="19"/>
      <c r="S193" s="20"/>
      <c r="T193" s="21"/>
      <c r="U193" s="22" t="str">
        <f>IFERROR(IF(IF(X193&gt;0,X193,IF(Z193&gt;0,Z193,IF(AB193&gt;0,AB193,0)))=0,"--",ROUND(CHOOSE(IF(X193&gt;0,X193,IF(Z193&gt;0,Z193,IF(AB193&gt;0,AB193,0))),IF(C193="peso_corporal",IF(ISNUMBER(E193),E193,0)+F193,F193)*(1+G193/30),IF(C193="peso_corporal",IF(ISNUMBER(E193),E193,0)+I193,I193)*(1+J193/30),IF(C193="peso_corporal",IF(ISNUMBER(E193),E193,0)+L193,L193)*(1+M193/30),IF(C193="peso_corporal",IF(ISNUMBER(E193),E193,0)+O193,O193)*(1+P193/30),IF(C193="peso_corporal",IF(ISNUMBER(E193),E193,0)+R193,R193)*(1+S193/30)),1)),"--")</f>
        <v>--</v>
      </c>
      <c r="V193" s="23" t="str">
        <f>IF(SUGERENCIAS!N527="SIN","Sin datos anteriores",IF(SUGERENCIAS!N527="SUBIR_F","^ SUBIR FUERTE | Kg:"&amp;ROUND(SUGERENCIAS!K527,1)&amp;" R:"&amp;ROUND(SUGERENCIAS!L527,0)&amp;" RIR:"&amp;ROUND(SUGERENCIAS!M527,0),IF(SUGERENCIAS!N527="SUBIR_E","^ SUBIR (Est.) | Kg:"&amp;ROUND(SUGERENCIAS!K527,1)&amp;" R:"&amp;ROUND(SUGERENCIAS!L527,0)&amp;" RIR:"&amp;ROUND(SUGERENCIAS!M527,0),IF(SUGERENCIAS!N527="SUBIR","^ SUBIR | Kg:"&amp;ROUND(SUGERENCIAS!K527,1)&amp;" R:"&amp;ROUND(SUGERENCIAS!L527,0)&amp;" RIR:"&amp;ROUND(SUGERENCIAS!M527,0),IF(SUGERENCIAS!N527="BAJAR","v BAJAR | Kg:"&amp;ROUND(SUGERENCIAS!K527,1)&amp;" R:"&amp;ROUND(SUGERENCIAS!L527,0)&amp;" RIR:"&amp;ROUND(SUGERENCIAS!M527,0),"= MANT | Kg:"&amp;ROUND(SUGERENCIAS!K527,1)&amp;" R:"&amp;ROUND(SUGERENCIAS!L527,0)&amp;" RIR:"&amp;ROUND(SUGERENCIAS!M527,0))))))</f>
        <v>Sin datos anteriores</v>
      </c>
      <c r="W193" s="69">
        <f>MAX(IF((G193&gt;0)*(IF(H193="",-1,H193)&gt;=0)*(IF(H193="",-1,H193)&lt;=1),IF(C193="peso_corporal",IF(ISNUMBER(E193),E193,0)+F193,F193)*G193*1000+F193,0),IF((J193&gt;0)*(IF(K193="",-1,K193)&gt;=0)*(IF(K193="",-1,K193)&lt;=1),IF(C193="peso_corporal",IF(ISNUMBER(E193),E193,0)+I193,I193)*J193*1000+I193,0),IF((M193&gt;0)*(IF(N193="",-1,N193)&gt;=0)*(IF(N193="",-1,N193)&lt;=1),IF(C193="peso_corporal",IF(ISNUMBER(E193),E193,0)+L193,L193)*M193*1000+L193,0),IF((P193&gt;0)*(IF(Q193="",-1,Q193)&gt;=0)*(IF(Q193="",-1,Q193)&lt;=1),IF(C193="peso_corporal",IF(ISNUMBER(E193),E193,0)+O193,O193)*P193*1000+O193,0),IF((S193&gt;0)*(IF(T193="",-1,T193)&gt;=0)*(IF(T193="",-1,T193)&lt;=1),IF(C193="peso_corporal",IF(ISNUMBER(E193),E193,0)+R193,R193)*S193*1000+R193,0))</f>
        <v>0</v>
      </c>
      <c r="X193" s="69">
        <f>IF(W193=0,0,IF(IF((S193&gt;0)*(IF(T193="",-1,T193)&gt;=0)*(IF(T193="",-1,T193)&lt;=1),IF(C193="peso_corporal",IF(ISNUMBER(E193),E193,0)+R193,R193)*S193*1000+R193,0)=W193,5,IF(IF((P193&gt;0)*(IF(Q193="",-1,Q193)&gt;=0)*(IF(Q193="",-1,Q193)&lt;=1),IF(C193="peso_corporal",IF(ISNUMBER(E193),E193,0)+O193,O193)*P193*1000+O193,0)=W193,4,IF(IF((M193&gt;0)*(IF(N193="",-1,N193)&gt;=0)*(IF(N193="",-1,N193)&lt;=1),IF(C193="peso_corporal",IF(ISNUMBER(E193),E193,0)+L193,L193)*M193*1000+L193,0)=W193,3,IF(IF((J193&gt;0)*(IF(K193="",-1,K193)&gt;=0)*(IF(K193="",-1,K193)&lt;=1),IF(C193="peso_corporal",IF(ISNUMBER(E193),E193,0)+I193,I193)*J193*1000+I193,0)=W193,2,IF(IF((G193&gt;0)*(IF(H193="",-1,H193)&gt;=0)*(IF(H193="",-1,H193)&lt;=1),IF(C193="peso_corporal",IF(ISNUMBER(E193),E193,0)+F193,F193)*G193*1000+F193,0)=W193,1,0))))))</f>
        <v>0</v>
      </c>
      <c r="Y193" s="69">
        <f>MAX(IF((G193&gt;0)*(IF(H193="",-1,H193)=0)*(1-(IF(H193="",-1,H193)&gt;=0)*(IF(H193="",-1,H193)&lt;=1)),IF(C193="peso_corporal",IF(ISNUMBER(E193),E193,0)+F193,F193)*G193*1000+F193,0),IF((J193&gt;0)*(IF(K193="",-1,K193)=0)*(1-(IF(K193="",-1,K193)&gt;=0)*(IF(K193="",-1,K193)&lt;=1)),IF(C193="peso_corporal",IF(ISNUMBER(E193),E193,0)+I193,I193)*J193*1000+I193,0),IF((M193&gt;0)*(IF(N193="",-1,N193)=0)*(1-(IF(N193="",-1,N193)&gt;=0)*(IF(N193="",-1,N193)&lt;=1)),IF(C193="peso_corporal",IF(ISNUMBER(E193),E193,0)+L193,L193)*M193*1000+L193,0),IF((P193&gt;0)*(IF(Q193="",-1,Q193)=0)*(1-(IF(Q193="",-1,Q193)&gt;=0)*(IF(Q193="",-1,Q193)&lt;=1)),IF(C193="peso_corporal",IF(ISNUMBER(E193),E193,0)+O193,O193)*P193*1000+O193,0),IF((S193&gt;0)*(IF(T193="",-1,T193)=0)*(1-(IF(T193="",-1,T193)&gt;=0)*(IF(T193="",-1,T193)&lt;=1)),IF(C193="peso_corporal",IF(ISNUMBER(E193),E193,0)+R193,R193)*S193*1000+R193,0))</f>
        <v>0</v>
      </c>
      <c r="Z193" s="69">
        <f>IF(Y193=0,0,IF(IF((S193&gt;0)*(IF(T193="",-1,T193)=0)*(1-(IF(T193="",-1,T193)&gt;=0)*(IF(T193="",-1,T193)&lt;=1)),IF(C193="peso_corporal",IF(ISNUMBER(E193),E193,0)+R193,R193)*S193*1000+R193,0)=Y193,5,IF(IF((P193&gt;0)*(IF(Q193="",-1,Q193)=0)*(1-(IF(Q193="",-1,Q193)&gt;=0)*(IF(Q193="",-1,Q193)&lt;=1)),IF(C193="peso_corporal",IF(ISNUMBER(E193),E193,0)+O193,O193)*P193*1000+O193,0)=Y193,4,IF(IF((M193&gt;0)*(IF(N193="",-1,N193)=0)*(1-(IF(N193="",-1,N193)&gt;=0)*(IF(N193="",-1,N193)&lt;=1)),IF(C193="peso_corporal",IF(ISNUMBER(E193),E193,0)+L193,L193)*M193*1000+L193,0)=Y193,3,IF(IF((J193&gt;0)*(IF(K193="",-1,K193)=0)*(1-(IF(K193="",-1,K193)&gt;=0)*(IF(K193="",-1,K193)&lt;=1)),IF(C193="peso_corporal",IF(ISNUMBER(E193),E193,0)+I193,I193)*J193*1000+I193,0)=Y193,2,IF(IF((G193&gt;0)*(IF(H193="",-1,H193)=0)*(1-(IF(H193="",-1,H193)&gt;=0)*(IF(H193="",-1,H193)&lt;=1)),IF(C193="peso_corporal",IF(ISNUMBER(E193),E193,0)+F193,F193)*G193*1000+F193,0)=Y193,1,0))))))</f>
        <v>0</v>
      </c>
      <c r="AA193" s="69">
        <f>MAX(IF((G193&gt;=3)*(1-(IF(H193="",-1,H193)&gt;=0)*(IF(H193="",-1,H193)&lt;=1))*(1-(IF(H193="",-1,H193)=0)),IF(C193="peso_corporal",IF(ISNUMBER(E193),E193,0)+F193,F193)*(30+G193)*100+F193,0),IF((J193&gt;=3)*(1-(IF(K193="",-1,K193)&gt;=0)*(IF(K193="",-1,K193)&lt;=1))*(1-(IF(K193="",-1,K193)=0)),IF(C193="peso_corporal",IF(ISNUMBER(E193),E193,0)+I193,I193)*(30+J193)*100+I193,0),IF((M193&gt;=3)*(1-(IF(N193="",-1,N193)&gt;=0)*(IF(N193="",-1,N193)&lt;=1))*(1-(IF(N193="",-1,N193)=0)),IF(C193="peso_corporal",IF(ISNUMBER(E193),E193,0)+L193,L193)*(30+M193)*100+L193,0),IF((P193&gt;=3)*(1-(IF(Q193="",-1,Q193)&gt;=0)*(IF(Q193="",-1,Q193)&lt;=1))*(1-(IF(Q193="",-1,Q193)=0)),IF(C193="peso_corporal",IF(ISNUMBER(E193),E193,0)+O193,O193)*(30+P193)*100+O193,0),IF((S193&gt;=3)*(1-(IF(T193="",-1,T193)&gt;=0)*(IF(T193="",-1,T193)&lt;=1))*(1-(IF(T193="",-1,T193)=0)),IF(C193="peso_corporal",IF(ISNUMBER(E193),E193,0)+R193,R193)*(30+S193)*100+R193,0))</f>
        <v>0</v>
      </c>
      <c r="AB193" s="69">
        <f>IF(AA193=0,0,IF(IF((S193&gt;=3)*(1-(IF(T193="",-1,T193)&gt;=0)*(IF(T193="",-1,T193)&lt;=1))*(1-(IF(T193="",-1,T193)=0)),IF(C193="peso_corporal",IF(ISNUMBER(E193),E193,0)+R193,R193)*(30+S193)*100+R193,0)=AA193,5,IF(IF((P193&gt;=3)*(1-(IF(Q193="",-1,Q193)&gt;=0)*(IF(Q193="",-1,Q193)&lt;=1))*(1-(IF(Q193="",-1,Q193)=0)),IF(C193="peso_corporal",IF(ISNUMBER(E193),E193,0)+O193,O193)*(30+P193)*100+O193,0)=AA193,4,IF(IF((M193&gt;=3)*(1-(IF(N193="",-1,N193)&gt;=0)*(IF(N193="",-1,N193)&lt;=1))*(1-(IF(N193="",-1,N193)=0)),IF(C193="peso_corporal",IF(ISNUMBER(E193),E193,0)+L193,L193)*(30+M193)*100+L193,0)=AA193,3,IF(IF((J193&gt;=3)*(1-(IF(K193="",-1,K193)&gt;=0)*(IF(K193="",-1,K193)&lt;=1))*(1-(IF(K193="",-1,K193)=0)),IF(C193="peso_corporal",IF(ISNUMBER(E193),E193,0)+I193,I193)*(30+J193)*100+I193,0)=AA193,2,IF(IF((G193&gt;=3)*(1-(IF(H193="",-1,H193)&gt;=0)*(IF(H193="",-1,H193)&lt;=1))*(1-(IF(H193="",-1,H193)=0)),IF(C193="peso_corporal",IF(ISNUMBER(E193),E193,0)+F193,F193)*(30+G193)*100+F193,0)=AA193,1,0))))))</f>
        <v>0</v>
      </c>
      <c r="AC193" s="69" t="str">
        <f>IF(X193&gt;0,"A"&amp;X193,IF(Z193&gt;0,"B"&amp;Z193,IF(AB193&gt;0,"C"&amp;AB193,"")))</f>
        <v/>
      </c>
    </row>
    <row r="194" spans="1:29" ht="15" customHeight="1">
      <c r="A194" s="82" t="s">
        <v>47</v>
      </c>
      <c r="B194" s="73"/>
      <c r="C194" s="73"/>
      <c r="D194" s="73"/>
      <c r="E194" s="73"/>
      <c r="F194" s="73"/>
      <c r="G194" s="73"/>
      <c r="H194" s="73"/>
      <c r="I194" s="73"/>
      <c r="J194" s="73"/>
      <c r="K194" s="73"/>
      <c r="L194" s="73"/>
      <c r="M194" s="73"/>
      <c r="N194" s="73"/>
      <c r="O194" s="73"/>
      <c r="P194" s="73"/>
      <c r="Q194" s="73"/>
      <c r="R194" s="73"/>
      <c r="S194" s="73"/>
      <c r="T194" s="73"/>
      <c r="U194" s="73"/>
      <c r="V194" s="73"/>
      <c r="W194" s="69"/>
      <c r="X194" s="69"/>
      <c r="Y194" s="69"/>
      <c r="Z194" s="69"/>
      <c r="AA194" s="69"/>
      <c r="AB194" s="69"/>
      <c r="AC194" s="69"/>
    </row>
    <row r="195" spans="1:29" ht="20.100000000000001" customHeight="1">
      <c r="A195" s="14" t="s">
        <v>106</v>
      </c>
      <c r="B195" s="15" t="s">
        <v>107</v>
      </c>
      <c r="C195" s="16" t="str">
        <f>IFERROR(INDEX(EJERCICIOS!$D$3:$D$75,MATCH(A195&amp;"|"&amp;B195,EJERCICIOS!$G$3:$G$75,0)),"--")</f>
        <v>--</v>
      </c>
      <c r="D195" s="17">
        <v>3</v>
      </c>
      <c r="E195" s="18">
        <f>IFERROR(LOOKUP(2,1/(MEDIDAS_Y_PESO!$B$3:$B$11&lt;&gt;""),MEDIDAS_Y_PESO!$B$3:$B$11),"--")</f>
        <v>80</v>
      </c>
      <c r="F195" s="19"/>
      <c r="G195" s="20"/>
      <c r="H195" s="21"/>
      <c r="I195" s="19"/>
      <c r="J195" s="20"/>
      <c r="K195" s="21"/>
      <c r="L195" s="19"/>
      <c r="M195" s="20"/>
      <c r="N195" s="21"/>
      <c r="O195" s="19"/>
      <c r="P195" s="20"/>
      <c r="Q195" s="21"/>
      <c r="R195" s="19"/>
      <c r="S195" s="20"/>
      <c r="T195" s="21"/>
      <c r="U195" s="22" t="str">
        <f>IFERROR(IF(IF(X195&gt;0,X195,IF(Z195&gt;0,Z195,IF(AB195&gt;0,AB195,0)))=0,"--",ROUND(CHOOSE(IF(X195&gt;0,X195,IF(Z195&gt;0,Z195,IF(AB195&gt;0,AB195,0))),IF(C195="peso_corporal",IF(ISNUMBER(E195),E195,0)+F195,F195)*(1+G195/30),IF(C195="peso_corporal",IF(ISNUMBER(E195),E195,0)+I195,I195)*(1+J195/30),IF(C195="peso_corporal",IF(ISNUMBER(E195),E195,0)+L195,L195)*(1+M195/30),IF(C195="peso_corporal",IF(ISNUMBER(E195),E195,0)+O195,O195)*(1+P195/30),IF(C195="peso_corporal",IF(ISNUMBER(E195),E195,0)+R195,R195)*(1+S195/30)),1)),"--")</f>
        <v>--</v>
      </c>
      <c r="V195" s="23" t="str">
        <f>IF(SUGERENCIAS!N528="SIN","Sin datos anteriores",IF(SUGERENCIAS!N528="SUBIR_F","^ SUBIR FUERTE | Kg:"&amp;ROUND(SUGERENCIAS!K528,1)&amp;" R:"&amp;ROUND(SUGERENCIAS!L528,0)&amp;" RIR:"&amp;ROUND(SUGERENCIAS!M528,0),IF(SUGERENCIAS!N528="SUBIR_E","^ SUBIR (Est.) | Kg:"&amp;ROUND(SUGERENCIAS!K528,1)&amp;" R:"&amp;ROUND(SUGERENCIAS!L528,0)&amp;" RIR:"&amp;ROUND(SUGERENCIAS!M528,0),IF(SUGERENCIAS!N528="SUBIR","^ SUBIR | Kg:"&amp;ROUND(SUGERENCIAS!K528,1)&amp;" R:"&amp;ROUND(SUGERENCIAS!L528,0)&amp;" RIR:"&amp;ROUND(SUGERENCIAS!M528,0),IF(SUGERENCIAS!N528="BAJAR","v BAJAR | Kg:"&amp;ROUND(SUGERENCIAS!K528,1)&amp;" R:"&amp;ROUND(SUGERENCIAS!L528,0)&amp;" RIR:"&amp;ROUND(SUGERENCIAS!M528,0),"= MANT | Kg:"&amp;ROUND(SUGERENCIAS!K528,1)&amp;" R:"&amp;ROUND(SUGERENCIAS!L528,0)&amp;" RIR:"&amp;ROUND(SUGERENCIAS!M528,0))))))</f>
        <v>Sin datos anteriores</v>
      </c>
      <c r="W195" s="69">
        <f>MAX(IF((G195&gt;0)*(IF(H195="",-1,H195)&gt;=0)*(IF(H195="",-1,H195)&lt;=1),IF(C195="peso_corporal",IF(ISNUMBER(E195),E195,0)+F195,F195)*G195*1000+F195,0),IF((J195&gt;0)*(IF(K195="",-1,K195)&gt;=0)*(IF(K195="",-1,K195)&lt;=1),IF(C195="peso_corporal",IF(ISNUMBER(E195),E195,0)+I195,I195)*J195*1000+I195,0),IF((M195&gt;0)*(IF(N195="",-1,N195)&gt;=0)*(IF(N195="",-1,N195)&lt;=1),IF(C195="peso_corporal",IF(ISNUMBER(E195),E195,0)+L195,L195)*M195*1000+L195,0),IF((P195&gt;0)*(IF(Q195="",-1,Q195)&gt;=0)*(IF(Q195="",-1,Q195)&lt;=1),IF(C195="peso_corporal",IF(ISNUMBER(E195),E195,0)+O195,O195)*P195*1000+O195,0),IF((S195&gt;0)*(IF(T195="",-1,T195)&gt;=0)*(IF(T195="",-1,T195)&lt;=1),IF(C195="peso_corporal",IF(ISNUMBER(E195),E195,0)+R195,R195)*S195*1000+R195,0))</f>
        <v>0</v>
      </c>
      <c r="X195" s="69">
        <f>IF(W195=0,0,IF(IF((S195&gt;0)*(IF(T195="",-1,T195)&gt;=0)*(IF(T195="",-1,T195)&lt;=1),IF(C195="peso_corporal",IF(ISNUMBER(E195),E195,0)+R195,R195)*S195*1000+R195,0)=W195,5,IF(IF((P195&gt;0)*(IF(Q195="",-1,Q195)&gt;=0)*(IF(Q195="",-1,Q195)&lt;=1),IF(C195="peso_corporal",IF(ISNUMBER(E195),E195,0)+O195,O195)*P195*1000+O195,0)=W195,4,IF(IF((M195&gt;0)*(IF(N195="",-1,N195)&gt;=0)*(IF(N195="",-1,N195)&lt;=1),IF(C195="peso_corporal",IF(ISNUMBER(E195),E195,0)+L195,L195)*M195*1000+L195,0)=W195,3,IF(IF((J195&gt;0)*(IF(K195="",-1,K195)&gt;=0)*(IF(K195="",-1,K195)&lt;=1),IF(C195="peso_corporal",IF(ISNUMBER(E195),E195,0)+I195,I195)*J195*1000+I195,0)=W195,2,IF(IF((G195&gt;0)*(IF(H195="",-1,H195)&gt;=0)*(IF(H195="",-1,H195)&lt;=1),IF(C195="peso_corporal",IF(ISNUMBER(E195),E195,0)+F195,F195)*G195*1000+F195,0)=W195,1,0))))))</f>
        <v>0</v>
      </c>
      <c r="Y195" s="69">
        <f>MAX(IF((G195&gt;0)*(IF(H195="",-1,H195)=0)*(1-(IF(H195="",-1,H195)&gt;=0)*(IF(H195="",-1,H195)&lt;=1)),IF(C195="peso_corporal",IF(ISNUMBER(E195),E195,0)+F195,F195)*G195*1000+F195,0),IF((J195&gt;0)*(IF(K195="",-1,K195)=0)*(1-(IF(K195="",-1,K195)&gt;=0)*(IF(K195="",-1,K195)&lt;=1)),IF(C195="peso_corporal",IF(ISNUMBER(E195),E195,0)+I195,I195)*J195*1000+I195,0),IF((M195&gt;0)*(IF(N195="",-1,N195)=0)*(1-(IF(N195="",-1,N195)&gt;=0)*(IF(N195="",-1,N195)&lt;=1)),IF(C195="peso_corporal",IF(ISNUMBER(E195),E195,0)+L195,L195)*M195*1000+L195,0),IF((P195&gt;0)*(IF(Q195="",-1,Q195)=0)*(1-(IF(Q195="",-1,Q195)&gt;=0)*(IF(Q195="",-1,Q195)&lt;=1)),IF(C195="peso_corporal",IF(ISNUMBER(E195),E195,0)+O195,O195)*P195*1000+O195,0),IF((S195&gt;0)*(IF(T195="",-1,T195)=0)*(1-(IF(T195="",-1,T195)&gt;=0)*(IF(T195="",-1,T195)&lt;=1)),IF(C195="peso_corporal",IF(ISNUMBER(E195),E195,0)+R195,R195)*S195*1000+R195,0))</f>
        <v>0</v>
      </c>
      <c r="Z195" s="69">
        <f>IF(Y195=0,0,IF(IF((S195&gt;0)*(IF(T195="",-1,T195)=0)*(1-(IF(T195="",-1,T195)&gt;=0)*(IF(T195="",-1,T195)&lt;=1)),IF(C195="peso_corporal",IF(ISNUMBER(E195),E195,0)+R195,R195)*S195*1000+R195,0)=Y195,5,IF(IF((P195&gt;0)*(IF(Q195="",-1,Q195)=0)*(1-(IF(Q195="",-1,Q195)&gt;=0)*(IF(Q195="",-1,Q195)&lt;=1)),IF(C195="peso_corporal",IF(ISNUMBER(E195),E195,0)+O195,O195)*P195*1000+O195,0)=Y195,4,IF(IF((M195&gt;0)*(IF(N195="",-1,N195)=0)*(1-(IF(N195="",-1,N195)&gt;=0)*(IF(N195="",-1,N195)&lt;=1)),IF(C195="peso_corporal",IF(ISNUMBER(E195),E195,0)+L195,L195)*M195*1000+L195,0)=Y195,3,IF(IF((J195&gt;0)*(IF(K195="",-1,K195)=0)*(1-(IF(K195="",-1,K195)&gt;=0)*(IF(K195="",-1,K195)&lt;=1)),IF(C195="peso_corporal",IF(ISNUMBER(E195),E195,0)+I195,I195)*J195*1000+I195,0)=Y195,2,IF(IF((G195&gt;0)*(IF(H195="",-1,H195)=0)*(1-(IF(H195="",-1,H195)&gt;=0)*(IF(H195="",-1,H195)&lt;=1)),IF(C195="peso_corporal",IF(ISNUMBER(E195),E195,0)+F195,F195)*G195*1000+F195,0)=Y195,1,0))))))</f>
        <v>0</v>
      </c>
      <c r="AA195" s="69">
        <f>MAX(IF((G195&gt;=3)*(1-(IF(H195="",-1,H195)&gt;=0)*(IF(H195="",-1,H195)&lt;=1))*(1-(IF(H195="",-1,H195)=0)),IF(C195="peso_corporal",IF(ISNUMBER(E195),E195,0)+F195,F195)*(30+G195)*100+F195,0),IF((J195&gt;=3)*(1-(IF(K195="",-1,K195)&gt;=0)*(IF(K195="",-1,K195)&lt;=1))*(1-(IF(K195="",-1,K195)=0)),IF(C195="peso_corporal",IF(ISNUMBER(E195),E195,0)+I195,I195)*(30+J195)*100+I195,0),IF((M195&gt;=3)*(1-(IF(N195="",-1,N195)&gt;=0)*(IF(N195="",-1,N195)&lt;=1))*(1-(IF(N195="",-1,N195)=0)),IF(C195="peso_corporal",IF(ISNUMBER(E195),E195,0)+L195,L195)*(30+M195)*100+L195,0),IF((P195&gt;=3)*(1-(IF(Q195="",-1,Q195)&gt;=0)*(IF(Q195="",-1,Q195)&lt;=1))*(1-(IF(Q195="",-1,Q195)=0)),IF(C195="peso_corporal",IF(ISNUMBER(E195),E195,0)+O195,O195)*(30+P195)*100+O195,0),IF((S195&gt;=3)*(1-(IF(T195="",-1,T195)&gt;=0)*(IF(T195="",-1,T195)&lt;=1))*(1-(IF(T195="",-1,T195)=0)),IF(C195="peso_corporal",IF(ISNUMBER(E195),E195,0)+R195,R195)*(30+S195)*100+R195,0))</f>
        <v>0</v>
      </c>
      <c r="AB195" s="69">
        <f>IF(AA195=0,0,IF(IF((S195&gt;=3)*(1-(IF(T195="",-1,T195)&gt;=0)*(IF(T195="",-1,T195)&lt;=1))*(1-(IF(T195="",-1,T195)=0)),IF(C195="peso_corporal",IF(ISNUMBER(E195),E195,0)+R195,R195)*(30+S195)*100+R195,0)=AA195,5,IF(IF((P195&gt;=3)*(1-(IF(Q195="",-1,Q195)&gt;=0)*(IF(Q195="",-1,Q195)&lt;=1))*(1-(IF(Q195="",-1,Q195)=0)),IF(C195="peso_corporal",IF(ISNUMBER(E195),E195,0)+O195,O195)*(30+P195)*100+O195,0)=AA195,4,IF(IF((M195&gt;=3)*(1-(IF(N195="",-1,N195)&gt;=0)*(IF(N195="",-1,N195)&lt;=1))*(1-(IF(N195="",-1,N195)=0)),IF(C195="peso_corporal",IF(ISNUMBER(E195),E195,0)+L195,L195)*(30+M195)*100+L195,0)=AA195,3,IF(IF((J195&gt;=3)*(1-(IF(K195="",-1,K195)&gt;=0)*(IF(K195="",-1,K195)&lt;=1))*(1-(IF(K195="",-1,K195)=0)),IF(C195="peso_corporal",IF(ISNUMBER(E195),E195,0)+I195,I195)*(30+J195)*100+I195,0)=AA195,2,IF(IF((G195&gt;=3)*(1-(IF(H195="",-1,H195)&gt;=0)*(IF(H195="",-1,H195)&lt;=1))*(1-(IF(H195="",-1,H195)=0)),IF(C195="peso_corporal",IF(ISNUMBER(E195),E195,0)+F195,F195)*(30+G195)*100+F195,0)=AA195,1,0))))))</f>
        <v>0</v>
      </c>
      <c r="AC195" s="69" t="str">
        <f>IF(X195&gt;0,"A"&amp;X195,IF(Z195&gt;0,"B"&amp;Z195,IF(AB195&gt;0,"C"&amp;AB195,"")))</f>
        <v/>
      </c>
    </row>
    <row r="196" spans="1:29" ht="15" customHeight="1">
      <c r="A196" s="72" t="s">
        <v>56</v>
      </c>
      <c r="B196" s="73"/>
      <c r="C196" s="73"/>
      <c r="D196" s="73"/>
      <c r="E196" s="73"/>
      <c r="F196" s="73"/>
      <c r="G196" s="73"/>
      <c r="H196" s="73"/>
      <c r="I196" s="73"/>
      <c r="J196" s="73"/>
      <c r="K196" s="73"/>
      <c r="L196" s="73"/>
      <c r="M196" s="73"/>
      <c r="N196" s="73"/>
      <c r="O196" s="73"/>
      <c r="P196" s="73"/>
      <c r="Q196" s="73"/>
      <c r="R196" s="73"/>
      <c r="S196" s="73"/>
      <c r="T196" s="73"/>
      <c r="U196" s="73"/>
      <c r="V196" s="73"/>
      <c r="W196" s="69"/>
      <c r="X196" s="69"/>
      <c r="Y196" s="69"/>
      <c r="Z196" s="69"/>
      <c r="AA196" s="69"/>
      <c r="AB196" s="69"/>
      <c r="AC196" s="69"/>
    </row>
    <row r="197" spans="1:29" ht="20.100000000000001" customHeight="1">
      <c r="A197" s="14" t="s">
        <v>57</v>
      </c>
      <c r="B197" s="15" t="s">
        <v>58</v>
      </c>
      <c r="C197" s="16" t="str">
        <f>IFERROR(INDEX(EJERCICIOS!$D$3:$D$75,MATCH(A197&amp;"|"&amp;B197,EJERCICIOS!$G$3:$G$75,0)),"--")</f>
        <v>polea</v>
      </c>
      <c r="D197" s="17">
        <v>3</v>
      </c>
      <c r="E197" s="18">
        <f>IFERROR(LOOKUP(2,1/(MEDIDAS_Y_PESO!$B$3:$B$11&lt;&gt;""),MEDIDAS_Y_PESO!$B$3:$B$11),"--")</f>
        <v>80</v>
      </c>
      <c r="F197" s="19"/>
      <c r="G197" s="20"/>
      <c r="H197" s="21"/>
      <c r="I197" s="19"/>
      <c r="J197" s="20"/>
      <c r="K197" s="21"/>
      <c r="L197" s="19"/>
      <c r="M197" s="20"/>
      <c r="N197" s="21"/>
      <c r="O197" s="19"/>
      <c r="P197" s="20"/>
      <c r="Q197" s="21"/>
      <c r="R197" s="19"/>
      <c r="S197" s="20"/>
      <c r="T197" s="21"/>
      <c r="U197" s="22" t="str">
        <f>IFERROR(IF(IF(X197&gt;0,X197,IF(Z197&gt;0,Z197,IF(AB197&gt;0,AB197,0)))=0,"--",ROUND(CHOOSE(IF(X197&gt;0,X197,IF(Z197&gt;0,Z197,IF(AB197&gt;0,AB197,0))),IF(C197="peso_corporal",IF(ISNUMBER(E197),E197,0)+F197,F197)*(1+G197/30),IF(C197="peso_corporal",IF(ISNUMBER(E197),E197,0)+I197,I197)*(1+J197/30),IF(C197="peso_corporal",IF(ISNUMBER(E197),E197,0)+L197,L197)*(1+M197/30),IF(C197="peso_corporal",IF(ISNUMBER(E197),E197,0)+O197,O197)*(1+P197/30),IF(C197="peso_corporal",IF(ISNUMBER(E197),E197,0)+R197,R197)*(1+S197/30)),1)),"--")</f>
        <v>--</v>
      </c>
      <c r="V197" s="23" t="str">
        <f>IF(SUGERENCIAS!N529="SIN","Sin datos anteriores",IF(SUGERENCIAS!N529="SUBIR_F","^ SUBIR FUERTE | Kg:"&amp;ROUND(SUGERENCIAS!K529,1)&amp;" R:"&amp;ROUND(SUGERENCIAS!L529,0)&amp;" RIR:"&amp;ROUND(SUGERENCIAS!M529,0),IF(SUGERENCIAS!N529="SUBIR_E","^ SUBIR (Est.) | Kg:"&amp;ROUND(SUGERENCIAS!K529,1)&amp;" R:"&amp;ROUND(SUGERENCIAS!L529,0)&amp;" RIR:"&amp;ROUND(SUGERENCIAS!M529,0),IF(SUGERENCIAS!N529="SUBIR","^ SUBIR | Kg:"&amp;ROUND(SUGERENCIAS!K529,1)&amp;" R:"&amp;ROUND(SUGERENCIAS!L529,0)&amp;" RIR:"&amp;ROUND(SUGERENCIAS!M529,0),IF(SUGERENCIAS!N529="BAJAR","v BAJAR | Kg:"&amp;ROUND(SUGERENCIAS!K529,1)&amp;" R:"&amp;ROUND(SUGERENCIAS!L529,0)&amp;" RIR:"&amp;ROUND(SUGERENCIAS!M529,0),"= MANT | Kg:"&amp;ROUND(SUGERENCIAS!K529,1)&amp;" R:"&amp;ROUND(SUGERENCIAS!L529,0)&amp;" RIR:"&amp;ROUND(SUGERENCIAS!M529,0))))))</f>
        <v>Sin datos anteriores</v>
      </c>
      <c r="W197" s="69">
        <f>MAX(IF((G197&gt;0)*(IF(H197="",-1,H197)&gt;=0)*(IF(H197="",-1,H197)&lt;=1),IF(C197="peso_corporal",IF(ISNUMBER(E197),E197,0)+F197,F197)*G197*1000+F197,0),IF((J197&gt;0)*(IF(K197="",-1,K197)&gt;=0)*(IF(K197="",-1,K197)&lt;=1),IF(C197="peso_corporal",IF(ISNUMBER(E197),E197,0)+I197,I197)*J197*1000+I197,0),IF((M197&gt;0)*(IF(N197="",-1,N197)&gt;=0)*(IF(N197="",-1,N197)&lt;=1),IF(C197="peso_corporal",IF(ISNUMBER(E197),E197,0)+L197,L197)*M197*1000+L197,0),IF((P197&gt;0)*(IF(Q197="",-1,Q197)&gt;=0)*(IF(Q197="",-1,Q197)&lt;=1),IF(C197="peso_corporal",IF(ISNUMBER(E197),E197,0)+O197,O197)*P197*1000+O197,0),IF((S197&gt;0)*(IF(T197="",-1,T197)&gt;=0)*(IF(T197="",-1,T197)&lt;=1),IF(C197="peso_corporal",IF(ISNUMBER(E197),E197,0)+R197,R197)*S197*1000+R197,0))</f>
        <v>0</v>
      </c>
      <c r="X197" s="69">
        <f>IF(W197=0,0,IF(IF((S197&gt;0)*(IF(T197="",-1,T197)&gt;=0)*(IF(T197="",-1,T197)&lt;=1),IF(C197="peso_corporal",IF(ISNUMBER(E197),E197,0)+R197,R197)*S197*1000+R197,0)=W197,5,IF(IF((P197&gt;0)*(IF(Q197="",-1,Q197)&gt;=0)*(IF(Q197="",-1,Q197)&lt;=1),IF(C197="peso_corporal",IF(ISNUMBER(E197),E197,0)+O197,O197)*P197*1000+O197,0)=W197,4,IF(IF((M197&gt;0)*(IF(N197="",-1,N197)&gt;=0)*(IF(N197="",-1,N197)&lt;=1),IF(C197="peso_corporal",IF(ISNUMBER(E197),E197,0)+L197,L197)*M197*1000+L197,0)=W197,3,IF(IF((J197&gt;0)*(IF(K197="",-1,K197)&gt;=0)*(IF(K197="",-1,K197)&lt;=1),IF(C197="peso_corporal",IF(ISNUMBER(E197),E197,0)+I197,I197)*J197*1000+I197,0)=W197,2,IF(IF((G197&gt;0)*(IF(H197="",-1,H197)&gt;=0)*(IF(H197="",-1,H197)&lt;=1),IF(C197="peso_corporal",IF(ISNUMBER(E197),E197,0)+F197,F197)*G197*1000+F197,0)=W197,1,0))))))</f>
        <v>0</v>
      </c>
      <c r="Y197" s="69">
        <f>MAX(IF((G197&gt;0)*(IF(H197="",-1,H197)=0)*(1-(IF(H197="",-1,H197)&gt;=0)*(IF(H197="",-1,H197)&lt;=1)),IF(C197="peso_corporal",IF(ISNUMBER(E197),E197,0)+F197,F197)*G197*1000+F197,0),IF((J197&gt;0)*(IF(K197="",-1,K197)=0)*(1-(IF(K197="",-1,K197)&gt;=0)*(IF(K197="",-1,K197)&lt;=1)),IF(C197="peso_corporal",IF(ISNUMBER(E197),E197,0)+I197,I197)*J197*1000+I197,0),IF((M197&gt;0)*(IF(N197="",-1,N197)=0)*(1-(IF(N197="",-1,N197)&gt;=0)*(IF(N197="",-1,N197)&lt;=1)),IF(C197="peso_corporal",IF(ISNUMBER(E197),E197,0)+L197,L197)*M197*1000+L197,0),IF((P197&gt;0)*(IF(Q197="",-1,Q197)=0)*(1-(IF(Q197="",-1,Q197)&gt;=0)*(IF(Q197="",-1,Q197)&lt;=1)),IF(C197="peso_corporal",IF(ISNUMBER(E197),E197,0)+O197,O197)*P197*1000+O197,0),IF((S197&gt;0)*(IF(T197="",-1,T197)=0)*(1-(IF(T197="",-1,T197)&gt;=0)*(IF(T197="",-1,T197)&lt;=1)),IF(C197="peso_corporal",IF(ISNUMBER(E197),E197,0)+R197,R197)*S197*1000+R197,0))</f>
        <v>0</v>
      </c>
      <c r="Z197" s="69">
        <f>IF(Y197=0,0,IF(IF((S197&gt;0)*(IF(T197="",-1,T197)=0)*(1-(IF(T197="",-1,T197)&gt;=0)*(IF(T197="",-1,T197)&lt;=1)),IF(C197="peso_corporal",IF(ISNUMBER(E197),E197,0)+R197,R197)*S197*1000+R197,0)=Y197,5,IF(IF((P197&gt;0)*(IF(Q197="",-1,Q197)=0)*(1-(IF(Q197="",-1,Q197)&gt;=0)*(IF(Q197="",-1,Q197)&lt;=1)),IF(C197="peso_corporal",IF(ISNUMBER(E197),E197,0)+O197,O197)*P197*1000+O197,0)=Y197,4,IF(IF((M197&gt;0)*(IF(N197="",-1,N197)=0)*(1-(IF(N197="",-1,N197)&gt;=0)*(IF(N197="",-1,N197)&lt;=1)),IF(C197="peso_corporal",IF(ISNUMBER(E197),E197,0)+L197,L197)*M197*1000+L197,0)=Y197,3,IF(IF((J197&gt;0)*(IF(K197="",-1,K197)=0)*(1-(IF(K197="",-1,K197)&gt;=0)*(IF(K197="",-1,K197)&lt;=1)),IF(C197="peso_corporal",IF(ISNUMBER(E197),E197,0)+I197,I197)*J197*1000+I197,0)=Y197,2,IF(IF((G197&gt;0)*(IF(H197="",-1,H197)=0)*(1-(IF(H197="",-1,H197)&gt;=0)*(IF(H197="",-1,H197)&lt;=1)),IF(C197="peso_corporal",IF(ISNUMBER(E197),E197,0)+F197,F197)*G197*1000+F197,0)=Y197,1,0))))))</f>
        <v>0</v>
      </c>
      <c r="AA197" s="69">
        <f>MAX(IF((G197&gt;=3)*(1-(IF(H197="",-1,H197)&gt;=0)*(IF(H197="",-1,H197)&lt;=1))*(1-(IF(H197="",-1,H197)=0)),IF(C197="peso_corporal",IF(ISNUMBER(E197),E197,0)+F197,F197)*(30+G197)*100+F197,0),IF((J197&gt;=3)*(1-(IF(K197="",-1,K197)&gt;=0)*(IF(K197="",-1,K197)&lt;=1))*(1-(IF(K197="",-1,K197)=0)),IF(C197="peso_corporal",IF(ISNUMBER(E197),E197,0)+I197,I197)*(30+J197)*100+I197,0),IF((M197&gt;=3)*(1-(IF(N197="",-1,N197)&gt;=0)*(IF(N197="",-1,N197)&lt;=1))*(1-(IF(N197="",-1,N197)=0)),IF(C197="peso_corporal",IF(ISNUMBER(E197),E197,0)+L197,L197)*(30+M197)*100+L197,0),IF((P197&gt;=3)*(1-(IF(Q197="",-1,Q197)&gt;=0)*(IF(Q197="",-1,Q197)&lt;=1))*(1-(IF(Q197="",-1,Q197)=0)),IF(C197="peso_corporal",IF(ISNUMBER(E197),E197,0)+O197,O197)*(30+P197)*100+O197,0),IF((S197&gt;=3)*(1-(IF(T197="",-1,T197)&gt;=0)*(IF(T197="",-1,T197)&lt;=1))*(1-(IF(T197="",-1,T197)=0)),IF(C197="peso_corporal",IF(ISNUMBER(E197),E197,0)+R197,R197)*(30+S197)*100+R197,0))</f>
        <v>0</v>
      </c>
      <c r="AB197" s="69">
        <f>IF(AA197=0,0,IF(IF((S197&gt;=3)*(1-(IF(T197="",-1,T197)&gt;=0)*(IF(T197="",-1,T197)&lt;=1))*(1-(IF(T197="",-1,T197)=0)),IF(C197="peso_corporal",IF(ISNUMBER(E197),E197,0)+R197,R197)*(30+S197)*100+R197,0)=AA197,5,IF(IF((P197&gt;=3)*(1-(IF(Q197="",-1,Q197)&gt;=0)*(IF(Q197="",-1,Q197)&lt;=1))*(1-(IF(Q197="",-1,Q197)=0)),IF(C197="peso_corporal",IF(ISNUMBER(E197),E197,0)+O197,O197)*(30+P197)*100+O197,0)=AA197,4,IF(IF((M197&gt;=3)*(1-(IF(N197="",-1,N197)&gt;=0)*(IF(N197="",-1,N197)&lt;=1))*(1-(IF(N197="",-1,N197)=0)),IF(C197="peso_corporal",IF(ISNUMBER(E197),E197,0)+L197,L197)*(30+M197)*100+L197,0)=AA197,3,IF(IF((J197&gt;=3)*(1-(IF(K197="",-1,K197)&gt;=0)*(IF(K197="",-1,K197)&lt;=1))*(1-(IF(K197="",-1,K197)=0)),IF(C197="peso_corporal",IF(ISNUMBER(E197),E197,0)+I197,I197)*(30+J197)*100+I197,0)=AA197,2,IF(IF((G197&gt;=3)*(1-(IF(H197="",-1,H197)&gt;=0)*(IF(H197="",-1,H197)&lt;=1))*(1-(IF(H197="",-1,H197)=0)),IF(C197="peso_corporal",IF(ISNUMBER(E197),E197,0)+F197,F197)*(30+G197)*100+F197,0)=AA197,1,0))))))</f>
        <v>0</v>
      </c>
      <c r="AC197" s="69" t="str">
        <f>IF(X197&gt;0,"A"&amp;X197,IF(Z197&gt;0,"B"&amp;Z197,IF(AB197&gt;0,"C"&amp;AB197,"")))</f>
        <v/>
      </c>
    </row>
    <row r="198" spans="1:29" ht="6"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69"/>
      <c r="X198" s="69"/>
      <c r="Y198" s="69"/>
      <c r="Z198" s="69"/>
      <c r="AA198" s="69"/>
      <c r="AB198" s="69"/>
      <c r="AC198" s="69"/>
    </row>
    <row r="199" spans="1:29" ht="18" customHeight="1">
      <c r="A199" s="85" t="s">
        <v>75</v>
      </c>
      <c r="B199" s="73"/>
      <c r="C199" s="73"/>
      <c r="D199" s="73"/>
      <c r="E199" s="73"/>
      <c r="F199" s="73"/>
      <c r="G199" s="73"/>
      <c r="H199" s="73"/>
      <c r="I199" s="73"/>
      <c r="J199" s="73"/>
      <c r="K199" s="73"/>
      <c r="L199" s="73"/>
      <c r="M199" s="73"/>
      <c r="N199" s="73"/>
      <c r="O199" s="73"/>
      <c r="P199" s="73"/>
      <c r="Q199" s="73"/>
      <c r="R199" s="73"/>
      <c r="S199" s="73"/>
      <c r="T199" s="73"/>
      <c r="U199" s="73"/>
      <c r="V199" s="73"/>
      <c r="W199" s="69"/>
      <c r="X199" s="69"/>
      <c r="Y199" s="69"/>
      <c r="Z199" s="69"/>
      <c r="AA199" s="69"/>
      <c r="AB199" s="69"/>
      <c r="AC199" s="69"/>
    </row>
    <row r="200" spans="1:29" ht="15" customHeight="1">
      <c r="A200" s="75" t="s">
        <v>88</v>
      </c>
      <c r="B200" s="73"/>
      <c r="C200" s="73"/>
      <c r="D200" s="73"/>
      <c r="E200" s="73"/>
      <c r="F200" s="73"/>
      <c r="G200" s="73"/>
      <c r="H200" s="73"/>
      <c r="I200" s="73"/>
      <c r="J200" s="73"/>
      <c r="K200" s="73"/>
      <c r="L200" s="73"/>
      <c r="M200" s="73"/>
      <c r="N200" s="73"/>
      <c r="O200" s="73"/>
      <c r="P200" s="73"/>
      <c r="Q200" s="73"/>
      <c r="R200" s="73"/>
      <c r="S200" s="73"/>
      <c r="T200" s="73"/>
      <c r="U200" s="73"/>
      <c r="V200" s="73"/>
      <c r="W200" s="69"/>
      <c r="X200" s="69"/>
      <c r="Y200" s="69"/>
      <c r="Z200" s="69"/>
      <c r="AA200" s="69"/>
      <c r="AB200" s="69"/>
      <c r="AC200" s="69"/>
    </row>
    <row r="201" spans="1:29" ht="11.1" customHeight="1">
      <c r="A201" s="76" t="s">
        <v>89</v>
      </c>
      <c r="B201" s="73"/>
      <c r="C201" s="73"/>
      <c r="D201" s="73"/>
      <c r="E201" s="73"/>
      <c r="F201" s="73"/>
      <c r="G201" s="73"/>
      <c r="H201" s="73"/>
      <c r="I201" s="73"/>
      <c r="J201" s="73"/>
      <c r="K201" s="73"/>
      <c r="L201" s="73"/>
      <c r="M201" s="73"/>
      <c r="N201" s="73"/>
      <c r="O201" s="73"/>
      <c r="P201" s="73"/>
      <c r="Q201" s="73"/>
      <c r="R201" s="73"/>
      <c r="S201" s="73"/>
      <c r="T201" s="73"/>
      <c r="U201" s="73"/>
      <c r="V201" s="73"/>
      <c r="W201" s="69"/>
      <c r="X201" s="69"/>
      <c r="Y201" s="69"/>
      <c r="Z201" s="69"/>
      <c r="AA201" s="69"/>
      <c r="AB201" s="69"/>
      <c r="AC201" s="69"/>
    </row>
    <row r="202" spans="1:29" ht="20.100000000000001" customHeight="1">
      <c r="A202" s="14" t="s">
        <v>90</v>
      </c>
      <c r="B202" s="15" t="s">
        <v>91</v>
      </c>
      <c r="C202" s="16" t="str">
        <f>IFERROR(INDEX(EJERCICIOS!$D$3:$D$75,MATCH(A202&amp;"|"&amp;B202,EJERCICIOS!$G$3:$G$75,0)),"--")</f>
        <v>peso_corporal</v>
      </c>
      <c r="D202" s="17">
        <v>3</v>
      </c>
      <c r="E202" s="18">
        <f>IFERROR(LOOKUP(2,1/(MEDIDAS_Y_PESO!$B$3:$B$12&lt;&gt;""),MEDIDAS_Y_PESO!$B$3:$B$12),"--")</f>
        <v>80</v>
      </c>
      <c r="F202" s="19"/>
      <c r="G202" s="20"/>
      <c r="H202" s="21"/>
      <c r="I202" s="19"/>
      <c r="J202" s="20"/>
      <c r="K202" s="21"/>
      <c r="L202" s="19"/>
      <c r="M202" s="20"/>
      <c r="N202" s="21"/>
      <c r="O202" s="19"/>
      <c r="P202" s="20"/>
      <c r="Q202" s="21"/>
      <c r="R202" s="19"/>
      <c r="S202" s="20"/>
      <c r="T202" s="21"/>
      <c r="U202" s="22" t="str">
        <f>IFERROR(IF(IF(X202&gt;0,X202,IF(Z202&gt;0,Z202,IF(AB202&gt;0,AB202,0)))=0,"--",ROUND(CHOOSE(IF(X202&gt;0,X202,IF(Z202&gt;0,Z202,IF(AB202&gt;0,AB202,0))),IF(C202="peso_corporal",IF(ISNUMBER(E202),E202,0)+F202,F202)*(1+G202/30),IF(C202="peso_corporal",IF(ISNUMBER(E202),E202,0)+I202,I202)*(1+J202/30),IF(C202="peso_corporal",IF(ISNUMBER(E202),E202,0)+L202,L202)*(1+M202/30),IF(C202="peso_corporal",IF(ISNUMBER(E202),E202,0)+O202,O202)*(1+P202/30),IF(C202="peso_corporal",IF(ISNUMBER(E202),E202,0)+R202,R202)*(1+S202/30)),1)),"--")</f>
        <v>--</v>
      </c>
      <c r="V202" s="23" t="str">
        <f>IF(SUGERENCIAS!N582="SIN","Sin datos anteriores",IF(SUGERENCIAS!N582="SUBIR_F","^ SUBIR FUERTE | Kg:"&amp;ROUND(SUGERENCIAS!K582,1)&amp;" R:"&amp;ROUND(SUGERENCIAS!L582,0)&amp;" RIR:"&amp;ROUND(SUGERENCIAS!M582,0),IF(SUGERENCIAS!N582="SUBIR_E","^ SUBIR (Est.) | Kg:"&amp;ROUND(SUGERENCIAS!K582,1)&amp;" R:"&amp;ROUND(SUGERENCIAS!L582,0)&amp;" RIR:"&amp;ROUND(SUGERENCIAS!M582,0),IF(SUGERENCIAS!N582="SUBIR","^ SUBIR | Kg:"&amp;ROUND(SUGERENCIAS!K582,1)&amp;" R:"&amp;ROUND(SUGERENCIAS!L582,0)&amp;" RIR:"&amp;ROUND(SUGERENCIAS!M582,0),IF(SUGERENCIAS!N582="BAJAR","v BAJAR | Kg:"&amp;ROUND(SUGERENCIAS!K582,1)&amp;" R:"&amp;ROUND(SUGERENCIAS!L582,0)&amp;" RIR:"&amp;ROUND(SUGERENCIAS!M582,0),"= MANT | Kg:"&amp;ROUND(SUGERENCIAS!K582,1)&amp;" R:"&amp;ROUND(SUGERENCIAS!L582,0)&amp;" RIR:"&amp;ROUND(SUGERENCIAS!M582,0))))))</f>
        <v>Sin datos anteriores</v>
      </c>
      <c r="W202" s="69">
        <f>MAX(IF((G202&gt;0)*(IF(H202="",-1,H202)&gt;=1)*(IF(H202="",-1,H202)&lt;=3),IF(C202="peso_corporal",IF(ISNUMBER(E202),E202,0)+F202,F202)*G202*1000+F202,0),IF((J202&gt;0)*(IF(K202="",-1,K202)&gt;=1)*(IF(K202="",-1,K202)&lt;=3),IF(C202="peso_corporal",IF(ISNUMBER(E202),E202,0)+I202,I202)*J202*1000+I202,0),IF((M202&gt;0)*(IF(N202="",-1,N202)&gt;=1)*(IF(N202="",-1,N202)&lt;=3),IF(C202="peso_corporal",IF(ISNUMBER(E202),E202,0)+L202,L202)*M202*1000+L202,0),IF((P202&gt;0)*(IF(Q202="",-1,Q202)&gt;=1)*(IF(Q202="",-1,Q202)&lt;=3),IF(C202="peso_corporal",IF(ISNUMBER(E202),E202,0)+O202,O202)*P202*1000+O202,0),IF((S202&gt;0)*(IF(T202="",-1,T202)&gt;=1)*(IF(T202="",-1,T202)&lt;=3),IF(C202="peso_corporal",IF(ISNUMBER(E202),E202,0)+R202,R202)*S202*1000+R202,0))</f>
        <v>0</v>
      </c>
      <c r="X202" s="69">
        <f>IF(W202=0,0,IF(IF((S202&gt;0)*(IF(T202="",-1,T202)&gt;=1)*(IF(T202="",-1,T202)&lt;=3),IF(C202="peso_corporal",IF(ISNUMBER(E202),E202,0)+R202,R202)*S202*1000+R202,0)=W202,5,IF(IF((P202&gt;0)*(IF(Q202="",-1,Q202)&gt;=1)*(IF(Q202="",-1,Q202)&lt;=3),IF(C202="peso_corporal",IF(ISNUMBER(E202),E202,0)+O202,O202)*P202*1000+O202,0)=W202,4,IF(IF((M202&gt;0)*(IF(N202="",-1,N202)&gt;=1)*(IF(N202="",-1,N202)&lt;=3),IF(C202="peso_corporal",IF(ISNUMBER(E202),E202,0)+L202,L202)*M202*1000+L202,0)=W202,3,IF(IF((J202&gt;0)*(IF(K202="",-1,K202)&gt;=1)*(IF(K202="",-1,K202)&lt;=3),IF(C202="peso_corporal",IF(ISNUMBER(E202),E202,0)+I202,I202)*J202*1000+I202,0)=W202,2,IF(IF((G202&gt;0)*(IF(H202="",-1,H202)&gt;=1)*(IF(H202="",-1,H202)&lt;=3),IF(C202="peso_corporal",IF(ISNUMBER(E202),E202,0)+F202,F202)*G202*1000+F202,0)=W202,1,0))))))</f>
        <v>0</v>
      </c>
      <c r="Y202" s="69">
        <f>MAX(IF((G202&gt;0)*(IF(H202="",-1,H202)=0)*(1-(IF(H202="",-1,H202)&gt;=1)*(IF(H202="",-1,H202)&lt;=3)),IF(C202="peso_corporal",IF(ISNUMBER(E202),E202,0)+F202,F202)*G202*1000+F202,0),IF((J202&gt;0)*(IF(K202="",-1,K202)=0)*(1-(IF(K202="",-1,K202)&gt;=1)*(IF(K202="",-1,K202)&lt;=3)),IF(C202="peso_corporal",IF(ISNUMBER(E202),E202,0)+I202,I202)*J202*1000+I202,0),IF((M202&gt;0)*(IF(N202="",-1,N202)=0)*(1-(IF(N202="",-1,N202)&gt;=1)*(IF(N202="",-1,N202)&lt;=3)),IF(C202="peso_corporal",IF(ISNUMBER(E202),E202,0)+L202,L202)*M202*1000+L202,0),IF((P202&gt;0)*(IF(Q202="",-1,Q202)=0)*(1-(IF(Q202="",-1,Q202)&gt;=1)*(IF(Q202="",-1,Q202)&lt;=3)),IF(C202="peso_corporal",IF(ISNUMBER(E202),E202,0)+O202,O202)*P202*1000+O202,0),IF((S202&gt;0)*(IF(T202="",-1,T202)=0)*(1-(IF(T202="",-1,T202)&gt;=1)*(IF(T202="",-1,T202)&lt;=3)),IF(C202="peso_corporal",IF(ISNUMBER(E202),E202,0)+R202,R202)*S202*1000+R202,0))</f>
        <v>0</v>
      </c>
      <c r="Z202" s="69">
        <f>IF(Y202=0,0,IF(IF((S202&gt;0)*(IF(T202="",-1,T202)=0)*(1-(IF(T202="",-1,T202)&gt;=1)*(IF(T202="",-1,T202)&lt;=3)),IF(C202="peso_corporal",IF(ISNUMBER(E202),E202,0)+R202,R202)*S202*1000+R202,0)=Y202,5,IF(IF((P202&gt;0)*(IF(Q202="",-1,Q202)=0)*(1-(IF(Q202="",-1,Q202)&gt;=1)*(IF(Q202="",-1,Q202)&lt;=3)),IF(C202="peso_corporal",IF(ISNUMBER(E202),E202,0)+O202,O202)*P202*1000+O202,0)=Y202,4,IF(IF((M202&gt;0)*(IF(N202="",-1,N202)=0)*(1-(IF(N202="",-1,N202)&gt;=1)*(IF(N202="",-1,N202)&lt;=3)),IF(C202="peso_corporal",IF(ISNUMBER(E202),E202,0)+L202,L202)*M202*1000+L202,0)=Y202,3,IF(IF((J202&gt;0)*(IF(K202="",-1,K202)=0)*(1-(IF(K202="",-1,K202)&gt;=1)*(IF(K202="",-1,K202)&lt;=3)),IF(C202="peso_corporal",IF(ISNUMBER(E202),E202,0)+I202,I202)*J202*1000+I202,0)=Y202,2,IF(IF((G202&gt;0)*(IF(H202="",-1,H202)=0)*(1-(IF(H202="",-1,H202)&gt;=1)*(IF(H202="",-1,H202)&lt;=3)),IF(C202="peso_corporal",IF(ISNUMBER(E202),E202,0)+F202,F202)*G202*1000+F202,0)=Y202,1,0))))))</f>
        <v>0</v>
      </c>
      <c r="AA202" s="69">
        <f>MAX(IF((G202&gt;=6)*(1-(IF(H202="",-1,H202)&gt;=1)*(IF(H202="",-1,H202)&lt;=3))*(1-(IF(H202="",-1,H202)=0)),IF(C202="peso_corporal",IF(ISNUMBER(E202),E202,0)+F202,F202)*(30+G202)*100+F202,0),IF((J202&gt;=6)*(1-(IF(K202="",-1,K202)&gt;=1)*(IF(K202="",-1,K202)&lt;=3))*(1-(IF(K202="",-1,K202)=0)),IF(C202="peso_corporal",IF(ISNUMBER(E202),E202,0)+I202,I202)*(30+J202)*100+I202,0),IF((M202&gt;=6)*(1-(IF(N202="",-1,N202)&gt;=1)*(IF(N202="",-1,N202)&lt;=3))*(1-(IF(N202="",-1,N202)=0)),IF(C202="peso_corporal",IF(ISNUMBER(E202),E202,0)+L202,L202)*(30+M202)*100+L202,0),IF((P202&gt;=6)*(1-(IF(Q202="",-1,Q202)&gt;=1)*(IF(Q202="",-1,Q202)&lt;=3))*(1-(IF(Q202="",-1,Q202)=0)),IF(C202="peso_corporal",IF(ISNUMBER(E202),E202,0)+O202,O202)*(30+P202)*100+O202,0),IF((S202&gt;=6)*(1-(IF(T202="",-1,T202)&gt;=1)*(IF(T202="",-1,T202)&lt;=3))*(1-(IF(T202="",-1,T202)=0)),IF(C202="peso_corporal",IF(ISNUMBER(E202),E202,0)+R202,R202)*(30+S202)*100+R202,0))</f>
        <v>0</v>
      </c>
      <c r="AB202" s="69">
        <f>IF(AA202=0,0,IF(IF((S202&gt;=6)*(1-(IF(T202="",-1,T202)&gt;=1)*(IF(T202="",-1,T202)&lt;=3))*(1-(IF(T202="",-1,T202)=0)),IF(C202="peso_corporal",IF(ISNUMBER(E202),E202,0)+R202,R202)*(30+S202)*100+R202,0)=AA202,5,IF(IF((P202&gt;=6)*(1-(IF(Q202="",-1,Q202)&gt;=1)*(IF(Q202="",-1,Q202)&lt;=3))*(1-(IF(Q202="",-1,Q202)=0)),IF(C202="peso_corporal",IF(ISNUMBER(E202),E202,0)+O202,O202)*(30+P202)*100+O202,0)=AA202,4,IF(IF((M202&gt;=6)*(1-(IF(N202="",-1,N202)&gt;=1)*(IF(N202="",-1,N202)&lt;=3))*(1-(IF(N202="",-1,N202)=0)),IF(C202="peso_corporal",IF(ISNUMBER(E202),E202,0)+L202,L202)*(30+M202)*100+L202,0)=AA202,3,IF(IF((J202&gt;=6)*(1-(IF(K202="",-1,K202)&gt;=1)*(IF(K202="",-1,K202)&lt;=3))*(1-(IF(K202="",-1,K202)=0)),IF(C202="peso_corporal",IF(ISNUMBER(E202),E202,0)+I202,I202)*(30+J202)*100+I202,0)=AA202,2,IF(IF((G202&gt;=6)*(1-(IF(H202="",-1,H202)&gt;=1)*(IF(H202="",-1,H202)&lt;=3))*(1-(IF(H202="",-1,H202)=0)),IF(C202="peso_corporal",IF(ISNUMBER(E202),E202,0)+F202,F202)*(30+G202)*100+F202,0)=AA202,1,0))))))</f>
        <v>0</v>
      </c>
      <c r="AC202" s="69" t="str">
        <f>IF(X202&gt;0,"A"&amp;X202,IF(Z202&gt;0,"B"&amp;Z202,IF(AB202&gt;0,"C"&amp;AB202,"")))</f>
        <v/>
      </c>
    </row>
    <row r="203" spans="1:29" ht="20.100000000000001" customHeight="1">
      <c r="A203" s="14" t="s">
        <v>92</v>
      </c>
      <c r="B203" s="15" t="s">
        <v>108</v>
      </c>
      <c r="C203" s="16" t="str">
        <f>IFERROR(INDEX(EJERCICIOS!$D$3:$D$75,MATCH(A203&amp;"|"&amp;B203,EJERCICIOS!$G$3:$G$75,0)),"--")</f>
        <v>polea</v>
      </c>
      <c r="D203" s="17">
        <v>3</v>
      </c>
      <c r="E203" s="18">
        <f>IFERROR(LOOKUP(2,1/(MEDIDAS_Y_PESO!$B$3:$B$12&lt;&gt;""),MEDIDAS_Y_PESO!$B$3:$B$12),"--")</f>
        <v>80</v>
      </c>
      <c r="F203" s="19"/>
      <c r="G203" s="20"/>
      <c r="H203" s="21"/>
      <c r="I203" s="19"/>
      <c r="J203" s="20"/>
      <c r="K203" s="21"/>
      <c r="L203" s="19"/>
      <c r="M203" s="20"/>
      <c r="N203" s="21"/>
      <c r="O203" s="19"/>
      <c r="P203" s="20"/>
      <c r="Q203" s="21"/>
      <c r="R203" s="19"/>
      <c r="S203" s="20"/>
      <c r="T203" s="21"/>
      <c r="U203" s="22" t="str">
        <f>IFERROR(IF(IF(X203&gt;0,X203,IF(Z203&gt;0,Z203,IF(AB203&gt;0,AB203,0)))=0,"--",ROUND(CHOOSE(IF(X203&gt;0,X203,IF(Z203&gt;0,Z203,IF(AB203&gt;0,AB203,0))),IF(C203="peso_corporal",IF(ISNUMBER(E203),E203,0)+F203,F203)*(1+G203/30),IF(C203="peso_corporal",IF(ISNUMBER(E203),E203,0)+I203,I203)*(1+J203/30),IF(C203="peso_corporal",IF(ISNUMBER(E203),E203,0)+L203,L203)*(1+M203/30),IF(C203="peso_corporal",IF(ISNUMBER(E203),E203,0)+O203,O203)*(1+P203/30),IF(C203="peso_corporal",IF(ISNUMBER(E203),E203,0)+R203,R203)*(1+S203/30)),1)),"--")</f>
        <v>--</v>
      </c>
      <c r="V203" s="23" t="str">
        <f>IF(SUGERENCIAS!N583="SIN","Sin datos anteriores",IF(SUGERENCIAS!N583="SUBIR_F","^ SUBIR FUERTE | Kg:"&amp;ROUND(SUGERENCIAS!K583,1)&amp;" R:"&amp;ROUND(SUGERENCIAS!L583,0)&amp;" RIR:"&amp;ROUND(SUGERENCIAS!M583,0),IF(SUGERENCIAS!N583="SUBIR_E","^ SUBIR (Est.) | Kg:"&amp;ROUND(SUGERENCIAS!K583,1)&amp;" R:"&amp;ROUND(SUGERENCIAS!L583,0)&amp;" RIR:"&amp;ROUND(SUGERENCIAS!M583,0),IF(SUGERENCIAS!N583="SUBIR","^ SUBIR | Kg:"&amp;ROUND(SUGERENCIAS!K583,1)&amp;" R:"&amp;ROUND(SUGERENCIAS!L583,0)&amp;" RIR:"&amp;ROUND(SUGERENCIAS!M583,0),IF(SUGERENCIAS!N583="BAJAR","v BAJAR | Kg:"&amp;ROUND(SUGERENCIAS!K583,1)&amp;" R:"&amp;ROUND(SUGERENCIAS!L583,0)&amp;" RIR:"&amp;ROUND(SUGERENCIAS!M583,0),"= MANT | Kg:"&amp;ROUND(SUGERENCIAS!K583,1)&amp;" R:"&amp;ROUND(SUGERENCIAS!L583,0)&amp;" RIR:"&amp;ROUND(SUGERENCIAS!M583,0))))))</f>
        <v>Sin datos anteriores</v>
      </c>
      <c r="W203" s="69">
        <f>MAX(IF((G203&gt;0)*(IF(H203="",-1,H203)&gt;=1)*(IF(H203="",-1,H203)&lt;=3),IF(C203="peso_corporal",IF(ISNUMBER(E203),E203,0)+F203,F203)*G203*1000+F203,0),IF((J203&gt;0)*(IF(K203="",-1,K203)&gt;=1)*(IF(K203="",-1,K203)&lt;=3),IF(C203="peso_corporal",IF(ISNUMBER(E203),E203,0)+I203,I203)*J203*1000+I203,0),IF((M203&gt;0)*(IF(N203="",-1,N203)&gt;=1)*(IF(N203="",-1,N203)&lt;=3),IF(C203="peso_corporal",IF(ISNUMBER(E203),E203,0)+L203,L203)*M203*1000+L203,0),IF((P203&gt;0)*(IF(Q203="",-1,Q203)&gt;=1)*(IF(Q203="",-1,Q203)&lt;=3),IF(C203="peso_corporal",IF(ISNUMBER(E203),E203,0)+O203,O203)*P203*1000+O203,0),IF((S203&gt;0)*(IF(T203="",-1,T203)&gt;=1)*(IF(T203="",-1,T203)&lt;=3),IF(C203="peso_corporal",IF(ISNUMBER(E203),E203,0)+R203,R203)*S203*1000+R203,0))</f>
        <v>0</v>
      </c>
      <c r="X203" s="69">
        <f>IF(W203=0,0,IF(IF((S203&gt;0)*(IF(T203="",-1,T203)&gt;=1)*(IF(T203="",-1,T203)&lt;=3),IF(C203="peso_corporal",IF(ISNUMBER(E203),E203,0)+R203,R203)*S203*1000+R203,0)=W203,5,IF(IF((P203&gt;0)*(IF(Q203="",-1,Q203)&gt;=1)*(IF(Q203="",-1,Q203)&lt;=3),IF(C203="peso_corporal",IF(ISNUMBER(E203),E203,0)+O203,O203)*P203*1000+O203,0)=W203,4,IF(IF((M203&gt;0)*(IF(N203="",-1,N203)&gt;=1)*(IF(N203="",-1,N203)&lt;=3),IF(C203="peso_corporal",IF(ISNUMBER(E203),E203,0)+L203,L203)*M203*1000+L203,0)=W203,3,IF(IF((J203&gt;0)*(IF(K203="",-1,K203)&gt;=1)*(IF(K203="",-1,K203)&lt;=3),IF(C203="peso_corporal",IF(ISNUMBER(E203),E203,0)+I203,I203)*J203*1000+I203,0)=W203,2,IF(IF((G203&gt;0)*(IF(H203="",-1,H203)&gt;=1)*(IF(H203="",-1,H203)&lt;=3),IF(C203="peso_corporal",IF(ISNUMBER(E203),E203,0)+F203,F203)*G203*1000+F203,0)=W203,1,0))))))</f>
        <v>0</v>
      </c>
      <c r="Y203" s="69">
        <f>MAX(IF((G203&gt;0)*(IF(H203="",-1,H203)=0)*(1-(IF(H203="",-1,H203)&gt;=1)*(IF(H203="",-1,H203)&lt;=3)),IF(C203="peso_corporal",IF(ISNUMBER(E203),E203,0)+F203,F203)*G203*1000+F203,0),IF((J203&gt;0)*(IF(K203="",-1,K203)=0)*(1-(IF(K203="",-1,K203)&gt;=1)*(IF(K203="",-1,K203)&lt;=3)),IF(C203="peso_corporal",IF(ISNUMBER(E203),E203,0)+I203,I203)*J203*1000+I203,0),IF((M203&gt;0)*(IF(N203="",-1,N203)=0)*(1-(IF(N203="",-1,N203)&gt;=1)*(IF(N203="",-1,N203)&lt;=3)),IF(C203="peso_corporal",IF(ISNUMBER(E203),E203,0)+L203,L203)*M203*1000+L203,0),IF((P203&gt;0)*(IF(Q203="",-1,Q203)=0)*(1-(IF(Q203="",-1,Q203)&gt;=1)*(IF(Q203="",-1,Q203)&lt;=3)),IF(C203="peso_corporal",IF(ISNUMBER(E203),E203,0)+O203,O203)*P203*1000+O203,0),IF((S203&gt;0)*(IF(T203="",-1,T203)=0)*(1-(IF(T203="",-1,T203)&gt;=1)*(IF(T203="",-1,T203)&lt;=3)),IF(C203="peso_corporal",IF(ISNUMBER(E203),E203,0)+R203,R203)*S203*1000+R203,0))</f>
        <v>0</v>
      </c>
      <c r="Z203" s="69">
        <f>IF(Y203=0,0,IF(IF((S203&gt;0)*(IF(T203="",-1,T203)=0)*(1-(IF(T203="",-1,T203)&gt;=1)*(IF(T203="",-1,T203)&lt;=3)),IF(C203="peso_corporal",IF(ISNUMBER(E203),E203,0)+R203,R203)*S203*1000+R203,0)=Y203,5,IF(IF((P203&gt;0)*(IF(Q203="",-1,Q203)=0)*(1-(IF(Q203="",-1,Q203)&gt;=1)*(IF(Q203="",-1,Q203)&lt;=3)),IF(C203="peso_corporal",IF(ISNUMBER(E203),E203,0)+O203,O203)*P203*1000+O203,0)=Y203,4,IF(IF((M203&gt;0)*(IF(N203="",-1,N203)=0)*(1-(IF(N203="",-1,N203)&gt;=1)*(IF(N203="",-1,N203)&lt;=3)),IF(C203="peso_corporal",IF(ISNUMBER(E203),E203,0)+L203,L203)*M203*1000+L203,0)=Y203,3,IF(IF((J203&gt;0)*(IF(K203="",-1,K203)=0)*(1-(IF(K203="",-1,K203)&gt;=1)*(IF(K203="",-1,K203)&lt;=3)),IF(C203="peso_corporal",IF(ISNUMBER(E203),E203,0)+I203,I203)*J203*1000+I203,0)=Y203,2,IF(IF((G203&gt;0)*(IF(H203="",-1,H203)=0)*(1-(IF(H203="",-1,H203)&gt;=1)*(IF(H203="",-1,H203)&lt;=3)),IF(C203="peso_corporal",IF(ISNUMBER(E203),E203,0)+F203,F203)*G203*1000+F203,0)=Y203,1,0))))))</f>
        <v>0</v>
      </c>
      <c r="AA203" s="69">
        <f>MAX(IF((G203&gt;=6)*(1-(IF(H203="",-1,H203)&gt;=1)*(IF(H203="",-1,H203)&lt;=3))*(1-(IF(H203="",-1,H203)=0)),IF(C203="peso_corporal",IF(ISNUMBER(E203),E203,0)+F203,F203)*(30+G203)*100+F203,0),IF((J203&gt;=6)*(1-(IF(K203="",-1,K203)&gt;=1)*(IF(K203="",-1,K203)&lt;=3))*(1-(IF(K203="",-1,K203)=0)),IF(C203="peso_corporal",IF(ISNUMBER(E203),E203,0)+I203,I203)*(30+J203)*100+I203,0),IF((M203&gt;=6)*(1-(IF(N203="",-1,N203)&gt;=1)*(IF(N203="",-1,N203)&lt;=3))*(1-(IF(N203="",-1,N203)=0)),IF(C203="peso_corporal",IF(ISNUMBER(E203),E203,0)+L203,L203)*(30+M203)*100+L203,0),IF((P203&gt;=6)*(1-(IF(Q203="",-1,Q203)&gt;=1)*(IF(Q203="",-1,Q203)&lt;=3))*(1-(IF(Q203="",-1,Q203)=0)),IF(C203="peso_corporal",IF(ISNUMBER(E203),E203,0)+O203,O203)*(30+P203)*100+O203,0),IF((S203&gt;=6)*(1-(IF(T203="",-1,T203)&gt;=1)*(IF(T203="",-1,T203)&lt;=3))*(1-(IF(T203="",-1,T203)=0)),IF(C203="peso_corporal",IF(ISNUMBER(E203),E203,0)+R203,R203)*(30+S203)*100+R203,0))</f>
        <v>0</v>
      </c>
      <c r="AB203" s="69">
        <f>IF(AA203=0,0,IF(IF((S203&gt;=6)*(1-(IF(T203="",-1,T203)&gt;=1)*(IF(T203="",-1,T203)&lt;=3))*(1-(IF(T203="",-1,T203)=0)),IF(C203="peso_corporal",IF(ISNUMBER(E203),E203,0)+R203,R203)*(30+S203)*100+R203,0)=AA203,5,IF(IF((P203&gt;=6)*(1-(IF(Q203="",-1,Q203)&gt;=1)*(IF(Q203="",-1,Q203)&lt;=3))*(1-(IF(Q203="",-1,Q203)=0)),IF(C203="peso_corporal",IF(ISNUMBER(E203),E203,0)+O203,O203)*(30+P203)*100+O203,0)=AA203,4,IF(IF((M203&gt;=6)*(1-(IF(N203="",-1,N203)&gt;=1)*(IF(N203="",-1,N203)&lt;=3))*(1-(IF(N203="",-1,N203)=0)),IF(C203="peso_corporal",IF(ISNUMBER(E203),E203,0)+L203,L203)*(30+M203)*100+L203,0)=AA203,3,IF(IF((J203&gt;=6)*(1-(IF(K203="",-1,K203)&gt;=1)*(IF(K203="",-1,K203)&lt;=3))*(1-(IF(K203="",-1,K203)=0)),IF(C203="peso_corporal",IF(ISNUMBER(E203),E203,0)+I203,I203)*(30+J203)*100+I203,0)=AA203,2,IF(IF((G203&gt;=6)*(1-(IF(H203="",-1,H203)&gt;=1)*(IF(H203="",-1,H203)&lt;=3))*(1-(IF(H203="",-1,H203)=0)),IF(C203="peso_corporal",IF(ISNUMBER(E203),E203,0)+F203,F203)*(30+G203)*100+F203,0)=AA203,1,0))))))</f>
        <v>0</v>
      </c>
      <c r="AC203" s="69" t="str">
        <f>IF(X203&gt;0,"A"&amp;X203,IF(Z203&gt;0,"B"&amp;Z203,IF(AB203&gt;0,"C"&amp;AB203,"")))</f>
        <v/>
      </c>
    </row>
    <row r="204" spans="1:29" ht="11.1" customHeight="1">
      <c r="A204" s="84" t="s">
        <v>94</v>
      </c>
      <c r="B204" s="73"/>
      <c r="C204" s="73"/>
      <c r="D204" s="73"/>
      <c r="E204" s="73"/>
      <c r="F204" s="73"/>
      <c r="G204" s="73"/>
      <c r="H204" s="73"/>
      <c r="I204" s="73"/>
      <c r="J204" s="73"/>
      <c r="K204" s="73"/>
      <c r="L204" s="73"/>
      <c r="M204" s="73"/>
      <c r="N204" s="73"/>
      <c r="O204" s="73"/>
      <c r="P204" s="73"/>
      <c r="Q204" s="73"/>
      <c r="R204" s="73"/>
      <c r="S204" s="73"/>
      <c r="T204" s="73"/>
      <c r="U204" s="73"/>
      <c r="V204" s="73"/>
      <c r="W204" s="69"/>
      <c r="X204" s="69"/>
      <c r="Y204" s="69"/>
      <c r="Z204" s="69"/>
      <c r="AA204" s="69"/>
      <c r="AB204" s="69"/>
      <c r="AC204" s="69"/>
    </row>
    <row r="205" spans="1:29" ht="20.100000000000001" customHeight="1">
      <c r="A205" s="14" t="s">
        <v>95</v>
      </c>
      <c r="B205" s="15" t="s">
        <v>96</v>
      </c>
      <c r="C205" s="16" t="str">
        <f>IFERROR(INDEX(EJERCICIOS!$D$3:$D$75,MATCH(A205&amp;"|"&amp;B205,EJERCICIOS!$G$3:$G$75,0)),"--")</f>
        <v>polea</v>
      </c>
      <c r="D205" s="17">
        <v>3</v>
      </c>
      <c r="E205" s="18">
        <f>IFERROR(LOOKUP(2,1/(MEDIDAS_Y_PESO!$B$3:$B$12&lt;&gt;""),MEDIDAS_Y_PESO!$B$3:$B$12),"--")</f>
        <v>80</v>
      </c>
      <c r="F205" s="19"/>
      <c r="G205" s="20"/>
      <c r="H205" s="21"/>
      <c r="I205" s="19"/>
      <c r="J205" s="20"/>
      <c r="K205" s="21"/>
      <c r="L205" s="19"/>
      <c r="M205" s="20"/>
      <c r="N205" s="21"/>
      <c r="O205" s="19"/>
      <c r="P205" s="20"/>
      <c r="Q205" s="21"/>
      <c r="R205" s="19"/>
      <c r="S205" s="20"/>
      <c r="T205" s="21"/>
      <c r="U205" s="22" t="str">
        <f>IFERROR(IF(IF(X205&gt;0,X205,IF(Z205&gt;0,Z205,IF(AB205&gt;0,AB205,0)))=0,"--",ROUND(CHOOSE(IF(X205&gt;0,X205,IF(Z205&gt;0,Z205,IF(AB205&gt;0,AB205,0))),IF(C205="peso_corporal",IF(ISNUMBER(E205),E205,0)+F205,F205)*(1+G205/30),IF(C205="peso_corporal",IF(ISNUMBER(E205),E205,0)+I205,I205)*(1+J205/30),IF(C205="peso_corporal",IF(ISNUMBER(E205),E205,0)+L205,L205)*(1+M205/30),IF(C205="peso_corporal",IF(ISNUMBER(E205),E205,0)+O205,O205)*(1+P205/30),IF(C205="peso_corporal",IF(ISNUMBER(E205),E205,0)+R205,R205)*(1+S205/30)),1)),"--")</f>
        <v>--</v>
      </c>
      <c r="V205" s="23" t="str">
        <f>IF(SUGERENCIAS!N584="SIN","Sin datos anteriores",IF(SUGERENCIAS!N584="SUBIR_F","^ SUBIR FUERTE | Kg:"&amp;ROUND(SUGERENCIAS!K584,1)&amp;" R:"&amp;ROUND(SUGERENCIAS!L584,0)&amp;" RIR:"&amp;ROUND(SUGERENCIAS!M584,0),IF(SUGERENCIAS!N584="SUBIR_E","^ SUBIR (Est.) | Kg:"&amp;ROUND(SUGERENCIAS!K584,1)&amp;" R:"&amp;ROUND(SUGERENCIAS!L584,0)&amp;" RIR:"&amp;ROUND(SUGERENCIAS!M584,0),IF(SUGERENCIAS!N584="SUBIR","^ SUBIR | Kg:"&amp;ROUND(SUGERENCIAS!K584,1)&amp;" R:"&amp;ROUND(SUGERENCIAS!L584,0)&amp;" RIR:"&amp;ROUND(SUGERENCIAS!M584,0),IF(SUGERENCIAS!N584="BAJAR","v BAJAR | Kg:"&amp;ROUND(SUGERENCIAS!K584,1)&amp;" R:"&amp;ROUND(SUGERENCIAS!L584,0)&amp;" RIR:"&amp;ROUND(SUGERENCIAS!M584,0),"= MANT | Kg:"&amp;ROUND(SUGERENCIAS!K584,1)&amp;" R:"&amp;ROUND(SUGERENCIAS!L584,0)&amp;" RIR:"&amp;ROUND(SUGERENCIAS!M584,0))))))</f>
        <v>Sin datos anteriores</v>
      </c>
      <c r="W205" s="69">
        <f>MAX(IF((G205&gt;0)*(IF(H205="",-1,H205)&gt;=1)*(IF(H205="",-1,H205)&lt;=3),IF(C205="peso_corporal",IF(ISNUMBER(E205),E205,0)+F205,F205)*G205*1000+F205,0),IF((J205&gt;0)*(IF(K205="",-1,K205)&gt;=1)*(IF(K205="",-1,K205)&lt;=3),IF(C205="peso_corporal",IF(ISNUMBER(E205),E205,0)+I205,I205)*J205*1000+I205,0),IF((M205&gt;0)*(IF(N205="",-1,N205)&gt;=1)*(IF(N205="",-1,N205)&lt;=3),IF(C205="peso_corporal",IF(ISNUMBER(E205),E205,0)+L205,L205)*M205*1000+L205,0),IF((P205&gt;0)*(IF(Q205="",-1,Q205)&gt;=1)*(IF(Q205="",-1,Q205)&lt;=3),IF(C205="peso_corporal",IF(ISNUMBER(E205),E205,0)+O205,O205)*P205*1000+O205,0),IF((S205&gt;0)*(IF(T205="",-1,T205)&gt;=1)*(IF(T205="",-1,T205)&lt;=3),IF(C205="peso_corporal",IF(ISNUMBER(E205),E205,0)+R205,R205)*S205*1000+R205,0))</f>
        <v>0</v>
      </c>
      <c r="X205" s="69">
        <f>IF(W205=0,0,IF(IF((S205&gt;0)*(IF(T205="",-1,T205)&gt;=1)*(IF(T205="",-1,T205)&lt;=3),IF(C205="peso_corporal",IF(ISNUMBER(E205),E205,0)+R205,R205)*S205*1000+R205,0)=W205,5,IF(IF((P205&gt;0)*(IF(Q205="",-1,Q205)&gt;=1)*(IF(Q205="",-1,Q205)&lt;=3),IF(C205="peso_corporal",IF(ISNUMBER(E205),E205,0)+O205,O205)*P205*1000+O205,0)=W205,4,IF(IF((M205&gt;0)*(IF(N205="",-1,N205)&gt;=1)*(IF(N205="",-1,N205)&lt;=3),IF(C205="peso_corporal",IF(ISNUMBER(E205),E205,0)+L205,L205)*M205*1000+L205,0)=W205,3,IF(IF((J205&gt;0)*(IF(K205="",-1,K205)&gt;=1)*(IF(K205="",-1,K205)&lt;=3),IF(C205="peso_corporal",IF(ISNUMBER(E205),E205,0)+I205,I205)*J205*1000+I205,0)=W205,2,IF(IF((G205&gt;0)*(IF(H205="",-1,H205)&gt;=1)*(IF(H205="",-1,H205)&lt;=3),IF(C205="peso_corporal",IF(ISNUMBER(E205),E205,0)+F205,F205)*G205*1000+F205,0)=W205,1,0))))))</f>
        <v>0</v>
      </c>
      <c r="Y205" s="69">
        <f>MAX(IF((G205&gt;0)*(IF(H205="",-1,H205)=0)*(1-(IF(H205="",-1,H205)&gt;=1)*(IF(H205="",-1,H205)&lt;=3)),IF(C205="peso_corporal",IF(ISNUMBER(E205),E205,0)+F205,F205)*G205*1000+F205,0),IF((J205&gt;0)*(IF(K205="",-1,K205)=0)*(1-(IF(K205="",-1,K205)&gt;=1)*(IF(K205="",-1,K205)&lt;=3)),IF(C205="peso_corporal",IF(ISNUMBER(E205),E205,0)+I205,I205)*J205*1000+I205,0),IF((M205&gt;0)*(IF(N205="",-1,N205)=0)*(1-(IF(N205="",-1,N205)&gt;=1)*(IF(N205="",-1,N205)&lt;=3)),IF(C205="peso_corporal",IF(ISNUMBER(E205),E205,0)+L205,L205)*M205*1000+L205,0),IF((P205&gt;0)*(IF(Q205="",-1,Q205)=0)*(1-(IF(Q205="",-1,Q205)&gt;=1)*(IF(Q205="",-1,Q205)&lt;=3)),IF(C205="peso_corporal",IF(ISNUMBER(E205),E205,0)+O205,O205)*P205*1000+O205,0),IF((S205&gt;0)*(IF(T205="",-1,T205)=0)*(1-(IF(T205="",-1,T205)&gt;=1)*(IF(T205="",-1,T205)&lt;=3)),IF(C205="peso_corporal",IF(ISNUMBER(E205),E205,0)+R205,R205)*S205*1000+R205,0))</f>
        <v>0</v>
      </c>
      <c r="Z205" s="69">
        <f>IF(Y205=0,0,IF(IF((S205&gt;0)*(IF(T205="",-1,T205)=0)*(1-(IF(T205="",-1,T205)&gt;=1)*(IF(T205="",-1,T205)&lt;=3)),IF(C205="peso_corporal",IF(ISNUMBER(E205),E205,0)+R205,R205)*S205*1000+R205,0)=Y205,5,IF(IF((P205&gt;0)*(IF(Q205="",-1,Q205)=0)*(1-(IF(Q205="",-1,Q205)&gt;=1)*(IF(Q205="",-1,Q205)&lt;=3)),IF(C205="peso_corporal",IF(ISNUMBER(E205),E205,0)+O205,O205)*P205*1000+O205,0)=Y205,4,IF(IF((M205&gt;0)*(IF(N205="",-1,N205)=0)*(1-(IF(N205="",-1,N205)&gt;=1)*(IF(N205="",-1,N205)&lt;=3)),IF(C205="peso_corporal",IF(ISNUMBER(E205),E205,0)+L205,L205)*M205*1000+L205,0)=Y205,3,IF(IF((J205&gt;0)*(IF(K205="",-1,K205)=0)*(1-(IF(K205="",-1,K205)&gt;=1)*(IF(K205="",-1,K205)&lt;=3)),IF(C205="peso_corporal",IF(ISNUMBER(E205),E205,0)+I205,I205)*J205*1000+I205,0)=Y205,2,IF(IF((G205&gt;0)*(IF(H205="",-1,H205)=0)*(1-(IF(H205="",-1,H205)&gt;=1)*(IF(H205="",-1,H205)&lt;=3)),IF(C205="peso_corporal",IF(ISNUMBER(E205),E205,0)+F205,F205)*G205*1000+F205,0)=Y205,1,0))))))</f>
        <v>0</v>
      </c>
      <c r="AA205" s="69">
        <f>MAX(IF((G205&gt;=6)*(1-(IF(H205="",-1,H205)&gt;=1)*(IF(H205="",-1,H205)&lt;=3))*(1-(IF(H205="",-1,H205)=0)),IF(C205="peso_corporal",IF(ISNUMBER(E205),E205,0)+F205,F205)*(30+G205)*100+F205,0),IF((J205&gt;=6)*(1-(IF(K205="",-1,K205)&gt;=1)*(IF(K205="",-1,K205)&lt;=3))*(1-(IF(K205="",-1,K205)=0)),IF(C205="peso_corporal",IF(ISNUMBER(E205),E205,0)+I205,I205)*(30+J205)*100+I205,0),IF((M205&gt;=6)*(1-(IF(N205="",-1,N205)&gt;=1)*(IF(N205="",-1,N205)&lt;=3))*(1-(IF(N205="",-1,N205)=0)),IF(C205="peso_corporal",IF(ISNUMBER(E205),E205,0)+L205,L205)*(30+M205)*100+L205,0),IF((P205&gt;=6)*(1-(IF(Q205="",-1,Q205)&gt;=1)*(IF(Q205="",-1,Q205)&lt;=3))*(1-(IF(Q205="",-1,Q205)=0)),IF(C205="peso_corporal",IF(ISNUMBER(E205),E205,0)+O205,O205)*(30+P205)*100+O205,0),IF((S205&gt;=6)*(1-(IF(T205="",-1,T205)&gt;=1)*(IF(T205="",-1,T205)&lt;=3))*(1-(IF(T205="",-1,T205)=0)),IF(C205="peso_corporal",IF(ISNUMBER(E205),E205,0)+R205,R205)*(30+S205)*100+R205,0))</f>
        <v>0</v>
      </c>
      <c r="AB205" s="69">
        <f>IF(AA205=0,0,IF(IF((S205&gt;=6)*(1-(IF(T205="",-1,T205)&gt;=1)*(IF(T205="",-1,T205)&lt;=3))*(1-(IF(T205="",-1,T205)=0)),IF(C205="peso_corporal",IF(ISNUMBER(E205),E205,0)+R205,R205)*(30+S205)*100+R205,0)=AA205,5,IF(IF((P205&gt;=6)*(1-(IF(Q205="",-1,Q205)&gt;=1)*(IF(Q205="",-1,Q205)&lt;=3))*(1-(IF(Q205="",-1,Q205)=0)),IF(C205="peso_corporal",IF(ISNUMBER(E205),E205,0)+O205,O205)*(30+P205)*100+O205,0)=AA205,4,IF(IF((M205&gt;=6)*(1-(IF(N205="",-1,N205)&gt;=1)*(IF(N205="",-1,N205)&lt;=3))*(1-(IF(N205="",-1,N205)=0)),IF(C205="peso_corporal",IF(ISNUMBER(E205),E205,0)+L205,L205)*(30+M205)*100+L205,0)=AA205,3,IF(IF((J205&gt;=6)*(1-(IF(K205="",-1,K205)&gt;=1)*(IF(K205="",-1,K205)&lt;=3))*(1-(IF(K205="",-1,K205)=0)),IF(C205="peso_corporal",IF(ISNUMBER(E205),E205,0)+I205,I205)*(30+J205)*100+I205,0)=AA205,2,IF(IF((G205&gt;=6)*(1-(IF(H205="",-1,H205)&gt;=1)*(IF(H205="",-1,H205)&lt;=3))*(1-(IF(H205="",-1,H205)=0)),IF(C205="peso_corporal",IF(ISNUMBER(E205),E205,0)+F205,F205)*(30+G205)*100+F205,0)=AA205,1,0))))))</f>
        <v>0</v>
      </c>
      <c r="AC205" s="69" t="str">
        <f>IF(X205&gt;0,"A"&amp;X205,IF(Z205&gt;0,"B"&amp;Z205,IF(AB205&gt;0,"C"&amp;AB205,"")))</f>
        <v/>
      </c>
    </row>
    <row r="206" spans="1:29" ht="20.100000000000001" customHeight="1">
      <c r="A206" s="14" t="s">
        <v>95</v>
      </c>
      <c r="B206" s="15" t="s">
        <v>97</v>
      </c>
      <c r="C206" s="16" t="str">
        <f>IFERROR(INDEX(EJERCICIOS!$D$3:$D$75,MATCH(A206&amp;"|"&amp;B206,EJERCICIOS!$G$3:$G$75,0)),"--")</f>
        <v>polea</v>
      </c>
      <c r="D206" s="17">
        <v>3</v>
      </c>
      <c r="E206" s="18">
        <f>IFERROR(LOOKUP(2,1/(MEDIDAS_Y_PESO!$B$3:$B$12&lt;&gt;""),MEDIDAS_Y_PESO!$B$3:$B$12),"--")</f>
        <v>80</v>
      </c>
      <c r="F206" s="19"/>
      <c r="G206" s="20"/>
      <c r="H206" s="21"/>
      <c r="I206" s="19"/>
      <c r="J206" s="20"/>
      <c r="K206" s="21"/>
      <c r="L206" s="19"/>
      <c r="M206" s="20"/>
      <c r="N206" s="21"/>
      <c r="O206" s="19"/>
      <c r="P206" s="20"/>
      <c r="Q206" s="21"/>
      <c r="R206" s="19"/>
      <c r="S206" s="20"/>
      <c r="T206" s="21"/>
      <c r="U206" s="22" t="str">
        <f>IFERROR(IF(IF(X206&gt;0,X206,IF(Z206&gt;0,Z206,IF(AB206&gt;0,AB206,0)))=0,"--",ROUND(CHOOSE(IF(X206&gt;0,X206,IF(Z206&gt;0,Z206,IF(AB206&gt;0,AB206,0))),IF(C206="peso_corporal",IF(ISNUMBER(E206),E206,0)+F206,F206)*(1+G206/30),IF(C206="peso_corporal",IF(ISNUMBER(E206),E206,0)+I206,I206)*(1+J206/30),IF(C206="peso_corporal",IF(ISNUMBER(E206),E206,0)+L206,L206)*(1+M206/30),IF(C206="peso_corporal",IF(ISNUMBER(E206),E206,0)+O206,O206)*(1+P206/30),IF(C206="peso_corporal",IF(ISNUMBER(E206),E206,0)+R206,R206)*(1+S206/30)),1)),"--")</f>
        <v>--</v>
      </c>
      <c r="V206" s="23" t="str">
        <f>IF(SUGERENCIAS!N585="SIN","Sin datos anteriores",IF(SUGERENCIAS!N585="SUBIR_F","^ SUBIR FUERTE | Kg:"&amp;ROUND(SUGERENCIAS!K585,1)&amp;" R:"&amp;ROUND(SUGERENCIAS!L585,0)&amp;" RIR:"&amp;ROUND(SUGERENCIAS!M585,0),IF(SUGERENCIAS!N585="SUBIR_E","^ SUBIR (Est.) | Kg:"&amp;ROUND(SUGERENCIAS!K585,1)&amp;" R:"&amp;ROUND(SUGERENCIAS!L585,0)&amp;" RIR:"&amp;ROUND(SUGERENCIAS!M585,0),IF(SUGERENCIAS!N585="SUBIR","^ SUBIR | Kg:"&amp;ROUND(SUGERENCIAS!K585,1)&amp;" R:"&amp;ROUND(SUGERENCIAS!L585,0)&amp;" RIR:"&amp;ROUND(SUGERENCIAS!M585,0),IF(SUGERENCIAS!N585="BAJAR","v BAJAR | Kg:"&amp;ROUND(SUGERENCIAS!K585,1)&amp;" R:"&amp;ROUND(SUGERENCIAS!L585,0)&amp;" RIR:"&amp;ROUND(SUGERENCIAS!M585,0),"= MANT | Kg:"&amp;ROUND(SUGERENCIAS!K585,1)&amp;" R:"&amp;ROUND(SUGERENCIAS!L585,0)&amp;" RIR:"&amp;ROUND(SUGERENCIAS!M585,0))))))</f>
        <v>Sin datos anteriores</v>
      </c>
      <c r="W206" s="69">
        <f>MAX(IF((G206&gt;0)*(IF(H206="",-1,H206)&gt;=1)*(IF(H206="",-1,H206)&lt;=3),IF(C206="peso_corporal",IF(ISNUMBER(E206),E206,0)+F206,F206)*G206*1000+F206,0),IF((J206&gt;0)*(IF(K206="",-1,K206)&gt;=1)*(IF(K206="",-1,K206)&lt;=3),IF(C206="peso_corporal",IF(ISNUMBER(E206),E206,0)+I206,I206)*J206*1000+I206,0),IF((M206&gt;0)*(IF(N206="",-1,N206)&gt;=1)*(IF(N206="",-1,N206)&lt;=3),IF(C206="peso_corporal",IF(ISNUMBER(E206),E206,0)+L206,L206)*M206*1000+L206,0),IF((P206&gt;0)*(IF(Q206="",-1,Q206)&gt;=1)*(IF(Q206="",-1,Q206)&lt;=3),IF(C206="peso_corporal",IF(ISNUMBER(E206),E206,0)+O206,O206)*P206*1000+O206,0),IF((S206&gt;0)*(IF(T206="",-1,T206)&gt;=1)*(IF(T206="",-1,T206)&lt;=3),IF(C206="peso_corporal",IF(ISNUMBER(E206),E206,0)+R206,R206)*S206*1000+R206,0))</f>
        <v>0</v>
      </c>
      <c r="X206" s="69">
        <f>IF(W206=0,0,IF(IF((S206&gt;0)*(IF(T206="",-1,T206)&gt;=1)*(IF(T206="",-1,T206)&lt;=3),IF(C206="peso_corporal",IF(ISNUMBER(E206),E206,0)+R206,R206)*S206*1000+R206,0)=W206,5,IF(IF((P206&gt;0)*(IF(Q206="",-1,Q206)&gt;=1)*(IF(Q206="",-1,Q206)&lt;=3),IF(C206="peso_corporal",IF(ISNUMBER(E206),E206,0)+O206,O206)*P206*1000+O206,0)=W206,4,IF(IF((M206&gt;0)*(IF(N206="",-1,N206)&gt;=1)*(IF(N206="",-1,N206)&lt;=3),IF(C206="peso_corporal",IF(ISNUMBER(E206),E206,0)+L206,L206)*M206*1000+L206,0)=W206,3,IF(IF((J206&gt;0)*(IF(K206="",-1,K206)&gt;=1)*(IF(K206="",-1,K206)&lt;=3),IF(C206="peso_corporal",IF(ISNUMBER(E206),E206,0)+I206,I206)*J206*1000+I206,0)=W206,2,IF(IF((G206&gt;0)*(IF(H206="",-1,H206)&gt;=1)*(IF(H206="",-1,H206)&lt;=3),IF(C206="peso_corporal",IF(ISNUMBER(E206),E206,0)+F206,F206)*G206*1000+F206,0)=W206,1,0))))))</f>
        <v>0</v>
      </c>
      <c r="Y206" s="69">
        <f>MAX(IF((G206&gt;0)*(IF(H206="",-1,H206)=0)*(1-(IF(H206="",-1,H206)&gt;=1)*(IF(H206="",-1,H206)&lt;=3)),IF(C206="peso_corporal",IF(ISNUMBER(E206),E206,0)+F206,F206)*G206*1000+F206,0),IF((J206&gt;0)*(IF(K206="",-1,K206)=0)*(1-(IF(K206="",-1,K206)&gt;=1)*(IF(K206="",-1,K206)&lt;=3)),IF(C206="peso_corporal",IF(ISNUMBER(E206),E206,0)+I206,I206)*J206*1000+I206,0),IF((M206&gt;0)*(IF(N206="",-1,N206)=0)*(1-(IF(N206="",-1,N206)&gt;=1)*(IF(N206="",-1,N206)&lt;=3)),IF(C206="peso_corporal",IF(ISNUMBER(E206),E206,0)+L206,L206)*M206*1000+L206,0),IF((P206&gt;0)*(IF(Q206="",-1,Q206)=0)*(1-(IF(Q206="",-1,Q206)&gt;=1)*(IF(Q206="",-1,Q206)&lt;=3)),IF(C206="peso_corporal",IF(ISNUMBER(E206),E206,0)+O206,O206)*P206*1000+O206,0),IF((S206&gt;0)*(IF(T206="",-1,T206)=0)*(1-(IF(T206="",-1,T206)&gt;=1)*(IF(T206="",-1,T206)&lt;=3)),IF(C206="peso_corporal",IF(ISNUMBER(E206),E206,0)+R206,R206)*S206*1000+R206,0))</f>
        <v>0</v>
      </c>
      <c r="Z206" s="69">
        <f>IF(Y206=0,0,IF(IF((S206&gt;0)*(IF(T206="",-1,T206)=0)*(1-(IF(T206="",-1,T206)&gt;=1)*(IF(T206="",-1,T206)&lt;=3)),IF(C206="peso_corporal",IF(ISNUMBER(E206),E206,0)+R206,R206)*S206*1000+R206,0)=Y206,5,IF(IF((P206&gt;0)*(IF(Q206="",-1,Q206)=0)*(1-(IF(Q206="",-1,Q206)&gt;=1)*(IF(Q206="",-1,Q206)&lt;=3)),IF(C206="peso_corporal",IF(ISNUMBER(E206),E206,0)+O206,O206)*P206*1000+O206,0)=Y206,4,IF(IF((M206&gt;0)*(IF(N206="",-1,N206)=0)*(1-(IF(N206="",-1,N206)&gt;=1)*(IF(N206="",-1,N206)&lt;=3)),IF(C206="peso_corporal",IF(ISNUMBER(E206),E206,0)+L206,L206)*M206*1000+L206,0)=Y206,3,IF(IF((J206&gt;0)*(IF(K206="",-1,K206)=0)*(1-(IF(K206="",-1,K206)&gt;=1)*(IF(K206="",-1,K206)&lt;=3)),IF(C206="peso_corporal",IF(ISNUMBER(E206),E206,0)+I206,I206)*J206*1000+I206,0)=Y206,2,IF(IF((G206&gt;0)*(IF(H206="",-1,H206)=0)*(1-(IF(H206="",-1,H206)&gt;=1)*(IF(H206="",-1,H206)&lt;=3)),IF(C206="peso_corporal",IF(ISNUMBER(E206),E206,0)+F206,F206)*G206*1000+F206,0)=Y206,1,0))))))</f>
        <v>0</v>
      </c>
      <c r="AA206" s="69">
        <f>MAX(IF((G206&gt;=6)*(1-(IF(H206="",-1,H206)&gt;=1)*(IF(H206="",-1,H206)&lt;=3))*(1-(IF(H206="",-1,H206)=0)),IF(C206="peso_corporal",IF(ISNUMBER(E206),E206,0)+F206,F206)*(30+G206)*100+F206,0),IF((J206&gt;=6)*(1-(IF(K206="",-1,K206)&gt;=1)*(IF(K206="",-1,K206)&lt;=3))*(1-(IF(K206="",-1,K206)=0)),IF(C206="peso_corporal",IF(ISNUMBER(E206),E206,0)+I206,I206)*(30+J206)*100+I206,0),IF((M206&gt;=6)*(1-(IF(N206="",-1,N206)&gt;=1)*(IF(N206="",-1,N206)&lt;=3))*(1-(IF(N206="",-1,N206)=0)),IF(C206="peso_corporal",IF(ISNUMBER(E206),E206,0)+L206,L206)*(30+M206)*100+L206,0),IF((P206&gt;=6)*(1-(IF(Q206="",-1,Q206)&gt;=1)*(IF(Q206="",-1,Q206)&lt;=3))*(1-(IF(Q206="",-1,Q206)=0)),IF(C206="peso_corporal",IF(ISNUMBER(E206),E206,0)+O206,O206)*(30+P206)*100+O206,0),IF((S206&gt;=6)*(1-(IF(T206="",-1,T206)&gt;=1)*(IF(T206="",-1,T206)&lt;=3))*(1-(IF(T206="",-1,T206)=0)),IF(C206="peso_corporal",IF(ISNUMBER(E206),E206,0)+R206,R206)*(30+S206)*100+R206,0))</f>
        <v>0</v>
      </c>
      <c r="AB206" s="69">
        <f>IF(AA206=0,0,IF(IF((S206&gt;=6)*(1-(IF(T206="",-1,T206)&gt;=1)*(IF(T206="",-1,T206)&lt;=3))*(1-(IF(T206="",-1,T206)=0)),IF(C206="peso_corporal",IF(ISNUMBER(E206),E206,0)+R206,R206)*(30+S206)*100+R206,0)=AA206,5,IF(IF((P206&gt;=6)*(1-(IF(Q206="",-1,Q206)&gt;=1)*(IF(Q206="",-1,Q206)&lt;=3))*(1-(IF(Q206="",-1,Q206)=0)),IF(C206="peso_corporal",IF(ISNUMBER(E206),E206,0)+O206,O206)*(30+P206)*100+O206,0)=AA206,4,IF(IF((M206&gt;=6)*(1-(IF(N206="",-1,N206)&gt;=1)*(IF(N206="",-1,N206)&lt;=3))*(1-(IF(N206="",-1,N206)=0)),IF(C206="peso_corporal",IF(ISNUMBER(E206),E206,0)+L206,L206)*(30+M206)*100+L206,0)=AA206,3,IF(IF((J206&gt;=6)*(1-(IF(K206="",-1,K206)&gt;=1)*(IF(K206="",-1,K206)&lt;=3))*(1-(IF(K206="",-1,K206)=0)),IF(C206="peso_corporal",IF(ISNUMBER(E206),E206,0)+I206,I206)*(30+J206)*100+I206,0)=AA206,2,IF(IF((G206&gt;=6)*(1-(IF(H206="",-1,H206)&gt;=1)*(IF(H206="",-1,H206)&lt;=3))*(1-(IF(H206="",-1,H206)=0)),IF(C206="peso_corporal",IF(ISNUMBER(E206),E206,0)+F206,F206)*(30+G206)*100+F206,0)=AA206,1,0))))))</f>
        <v>0</v>
      </c>
      <c r="AC206" s="69" t="str">
        <f>IF(X206&gt;0,"A"&amp;X206,IF(Z206&gt;0,"B"&amp;Z206,IF(AB206&gt;0,"C"&amp;AB206,"")))</f>
        <v/>
      </c>
    </row>
    <row r="207" spans="1:29" ht="15" customHeight="1">
      <c r="A207" s="81" t="s">
        <v>53</v>
      </c>
      <c r="B207" s="73"/>
      <c r="C207" s="73"/>
      <c r="D207" s="73"/>
      <c r="E207" s="73"/>
      <c r="F207" s="73"/>
      <c r="G207" s="73"/>
      <c r="H207" s="73"/>
      <c r="I207" s="73"/>
      <c r="J207" s="73"/>
      <c r="K207" s="73"/>
      <c r="L207" s="73"/>
      <c r="M207" s="73"/>
      <c r="N207" s="73"/>
      <c r="O207" s="73"/>
      <c r="P207" s="73"/>
      <c r="Q207" s="73"/>
      <c r="R207" s="73"/>
      <c r="S207" s="73"/>
      <c r="T207" s="73"/>
      <c r="U207" s="73"/>
      <c r="V207" s="73"/>
      <c r="W207" s="69"/>
      <c r="X207" s="69"/>
      <c r="Y207" s="69"/>
      <c r="Z207" s="69"/>
      <c r="AA207" s="69"/>
      <c r="AB207" s="69"/>
      <c r="AC207" s="69"/>
    </row>
    <row r="208" spans="1:29" ht="20.100000000000001" customHeight="1">
      <c r="A208" s="14" t="s">
        <v>54</v>
      </c>
      <c r="B208" s="15" t="s">
        <v>67</v>
      </c>
      <c r="C208" s="16" t="str">
        <f>IFERROR(INDEX(EJERCICIOS!$D$3:$D$75,MATCH(A208&amp;"|"&amp;B208,EJERCICIOS!$G$3:$G$75,0)),"--")</f>
        <v>mancuerna</v>
      </c>
      <c r="D208" s="17">
        <v>3</v>
      </c>
      <c r="E208" s="18">
        <f>IFERROR(LOOKUP(2,1/(MEDIDAS_Y_PESO!$B$3:$B$12&lt;&gt;""),MEDIDAS_Y_PESO!$B$3:$B$12),"--")</f>
        <v>80</v>
      </c>
      <c r="F208" s="19"/>
      <c r="G208" s="20"/>
      <c r="H208" s="21"/>
      <c r="I208" s="19"/>
      <c r="J208" s="20"/>
      <c r="K208" s="21"/>
      <c r="L208" s="19"/>
      <c r="M208" s="20"/>
      <c r="N208" s="21"/>
      <c r="O208" s="19"/>
      <c r="P208" s="20"/>
      <c r="Q208" s="21"/>
      <c r="R208" s="19"/>
      <c r="S208" s="20"/>
      <c r="T208" s="21"/>
      <c r="U208" s="22" t="str">
        <f>IFERROR(IF(IF(X208&gt;0,X208,IF(Z208&gt;0,Z208,IF(AB208&gt;0,AB208,0)))=0,"--",ROUND(CHOOSE(IF(X208&gt;0,X208,IF(Z208&gt;0,Z208,IF(AB208&gt;0,AB208,0))),IF(C208="peso_corporal",IF(ISNUMBER(E208),E208,0)+F208,F208)*(1+G208/30),IF(C208="peso_corporal",IF(ISNUMBER(E208),E208,0)+I208,I208)*(1+J208/30),IF(C208="peso_corporal",IF(ISNUMBER(E208),E208,0)+L208,L208)*(1+M208/30),IF(C208="peso_corporal",IF(ISNUMBER(E208),E208,0)+O208,O208)*(1+P208/30),IF(C208="peso_corporal",IF(ISNUMBER(E208),E208,0)+R208,R208)*(1+S208/30)),1)),"--")</f>
        <v>--</v>
      </c>
      <c r="V208" s="23" t="str">
        <f>IF(SUGERENCIAS!N586="SIN","Sin datos anteriores",IF(SUGERENCIAS!N586="SUBIR_F","^ SUBIR FUERTE | Kg:"&amp;ROUND(SUGERENCIAS!K586,1)&amp;" R:"&amp;ROUND(SUGERENCIAS!L586,0)&amp;" RIR:"&amp;ROUND(SUGERENCIAS!M586,0),IF(SUGERENCIAS!N586="SUBIR_E","^ SUBIR (Est.) | Kg:"&amp;ROUND(SUGERENCIAS!K586,1)&amp;" R:"&amp;ROUND(SUGERENCIAS!L586,0)&amp;" RIR:"&amp;ROUND(SUGERENCIAS!M586,0),IF(SUGERENCIAS!N586="SUBIR","^ SUBIR | Kg:"&amp;ROUND(SUGERENCIAS!K586,1)&amp;" R:"&amp;ROUND(SUGERENCIAS!L586,0)&amp;" RIR:"&amp;ROUND(SUGERENCIAS!M586,0),IF(SUGERENCIAS!N586="BAJAR","v BAJAR | Kg:"&amp;ROUND(SUGERENCIAS!K586,1)&amp;" R:"&amp;ROUND(SUGERENCIAS!L586,0)&amp;" RIR:"&amp;ROUND(SUGERENCIAS!M586,0),"= MANT | Kg:"&amp;ROUND(SUGERENCIAS!K586,1)&amp;" R:"&amp;ROUND(SUGERENCIAS!L586,0)&amp;" RIR:"&amp;ROUND(SUGERENCIAS!M586,0))))))</f>
        <v>Sin datos anteriores</v>
      </c>
      <c r="W208" s="69">
        <f>MAX(IF((G208&gt;0)*(IF(H208="",-1,H208)&gt;=1)*(IF(H208="",-1,H208)&lt;=3),IF(C208="peso_corporal",IF(ISNUMBER(E208),E208,0)+F208,F208)*G208*1000+F208,0),IF((J208&gt;0)*(IF(K208="",-1,K208)&gt;=1)*(IF(K208="",-1,K208)&lt;=3),IF(C208="peso_corporal",IF(ISNUMBER(E208),E208,0)+I208,I208)*J208*1000+I208,0),IF((M208&gt;0)*(IF(N208="",-1,N208)&gt;=1)*(IF(N208="",-1,N208)&lt;=3),IF(C208="peso_corporal",IF(ISNUMBER(E208),E208,0)+L208,L208)*M208*1000+L208,0),IF((P208&gt;0)*(IF(Q208="",-1,Q208)&gt;=1)*(IF(Q208="",-1,Q208)&lt;=3),IF(C208="peso_corporal",IF(ISNUMBER(E208),E208,0)+O208,O208)*P208*1000+O208,0),IF((S208&gt;0)*(IF(T208="",-1,T208)&gt;=1)*(IF(T208="",-1,T208)&lt;=3),IF(C208="peso_corporal",IF(ISNUMBER(E208),E208,0)+R208,R208)*S208*1000+R208,0))</f>
        <v>0</v>
      </c>
      <c r="X208" s="69">
        <f>IF(W208=0,0,IF(IF((S208&gt;0)*(IF(T208="",-1,T208)&gt;=1)*(IF(T208="",-1,T208)&lt;=3),IF(C208="peso_corporal",IF(ISNUMBER(E208),E208,0)+R208,R208)*S208*1000+R208,0)=W208,5,IF(IF((P208&gt;0)*(IF(Q208="",-1,Q208)&gt;=1)*(IF(Q208="",-1,Q208)&lt;=3),IF(C208="peso_corporal",IF(ISNUMBER(E208),E208,0)+O208,O208)*P208*1000+O208,0)=W208,4,IF(IF((M208&gt;0)*(IF(N208="",-1,N208)&gt;=1)*(IF(N208="",-1,N208)&lt;=3),IF(C208="peso_corporal",IF(ISNUMBER(E208),E208,0)+L208,L208)*M208*1000+L208,0)=W208,3,IF(IF((J208&gt;0)*(IF(K208="",-1,K208)&gt;=1)*(IF(K208="",-1,K208)&lt;=3),IF(C208="peso_corporal",IF(ISNUMBER(E208),E208,0)+I208,I208)*J208*1000+I208,0)=W208,2,IF(IF((G208&gt;0)*(IF(H208="",-1,H208)&gt;=1)*(IF(H208="",-1,H208)&lt;=3),IF(C208="peso_corporal",IF(ISNUMBER(E208),E208,0)+F208,F208)*G208*1000+F208,0)=W208,1,0))))))</f>
        <v>0</v>
      </c>
      <c r="Y208" s="69">
        <f>MAX(IF((G208&gt;0)*(IF(H208="",-1,H208)=0)*(1-(IF(H208="",-1,H208)&gt;=1)*(IF(H208="",-1,H208)&lt;=3)),IF(C208="peso_corporal",IF(ISNUMBER(E208),E208,0)+F208,F208)*G208*1000+F208,0),IF((J208&gt;0)*(IF(K208="",-1,K208)=0)*(1-(IF(K208="",-1,K208)&gt;=1)*(IF(K208="",-1,K208)&lt;=3)),IF(C208="peso_corporal",IF(ISNUMBER(E208),E208,0)+I208,I208)*J208*1000+I208,0),IF((M208&gt;0)*(IF(N208="",-1,N208)=0)*(1-(IF(N208="",-1,N208)&gt;=1)*(IF(N208="",-1,N208)&lt;=3)),IF(C208="peso_corporal",IF(ISNUMBER(E208),E208,0)+L208,L208)*M208*1000+L208,0),IF((P208&gt;0)*(IF(Q208="",-1,Q208)=0)*(1-(IF(Q208="",-1,Q208)&gt;=1)*(IF(Q208="",-1,Q208)&lt;=3)),IF(C208="peso_corporal",IF(ISNUMBER(E208),E208,0)+O208,O208)*P208*1000+O208,0),IF((S208&gt;0)*(IF(T208="",-1,T208)=0)*(1-(IF(T208="",-1,T208)&gt;=1)*(IF(T208="",-1,T208)&lt;=3)),IF(C208="peso_corporal",IF(ISNUMBER(E208),E208,0)+R208,R208)*S208*1000+R208,0))</f>
        <v>0</v>
      </c>
      <c r="Z208" s="69">
        <f>IF(Y208=0,0,IF(IF((S208&gt;0)*(IF(T208="",-1,T208)=0)*(1-(IF(T208="",-1,T208)&gt;=1)*(IF(T208="",-1,T208)&lt;=3)),IF(C208="peso_corporal",IF(ISNUMBER(E208),E208,0)+R208,R208)*S208*1000+R208,0)=Y208,5,IF(IF((P208&gt;0)*(IF(Q208="",-1,Q208)=0)*(1-(IF(Q208="",-1,Q208)&gt;=1)*(IF(Q208="",-1,Q208)&lt;=3)),IF(C208="peso_corporal",IF(ISNUMBER(E208),E208,0)+O208,O208)*P208*1000+O208,0)=Y208,4,IF(IF((M208&gt;0)*(IF(N208="",-1,N208)=0)*(1-(IF(N208="",-1,N208)&gt;=1)*(IF(N208="",-1,N208)&lt;=3)),IF(C208="peso_corporal",IF(ISNUMBER(E208),E208,0)+L208,L208)*M208*1000+L208,0)=Y208,3,IF(IF((J208&gt;0)*(IF(K208="",-1,K208)=0)*(1-(IF(K208="",-1,K208)&gt;=1)*(IF(K208="",-1,K208)&lt;=3)),IF(C208="peso_corporal",IF(ISNUMBER(E208),E208,0)+I208,I208)*J208*1000+I208,0)=Y208,2,IF(IF((G208&gt;0)*(IF(H208="",-1,H208)=0)*(1-(IF(H208="",-1,H208)&gt;=1)*(IF(H208="",-1,H208)&lt;=3)),IF(C208="peso_corporal",IF(ISNUMBER(E208),E208,0)+F208,F208)*G208*1000+F208,0)=Y208,1,0))))))</f>
        <v>0</v>
      </c>
      <c r="AA208" s="69">
        <f>MAX(IF((G208&gt;=6)*(1-(IF(H208="",-1,H208)&gt;=1)*(IF(H208="",-1,H208)&lt;=3))*(1-(IF(H208="",-1,H208)=0)),IF(C208="peso_corporal",IF(ISNUMBER(E208),E208,0)+F208,F208)*(30+G208)*100+F208,0),IF((J208&gt;=6)*(1-(IF(K208="",-1,K208)&gt;=1)*(IF(K208="",-1,K208)&lt;=3))*(1-(IF(K208="",-1,K208)=0)),IF(C208="peso_corporal",IF(ISNUMBER(E208),E208,0)+I208,I208)*(30+J208)*100+I208,0),IF((M208&gt;=6)*(1-(IF(N208="",-1,N208)&gt;=1)*(IF(N208="",-1,N208)&lt;=3))*(1-(IF(N208="",-1,N208)=0)),IF(C208="peso_corporal",IF(ISNUMBER(E208),E208,0)+L208,L208)*(30+M208)*100+L208,0),IF((P208&gt;=6)*(1-(IF(Q208="",-1,Q208)&gt;=1)*(IF(Q208="",-1,Q208)&lt;=3))*(1-(IF(Q208="",-1,Q208)=0)),IF(C208="peso_corporal",IF(ISNUMBER(E208),E208,0)+O208,O208)*(30+P208)*100+O208,0),IF((S208&gt;=6)*(1-(IF(T208="",-1,T208)&gt;=1)*(IF(T208="",-1,T208)&lt;=3))*(1-(IF(T208="",-1,T208)=0)),IF(C208="peso_corporal",IF(ISNUMBER(E208),E208,0)+R208,R208)*(30+S208)*100+R208,0))</f>
        <v>0</v>
      </c>
      <c r="AB208" s="69">
        <f>IF(AA208=0,0,IF(IF((S208&gt;=6)*(1-(IF(T208="",-1,T208)&gt;=1)*(IF(T208="",-1,T208)&lt;=3))*(1-(IF(T208="",-1,T208)=0)),IF(C208="peso_corporal",IF(ISNUMBER(E208),E208,0)+R208,R208)*(30+S208)*100+R208,0)=AA208,5,IF(IF((P208&gt;=6)*(1-(IF(Q208="",-1,Q208)&gt;=1)*(IF(Q208="",-1,Q208)&lt;=3))*(1-(IF(Q208="",-1,Q208)=0)),IF(C208="peso_corporal",IF(ISNUMBER(E208),E208,0)+O208,O208)*(30+P208)*100+O208,0)=AA208,4,IF(IF((M208&gt;=6)*(1-(IF(N208="",-1,N208)&gt;=1)*(IF(N208="",-1,N208)&lt;=3))*(1-(IF(N208="",-1,N208)=0)),IF(C208="peso_corporal",IF(ISNUMBER(E208),E208,0)+L208,L208)*(30+M208)*100+L208,0)=AA208,3,IF(IF((J208&gt;=6)*(1-(IF(K208="",-1,K208)&gt;=1)*(IF(K208="",-1,K208)&lt;=3))*(1-(IF(K208="",-1,K208)=0)),IF(C208="peso_corporal",IF(ISNUMBER(E208),E208,0)+I208,I208)*(30+J208)*100+I208,0)=AA208,2,IF(IF((G208&gt;=6)*(1-(IF(H208="",-1,H208)&gt;=1)*(IF(H208="",-1,H208)&lt;=3))*(1-(IF(H208="",-1,H208)=0)),IF(C208="peso_corporal",IF(ISNUMBER(E208),E208,0)+F208,F208)*(30+G208)*100+F208,0)=AA208,1,0))))))</f>
        <v>0</v>
      </c>
      <c r="AC208" s="69" t="str">
        <f>IF(X208&gt;0,"A"&amp;X208,IF(Z208&gt;0,"B"&amp;Z208,IF(AB208&gt;0,"C"&amp;AB208,"")))</f>
        <v/>
      </c>
    </row>
    <row r="209" spans="1:29" ht="20.100000000000001" customHeight="1">
      <c r="A209" s="14" t="s">
        <v>54</v>
      </c>
      <c r="B209" s="15" t="s">
        <v>98</v>
      </c>
      <c r="C209" s="16" t="str">
        <f>IFERROR(INDEX(EJERCICIOS!$D$3:$D$75,MATCH(A209&amp;"|"&amp;B209,EJERCICIOS!$G$3:$G$75,0)),"--")</f>
        <v>polea</v>
      </c>
      <c r="D209" s="17">
        <v>3</v>
      </c>
      <c r="E209" s="18">
        <f>IFERROR(LOOKUP(2,1/(MEDIDAS_Y_PESO!$B$3:$B$12&lt;&gt;""),MEDIDAS_Y_PESO!$B$3:$B$12),"--")</f>
        <v>80</v>
      </c>
      <c r="F209" s="19"/>
      <c r="G209" s="20"/>
      <c r="H209" s="21"/>
      <c r="I209" s="19"/>
      <c r="J209" s="20"/>
      <c r="K209" s="21"/>
      <c r="L209" s="19"/>
      <c r="M209" s="20"/>
      <c r="N209" s="21"/>
      <c r="O209" s="19"/>
      <c r="P209" s="20"/>
      <c r="Q209" s="21"/>
      <c r="R209" s="19"/>
      <c r="S209" s="20"/>
      <c r="T209" s="21"/>
      <c r="U209" s="22" t="str">
        <f>IFERROR(IF(IF(X209&gt;0,X209,IF(Z209&gt;0,Z209,IF(AB209&gt;0,AB209,0)))=0,"--",ROUND(CHOOSE(IF(X209&gt;0,X209,IF(Z209&gt;0,Z209,IF(AB209&gt;0,AB209,0))),IF(C209="peso_corporal",IF(ISNUMBER(E209),E209,0)+F209,F209)*(1+G209/30),IF(C209="peso_corporal",IF(ISNUMBER(E209),E209,0)+I209,I209)*(1+J209/30),IF(C209="peso_corporal",IF(ISNUMBER(E209),E209,0)+L209,L209)*(1+M209/30),IF(C209="peso_corporal",IF(ISNUMBER(E209),E209,0)+O209,O209)*(1+P209/30),IF(C209="peso_corporal",IF(ISNUMBER(E209),E209,0)+R209,R209)*(1+S209/30)),1)),"--")</f>
        <v>--</v>
      </c>
      <c r="V209" s="23" t="str">
        <f>IF(SUGERENCIAS!N587="SIN","Sin datos anteriores",IF(SUGERENCIAS!N587="SUBIR_F","^ SUBIR FUERTE | Kg:"&amp;ROUND(SUGERENCIAS!K587,1)&amp;" R:"&amp;ROUND(SUGERENCIAS!L587,0)&amp;" RIR:"&amp;ROUND(SUGERENCIAS!M587,0),IF(SUGERENCIAS!N587="SUBIR_E","^ SUBIR (Est.) | Kg:"&amp;ROUND(SUGERENCIAS!K587,1)&amp;" R:"&amp;ROUND(SUGERENCIAS!L587,0)&amp;" RIR:"&amp;ROUND(SUGERENCIAS!M587,0),IF(SUGERENCIAS!N587="SUBIR","^ SUBIR | Kg:"&amp;ROUND(SUGERENCIAS!K587,1)&amp;" R:"&amp;ROUND(SUGERENCIAS!L587,0)&amp;" RIR:"&amp;ROUND(SUGERENCIAS!M587,0),IF(SUGERENCIAS!N587="BAJAR","v BAJAR | Kg:"&amp;ROUND(SUGERENCIAS!K587,1)&amp;" R:"&amp;ROUND(SUGERENCIAS!L587,0)&amp;" RIR:"&amp;ROUND(SUGERENCIAS!M587,0),"= MANT | Kg:"&amp;ROUND(SUGERENCIAS!K587,1)&amp;" R:"&amp;ROUND(SUGERENCIAS!L587,0)&amp;" RIR:"&amp;ROUND(SUGERENCIAS!M587,0))))))</f>
        <v>Sin datos anteriores</v>
      </c>
      <c r="W209" s="69">
        <f>MAX(IF((G209&gt;0)*(IF(H209="",-1,H209)&gt;=1)*(IF(H209="",-1,H209)&lt;=3),IF(C209="peso_corporal",IF(ISNUMBER(E209),E209,0)+F209,F209)*G209*1000+F209,0),IF((J209&gt;0)*(IF(K209="",-1,K209)&gt;=1)*(IF(K209="",-1,K209)&lt;=3),IF(C209="peso_corporal",IF(ISNUMBER(E209),E209,0)+I209,I209)*J209*1000+I209,0),IF((M209&gt;0)*(IF(N209="",-1,N209)&gt;=1)*(IF(N209="",-1,N209)&lt;=3),IF(C209="peso_corporal",IF(ISNUMBER(E209),E209,0)+L209,L209)*M209*1000+L209,0),IF((P209&gt;0)*(IF(Q209="",-1,Q209)&gt;=1)*(IF(Q209="",-1,Q209)&lt;=3),IF(C209="peso_corporal",IF(ISNUMBER(E209),E209,0)+O209,O209)*P209*1000+O209,0),IF((S209&gt;0)*(IF(T209="",-1,T209)&gt;=1)*(IF(T209="",-1,T209)&lt;=3),IF(C209="peso_corporal",IF(ISNUMBER(E209),E209,0)+R209,R209)*S209*1000+R209,0))</f>
        <v>0</v>
      </c>
      <c r="X209" s="69">
        <f>IF(W209=0,0,IF(IF((S209&gt;0)*(IF(T209="",-1,T209)&gt;=1)*(IF(T209="",-1,T209)&lt;=3),IF(C209="peso_corporal",IF(ISNUMBER(E209),E209,0)+R209,R209)*S209*1000+R209,0)=W209,5,IF(IF((P209&gt;0)*(IF(Q209="",-1,Q209)&gt;=1)*(IF(Q209="",-1,Q209)&lt;=3),IF(C209="peso_corporal",IF(ISNUMBER(E209),E209,0)+O209,O209)*P209*1000+O209,0)=W209,4,IF(IF((M209&gt;0)*(IF(N209="",-1,N209)&gt;=1)*(IF(N209="",-1,N209)&lt;=3),IF(C209="peso_corporal",IF(ISNUMBER(E209),E209,0)+L209,L209)*M209*1000+L209,0)=W209,3,IF(IF((J209&gt;0)*(IF(K209="",-1,K209)&gt;=1)*(IF(K209="",-1,K209)&lt;=3),IF(C209="peso_corporal",IF(ISNUMBER(E209),E209,0)+I209,I209)*J209*1000+I209,0)=W209,2,IF(IF((G209&gt;0)*(IF(H209="",-1,H209)&gt;=1)*(IF(H209="",-1,H209)&lt;=3),IF(C209="peso_corporal",IF(ISNUMBER(E209),E209,0)+F209,F209)*G209*1000+F209,0)=W209,1,0))))))</f>
        <v>0</v>
      </c>
      <c r="Y209" s="69">
        <f>MAX(IF((G209&gt;0)*(IF(H209="",-1,H209)=0)*(1-(IF(H209="",-1,H209)&gt;=1)*(IF(H209="",-1,H209)&lt;=3)),IF(C209="peso_corporal",IF(ISNUMBER(E209),E209,0)+F209,F209)*G209*1000+F209,0),IF((J209&gt;0)*(IF(K209="",-1,K209)=0)*(1-(IF(K209="",-1,K209)&gt;=1)*(IF(K209="",-1,K209)&lt;=3)),IF(C209="peso_corporal",IF(ISNUMBER(E209),E209,0)+I209,I209)*J209*1000+I209,0),IF((M209&gt;0)*(IF(N209="",-1,N209)=0)*(1-(IF(N209="",-1,N209)&gt;=1)*(IF(N209="",-1,N209)&lt;=3)),IF(C209="peso_corporal",IF(ISNUMBER(E209),E209,0)+L209,L209)*M209*1000+L209,0),IF((P209&gt;0)*(IF(Q209="",-1,Q209)=0)*(1-(IF(Q209="",-1,Q209)&gt;=1)*(IF(Q209="",-1,Q209)&lt;=3)),IF(C209="peso_corporal",IF(ISNUMBER(E209),E209,0)+O209,O209)*P209*1000+O209,0),IF((S209&gt;0)*(IF(T209="",-1,T209)=0)*(1-(IF(T209="",-1,T209)&gt;=1)*(IF(T209="",-1,T209)&lt;=3)),IF(C209="peso_corporal",IF(ISNUMBER(E209),E209,0)+R209,R209)*S209*1000+R209,0))</f>
        <v>0</v>
      </c>
      <c r="Z209" s="69">
        <f>IF(Y209=0,0,IF(IF((S209&gt;0)*(IF(T209="",-1,T209)=0)*(1-(IF(T209="",-1,T209)&gt;=1)*(IF(T209="",-1,T209)&lt;=3)),IF(C209="peso_corporal",IF(ISNUMBER(E209),E209,0)+R209,R209)*S209*1000+R209,0)=Y209,5,IF(IF((P209&gt;0)*(IF(Q209="",-1,Q209)=0)*(1-(IF(Q209="",-1,Q209)&gt;=1)*(IF(Q209="",-1,Q209)&lt;=3)),IF(C209="peso_corporal",IF(ISNUMBER(E209),E209,0)+O209,O209)*P209*1000+O209,0)=Y209,4,IF(IF((M209&gt;0)*(IF(N209="",-1,N209)=0)*(1-(IF(N209="",-1,N209)&gt;=1)*(IF(N209="",-1,N209)&lt;=3)),IF(C209="peso_corporal",IF(ISNUMBER(E209),E209,0)+L209,L209)*M209*1000+L209,0)=Y209,3,IF(IF((J209&gt;0)*(IF(K209="",-1,K209)=0)*(1-(IF(K209="",-1,K209)&gt;=1)*(IF(K209="",-1,K209)&lt;=3)),IF(C209="peso_corporal",IF(ISNUMBER(E209),E209,0)+I209,I209)*J209*1000+I209,0)=Y209,2,IF(IF((G209&gt;0)*(IF(H209="",-1,H209)=0)*(1-(IF(H209="",-1,H209)&gt;=1)*(IF(H209="",-1,H209)&lt;=3)),IF(C209="peso_corporal",IF(ISNUMBER(E209),E209,0)+F209,F209)*G209*1000+F209,0)=Y209,1,0))))))</f>
        <v>0</v>
      </c>
      <c r="AA209" s="69">
        <f>MAX(IF((G209&gt;=6)*(1-(IF(H209="",-1,H209)&gt;=1)*(IF(H209="",-1,H209)&lt;=3))*(1-(IF(H209="",-1,H209)=0)),IF(C209="peso_corporal",IF(ISNUMBER(E209),E209,0)+F209,F209)*(30+G209)*100+F209,0),IF((J209&gt;=6)*(1-(IF(K209="",-1,K209)&gt;=1)*(IF(K209="",-1,K209)&lt;=3))*(1-(IF(K209="",-1,K209)=0)),IF(C209="peso_corporal",IF(ISNUMBER(E209),E209,0)+I209,I209)*(30+J209)*100+I209,0),IF((M209&gt;=6)*(1-(IF(N209="",-1,N209)&gt;=1)*(IF(N209="",-1,N209)&lt;=3))*(1-(IF(N209="",-1,N209)=0)),IF(C209="peso_corporal",IF(ISNUMBER(E209),E209,0)+L209,L209)*(30+M209)*100+L209,0),IF((P209&gt;=6)*(1-(IF(Q209="",-1,Q209)&gt;=1)*(IF(Q209="",-1,Q209)&lt;=3))*(1-(IF(Q209="",-1,Q209)=0)),IF(C209="peso_corporal",IF(ISNUMBER(E209),E209,0)+O209,O209)*(30+P209)*100+O209,0),IF((S209&gt;=6)*(1-(IF(T209="",-1,T209)&gt;=1)*(IF(T209="",-1,T209)&lt;=3))*(1-(IF(T209="",-1,T209)=0)),IF(C209="peso_corporal",IF(ISNUMBER(E209),E209,0)+R209,R209)*(30+S209)*100+R209,0))</f>
        <v>0</v>
      </c>
      <c r="AB209" s="69">
        <f>IF(AA209=0,0,IF(IF((S209&gt;=6)*(1-(IF(T209="",-1,T209)&gt;=1)*(IF(T209="",-1,T209)&lt;=3))*(1-(IF(T209="",-1,T209)=0)),IF(C209="peso_corporal",IF(ISNUMBER(E209),E209,0)+R209,R209)*(30+S209)*100+R209,0)=AA209,5,IF(IF((P209&gt;=6)*(1-(IF(Q209="",-1,Q209)&gt;=1)*(IF(Q209="",-1,Q209)&lt;=3))*(1-(IF(Q209="",-1,Q209)=0)),IF(C209="peso_corporal",IF(ISNUMBER(E209),E209,0)+O209,O209)*(30+P209)*100+O209,0)=AA209,4,IF(IF((M209&gt;=6)*(1-(IF(N209="",-1,N209)&gt;=1)*(IF(N209="",-1,N209)&lt;=3))*(1-(IF(N209="",-1,N209)=0)),IF(C209="peso_corporal",IF(ISNUMBER(E209),E209,0)+L209,L209)*(30+M209)*100+L209,0)=AA209,3,IF(IF((J209&gt;=6)*(1-(IF(K209="",-1,K209)&gt;=1)*(IF(K209="",-1,K209)&lt;=3))*(1-(IF(K209="",-1,K209)=0)),IF(C209="peso_corporal",IF(ISNUMBER(E209),E209,0)+I209,I209)*(30+J209)*100+I209,0)=AA209,2,IF(IF((G209&gt;=6)*(1-(IF(H209="",-1,H209)&gt;=1)*(IF(H209="",-1,H209)&lt;=3))*(1-(IF(H209="",-1,H209)=0)),IF(C209="peso_corporal",IF(ISNUMBER(E209),E209,0)+F209,F209)*(30+G209)*100+F209,0)=AA209,1,0))))))</f>
        <v>0</v>
      </c>
      <c r="AC209" s="69" t="str">
        <f>IF(X209&gt;0,"A"&amp;X209,IF(Z209&gt;0,"B"&amp;Z209,IF(AB209&gt;0,"C"&amp;AB209,"")))</f>
        <v/>
      </c>
    </row>
    <row r="210" spans="1:29" ht="15" customHeight="1">
      <c r="A210" s="83" t="s">
        <v>99</v>
      </c>
      <c r="B210" s="73"/>
      <c r="C210" s="73"/>
      <c r="D210" s="73"/>
      <c r="E210" s="73"/>
      <c r="F210" s="73"/>
      <c r="G210" s="73"/>
      <c r="H210" s="73"/>
      <c r="I210" s="73"/>
      <c r="J210" s="73"/>
      <c r="K210" s="73"/>
      <c r="L210" s="73"/>
      <c r="M210" s="73"/>
      <c r="N210" s="73"/>
      <c r="O210" s="73"/>
      <c r="P210" s="73"/>
      <c r="Q210" s="73"/>
      <c r="R210" s="73"/>
      <c r="S210" s="73"/>
      <c r="T210" s="73"/>
      <c r="U210" s="73"/>
      <c r="V210" s="73"/>
      <c r="W210" s="69"/>
      <c r="X210" s="69"/>
      <c r="Y210" s="69"/>
      <c r="Z210" s="69"/>
      <c r="AA210" s="69"/>
      <c r="AB210" s="69"/>
      <c r="AC210" s="69"/>
    </row>
    <row r="211" spans="1:29" ht="20.100000000000001" customHeight="1">
      <c r="A211" s="14" t="s">
        <v>100</v>
      </c>
      <c r="B211" s="15" t="s">
        <v>101</v>
      </c>
      <c r="C211" s="16" t="str">
        <f>IFERROR(INDEX(EJERCICIOS!$D$3:$D$75,MATCH(A211&amp;"|"&amp;B211,EJERCICIOS!$G$3:$G$75,0)),"--")</f>
        <v>mancuerna</v>
      </c>
      <c r="D211" s="17">
        <v>3</v>
      </c>
      <c r="E211" s="18">
        <f>IFERROR(LOOKUP(2,1/(MEDIDAS_Y_PESO!$B$3:$B$12&lt;&gt;""),MEDIDAS_Y_PESO!$B$3:$B$12),"--")</f>
        <v>80</v>
      </c>
      <c r="F211" s="19"/>
      <c r="G211" s="20"/>
      <c r="H211" s="21"/>
      <c r="I211" s="19"/>
      <c r="J211" s="20"/>
      <c r="K211" s="21"/>
      <c r="L211" s="19"/>
      <c r="M211" s="20"/>
      <c r="N211" s="21"/>
      <c r="O211" s="19"/>
      <c r="P211" s="20"/>
      <c r="Q211" s="21"/>
      <c r="R211" s="19"/>
      <c r="S211" s="20"/>
      <c r="T211" s="21"/>
      <c r="U211" s="22" t="str">
        <f>IFERROR(IF(IF(X211&gt;0,X211,IF(Z211&gt;0,Z211,IF(AB211&gt;0,AB211,0)))=0,"--",ROUND(CHOOSE(IF(X211&gt;0,X211,IF(Z211&gt;0,Z211,IF(AB211&gt;0,AB211,0))),IF(C211="peso_corporal",IF(ISNUMBER(E211),E211,0)+F211,F211)*(1+G211/30),IF(C211="peso_corporal",IF(ISNUMBER(E211),E211,0)+I211,I211)*(1+J211/30),IF(C211="peso_corporal",IF(ISNUMBER(E211),E211,0)+L211,L211)*(1+M211/30),IF(C211="peso_corporal",IF(ISNUMBER(E211),E211,0)+O211,O211)*(1+P211/30),IF(C211="peso_corporal",IF(ISNUMBER(E211),E211,0)+R211,R211)*(1+S211/30)),1)),"--")</f>
        <v>--</v>
      </c>
      <c r="V211" s="23" t="str">
        <f>IF(SUGERENCIAS!N588="SIN","Sin datos anteriores",IF(SUGERENCIAS!N588="SUBIR_F","^ SUBIR FUERTE | Kg:"&amp;ROUND(SUGERENCIAS!K588,1)&amp;" R:"&amp;ROUND(SUGERENCIAS!L588,0)&amp;" RIR:"&amp;ROUND(SUGERENCIAS!M588,0),IF(SUGERENCIAS!N588="SUBIR_E","^ SUBIR (Est.) | Kg:"&amp;ROUND(SUGERENCIAS!K588,1)&amp;" R:"&amp;ROUND(SUGERENCIAS!L588,0)&amp;" RIR:"&amp;ROUND(SUGERENCIAS!M588,0),IF(SUGERENCIAS!N588="SUBIR","^ SUBIR | Kg:"&amp;ROUND(SUGERENCIAS!K588,1)&amp;" R:"&amp;ROUND(SUGERENCIAS!L588,0)&amp;" RIR:"&amp;ROUND(SUGERENCIAS!M588,0),IF(SUGERENCIAS!N588="BAJAR","v BAJAR | Kg:"&amp;ROUND(SUGERENCIAS!K588,1)&amp;" R:"&amp;ROUND(SUGERENCIAS!L588,0)&amp;" RIR:"&amp;ROUND(SUGERENCIAS!M588,0),"= MANT | Kg:"&amp;ROUND(SUGERENCIAS!K588,1)&amp;" R:"&amp;ROUND(SUGERENCIAS!L588,0)&amp;" RIR:"&amp;ROUND(SUGERENCIAS!M588,0))))))</f>
        <v>Sin datos anteriores</v>
      </c>
      <c r="W211" s="69">
        <f>MAX(IF((G211&gt;0)*(IF(H211="",-1,H211)&gt;=1)*(IF(H211="",-1,H211)&lt;=3),IF(C211="peso_corporal",IF(ISNUMBER(E211),E211,0)+F211,F211)*G211*1000+F211,0),IF((J211&gt;0)*(IF(K211="",-1,K211)&gt;=1)*(IF(K211="",-1,K211)&lt;=3),IF(C211="peso_corporal",IF(ISNUMBER(E211),E211,0)+I211,I211)*J211*1000+I211,0),IF((M211&gt;0)*(IF(N211="",-1,N211)&gt;=1)*(IF(N211="",-1,N211)&lt;=3),IF(C211="peso_corporal",IF(ISNUMBER(E211),E211,0)+L211,L211)*M211*1000+L211,0),IF((P211&gt;0)*(IF(Q211="",-1,Q211)&gt;=1)*(IF(Q211="",-1,Q211)&lt;=3),IF(C211="peso_corporal",IF(ISNUMBER(E211),E211,0)+O211,O211)*P211*1000+O211,0),IF((S211&gt;0)*(IF(T211="",-1,T211)&gt;=1)*(IF(T211="",-1,T211)&lt;=3),IF(C211="peso_corporal",IF(ISNUMBER(E211),E211,0)+R211,R211)*S211*1000+R211,0))</f>
        <v>0</v>
      </c>
      <c r="X211" s="69">
        <f>IF(W211=0,0,IF(IF((S211&gt;0)*(IF(T211="",-1,T211)&gt;=1)*(IF(T211="",-1,T211)&lt;=3),IF(C211="peso_corporal",IF(ISNUMBER(E211),E211,0)+R211,R211)*S211*1000+R211,0)=W211,5,IF(IF((P211&gt;0)*(IF(Q211="",-1,Q211)&gt;=1)*(IF(Q211="",-1,Q211)&lt;=3),IF(C211="peso_corporal",IF(ISNUMBER(E211),E211,0)+O211,O211)*P211*1000+O211,0)=W211,4,IF(IF((M211&gt;0)*(IF(N211="",-1,N211)&gt;=1)*(IF(N211="",-1,N211)&lt;=3),IF(C211="peso_corporal",IF(ISNUMBER(E211),E211,0)+L211,L211)*M211*1000+L211,0)=W211,3,IF(IF((J211&gt;0)*(IF(K211="",-1,K211)&gt;=1)*(IF(K211="",-1,K211)&lt;=3),IF(C211="peso_corporal",IF(ISNUMBER(E211),E211,0)+I211,I211)*J211*1000+I211,0)=W211,2,IF(IF((G211&gt;0)*(IF(H211="",-1,H211)&gt;=1)*(IF(H211="",-1,H211)&lt;=3),IF(C211="peso_corporal",IF(ISNUMBER(E211),E211,0)+F211,F211)*G211*1000+F211,0)=W211,1,0))))))</f>
        <v>0</v>
      </c>
      <c r="Y211" s="69">
        <f>MAX(IF((G211&gt;0)*(IF(H211="",-1,H211)=0)*(1-(IF(H211="",-1,H211)&gt;=1)*(IF(H211="",-1,H211)&lt;=3)),IF(C211="peso_corporal",IF(ISNUMBER(E211),E211,0)+F211,F211)*G211*1000+F211,0),IF((J211&gt;0)*(IF(K211="",-1,K211)=0)*(1-(IF(K211="",-1,K211)&gt;=1)*(IF(K211="",-1,K211)&lt;=3)),IF(C211="peso_corporal",IF(ISNUMBER(E211),E211,0)+I211,I211)*J211*1000+I211,0),IF((M211&gt;0)*(IF(N211="",-1,N211)=0)*(1-(IF(N211="",-1,N211)&gt;=1)*(IF(N211="",-1,N211)&lt;=3)),IF(C211="peso_corporal",IF(ISNUMBER(E211),E211,0)+L211,L211)*M211*1000+L211,0),IF((P211&gt;0)*(IF(Q211="",-1,Q211)=0)*(1-(IF(Q211="",-1,Q211)&gt;=1)*(IF(Q211="",-1,Q211)&lt;=3)),IF(C211="peso_corporal",IF(ISNUMBER(E211),E211,0)+O211,O211)*P211*1000+O211,0),IF((S211&gt;0)*(IF(T211="",-1,T211)=0)*(1-(IF(T211="",-1,T211)&gt;=1)*(IF(T211="",-1,T211)&lt;=3)),IF(C211="peso_corporal",IF(ISNUMBER(E211),E211,0)+R211,R211)*S211*1000+R211,0))</f>
        <v>0</v>
      </c>
      <c r="Z211" s="69">
        <f>IF(Y211=0,0,IF(IF((S211&gt;0)*(IF(T211="",-1,T211)=0)*(1-(IF(T211="",-1,T211)&gt;=1)*(IF(T211="",-1,T211)&lt;=3)),IF(C211="peso_corporal",IF(ISNUMBER(E211),E211,0)+R211,R211)*S211*1000+R211,0)=Y211,5,IF(IF((P211&gt;0)*(IF(Q211="",-1,Q211)=0)*(1-(IF(Q211="",-1,Q211)&gt;=1)*(IF(Q211="",-1,Q211)&lt;=3)),IF(C211="peso_corporal",IF(ISNUMBER(E211),E211,0)+O211,O211)*P211*1000+O211,0)=Y211,4,IF(IF((M211&gt;0)*(IF(N211="",-1,N211)=0)*(1-(IF(N211="",-1,N211)&gt;=1)*(IF(N211="",-1,N211)&lt;=3)),IF(C211="peso_corporal",IF(ISNUMBER(E211),E211,0)+L211,L211)*M211*1000+L211,0)=Y211,3,IF(IF((J211&gt;0)*(IF(K211="",-1,K211)=0)*(1-(IF(K211="",-1,K211)&gt;=1)*(IF(K211="",-1,K211)&lt;=3)),IF(C211="peso_corporal",IF(ISNUMBER(E211),E211,0)+I211,I211)*J211*1000+I211,0)=Y211,2,IF(IF((G211&gt;0)*(IF(H211="",-1,H211)=0)*(1-(IF(H211="",-1,H211)&gt;=1)*(IF(H211="",-1,H211)&lt;=3)),IF(C211="peso_corporal",IF(ISNUMBER(E211),E211,0)+F211,F211)*G211*1000+F211,0)=Y211,1,0))))))</f>
        <v>0</v>
      </c>
      <c r="AA211" s="69">
        <f>MAX(IF((G211&gt;=6)*(1-(IF(H211="",-1,H211)&gt;=1)*(IF(H211="",-1,H211)&lt;=3))*(1-(IF(H211="",-1,H211)=0)),IF(C211="peso_corporal",IF(ISNUMBER(E211),E211,0)+F211,F211)*(30+G211)*100+F211,0),IF((J211&gt;=6)*(1-(IF(K211="",-1,K211)&gt;=1)*(IF(K211="",-1,K211)&lt;=3))*(1-(IF(K211="",-1,K211)=0)),IF(C211="peso_corporal",IF(ISNUMBER(E211),E211,0)+I211,I211)*(30+J211)*100+I211,0),IF((M211&gt;=6)*(1-(IF(N211="",-1,N211)&gt;=1)*(IF(N211="",-1,N211)&lt;=3))*(1-(IF(N211="",-1,N211)=0)),IF(C211="peso_corporal",IF(ISNUMBER(E211),E211,0)+L211,L211)*(30+M211)*100+L211,0),IF((P211&gt;=6)*(1-(IF(Q211="",-1,Q211)&gt;=1)*(IF(Q211="",-1,Q211)&lt;=3))*(1-(IF(Q211="",-1,Q211)=0)),IF(C211="peso_corporal",IF(ISNUMBER(E211),E211,0)+O211,O211)*(30+P211)*100+O211,0),IF((S211&gt;=6)*(1-(IF(T211="",-1,T211)&gt;=1)*(IF(T211="",-1,T211)&lt;=3))*(1-(IF(T211="",-1,T211)=0)),IF(C211="peso_corporal",IF(ISNUMBER(E211),E211,0)+R211,R211)*(30+S211)*100+R211,0))</f>
        <v>0</v>
      </c>
      <c r="AB211" s="69">
        <f>IF(AA211=0,0,IF(IF((S211&gt;=6)*(1-(IF(T211="",-1,T211)&gt;=1)*(IF(T211="",-1,T211)&lt;=3))*(1-(IF(T211="",-1,T211)=0)),IF(C211="peso_corporal",IF(ISNUMBER(E211),E211,0)+R211,R211)*(30+S211)*100+R211,0)=AA211,5,IF(IF((P211&gt;=6)*(1-(IF(Q211="",-1,Q211)&gt;=1)*(IF(Q211="",-1,Q211)&lt;=3))*(1-(IF(Q211="",-1,Q211)=0)),IF(C211="peso_corporal",IF(ISNUMBER(E211),E211,0)+O211,O211)*(30+P211)*100+O211,0)=AA211,4,IF(IF((M211&gt;=6)*(1-(IF(N211="",-1,N211)&gt;=1)*(IF(N211="",-1,N211)&lt;=3))*(1-(IF(N211="",-1,N211)=0)),IF(C211="peso_corporal",IF(ISNUMBER(E211),E211,0)+L211,L211)*(30+M211)*100+L211,0)=AA211,3,IF(IF((J211&gt;=6)*(1-(IF(K211="",-1,K211)&gt;=1)*(IF(K211="",-1,K211)&lt;=3))*(1-(IF(K211="",-1,K211)=0)),IF(C211="peso_corporal",IF(ISNUMBER(E211),E211,0)+I211,I211)*(30+J211)*100+I211,0)=AA211,2,IF(IF((G211&gt;=6)*(1-(IF(H211="",-1,H211)&gt;=1)*(IF(H211="",-1,H211)&lt;=3))*(1-(IF(H211="",-1,H211)=0)),IF(C211="peso_corporal",IF(ISNUMBER(E211),E211,0)+F211,F211)*(30+G211)*100+F211,0)=AA211,1,0))))))</f>
        <v>0</v>
      </c>
      <c r="AC211" s="69" t="str">
        <f>IF(X211&gt;0,"A"&amp;X211,IF(Z211&gt;0,"B"&amp;Z211,IF(AB211&gt;0,"C"&amp;AB211,"")))</f>
        <v/>
      </c>
    </row>
    <row r="212" spans="1:29" ht="20.100000000000001" customHeight="1">
      <c r="A212" s="14" t="s">
        <v>100</v>
      </c>
      <c r="B212" s="15" t="s">
        <v>102</v>
      </c>
      <c r="C212" s="16" t="str">
        <f>IFERROR(INDEX(EJERCICIOS!$D$3:$D$75,MATCH(A212&amp;"|"&amp;B212,EJERCICIOS!$G$3:$G$75,0)),"--")</f>
        <v>mancuerna</v>
      </c>
      <c r="D212" s="17">
        <v>3</v>
      </c>
      <c r="E212" s="18">
        <f>IFERROR(LOOKUP(2,1/(MEDIDAS_Y_PESO!$B$3:$B$12&lt;&gt;""),MEDIDAS_Y_PESO!$B$3:$B$12),"--")</f>
        <v>80</v>
      </c>
      <c r="F212" s="19"/>
      <c r="G212" s="20"/>
      <c r="H212" s="21"/>
      <c r="I212" s="19"/>
      <c r="J212" s="20"/>
      <c r="K212" s="21"/>
      <c r="L212" s="19"/>
      <c r="M212" s="20"/>
      <c r="N212" s="21"/>
      <c r="O212" s="19"/>
      <c r="P212" s="20"/>
      <c r="Q212" s="21"/>
      <c r="R212" s="19"/>
      <c r="S212" s="20"/>
      <c r="T212" s="21"/>
      <c r="U212" s="22" t="str">
        <f>IFERROR(IF(IF(X212&gt;0,X212,IF(Z212&gt;0,Z212,IF(AB212&gt;0,AB212,0)))=0,"--",ROUND(CHOOSE(IF(X212&gt;0,X212,IF(Z212&gt;0,Z212,IF(AB212&gt;0,AB212,0))),IF(C212="peso_corporal",IF(ISNUMBER(E212),E212,0)+F212,F212)*(1+G212/30),IF(C212="peso_corporal",IF(ISNUMBER(E212),E212,0)+I212,I212)*(1+J212/30),IF(C212="peso_corporal",IF(ISNUMBER(E212),E212,0)+L212,L212)*(1+M212/30),IF(C212="peso_corporal",IF(ISNUMBER(E212),E212,0)+O212,O212)*(1+P212/30),IF(C212="peso_corporal",IF(ISNUMBER(E212),E212,0)+R212,R212)*(1+S212/30)),1)),"--")</f>
        <v>--</v>
      </c>
      <c r="V212" s="23" t="str">
        <f>IF(SUGERENCIAS!N589="SIN","Sin datos anteriores",IF(SUGERENCIAS!N589="SUBIR_F","^ SUBIR FUERTE | Kg:"&amp;ROUND(SUGERENCIAS!K589,1)&amp;" R:"&amp;ROUND(SUGERENCIAS!L589,0)&amp;" RIR:"&amp;ROUND(SUGERENCIAS!M589,0),IF(SUGERENCIAS!N589="SUBIR_E","^ SUBIR (Est.) | Kg:"&amp;ROUND(SUGERENCIAS!K589,1)&amp;" R:"&amp;ROUND(SUGERENCIAS!L589,0)&amp;" RIR:"&amp;ROUND(SUGERENCIAS!M589,0),IF(SUGERENCIAS!N589="SUBIR","^ SUBIR | Kg:"&amp;ROUND(SUGERENCIAS!K589,1)&amp;" R:"&amp;ROUND(SUGERENCIAS!L589,0)&amp;" RIR:"&amp;ROUND(SUGERENCIAS!M589,0),IF(SUGERENCIAS!N589="BAJAR","v BAJAR | Kg:"&amp;ROUND(SUGERENCIAS!K589,1)&amp;" R:"&amp;ROUND(SUGERENCIAS!L589,0)&amp;" RIR:"&amp;ROUND(SUGERENCIAS!M589,0),"= MANT | Kg:"&amp;ROUND(SUGERENCIAS!K589,1)&amp;" R:"&amp;ROUND(SUGERENCIAS!L589,0)&amp;" RIR:"&amp;ROUND(SUGERENCIAS!M589,0))))))</f>
        <v>Sin datos anteriores</v>
      </c>
      <c r="W212" s="69">
        <f>MAX(IF((G212&gt;0)*(IF(H212="",-1,H212)&gt;=1)*(IF(H212="",-1,H212)&lt;=3),IF(C212="peso_corporal",IF(ISNUMBER(E212),E212,0)+F212,F212)*G212*1000+F212,0),IF((J212&gt;0)*(IF(K212="",-1,K212)&gt;=1)*(IF(K212="",-1,K212)&lt;=3),IF(C212="peso_corporal",IF(ISNUMBER(E212),E212,0)+I212,I212)*J212*1000+I212,0),IF((M212&gt;0)*(IF(N212="",-1,N212)&gt;=1)*(IF(N212="",-1,N212)&lt;=3),IF(C212="peso_corporal",IF(ISNUMBER(E212),E212,0)+L212,L212)*M212*1000+L212,0),IF((P212&gt;0)*(IF(Q212="",-1,Q212)&gt;=1)*(IF(Q212="",-1,Q212)&lt;=3),IF(C212="peso_corporal",IF(ISNUMBER(E212),E212,0)+O212,O212)*P212*1000+O212,0),IF((S212&gt;0)*(IF(T212="",-1,T212)&gt;=1)*(IF(T212="",-1,T212)&lt;=3),IF(C212="peso_corporal",IF(ISNUMBER(E212),E212,0)+R212,R212)*S212*1000+R212,0))</f>
        <v>0</v>
      </c>
      <c r="X212" s="69">
        <f>IF(W212=0,0,IF(IF((S212&gt;0)*(IF(T212="",-1,T212)&gt;=1)*(IF(T212="",-1,T212)&lt;=3),IF(C212="peso_corporal",IF(ISNUMBER(E212),E212,0)+R212,R212)*S212*1000+R212,0)=W212,5,IF(IF((P212&gt;0)*(IF(Q212="",-1,Q212)&gt;=1)*(IF(Q212="",-1,Q212)&lt;=3),IF(C212="peso_corporal",IF(ISNUMBER(E212),E212,0)+O212,O212)*P212*1000+O212,0)=W212,4,IF(IF((M212&gt;0)*(IF(N212="",-1,N212)&gt;=1)*(IF(N212="",-1,N212)&lt;=3),IF(C212="peso_corporal",IF(ISNUMBER(E212),E212,0)+L212,L212)*M212*1000+L212,0)=W212,3,IF(IF((J212&gt;0)*(IF(K212="",-1,K212)&gt;=1)*(IF(K212="",-1,K212)&lt;=3),IF(C212="peso_corporal",IF(ISNUMBER(E212),E212,0)+I212,I212)*J212*1000+I212,0)=W212,2,IF(IF((G212&gt;0)*(IF(H212="",-1,H212)&gt;=1)*(IF(H212="",-1,H212)&lt;=3),IF(C212="peso_corporal",IF(ISNUMBER(E212),E212,0)+F212,F212)*G212*1000+F212,0)=W212,1,0))))))</f>
        <v>0</v>
      </c>
      <c r="Y212" s="69">
        <f>MAX(IF((G212&gt;0)*(IF(H212="",-1,H212)=0)*(1-(IF(H212="",-1,H212)&gt;=1)*(IF(H212="",-1,H212)&lt;=3)),IF(C212="peso_corporal",IF(ISNUMBER(E212),E212,0)+F212,F212)*G212*1000+F212,0),IF((J212&gt;0)*(IF(K212="",-1,K212)=0)*(1-(IF(K212="",-1,K212)&gt;=1)*(IF(K212="",-1,K212)&lt;=3)),IF(C212="peso_corporal",IF(ISNUMBER(E212),E212,0)+I212,I212)*J212*1000+I212,0),IF((M212&gt;0)*(IF(N212="",-1,N212)=0)*(1-(IF(N212="",-1,N212)&gt;=1)*(IF(N212="",-1,N212)&lt;=3)),IF(C212="peso_corporal",IF(ISNUMBER(E212),E212,0)+L212,L212)*M212*1000+L212,0),IF((P212&gt;0)*(IF(Q212="",-1,Q212)=0)*(1-(IF(Q212="",-1,Q212)&gt;=1)*(IF(Q212="",-1,Q212)&lt;=3)),IF(C212="peso_corporal",IF(ISNUMBER(E212),E212,0)+O212,O212)*P212*1000+O212,0),IF((S212&gt;0)*(IF(T212="",-1,T212)=0)*(1-(IF(T212="",-1,T212)&gt;=1)*(IF(T212="",-1,T212)&lt;=3)),IF(C212="peso_corporal",IF(ISNUMBER(E212),E212,0)+R212,R212)*S212*1000+R212,0))</f>
        <v>0</v>
      </c>
      <c r="Z212" s="69">
        <f>IF(Y212=0,0,IF(IF((S212&gt;0)*(IF(T212="",-1,T212)=0)*(1-(IF(T212="",-1,T212)&gt;=1)*(IF(T212="",-1,T212)&lt;=3)),IF(C212="peso_corporal",IF(ISNUMBER(E212),E212,0)+R212,R212)*S212*1000+R212,0)=Y212,5,IF(IF((P212&gt;0)*(IF(Q212="",-1,Q212)=0)*(1-(IF(Q212="",-1,Q212)&gt;=1)*(IF(Q212="",-1,Q212)&lt;=3)),IF(C212="peso_corporal",IF(ISNUMBER(E212),E212,0)+O212,O212)*P212*1000+O212,0)=Y212,4,IF(IF((M212&gt;0)*(IF(N212="",-1,N212)=0)*(1-(IF(N212="",-1,N212)&gt;=1)*(IF(N212="",-1,N212)&lt;=3)),IF(C212="peso_corporal",IF(ISNUMBER(E212),E212,0)+L212,L212)*M212*1000+L212,0)=Y212,3,IF(IF((J212&gt;0)*(IF(K212="",-1,K212)=0)*(1-(IF(K212="",-1,K212)&gt;=1)*(IF(K212="",-1,K212)&lt;=3)),IF(C212="peso_corporal",IF(ISNUMBER(E212),E212,0)+I212,I212)*J212*1000+I212,0)=Y212,2,IF(IF((G212&gt;0)*(IF(H212="",-1,H212)=0)*(1-(IF(H212="",-1,H212)&gt;=1)*(IF(H212="",-1,H212)&lt;=3)),IF(C212="peso_corporal",IF(ISNUMBER(E212),E212,0)+F212,F212)*G212*1000+F212,0)=Y212,1,0))))))</f>
        <v>0</v>
      </c>
      <c r="AA212" s="69">
        <f>MAX(IF((G212&gt;=6)*(1-(IF(H212="",-1,H212)&gt;=1)*(IF(H212="",-1,H212)&lt;=3))*(1-(IF(H212="",-1,H212)=0)),IF(C212="peso_corporal",IF(ISNUMBER(E212),E212,0)+F212,F212)*(30+G212)*100+F212,0),IF((J212&gt;=6)*(1-(IF(K212="",-1,K212)&gt;=1)*(IF(K212="",-1,K212)&lt;=3))*(1-(IF(K212="",-1,K212)=0)),IF(C212="peso_corporal",IF(ISNUMBER(E212),E212,0)+I212,I212)*(30+J212)*100+I212,0),IF((M212&gt;=6)*(1-(IF(N212="",-1,N212)&gt;=1)*(IF(N212="",-1,N212)&lt;=3))*(1-(IF(N212="",-1,N212)=0)),IF(C212="peso_corporal",IF(ISNUMBER(E212),E212,0)+L212,L212)*(30+M212)*100+L212,0),IF((P212&gt;=6)*(1-(IF(Q212="",-1,Q212)&gt;=1)*(IF(Q212="",-1,Q212)&lt;=3))*(1-(IF(Q212="",-1,Q212)=0)),IF(C212="peso_corporal",IF(ISNUMBER(E212),E212,0)+O212,O212)*(30+P212)*100+O212,0),IF((S212&gt;=6)*(1-(IF(T212="",-1,T212)&gt;=1)*(IF(T212="",-1,T212)&lt;=3))*(1-(IF(T212="",-1,T212)=0)),IF(C212="peso_corporal",IF(ISNUMBER(E212),E212,0)+R212,R212)*(30+S212)*100+R212,0))</f>
        <v>0</v>
      </c>
      <c r="AB212" s="69">
        <f>IF(AA212=0,0,IF(IF((S212&gt;=6)*(1-(IF(T212="",-1,T212)&gt;=1)*(IF(T212="",-1,T212)&lt;=3))*(1-(IF(T212="",-1,T212)=0)),IF(C212="peso_corporal",IF(ISNUMBER(E212),E212,0)+R212,R212)*(30+S212)*100+R212,0)=AA212,5,IF(IF((P212&gt;=6)*(1-(IF(Q212="",-1,Q212)&gt;=1)*(IF(Q212="",-1,Q212)&lt;=3))*(1-(IF(Q212="",-1,Q212)=0)),IF(C212="peso_corporal",IF(ISNUMBER(E212),E212,0)+O212,O212)*(30+P212)*100+O212,0)=AA212,4,IF(IF((M212&gt;=6)*(1-(IF(N212="",-1,N212)&gt;=1)*(IF(N212="",-1,N212)&lt;=3))*(1-(IF(N212="",-1,N212)=0)),IF(C212="peso_corporal",IF(ISNUMBER(E212),E212,0)+L212,L212)*(30+M212)*100+L212,0)=AA212,3,IF(IF((J212&gt;=6)*(1-(IF(K212="",-1,K212)&gt;=1)*(IF(K212="",-1,K212)&lt;=3))*(1-(IF(K212="",-1,K212)=0)),IF(C212="peso_corporal",IF(ISNUMBER(E212),E212,0)+I212,I212)*(30+J212)*100+I212,0)=AA212,2,IF(IF((G212&gt;=6)*(1-(IF(H212="",-1,H212)&gt;=1)*(IF(H212="",-1,H212)&lt;=3))*(1-(IF(H212="",-1,H212)=0)),IF(C212="peso_corporal",IF(ISNUMBER(E212),E212,0)+F212,F212)*(30+G212)*100+F212,0)=AA212,1,0))))))</f>
        <v>0</v>
      </c>
      <c r="AC212" s="69" t="str">
        <f>IF(X212&gt;0,"A"&amp;X212,IF(Z212&gt;0,"B"&amp;Z212,IF(AB212&gt;0,"C"&amp;AB212,"")))</f>
        <v/>
      </c>
    </row>
    <row r="213" spans="1:29" ht="15" customHeight="1">
      <c r="A213" s="83" t="s">
        <v>103</v>
      </c>
      <c r="B213" s="73"/>
      <c r="C213" s="73"/>
      <c r="D213" s="73"/>
      <c r="E213" s="73"/>
      <c r="F213" s="73"/>
      <c r="G213" s="73"/>
      <c r="H213" s="73"/>
      <c r="I213" s="73"/>
      <c r="J213" s="73"/>
      <c r="K213" s="73"/>
      <c r="L213" s="73"/>
      <c r="M213" s="73"/>
      <c r="N213" s="73"/>
      <c r="O213" s="73"/>
      <c r="P213" s="73"/>
      <c r="Q213" s="73"/>
      <c r="R213" s="73"/>
      <c r="S213" s="73"/>
      <c r="T213" s="73"/>
      <c r="U213" s="73"/>
      <c r="V213" s="73"/>
      <c r="W213" s="69"/>
      <c r="X213" s="69"/>
      <c r="Y213" s="69"/>
      <c r="Z213" s="69"/>
      <c r="AA213" s="69"/>
      <c r="AB213" s="69"/>
      <c r="AC213" s="69"/>
    </row>
    <row r="214" spans="1:29" ht="20.100000000000001" customHeight="1">
      <c r="A214" s="14" t="s">
        <v>104</v>
      </c>
      <c r="B214" s="15" t="s">
        <v>105</v>
      </c>
      <c r="C214" s="16" t="str">
        <f>IFERROR(INDEX(EJERCICIOS!$D$3:$D$75,MATCH(A214&amp;"|"&amp;B214,EJERCICIOS!$G$3:$G$75,0)),"--")</f>
        <v>mancuerna</v>
      </c>
      <c r="D214" s="17">
        <v>3</v>
      </c>
      <c r="E214" s="18">
        <f>IFERROR(LOOKUP(2,1/(MEDIDAS_Y_PESO!$B$3:$B$12&lt;&gt;""),MEDIDAS_Y_PESO!$B$3:$B$12),"--")</f>
        <v>80</v>
      </c>
      <c r="F214" s="19"/>
      <c r="G214" s="20"/>
      <c r="H214" s="21"/>
      <c r="I214" s="19"/>
      <c r="J214" s="20"/>
      <c r="K214" s="21"/>
      <c r="L214" s="19"/>
      <c r="M214" s="20"/>
      <c r="N214" s="21"/>
      <c r="O214" s="19"/>
      <c r="P214" s="20"/>
      <c r="Q214" s="21"/>
      <c r="R214" s="19"/>
      <c r="S214" s="20"/>
      <c r="T214" s="21"/>
      <c r="U214" s="22" t="str">
        <f>IFERROR(IF(IF(X214&gt;0,X214,IF(Z214&gt;0,Z214,IF(AB214&gt;0,AB214,0)))=0,"--",ROUND(CHOOSE(IF(X214&gt;0,X214,IF(Z214&gt;0,Z214,IF(AB214&gt;0,AB214,0))),IF(C214="peso_corporal",IF(ISNUMBER(E214),E214,0)+F214,F214)*(1+G214/30),IF(C214="peso_corporal",IF(ISNUMBER(E214),E214,0)+I214,I214)*(1+J214/30),IF(C214="peso_corporal",IF(ISNUMBER(E214),E214,0)+L214,L214)*(1+M214/30),IF(C214="peso_corporal",IF(ISNUMBER(E214),E214,0)+O214,O214)*(1+P214/30),IF(C214="peso_corporal",IF(ISNUMBER(E214),E214,0)+R214,R214)*(1+S214/30)),1)),"--")</f>
        <v>--</v>
      </c>
      <c r="V214" s="23" t="str">
        <f>IF(SUGERENCIAS!N590="SIN","Sin datos anteriores",IF(SUGERENCIAS!N590="SUBIR_F","^ SUBIR FUERTE | Kg:"&amp;ROUND(SUGERENCIAS!K590,1)&amp;" R:"&amp;ROUND(SUGERENCIAS!L590,0)&amp;" RIR:"&amp;ROUND(SUGERENCIAS!M590,0),IF(SUGERENCIAS!N590="SUBIR_E","^ SUBIR (Est.) | Kg:"&amp;ROUND(SUGERENCIAS!K590,1)&amp;" R:"&amp;ROUND(SUGERENCIAS!L590,0)&amp;" RIR:"&amp;ROUND(SUGERENCIAS!M590,0),IF(SUGERENCIAS!N590="SUBIR","^ SUBIR | Kg:"&amp;ROUND(SUGERENCIAS!K590,1)&amp;" R:"&amp;ROUND(SUGERENCIAS!L590,0)&amp;" RIR:"&amp;ROUND(SUGERENCIAS!M590,0),IF(SUGERENCIAS!N590="BAJAR","v BAJAR | Kg:"&amp;ROUND(SUGERENCIAS!K590,1)&amp;" R:"&amp;ROUND(SUGERENCIAS!L590,0)&amp;" RIR:"&amp;ROUND(SUGERENCIAS!M590,0),"= MANT | Kg:"&amp;ROUND(SUGERENCIAS!K590,1)&amp;" R:"&amp;ROUND(SUGERENCIAS!L590,0)&amp;" RIR:"&amp;ROUND(SUGERENCIAS!M590,0))))))</f>
        <v>Sin datos anteriores</v>
      </c>
      <c r="W214" s="69">
        <f>MAX(IF((G214&gt;0)*(IF(H214="",-1,H214)&gt;=1)*(IF(H214="",-1,H214)&lt;=3),IF(C214="peso_corporal",IF(ISNUMBER(E214),E214,0)+F214,F214)*G214*1000+F214,0),IF((J214&gt;0)*(IF(K214="",-1,K214)&gt;=1)*(IF(K214="",-1,K214)&lt;=3),IF(C214="peso_corporal",IF(ISNUMBER(E214),E214,0)+I214,I214)*J214*1000+I214,0),IF((M214&gt;0)*(IF(N214="",-1,N214)&gt;=1)*(IF(N214="",-1,N214)&lt;=3),IF(C214="peso_corporal",IF(ISNUMBER(E214),E214,0)+L214,L214)*M214*1000+L214,0),IF((P214&gt;0)*(IF(Q214="",-1,Q214)&gt;=1)*(IF(Q214="",-1,Q214)&lt;=3),IF(C214="peso_corporal",IF(ISNUMBER(E214),E214,0)+O214,O214)*P214*1000+O214,0),IF((S214&gt;0)*(IF(T214="",-1,T214)&gt;=1)*(IF(T214="",-1,T214)&lt;=3),IF(C214="peso_corporal",IF(ISNUMBER(E214),E214,0)+R214,R214)*S214*1000+R214,0))</f>
        <v>0</v>
      </c>
      <c r="X214" s="69">
        <f>IF(W214=0,0,IF(IF((S214&gt;0)*(IF(T214="",-1,T214)&gt;=1)*(IF(T214="",-1,T214)&lt;=3),IF(C214="peso_corporal",IF(ISNUMBER(E214),E214,0)+R214,R214)*S214*1000+R214,0)=W214,5,IF(IF((P214&gt;0)*(IF(Q214="",-1,Q214)&gt;=1)*(IF(Q214="",-1,Q214)&lt;=3),IF(C214="peso_corporal",IF(ISNUMBER(E214),E214,0)+O214,O214)*P214*1000+O214,0)=W214,4,IF(IF((M214&gt;0)*(IF(N214="",-1,N214)&gt;=1)*(IF(N214="",-1,N214)&lt;=3),IF(C214="peso_corporal",IF(ISNUMBER(E214),E214,0)+L214,L214)*M214*1000+L214,0)=W214,3,IF(IF((J214&gt;0)*(IF(K214="",-1,K214)&gt;=1)*(IF(K214="",-1,K214)&lt;=3),IF(C214="peso_corporal",IF(ISNUMBER(E214),E214,0)+I214,I214)*J214*1000+I214,0)=W214,2,IF(IF((G214&gt;0)*(IF(H214="",-1,H214)&gt;=1)*(IF(H214="",-1,H214)&lt;=3),IF(C214="peso_corporal",IF(ISNUMBER(E214),E214,0)+F214,F214)*G214*1000+F214,0)=W214,1,0))))))</f>
        <v>0</v>
      </c>
      <c r="Y214" s="69">
        <f>MAX(IF((G214&gt;0)*(IF(H214="",-1,H214)=0)*(1-(IF(H214="",-1,H214)&gt;=1)*(IF(H214="",-1,H214)&lt;=3)),IF(C214="peso_corporal",IF(ISNUMBER(E214),E214,0)+F214,F214)*G214*1000+F214,0),IF((J214&gt;0)*(IF(K214="",-1,K214)=0)*(1-(IF(K214="",-1,K214)&gt;=1)*(IF(K214="",-1,K214)&lt;=3)),IF(C214="peso_corporal",IF(ISNUMBER(E214),E214,0)+I214,I214)*J214*1000+I214,0),IF((M214&gt;0)*(IF(N214="",-1,N214)=0)*(1-(IF(N214="",-1,N214)&gt;=1)*(IF(N214="",-1,N214)&lt;=3)),IF(C214="peso_corporal",IF(ISNUMBER(E214),E214,0)+L214,L214)*M214*1000+L214,0),IF((P214&gt;0)*(IF(Q214="",-1,Q214)=0)*(1-(IF(Q214="",-1,Q214)&gt;=1)*(IF(Q214="",-1,Q214)&lt;=3)),IF(C214="peso_corporal",IF(ISNUMBER(E214),E214,0)+O214,O214)*P214*1000+O214,0),IF((S214&gt;0)*(IF(T214="",-1,T214)=0)*(1-(IF(T214="",-1,T214)&gt;=1)*(IF(T214="",-1,T214)&lt;=3)),IF(C214="peso_corporal",IF(ISNUMBER(E214),E214,0)+R214,R214)*S214*1000+R214,0))</f>
        <v>0</v>
      </c>
      <c r="Z214" s="69">
        <f>IF(Y214=0,0,IF(IF((S214&gt;0)*(IF(T214="",-1,T214)=0)*(1-(IF(T214="",-1,T214)&gt;=1)*(IF(T214="",-1,T214)&lt;=3)),IF(C214="peso_corporal",IF(ISNUMBER(E214),E214,0)+R214,R214)*S214*1000+R214,0)=Y214,5,IF(IF((P214&gt;0)*(IF(Q214="",-1,Q214)=0)*(1-(IF(Q214="",-1,Q214)&gt;=1)*(IF(Q214="",-1,Q214)&lt;=3)),IF(C214="peso_corporal",IF(ISNUMBER(E214),E214,0)+O214,O214)*P214*1000+O214,0)=Y214,4,IF(IF((M214&gt;0)*(IF(N214="",-1,N214)=0)*(1-(IF(N214="",-1,N214)&gt;=1)*(IF(N214="",-1,N214)&lt;=3)),IF(C214="peso_corporal",IF(ISNUMBER(E214),E214,0)+L214,L214)*M214*1000+L214,0)=Y214,3,IF(IF((J214&gt;0)*(IF(K214="",-1,K214)=0)*(1-(IF(K214="",-1,K214)&gt;=1)*(IF(K214="",-1,K214)&lt;=3)),IF(C214="peso_corporal",IF(ISNUMBER(E214),E214,0)+I214,I214)*J214*1000+I214,0)=Y214,2,IF(IF((G214&gt;0)*(IF(H214="",-1,H214)=0)*(1-(IF(H214="",-1,H214)&gt;=1)*(IF(H214="",-1,H214)&lt;=3)),IF(C214="peso_corporal",IF(ISNUMBER(E214),E214,0)+F214,F214)*G214*1000+F214,0)=Y214,1,0))))))</f>
        <v>0</v>
      </c>
      <c r="AA214" s="69">
        <f>MAX(IF((G214&gt;=6)*(1-(IF(H214="",-1,H214)&gt;=1)*(IF(H214="",-1,H214)&lt;=3))*(1-(IF(H214="",-1,H214)=0)),IF(C214="peso_corporal",IF(ISNUMBER(E214),E214,0)+F214,F214)*(30+G214)*100+F214,0),IF((J214&gt;=6)*(1-(IF(K214="",-1,K214)&gt;=1)*(IF(K214="",-1,K214)&lt;=3))*(1-(IF(K214="",-1,K214)=0)),IF(C214="peso_corporal",IF(ISNUMBER(E214),E214,0)+I214,I214)*(30+J214)*100+I214,0),IF((M214&gt;=6)*(1-(IF(N214="",-1,N214)&gt;=1)*(IF(N214="",-1,N214)&lt;=3))*(1-(IF(N214="",-1,N214)=0)),IF(C214="peso_corporal",IF(ISNUMBER(E214),E214,0)+L214,L214)*(30+M214)*100+L214,0),IF((P214&gt;=6)*(1-(IF(Q214="",-1,Q214)&gt;=1)*(IF(Q214="",-1,Q214)&lt;=3))*(1-(IF(Q214="",-1,Q214)=0)),IF(C214="peso_corporal",IF(ISNUMBER(E214),E214,0)+O214,O214)*(30+P214)*100+O214,0),IF((S214&gt;=6)*(1-(IF(T214="",-1,T214)&gt;=1)*(IF(T214="",-1,T214)&lt;=3))*(1-(IF(T214="",-1,T214)=0)),IF(C214="peso_corporal",IF(ISNUMBER(E214),E214,0)+R214,R214)*(30+S214)*100+R214,0))</f>
        <v>0</v>
      </c>
      <c r="AB214" s="69">
        <f>IF(AA214=0,0,IF(IF((S214&gt;=6)*(1-(IF(T214="",-1,T214)&gt;=1)*(IF(T214="",-1,T214)&lt;=3))*(1-(IF(T214="",-1,T214)=0)),IF(C214="peso_corporal",IF(ISNUMBER(E214),E214,0)+R214,R214)*(30+S214)*100+R214,0)=AA214,5,IF(IF((P214&gt;=6)*(1-(IF(Q214="",-1,Q214)&gt;=1)*(IF(Q214="",-1,Q214)&lt;=3))*(1-(IF(Q214="",-1,Q214)=0)),IF(C214="peso_corporal",IF(ISNUMBER(E214),E214,0)+O214,O214)*(30+P214)*100+O214,0)=AA214,4,IF(IF((M214&gt;=6)*(1-(IF(N214="",-1,N214)&gt;=1)*(IF(N214="",-1,N214)&lt;=3))*(1-(IF(N214="",-1,N214)=0)),IF(C214="peso_corporal",IF(ISNUMBER(E214),E214,0)+L214,L214)*(30+M214)*100+L214,0)=AA214,3,IF(IF((J214&gt;=6)*(1-(IF(K214="",-1,K214)&gt;=1)*(IF(K214="",-1,K214)&lt;=3))*(1-(IF(K214="",-1,K214)=0)),IF(C214="peso_corporal",IF(ISNUMBER(E214),E214,0)+I214,I214)*(30+J214)*100+I214,0)=AA214,2,IF(IF((G214&gt;=6)*(1-(IF(H214="",-1,H214)&gt;=1)*(IF(H214="",-1,H214)&lt;=3))*(1-(IF(H214="",-1,H214)=0)),IF(C214="peso_corporal",IF(ISNUMBER(E214),E214,0)+F214,F214)*(30+G214)*100+F214,0)=AA214,1,0))))))</f>
        <v>0</v>
      </c>
      <c r="AC214" s="69" t="str">
        <f>IF(X214&gt;0,"A"&amp;X214,IF(Z214&gt;0,"B"&amp;Z214,IF(AB214&gt;0,"C"&amp;AB214,"")))</f>
        <v/>
      </c>
    </row>
    <row r="215" spans="1:29" ht="15" customHeight="1">
      <c r="A215" s="82" t="s">
        <v>47</v>
      </c>
      <c r="B215" s="73"/>
      <c r="C215" s="73"/>
      <c r="D215" s="73"/>
      <c r="E215" s="73"/>
      <c r="F215" s="73"/>
      <c r="G215" s="73"/>
      <c r="H215" s="73"/>
      <c r="I215" s="73"/>
      <c r="J215" s="73"/>
      <c r="K215" s="73"/>
      <c r="L215" s="73"/>
      <c r="M215" s="73"/>
      <c r="N215" s="73"/>
      <c r="O215" s="73"/>
      <c r="P215" s="73"/>
      <c r="Q215" s="73"/>
      <c r="R215" s="73"/>
      <c r="S215" s="73"/>
      <c r="T215" s="73"/>
      <c r="U215" s="73"/>
      <c r="V215" s="73"/>
      <c r="W215" s="69"/>
      <c r="X215" s="69"/>
      <c r="Y215" s="69"/>
      <c r="Z215" s="69"/>
      <c r="AA215" s="69"/>
      <c r="AB215" s="69"/>
      <c r="AC215" s="69"/>
    </row>
    <row r="216" spans="1:29" ht="20.100000000000001" customHeight="1">
      <c r="A216" s="14" t="s">
        <v>106</v>
      </c>
      <c r="B216" s="15" t="s">
        <v>107</v>
      </c>
      <c r="C216" s="16" t="str">
        <f>IFERROR(INDEX(EJERCICIOS!$D$3:$D$75,MATCH(A216&amp;"|"&amp;B216,EJERCICIOS!$G$3:$G$75,0)),"--")</f>
        <v>--</v>
      </c>
      <c r="D216" s="17">
        <v>3</v>
      </c>
      <c r="E216" s="18">
        <f>IFERROR(LOOKUP(2,1/(MEDIDAS_Y_PESO!$B$3:$B$12&lt;&gt;""),MEDIDAS_Y_PESO!$B$3:$B$12),"--")</f>
        <v>80</v>
      </c>
      <c r="F216" s="19"/>
      <c r="G216" s="20"/>
      <c r="H216" s="21"/>
      <c r="I216" s="19"/>
      <c r="J216" s="20"/>
      <c r="K216" s="21"/>
      <c r="L216" s="19"/>
      <c r="M216" s="20"/>
      <c r="N216" s="21"/>
      <c r="O216" s="19"/>
      <c r="P216" s="20"/>
      <c r="Q216" s="21"/>
      <c r="R216" s="19"/>
      <c r="S216" s="20"/>
      <c r="T216" s="21"/>
      <c r="U216" s="22" t="str">
        <f>IFERROR(IF(IF(X216&gt;0,X216,IF(Z216&gt;0,Z216,IF(AB216&gt;0,AB216,0)))=0,"--",ROUND(CHOOSE(IF(X216&gt;0,X216,IF(Z216&gt;0,Z216,IF(AB216&gt;0,AB216,0))),IF(C216="peso_corporal",IF(ISNUMBER(E216),E216,0)+F216,F216)*(1+G216/30),IF(C216="peso_corporal",IF(ISNUMBER(E216),E216,0)+I216,I216)*(1+J216/30),IF(C216="peso_corporal",IF(ISNUMBER(E216),E216,0)+L216,L216)*(1+M216/30),IF(C216="peso_corporal",IF(ISNUMBER(E216),E216,0)+O216,O216)*(1+P216/30),IF(C216="peso_corporal",IF(ISNUMBER(E216),E216,0)+R216,R216)*(1+S216/30)),1)),"--")</f>
        <v>--</v>
      </c>
      <c r="V216" s="23" t="str">
        <f>IF(SUGERENCIAS!N591="SIN","Sin datos anteriores",IF(SUGERENCIAS!N591="SUBIR_F","^ SUBIR FUERTE | Kg:"&amp;ROUND(SUGERENCIAS!K591,1)&amp;" R:"&amp;ROUND(SUGERENCIAS!L591,0)&amp;" RIR:"&amp;ROUND(SUGERENCIAS!M591,0),IF(SUGERENCIAS!N591="SUBIR_E","^ SUBIR (Est.) | Kg:"&amp;ROUND(SUGERENCIAS!K591,1)&amp;" R:"&amp;ROUND(SUGERENCIAS!L591,0)&amp;" RIR:"&amp;ROUND(SUGERENCIAS!M591,0),IF(SUGERENCIAS!N591="SUBIR","^ SUBIR | Kg:"&amp;ROUND(SUGERENCIAS!K591,1)&amp;" R:"&amp;ROUND(SUGERENCIAS!L591,0)&amp;" RIR:"&amp;ROUND(SUGERENCIAS!M591,0),IF(SUGERENCIAS!N591="BAJAR","v BAJAR | Kg:"&amp;ROUND(SUGERENCIAS!K591,1)&amp;" R:"&amp;ROUND(SUGERENCIAS!L591,0)&amp;" RIR:"&amp;ROUND(SUGERENCIAS!M591,0),"= MANT | Kg:"&amp;ROUND(SUGERENCIAS!K591,1)&amp;" R:"&amp;ROUND(SUGERENCIAS!L591,0)&amp;" RIR:"&amp;ROUND(SUGERENCIAS!M591,0))))))</f>
        <v>Sin datos anteriores</v>
      </c>
      <c r="W216" s="69">
        <f>MAX(IF((G216&gt;0)*(IF(H216="",-1,H216)&gt;=1)*(IF(H216="",-1,H216)&lt;=3),IF(C216="peso_corporal",IF(ISNUMBER(E216),E216,0)+F216,F216)*G216*1000+F216,0),IF((J216&gt;0)*(IF(K216="",-1,K216)&gt;=1)*(IF(K216="",-1,K216)&lt;=3),IF(C216="peso_corporal",IF(ISNUMBER(E216),E216,0)+I216,I216)*J216*1000+I216,0),IF((M216&gt;0)*(IF(N216="",-1,N216)&gt;=1)*(IF(N216="",-1,N216)&lt;=3),IF(C216="peso_corporal",IF(ISNUMBER(E216),E216,0)+L216,L216)*M216*1000+L216,0),IF((P216&gt;0)*(IF(Q216="",-1,Q216)&gt;=1)*(IF(Q216="",-1,Q216)&lt;=3),IF(C216="peso_corporal",IF(ISNUMBER(E216),E216,0)+O216,O216)*P216*1000+O216,0),IF((S216&gt;0)*(IF(T216="",-1,T216)&gt;=1)*(IF(T216="",-1,T216)&lt;=3),IF(C216="peso_corporal",IF(ISNUMBER(E216),E216,0)+R216,R216)*S216*1000+R216,0))</f>
        <v>0</v>
      </c>
      <c r="X216" s="69">
        <f>IF(W216=0,0,IF(IF((S216&gt;0)*(IF(T216="",-1,T216)&gt;=1)*(IF(T216="",-1,T216)&lt;=3),IF(C216="peso_corporal",IF(ISNUMBER(E216),E216,0)+R216,R216)*S216*1000+R216,0)=W216,5,IF(IF((P216&gt;0)*(IF(Q216="",-1,Q216)&gt;=1)*(IF(Q216="",-1,Q216)&lt;=3),IF(C216="peso_corporal",IF(ISNUMBER(E216),E216,0)+O216,O216)*P216*1000+O216,0)=W216,4,IF(IF((M216&gt;0)*(IF(N216="",-1,N216)&gt;=1)*(IF(N216="",-1,N216)&lt;=3),IF(C216="peso_corporal",IF(ISNUMBER(E216),E216,0)+L216,L216)*M216*1000+L216,0)=W216,3,IF(IF((J216&gt;0)*(IF(K216="",-1,K216)&gt;=1)*(IF(K216="",-1,K216)&lt;=3),IF(C216="peso_corporal",IF(ISNUMBER(E216),E216,0)+I216,I216)*J216*1000+I216,0)=W216,2,IF(IF((G216&gt;0)*(IF(H216="",-1,H216)&gt;=1)*(IF(H216="",-1,H216)&lt;=3),IF(C216="peso_corporal",IF(ISNUMBER(E216),E216,0)+F216,F216)*G216*1000+F216,0)=W216,1,0))))))</f>
        <v>0</v>
      </c>
      <c r="Y216" s="69">
        <f>MAX(IF((G216&gt;0)*(IF(H216="",-1,H216)=0)*(1-(IF(H216="",-1,H216)&gt;=1)*(IF(H216="",-1,H216)&lt;=3)),IF(C216="peso_corporal",IF(ISNUMBER(E216),E216,0)+F216,F216)*G216*1000+F216,0),IF((J216&gt;0)*(IF(K216="",-1,K216)=0)*(1-(IF(K216="",-1,K216)&gt;=1)*(IF(K216="",-1,K216)&lt;=3)),IF(C216="peso_corporal",IF(ISNUMBER(E216),E216,0)+I216,I216)*J216*1000+I216,0),IF((M216&gt;0)*(IF(N216="",-1,N216)=0)*(1-(IF(N216="",-1,N216)&gt;=1)*(IF(N216="",-1,N216)&lt;=3)),IF(C216="peso_corporal",IF(ISNUMBER(E216),E216,0)+L216,L216)*M216*1000+L216,0),IF((P216&gt;0)*(IF(Q216="",-1,Q216)=0)*(1-(IF(Q216="",-1,Q216)&gt;=1)*(IF(Q216="",-1,Q216)&lt;=3)),IF(C216="peso_corporal",IF(ISNUMBER(E216),E216,0)+O216,O216)*P216*1000+O216,0),IF((S216&gt;0)*(IF(T216="",-1,T216)=0)*(1-(IF(T216="",-1,T216)&gt;=1)*(IF(T216="",-1,T216)&lt;=3)),IF(C216="peso_corporal",IF(ISNUMBER(E216),E216,0)+R216,R216)*S216*1000+R216,0))</f>
        <v>0</v>
      </c>
      <c r="Z216" s="69">
        <f>IF(Y216=0,0,IF(IF((S216&gt;0)*(IF(T216="",-1,T216)=0)*(1-(IF(T216="",-1,T216)&gt;=1)*(IF(T216="",-1,T216)&lt;=3)),IF(C216="peso_corporal",IF(ISNUMBER(E216),E216,0)+R216,R216)*S216*1000+R216,0)=Y216,5,IF(IF((P216&gt;0)*(IF(Q216="",-1,Q216)=0)*(1-(IF(Q216="",-1,Q216)&gt;=1)*(IF(Q216="",-1,Q216)&lt;=3)),IF(C216="peso_corporal",IF(ISNUMBER(E216),E216,0)+O216,O216)*P216*1000+O216,0)=Y216,4,IF(IF((M216&gt;0)*(IF(N216="",-1,N216)=0)*(1-(IF(N216="",-1,N216)&gt;=1)*(IF(N216="",-1,N216)&lt;=3)),IF(C216="peso_corporal",IF(ISNUMBER(E216),E216,0)+L216,L216)*M216*1000+L216,0)=Y216,3,IF(IF((J216&gt;0)*(IF(K216="",-1,K216)=0)*(1-(IF(K216="",-1,K216)&gt;=1)*(IF(K216="",-1,K216)&lt;=3)),IF(C216="peso_corporal",IF(ISNUMBER(E216),E216,0)+I216,I216)*J216*1000+I216,0)=Y216,2,IF(IF((G216&gt;0)*(IF(H216="",-1,H216)=0)*(1-(IF(H216="",-1,H216)&gt;=1)*(IF(H216="",-1,H216)&lt;=3)),IF(C216="peso_corporal",IF(ISNUMBER(E216),E216,0)+F216,F216)*G216*1000+F216,0)=Y216,1,0))))))</f>
        <v>0</v>
      </c>
      <c r="AA216" s="69">
        <f>MAX(IF((G216&gt;=6)*(1-(IF(H216="",-1,H216)&gt;=1)*(IF(H216="",-1,H216)&lt;=3))*(1-(IF(H216="",-1,H216)=0)),IF(C216="peso_corporal",IF(ISNUMBER(E216),E216,0)+F216,F216)*(30+G216)*100+F216,0),IF((J216&gt;=6)*(1-(IF(K216="",-1,K216)&gt;=1)*(IF(K216="",-1,K216)&lt;=3))*(1-(IF(K216="",-1,K216)=0)),IF(C216="peso_corporal",IF(ISNUMBER(E216),E216,0)+I216,I216)*(30+J216)*100+I216,0),IF((M216&gt;=6)*(1-(IF(N216="",-1,N216)&gt;=1)*(IF(N216="",-1,N216)&lt;=3))*(1-(IF(N216="",-1,N216)=0)),IF(C216="peso_corporal",IF(ISNUMBER(E216),E216,0)+L216,L216)*(30+M216)*100+L216,0),IF((P216&gt;=6)*(1-(IF(Q216="",-1,Q216)&gt;=1)*(IF(Q216="",-1,Q216)&lt;=3))*(1-(IF(Q216="",-1,Q216)=0)),IF(C216="peso_corporal",IF(ISNUMBER(E216),E216,0)+O216,O216)*(30+P216)*100+O216,0),IF((S216&gt;=6)*(1-(IF(T216="",-1,T216)&gt;=1)*(IF(T216="",-1,T216)&lt;=3))*(1-(IF(T216="",-1,T216)=0)),IF(C216="peso_corporal",IF(ISNUMBER(E216),E216,0)+R216,R216)*(30+S216)*100+R216,0))</f>
        <v>0</v>
      </c>
      <c r="AB216" s="69">
        <f>IF(AA216=0,0,IF(IF((S216&gt;=6)*(1-(IF(T216="",-1,T216)&gt;=1)*(IF(T216="",-1,T216)&lt;=3))*(1-(IF(T216="",-1,T216)=0)),IF(C216="peso_corporal",IF(ISNUMBER(E216),E216,0)+R216,R216)*(30+S216)*100+R216,0)=AA216,5,IF(IF((P216&gt;=6)*(1-(IF(Q216="",-1,Q216)&gt;=1)*(IF(Q216="",-1,Q216)&lt;=3))*(1-(IF(Q216="",-1,Q216)=0)),IF(C216="peso_corporal",IF(ISNUMBER(E216),E216,0)+O216,O216)*(30+P216)*100+O216,0)=AA216,4,IF(IF((M216&gt;=6)*(1-(IF(N216="",-1,N216)&gt;=1)*(IF(N216="",-1,N216)&lt;=3))*(1-(IF(N216="",-1,N216)=0)),IF(C216="peso_corporal",IF(ISNUMBER(E216),E216,0)+L216,L216)*(30+M216)*100+L216,0)=AA216,3,IF(IF((J216&gt;=6)*(1-(IF(K216="",-1,K216)&gt;=1)*(IF(K216="",-1,K216)&lt;=3))*(1-(IF(K216="",-1,K216)=0)),IF(C216="peso_corporal",IF(ISNUMBER(E216),E216,0)+I216,I216)*(30+J216)*100+I216,0)=AA216,2,IF(IF((G216&gt;=6)*(1-(IF(H216="",-1,H216)&gt;=1)*(IF(H216="",-1,H216)&lt;=3))*(1-(IF(H216="",-1,H216)=0)),IF(C216="peso_corporal",IF(ISNUMBER(E216),E216,0)+F216,F216)*(30+G216)*100+F216,0)=AA216,1,0))))))</f>
        <v>0</v>
      </c>
      <c r="AC216" s="69" t="str">
        <f>IF(X216&gt;0,"A"&amp;X216,IF(Z216&gt;0,"B"&amp;Z216,IF(AB216&gt;0,"C"&amp;AB216,"")))</f>
        <v/>
      </c>
    </row>
    <row r="217" spans="1:29" ht="15" customHeight="1">
      <c r="A217" s="72" t="s">
        <v>56</v>
      </c>
      <c r="B217" s="73"/>
      <c r="C217" s="73"/>
      <c r="D217" s="73"/>
      <c r="E217" s="73"/>
      <c r="F217" s="73"/>
      <c r="G217" s="73"/>
      <c r="H217" s="73"/>
      <c r="I217" s="73"/>
      <c r="J217" s="73"/>
      <c r="K217" s="73"/>
      <c r="L217" s="73"/>
      <c r="M217" s="73"/>
      <c r="N217" s="73"/>
      <c r="O217" s="73"/>
      <c r="P217" s="73"/>
      <c r="Q217" s="73"/>
      <c r="R217" s="73"/>
      <c r="S217" s="73"/>
      <c r="T217" s="73"/>
      <c r="U217" s="73"/>
      <c r="V217" s="73"/>
      <c r="W217" s="69"/>
      <c r="X217" s="69"/>
      <c r="Y217" s="69"/>
      <c r="Z217" s="69"/>
      <c r="AA217" s="69"/>
      <c r="AB217" s="69"/>
      <c r="AC217" s="69"/>
    </row>
    <row r="218" spans="1:29" ht="20.100000000000001" customHeight="1">
      <c r="A218" s="14" t="s">
        <v>57</v>
      </c>
      <c r="B218" s="15" t="s">
        <v>58</v>
      </c>
      <c r="C218" s="16" t="str">
        <f>IFERROR(INDEX(EJERCICIOS!$D$3:$D$75,MATCH(A218&amp;"|"&amp;B218,EJERCICIOS!$G$3:$G$75,0)),"--")</f>
        <v>polea</v>
      </c>
      <c r="D218" s="17">
        <v>3</v>
      </c>
      <c r="E218" s="18">
        <f>IFERROR(LOOKUP(2,1/(MEDIDAS_Y_PESO!$B$3:$B$12&lt;&gt;""),MEDIDAS_Y_PESO!$B$3:$B$12),"--")</f>
        <v>80</v>
      </c>
      <c r="F218" s="19"/>
      <c r="G218" s="20"/>
      <c r="H218" s="21"/>
      <c r="I218" s="19"/>
      <c r="J218" s="20"/>
      <c r="K218" s="21"/>
      <c r="L218" s="19"/>
      <c r="M218" s="20"/>
      <c r="N218" s="21"/>
      <c r="O218" s="19"/>
      <c r="P218" s="20"/>
      <c r="Q218" s="21"/>
      <c r="R218" s="19"/>
      <c r="S218" s="20"/>
      <c r="T218" s="21"/>
      <c r="U218" s="22" t="str">
        <f>IFERROR(IF(IF(X218&gt;0,X218,IF(Z218&gt;0,Z218,IF(AB218&gt;0,AB218,0)))=0,"--",ROUND(CHOOSE(IF(X218&gt;0,X218,IF(Z218&gt;0,Z218,IF(AB218&gt;0,AB218,0))),IF(C218="peso_corporal",IF(ISNUMBER(E218),E218,0)+F218,F218)*(1+G218/30),IF(C218="peso_corporal",IF(ISNUMBER(E218),E218,0)+I218,I218)*(1+J218/30),IF(C218="peso_corporal",IF(ISNUMBER(E218),E218,0)+L218,L218)*(1+M218/30),IF(C218="peso_corporal",IF(ISNUMBER(E218),E218,0)+O218,O218)*(1+P218/30),IF(C218="peso_corporal",IF(ISNUMBER(E218),E218,0)+R218,R218)*(1+S218/30)),1)),"--")</f>
        <v>--</v>
      </c>
      <c r="V218" s="23" t="str">
        <f>IF(SUGERENCIAS!N592="SIN","Sin datos anteriores",IF(SUGERENCIAS!N592="SUBIR_F","^ SUBIR FUERTE | Kg:"&amp;ROUND(SUGERENCIAS!K592,1)&amp;" R:"&amp;ROUND(SUGERENCIAS!L592,0)&amp;" RIR:"&amp;ROUND(SUGERENCIAS!M592,0),IF(SUGERENCIAS!N592="SUBIR_E","^ SUBIR (Est.) | Kg:"&amp;ROUND(SUGERENCIAS!K592,1)&amp;" R:"&amp;ROUND(SUGERENCIAS!L592,0)&amp;" RIR:"&amp;ROUND(SUGERENCIAS!M592,0),IF(SUGERENCIAS!N592="SUBIR","^ SUBIR | Kg:"&amp;ROUND(SUGERENCIAS!K592,1)&amp;" R:"&amp;ROUND(SUGERENCIAS!L592,0)&amp;" RIR:"&amp;ROUND(SUGERENCIAS!M592,0),IF(SUGERENCIAS!N592="BAJAR","v BAJAR | Kg:"&amp;ROUND(SUGERENCIAS!K592,1)&amp;" R:"&amp;ROUND(SUGERENCIAS!L592,0)&amp;" RIR:"&amp;ROUND(SUGERENCIAS!M592,0),"= MANT | Kg:"&amp;ROUND(SUGERENCIAS!K592,1)&amp;" R:"&amp;ROUND(SUGERENCIAS!L592,0)&amp;" RIR:"&amp;ROUND(SUGERENCIAS!M592,0))))))</f>
        <v>Sin datos anteriores</v>
      </c>
      <c r="W218" s="69">
        <f>MAX(IF((G218&gt;0)*(IF(H218="",-1,H218)&gt;=1)*(IF(H218="",-1,H218)&lt;=3),IF(C218="peso_corporal",IF(ISNUMBER(E218),E218,0)+F218,F218)*G218*1000+F218,0),IF((J218&gt;0)*(IF(K218="",-1,K218)&gt;=1)*(IF(K218="",-1,K218)&lt;=3),IF(C218="peso_corporal",IF(ISNUMBER(E218),E218,0)+I218,I218)*J218*1000+I218,0),IF((M218&gt;0)*(IF(N218="",-1,N218)&gt;=1)*(IF(N218="",-1,N218)&lt;=3),IF(C218="peso_corporal",IF(ISNUMBER(E218),E218,0)+L218,L218)*M218*1000+L218,0),IF((P218&gt;0)*(IF(Q218="",-1,Q218)&gt;=1)*(IF(Q218="",-1,Q218)&lt;=3),IF(C218="peso_corporal",IF(ISNUMBER(E218),E218,0)+O218,O218)*P218*1000+O218,0),IF((S218&gt;0)*(IF(T218="",-1,T218)&gt;=1)*(IF(T218="",-1,T218)&lt;=3),IF(C218="peso_corporal",IF(ISNUMBER(E218),E218,0)+R218,R218)*S218*1000+R218,0))</f>
        <v>0</v>
      </c>
      <c r="X218" s="69">
        <f>IF(W218=0,0,IF(IF((S218&gt;0)*(IF(T218="",-1,T218)&gt;=1)*(IF(T218="",-1,T218)&lt;=3),IF(C218="peso_corporal",IF(ISNUMBER(E218),E218,0)+R218,R218)*S218*1000+R218,0)=W218,5,IF(IF((P218&gt;0)*(IF(Q218="",-1,Q218)&gt;=1)*(IF(Q218="",-1,Q218)&lt;=3),IF(C218="peso_corporal",IF(ISNUMBER(E218),E218,0)+O218,O218)*P218*1000+O218,0)=W218,4,IF(IF((M218&gt;0)*(IF(N218="",-1,N218)&gt;=1)*(IF(N218="",-1,N218)&lt;=3),IF(C218="peso_corporal",IF(ISNUMBER(E218),E218,0)+L218,L218)*M218*1000+L218,0)=W218,3,IF(IF((J218&gt;0)*(IF(K218="",-1,K218)&gt;=1)*(IF(K218="",-1,K218)&lt;=3),IF(C218="peso_corporal",IF(ISNUMBER(E218),E218,0)+I218,I218)*J218*1000+I218,0)=W218,2,IF(IF((G218&gt;0)*(IF(H218="",-1,H218)&gt;=1)*(IF(H218="",-1,H218)&lt;=3),IF(C218="peso_corporal",IF(ISNUMBER(E218),E218,0)+F218,F218)*G218*1000+F218,0)=W218,1,0))))))</f>
        <v>0</v>
      </c>
      <c r="Y218" s="69">
        <f>MAX(IF((G218&gt;0)*(IF(H218="",-1,H218)=0)*(1-(IF(H218="",-1,H218)&gt;=1)*(IF(H218="",-1,H218)&lt;=3)),IF(C218="peso_corporal",IF(ISNUMBER(E218),E218,0)+F218,F218)*G218*1000+F218,0),IF((J218&gt;0)*(IF(K218="",-1,K218)=0)*(1-(IF(K218="",-1,K218)&gt;=1)*(IF(K218="",-1,K218)&lt;=3)),IF(C218="peso_corporal",IF(ISNUMBER(E218),E218,0)+I218,I218)*J218*1000+I218,0),IF((M218&gt;0)*(IF(N218="",-1,N218)=0)*(1-(IF(N218="",-1,N218)&gt;=1)*(IF(N218="",-1,N218)&lt;=3)),IF(C218="peso_corporal",IF(ISNUMBER(E218),E218,0)+L218,L218)*M218*1000+L218,0),IF((P218&gt;0)*(IF(Q218="",-1,Q218)=0)*(1-(IF(Q218="",-1,Q218)&gt;=1)*(IF(Q218="",-1,Q218)&lt;=3)),IF(C218="peso_corporal",IF(ISNUMBER(E218),E218,0)+O218,O218)*P218*1000+O218,0),IF((S218&gt;0)*(IF(T218="",-1,T218)=0)*(1-(IF(T218="",-1,T218)&gt;=1)*(IF(T218="",-1,T218)&lt;=3)),IF(C218="peso_corporal",IF(ISNUMBER(E218),E218,0)+R218,R218)*S218*1000+R218,0))</f>
        <v>0</v>
      </c>
      <c r="Z218" s="69">
        <f>IF(Y218=0,0,IF(IF((S218&gt;0)*(IF(T218="",-1,T218)=0)*(1-(IF(T218="",-1,T218)&gt;=1)*(IF(T218="",-1,T218)&lt;=3)),IF(C218="peso_corporal",IF(ISNUMBER(E218),E218,0)+R218,R218)*S218*1000+R218,0)=Y218,5,IF(IF((P218&gt;0)*(IF(Q218="",-1,Q218)=0)*(1-(IF(Q218="",-1,Q218)&gt;=1)*(IF(Q218="",-1,Q218)&lt;=3)),IF(C218="peso_corporal",IF(ISNUMBER(E218),E218,0)+O218,O218)*P218*1000+O218,0)=Y218,4,IF(IF((M218&gt;0)*(IF(N218="",-1,N218)=0)*(1-(IF(N218="",-1,N218)&gt;=1)*(IF(N218="",-1,N218)&lt;=3)),IF(C218="peso_corporal",IF(ISNUMBER(E218),E218,0)+L218,L218)*M218*1000+L218,0)=Y218,3,IF(IF((J218&gt;0)*(IF(K218="",-1,K218)=0)*(1-(IF(K218="",-1,K218)&gt;=1)*(IF(K218="",-1,K218)&lt;=3)),IF(C218="peso_corporal",IF(ISNUMBER(E218),E218,0)+I218,I218)*J218*1000+I218,0)=Y218,2,IF(IF((G218&gt;0)*(IF(H218="",-1,H218)=0)*(1-(IF(H218="",-1,H218)&gt;=1)*(IF(H218="",-1,H218)&lt;=3)),IF(C218="peso_corporal",IF(ISNUMBER(E218),E218,0)+F218,F218)*G218*1000+F218,0)=Y218,1,0))))))</f>
        <v>0</v>
      </c>
      <c r="AA218" s="69">
        <f>MAX(IF((G218&gt;=6)*(1-(IF(H218="",-1,H218)&gt;=1)*(IF(H218="",-1,H218)&lt;=3))*(1-(IF(H218="",-1,H218)=0)),IF(C218="peso_corporal",IF(ISNUMBER(E218),E218,0)+F218,F218)*(30+G218)*100+F218,0),IF((J218&gt;=6)*(1-(IF(K218="",-1,K218)&gt;=1)*(IF(K218="",-1,K218)&lt;=3))*(1-(IF(K218="",-1,K218)=0)),IF(C218="peso_corporal",IF(ISNUMBER(E218),E218,0)+I218,I218)*(30+J218)*100+I218,0),IF((M218&gt;=6)*(1-(IF(N218="",-1,N218)&gt;=1)*(IF(N218="",-1,N218)&lt;=3))*(1-(IF(N218="",-1,N218)=0)),IF(C218="peso_corporal",IF(ISNUMBER(E218),E218,0)+L218,L218)*(30+M218)*100+L218,0),IF((P218&gt;=6)*(1-(IF(Q218="",-1,Q218)&gt;=1)*(IF(Q218="",-1,Q218)&lt;=3))*(1-(IF(Q218="",-1,Q218)=0)),IF(C218="peso_corporal",IF(ISNUMBER(E218),E218,0)+O218,O218)*(30+P218)*100+O218,0),IF((S218&gt;=6)*(1-(IF(T218="",-1,T218)&gt;=1)*(IF(T218="",-1,T218)&lt;=3))*(1-(IF(T218="",-1,T218)=0)),IF(C218="peso_corporal",IF(ISNUMBER(E218),E218,0)+R218,R218)*(30+S218)*100+R218,0))</f>
        <v>0</v>
      </c>
      <c r="AB218" s="69">
        <f>IF(AA218=0,0,IF(IF((S218&gt;=6)*(1-(IF(T218="",-1,T218)&gt;=1)*(IF(T218="",-1,T218)&lt;=3))*(1-(IF(T218="",-1,T218)=0)),IF(C218="peso_corporal",IF(ISNUMBER(E218),E218,0)+R218,R218)*(30+S218)*100+R218,0)=AA218,5,IF(IF((P218&gt;=6)*(1-(IF(Q218="",-1,Q218)&gt;=1)*(IF(Q218="",-1,Q218)&lt;=3))*(1-(IF(Q218="",-1,Q218)=0)),IF(C218="peso_corporal",IF(ISNUMBER(E218),E218,0)+O218,O218)*(30+P218)*100+O218,0)=AA218,4,IF(IF((M218&gt;=6)*(1-(IF(N218="",-1,N218)&gt;=1)*(IF(N218="",-1,N218)&lt;=3))*(1-(IF(N218="",-1,N218)=0)),IF(C218="peso_corporal",IF(ISNUMBER(E218),E218,0)+L218,L218)*(30+M218)*100+L218,0)=AA218,3,IF(IF((J218&gt;=6)*(1-(IF(K218="",-1,K218)&gt;=1)*(IF(K218="",-1,K218)&lt;=3))*(1-(IF(K218="",-1,K218)=0)),IF(C218="peso_corporal",IF(ISNUMBER(E218),E218,0)+I218,I218)*(30+J218)*100+I218,0)=AA218,2,IF(IF((G218&gt;=6)*(1-(IF(H218="",-1,H218)&gt;=1)*(IF(H218="",-1,H218)&lt;=3))*(1-(IF(H218="",-1,H218)=0)),IF(C218="peso_corporal",IF(ISNUMBER(E218),E218,0)+F218,F218)*(30+G218)*100+F218,0)=AA218,1,0))))))</f>
        <v>0</v>
      </c>
      <c r="AC218" s="69" t="str">
        <f>IF(X218&gt;0,"A"&amp;X218,IF(Z218&gt;0,"B"&amp;Z218,IF(AB218&gt;0,"C"&amp;AB218,"")))</f>
        <v/>
      </c>
    </row>
    <row r="219" spans="1:29" ht="6"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69"/>
      <c r="X219" s="69"/>
      <c r="Y219" s="69"/>
      <c r="Z219" s="69"/>
      <c r="AA219" s="69"/>
      <c r="AB219" s="69"/>
      <c r="AC219" s="69"/>
    </row>
    <row r="220" spans="1:29" ht="18" customHeight="1">
      <c r="A220" s="85" t="s">
        <v>76</v>
      </c>
      <c r="B220" s="73"/>
      <c r="C220" s="73"/>
      <c r="D220" s="73"/>
      <c r="E220" s="73"/>
      <c r="F220" s="73"/>
      <c r="G220" s="73"/>
      <c r="H220" s="73"/>
      <c r="I220" s="73"/>
      <c r="J220" s="73"/>
      <c r="K220" s="73"/>
      <c r="L220" s="73"/>
      <c r="M220" s="73"/>
      <c r="N220" s="73"/>
      <c r="O220" s="73"/>
      <c r="P220" s="73"/>
      <c r="Q220" s="73"/>
      <c r="R220" s="73"/>
      <c r="S220" s="73"/>
      <c r="T220" s="73"/>
      <c r="U220" s="73"/>
      <c r="V220" s="73"/>
      <c r="W220" s="69"/>
      <c r="X220" s="69"/>
      <c r="Y220" s="69"/>
      <c r="Z220" s="69"/>
      <c r="AA220" s="69"/>
      <c r="AB220" s="69"/>
      <c r="AC220" s="69"/>
    </row>
    <row r="221" spans="1:29" ht="15" customHeight="1">
      <c r="A221" s="75" t="s">
        <v>88</v>
      </c>
      <c r="B221" s="73"/>
      <c r="C221" s="73"/>
      <c r="D221" s="73"/>
      <c r="E221" s="73"/>
      <c r="F221" s="73"/>
      <c r="G221" s="73"/>
      <c r="H221" s="73"/>
      <c r="I221" s="73"/>
      <c r="J221" s="73"/>
      <c r="K221" s="73"/>
      <c r="L221" s="73"/>
      <c r="M221" s="73"/>
      <c r="N221" s="73"/>
      <c r="O221" s="73"/>
      <c r="P221" s="73"/>
      <c r="Q221" s="73"/>
      <c r="R221" s="73"/>
      <c r="S221" s="73"/>
      <c r="T221" s="73"/>
      <c r="U221" s="73"/>
      <c r="V221" s="73"/>
      <c r="W221" s="69"/>
      <c r="X221" s="69"/>
      <c r="Y221" s="69"/>
      <c r="Z221" s="69"/>
      <c r="AA221" s="69"/>
      <c r="AB221" s="69"/>
      <c r="AC221" s="69"/>
    </row>
    <row r="222" spans="1:29" ht="11.1" customHeight="1">
      <c r="A222" s="76" t="s">
        <v>89</v>
      </c>
      <c r="B222" s="73"/>
      <c r="C222" s="73"/>
      <c r="D222" s="73"/>
      <c r="E222" s="73"/>
      <c r="F222" s="73"/>
      <c r="G222" s="73"/>
      <c r="H222" s="73"/>
      <c r="I222" s="73"/>
      <c r="J222" s="73"/>
      <c r="K222" s="73"/>
      <c r="L222" s="73"/>
      <c r="M222" s="73"/>
      <c r="N222" s="73"/>
      <c r="O222" s="73"/>
      <c r="P222" s="73"/>
      <c r="Q222" s="73"/>
      <c r="R222" s="73"/>
      <c r="S222" s="73"/>
      <c r="T222" s="73"/>
      <c r="U222" s="73"/>
      <c r="V222" s="73"/>
      <c r="W222" s="69"/>
      <c r="X222" s="69"/>
      <c r="Y222" s="69"/>
      <c r="Z222" s="69"/>
      <c r="AA222" s="69"/>
      <c r="AB222" s="69"/>
      <c r="AC222" s="69"/>
    </row>
    <row r="223" spans="1:29" ht="20.100000000000001" customHeight="1">
      <c r="A223" s="14" t="s">
        <v>90</v>
      </c>
      <c r="B223" s="15" t="s">
        <v>91</v>
      </c>
      <c r="C223" s="16" t="str">
        <f>IFERROR(INDEX(EJERCICIOS!$D$3:$D$75,MATCH(A223&amp;"|"&amp;B223,EJERCICIOS!$G$3:$G$75,0)),"--")</f>
        <v>peso_corporal</v>
      </c>
      <c r="D223" s="17">
        <v>3</v>
      </c>
      <c r="E223" s="18">
        <f>IFERROR(LOOKUP(2,1/(MEDIDAS_Y_PESO!$B$3:$B$13&lt;&gt;""),MEDIDAS_Y_PESO!$B$3:$B$13),"--")</f>
        <v>80</v>
      </c>
      <c r="F223" s="19"/>
      <c r="G223" s="20"/>
      <c r="H223" s="21"/>
      <c r="I223" s="19"/>
      <c r="J223" s="20"/>
      <c r="K223" s="21"/>
      <c r="L223" s="19"/>
      <c r="M223" s="20"/>
      <c r="N223" s="21"/>
      <c r="O223" s="19"/>
      <c r="P223" s="20"/>
      <c r="Q223" s="21"/>
      <c r="R223" s="19"/>
      <c r="S223" s="20"/>
      <c r="T223" s="21"/>
      <c r="U223" s="22" t="str">
        <f>IFERROR(IF(IF(X223&gt;0,X223,IF(Z223&gt;0,Z223,IF(AB223&gt;0,AB223,0)))=0,"--",ROUND(CHOOSE(IF(X223&gt;0,X223,IF(Z223&gt;0,Z223,IF(AB223&gt;0,AB223,0))),IF(C223="peso_corporal",IF(ISNUMBER(E223),E223,0)+F223,F223)*(1+G223/30),IF(C223="peso_corporal",IF(ISNUMBER(E223),E223,0)+I223,I223)*(1+J223/30),IF(C223="peso_corporal",IF(ISNUMBER(E223),E223,0)+L223,L223)*(1+M223/30),IF(C223="peso_corporal",IF(ISNUMBER(E223),E223,0)+O223,O223)*(1+P223/30),IF(C223="peso_corporal",IF(ISNUMBER(E223),E223,0)+R223,R223)*(1+S223/30)),1)),"--")</f>
        <v>--</v>
      </c>
      <c r="V223" s="23" t="str">
        <f>IF(SUGERENCIAS!N645="SIN","Sin datos anteriores",IF(SUGERENCIAS!N645="SUBIR_F","^ SUBIR FUERTE | Kg:"&amp;ROUND(SUGERENCIAS!K645,1)&amp;" R:"&amp;ROUND(SUGERENCIAS!L645,0)&amp;" RIR:"&amp;ROUND(SUGERENCIAS!M645,0),IF(SUGERENCIAS!N645="SUBIR_E","^ SUBIR (Est.) | Kg:"&amp;ROUND(SUGERENCIAS!K645,1)&amp;" R:"&amp;ROUND(SUGERENCIAS!L645,0)&amp;" RIR:"&amp;ROUND(SUGERENCIAS!M645,0),IF(SUGERENCIAS!N645="SUBIR","^ SUBIR | Kg:"&amp;ROUND(SUGERENCIAS!K645,1)&amp;" R:"&amp;ROUND(SUGERENCIAS!L645,0)&amp;" RIR:"&amp;ROUND(SUGERENCIAS!M645,0),IF(SUGERENCIAS!N645="BAJAR","v BAJAR | Kg:"&amp;ROUND(SUGERENCIAS!K645,1)&amp;" R:"&amp;ROUND(SUGERENCIAS!L645,0)&amp;" RIR:"&amp;ROUND(SUGERENCIAS!M645,0),"= MANT | Kg:"&amp;ROUND(SUGERENCIAS!K645,1)&amp;" R:"&amp;ROUND(SUGERENCIAS!L645,0)&amp;" RIR:"&amp;ROUND(SUGERENCIAS!M645,0))))))</f>
        <v>Sin datos anteriores</v>
      </c>
      <c r="W223" s="69">
        <f>MAX(IF((G223&gt;0)*(IF(H223="",-1,H223)&gt;=0)*(IF(H223="",-1,H223)&lt;=1),IF(C223="peso_corporal",IF(ISNUMBER(E223),E223,0)+F223,F223)*G223*1000+F223,0),IF((J223&gt;0)*(IF(K223="",-1,K223)&gt;=0)*(IF(K223="",-1,K223)&lt;=1),IF(C223="peso_corporal",IF(ISNUMBER(E223),E223,0)+I223,I223)*J223*1000+I223,0),IF((M223&gt;0)*(IF(N223="",-1,N223)&gt;=0)*(IF(N223="",-1,N223)&lt;=1),IF(C223="peso_corporal",IF(ISNUMBER(E223),E223,0)+L223,L223)*M223*1000+L223,0),IF((P223&gt;0)*(IF(Q223="",-1,Q223)&gt;=0)*(IF(Q223="",-1,Q223)&lt;=1),IF(C223="peso_corporal",IF(ISNUMBER(E223),E223,0)+O223,O223)*P223*1000+O223,0),IF((S223&gt;0)*(IF(T223="",-1,T223)&gt;=0)*(IF(T223="",-1,T223)&lt;=1),IF(C223="peso_corporal",IF(ISNUMBER(E223),E223,0)+R223,R223)*S223*1000+R223,0))</f>
        <v>0</v>
      </c>
      <c r="X223" s="69">
        <f>IF(W223=0,0,IF(IF((S223&gt;0)*(IF(T223="",-1,T223)&gt;=0)*(IF(T223="",-1,T223)&lt;=1),IF(C223="peso_corporal",IF(ISNUMBER(E223),E223,0)+R223,R223)*S223*1000+R223,0)=W223,5,IF(IF((P223&gt;0)*(IF(Q223="",-1,Q223)&gt;=0)*(IF(Q223="",-1,Q223)&lt;=1),IF(C223="peso_corporal",IF(ISNUMBER(E223),E223,0)+O223,O223)*P223*1000+O223,0)=W223,4,IF(IF((M223&gt;0)*(IF(N223="",-1,N223)&gt;=0)*(IF(N223="",-1,N223)&lt;=1),IF(C223="peso_corporal",IF(ISNUMBER(E223),E223,0)+L223,L223)*M223*1000+L223,0)=W223,3,IF(IF((J223&gt;0)*(IF(K223="",-1,K223)&gt;=0)*(IF(K223="",-1,K223)&lt;=1),IF(C223="peso_corporal",IF(ISNUMBER(E223),E223,0)+I223,I223)*J223*1000+I223,0)=W223,2,IF(IF((G223&gt;0)*(IF(H223="",-1,H223)&gt;=0)*(IF(H223="",-1,H223)&lt;=1),IF(C223="peso_corporal",IF(ISNUMBER(E223),E223,0)+F223,F223)*G223*1000+F223,0)=W223,1,0))))))</f>
        <v>0</v>
      </c>
      <c r="Y223" s="69">
        <f>MAX(IF((G223&gt;0)*(IF(H223="",-1,H223)=0)*(1-(IF(H223="",-1,H223)&gt;=0)*(IF(H223="",-1,H223)&lt;=1)),IF(C223="peso_corporal",IF(ISNUMBER(E223),E223,0)+F223,F223)*G223*1000+F223,0),IF((J223&gt;0)*(IF(K223="",-1,K223)=0)*(1-(IF(K223="",-1,K223)&gt;=0)*(IF(K223="",-1,K223)&lt;=1)),IF(C223="peso_corporal",IF(ISNUMBER(E223),E223,0)+I223,I223)*J223*1000+I223,0),IF((M223&gt;0)*(IF(N223="",-1,N223)=0)*(1-(IF(N223="",-1,N223)&gt;=0)*(IF(N223="",-1,N223)&lt;=1)),IF(C223="peso_corporal",IF(ISNUMBER(E223),E223,0)+L223,L223)*M223*1000+L223,0),IF((P223&gt;0)*(IF(Q223="",-1,Q223)=0)*(1-(IF(Q223="",-1,Q223)&gt;=0)*(IF(Q223="",-1,Q223)&lt;=1)),IF(C223="peso_corporal",IF(ISNUMBER(E223),E223,0)+O223,O223)*P223*1000+O223,0),IF((S223&gt;0)*(IF(T223="",-1,T223)=0)*(1-(IF(T223="",-1,T223)&gt;=0)*(IF(T223="",-1,T223)&lt;=1)),IF(C223="peso_corporal",IF(ISNUMBER(E223),E223,0)+R223,R223)*S223*1000+R223,0))</f>
        <v>0</v>
      </c>
      <c r="Z223" s="69">
        <f>IF(Y223=0,0,IF(IF((S223&gt;0)*(IF(T223="",-1,T223)=0)*(1-(IF(T223="",-1,T223)&gt;=0)*(IF(T223="",-1,T223)&lt;=1)),IF(C223="peso_corporal",IF(ISNUMBER(E223),E223,0)+R223,R223)*S223*1000+R223,0)=Y223,5,IF(IF((P223&gt;0)*(IF(Q223="",-1,Q223)=0)*(1-(IF(Q223="",-1,Q223)&gt;=0)*(IF(Q223="",-1,Q223)&lt;=1)),IF(C223="peso_corporal",IF(ISNUMBER(E223),E223,0)+O223,O223)*P223*1000+O223,0)=Y223,4,IF(IF((M223&gt;0)*(IF(N223="",-1,N223)=0)*(1-(IF(N223="",-1,N223)&gt;=0)*(IF(N223="",-1,N223)&lt;=1)),IF(C223="peso_corporal",IF(ISNUMBER(E223),E223,0)+L223,L223)*M223*1000+L223,0)=Y223,3,IF(IF((J223&gt;0)*(IF(K223="",-1,K223)=0)*(1-(IF(K223="",-1,K223)&gt;=0)*(IF(K223="",-1,K223)&lt;=1)),IF(C223="peso_corporal",IF(ISNUMBER(E223),E223,0)+I223,I223)*J223*1000+I223,0)=Y223,2,IF(IF((G223&gt;0)*(IF(H223="",-1,H223)=0)*(1-(IF(H223="",-1,H223)&gt;=0)*(IF(H223="",-1,H223)&lt;=1)),IF(C223="peso_corporal",IF(ISNUMBER(E223),E223,0)+F223,F223)*G223*1000+F223,0)=Y223,1,0))))))</f>
        <v>0</v>
      </c>
      <c r="AA223" s="69">
        <f>MAX(IF((G223&gt;=3)*(1-(IF(H223="",-1,H223)&gt;=0)*(IF(H223="",-1,H223)&lt;=1))*(1-(IF(H223="",-1,H223)=0)),IF(C223="peso_corporal",IF(ISNUMBER(E223),E223,0)+F223,F223)*(30+G223)*100+F223,0),IF((J223&gt;=3)*(1-(IF(K223="",-1,K223)&gt;=0)*(IF(K223="",-1,K223)&lt;=1))*(1-(IF(K223="",-1,K223)=0)),IF(C223="peso_corporal",IF(ISNUMBER(E223),E223,0)+I223,I223)*(30+J223)*100+I223,0),IF((M223&gt;=3)*(1-(IF(N223="",-1,N223)&gt;=0)*(IF(N223="",-1,N223)&lt;=1))*(1-(IF(N223="",-1,N223)=0)),IF(C223="peso_corporal",IF(ISNUMBER(E223),E223,0)+L223,L223)*(30+M223)*100+L223,0),IF((P223&gt;=3)*(1-(IF(Q223="",-1,Q223)&gt;=0)*(IF(Q223="",-1,Q223)&lt;=1))*(1-(IF(Q223="",-1,Q223)=0)),IF(C223="peso_corporal",IF(ISNUMBER(E223),E223,0)+O223,O223)*(30+P223)*100+O223,0),IF((S223&gt;=3)*(1-(IF(T223="",-1,T223)&gt;=0)*(IF(T223="",-1,T223)&lt;=1))*(1-(IF(T223="",-1,T223)=0)),IF(C223="peso_corporal",IF(ISNUMBER(E223),E223,0)+R223,R223)*(30+S223)*100+R223,0))</f>
        <v>0</v>
      </c>
      <c r="AB223" s="69">
        <f>IF(AA223=0,0,IF(IF((S223&gt;=3)*(1-(IF(T223="",-1,T223)&gt;=0)*(IF(T223="",-1,T223)&lt;=1))*(1-(IF(T223="",-1,T223)=0)),IF(C223="peso_corporal",IF(ISNUMBER(E223),E223,0)+R223,R223)*(30+S223)*100+R223,0)=AA223,5,IF(IF((P223&gt;=3)*(1-(IF(Q223="",-1,Q223)&gt;=0)*(IF(Q223="",-1,Q223)&lt;=1))*(1-(IF(Q223="",-1,Q223)=0)),IF(C223="peso_corporal",IF(ISNUMBER(E223),E223,0)+O223,O223)*(30+P223)*100+O223,0)=AA223,4,IF(IF((M223&gt;=3)*(1-(IF(N223="",-1,N223)&gt;=0)*(IF(N223="",-1,N223)&lt;=1))*(1-(IF(N223="",-1,N223)=0)),IF(C223="peso_corporal",IF(ISNUMBER(E223),E223,0)+L223,L223)*(30+M223)*100+L223,0)=AA223,3,IF(IF((J223&gt;=3)*(1-(IF(K223="",-1,K223)&gt;=0)*(IF(K223="",-1,K223)&lt;=1))*(1-(IF(K223="",-1,K223)=0)),IF(C223="peso_corporal",IF(ISNUMBER(E223),E223,0)+I223,I223)*(30+J223)*100+I223,0)=AA223,2,IF(IF((G223&gt;=3)*(1-(IF(H223="",-1,H223)&gt;=0)*(IF(H223="",-1,H223)&lt;=1))*(1-(IF(H223="",-1,H223)=0)),IF(C223="peso_corporal",IF(ISNUMBER(E223),E223,0)+F223,F223)*(30+G223)*100+F223,0)=AA223,1,0))))))</f>
        <v>0</v>
      </c>
      <c r="AC223" s="69" t="str">
        <f>IF(X223&gt;0,"A"&amp;X223,IF(Z223&gt;0,"B"&amp;Z223,IF(AB223&gt;0,"C"&amp;AB223,"")))</f>
        <v/>
      </c>
    </row>
    <row r="224" spans="1:29" ht="20.100000000000001" customHeight="1">
      <c r="A224" s="14" t="s">
        <v>92</v>
      </c>
      <c r="B224" s="15" t="s">
        <v>108</v>
      </c>
      <c r="C224" s="16" t="str">
        <f>IFERROR(INDEX(EJERCICIOS!$D$3:$D$75,MATCH(A224&amp;"|"&amp;B224,EJERCICIOS!$G$3:$G$75,0)),"--")</f>
        <v>polea</v>
      </c>
      <c r="D224" s="17">
        <v>3</v>
      </c>
      <c r="E224" s="18">
        <f>IFERROR(LOOKUP(2,1/(MEDIDAS_Y_PESO!$B$3:$B$13&lt;&gt;""),MEDIDAS_Y_PESO!$B$3:$B$13),"--")</f>
        <v>80</v>
      </c>
      <c r="F224" s="19"/>
      <c r="G224" s="20"/>
      <c r="H224" s="21"/>
      <c r="I224" s="19"/>
      <c r="J224" s="20"/>
      <c r="K224" s="21"/>
      <c r="L224" s="19"/>
      <c r="M224" s="20"/>
      <c r="N224" s="21"/>
      <c r="O224" s="19"/>
      <c r="P224" s="20"/>
      <c r="Q224" s="21"/>
      <c r="R224" s="19"/>
      <c r="S224" s="20"/>
      <c r="T224" s="21"/>
      <c r="U224" s="22" t="str">
        <f>IFERROR(IF(IF(X224&gt;0,X224,IF(Z224&gt;0,Z224,IF(AB224&gt;0,AB224,0)))=0,"--",ROUND(CHOOSE(IF(X224&gt;0,X224,IF(Z224&gt;0,Z224,IF(AB224&gt;0,AB224,0))),IF(C224="peso_corporal",IF(ISNUMBER(E224),E224,0)+F224,F224)*(1+G224/30),IF(C224="peso_corporal",IF(ISNUMBER(E224),E224,0)+I224,I224)*(1+J224/30),IF(C224="peso_corporal",IF(ISNUMBER(E224),E224,0)+L224,L224)*(1+M224/30),IF(C224="peso_corporal",IF(ISNUMBER(E224),E224,0)+O224,O224)*(1+P224/30),IF(C224="peso_corporal",IF(ISNUMBER(E224),E224,0)+R224,R224)*(1+S224/30)),1)),"--")</f>
        <v>--</v>
      </c>
      <c r="V224" s="23" t="str">
        <f>IF(SUGERENCIAS!N646="SIN","Sin datos anteriores",IF(SUGERENCIAS!N646="SUBIR_F","^ SUBIR FUERTE | Kg:"&amp;ROUND(SUGERENCIAS!K646,1)&amp;" R:"&amp;ROUND(SUGERENCIAS!L646,0)&amp;" RIR:"&amp;ROUND(SUGERENCIAS!M646,0),IF(SUGERENCIAS!N646="SUBIR_E","^ SUBIR (Est.) | Kg:"&amp;ROUND(SUGERENCIAS!K646,1)&amp;" R:"&amp;ROUND(SUGERENCIAS!L646,0)&amp;" RIR:"&amp;ROUND(SUGERENCIAS!M646,0),IF(SUGERENCIAS!N646="SUBIR","^ SUBIR | Kg:"&amp;ROUND(SUGERENCIAS!K646,1)&amp;" R:"&amp;ROUND(SUGERENCIAS!L646,0)&amp;" RIR:"&amp;ROUND(SUGERENCIAS!M646,0),IF(SUGERENCIAS!N646="BAJAR","v BAJAR | Kg:"&amp;ROUND(SUGERENCIAS!K646,1)&amp;" R:"&amp;ROUND(SUGERENCIAS!L646,0)&amp;" RIR:"&amp;ROUND(SUGERENCIAS!M646,0),"= MANT | Kg:"&amp;ROUND(SUGERENCIAS!K646,1)&amp;" R:"&amp;ROUND(SUGERENCIAS!L646,0)&amp;" RIR:"&amp;ROUND(SUGERENCIAS!M646,0))))))</f>
        <v>Sin datos anteriores</v>
      </c>
      <c r="W224" s="69">
        <f>MAX(IF((G224&gt;0)*(IF(H224="",-1,H224)&gt;=0)*(IF(H224="",-1,H224)&lt;=1),IF(C224="peso_corporal",IF(ISNUMBER(E224),E224,0)+F224,F224)*G224*1000+F224,0),IF((J224&gt;0)*(IF(K224="",-1,K224)&gt;=0)*(IF(K224="",-1,K224)&lt;=1),IF(C224="peso_corporal",IF(ISNUMBER(E224),E224,0)+I224,I224)*J224*1000+I224,0),IF((M224&gt;0)*(IF(N224="",-1,N224)&gt;=0)*(IF(N224="",-1,N224)&lt;=1),IF(C224="peso_corporal",IF(ISNUMBER(E224),E224,0)+L224,L224)*M224*1000+L224,0),IF((P224&gt;0)*(IF(Q224="",-1,Q224)&gt;=0)*(IF(Q224="",-1,Q224)&lt;=1),IF(C224="peso_corporal",IF(ISNUMBER(E224),E224,0)+O224,O224)*P224*1000+O224,0),IF((S224&gt;0)*(IF(T224="",-1,T224)&gt;=0)*(IF(T224="",-1,T224)&lt;=1),IF(C224="peso_corporal",IF(ISNUMBER(E224),E224,0)+R224,R224)*S224*1000+R224,0))</f>
        <v>0</v>
      </c>
      <c r="X224" s="69">
        <f>IF(W224=0,0,IF(IF((S224&gt;0)*(IF(T224="",-1,T224)&gt;=0)*(IF(T224="",-1,T224)&lt;=1),IF(C224="peso_corporal",IF(ISNUMBER(E224),E224,0)+R224,R224)*S224*1000+R224,0)=W224,5,IF(IF((P224&gt;0)*(IF(Q224="",-1,Q224)&gt;=0)*(IF(Q224="",-1,Q224)&lt;=1),IF(C224="peso_corporal",IF(ISNUMBER(E224),E224,0)+O224,O224)*P224*1000+O224,0)=W224,4,IF(IF((M224&gt;0)*(IF(N224="",-1,N224)&gt;=0)*(IF(N224="",-1,N224)&lt;=1),IF(C224="peso_corporal",IF(ISNUMBER(E224),E224,0)+L224,L224)*M224*1000+L224,0)=W224,3,IF(IF((J224&gt;0)*(IF(K224="",-1,K224)&gt;=0)*(IF(K224="",-1,K224)&lt;=1),IF(C224="peso_corporal",IF(ISNUMBER(E224),E224,0)+I224,I224)*J224*1000+I224,0)=W224,2,IF(IF((G224&gt;0)*(IF(H224="",-1,H224)&gt;=0)*(IF(H224="",-1,H224)&lt;=1),IF(C224="peso_corporal",IF(ISNUMBER(E224),E224,0)+F224,F224)*G224*1000+F224,0)=W224,1,0))))))</f>
        <v>0</v>
      </c>
      <c r="Y224" s="69">
        <f>MAX(IF((G224&gt;0)*(IF(H224="",-1,H224)=0)*(1-(IF(H224="",-1,H224)&gt;=0)*(IF(H224="",-1,H224)&lt;=1)),IF(C224="peso_corporal",IF(ISNUMBER(E224),E224,0)+F224,F224)*G224*1000+F224,0),IF((J224&gt;0)*(IF(K224="",-1,K224)=0)*(1-(IF(K224="",-1,K224)&gt;=0)*(IF(K224="",-1,K224)&lt;=1)),IF(C224="peso_corporal",IF(ISNUMBER(E224),E224,0)+I224,I224)*J224*1000+I224,0),IF((M224&gt;0)*(IF(N224="",-1,N224)=0)*(1-(IF(N224="",-1,N224)&gt;=0)*(IF(N224="",-1,N224)&lt;=1)),IF(C224="peso_corporal",IF(ISNUMBER(E224),E224,0)+L224,L224)*M224*1000+L224,0),IF((P224&gt;0)*(IF(Q224="",-1,Q224)=0)*(1-(IF(Q224="",-1,Q224)&gt;=0)*(IF(Q224="",-1,Q224)&lt;=1)),IF(C224="peso_corporal",IF(ISNUMBER(E224),E224,0)+O224,O224)*P224*1000+O224,0),IF((S224&gt;0)*(IF(T224="",-1,T224)=0)*(1-(IF(T224="",-1,T224)&gt;=0)*(IF(T224="",-1,T224)&lt;=1)),IF(C224="peso_corporal",IF(ISNUMBER(E224),E224,0)+R224,R224)*S224*1000+R224,0))</f>
        <v>0</v>
      </c>
      <c r="Z224" s="69">
        <f>IF(Y224=0,0,IF(IF((S224&gt;0)*(IF(T224="",-1,T224)=0)*(1-(IF(T224="",-1,T224)&gt;=0)*(IF(T224="",-1,T224)&lt;=1)),IF(C224="peso_corporal",IF(ISNUMBER(E224),E224,0)+R224,R224)*S224*1000+R224,0)=Y224,5,IF(IF((P224&gt;0)*(IF(Q224="",-1,Q224)=0)*(1-(IF(Q224="",-1,Q224)&gt;=0)*(IF(Q224="",-1,Q224)&lt;=1)),IF(C224="peso_corporal",IF(ISNUMBER(E224),E224,0)+O224,O224)*P224*1000+O224,0)=Y224,4,IF(IF((M224&gt;0)*(IF(N224="",-1,N224)=0)*(1-(IF(N224="",-1,N224)&gt;=0)*(IF(N224="",-1,N224)&lt;=1)),IF(C224="peso_corporal",IF(ISNUMBER(E224),E224,0)+L224,L224)*M224*1000+L224,0)=Y224,3,IF(IF((J224&gt;0)*(IF(K224="",-1,K224)=0)*(1-(IF(K224="",-1,K224)&gt;=0)*(IF(K224="",-1,K224)&lt;=1)),IF(C224="peso_corporal",IF(ISNUMBER(E224),E224,0)+I224,I224)*J224*1000+I224,0)=Y224,2,IF(IF((G224&gt;0)*(IF(H224="",-1,H224)=0)*(1-(IF(H224="",-1,H224)&gt;=0)*(IF(H224="",-1,H224)&lt;=1)),IF(C224="peso_corporal",IF(ISNUMBER(E224),E224,0)+F224,F224)*G224*1000+F224,0)=Y224,1,0))))))</f>
        <v>0</v>
      </c>
      <c r="AA224" s="69">
        <f>MAX(IF((G224&gt;=3)*(1-(IF(H224="",-1,H224)&gt;=0)*(IF(H224="",-1,H224)&lt;=1))*(1-(IF(H224="",-1,H224)=0)),IF(C224="peso_corporal",IF(ISNUMBER(E224),E224,0)+F224,F224)*(30+G224)*100+F224,0),IF((J224&gt;=3)*(1-(IF(K224="",-1,K224)&gt;=0)*(IF(K224="",-1,K224)&lt;=1))*(1-(IF(K224="",-1,K224)=0)),IF(C224="peso_corporal",IF(ISNUMBER(E224),E224,0)+I224,I224)*(30+J224)*100+I224,0),IF((M224&gt;=3)*(1-(IF(N224="",-1,N224)&gt;=0)*(IF(N224="",-1,N224)&lt;=1))*(1-(IF(N224="",-1,N224)=0)),IF(C224="peso_corporal",IF(ISNUMBER(E224),E224,0)+L224,L224)*(30+M224)*100+L224,0),IF((P224&gt;=3)*(1-(IF(Q224="",-1,Q224)&gt;=0)*(IF(Q224="",-1,Q224)&lt;=1))*(1-(IF(Q224="",-1,Q224)=0)),IF(C224="peso_corporal",IF(ISNUMBER(E224),E224,0)+O224,O224)*(30+P224)*100+O224,0),IF((S224&gt;=3)*(1-(IF(T224="",-1,T224)&gt;=0)*(IF(T224="",-1,T224)&lt;=1))*(1-(IF(T224="",-1,T224)=0)),IF(C224="peso_corporal",IF(ISNUMBER(E224),E224,0)+R224,R224)*(30+S224)*100+R224,0))</f>
        <v>0</v>
      </c>
      <c r="AB224" s="69">
        <f>IF(AA224=0,0,IF(IF((S224&gt;=3)*(1-(IF(T224="",-1,T224)&gt;=0)*(IF(T224="",-1,T224)&lt;=1))*(1-(IF(T224="",-1,T224)=0)),IF(C224="peso_corporal",IF(ISNUMBER(E224),E224,0)+R224,R224)*(30+S224)*100+R224,0)=AA224,5,IF(IF((P224&gt;=3)*(1-(IF(Q224="",-1,Q224)&gt;=0)*(IF(Q224="",-1,Q224)&lt;=1))*(1-(IF(Q224="",-1,Q224)=0)),IF(C224="peso_corporal",IF(ISNUMBER(E224),E224,0)+O224,O224)*(30+P224)*100+O224,0)=AA224,4,IF(IF((M224&gt;=3)*(1-(IF(N224="",-1,N224)&gt;=0)*(IF(N224="",-1,N224)&lt;=1))*(1-(IF(N224="",-1,N224)=0)),IF(C224="peso_corporal",IF(ISNUMBER(E224),E224,0)+L224,L224)*(30+M224)*100+L224,0)=AA224,3,IF(IF((J224&gt;=3)*(1-(IF(K224="",-1,K224)&gt;=0)*(IF(K224="",-1,K224)&lt;=1))*(1-(IF(K224="",-1,K224)=0)),IF(C224="peso_corporal",IF(ISNUMBER(E224),E224,0)+I224,I224)*(30+J224)*100+I224,0)=AA224,2,IF(IF((G224&gt;=3)*(1-(IF(H224="",-1,H224)&gt;=0)*(IF(H224="",-1,H224)&lt;=1))*(1-(IF(H224="",-1,H224)=0)),IF(C224="peso_corporal",IF(ISNUMBER(E224),E224,0)+F224,F224)*(30+G224)*100+F224,0)=AA224,1,0))))))</f>
        <v>0</v>
      </c>
      <c r="AC224" s="69" t="str">
        <f>IF(X224&gt;0,"A"&amp;X224,IF(Z224&gt;0,"B"&amp;Z224,IF(AB224&gt;0,"C"&amp;AB224,"")))</f>
        <v/>
      </c>
    </row>
    <row r="225" spans="1:29" ht="11.1" customHeight="1">
      <c r="A225" s="84" t="s">
        <v>94</v>
      </c>
      <c r="B225" s="73"/>
      <c r="C225" s="73"/>
      <c r="D225" s="73"/>
      <c r="E225" s="73"/>
      <c r="F225" s="73"/>
      <c r="G225" s="73"/>
      <c r="H225" s="73"/>
      <c r="I225" s="73"/>
      <c r="J225" s="73"/>
      <c r="K225" s="73"/>
      <c r="L225" s="73"/>
      <c r="M225" s="73"/>
      <c r="N225" s="73"/>
      <c r="O225" s="73"/>
      <c r="P225" s="73"/>
      <c r="Q225" s="73"/>
      <c r="R225" s="73"/>
      <c r="S225" s="73"/>
      <c r="T225" s="73"/>
      <c r="U225" s="73"/>
      <c r="V225" s="73"/>
      <c r="W225" s="69"/>
      <c r="X225" s="69"/>
      <c r="Y225" s="69"/>
      <c r="Z225" s="69"/>
      <c r="AA225" s="69"/>
      <c r="AB225" s="69"/>
      <c r="AC225" s="69"/>
    </row>
    <row r="226" spans="1:29" ht="20.100000000000001" customHeight="1">
      <c r="A226" s="14" t="s">
        <v>95</v>
      </c>
      <c r="B226" s="15" t="s">
        <v>96</v>
      </c>
      <c r="C226" s="16" t="str">
        <f>IFERROR(INDEX(EJERCICIOS!$D$3:$D$75,MATCH(A226&amp;"|"&amp;B226,EJERCICIOS!$G$3:$G$75,0)),"--")</f>
        <v>polea</v>
      </c>
      <c r="D226" s="17">
        <v>3</v>
      </c>
      <c r="E226" s="18">
        <f>IFERROR(LOOKUP(2,1/(MEDIDAS_Y_PESO!$B$3:$B$13&lt;&gt;""),MEDIDAS_Y_PESO!$B$3:$B$13),"--")</f>
        <v>80</v>
      </c>
      <c r="F226" s="19"/>
      <c r="G226" s="20"/>
      <c r="H226" s="21"/>
      <c r="I226" s="19"/>
      <c r="J226" s="20"/>
      <c r="K226" s="21"/>
      <c r="L226" s="19"/>
      <c r="M226" s="20"/>
      <c r="N226" s="21"/>
      <c r="O226" s="19"/>
      <c r="P226" s="20"/>
      <c r="Q226" s="21"/>
      <c r="R226" s="19"/>
      <c r="S226" s="20"/>
      <c r="T226" s="21"/>
      <c r="U226" s="22" t="str">
        <f>IFERROR(IF(IF(X226&gt;0,X226,IF(Z226&gt;0,Z226,IF(AB226&gt;0,AB226,0)))=0,"--",ROUND(CHOOSE(IF(X226&gt;0,X226,IF(Z226&gt;0,Z226,IF(AB226&gt;0,AB226,0))),IF(C226="peso_corporal",IF(ISNUMBER(E226),E226,0)+F226,F226)*(1+G226/30),IF(C226="peso_corporal",IF(ISNUMBER(E226),E226,0)+I226,I226)*(1+J226/30),IF(C226="peso_corporal",IF(ISNUMBER(E226),E226,0)+L226,L226)*(1+M226/30),IF(C226="peso_corporal",IF(ISNUMBER(E226),E226,0)+O226,O226)*(1+P226/30),IF(C226="peso_corporal",IF(ISNUMBER(E226),E226,0)+R226,R226)*(1+S226/30)),1)),"--")</f>
        <v>--</v>
      </c>
      <c r="V226" s="23" t="str">
        <f>IF(SUGERENCIAS!N647="SIN","Sin datos anteriores",IF(SUGERENCIAS!N647="SUBIR_F","^ SUBIR FUERTE | Kg:"&amp;ROUND(SUGERENCIAS!K647,1)&amp;" R:"&amp;ROUND(SUGERENCIAS!L647,0)&amp;" RIR:"&amp;ROUND(SUGERENCIAS!M647,0),IF(SUGERENCIAS!N647="SUBIR_E","^ SUBIR (Est.) | Kg:"&amp;ROUND(SUGERENCIAS!K647,1)&amp;" R:"&amp;ROUND(SUGERENCIAS!L647,0)&amp;" RIR:"&amp;ROUND(SUGERENCIAS!M647,0),IF(SUGERENCIAS!N647="SUBIR","^ SUBIR | Kg:"&amp;ROUND(SUGERENCIAS!K647,1)&amp;" R:"&amp;ROUND(SUGERENCIAS!L647,0)&amp;" RIR:"&amp;ROUND(SUGERENCIAS!M647,0),IF(SUGERENCIAS!N647="BAJAR","v BAJAR | Kg:"&amp;ROUND(SUGERENCIAS!K647,1)&amp;" R:"&amp;ROUND(SUGERENCIAS!L647,0)&amp;" RIR:"&amp;ROUND(SUGERENCIAS!M647,0),"= MANT | Kg:"&amp;ROUND(SUGERENCIAS!K647,1)&amp;" R:"&amp;ROUND(SUGERENCIAS!L647,0)&amp;" RIR:"&amp;ROUND(SUGERENCIAS!M647,0))))))</f>
        <v>Sin datos anteriores</v>
      </c>
      <c r="W226" s="69">
        <f>MAX(IF((G226&gt;0)*(IF(H226="",-1,H226)&gt;=0)*(IF(H226="",-1,H226)&lt;=1),IF(C226="peso_corporal",IF(ISNUMBER(E226),E226,0)+F226,F226)*G226*1000+F226,0),IF((J226&gt;0)*(IF(K226="",-1,K226)&gt;=0)*(IF(K226="",-1,K226)&lt;=1),IF(C226="peso_corporal",IF(ISNUMBER(E226),E226,0)+I226,I226)*J226*1000+I226,0),IF((M226&gt;0)*(IF(N226="",-1,N226)&gt;=0)*(IF(N226="",-1,N226)&lt;=1),IF(C226="peso_corporal",IF(ISNUMBER(E226),E226,0)+L226,L226)*M226*1000+L226,0),IF((P226&gt;0)*(IF(Q226="",-1,Q226)&gt;=0)*(IF(Q226="",-1,Q226)&lt;=1),IF(C226="peso_corporal",IF(ISNUMBER(E226),E226,0)+O226,O226)*P226*1000+O226,0),IF((S226&gt;0)*(IF(T226="",-1,T226)&gt;=0)*(IF(T226="",-1,T226)&lt;=1),IF(C226="peso_corporal",IF(ISNUMBER(E226),E226,0)+R226,R226)*S226*1000+R226,0))</f>
        <v>0</v>
      </c>
      <c r="X226" s="69">
        <f>IF(W226=0,0,IF(IF((S226&gt;0)*(IF(T226="",-1,T226)&gt;=0)*(IF(T226="",-1,T226)&lt;=1),IF(C226="peso_corporal",IF(ISNUMBER(E226),E226,0)+R226,R226)*S226*1000+R226,0)=W226,5,IF(IF((P226&gt;0)*(IF(Q226="",-1,Q226)&gt;=0)*(IF(Q226="",-1,Q226)&lt;=1),IF(C226="peso_corporal",IF(ISNUMBER(E226),E226,0)+O226,O226)*P226*1000+O226,0)=W226,4,IF(IF((M226&gt;0)*(IF(N226="",-1,N226)&gt;=0)*(IF(N226="",-1,N226)&lt;=1),IF(C226="peso_corporal",IF(ISNUMBER(E226),E226,0)+L226,L226)*M226*1000+L226,0)=W226,3,IF(IF((J226&gt;0)*(IF(K226="",-1,K226)&gt;=0)*(IF(K226="",-1,K226)&lt;=1),IF(C226="peso_corporal",IF(ISNUMBER(E226),E226,0)+I226,I226)*J226*1000+I226,0)=W226,2,IF(IF((G226&gt;0)*(IF(H226="",-1,H226)&gt;=0)*(IF(H226="",-1,H226)&lt;=1),IF(C226="peso_corporal",IF(ISNUMBER(E226),E226,0)+F226,F226)*G226*1000+F226,0)=W226,1,0))))))</f>
        <v>0</v>
      </c>
      <c r="Y226" s="69">
        <f>MAX(IF((G226&gt;0)*(IF(H226="",-1,H226)=0)*(1-(IF(H226="",-1,H226)&gt;=0)*(IF(H226="",-1,H226)&lt;=1)),IF(C226="peso_corporal",IF(ISNUMBER(E226),E226,0)+F226,F226)*G226*1000+F226,0),IF((J226&gt;0)*(IF(K226="",-1,K226)=0)*(1-(IF(K226="",-1,K226)&gt;=0)*(IF(K226="",-1,K226)&lt;=1)),IF(C226="peso_corporal",IF(ISNUMBER(E226),E226,0)+I226,I226)*J226*1000+I226,0),IF((M226&gt;0)*(IF(N226="",-1,N226)=0)*(1-(IF(N226="",-1,N226)&gt;=0)*(IF(N226="",-1,N226)&lt;=1)),IF(C226="peso_corporal",IF(ISNUMBER(E226),E226,0)+L226,L226)*M226*1000+L226,0),IF((P226&gt;0)*(IF(Q226="",-1,Q226)=0)*(1-(IF(Q226="",-1,Q226)&gt;=0)*(IF(Q226="",-1,Q226)&lt;=1)),IF(C226="peso_corporal",IF(ISNUMBER(E226),E226,0)+O226,O226)*P226*1000+O226,0),IF((S226&gt;0)*(IF(T226="",-1,T226)=0)*(1-(IF(T226="",-1,T226)&gt;=0)*(IF(T226="",-1,T226)&lt;=1)),IF(C226="peso_corporal",IF(ISNUMBER(E226),E226,0)+R226,R226)*S226*1000+R226,0))</f>
        <v>0</v>
      </c>
      <c r="Z226" s="69">
        <f>IF(Y226=0,0,IF(IF((S226&gt;0)*(IF(T226="",-1,T226)=0)*(1-(IF(T226="",-1,T226)&gt;=0)*(IF(T226="",-1,T226)&lt;=1)),IF(C226="peso_corporal",IF(ISNUMBER(E226),E226,0)+R226,R226)*S226*1000+R226,0)=Y226,5,IF(IF((P226&gt;0)*(IF(Q226="",-1,Q226)=0)*(1-(IF(Q226="",-1,Q226)&gt;=0)*(IF(Q226="",-1,Q226)&lt;=1)),IF(C226="peso_corporal",IF(ISNUMBER(E226),E226,0)+O226,O226)*P226*1000+O226,0)=Y226,4,IF(IF((M226&gt;0)*(IF(N226="",-1,N226)=0)*(1-(IF(N226="",-1,N226)&gt;=0)*(IF(N226="",-1,N226)&lt;=1)),IF(C226="peso_corporal",IF(ISNUMBER(E226),E226,0)+L226,L226)*M226*1000+L226,0)=Y226,3,IF(IF((J226&gt;0)*(IF(K226="",-1,K226)=0)*(1-(IF(K226="",-1,K226)&gt;=0)*(IF(K226="",-1,K226)&lt;=1)),IF(C226="peso_corporal",IF(ISNUMBER(E226),E226,0)+I226,I226)*J226*1000+I226,0)=Y226,2,IF(IF((G226&gt;0)*(IF(H226="",-1,H226)=0)*(1-(IF(H226="",-1,H226)&gt;=0)*(IF(H226="",-1,H226)&lt;=1)),IF(C226="peso_corporal",IF(ISNUMBER(E226),E226,0)+F226,F226)*G226*1000+F226,0)=Y226,1,0))))))</f>
        <v>0</v>
      </c>
      <c r="AA226" s="69">
        <f>MAX(IF((G226&gt;=3)*(1-(IF(H226="",-1,H226)&gt;=0)*(IF(H226="",-1,H226)&lt;=1))*(1-(IF(H226="",-1,H226)=0)),IF(C226="peso_corporal",IF(ISNUMBER(E226),E226,0)+F226,F226)*(30+G226)*100+F226,0),IF((J226&gt;=3)*(1-(IF(K226="",-1,K226)&gt;=0)*(IF(K226="",-1,K226)&lt;=1))*(1-(IF(K226="",-1,K226)=0)),IF(C226="peso_corporal",IF(ISNUMBER(E226),E226,0)+I226,I226)*(30+J226)*100+I226,0),IF((M226&gt;=3)*(1-(IF(N226="",-1,N226)&gt;=0)*(IF(N226="",-1,N226)&lt;=1))*(1-(IF(N226="",-1,N226)=0)),IF(C226="peso_corporal",IF(ISNUMBER(E226),E226,0)+L226,L226)*(30+M226)*100+L226,0),IF((P226&gt;=3)*(1-(IF(Q226="",-1,Q226)&gt;=0)*(IF(Q226="",-1,Q226)&lt;=1))*(1-(IF(Q226="",-1,Q226)=0)),IF(C226="peso_corporal",IF(ISNUMBER(E226),E226,0)+O226,O226)*(30+P226)*100+O226,0),IF((S226&gt;=3)*(1-(IF(T226="",-1,T226)&gt;=0)*(IF(T226="",-1,T226)&lt;=1))*(1-(IF(T226="",-1,T226)=0)),IF(C226="peso_corporal",IF(ISNUMBER(E226),E226,0)+R226,R226)*(30+S226)*100+R226,0))</f>
        <v>0</v>
      </c>
      <c r="AB226" s="69">
        <f>IF(AA226=0,0,IF(IF((S226&gt;=3)*(1-(IF(T226="",-1,T226)&gt;=0)*(IF(T226="",-1,T226)&lt;=1))*(1-(IF(T226="",-1,T226)=0)),IF(C226="peso_corporal",IF(ISNUMBER(E226),E226,0)+R226,R226)*(30+S226)*100+R226,0)=AA226,5,IF(IF((P226&gt;=3)*(1-(IF(Q226="",-1,Q226)&gt;=0)*(IF(Q226="",-1,Q226)&lt;=1))*(1-(IF(Q226="",-1,Q226)=0)),IF(C226="peso_corporal",IF(ISNUMBER(E226),E226,0)+O226,O226)*(30+P226)*100+O226,0)=AA226,4,IF(IF((M226&gt;=3)*(1-(IF(N226="",-1,N226)&gt;=0)*(IF(N226="",-1,N226)&lt;=1))*(1-(IF(N226="",-1,N226)=0)),IF(C226="peso_corporal",IF(ISNUMBER(E226),E226,0)+L226,L226)*(30+M226)*100+L226,0)=AA226,3,IF(IF((J226&gt;=3)*(1-(IF(K226="",-1,K226)&gt;=0)*(IF(K226="",-1,K226)&lt;=1))*(1-(IF(K226="",-1,K226)=0)),IF(C226="peso_corporal",IF(ISNUMBER(E226),E226,0)+I226,I226)*(30+J226)*100+I226,0)=AA226,2,IF(IF((G226&gt;=3)*(1-(IF(H226="",-1,H226)&gt;=0)*(IF(H226="",-1,H226)&lt;=1))*(1-(IF(H226="",-1,H226)=0)),IF(C226="peso_corporal",IF(ISNUMBER(E226),E226,0)+F226,F226)*(30+G226)*100+F226,0)=AA226,1,0))))))</f>
        <v>0</v>
      </c>
      <c r="AC226" s="69" t="str">
        <f>IF(X226&gt;0,"A"&amp;X226,IF(Z226&gt;0,"B"&amp;Z226,IF(AB226&gt;0,"C"&amp;AB226,"")))</f>
        <v/>
      </c>
    </row>
    <row r="227" spans="1:29" ht="20.100000000000001" customHeight="1">
      <c r="A227" s="14" t="s">
        <v>95</v>
      </c>
      <c r="B227" s="15" t="s">
        <v>97</v>
      </c>
      <c r="C227" s="16" t="str">
        <f>IFERROR(INDEX(EJERCICIOS!$D$3:$D$75,MATCH(A227&amp;"|"&amp;B227,EJERCICIOS!$G$3:$G$75,0)),"--")</f>
        <v>polea</v>
      </c>
      <c r="D227" s="17">
        <v>3</v>
      </c>
      <c r="E227" s="18">
        <f>IFERROR(LOOKUP(2,1/(MEDIDAS_Y_PESO!$B$3:$B$13&lt;&gt;""),MEDIDAS_Y_PESO!$B$3:$B$13),"--")</f>
        <v>80</v>
      </c>
      <c r="F227" s="19"/>
      <c r="G227" s="20"/>
      <c r="H227" s="21"/>
      <c r="I227" s="19"/>
      <c r="J227" s="20"/>
      <c r="K227" s="21"/>
      <c r="L227" s="19"/>
      <c r="M227" s="20"/>
      <c r="N227" s="21"/>
      <c r="O227" s="19"/>
      <c r="P227" s="20"/>
      <c r="Q227" s="21"/>
      <c r="R227" s="19"/>
      <c r="S227" s="20"/>
      <c r="T227" s="21"/>
      <c r="U227" s="22" t="str">
        <f>IFERROR(IF(IF(X227&gt;0,X227,IF(Z227&gt;0,Z227,IF(AB227&gt;0,AB227,0)))=0,"--",ROUND(CHOOSE(IF(X227&gt;0,X227,IF(Z227&gt;0,Z227,IF(AB227&gt;0,AB227,0))),IF(C227="peso_corporal",IF(ISNUMBER(E227),E227,0)+F227,F227)*(1+G227/30),IF(C227="peso_corporal",IF(ISNUMBER(E227),E227,0)+I227,I227)*(1+J227/30),IF(C227="peso_corporal",IF(ISNUMBER(E227),E227,0)+L227,L227)*(1+M227/30),IF(C227="peso_corporal",IF(ISNUMBER(E227),E227,0)+O227,O227)*(1+P227/30),IF(C227="peso_corporal",IF(ISNUMBER(E227),E227,0)+R227,R227)*(1+S227/30)),1)),"--")</f>
        <v>--</v>
      </c>
      <c r="V227" s="23" t="str">
        <f>IF(SUGERENCIAS!N648="SIN","Sin datos anteriores",IF(SUGERENCIAS!N648="SUBIR_F","^ SUBIR FUERTE | Kg:"&amp;ROUND(SUGERENCIAS!K648,1)&amp;" R:"&amp;ROUND(SUGERENCIAS!L648,0)&amp;" RIR:"&amp;ROUND(SUGERENCIAS!M648,0),IF(SUGERENCIAS!N648="SUBIR_E","^ SUBIR (Est.) | Kg:"&amp;ROUND(SUGERENCIAS!K648,1)&amp;" R:"&amp;ROUND(SUGERENCIAS!L648,0)&amp;" RIR:"&amp;ROUND(SUGERENCIAS!M648,0),IF(SUGERENCIAS!N648="SUBIR","^ SUBIR | Kg:"&amp;ROUND(SUGERENCIAS!K648,1)&amp;" R:"&amp;ROUND(SUGERENCIAS!L648,0)&amp;" RIR:"&amp;ROUND(SUGERENCIAS!M648,0),IF(SUGERENCIAS!N648="BAJAR","v BAJAR | Kg:"&amp;ROUND(SUGERENCIAS!K648,1)&amp;" R:"&amp;ROUND(SUGERENCIAS!L648,0)&amp;" RIR:"&amp;ROUND(SUGERENCIAS!M648,0),"= MANT | Kg:"&amp;ROUND(SUGERENCIAS!K648,1)&amp;" R:"&amp;ROUND(SUGERENCIAS!L648,0)&amp;" RIR:"&amp;ROUND(SUGERENCIAS!M648,0))))))</f>
        <v>Sin datos anteriores</v>
      </c>
      <c r="W227" s="69">
        <f>MAX(IF((G227&gt;0)*(IF(H227="",-1,H227)&gt;=0)*(IF(H227="",-1,H227)&lt;=1),IF(C227="peso_corporal",IF(ISNUMBER(E227),E227,0)+F227,F227)*G227*1000+F227,0),IF((J227&gt;0)*(IF(K227="",-1,K227)&gt;=0)*(IF(K227="",-1,K227)&lt;=1),IF(C227="peso_corporal",IF(ISNUMBER(E227),E227,0)+I227,I227)*J227*1000+I227,0),IF((M227&gt;0)*(IF(N227="",-1,N227)&gt;=0)*(IF(N227="",-1,N227)&lt;=1),IF(C227="peso_corporal",IF(ISNUMBER(E227),E227,0)+L227,L227)*M227*1000+L227,0),IF((P227&gt;0)*(IF(Q227="",-1,Q227)&gt;=0)*(IF(Q227="",-1,Q227)&lt;=1),IF(C227="peso_corporal",IF(ISNUMBER(E227),E227,0)+O227,O227)*P227*1000+O227,0),IF((S227&gt;0)*(IF(T227="",-1,T227)&gt;=0)*(IF(T227="",-1,T227)&lt;=1),IF(C227="peso_corporal",IF(ISNUMBER(E227),E227,0)+R227,R227)*S227*1000+R227,0))</f>
        <v>0</v>
      </c>
      <c r="X227" s="69">
        <f>IF(W227=0,0,IF(IF((S227&gt;0)*(IF(T227="",-1,T227)&gt;=0)*(IF(T227="",-1,T227)&lt;=1),IF(C227="peso_corporal",IF(ISNUMBER(E227),E227,0)+R227,R227)*S227*1000+R227,0)=W227,5,IF(IF((P227&gt;0)*(IF(Q227="",-1,Q227)&gt;=0)*(IF(Q227="",-1,Q227)&lt;=1),IF(C227="peso_corporal",IF(ISNUMBER(E227),E227,0)+O227,O227)*P227*1000+O227,0)=W227,4,IF(IF((M227&gt;0)*(IF(N227="",-1,N227)&gt;=0)*(IF(N227="",-1,N227)&lt;=1),IF(C227="peso_corporal",IF(ISNUMBER(E227),E227,0)+L227,L227)*M227*1000+L227,0)=W227,3,IF(IF((J227&gt;0)*(IF(K227="",-1,K227)&gt;=0)*(IF(K227="",-1,K227)&lt;=1),IF(C227="peso_corporal",IF(ISNUMBER(E227),E227,0)+I227,I227)*J227*1000+I227,0)=W227,2,IF(IF((G227&gt;0)*(IF(H227="",-1,H227)&gt;=0)*(IF(H227="",-1,H227)&lt;=1),IF(C227="peso_corporal",IF(ISNUMBER(E227),E227,0)+F227,F227)*G227*1000+F227,0)=W227,1,0))))))</f>
        <v>0</v>
      </c>
      <c r="Y227" s="69">
        <f>MAX(IF((G227&gt;0)*(IF(H227="",-1,H227)=0)*(1-(IF(H227="",-1,H227)&gt;=0)*(IF(H227="",-1,H227)&lt;=1)),IF(C227="peso_corporal",IF(ISNUMBER(E227),E227,0)+F227,F227)*G227*1000+F227,0),IF((J227&gt;0)*(IF(K227="",-1,K227)=0)*(1-(IF(K227="",-1,K227)&gt;=0)*(IF(K227="",-1,K227)&lt;=1)),IF(C227="peso_corporal",IF(ISNUMBER(E227),E227,0)+I227,I227)*J227*1000+I227,0),IF((M227&gt;0)*(IF(N227="",-1,N227)=0)*(1-(IF(N227="",-1,N227)&gt;=0)*(IF(N227="",-1,N227)&lt;=1)),IF(C227="peso_corporal",IF(ISNUMBER(E227),E227,0)+L227,L227)*M227*1000+L227,0),IF((P227&gt;0)*(IF(Q227="",-1,Q227)=0)*(1-(IF(Q227="",-1,Q227)&gt;=0)*(IF(Q227="",-1,Q227)&lt;=1)),IF(C227="peso_corporal",IF(ISNUMBER(E227),E227,0)+O227,O227)*P227*1000+O227,0),IF((S227&gt;0)*(IF(T227="",-1,T227)=0)*(1-(IF(T227="",-1,T227)&gt;=0)*(IF(T227="",-1,T227)&lt;=1)),IF(C227="peso_corporal",IF(ISNUMBER(E227),E227,0)+R227,R227)*S227*1000+R227,0))</f>
        <v>0</v>
      </c>
      <c r="Z227" s="69">
        <f>IF(Y227=0,0,IF(IF((S227&gt;0)*(IF(T227="",-1,T227)=0)*(1-(IF(T227="",-1,T227)&gt;=0)*(IF(T227="",-1,T227)&lt;=1)),IF(C227="peso_corporal",IF(ISNUMBER(E227),E227,0)+R227,R227)*S227*1000+R227,0)=Y227,5,IF(IF((P227&gt;0)*(IF(Q227="",-1,Q227)=0)*(1-(IF(Q227="",-1,Q227)&gt;=0)*(IF(Q227="",-1,Q227)&lt;=1)),IF(C227="peso_corporal",IF(ISNUMBER(E227),E227,0)+O227,O227)*P227*1000+O227,0)=Y227,4,IF(IF((M227&gt;0)*(IF(N227="",-1,N227)=0)*(1-(IF(N227="",-1,N227)&gt;=0)*(IF(N227="",-1,N227)&lt;=1)),IF(C227="peso_corporal",IF(ISNUMBER(E227),E227,0)+L227,L227)*M227*1000+L227,0)=Y227,3,IF(IF((J227&gt;0)*(IF(K227="",-1,K227)=0)*(1-(IF(K227="",-1,K227)&gt;=0)*(IF(K227="",-1,K227)&lt;=1)),IF(C227="peso_corporal",IF(ISNUMBER(E227),E227,0)+I227,I227)*J227*1000+I227,0)=Y227,2,IF(IF((G227&gt;0)*(IF(H227="",-1,H227)=0)*(1-(IF(H227="",-1,H227)&gt;=0)*(IF(H227="",-1,H227)&lt;=1)),IF(C227="peso_corporal",IF(ISNUMBER(E227),E227,0)+F227,F227)*G227*1000+F227,0)=Y227,1,0))))))</f>
        <v>0</v>
      </c>
      <c r="AA227" s="69">
        <f>MAX(IF((G227&gt;=3)*(1-(IF(H227="",-1,H227)&gt;=0)*(IF(H227="",-1,H227)&lt;=1))*(1-(IF(H227="",-1,H227)=0)),IF(C227="peso_corporal",IF(ISNUMBER(E227),E227,0)+F227,F227)*(30+G227)*100+F227,0),IF((J227&gt;=3)*(1-(IF(K227="",-1,K227)&gt;=0)*(IF(K227="",-1,K227)&lt;=1))*(1-(IF(K227="",-1,K227)=0)),IF(C227="peso_corporal",IF(ISNUMBER(E227),E227,0)+I227,I227)*(30+J227)*100+I227,0),IF((M227&gt;=3)*(1-(IF(N227="",-1,N227)&gt;=0)*(IF(N227="",-1,N227)&lt;=1))*(1-(IF(N227="",-1,N227)=0)),IF(C227="peso_corporal",IF(ISNUMBER(E227),E227,0)+L227,L227)*(30+M227)*100+L227,0),IF((P227&gt;=3)*(1-(IF(Q227="",-1,Q227)&gt;=0)*(IF(Q227="",-1,Q227)&lt;=1))*(1-(IF(Q227="",-1,Q227)=0)),IF(C227="peso_corporal",IF(ISNUMBER(E227),E227,0)+O227,O227)*(30+P227)*100+O227,0),IF((S227&gt;=3)*(1-(IF(T227="",-1,T227)&gt;=0)*(IF(T227="",-1,T227)&lt;=1))*(1-(IF(T227="",-1,T227)=0)),IF(C227="peso_corporal",IF(ISNUMBER(E227),E227,0)+R227,R227)*(30+S227)*100+R227,0))</f>
        <v>0</v>
      </c>
      <c r="AB227" s="69">
        <f>IF(AA227=0,0,IF(IF((S227&gt;=3)*(1-(IF(T227="",-1,T227)&gt;=0)*(IF(T227="",-1,T227)&lt;=1))*(1-(IF(T227="",-1,T227)=0)),IF(C227="peso_corporal",IF(ISNUMBER(E227),E227,0)+R227,R227)*(30+S227)*100+R227,0)=AA227,5,IF(IF((P227&gt;=3)*(1-(IF(Q227="",-1,Q227)&gt;=0)*(IF(Q227="",-1,Q227)&lt;=1))*(1-(IF(Q227="",-1,Q227)=0)),IF(C227="peso_corporal",IF(ISNUMBER(E227),E227,0)+O227,O227)*(30+P227)*100+O227,0)=AA227,4,IF(IF((M227&gt;=3)*(1-(IF(N227="",-1,N227)&gt;=0)*(IF(N227="",-1,N227)&lt;=1))*(1-(IF(N227="",-1,N227)=0)),IF(C227="peso_corporal",IF(ISNUMBER(E227),E227,0)+L227,L227)*(30+M227)*100+L227,0)=AA227,3,IF(IF((J227&gt;=3)*(1-(IF(K227="",-1,K227)&gt;=0)*(IF(K227="",-1,K227)&lt;=1))*(1-(IF(K227="",-1,K227)=0)),IF(C227="peso_corporal",IF(ISNUMBER(E227),E227,0)+I227,I227)*(30+J227)*100+I227,0)=AA227,2,IF(IF((G227&gt;=3)*(1-(IF(H227="",-1,H227)&gt;=0)*(IF(H227="",-1,H227)&lt;=1))*(1-(IF(H227="",-1,H227)=0)),IF(C227="peso_corporal",IF(ISNUMBER(E227),E227,0)+F227,F227)*(30+G227)*100+F227,0)=AA227,1,0))))))</f>
        <v>0</v>
      </c>
      <c r="AC227" s="69" t="str">
        <f>IF(X227&gt;0,"A"&amp;X227,IF(Z227&gt;0,"B"&amp;Z227,IF(AB227&gt;0,"C"&amp;AB227,"")))</f>
        <v/>
      </c>
    </row>
    <row r="228" spans="1:29" ht="15" customHeight="1">
      <c r="A228" s="81" t="s">
        <v>53</v>
      </c>
      <c r="B228" s="73"/>
      <c r="C228" s="73"/>
      <c r="D228" s="73"/>
      <c r="E228" s="73"/>
      <c r="F228" s="73"/>
      <c r="G228" s="73"/>
      <c r="H228" s="73"/>
      <c r="I228" s="73"/>
      <c r="J228" s="73"/>
      <c r="K228" s="73"/>
      <c r="L228" s="73"/>
      <c r="M228" s="73"/>
      <c r="N228" s="73"/>
      <c r="O228" s="73"/>
      <c r="P228" s="73"/>
      <c r="Q228" s="73"/>
      <c r="R228" s="73"/>
      <c r="S228" s="73"/>
      <c r="T228" s="73"/>
      <c r="U228" s="73"/>
      <c r="V228" s="73"/>
      <c r="W228" s="69"/>
      <c r="X228" s="69"/>
      <c r="Y228" s="69"/>
      <c r="Z228" s="69"/>
      <c r="AA228" s="69"/>
      <c r="AB228" s="69"/>
      <c r="AC228" s="69"/>
    </row>
    <row r="229" spans="1:29" ht="20.100000000000001" customHeight="1">
      <c r="A229" s="14" t="s">
        <v>54</v>
      </c>
      <c r="B229" s="15" t="s">
        <v>67</v>
      </c>
      <c r="C229" s="16" t="str">
        <f>IFERROR(INDEX(EJERCICIOS!$D$3:$D$75,MATCH(A229&amp;"|"&amp;B229,EJERCICIOS!$G$3:$G$75,0)),"--")</f>
        <v>mancuerna</v>
      </c>
      <c r="D229" s="17">
        <v>3</v>
      </c>
      <c r="E229" s="18">
        <f>IFERROR(LOOKUP(2,1/(MEDIDAS_Y_PESO!$B$3:$B$13&lt;&gt;""),MEDIDAS_Y_PESO!$B$3:$B$13),"--")</f>
        <v>80</v>
      </c>
      <c r="F229" s="19"/>
      <c r="G229" s="20"/>
      <c r="H229" s="21"/>
      <c r="I229" s="19"/>
      <c r="J229" s="20"/>
      <c r="K229" s="21"/>
      <c r="L229" s="19"/>
      <c r="M229" s="20"/>
      <c r="N229" s="21"/>
      <c r="O229" s="19"/>
      <c r="P229" s="20"/>
      <c r="Q229" s="21"/>
      <c r="R229" s="19"/>
      <c r="S229" s="20"/>
      <c r="T229" s="21"/>
      <c r="U229" s="22" t="str">
        <f>IFERROR(IF(IF(X229&gt;0,X229,IF(Z229&gt;0,Z229,IF(AB229&gt;0,AB229,0)))=0,"--",ROUND(CHOOSE(IF(X229&gt;0,X229,IF(Z229&gt;0,Z229,IF(AB229&gt;0,AB229,0))),IF(C229="peso_corporal",IF(ISNUMBER(E229),E229,0)+F229,F229)*(1+G229/30),IF(C229="peso_corporal",IF(ISNUMBER(E229),E229,0)+I229,I229)*(1+J229/30),IF(C229="peso_corporal",IF(ISNUMBER(E229),E229,0)+L229,L229)*(1+M229/30),IF(C229="peso_corporal",IF(ISNUMBER(E229),E229,0)+O229,O229)*(1+P229/30),IF(C229="peso_corporal",IF(ISNUMBER(E229),E229,0)+R229,R229)*(1+S229/30)),1)),"--")</f>
        <v>--</v>
      </c>
      <c r="V229" s="23" t="str">
        <f>IF(SUGERENCIAS!N649="SIN","Sin datos anteriores",IF(SUGERENCIAS!N649="SUBIR_F","^ SUBIR FUERTE | Kg:"&amp;ROUND(SUGERENCIAS!K649,1)&amp;" R:"&amp;ROUND(SUGERENCIAS!L649,0)&amp;" RIR:"&amp;ROUND(SUGERENCIAS!M649,0),IF(SUGERENCIAS!N649="SUBIR_E","^ SUBIR (Est.) | Kg:"&amp;ROUND(SUGERENCIAS!K649,1)&amp;" R:"&amp;ROUND(SUGERENCIAS!L649,0)&amp;" RIR:"&amp;ROUND(SUGERENCIAS!M649,0),IF(SUGERENCIAS!N649="SUBIR","^ SUBIR | Kg:"&amp;ROUND(SUGERENCIAS!K649,1)&amp;" R:"&amp;ROUND(SUGERENCIAS!L649,0)&amp;" RIR:"&amp;ROUND(SUGERENCIAS!M649,0),IF(SUGERENCIAS!N649="BAJAR","v BAJAR | Kg:"&amp;ROUND(SUGERENCIAS!K649,1)&amp;" R:"&amp;ROUND(SUGERENCIAS!L649,0)&amp;" RIR:"&amp;ROUND(SUGERENCIAS!M649,0),"= MANT | Kg:"&amp;ROUND(SUGERENCIAS!K649,1)&amp;" R:"&amp;ROUND(SUGERENCIAS!L649,0)&amp;" RIR:"&amp;ROUND(SUGERENCIAS!M649,0))))))</f>
        <v>Sin datos anteriores</v>
      </c>
      <c r="W229" s="69">
        <f>MAX(IF((G229&gt;0)*(IF(H229="",-1,H229)&gt;=0)*(IF(H229="",-1,H229)&lt;=1),IF(C229="peso_corporal",IF(ISNUMBER(E229),E229,0)+F229,F229)*G229*1000+F229,0),IF((J229&gt;0)*(IF(K229="",-1,K229)&gt;=0)*(IF(K229="",-1,K229)&lt;=1),IF(C229="peso_corporal",IF(ISNUMBER(E229),E229,0)+I229,I229)*J229*1000+I229,0),IF((M229&gt;0)*(IF(N229="",-1,N229)&gt;=0)*(IF(N229="",-1,N229)&lt;=1),IF(C229="peso_corporal",IF(ISNUMBER(E229),E229,0)+L229,L229)*M229*1000+L229,0),IF((P229&gt;0)*(IF(Q229="",-1,Q229)&gt;=0)*(IF(Q229="",-1,Q229)&lt;=1),IF(C229="peso_corporal",IF(ISNUMBER(E229),E229,0)+O229,O229)*P229*1000+O229,0),IF((S229&gt;0)*(IF(T229="",-1,T229)&gt;=0)*(IF(T229="",-1,T229)&lt;=1),IF(C229="peso_corporal",IF(ISNUMBER(E229),E229,0)+R229,R229)*S229*1000+R229,0))</f>
        <v>0</v>
      </c>
      <c r="X229" s="69">
        <f>IF(W229=0,0,IF(IF((S229&gt;0)*(IF(T229="",-1,T229)&gt;=0)*(IF(T229="",-1,T229)&lt;=1),IF(C229="peso_corporal",IF(ISNUMBER(E229),E229,0)+R229,R229)*S229*1000+R229,0)=W229,5,IF(IF((P229&gt;0)*(IF(Q229="",-1,Q229)&gt;=0)*(IF(Q229="",-1,Q229)&lt;=1),IF(C229="peso_corporal",IF(ISNUMBER(E229),E229,0)+O229,O229)*P229*1000+O229,0)=W229,4,IF(IF((M229&gt;0)*(IF(N229="",-1,N229)&gt;=0)*(IF(N229="",-1,N229)&lt;=1),IF(C229="peso_corporal",IF(ISNUMBER(E229),E229,0)+L229,L229)*M229*1000+L229,0)=W229,3,IF(IF((J229&gt;0)*(IF(K229="",-1,K229)&gt;=0)*(IF(K229="",-1,K229)&lt;=1),IF(C229="peso_corporal",IF(ISNUMBER(E229),E229,0)+I229,I229)*J229*1000+I229,0)=W229,2,IF(IF((G229&gt;0)*(IF(H229="",-1,H229)&gt;=0)*(IF(H229="",-1,H229)&lt;=1),IF(C229="peso_corporal",IF(ISNUMBER(E229),E229,0)+F229,F229)*G229*1000+F229,0)=W229,1,0))))))</f>
        <v>0</v>
      </c>
      <c r="Y229" s="69">
        <f>MAX(IF((G229&gt;0)*(IF(H229="",-1,H229)=0)*(1-(IF(H229="",-1,H229)&gt;=0)*(IF(H229="",-1,H229)&lt;=1)),IF(C229="peso_corporal",IF(ISNUMBER(E229),E229,0)+F229,F229)*G229*1000+F229,0),IF((J229&gt;0)*(IF(K229="",-1,K229)=0)*(1-(IF(K229="",-1,K229)&gt;=0)*(IF(K229="",-1,K229)&lt;=1)),IF(C229="peso_corporal",IF(ISNUMBER(E229),E229,0)+I229,I229)*J229*1000+I229,0),IF((M229&gt;0)*(IF(N229="",-1,N229)=0)*(1-(IF(N229="",-1,N229)&gt;=0)*(IF(N229="",-1,N229)&lt;=1)),IF(C229="peso_corporal",IF(ISNUMBER(E229),E229,0)+L229,L229)*M229*1000+L229,0),IF((P229&gt;0)*(IF(Q229="",-1,Q229)=0)*(1-(IF(Q229="",-1,Q229)&gt;=0)*(IF(Q229="",-1,Q229)&lt;=1)),IF(C229="peso_corporal",IF(ISNUMBER(E229),E229,0)+O229,O229)*P229*1000+O229,0),IF((S229&gt;0)*(IF(T229="",-1,T229)=0)*(1-(IF(T229="",-1,T229)&gt;=0)*(IF(T229="",-1,T229)&lt;=1)),IF(C229="peso_corporal",IF(ISNUMBER(E229),E229,0)+R229,R229)*S229*1000+R229,0))</f>
        <v>0</v>
      </c>
      <c r="Z229" s="69">
        <f>IF(Y229=0,0,IF(IF((S229&gt;0)*(IF(T229="",-1,T229)=0)*(1-(IF(T229="",-1,T229)&gt;=0)*(IF(T229="",-1,T229)&lt;=1)),IF(C229="peso_corporal",IF(ISNUMBER(E229),E229,0)+R229,R229)*S229*1000+R229,0)=Y229,5,IF(IF((P229&gt;0)*(IF(Q229="",-1,Q229)=0)*(1-(IF(Q229="",-1,Q229)&gt;=0)*(IF(Q229="",-1,Q229)&lt;=1)),IF(C229="peso_corporal",IF(ISNUMBER(E229),E229,0)+O229,O229)*P229*1000+O229,0)=Y229,4,IF(IF((M229&gt;0)*(IF(N229="",-1,N229)=0)*(1-(IF(N229="",-1,N229)&gt;=0)*(IF(N229="",-1,N229)&lt;=1)),IF(C229="peso_corporal",IF(ISNUMBER(E229),E229,0)+L229,L229)*M229*1000+L229,0)=Y229,3,IF(IF((J229&gt;0)*(IF(K229="",-1,K229)=0)*(1-(IF(K229="",-1,K229)&gt;=0)*(IF(K229="",-1,K229)&lt;=1)),IF(C229="peso_corporal",IF(ISNUMBER(E229),E229,0)+I229,I229)*J229*1000+I229,0)=Y229,2,IF(IF((G229&gt;0)*(IF(H229="",-1,H229)=0)*(1-(IF(H229="",-1,H229)&gt;=0)*(IF(H229="",-1,H229)&lt;=1)),IF(C229="peso_corporal",IF(ISNUMBER(E229),E229,0)+F229,F229)*G229*1000+F229,0)=Y229,1,0))))))</f>
        <v>0</v>
      </c>
      <c r="AA229" s="69">
        <f>MAX(IF((G229&gt;=3)*(1-(IF(H229="",-1,H229)&gt;=0)*(IF(H229="",-1,H229)&lt;=1))*(1-(IF(H229="",-1,H229)=0)),IF(C229="peso_corporal",IF(ISNUMBER(E229),E229,0)+F229,F229)*(30+G229)*100+F229,0),IF((J229&gt;=3)*(1-(IF(K229="",-1,K229)&gt;=0)*(IF(K229="",-1,K229)&lt;=1))*(1-(IF(K229="",-1,K229)=0)),IF(C229="peso_corporal",IF(ISNUMBER(E229),E229,0)+I229,I229)*(30+J229)*100+I229,0),IF((M229&gt;=3)*(1-(IF(N229="",-1,N229)&gt;=0)*(IF(N229="",-1,N229)&lt;=1))*(1-(IF(N229="",-1,N229)=0)),IF(C229="peso_corporal",IF(ISNUMBER(E229),E229,0)+L229,L229)*(30+M229)*100+L229,0),IF((P229&gt;=3)*(1-(IF(Q229="",-1,Q229)&gt;=0)*(IF(Q229="",-1,Q229)&lt;=1))*(1-(IF(Q229="",-1,Q229)=0)),IF(C229="peso_corporal",IF(ISNUMBER(E229),E229,0)+O229,O229)*(30+P229)*100+O229,0),IF((S229&gt;=3)*(1-(IF(T229="",-1,T229)&gt;=0)*(IF(T229="",-1,T229)&lt;=1))*(1-(IF(T229="",-1,T229)=0)),IF(C229="peso_corporal",IF(ISNUMBER(E229),E229,0)+R229,R229)*(30+S229)*100+R229,0))</f>
        <v>0</v>
      </c>
      <c r="AB229" s="69">
        <f>IF(AA229=0,0,IF(IF((S229&gt;=3)*(1-(IF(T229="",-1,T229)&gt;=0)*(IF(T229="",-1,T229)&lt;=1))*(1-(IF(T229="",-1,T229)=0)),IF(C229="peso_corporal",IF(ISNUMBER(E229),E229,0)+R229,R229)*(30+S229)*100+R229,0)=AA229,5,IF(IF((P229&gt;=3)*(1-(IF(Q229="",-1,Q229)&gt;=0)*(IF(Q229="",-1,Q229)&lt;=1))*(1-(IF(Q229="",-1,Q229)=0)),IF(C229="peso_corporal",IF(ISNUMBER(E229),E229,0)+O229,O229)*(30+P229)*100+O229,0)=AA229,4,IF(IF((M229&gt;=3)*(1-(IF(N229="",-1,N229)&gt;=0)*(IF(N229="",-1,N229)&lt;=1))*(1-(IF(N229="",-1,N229)=0)),IF(C229="peso_corporal",IF(ISNUMBER(E229),E229,0)+L229,L229)*(30+M229)*100+L229,0)=AA229,3,IF(IF((J229&gt;=3)*(1-(IF(K229="",-1,K229)&gt;=0)*(IF(K229="",-1,K229)&lt;=1))*(1-(IF(K229="",-1,K229)=0)),IF(C229="peso_corporal",IF(ISNUMBER(E229),E229,0)+I229,I229)*(30+J229)*100+I229,0)=AA229,2,IF(IF((G229&gt;=3)*(1-(IF(H229="",-1,H229)&gt;=0)*(IF(H229="",-1,H229)&lt;=1))*(1-(IF(H229="",-1,H229)=0)),IF(C229="peso_corporal",IF(ISNUMBER(E229),E229,0)+F229,F229)*(30+G229)*100+F229,0)=AA229,1,0))))))</f>
        <v>0</v>
      </c>
      <c r="AC229" s="69" t="str">
        <f>IF(X229&gt;0,"A"&amp;X229,IF(Z229&gt;0,"B"&amp;Z229,IF(AB229&gt;0,"C"&amp;AB229,"")))</f>
        <v/>
      </c>
    </row>
    <row r="230" spans="1:29" ht="20.100000000000001" customHeight="1">
      <c r="A230" s="14" t="s">
        <v>54</v>
      </c>
      <c r="B230" s="15" t="s">
        <v>98</v>
      </c>
      <c r="C230" s="16" t="str">
        <f>IFERROR(INDEX(EJERCICIOS!$D$3:$D$75,MATCH(A230&amp;"|"&amp;B230,EJERCICIOS!$G$3:$G$75,0)),"--")</f>
        <v>polea</v>
      </c>
      <c r="D230" s="17">
        <v>3</v>
      </c>
      <c r="E230" s="18">
        <f>IFERROR(LOOKUP(2,1/(MEDIDAS_Y_PESO!$B$3:$B$13&lt;&gt;""),MEDIDAS_Y_PESO!$B$3:$B$13),"--")</f>
        <v>80</v>
      </c>
      <c r="F230" s="19"/>
      <c r="G230" s="20"/>
      <c r="H230" s="21"/>
      <c r="I230" s="19"/>
      <c r="J230" s="20"/>
      <c r="K230" s="21"/>
      <c r="L230" s="19"/>
      <c r="M230" s="20"/>
      <c r="N230" s="21"/>
      <c r="O230" s="19"/>
      <c r="P230" s="20"/>
      <c r="Q230" s="21"/>
      <c r="R230" s="19"/>
      <c r="S230" s="20"/>
      <c r="T230" s="21"/>
      <c r="U230" s="22" t="str">
        <f>IFERROR(IF(IF(X230&gt;0,X230,IF(Z230&gt;0,Z230,IF(AB230&gt;0,AB230,0)))=0,"--",ROUND(CHOOSE(IF(X230&gt;0,X230,IF(Z230&gt;0,Z230,IF(AB230&gt;0,AB230,0))),IF(C230="peso_corporal",IF(ISNUMBER(E230),E230,0)+F230,F230)*(1+G230/30),IF(C230="peso_corporal",IF(ISNUMBER(E230),E230,0)+I230,I230)*(1+J230/30),IF(C230="peso_corporal",IF(ISNUMBER(E230),E230,0)+L230,L230)*(1+M230/30),IF(C230="peso_corporal",IF(ISNUMBER(E230),E230,0)+O230,O230)*(1+P230/30),IF(C230="peso_corporal",IF(ISNUMBER(E230),E230,0)+R230,R230)*(1+S230/30)),1)),"--")</f>
        <v>--</v>
      </c>
      <c r="V230" s="23" t="str">
        <f>IF(SUGERENCIAS!N650="SIN","Sin datos anteriores",IF(SUGERENCIAS!N650="SUBIR_F","^ SUBIR FUERTE | Kg:"&amp;ROUND(SUGERENCIAS!K650,1)&amp;" R:"&amp;ROUND(SUGERENCIAS!L650,0)&amp;" RIR:"&amp;ROUND(SUGERENCIAS!M650,0),IF(SUGERENCIAS!N650="SUBIR_E","^ SUBIR (Est.) | Kg:"&amp;ROUND(SUGERENCIAS!K650,1)&amp;" R:"&amp;ROUND(SUGERENCIAS!L650,0)&amp;" RIR:"&amp;ROUND(SUGERENCIAS!M650,0),IF(SUGERENCIAS!N650="SUBIR","^ SUBIR | Kg:"&amp;ROUND(SUGERENCIAS!K650,1)&amp;" R:"&amp;ROUND(SUGERENCIAS!L650,0)&amp;" RIR:"&amp;ROUND(SUGERENCIAS!M650,0),IF(SUGERENCIAS!N650="BAJAR","v BAJAR | Kg:"&amp;ROUND(SUGERENCIAS!K650,1)&amp;" R:"&amp;ROUND(SUGERENCIAS!L650,0)&amp;" RIR:"&amp;ROUND(SUGERENCIAS!M650,0),"= MANT | Kg:"&amp;ROUND(SUGERENCIAS!K650,1)&amp;" R:"&amp;ROUND(SUGERENCIAS!L650,0)&amp;" RIR:"&amp;ROUND(SUGERENCIAS!M650,0))))))</f>
        <v>Sin datos anteriores</v>
      </c>
      <c r="W230" s="69">
        <f>MAX(IF((G230&gt;0)*(IF(H230="",-1,H230)&gt;=0)*(IF(H230="",-1,H230)&lt;=1),IF(C230="peso_corporal",IF(ISNUMBER(E230),E230,0)+F230,F230)*G230*1000+F230,0),IF((J230&gt;0)*(IF(K230="",-1,K230)&gt;=0)*(IF(K230="",-1,K230)&lt;=1),IF(C230="peso_corporal",IF(ISNUMBER(E230),E230,0)+I230,I230)*J230*1000+I230,0),IF((M230&gt;0)*(IF(N230="",-1,N230)&gt;=0)*(IF(N230="",-1,N230)&lt;=1),IF(C230="peso_corporal",IF(ISNUMBER(E230),E230,0)+L230,L230)*M230*1000+L230,0),IF((P230&gt;0)*(IF(Q230="",-1,Q230)&gt;=0)*(IF(Q230="",-1,Q230)&lt;=1),IF(C230="peso_corporal",IF(ISNUMBER(E230),E230,0)+O230,O230)*P230*1000+O230,0),IF((S230&gt;0)*(IF(T230="",-1,T230)&gt;=0)*(IF(T230="",-1,T230)&lt;=1),IF(C230="peso_corporal",IF(ISNUMBER(E230),E230,0)+R230,R230)*S230*1000+R230,0))</f>
        <v>0</v>
      </c>
      <c r="X230" s="69">
        <f>IF(W230=0,0,IF(IF((S230&gt;0)*(IF(T230="",-1,T230)&gt;=0)*(IF(T230="",-1,T230)&lt;=1),IF(C230="peso_corporal",IF(ISNUMBER(E230),E230,0)+R230,R230)*S230*1000+R230,0)=W230,5,IF(IF((P230&gt;0)*(IF(Q230="",-1,Q230)&gt;=0)*(IF(Q230="",-1,Q230)&lt;=1),IF(C230="peso_corporal",IF(ISNUMBER(E230),E230,0)+O230,O230)*P230*1000+O230,0)=W230,4,IF(IF((M230&gt;0)*(IF(N230="",-1,N230)&gt;=0)*(IF(N230="",-1,N230)&lt;=1),IF(C230="peso_corporal",IF(ISNUMBER(E230),E230,0)+L230,L230)*M230*1000+L230,0)=W230,3,IF(IF((J230&gt;0)*(IF(K230="",-1,K230)&gt;=0)*(IF(K230="",-1,K230)&lt;=1),IF(C230="peso_corporal",IF(ISNUMBER(E230),E230,0)+I230,I230)*J230*1000+I230,0)=W230,2,IF(IF((G230&gt;0)*(IF(H230="",-1,H230)&gt;=0)*(IF(H230="",-1,H230)&lt;=1),IF(C230="peso_corporal",IF(ISNUMBER(E230),E230,0)+F230,F230)*G230*1000+F230,0)=W230,1,0))))))</f>
        <v>0</v>
      </c>
      <c r="Y230" s="69">
        <f>MAX(IF((G230&gt;0)*(IF(H230="",-1,H230)=0)*(1-(IF(H230="",-1,H230)&gt;=0)*(IF(H230="",-1,H230)&lt;=1)),IF(C230="peso_corporal",IF(ISNUMBER(E230),E230,0)+F230,F230)*G230*1000+F230,0),IF((J230&gt;0)*(IF(K230="",-1,K230)=0)*(1-(IF(K230="",-1,K230)&gt;=0)*(IF(K230="",-1,K230)&lt;=1)),IF(C230="peso_corporal",IF(ISNUMBER(E230),E230,0)+I230,I230)*J230*1000+I230,0),IF((M230&gt;0)*(IF(N230="",-1,N230)=0)*(1-(IF(N230="",-1,N230)&gt;=0)*(IF(N230="",-1,N230)&lt;=1)),IF(C230="peso_corporal",IF(ISNUMBER(E230),E230,0)+L230,L230)*M230*1000+L230,0),IF((P230&gt;0)*(IF(Q230="",-1,Q230)=0)*(1-(IF(Q230="",-1,Q230)&gt;=0)*(IF(Q230="",-1,Q230)&lt;=1)),IF(C230="peso_corporal",IF(ISNUMBER(E230),E230,0)+O230,O230)*P230*1000+O230,0),IF((S230&gt;0)*(IF(T230="",-1,T230)=0)*(1-(IF(T230="",-1,T230)&gt;=0)*(IF(T230="",-1,T230)&lt;=1)),IF(C230="peso_corporal",IF(ISNUMBER(E230),E230,0)+R230,R230)*S230*1000+R230,0))</f>
        <v>0</v>
      </c>
      <c r="Z230" s="69">
        <f>IF(Y230=0,0,IF(IF((S230&gt;0)*(IF(T230="",-1,T230)=0)*(1-(IF(T230="",-1,T230)&gt;=0)*(IF(T230="",-1,T230)&lt;=1)),IF(C230="peso_corporal",IF(ISNUMBER(E230),E230,0)+R230,R230)*S230*1000+R230,0)=Y230,5,IF(IF((P230&gt;0)*(IF(Q230="",-1,Q230)=0)*(1-(IF(Q230="",-1,Q230)&gt;=0)*(IF(Q230="",-1,Q230)&lt;=1)),IF(C230="peso_corporal",IF(ISNUMBER(E230),E230,0)+O230,O230)*P230*1000+O230,0)=Y230,4,IF(IF((M230&gt;0)*(IF(N230="",-1,N230)=0)*(1-(IF(N230="",-1,N230)&gt;=0)*(IF(N230="",-1,N230)&lt;=1)),IF(C230="peso_corporal",IF(ISNUMBER(E230),E230,0)+L230,L230)*M230*1000+L230,0)=Y230,3,IF(IF((J230&gt;0)*(IF(K230="",-1,K230)=0)*(1-(IF(K230="",-1,K230)&gt;=0)*(IF(K230="",-1,K230)&lt;=1)),IF(C230="peso_corporal",IF(ISNUMBER(E230),E230,0)+I230,I230)*J230*1000+I230,0)=Y230,2,IF(IF((G230&gt;0)*(IF(H230="",-1,H230)=0)*(1-(IF(H230="",-1,H230)&gt;=0)*(IF(H230="",-1,H230)&lt;=1)),IF(C230="peso_corporal",IF(ISNUMBER(E230),E230,0)+F230,F230)*G230*1000+F230,0)=Y230,1,0))))))</f>
        <v>0</v>
      </c>
      <c r="AA230" s="69">
        <f>MAX(IF((G230&gt;=3)*(1-(IF(H230="",-1,H230)&gt;=0)*(IF(H230="",-1,H230)&lt;=1))*(1-(IF(H230="",-1,H230)=0)),IF(C230="peso_corporal",IF(ISNUMBER(E230),E230,0)+F230,F230)*(30+G230)*100+F230,0),IF((J230&gt;=3)*(1-(IF(K230="",-1,K230)&gt;=0)*(IF(K230="",-1,K230)&lt;=1))*(1-(IF(K230="",-1,K230)=0)),IF(C230="peso_corporal",IF(ISNUMBER(E230),E230,0)+I230,I230)*(30+J230)*100+I230,0),IF((M230&gt;=3)*(1-(IF(N230="",-1,N230)&gt;=0)*(IF(N230="",-1,N230)&lt;=1))*(1-(IF(N230="",-1,N230)=0)),IF(C230="peso_corporal",IF(ISNUMBER(E230),E230,0)+L230,L230)*(30+M230)*100+L230,0),IF((P230&gt;=3)*(1-(IF(Q230="",-1,Q230)&gt;=0)*(IF(Q230="",-1,Q230)&lt;=1))*(1-(IF(Q230="",-1,Q230)=0)),IF(C230="peso_corporal",IF(ISNUMBER(E230),E230,0)+O230,O230)*(30+P230)*100+O230,0),IF((S230&gt;=3)*(1-(IF(T230="",-1,T230)&gt;=0)*(IF(T230="",-1,T230)&lt;=1))*(1-(IF(T230="",-1,T230)=0)),IF(C230="peso_corporal",IF(ISNUMBER(E230),E230,0)+R230,R230)*(30+S230)*100+R230,0))</f>
        <v>0</v>
      </c>
      <c r="AB230" s="69">
        <f>IF(AA230=0,0,IF(IF((S230&gt;=3)*(1-(IF(T230="",-1,T230)&gt;=0)*(IF(T230="",-1,T230)&lt;=1))*(1-(IF(T230="",-1,T230)=0)),IF(C230="peso_corporal",IF(ISNUMBER(E230),E230,0)+R230,R230)*(30+S230)*100+R230,0)=AA230,5,IF(IF((P230&gt;=3)*(1-(IF(Q230="",-1,Q230)&gt;=0)*(IF(Q230="",-1,Q230)&lt;=1))*(1-(IF(Q230="",-1,Q230)=0)),IF(C230="peso_corporal",IF(ISNUMBER(E230),E230,0)+O230,O230)*(30+P230)*100+O230,0)=AA230,4,IF(IF((M230&gt;=3)*(1-(IF(N230="",-1,N230)&gt;=0)*(IF(N230="",-1,N230)&lt;=1))*(1-(IF(N230="",-1,N230)=0)),IF(C230="peso_corporal",IF(ISNUMBER(E230),E230,0)+L230,L230)*(30+M230)*100+L230,0)=AA230,3,IF(IF((J230&gt;=3)*(1-(IF(K230="",-1,K230)&gt;=0)*(IF(K230="",-1,K230)&lt;=1))*(1-(IF(K230="",-1,K230)=0)),IF(C230="peso_corporal",IF(ISNUMBER(E230),E230,0)+I230,I230)*(30+J230)*100+I230,0)=AA230,2,IF(IF((G230&gt;=3)*(1-(IF(H230="",-1,H230)&gt;=0)*(IF(H230="",-1,H230)&lt;=1))*(1-(IF(H230="",-1,H230)=0)),IF(C230="peso_corporal",IF(ISNUMBER(E230),E230,0)+F230,F230)*(30+G230)*100+F230,0)=AA230,1,0))))))</f>
        <v>0</v>
      </c>
      <c r="AC230" s="69" t="str">
        <f>IF(X230&gt;0,"A"&amp;X230,IF(Z230&gt;0,"B"&amp;Z230,IF(AB230&gt;0,"C"&amp;AB230,"")))</f>
        <v/>
      </c>
    </row>
    <row r="231" spans="1:29" ht="15" customHeight="1">
      <c r="A231" s="83" t="s">
        <v>99</v>
      </c>
      <c r="B231" s="73"/>
      <c r="C231" s="73"/>
      <c r="D231" s="73"/>
      <c r="E231" s="73"/>
      <c r="F231" s="73"/>
      <c r="G231" s="73"/>
      <c r="H231" s="73"/>
      <c r="I231" s="73"/>
      <c r="J231" s="73"/>
      <c r="K231" s="73"/>
      <c r="L231" s="73"/>
      <c r="M231" s="73"/>
      <c r="N231" s="73"/>
      <c r="O231" s="73"/>
      <c r="P231" s="73"/>
      <c r="Q231" s="73"/>
      <c r="R231" s="73"/>
      <c r="S231" s="73"/>
      <c r="T231" s="73"/>
      <c r="U231" s="73"/>
      <c r="V231" s="73"/>
      <c r="W231" s="69"/>
      <c r="X231" s="69"/>
      <c r="Y231" s="69"/>
      <c r="Z231" s="69"/>
      <c r="AA231" s="69"/>
      <c r="AB231" s="69"/>
      <c r="AC231" s="69"/>
    </row>
    <row r="232" spans="1:29" ht="20.100000000000001" customHeight="1">
      <c r="A232" s="14" t="s">
        <v>100</v>
      </c>
      <c r="B232" s="15" t="s">
        <v>101</v>
      </c>
      <c r="C232" s="16" t="str">
        <f>IFERROR(INDEX(EJERCICIOS!$D$3:$D$75,MATCH(A232&amp;"|"&amp;B232,EJERCICIOS!$G$3:$G$75,0)),"--")</f>
        <v>mancuerna</v>
      </c>
      <c r="D232" s="17">
        <v>3</v>
      </c>
      <c r="E232" s="18">
        <f>IFERROR(LOOKUP(2,1/(MEDIDAS_Y_PESO!$B$3:$B$13&lt;&gt;""),MEDIDAS_Y_PESO!$B$3:$B$13),"--")</f>
        <v>80</v>
      </c>
      <c r="F232" s="19"/>
      <c r="G232" s="20"/>
      <c r="H232" s="21"/>
      <c r="I232" s="19"/>
      <c r="J232" s="20"/>
      <c r="K232" s="21"/>
      <c r="L232" s="19"/>
      <c r="M232" s="20"/>
      <c r="N232" s="21"/>
      <c r="O232" s="19"/>
      <c r="P232" s="20"/>
      <c r="Q232" s="21"/>
      <c r="R232" s="19"/>
      <c r="S232" s="20"/>
      <c r="T232" s="21"/>
      <c r="U232" s="22" t="str">
        <f>IFERROR(IF(IF(X232&gt;0,X232,IF(Z232&gt;0,Z232,IF(AB232&gt;0,AB232,0)))=0,"--",ROUND(CHOOSE(IF(X232&gt;0,X232,IF(Z232&gt;0,Z232,IF(AB232&gt;0,AB232,0))),IF(C232="peso_corporal",IF(ISNUMBER(E232),E232,0)+F232,F232)*(1+G232/30),IF(C232="peso_corporal",IF(ISNUMBER(E232),E232,0)+I232,I232)*(1+J232/30),IF(C232="peso_corporal",IF(ISNUMBER(E232),E232,0)+L232,L232)*(1+M232/30),IF(C232="peso_corporal",IF(ISNUMBER(E232),E232,0)+O232,O232)*(1+P232/30),IF(C232="peso_corporal",IF(ISNUMBER(E232),E232,0)+R232,R232)*(1+S232/30)),1)),"--")</f>
        <v>--</v>
      </c>
      <c r="V232" s="23" t="str">
        <f>IF(SUGERENCIAS!N651="SIN","Sin datos anteriores",IF(SUGERENCIAS!N651="SUBIR_F","^ SUBIR FUERTE | Kg:"&amp;ROUND(SUGERENCIAS!K651,1)&amp;" R:"&amp;ROUND(SUGERENCIAS!L651,0)&amp;" RIR:"&amp;ROUND(SUGERENCIAS!M651,0),IF(SUGERENCIAS!N651="SUBIR_E","^ SUBIR (Est.) | Kg:"&amp;ROUND(SUGERENCIAS!K651,1)&amp;" R:"&amp;ROUND(SUGERENCIAS!L651,0)&amp;" RIR:"&amp;ROUND(SUGERENCIAS!M651,0),IF(SUGERENCIAS!N651="SUBIR","^ SUBIR | Kg:"&amp;ROUND(SUGERENCIAS!K651,1)&amp;" R:"&amp;ROUND(SUGERENCIAS!L651,0)&amp;" RIR:"&amp;ROUND(SUGERENCIAS!M651,0),IF(SUGERENCIAS!N651="BAJAR","v BAJAR | Kg:"&amp;ROUND(SUGERENCIAS!K651,1)&amp;" R:"&amp;ROUND(SUGERENCIAS!L651,0)&amp;" RIR:"&amp;ROUND(SUGERENCIAS!M651,0),"= MANT | Kg:"&amp;ROUND(SUGERENCIAS!K651,1)&amp;" R:"&amp;ROUND(SUGERENCIAS!L651,0)&amp;" RIR:"&amp;ROUND(SUGERENCIAS!M651,0))))))</f>
        <v>Sin datos anteriores</v>
      </c>
      <c r="W232" s="69">
        <f>MAX(IF((G232&gt;0)*(IF(H232="",-1,H232)&gt;=0)*(IF(H232="",-1,H232)&lt;=1),IF(C232="peso_corporal",IF(ISNUMBER(E232),E232,0)+F232,F232)*G232*1000+F232,0),IF((J232&gt;0)*(IF(K232="",-1,K232)&gt;=0)*(IF(K232="",-1,K232)&lt;=1),IF(C232="peso_corporal",IF(ISNUMBER(E232),E232,0)+I232,I232)*J232*1000+I232,0),IF((M232&gt;0)*(IF(N232="",-1,N232)&gt;=0)*(IF(N232="",-1,N232)&lt;=1),IF(C232="peso_corporal",IF(ISNUMBER(E232),E232,0)+L232,L232)*M232*1000+L232,0),IF((P232&gt;0)*(IF(Q232="",-1,Q232)&gt;=0)*(IF(Q232="",-1,Q232)&lt;=1),IF(C232="peso_corporal",IF(ISNUMBER(E232),E232,0)+O232,O232)*P232*1000+O232,0),IF((S232&gt;0)*(IF(T232="",-1,T232)&gt;=0)*(IF(T232="",-1,T232)&lt;=1),IF(C232="peso_corporal",IF(ISNUMBER(E232),E232,0)+R232,R232)*S232*1000+R232,0))</f>
        <v>0</v>
      </c>
      <c r="X232" s="69">
        <f>IF(W232=0,0,IF(IF((S232&gt;0)*(IF(T232="",-1,T232)&gt;=0)*(IF(T232="",-1,T232)&lt;=1),IF(C232="peso_corporal",IF(ISNUMBER(E232),E232,0)+R232,R232)*S232*1000+R232,0)=W232,5,IF(IF((P232&gt;0)*(IF(Q232="",-1,Q232)&gt;=0)*(IF(Q232="",-1,Q232)&lt;=1),IF(C232="peso_corporal",IF(ISNUMBER(E232),E232,0)+O232,O232)*P232*1000+O232,0)=W232,4,IF(IF((M232&gt;0)*(IF(N232="",-1,N232)&gt;=0)*(IF(N232="",-1,N232)&lt;=1),IF(C232="peso_corporal",IF(ISNUMBER(E232),E232,0)+L232,L232)*M232*1000+L232,0)=W232,3,IF(IF((J232&gt;0)*(IF(K232="",-1,K232)&gt;=0)*(IF(K232="",-1,K232)&lt;=1),IF(C232="peso_corporal",IF(ISNUMBER(E232),E232,0)+I232,I232)*J232*1000+I232,0)=W232,2,IF(IF((G232&gt;0)*(IF(H232="",-1,H232)&gt;=0)*(IF(H232="",-1,H232)&lt;=1),IF(C232="peso_corporal",IF(ISNUMBER(E232),E232,0)+F232,F232)*G232*1000+F232,0)=W232,1,0))))))</f>
        <v>0</v>
      </c>
      <c r="Y232" s="69">
        <f>MAX(IF((G232&gt;0)*(IF(H232="",-1,H232)=0)*(1-(IF(H232="",-1,H232)&gt;=0)*(IF(H232="",-1,H232)&lt;=1)),IF(C232="peso_corporal",IF(ISNUMBER(E232),E232,0)+F232,F232)*G232*1000+F232,0),IF((J232&gt;0)*(IF(K232="",-1,K232)=0)*(1-(IF(K232="",-1,K232)&gt;=0)*(IF(K232="",-1,K232)&lt;=1)),IF(C232="peso_corporal",IF(ISNUMBER(E232),E232,0)+I232,I232)*J232*1000+I232,0),IF((M232&gt;0)*(IF(N232="",-1,N232)=0)*(1-(IF(N232="",-1,N232)&gt;=0)*(IF(N232="",-1,N232)&lt;=1)),IF(C232="peso_corporal",IF(ISNUMBER(E232),E232,0)+L232,L232)*M232*1000+L232,0),IF((P232&gt;0)*(IF(Q232="",-1,Q232)=0)*(1-(IF(Q232="",-1,Q232)&gt;=0)*(IF(Q232="",-1,Q232)&lt;=1)),IF(C232="peso_corporal",IF(ISNUMBER(E232),E232,0)+O232,O232)*P232*1000+O232,0),IF((S232&gt;0)*(IF(T232="",-1,T232)=0)*(1-(IF(T232="",-1,T232)&gt;=0)*(IF(T232="",-1,T232)&lt;=1)),IF(C232="peso_corporal",IF(ISNUMBER(E232),E232,0)+R232,R232)*S232*1000+R232,0))</f>
        <v>0</v>
      </c>
      <c r="Z232" s="69">
        <f>IF(Y232=0,0,IF(IF((S232&gt;0)*(IF(T232="",-1,T232)=0)*(1-(IF(T232="",-1,T232)&gt;=0)*(IF(T232="",-1,T232)&lt;=1)),IF(C232="peso_corporal",IF(ISNUMBER(E232),E232,0)+R232,R232)*S232*1000+R232,0)=Y232,5,IF(IF((P232&gt;0)*(IF(Q232="",-1,Q232)=0)*(1-(IF(Q232="",-1,Q232)&gt;=0)*(IF(Q232="",-1,Q232)&lt;=1)),IF(C232="peso_corporal",IF(ISNUMBER(E232),E232,0)+O232,O232)*P232*1000+O232,0)=Y232,4,IF(IF((M232&gt;0)*(IF(N232="",-1,N232)=0)*(1-(IF(N232="",-1,N232)&gt;=0)*(IF(N232="",-1,N232)&lt;=1)),IF(C232="peso_corporal",IF(ISNUMBER(E232),E232,0)+L232,L232)*M232*1000+L232,0)=Y232,3,IF(IF((J232&gt;0)*(IF(K232="",-1,K232)=0)*(1-(IF(K232="",-1,K232)&gt;=0)*(IF(K232="",-1,K232)&lt;=1)),IF(C232="peso_corporal",IF(ISNUMBER(E232),E232,0)+I232,I232)*J232*1000+I232,0)=Y232,2,IF(IF((G232&gt;0)*(IF(H232="",-1,H232)=0)*(1-(IF(H232="",-1,H232)&gt;=0)*(IF(H232="",-1,H232)&lt;=1)),IF(C232="peso_corporal",IF(ISNUMBER(E232),E232,0)+F232,F232)*G232*1000+F232,0)=Y232,1,0))))))</f>
        <v>0</v>
      </c>
      <c r="AA232" s="69">
        <f>MAX(IF((G232&gt;=3)*(1-(IF(H232="",-1,H232)&gt;=0)*(IF(H232="",-1,H232)&lt;=1))*(1-(IF(H232="",-1,H232)=0)),IF(C232="peso_corporal",IF(ISNUMBER(E232),E232,0)+F232,F232)*(30+G232)*100+F232,0),IF((J232&gt;=3)*(1-(IF(K232="",-1,K232)&gt;=0)*(IF(K232="",-1,K232)&lt;=1))*(1-(IF(K232="",-1,K232)=0)),IF(C232="peso_corporal",IF(ISNUMBER(E232),E232,0)+I232,I232)*(30+J232)*100+I232,0),IF((M232&gt;=3)*(1-(IF(N232="",-1,N232)&gt;=0)*(IF(N232="",-1,N232)&lt;=1))*(1-(IF(N232="",-1,N232)=0)),IF(C232="peso_corporal",IF(ISNUMBER(E232),E232,0)+L232,L232)*(30+M232)*100+L232,0),IF((P232&gt;=3)*(1-(IF(Q232="",-1,Q232)&gt;=0)*(IF(Q232="",-1,Q232)&lt;=1))*(1-(IF(Q232="",-1,Q232)=0)),IF(C232="peso_corporal",IF(ISNUMBER(E232),E232,0)+O232,O232)*(30+P232)*100+O232,0),IF((S232&gt;=3)*(1-(IF(T232="",-1,T232)&gt;=0)*(IF(T232="",-1,T232)&lt;=1))*(1-(IF(T232="",-1,T232)=0)),IF(C232="peso_corporal",IF(ISNUMBER(E232),E232,0)+R232,R232)*(30+S232)*100+R232,0))</f>
        <v>0</v>
      </c>
      <c r="AB232" s="69">
        <f>IF(AA232=0,0,IF(IF((S232&gt;=3)*(1-(IF(T232="",-1,T232)&gt;=0)*(IF(T232="",-1,T232)&lt;=1))*(1-(IF(T232="",-1,T232)=0)),IF(C232="peso_corporal",IF(ISNUMBER(E232),E232,0)+R232,R232)*(30+S232)*100+R232,0)=AA232,5,IF(IF((P232&gt;=3)*(1-(IF(Q232="",-1,Q232)&gt;=0)*(IF(Q232="",-1,Q232)&lt;=1))*(1-(IF(Q232="",-1,Q232)=0)),IF(C232="peso_corporal",IF(ISNUMBER(E232),E232,0)+O232,O232)*(30+P232)*100+O232,0)=AA232,4,IF(IF((M232&gt;=3)*(1-(IF(N232="",-1,N232)&gt;=0)*(IF(N232="",-1,N232)&lt;=1))*(1-(IF(N232="",-1,N232)=0)),IF(C232="peso_corporal",IF(ISNUMBER(E232),E232,0)+L232,L232)*(30+M232)*100+L232,0)=AA232,3,IF(IF((J232&gt;=3)*(1-(IF(K232="",-1,K232)&gt;=0)*(IF(K232="",-1,K232)&lt;=1))*(1-(IF(K232="",-1,K232)=0)),IF(C232="peso_corporal",IF(ISNUMBER(E232),E232,0)+I232,I232)*(30+J232)*100+I232,0)=AA232,2,IF(IF((G232&gt;=3)*(1-(IF(H232="",-1,H232)&gt;=0)*(IF(H232="",-1,H232)&lt;=1))*(1-(IF(H232="",-1,H232)=0)),IF(C232="peso_corporal",IF(ISNUMBER(E232),E232,0)+F232,F232)*(30+G232)*100+F232,0)=AA232,1,0))))))</f>
        <v>0</v>
      </c>
      <c r="AC232" s="69" t="str">
        <f>IF(X232&gt;0,"A"&amp;X232,IF(Z232&gt;0,"B"&amp;Z232,IF(AB232&gt;0,"C"&amp;AB232,"")))</f>
        <v/>
      </c>
    </row>
    <row r="233" spans="1:29" ht="20.100000000000001" customHeight="1">
      <c r="A233" s="14" t="s">
        <v>100</v>
      </c>
      <c r="B233" s="15" t="s">
        <v>102</v>
      </c>
      <c r="C233" s="16" t="str">
        <f>IFERROR(INDEX(EJERCICIOS!$D$3:$D$75,MATCH(A233&amp;"|"&amp;B233,EJERCICIOS!$G$3:$G$75,0)),"--")</f>
        <v>mancuerna</v>
      </c>
      <c r="D233" s="17">
        <v>3</v>
      </c>
      <c r="E233" s="18">
        <f>IFERROR(LOOKUP(2,1/(MEDIDAS_Y_PESO!$B$3:$B$13&lt;&gt;""),MEDIDAS_Y_PESO!$B$3:$B$13),"--")</f>
        <v>80</v>
      </c>
      <c r="F233" s="19"/>
      <c r="G233" s="20"/>
      <c r="H233" s="21"/>
      <c r="I233" s="19"/>
      <c r="J233" s="20"/>
      <c r="K233" s="21"/>
      <c r="L233" s="19"/>
      <c r="M233" s="20"/>
      <c r="N233" s="21"/>
      <c r="O233" s="19"/>
      <c r="P233" s="20"/>
      <c r="Q233" s="21"/>
      <c r="R233" s="19"/>
      <c r="S233" s="20"/>
      <c r="T233" s="21"/>
      <c r="U233" s="22" t="str">
        <f>IFERROR(IF(IF(X233&gt;0,X233,IF(Z233&gt;0,Z233,IF(AB233&gt;0,AB233,0)))=0,"--",ROUND(CHOOSE(IF(X233&gt;0,X233,IF(Z233&gt;0,Z233,IF(AB233&gt;0,AB233,0))),IF(C233="peso_corporal",IF(ISNUMBER(E233),E233,0)+F233,F233)*(1+G233/30),IF(C233="peso_corporal",IF(ISNUMBER(E233),E233,0)+I233,I233)*(1+J233/30),IF(C233="peso_corporal",IF(ISNUMBER(E233),E233,0)+L233,L233)*(1+M233/30),IF(C233="peso_corporal",IF(ISNUMBER(E233),E233,0)+O233,O233)*(1+P233/30),IF(C233="peso_corporal",IF(ISNUMBER(E233),E233,0)+R233,R233)*(1+S233/30)),1)),"--")</f>
        <v>--</v>
      </c>
      <c r="V233" s="23" t="str">
        <f>IF(SUGERENCIAS!N652="SIN","Sin datos anteriores",IF(SUGERENCIAS!N652="SUBIR_F","^ SUBIR FUERTE | Kg:"&amp;ROUND(SUGERENCIAS!K652,1)&amp;" R:"&amp;ROUND(SUGERENCIAS!L652,0)&amp;" RIR:"&amp;ROUND(SUGERENCIAS!M652,0),IF(SUGERENCIAS!N652="SUBIR_E","^ SUBIR (Est.) | Kg:"&amp;ROUND(SUGERENCIAS!K652,1)&amp;" R:"&amp;ROUND(SUGERENCIAS!L652,0)&amp;" RIR:"&amp;ROUND(SUGERENCIAS!M652,0),IF(SUGERENCIAS!N652="SUBIR","^ SUBIR | Kg:"&amp;ROUND(SUGERENCIAS!K652,1)&amp;" R:"&amp;ROUND(SUGERENCIAS!L652,0)&amp;" RIR:"&amp;ROUND(SUGERENCIAS!M652,0),IF(SUGERENCIAS!N652="BAJAR","v BAJAR | Kg:"&amp;ROUND(SUGERENCIAS!K652,1)&amp;" R:"&amp;ROUND(SUGERENCIAS!L652,0)&amp;" RIR:"&amp;ROUND(SUGERENCIAS!M652,0),"= MANT | Kg:"&amp;ROUND(SUGERENCIAS!K652,1)&amp;" R:"&amp;ROUND(SUGERENCIAS!L652,0)&amp;" RIR:"&amp;ROUND(SUGERENCIAS!M652,0))))))</f>
        <v>Sin datos anteriores</v>
      </c>
      <c r="W233" s="69">
        <f>MAX(IF((G233&gt;0)*(IF(H233="",-1,H233)&gt;=0)*(IF(H233="",-1,H233)&lt;=1),IF(C233="peso_corporal",IF(ISNUMBER(E233),E233,0)+F233,F233)*G233*1000+F233,0),IF((J233&gt;0)*(IF(K233="",-1,K233)&gt;=0)*(IF(K233="",-1,K233)&lt;=1),IF(C233="peso_corporal",IF(ISNUMBER(E233),E233,0)+I233,I233)*J233*1000+I233,0),IF((M233&gt;0)*(IF(N233="",-1,N233)&gt;=0)*(IF(N233="",-1,N233)&lt;=1),IF(C233="peso_corporal",IF(ISNUMBER(E233),E233,0)+L233,L233)*M233*1000+L233,0),IF((P233&gt;0)*(IF(Q233="",-1,Q233)&gt;=0)*(IF(Q233="",-1,Q233)&lt;=1),IF(C233="peso_corporal",IF(ISNUMBER(E233),E233,0)+O233,O233)*P233*1000+O233,0),IF((S233&gt;0)*(IF(T233="",-1,T233)&gt;=0)*(IF(T233="",-1,T233)&lt;=1),IF(C233="peso_corporal",IF(ISNUMBER(E233),E233,0)+R233,R233)*S233*1000+R233,0))</f>
        <v>0</v>
      </c>
      <c r="X233" s="69">
        <f>IF(W233=0,0,IF(IF((S233&gt;0)*(IF(T233="",-1,T233)&gt;=0)*(IF(T233="",-1,T233)&lt;=1),IF(C233="peso_corporal",IF(ISNUMBER(E233),E233,0)+R233,R233)*S233*1000+R233,0)=W233,5,IF(IF((P233&gt;0)*(IF(Q233="",-1,Q233)&gt;=0)*(IF(Q233="",-1,Q233)&lt;=1),IF(C233="peso_corporal",IF(ISNUMBER(E233),E233,0)+O233,O233)*P233*1000+O233,0)=W233,4,IF(IF((M233&gt;0)*(IF(N233="",-1,N233)&gt;=0)*(IF(N233="",-1,N233)&lt;=1),IF(C233="peso_corporal",IF(ISNUMBER(E233),E233,0)+L233,L233)*M233*1000+L233,0)=W233,3,IF(IF((J233&gt;0)*(IF(K233="",-1,K233)&gt;=0)*(IF(K233="",-1,K233)&lt;=1),IF(C233="peso_corporal",IF(ISNUMBER(E233),E233,0)+I233,I233)*J233*1000+I233,0)=W233,2,IF(IF((G233&gt;0)*(IF(H233="",-1,H233)&gt;=0)*(IF(H233="",-1,H233)&lt;=1),IF(C233="peso_corporal",IF(ISNUMBER(E233),E233,0)+F233,F233)*G233*1000+F233,0)=W233,1,0))))))</f>
        <v>0</v>
      </c>
      <c r="Y233" s="69">
        <f>MAX(IF((G233&gt;0)*(IF(H233="",-1,H233)=0)*(1-(IF(H233="",-1,H233)&gt;=0)*(IF(H233="",-1,H233)&lt;=1)),IF(C233="peso_corporal",IF(ISNUMBER(E233),E233,0)+F233,F233)*G233*1000+F233,0),IF((J233&gt;0)*(IF(K233="",-1,K233)=0)*(1-(IF(K233="",-1,K233)&gt;=0)*(IF(K233="",-1,K233)&lt;=1)),IF(C233="peso_corporal",IF(ISNUMBER(E233),E233,0)+I233,I233)*J233*1000+I233,0),IF((M233&gt;0)*(IF(N233="",-1,N233)=0)*(1-(IF(N233="",-1,N233)&gt;=0)*(IF(N233="",-1,N233)&lt;=1)),IF(C233="peso_corporal",IF(ISNUMBER(E233),E233,0)+L233,L233)*M233*1000+L233,0),IF((P233&gt;0)*(IF(Q233="",-1,Q233)=0)*(1-(IF(Q233="",-1,Q233)&gt;=0)*(IF(Q233="",-1,Q233)&lt;=1)),IF(C233="peso_corporal",IF(ISNUMBER(E233),E233,0)+O233,O233)*P233*1000+O233,0),IF((S233&gt;0)*(IF(T233="",-1,T233)=0)*(1-(IF(T233="",-1,T233)&gt;=0)*(IF(T233="",-1,T233)&lt;=1)),IF(C233="peso_corporal",IF(ISNUMBER(E233),E233,0)+R233,R233)*S233*1000+R233,0))</f>
        <v>0</v>
      </c>
      <c r="Z233" s="69">
        <f>IF(Y233=0,0,IF(IF((S233&gt;0)*(IF(T233="",-1,T233)=0)*(1-(IF(T233="",-1,T233)&gt;=0)*(IF(T233="",-1,T233)&lt;=1)),IF(C233="peso_corporal",IF(ISNUMBER(E233),E233,0)+R233,R233)*S233*1000+R233,0)=Y233,5,IF(IF((P233&gt;0)*(IF(Q233="",-1,Q233)=0)*(1-(IF(Q233="",-1,Q233)&gt;=0)*(IF(Q233="",-1,Q233)&lt;=1)),IF(C233="peso_corporal",IF(ISNUMBER(E233),E233,0)+O233,O233)*P233*1000+O233,0)=Y233,4,IF(IF((M233&gt;0)*(IF(N233="",-1,N233)=0)*(1-(IF(N233="",-1,N233)&gt;=0)*(IF(N233="",-1,N233)&lt;=1)),IF(C233="peso_corporal",IF(ISNUMBER(E233),E233,0)+L233,L233)*M233*1000+L233,0)=Y233,3,IF(IF((J233&gt;0)*(IF(K233="",-1,K233)=0)*(1-(IF(K233="",-1,K233)&gt;=0)*(IF(K233="",-1,K233)&lt;=1)),IF(C233="peso_corporal",IF(ISNUMBER(E233),E233,0)+I233,I233)*J233*1000+I233,0)=Y233,2,IF(IF((G233&gt;0)*(IF(H233="",-1,H233)=0)*(1-(IF(H233="",-1,H233)&gt;=0)*(IF(H233="",-1,H233)&lt;=1)),IF(C233="peso_corporal",IF(ISNUMBER(E233),E233,0)+F233,F233)*G233*1000+F233,0)=Y233,1,0))))))</f>
        <v>0</v>
      </c>
      <c r="AA233" s="69">
        <f>MAX(IF((G233&gt;=3)*(1-(IF(H233="",-1,H233)&gt;=0)*(IF(H233="",-1,H233)&lt;=1))*(1-(IF(H233="",-1,H233)=0)),IF(C233="peso_corporal",IF(ISNUMBER(E233),E233,0)+F233,F233)*(30+G233)*100+F233,0),IF((J233&gt;=3)*(1-(IF(K233="",-1,K233)&gt;=0)*(IF(K233="",-1,K233)&lt;=1))*(1-(IF(K233="",-1,K233)=0)),IF(C233="peso_corporal",IF(ISNUMBER(E233),E233,0)+I233,I233)*(30+J233)*100+I233,0),IF((M233&gt;=3)*(1-(IF(N233="",-1,N233)&gt;=0)*(IF(N233="",-1,N233)&lt;=1))*(1-(IF(N233="",-1,N233)=0)),IF(C233="peso_corporal",IF(ISNUMBER(E233),E233,0)+L233,L233)*(30+M233)*100+L233,0),IF((P233&gt;=3)*(1-(IF(Q233="",-1,Q233)&gt;=0)*(IF(Q233="",-1,Q233)&lt;=1))*(1-(IF(Q233="",-1,Q233)=0)),IF(C233="peso_corporal",IF(ISNUMBER(E233),E233,0)+O233,O233)*(30+P233)*100+O233,0),IF((S233&gt;=3)*(1-(IF(T233="",-1,T233)&gt;=0)*(IF(T233="",-1,T233)&lt;=1))*(1-(IF(T233="",-1,T233)=0)),IF(C233="peso_corporal",IF(ISNUMBER(E233),E233,0)+R233,R233)*(30+S233)*100+R233,0))</f>
        <v>0</v>
      </c>
      <c r="AB233" s="69">
        <f>IF(AA233=0,0,IF(IF((S233&gt;=3)*(1-(IF(T233="",-1,T233)&gt;=0)*(IF(T233="",-1,T233)&lt;=1))*(1-(IF(T233="",-1,T233)=0)),IF(C233="peso_corporal",IF(ISNUMBER(E233),E233,0)+R233,R233)*(30+S233)*100+R233,0)=AA233,5,IF(IF((P233&gt;=3)*(1-(IF(Q233="",-1,Q233)&gt;=0)*(IF(Q233="",-1,Q233)&lt;=1))*(1-(IF(Q233="",-1,Q233)=0)),IF(C233="peso_corporal",IF(ISNUMBER(E233),E233,0)+O233,O233)*(30+P233)*100+O233,0)=AA233,4,IF(IF((M233&gt;=3)*(1-(IF(N233="",-1,N233)&gt;=0)*(IF(N233="",-1,N233)&lt;=1))*(1-(IF(N233="",-1,N233)=0)),IF(C233="peso_corporal",IF(ISNUMBER(E233),E233,0)+L233,L233)*(30+M233)*100+L233,0)=AA233,3,IF(IF((J233&gt;=3)*(1-(IF(K233="",-1,K233)&gt;=0)*(IF(K233="",-1,K233)&lt;=1))*(1-(IF(K233="",-1,K233)=0)),IF(C233="peso_corporal",IF(ISNUMBER(E233),E233,0)+I233,I233)*(30+J233)*100+I233,0)=AA233,2,IF(IF((G233&gt;=3)*(1-(IF(H233="",-1,H233)&gt;=0)*(IF(H233="",-1,H233)&lt;=1))*(1-(IF(H233="",-1,H233)=0)),IF(C233="peso_corporal",IF(ISNUMBER(E233),E233,0)+F233,F233)*(30+G233)*100+F233,0)=AA233,1,0))))))</f>
        <v>0</v>
      </c>
      <c r="AC233" s="69" t="str">
        <f>IF(X233&gt;0,"A"&amp;X233,IF(Z233&gt;0,"B"&amp;Z233,IF(AB233&gt;0,"C"&amp;AB233,"")))</f>
        <v/>
      </c>
    </row>
    <row r="234" spans="1:29" ht="15" customHeight="1">
      <c r="A234" s="83" t="s">
        <v>103</v>
      </c>
      <c r="B234" s="73"/>
      <c r="C234" s="73"/>
      <c r="D234" s="73"/>
      <c r="E234" s="73"/>
      <c r="F234" s="73"/>
      <c r="G234" s="73"/>
      <c r="H234" s="73"/>
      <c r="I234" s="73"/>
      <c r="J234" s="73"/>
      <c r="K234" s="73"/>
      <c r="L234" s="73"/>
      <c r="M234" s="73"/>
      <c r="N234" s="73"/>
      <c r="O234" s="73"/>
      <c r="P234" s="73"/>
      <c r="Q234" s="73"/>
      <c r="R234" s="73"/>
      <c r="S234" s="73"/>
      <c r="T234" s="73"/>
      <c r="U234" s="73"/>
      <c r="V234" s="73"/>
      <c r="W234" s="69"/>
      <c r="X234" s="69"/>
      <c r="Y234" s="69"/>
      <c r="Z234" s="69"/>
      <c r="AA234" s="69"/>
      <c r="AB234" s="69"/>
      <c r="AC234" s="69"/>
    </row>
    <row r="235" spans="1:29" ht="20.100000000000001" customHeight="1">
      <c r="A235" s="14" t="s">
        <v>104</v>
      </c>
      <c r="B235" s="15" t="s">
        <v>105</v>
      </c>
      <c r="C235" s="16" t="str">
        <f>IFERROR(INDEX(EJERCICIOS!$D$3:$D$75,MATCH(A235&amp;"|"&amp;B235,EJERCICIOS!$G$3:$G$75,0)),"--")</f>
        <v>mancuerna</v>
      </c>
      <c r="D235" s="17">
        <v>3</v>
      </c>
      <c r="E235" s="18">
        <f>IFERROR(LOOKUP(2,1/(MEDIDAS_Y_PESO!$B$3:$B$13&lt;&gt;""),MEDIDAS_Y_PESO!$B$3:$B$13),"--")</f>
        <v>80</v>
      </c>
      <c r="F235" s="19"/>
      <c r="G235" s="20"/>
      <c r="H235" s="21"/>
      <c r="I235" s="19"/>
      <c r="J235" s="20"/>
      <c r="K235" s="21"/>
      <c r="L235" s="19"/>
      <c r="M235" s="20"/>
      <c r="N235" s="21"/>
      <c r="O235" s="19"/>
      <c r="P235" s="20"/>
      <c r="Q235" s="21"/>
      <c r="R235" s="19"/>
      <c r="S235" s="20"/>
      <c r="T235" s="21"/>
      <c r="U235" s="22" t="str">
        <f>IFERROR(IF(IF(X235&gt;0,X235,IF(Z235&gt;0,Z235,IF(AB235&gt;0,AB235,0)))=0,"--",ROUND(CHOOSE(IF(X235&gt;0,X235,IF(Z235&gt;0,Z235,IF(AB235&gt;0,AB235,0))),IF(C235="peso_corporal",IF(ISNUMBER(E235),E235,0)+F235,F235)*(1+G235/30),IF(C235="peso_corporal",IF(ISNUMBER(E235),E235,0)+I235,I235)*(1+J235/30),IF(C235="peso_corporal",IF(ISNUMBER(E235),E235,0)+L235,L235)*(1+M235/30),IF(C235="peso_corporal",IF(ISNUMBER(E235),E235,0)+O235,O235)*(1+P235/30),IF(C235="peso_corporal",IF(ISNUMBER(E235),E235,0)+R235,R235)*(1+S235/30)),1)),"--")</f>
        <v>--</v>
      </c>
      <c r="V235" s="23" t="str">
        <f>IF(SUGERENCIAS!N653="SIN","Sin datos anteriores",IF(SUGERENCIAS!N653="SUBIR_F","^ SUBIR FUERTE | Kg:"&amp;ROUND(SUGERENCIAS!K653,1)&amp;" R:"&amp;ROUND(SUGERENCIAS!L653,0)&amp;" RIR:"&amp;ROUND(SUGERENCIAS!M653,0),IF(SUGERENCIAS!N653="SUBIR_E","^ SUBIR (Est.) | Kg:"&amp;ROUND(SUGERENCIAS!K653,1)&amp;" R:"&amp;ROUND(SUGERENCIAS!L653,0)&amp;" RIR:"&amp;ROUND(SUGERENCIAS!M653,0),IF(SUGERENCIAS!N653="SUBIR","^ SUBIR | Kg:"&amp;ROUND(SUGERENCIAS!K653,1)&amp;" R:"&amp;ROUND(SUGERENCIAS!L653,0)&amp;" RIR:"&amp;ROUND(SUGERENCIAS!M653,0),IF(SUGERENCIAS!N653="BAJAR","v BAJAR | Kg:"&amp;ROUND(SUGERENCIAS!K653,1)&amp;" R:"&amp;ROUND(SUGERENCIAS!L653,0)&amp;" RIR:"&amp;ROUND(SUGERENCIAS!M653,0),"= MANT | Kg:"&amp;ROUND(SUGERENCIAS!K653,1)&amp;" R:"&amp;ROUND(SUGERENCIAS!L653,0)&amp;" RIR:"&amp;ROUND(SUGERENCIAS!M653,0))))))</f>
        <v>Sin datos anteriores</v>
      </c>
      <c r="W235" s="69">
        <f>MAX(IF((G235&gt;0)*(IF(H235="",-1,H235)&gt;=0)*(IF(H235="",-1,H235)&lt;=1),IF(C235="peso_corporal",IF(ISNUMBER(E235),E235,0)+F235,F235)*G235*1000+F235,0),IF((J235&gt;0)*(IF(K235="",-1,K235)&gt;=0)*(IF(K235="",-1,K235)&lt;=1),IF(C235="peso_corporal",IF(ISNUMBER(E235),E235,0)+I235,I235)*J235*1000+I235,0),IF((M235&gt;0)*(IF(N235="",-1,N235)&gt;=0)*(IF(N235="",-1,N235)&lt;=1),IF(C235="peso_corporal",IF(ISNUMBER(E235),E235,0)+L235,L235)*M235*1000+L235,0),IF((P235&gt;0)*(IF(Q235="",-1,Q235)&gt;=0)*(IF(Q235="",-1,Q235)&lt;=1),IF(C235="peso_corporal",IF(ISNUMBER(E235),E235,0)+O235,O235)*P235*1000+O235,0),IF((S235&gt;0)*(IF(T235="",-1,T235)&gt;=0)*(IF(T235="",-1,T235)&lt;=1),IF(C235="peso_corporal",IF(ISNUMBER(E235),E235,0)+R235,R235)*S235*1000+R235,0))</f>
        <v>0</v>
      </c>
      <c r="X235" s="69">
        <f>IF(W235=0,0,IF(IF((S235&gt;0)*(IF(T235="",-1,T235)&gt;=0)*(IF(T235="",-1,T235)&lt;=1),IF(C235="peso_corporal",IF(ISNUMBER(E235),E235,0)+R235,R235)*S235*1000+R235,0)=W235,5,IF(IF((P235&gt;0)*(IF(Q235="",-1,Q235)&gt;=0)*(IF(Q235="",-1,Q235)&lt;=1),IF(C235="peso_corporal",IF(ISNUMBER(E235),E235,0)+O235,O235)*P235*1000+O235,0)=W235,4,IF(IF((M235&gt;0)*(IF(N235="",-1,N235)&gt;=0)*(IF(N235="",-1,N235)&lt;=1),IF(C235="peso_corporal",IF(ISNUMBER(E235),E235,0)+L235,L235)*M235*1000+L235,0)=W235,3,IF(IF((J235&gt;0)*(IF(K235="",-1,K235)&gt;=0)*(IF(K235="",-1,K235)&lt;=1),IF(C235="peso_corporal",IF(ISNUMBER(E235),E235,0)+I235,I235)*J235*1000+I235,0)=W235,2,IF(IF((G235&gt;0)*(IF(H235="",-1,H235)&gt;=0)*(IF(H235="",-1,H235)&lt;=1),IF(C235="peso_corporal",IF(ISNUMBER(E235),E235,0)+F235,F235)*G235*1000+F235,0)=W235,1,0))))))</f>
        <v>0</v>
      </c>
      <c r="Y235" s="69">
        <f>MAX(IF((G235&gt;0)*(IF(H235="",-1,H235)=0)*(1-(IF(H235="",-1,H235)&gt;=0)*(IF(H235="",-1,H235)&lt;=1)),IF(C235="peso_corporal",IF(ISNUMBER(E235),E235,0)+F235,F235)*G235*1000+F235,0),IF((J235&gt;0)*(IF(K235="",-1,K235)=0)*(1-(IF(K235="",-1,K235)&gt;=0)*(IF(K235="",-1,K235)&lt;=1)),IF(C235="peso_corporal",IF(ISNUMBER(E235),E235,0)+I235,I235)*J235*1000+I235,0),IF((M235&gt;0)*(IF(N235="",-1,N235)=0)*(1-(IF(N235="",-1,N235)&gt;=0)*(IF(N235="",-1,N235)&lt;=1)),IF(C235="peso_corporal",IF(ISNUMBER(E235),E235,0)+L235,L235)*M235*1000+L235,0),IF((P235&gt;0)*(IF(Q235="",-1,Q235)=0)*(1-(IF(Q235="",-1,Q235)&gt;=0)*(IF(Q235="",-1,Q235)&lt;=1)),IF(C235="peso_corporal",IF(ISNUMBER(E235),E235,0)+O235,O235)*P235*1000+O235,0),IF((S235&gt;0)*(IF(T235="",-1,T235)=0)*(1-(IF(T235="",-1,T235)&gt;=0)*(IF(T235="",-1,T235)&lt;=1)),IF(C235="peso_corporal",IF(ISNUMBER(E235),E235,0)+R235,R235)*S235*1000+R235,0))</f>
        <v>0</v>
      </c>
      <c r="Z235" s="69">
        <f>IF(Y235=0,0,IF(IF((S235&gt;0)*(IF(T235="",-1,T235)=0)*(1-(IF(T235="",-1,T235)&gt;=0)*(IF(T235="",-1,T235)&lt;=1)),IF(C235="peso_corporal",IF(ISNUMBER(E235),E235,0)+R235,R235)*S235*1000+R235,0)=Y235,5,IF(IF((P235&gt;0)*(IF(Q235="",-1,Q235)=0)*(1-(IF(Q235="",-1,Q235)&gt;=0)*(IF(Q235="",-1,Q235)&lt;=1)),IF(C235="peso_corporal",IF(ISNUMBER(E235),E235,0)+O235,O235)*P235*1000+O235,0)=Y235,4,IF(IF((M235&gt;0)*(IF(N235="",-1,N235)=0)*(1-(IF(N235="",-1,N235)&gt;=0)*(IF(N235="",-1,N235)&lt;=1)),IF(C235="peso_corporal",IF(ISNUMBER(E235),E235,0)+L235,L235)*M235*1000+L235,0)=Y235,3,IF(IF((J235&gt;0)*(IF(K235="",-1,K235)=0)*(1-(IF(K235="",-1,K235)&gt;=0)*(IF(K235="",-1,K235)&lt;=1)),IF(C235="peso_corporal",IF(ISNUMBER(E235),E235,0)+I235,I235)*J235*1000+I235,0)=Y235,2,IF(IF((G235&gt;0)*(IF(H235="",-1,H235)=0)*(1-(IF(H235="",-1,H235)&gt;=0)*(IF(H235="",-1,H235)&lt;=1)),IF(C235="peso_corporal",IF(ISNUMBER(E235),E235,0)+F235,F235)*G235*1000+F235,0)=Y235,1,0))))))</f>
        <v>0</v>
      </c>
      <c r="AA235" s="69">
        <f>MAX(IF((G235&gt;=3)*(1-(IF(H235="",-1,H235)&gt;=0)*(IF(H235="",-1,H235)&lt;=1))*(1-(IF(H235="",-1,H235)=0)),IF(C235="peso_corporal",IF(ISNUMBER(E235),E235,0)+F235,F235)*(30+G235)*100+F235,0),IF((J235&gt;=3)*(1-(IF(K235="",-1,K235)&gt;=0)*(IF(K235="",-1,K235)&lt;=1))*(1-(IF(K235="",-1,K235)=0)),IF(C235="peso_corporal",IF(ISNUMBER(E235),E235,0)+I235,I235)*(30+J235)*100+I235,0),IF((M235&gt;=3)*(1-(IF(N235="",-1,N235)&gt;=0)*(IF(N235="",-1,N235)&lt;=1))*(1-(IF(N235="",-1,N235)=0)),IF(C235="peso_corporal",IF(ISNUMBER(E235),E235,0)+L235,L235)*(30+M235)*100+L235,0),IF((P235&gt;=3)*(1-(IF(Q235="",-1,Q235)&gt;=0)*(IF(Q235="",-1,Q235)&lt;=1))*(1-(IF(Q235="",-1,Q235)=0)),IF(C235="peso_corporal",IF(ISNUMBER(E235),E235,0)+O235,O235)*(30+P235)*100+O235,0),IF((S235&gt;=3)*(1-(IF(T235="",-1,T235)&gt;=0)*(IF(T235="",-1,T235)&lt;=1))*(1-(IF(T235="",-1,T235)=0)),IF(C235="peso_corporal",IF(ISNUMBER(E235),E235,0)+R235,R235)*(30+S235)*100+R235,0))</f>
        <v>0</v>
      </c>
      <c r="AB235" s="69">
        <f>IF(AA235=0,0,IF(IF((S235&gt;=3)*(1-(IF(T235="",-1,T235)&gt;=0)*(IF(T235="",-1,T235)&lt;=1))*(1-(IF(T235="",-1,T235)=0)),IF(C235="peso_corporal",IF(ISNUMBER(E235),E235,0)+R235,R235)*(30+S235)*100+R235,0)=AA235,5,IF(IF((P235&gt;=3)*(1-(IF(Q235="",-1,Q235)&gt;=0)*(IF(Q235="",-1,Q235)&lt;=1))*(1-(IF(Q235="",-1,Q235)=0)),IF(C235="peso_corporal",IF(ISNUMBER(E235),E235,0)+O235,O235)*(30+P235)*100+O235,0)=AA235,4,IF(IF((M235&gt;=3)*(1-(IF(N235="",-1,N235)&gt;=0)*(IF(N235="",-1,N235)&lt;=1))*(1-(IF(N235="",-1,N235)=0)),IF(C235="peso_corporal",IF(ISNUMBER(E235),E235,0)+L235,L235)*(30+M235)*100+L235,0)=AA235,3,IF(IF((J235&gt;=3)*(1-(IF(K235="",-1,K235)&gt;=0)*(IF(K235="",-1,K235)&lt;=1))*(1-(IF(K235="",-1,K235)=0)),IF(C235="peso_corporal",IF(ISNUMBER(E235),E235,0)+I235,I235)*(30+J235)*100+I235,0)=AA235,2,IF(IF((G235&gt;=3)*(1-(IF(H235="",-1,H235)&gt;=0)*(IF(H235="",-1,H235)&lt;=1))*(1-(IF(H235="",-1,H235)=0)),IF(C235="peso_corporal",IF(ISNUMBER(E235),E235,0)+F235,F235)*(30+G235)*100+F235,0)=AA235,1,0))))))</f>
        <v>0</v>
      </c>
      <c r="AC235" s="69" t="str">
        <f>IF(X235&gt;0,"A"&amp;X235,IF(Z235&gt;0,"B"&amp;Z235,IF(AB235&gt;0,"C"&amp;AB235,"")))</f>
        <v/>
      </c>
    </row>
    <row r="236" spans="1:29" ht="15" customHeight="1">
      <c r="A236" s="82" t="s">
        <v>47</v>
      </c>
      <c r="B236" s="73"/>
      <c r="C236" s="73"/>
      <c r="D236" s="73"/>
      <c r="E236" s="73"/>
      <c r="F236" s="73"/>
      <c r="G236" s="73"/>
      <c r="H236" s="73"/>
      <c r="I236" s="73"/>
      <c r="J236" s="73"/>
      <c r="K236" s="73"/>
      <c r="L236" s="73"/>
      <c r="M236" s="73"/>
      <c r="N236" s="73"/>
      <c r="O236" s="73"/>
      <c r="P236" s="73"/>
      <c r="Q236" s="73"/>
      <c r="R236" s="73"/>
      <c r="S236" s="73"/>
      <c r="T236" s="73"/>
      <c r="U236" s="73"/>
      <c r="V236" s="73"/>
      <c r="W236" s="69"/>
      <c r="X236" s="69"/>
      <c r="Y236" s="69"/>
      <c r="Z236" s="69"/>
      <c r="AA236" s="69"/>
      <c r="AB236" s="69"/>
      <c r="AC236" s="69"/>
    </row>
    <row r="237" spans="1:29" ht="20.100000000000001" customHeight="1">
      <c r="A237" s="14" t="s">
        <v>106</v>
      </c>
      <c r="B237" s="15" t="s">
        <v>107</v>
      </c>
      <c r="C237" s="16" t="str">
        <f>IFERROR(INDEX(EJERCICIOS!$D$3:$D$75,MATCH(A237&amp;"|"&amp;B237,EJERCICIOS!$G$3:$G$75,0)),"--")</f>
        <v>--</v>
      </c>
      <c r="D237" s="17">
        <v>3</v>
      </c>
      <c r="E237" s="18">
        <f>IFERROR(LOOKUP(2,1/(MEDIDAS_Y_PESO!$B$3:$B$13&lt;&gt;""),MEDIDAS_Y_PESO!$B$3:$B$13),"--")</f>
        <v>80</v>
      </c>
      <c r="F237" s="19"/>
      <c r="G237" s="20"/>
      <c r="H237" s="21"/>
      <c r="I237" s="19"/>
      <c r="J237" s="20"/>
      <c r="K237" s="21"/>
      <c r="L237" s="19"/>
      <c r="M237" s="20"/>
      <c r="N237" s="21"/>
      <c r="O237" s="19"/>
      <c r="P237" s="20"/>
      <c r="Q237" s="21"/>
      <c r="R237" s="19"/>
      <c r="S237" s="20"/>
      <c r="T237" s="21"/>
      <c r="U237" s="22" t="str">
        <f>IFERROR(IF(IF(X237&gt;0,X237,IF(Z237&gt;0,Z237,IF(AB237&gt;0,AB237,0)))=0,"--",ROUND(CHOOSE(IF(X237&gt;0,X237,IF(Z237&gt;0,Z237,IF(AB237&gt;0,AB237,0))),IF(C237="peso_corporal",IF(ISNUMBER(E237),E237,0)+F237,F237)*(1+G237/30),IF(C237="peso_corporal",IF(ISNUMBER(E237),E237,0)+I237,I237)*(1+J237/30),IF(C237="peso_corporal",IF(ISNUMBER(E237),E237,0)+L237,L237)*(1+M237/30),IF(C237="peso_corporal",IF(ISNUMBER(E237),E237,0)+O237,O237)*(1+P237/30),IF(C237="peso_corporal",IF(ISNUMBER(E237),E237,0)+R237,R237)*(1+S237/30)),1)),"--")</f>
        <v>--</v>
      </c>
      <c r="V237" s="23" t="str">
        <f>IF(SUGERENCIAS!N654="SIN","Sin datos anteriores",IF(SUGERENCIAS!N654="SUBIR_F","^ SUBIR FUERTE | Kg:"&amp;ROUND(SUGERENCIAS!K654,1)&amp;" R:"&amp;ROUND(SUGERENCIAS!L654,0)&amp;" RIR:"&amp;ROUND(SUGERENCIAS!M654,0),IF(SUGERENCIAS!N654="SUBIR_E","^ SUBIR (Est.) | Kg:"&amp;ROUND(SUGERENCIAS!K654,1)&amp;" R:"&amp;ROUND(SUGERENCIAS!L654,0)&amp;" RIR:"&amp;ROUND(SUGERENCIAS!M654,0),IF(SUGERENCIAS!N654="SUBIR","^ SUBIR | Kg:"&amp;ROUND(SUGERENCIAS!K654,1)&amp;" R:"&amp;ROUND(SUGERENCIAS!L654,0)&amp;" RIR:"&amp;ROUND(SUGERENCIAS!M654,0),IF(SUGERENCIAS!N654="BAJAR","v BAJAR | Kg:"&amp;ROUND(SUGERENCIAS!K654,1)&amp;" R:"&amp;ROUND(SUGERENCIAS!L654,0)&amp;" RIR:"&amp;ROUND(SUGERENCIAS!M654,0),"= MANT | Kg:"&amp;ROUND(SUGERENCIAS!K654,1)&amp;" R:"&amp;ROUND(SUGERENCIAS!L654,0)&amp;" RIR:"&amp;ROUND(SUGERENCIAS!M654,0))))))</f>
        <v>Sin datos anteriores</v>
      </c>
      <c r="W237" s="69">
        <f>MAX(IF((G237&gt;0)*(IF(H237="",-1,H237)&gt;=0)*(IF(H237="",-1,H237)&lt;=1),IF(C237="peso_corporal",IF(ISNUMBER(E237),E237,0)+F237,F237)*G237*1000+F237,0),IF((J237&gt;0)*(IF(K237="",-1,K237)&gt;=0)*(IF(K237="",-1,K237)&lt;=1),IF(C237="peso_corporal",IF(ISNUMBER(E237),E237,0)+I237,I237)*J237*1000+I237,0),IF((M237&gt;0)*(IF(N237="",-1,N237)&gt;=0)*(IF(N237="",-1,N237)&lt;=1),IF(C237="peso_corporal",IF(ISNUMBER(E237),E237,0)+L237,L237)*M237*1000+L237,0),IF((P237&gt;0)*(IF(Q237="",-1,Q237)&gt;=0)*(IF(Q237="",-1,Q237)&lt;=1),IF(C237="peso_corporal",IF(ISNUMBER(E237),E237,0)+O237,O237)*P237*1000+O237,0),IF((S237&gt;0)*(IF(T237="",-1,T237)&gt;=0)*(IF(T237="",-1,T237)&lt;=1),IF(C237="peso_corporal",IF(ISNUMBER(E237),E237,0)+R237,R237)*S237*1000+R237,0))</f>
        <v>0</v>
      </c>
      <c r="X237" s="69">
        <f>IF(W237=0,0,IF(IF((S237&gt;0)*(IF(T237="",-1,T237)&gt;=0)*(IF(T237="",-1,T237)&lt;=1),IF(C237="peso_corporal",IF(ISNUMBER(E237),E237,0)+R237,R237)*S237*1000+R237,0)=W237,5,IF(IF((P237&gt;0)*(IF(Q237="",-1,Q237)&gt;=0)*(IF(Q237="",-1,Q237)&lt;=1),IF(C237="peso_corporal",IF(ISNUMBER(E237),E237,0)+O237,O237)*P237*1000+O237,0)=W237,4,IF(IF((M237&gt;0)*(IF(N237="",-1,N237)&gt;=0)*(IF(N237="",-1,N237)&lt;=1),IF(C237="peso_corporal",IF(ISNUMBER(E237),E237,0)+L237,L237)*M237*1000+L237,0)=W237,3,IF(IF((J237&gt;0)*(IF(K237="",-1,K237)&gt;=0)*(IF(K237="",-1,K237)&lt;=1),IF(C237="peso_corporal",IF(ISNUMBER(E237),E237,0)+I237,I237)*J237*1000+I237,0)=W237,2,IF(IF((G237&gt;0)*(IF(H237="",-1,H237)&gt;=0)*(IF(H237="",-1,H237)&lt;=1),IF(C237="peso_corporal",IF(ISNUMBER(E237),E237,0)+F237,F237)*G237*1000+F237,0)=W237,1,0))))))</f>
        <v>0</v>
      </c>
      <c r="Y237" s="69">
        <f>MAX(IF((G237&gt;0)*(IF(H237="",-1,H237)=0)*(1-(IF(H237="",-1,H237)&gt;=0)*(IF(H237="",-1,H237)&lt;=1)),IF(C237="peso_corporal",IF(ISNUMBER(E237),E237,0)+F237,F237)*G237*1000+F237,0),IF((J237&gt;0)*(IF(K237="",-1,K237)=0)*(1-(IF(K237="",-1,K237)&gt;=0)*(IF(K237="",-1,K237)&lt;=1)),IF(C237="peso_corporal",IF(ISNUMBER(E237),E237,0)+I237,I237)*J237*1000+I237,0),IF((M237&gt;0)*(IF(N237="",-1,N237)=0)*(1-(IF(N237="",-1,N237)&gt;=0)*(IF(N237="",-1,N237)&lt;=1)),IF(C237="peso_corporal",IF(ISNUMBER(E237),E237,0)+L237,L237)*M237*1000+L237,0),IF((P237&gt;0)*(IF(Q237="",-1,Q237)=0)*(1-(IF(Q237="",-1,Q237)&gt;=0)*(IF(Q237="",-1,Q237)&lt;=1)),IF(C237="peso_corporal",IF(ISNUMBER(E237),E237,0)+O237,O237)*P237*1000+O237,0),IF((S237&gt;0)*(IF(T237="",-1,T237)=0)*(1-(IF(T237="",-1,T237)&gt;=0)*(IF(T237="",-1,T237)&lt;=1)),IF(C237="peso_corporal",IF(ISNUMBER(E237),E237,0)+R237,R237)*S237*1000+R237,0))</f>
        <v>0</v>
      </c>
      <c r="Z237" s="69">
        <f>IF(Y237=0,0,IF(IF((S237&gt;0)*(IF(T237="",-1,T237)=0)*(1-(IF(T237="",-1,T237)&gt;=0)*(IF(T237="",-1,T237)&lt;=1)),IF(C237="peso_corporal",IF(ISNUMBER(E237),E237,0)+R237,R237)*S237*1000+R237,0)=Y237,5,IF(IF((P237&gt;0)*(IF(Q237="",-1,Q237)=0)*(1-(IF(Q237="",-1,Q237)&gt;=0)*(IF(Q237="",-1,Q237)&lt;=1)),IF(C237="peso_corporal",IF(ISNUMBER(E237),E237,0)+O237,O237)*P237*1000+O237,0)=Y237,4,IF(IF((M237&gt;0)*(IF(N237="",-1,N237)=0)*(1-(IF(N237="",-1,N237)&gt;=0)*(IF(N237="",-1,N237)&lt;=1)),IF(C237="peso_corporal",IF(ISNUMBER(E237),E237,0)+L237,L237)*M237*1000+L237,0)=Y237,3,IF(IF((J237&gt;0)*(IF(K237="",-1,K237)=0)*(1-(IF(K237="",-1,K237)&gt;=0)*(IF(K237="",-1,K237)&lt;=1)),IF(C237="peso_corporal",IF(ISNUMBER(E237),E237,0)+I237,I237)*J237*1000+I237,0)=Y237,2,IF(IF((G237&gt;0)*(IF(H237="",-1,H237)=0)*(1-(IF(H237="",-1,H237)&gt;=0)*(IF(H237="",-1,H237)&lt;=1)),IF(C237="peso_corporal",IF(ISNUMBER(E237),E237,0)+F237,F237)*G237*1000+F237,0)=Y237,1,0))))))</f>
        <v>0</v>
      </c>
      <c r="AA237" s="69">
        <f>MAX(IF((G237&gt;=3)*(1-(IF(H237="",-1,H237)&gt;=0)*(IF(H237="",-1,H237)&lt;=1))*(1-(IF(H237="",-1,H237)=0)),IF(C237="peso_corporal",IF(ISNUMBER(E237),E237,0)+F237,F237)*(30+G237)*100+F237,0),IF((J237&gt;=3)*(1-(IF(K237="",-1,K237)&gt;=0)*(IF(K237="",-1,K237)&lt;=1))*(1-(IF(K237="",-1,K237)=0)),IF(C237="peso_corporal",IF(ISNUMBER(E237),E237,0)+I237,I237)*(30+J237)*100+I237,0),IF((M237&gt;=3)*(1-(IF(N237="",-1,N237)&gt;=0)*(IF(N237="",-1,N237)&lt;=1))*(1-(IF(N237="",-1,N237)=0)),IF(C237="peso_corporal",IF(ISNUMBER(E237),E237,0)+L237,L237)*(30+M237)*100+L237,0),IF((P237&gt;=3)*(1-(IF(Q237="",-1,Q237)&gt;=0)*(IF(Q237="",-1,Q237)&lt;=1))*(1-(IF(Q237="",-1,Q237)=0)),IF(C237="peso_corporal",IF(ISNUMBER(E237),E237,0)+O237,O237)*(30+P237)*100+O237,0),IF((S237&gt;=3)*(1-(IF(T237="",-1,T237)&gt;=0)*(IF(T237="",-1,T237)&lt;=1))*(1-(IF(T237="",-1,T237)=0)),IF(C237="peso_corporal",IF(ISNUMBER(E237),E237,0)+R237,R237)*(30+S237)*100+R237,0))</f>
        <v>0</v>
      </c>
      <c r="AB237" s="69">
        <f>IF(AA237=0,0,IF(IF((S237&gt;=3)*(1-(IF(T237="",-1,T237)&gt;=0)*(IF(T237="",-1,T237)&lt;=1))*(1-(IF(T237="",-1,T237)=0)),IF(C237="peso_corporal",IF(ISNUMBER(E237),E237,0)+R237,R237)*(30+S237)*100+R237,0)=AA237,5,IF(IF((P237&gt;=3)*(1-(IF(Q237="",-1,Q237)&gt;=0)*(IF(Q237="",-1,Q237)&lt;=1))*(1-(IF(Q237="",-1,Q237)=0)),IF(C237="peso_corporal",IF(ISNUMBER(E237),E237,0)+O237,O237)*(30+P237)*100+O237,0)=AA237,4,IF(IF((M237&gt;=3)*(1-(IF(N237="",-1,N237)&gt;=0)*(IF(N237="",-1,N237)&lt;=1))*(1-(IF(N237="",-1,N237)=0)),IF(C237="peso_corporal",IF(ISNUMBER(E237),E237,0)+L237,L237)*(30+M237)*100+L237,0)=AA237,3,IF(IF((J237&gt;=3)*(1-(IF(K237="",-1,K237)&gt;=0)*(IF(K237="",-1,K237)&lt;=1))*(1-(IF(K237="",-1,K237)=0)),IF(C237="peso_corporal",IF(ISNUMBER(E237),E237,0)+I237,I237)*(30+J237)*100+I237,0)=AA237,2,IF(IF((G237&gt;=3)*(1-(IF(H237="",-1,H237)&gt;=0)*(IF(H237="",-1,H237)&lt;=1))*(1-(IF(H237="",-1,H237)=0)),IF(C237="peso_corporal",IF(ISNUMBER(E237),E237,0)+F237,F237)*(30+G237)*100+F237,0)=AA237,1,0))))))</f>
        <v>0</v>
      </c>
      <c r="AC237" s="69" t="str">
        <f>IF(X237&gt;0,"A"&amp;X237,IF(Z237&gt;0,"B"&amp;Z237,IF(AB237&gt;0,"C"&amp;AB237,"")))</f>
        <v/>
      </c>
    </row>
    <row r="238" spans="1:29" ht="15" customHeight="1">
      <c r="A238" s="72" t="s">
        <v>56</v>
      </c>
      <c r="B238" s="73"/>
      <c r="C238" s="73"/>
      <c r="D238" s="73"/>
      <c r="E238" s="73"/>
      <c r="F238" s="73"/>
      <c r="G238" s="73"/>
      <c r="H238" s="73"/>
      <c r="I238" s="73"/>
      <c r="J238" s="73"/>
      <c r="K238" s="73"/>
      <c r="L238" s="73"/>
      <c r="M238" s="73"/>
      <c r="N238" s="73"/>
      <c r="O238" s="73"/>
      <c r="P238" s="73"/>
      <c r="Q238" s="73"/>
      <c r="R238" s="73"/>
      <c r="S238" s="73"/>
      <c r="T238" s="73"/>
      <c r="U238" s="73"/>
      <c r="V238" s="73"/>
      <c r="W238" s="69"/>
      <c r="X238" s="69"/>
      <c r="Y238" s="69"/>
      <c r="Z238" s="69"/>
      <c r="AA238" s="69"/>
      <c r="AB238" s="69"/>
      <c r="AC238" s="69"/>
    </row>
    <row r="239" spans="1:29" ht="20.100000000000001" customHeight="1">
      <c r="A239" s="14" t="s">
        <v>57</v>
      </c>
      <c r="B239" s="15" t="s">
        <v>58</v>
      </c>
      <c r="C239" s="16" t="str">
        <f>IFERROR(INDEX(EJERCICIOS!$D$3:$D$75,MATCH(A239&amp;"|"&amp;B239,EJERCICIOS!$G$3:$G$75,0)),"--")</f>
        <v>polea</v>
      </c>
      <c r="D239" s="17">
        <v>3</v>
      </c>
      <c r="E239" s="18">
        <f>IFERROR(LOOKUP(2,1/(MEDIDAS_Y_PESO!$B$3:$B$13&lt;&gt;""),MEDIDAS_Y_PESO!$B$3:$B$13),"--")</f>
        <v>80</v>
      </c>
      <c r="F239" s="19"/>
      <c r="G239" s="20"/>
      <c r="H239" s="21"/>
      <c r="I239" s="19"/>
      <c r="J239" s="20"/>
      <c r="K239" s="21"/>
      <c r="L239" s="19"/>
      <c r="M239" s="20"/>
      <c r="N239" s="21"/>
      <c r="O239" s="19"/>
      <c r="P239" s="20"/>
      <c r="Q239" s="21"/>
      <c r="R239" s="19"/>
      <c r="S239" s="20"/>
      <c r="T239" s="21"/>
      <c r="U239" s="22" t="str">
        <f>IFERROR(IF(IF(X239&gt;0,X239,IF(Z239&gt;0,Z239,IF(AB239&gt;0,AB239,0)))=0,"--",ROUND(CHOOSE(IF(X239&gt;0,X239,IF(Z239&gt;0,Z239,IF(AB239&gt;0,AB239,0))),IF(C239="peso_corporal",IF(ISNUMBER(E239),E239,0)+F239,F239)*(1+G239/30),IF(C239="peso_corporal",IF(ISNUMBER(E239),E239,0)+I239,I239)*(1+J239/30),IF(C239="peso_corporal",IF(ISNUMBER(E239),E239,0)+L239,L239)*(1+M239/30),IF(C239="peso_corporal",IF(ISNUMBER(E239),E239,0)+O239,O239)*(1+P239/30),IF(C239="peso_corporal",IF(ISNUMBER(E239),E239,0)+R239,R239)*(1+S239/30)),1)),"--")</f>
        <v>--</v>
      </c>
      <c r="V239" s="23" t="str">
        <f>IF(SUGERENCIAS!N655="SIN","Sin datos anteriores",IF(SUGERENCIAS!N655="SUBIR_F","^ SUBIR FUERTE | Kg:"&amp;ROUND(SUGERENCIAS!K655,1)&amp;" R:"&amp;ROUND(SUGERENCIAS!L655,0)&amp;" RIR:"&amp;ROUND(SUGERENCIAS!M655,0),IF(SUGERENCIAS!N655="SUBIR_E","^ SUBIR (Est.) | Kg:"&amp;ROUND(SUGERENCIAS!K655,1)&amp;" R:"&amp;ROUND(SUGERENCIAS!L655,0)&amp;" RIR:"&amp;ROUND(SUGERENCIAS!M655,0),IF(SUGERENCIAS!N655="SUBIR","^ SUBIR | Kg:"&amp;ROUND(SUGERENCIAS!K655,1)&amp;" R:"&amp;ROUND(SUGERENCIAS!L655,0)&amp;" RIR:"&amp;ROUND(SUGERENCIAS!M655,0),IF(SUGERENCIAS!N655="BAJAR","v BAJAR | Kg:"&amp;ROUND(SUGERENCIAS!K655,1)&amp;" R:"&amp;ROUND(SUGERENCIAS!L655,0)&amp;" RIR:"&amp;ROUND(SUGERENCIAS!M655,0),"= MANT | Kg:"&amp;ROUND(SUGERENCIAS!K655,1)&amp;" R:"&amp;ROUND(SUGERENCIAS!L655,0)&amp;" RIR:"&amp;ROUND(SUGERENCIAS!M655,0))))))</f>
        <v>Sin datos anteriores</v>
      </c>
      <c r="W239" s="69">
        <f>MAX(IF((G239&gt;0)*(IF(H239="",-1,H239)&gt;=0)*(IF(H239="",-1,H239)&lt;=1),IF(C239="peso_corporal",IF(ISNUMBER(E239),E239,0)+F239,F239)*G239*1000+F239,0),IF((J239&gt;0)*(IF(K239="",-1,K239)&gt;=0)*(IF(K239="",-1,K239)&lt;=1),IF(C239="peso_corporal",IF(ISNUMBER(E239),E239,0)+I239,I239)*J239*1000+I239,0),IF((M239&gt;0)*(IF(N239="",-1,N239)&gt;=0)*(IF(N239="",-1,N239)&lt;=1),IF(C239="peso_corporal",IF(ISNUMBER(E239),E239,0)+L239,L239)*M239*1000+L239,0),IF((P239&gt;0)*(IF(Q239="",-1,Q239)&gt;=0)*(IF(Q239="",-1,Q239)&lt;=1),IF(C239="peso_corporal",IF(ISNUMBER(E239),E239,0)+O239,O239)*P239*1000+O239,0),IF((S239&gt;0)*(IF(T239="",-1,T239)&gt;=0)*(IF(T239="",-1,T239)&lt;=1),IF(C239="peso_corporal",IF(ISNUMBER(E239),E239,0)+R239,R239)*S239*1000+R239,0))</f>
        <v>0</v>
      </c>
      <c r="X239" s="69">
        <f>IF(W239=0,0,IF(IF((S239&gt;0)*(IF(T239="",-1,T239)&gt;=0)*(IF(T239="",-1,T239)&lt;=1),IF(C239="peso_corporal",IF(ISNUMBER(E239),E239,0)+R239,R239)*S239*1000+R239,0)=W239,5,IF(IF((P239&gt;0)*(IF(Q239="",-1,Q239)&gt;=0)*(IF(Q239="",-1,Q239)&lt;=1),IF(C239="peso_corporal",IF(ISNUMBER(E239),E239,0)+O239,O239)*P239*1000+O239,0)=W239,4,IF(IF((M239&gt;0)*(IF(N239="",-1,N239)&gt;=0)*(IF(N239="",-1,N239)&lt;=1),IF(C239="peso_corporal",IF(ISNUMBER(E239),E239,0)+L239,L239)*M239*1000+L239,0)=W239,3,IF(IF((J239&gt;0)*(IF(K239="",-1,K239)&gt;=0)*(IF(K239="",-1,K239)&lt;=1),IF(C239="peso_corporal",IF(ISNUMBER(E239),E239,0)+I239,I239)*J239*1000+I239,0)=W239,2,IF(IF((G239&gt;0)*(IF(H239="",-1,H239)&gt;=0)*(IF(H239="",-1,H239)&lt;=1),IF(C239="peso_corporal",IF(ISNUMBER(E239),E239,0)+F239,F239)*G239*1000+F239,0)=W239,1,0))))))</f>
        <v>0</v>
      </c>
      <c r="Y239" s="69">
        <f>MAX(IF((G239&gt;0)*(IF(H239="",-1,H239)=0)*(1-(IF(H239="",-1,H239)&gt;=0)*(IF(H239="",-1,H239)&lt;=1)),IF(C239="peso_corporal",IF(ISNUMBER(E239),E239,0)+F239,F239)*G239*1000+F239,0),IF((J239&gt;0)*(IF(K239="",-1,K239)=0)*(1-(IF(K239="",-1,K239)&gt;=0)*(IF(K239="",-1,K239)&lt;=1)),IF(C239="peso_corporal",IF(ISNUMBER(E239),E239,0)+I239,I239)*J239*1000+I239,0),IF((M239&gt;0)*(IF(N239="",-1,N239)=0)*(1-(IF(N239="",-1,N239)&gt;=0)*(IF(N239="",-1,N239)&lt;=1)),IF(C239="peso_corporal",IF(ISNUMBER(E239),E239,0)+L239,L239)*M239*1000+L239,0),IF((P239&gt;0)*(IF(Q239="",-1,Q239)=0)*(1-(IF(Q239="",-1,Q239)&gt;=0)*(IF(Q239="",-1,Q239)&lt;=1)),IF(C239="peso_corporal",IF(ISNUMBER(E239),E239,0)+O239,O239)*P239*1000+O239,0),IF((S239&gt;0)*(IF(T239="",-1,T239)=0)*(1-(IF(T239="",-1,T239)&gt;=0)*(IF(T239="",-1,T239)&lt;=1)),IF(C239="peso_corporal",IF(ISNUMBER(E239),E239,0)+R239,R239)*S239*1000+R239,0))</f>
        <v>0</v>
      </c>
      <c r="Z239" s="69">
        <f>IF(Y239=0,0,IF(IF((S239&gt;0)*(IF(T239="",-1,T239)=0)*(1-(IF(T239="",-1,T239)&gt;=0)*(IF(T239="",-1,T239)&lt;=1)),IF(C239="peso_corporal",IF(ISNUMBER(E239),E239,0)+R239,R239)*S239*1000+R239,0)=Y239,5,IF(IF((P239&gt;0)*(IF(Q239="",-1,Q239)=0)*(1-(IF(Q239="",-1,Q239)&gt;=0)*(IF(Q239="",-1,Q239)&lt;=1)),IF(C239="peso_corporal",IF(ISNUMBER(E239),E239,0)+O239,O239)*P239*1000+O239,0)=Y239,4,IF(IF((M239&gt;0)*(IF(N239="",-1,N239)=0)*(1-(IF(N239="",-1,N239)&gt;=0)*(IF(N239="",-1,N239)&lt;=1)),IF(C239="peso_corporal",IF(ISNUMBER(E239),E239,0)+L239,L239)*M239*1000+L239,0)=Y239,3,IF(IF((J239&gt;0)*(IF(K239="",-1,K239)=0)*(1-(IF(K239="",-1,K239)&gt;=0)*(IF(K239="",-1,K239)&lt;=1)),IF(C239="peso_corporal",IF(ISNUMBER(E239),E239,0)+I239,I239)*J239*1000+I239,0)=Y239,2,IF(IF((G239&gt;0)*(IF(H239="",-1,H239)=0)*(1-(IF(H239="",-1,H239)&gt;=0)*(IF(H239="",-1,H239)&lt;=1)),IF(C239="peso_corporal",IF(ISNUMBER(E239),E239,0)+F239,F239)*G239*1000+F239,0)=Y239,1,0))))))</f>
        <v>0</v>
      </c>
      <c r="AA239" s="69">
        <f>MAX(IF((G239&gt;=3)*(1-(IF(H239="",-1,H239)&gt;=0)*(IF(H239="",-1,H239)&lt;=1))*(1-(IF(H239="",-1,H239)=0)),IF(C239="peso_corporal",IF(ISNUMBER(E239),E239,0)+F239,F239)*(30+G239)*100+F239,0),IF((J239&gt;=3)*(1-(IF(K239="",-1,K239)&gt;=0)*(IF(K239="",-1,K239)&lt;=1))*(1-(IF(K239="",-1,K239)=0)),IF(C239="peso_corporal",IF(ISNUMBER(E239),E239,0)+I239,I239)*(30+J239)*100+I239,0),IF((M239&gt;=3)*(1-(IF(N239="",-1,N239)&gt;=0)*(IF(N239="",-1,N239)&lt;=1))*(1-(IF(N239="",-1,N239)=0)),IF(C239="peso_corporal",IF(ISNUMBER(E239),E239,0)+L239,L239)*(30+M239)*100+L239,0),IF((P239&gt;=3)*(1-(IF(Q239="",-1,Q239)&gt;=0)*(IF(Q239="",-1,Q239)&lt;=1))*(1-(IF(Q239="",-1,Q239)=0)),IF(C239="peso_corporal",IF(ISNUMBER(E239),E239,0)+O239,O239)*(30+P239)*100+O239,0),IF((S239&gt;=3)*(1-(IF(T239="",-1,T239)&gt;=0)*(IF(T239="",-1,T239)&lt;=1))*(1-(IF(T239="",-1,T239)=0)),IF(C239="peso_corporal",IF(ISNUMBER(E239),E239,0)+R239,R239)*(30+S239)*100+R239,0))</f>
        <v>0</v>
      </c>
      <c r="AB239" s="69">
        <f>IF(AA239=0,0,IF(IF((S239&gt;=3)*(1-(IF(T239="",-1,T239)&gt;=0)*(IF(T239="",-1,T239)&lt;=1))*(1-(IF(T239="",-1,T239)=0)),IF(C239="peso_corporal",IF(ISNUMBER(E239),E239,0)+R239,R239)*(30+S239)*100+R239,0)=AA239,5,IF(IF((P239&gt;=3)*(1-(IF(Q239="",-1,Q239)&gt;=0)*(IF(Q239="",-1,Q239)&lt;=1))*(1-(IF(Q239="",-1,Q239)=0)),IF(C239="peso_corporal",IF(ISNUMBER(E239),E239,0)+O239,O239)*(30+P239)*100+O239,0)=AA239,4,IF(IF((M239&gt;=3)*(1-(IF(N239="",-1,N239)&gt;=0)*(IF(N239="",-1,N239)&lt;=1))*(1-(IF(N239="",-1,N239)=0)),IF(C239="peso_corporal",IF(ISNUMBER(E239),E239,0)+L239,L239)*(30+M239)*100+L239,0)=AA239,3,IF(IF((J239&gt;=3)*(1-(IF(K239="",-1,K239)&gt;=0)*(IF(K239="",-1,K239)&lt;=1))*(1-(IF(K239="",-1,K239)=0)),IF(C239="peso_corporal",IF(ISNUMBER(E239),E239,0)+I239,I239)*(30+J239)*100+I239,0)=AA239,2,IF(IF((G239&gt;=3)*(1-(IF(H239="",-1,H239)&gt;=0)*(IF(H239="",-1,H239)&lt;=1))*(1-(IF(H239="",-1,H239)=0)),IF(C239="peso_corporal",IF(ISNUMBER(E239),E239,0)+F239,F239)*(30+G239)*100+F239,0)=AA239,1,0))))))</f>
        <v>0</v>
      </c>
      <c r="AC239" s="69" t="str">
        <f>IF(X239&gt;0,"A"&amp;X239,IF(Z239&gt;0,"B"&amp;Z239,IF(AB239&gt;0,"C"&amp;AB239,"")))</f>
        <v/>
      </c>
    </row>
    <row r="240" spans="1:29" ht="6"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69"/>
      <c r="X240" s="69"/>
      <c r="Y240" s="69"/>
      <c r="Z240" s="69"/>
      <c r="AA240" s="69"/>
      <c r="AB240" s="69"/>
      <c r="AC240" s="69"/>
    </row>
    <row r="241" spans="1:29" ht="18" customHeight="1">
      <c r="A241" s="85" t="s">
        <v>77</v>
      </c>
      <c r="B241" s="73"/>
      <c r="C241" s="73"/>
      <c r="D241" s="73"/>
      <c r="E241" s="73"/>
      <c r="F241" s="73"/>
      <c r="G241" s="73"/>
      <c r="H241" s="73"/>
      <c r="I241" s="73"/>
      <c r="J241" s="73"/>
      <c r="K241" s="73"/>
      <c r="L241" s="73"/>
      <c r="M241" s="73"/>
      <c r="N241" s="73"/>
      <c r="O241" s="73"/>
      <c r="P241" s="73"/>
      <c r="Q241" s="73"/>
      <c r="R241" s="73"/>
      <c r="S241" s="73"/>
      <c r="T241" s="73"/>
      <c r="U241" s="73"/>
      <c r="V241" s="73"/>
      <c r="W241" s="69"/>
      <c r="X241" s="69"/>
      <c r="Y241" s="69"/>
      <c r="Z241" s="69"/>
      <c r="AA241" s="69"/>
      <c r="AB241" s="69"/>
      <c r="AC241" s="69"/>
    </row>
    <row r="242" spans="1:29" ht="15" customHeight="1">
      <c r="A242" s="75" t="s">
        <v>88</v>
      </c>
      <c r="B242" s="73"/>
      <c r="C242" s="73"/>
      <c r="D242" s="73"/>
      <c r="E242" s="73"/>
      <c r="F242" s="73"/>
      <c r="G242" s="73"/>
      <c r="H242" s="73"/>
      <c r="I242" s="73"/>
      <c r="J242" s="73"/>
      <c r="K242" s="73"/>
      <c r="L242" s="73"/>
      <c r="M242" s="73"/>
      <c r="N242" s="73"/>
      <c r="O242" s="73"/>
      <c r="P242" s="73"/>
      <c r="Q242" s="73"/>
      <c r="R242" s="73"/>
      <c r="S242" s="73"/>
      <c r="T242" s="73"/>
      <c r="U242" s="73"/>
      <c r="V242" s="73"/>
      <c r="W242" s="69"/>
      <c r="X242" s="69"/>
      <c r="Y242" s="69"/>
      <c r="Z242" s="69"/>
      <c r="AA242" s="69"/>
      <c r="AB242" s="69"/>
      <c r="AC242" s="69"/>
    </row>
    <row r="243" spans="1:29" ht="11.1" customHeight="1">
      <c r="A243" s="76" t="s">
        <v>89</v>
      </c>
      <c r="B243" s="73"/>
      <c r="C243" s="73"/>
      <c r="D243" s="73"/>
      <c r="E243" s="73"/>
      <c r="F243" s="73"/>
      <c r="G243" s="73"/>
      <c r="H243" s="73"/>
      <c r="I243" s="73"/>
      <c r="J243" s="73"/>
      <c r="K243" s="73"/>
      <c r="L243" s="73"/>
      <c r="M243" s="73"/>
      <c r="N243" s="73"/>
      <c r="O243" s="73"/>
      <c r="P243" s="73"/>
      <c r="Q243" s="73"/>
      <c r="R243" s="73"/>
      <c r="S243" s="73"/>
      <c r="T243" s="73"/>
      <c r="U243" s="73"/>
      <c r="V243" s="73"/>
      <c r="W243" s="69"/>
      <c r="X243" s="69"/>
      <c r="Y243" s="69"/>
      <c r="Z243" s="69"/>
      <c r="AA243" s="69"/>
      <c r="AB243" s="69"/>
      <c r="AC243" s="69"/>
    </row>
    <row r="244" spans="1:29" ht="20.100000000000001" customHeight="1">
      <c r="A244" s="14" t="s">
        <v>90</v>
      </c>
      <c r="B244" s="15" t="s">
        <v>91</v>
      </c>
      <c r="C244" s="16" t="str">
        <f>IFERROR(INDEX(EJERCICIOS!$D$3:$D$75,MATCH(A244&amp;"|"&amp;B244,EJERCICIOS!$G$3:$G$75,0)),"--")</f>
        <v>peso_corporal</v>
      </c>
      <c r="D244" s="17">
        <v>3</v>
      </c>
      <c r="E244" s="18">
        <f>IFERROR(LOOKUP(2,1/(MEDIDAS_Y_PESO!$B$3:$B$14&lt;&gt;""),MEDIDAS_Y_PESO!$B$3:$B$14),"--")</f>
        <v>80</v>
      </c>
      <c r="F244" s="19"/>
      <c r="G244" s="20"/>
      <c r="H244" s="21"/>
      <c r="I244" s="19"/>
      <c r="J244" s="20"/>
      <c r="K244" s="21"/>
      <c r="L244" s="19"/>
      <c r="M244" s="20"/>
      <c r="N244" s="21"/>
      <c r="O244" s="19"/>
      <c r="P244" s="20"/>
      <c r="Q244" s="21"/>
      <c r="R244" s="19"/>
      <c r="S244" s="20"/>
      <c r="T244" s="21"/>
      <c r="U244" s="22" t="str">
        <f>IFERROR(IF(IF(X244&gt;0,X244,IF(Z244&gt;0,Z244,IF(AB244&gt;0,AB244,0)))=0,"--",ROUND(CHOOSE(IF(X244&gt;0,X244,IF(Z244&gt;0,Z244,IF(AB244&gt;0,AB244,0))),IF(C244="peso_corporal",IF(ISNUMBER(E244),E244,0)+F244,F244)*(1+G244/30),IF(C244="peso_corporal",IF(ISNUMBER(E244),E244,0)+I244,I244)*(1+J244/30),IF(C244="peso_corporal",IF(ISNUMBER(E244),E244,0)+L244,L244)*(1+M244/30),IF(C244="peso_corporal",IF(ISNUMBER(E244),E244,0)+O244,O244)*(1+P244/30),IF(C244="peso_corporal",IF(ISNUMBER(E244),E244,0)+R244,R244)*(1+S244/30)),1)),"--")</f>
        <v>--</v>
      </c>
      <c r="V244" s="23" t="str">
        <f>IF(SUGERENCIAS!N708="SIN","Sin datos anteriores",IF(SUGERENCIAS!N708="SUBIR_F","^ SUBIR FUERTE | Kg:"&amp;ROUND(SUGERENCIAS!K708,1)&amp;" R:"&amp;ROUND(SUGERENCIAS!L708,0)&amp;" RIR:"&amp;ROUND(SUGERENCIAS!M708,0),IF(SUGERENCIAS!N708="SUBIR_E","^ SUBIR (Est.) | Kg:"&amp;ROUND(SUGERENCIAS!K708,1)&amp;" R:"&amp;ROUND(SUGERENCIAS!L708,0)&amp;" RIR:"&amp;ROUND(SUGERENCIAS!M708,0),IF(SUGERENCIAS!N708="SUBIR","^ SUBIR | Kg:"&amp;ROUND(SUGERENCIAS!K708,1)&amp;" R:"&amp;ROUND(SUGERENCIAS!L708,0)&amp;" RIR:"&amp;ROUND(SUGERENCIAS!M708,0),IF(SUGERENCIAS!N708="BAJAR","v BAJAR | Kg:"&amp;ROUND(SUGERENCIAS!K708,1)&amp;" R:"&amp;ROUND(SUGERENCIAS!L708,0)&amp;" RIR:"&amp;ROUND(SUGERENCIAS!M708,0),"= MANT | Kg:"&amp;ROUND(SUGERENCIAS!K708,1)&amp;" R:"&amp;ROUND(SUGERENCIAS!L708,0)&amp;" RIR:"&amp;ROUND(SUGERENCIAS!M708,0))))))</f>
        <v>Sin datos anteriores</v>
      </c>
      <c r="W244" s="69">
        <f>MAX(IF((G244&gt;0)*(IF(H244="",-1,H244)&gt;=3)*(IF(H244="",-1,H244)&lt;=4),IF(C244="peso_corporal",IF(ISNUMBER(E244),E244,0)+F244,F244)*G244*1000+F244,0),IF((J244&gt;0)*(IF(K244="",-1,K244)&gt;=3)*(IF(K244="",-1,K244)&lt;=4),IF(C244="peso_corporal",IF(ISNUMBER(E244),E244,0)+I244,I244)*J244*1000+I244,0),IF((M244&gt;0)*(IF(N244="",-1,N244)&gt;=3)*(IF(N244="",-1,N244)&lt;=4),IF(C244="peso_corporal",IF(ISNUMBER(E244),E244,0)+L244,L244)*M244*1000+L244,0),IF((P244&gt;0)*(IF(Q244="",-1,Q244)&gt;=3)*(IF(Q244="",-1,Q244)&lt;=4),IF(C244="peso_corporal",IF(ISNUMBER(E244),E244,0)+O244,O244)*P244*1000+O244,0),IF((S244&gt;0)*(IF(T244="",-1,T244)&gt;=3)*(IF(T244="",-1,T244)&lt;=4),IF(C244="peso_corporal",IF(ISNUMBER(E244),E244,0)+R244,R244)*S244*1000+R244,0))</f>
        <v>0</v>
      </c>
      <c r="X244" s="69">
        <f>IF(W244=0,0,IF(IF((S244&gt;0)*(IF(T244="",-1,T244)&gt;=3)*(IF(T244="",-1,T244)&lt;=4),IF(C244="peso_corporal",IF(ISNUMBER(E244),E244,0)+R244,R244)*S244*1000+R244,0)=W244,5,IF(IF((P244&gt;0)*(IF(Q244="",-1,Q244)&gt;=3)*(IF(Q244="",-1,Q244)&lt;=4),IF(C244="peso_corporal",IF(ISNUMBER(E244),E244,0)+O244,O244)*P244*1000+O244,0)=W244,4,IF(IF((M244&gt;0)*(IF(N244="",-1,N244)&gt;=3)*(IF(N244="",-1,N244)&lt;=4),IF(C244="peso_corporal",IF(ISNUMBER(E244),E244,0)+L244,L244)*M244*1000+L244,0)=W244,3,IF(IF((J244&gt;0)*(IF(K244="",-1,K244)&gt;=3)*(IF(K244="",-1,K244)&lt;=4),IF(C244="peso_corporal",IF(ISNUMBER(E244),E244,0)+I244,I244)*J244*1000+I244,0)=W244,2,IF(IF((G244&gt;0)*(IF(H244="",-1,H244)&gt;=3)*(IF(H244="",-1,H244)&lt;=4),IF(C244="peso_corporal",IF(ISNUMBER(E244),E244,0)+F244,F244)*G244*1000+F244,0)=W244,1,0))))))</f>
        <v>0</v>
      </c>
      <c r="Y244" s="69">
        <f>MAX(IF((G244&gt;0)*(IF(H244="",-1,H244)=0)*(1-(IF(H244="",-1,H244)&gt;=3)*(IF(H244="",-1,H244)&lt;=4)),IF(C244="peso_corporal",IF(ISNUMBER(E244),E244,0)+F244,F244)*G244*1000+F244,0),IF((J244&gt;0)*(IF(K244="",-1,K244)=0)*(1-(IF(K244="",-1,K244)&gt;=3)*(IF(K244="",-1,K244)&lt;=4)),IF(C244="peso_corporal",IF(ISNUMBER(E244),E244,0)+I244,I244)*J244*1000+I244,0),IF((M244&gt;0)*(IF(N244="",-1,N244)=0)*(1-(IF(N244="",-1,N244)&gt;=3)*(IF(N244="",-1,N244)&lt;=4)),IF(C244="peso_corporal",IF(ISNUMBER(E244),E244,0)+L244,L244)*M244*1000+L244,0),IF((P244&gt;0)*(IF(Q244="",-1,Q244)=0)*(1-(IF(Q244="",-1,Q244)&gt;=3)*(IF(Q244="",-1,Q244)&lt;=4)),IF(C244="peso_corporal",IF(ISNUMBER(E244),E244,0)+O244,O244)*P244*1000+O244,0),IF((S244&gt;0)*(IF(T244="",-1,T244)=0)*(1-(IF(T244="",-1,T244)&gt;=3)*(IF(T244="",-1,T244)&lt;=4)),IF(C244="peso_corporal",IF(ISNUMBER(E244),E244,0)+R244,R244)*S244*1000+R244,0))</f>
        <v>0</v>
      </c>
      <c r="Z244" s="69">
        <f>IF(Y244=0,0,IF(IF((S244&gt;0)*(IF(T244="",-1,T244)=0)*(1-(IF(T244="",-1,T244)&gt;=3)*(IF(T244="",-1,T244)&lt;=4)),IF(C244="peso_corporal",IF(ISNUMBER(E244),E244,0)+R244,R244)*S244*1000+R244,0)=Y244,5,IF(IF((P244&gt;0)*(IF(Q244="",-1,Q244)=0)*(1-(IF(Q244="",-1,Q244)&gt;=3)*(IF(Q244="",-1,Q244)&lt;=4)),IF(C244="peso_corporal",IF(ISNUMBER(E244),E244,0)+O244,O244)*P244*1000+O244,0)=Y244,4,IF(IF((M244&gt;0)*(IF(N244="",-1,N244)=0)*(1-(IF(N244="",-1,N244)&gt;=3)*(IF(N244="",-1,N244)&lt;=4)),IF(C244="peso_corporal",IF(ISNUMBER(E244),E244,0)+L244,L244)*M244*1000+L244,0)=Y244,3,IF(IF((J244&gt;0)*(IF(K244="",-1,K244)=0)*(1-(IF(K244="",-1,K244)&gt;=3)*(IF(K244="",-1,K244)&lt;=4)),IF(C244="peso_corporal",IF(ISNUMBER(E244),E244,0)+I244,I244)*J244*1000+I244,0)=Y244,2,IF(IF((G244&gt;0)*(IF(H244="",-1,H244)=0)*(1-(IF(H244="",-1,H244)&gt;=3)*(IF(H244="",-1,H244)&lt;=4)),IF(C244="peso_corporal",IF(ISNUMBER(E244),E244,0)+F244,F244)*G244*1000+F244,0)=Y244,1,0))))))</f>
        <v>0</v>
      </c>
      <c r="AA244" s="69">
        <f>MAX(IF((G244&gt;=12)*(1-(IF(H244="",-1,H244)&gt;=3)*(IF(H244="",-1,H244)&lt;=4))*(1-(IF(H244="",-1,H244)=0)),IF(C244="peso_corporal",IF(ISNUMBER(E244),E244,0)+F244,F244)*(30+G244)*100+F244,0),IF((J244&gt;=12)*(1-(IF(K244="",-1,K244)&gt;=3)*(IF(K244="",-1,K244)&lt;=4))*(1-(IF(K244="",-1,K244)=0)),IF(C244="peso_corporal",IF(ISNUMBER(E244),E244,0)+I244,I244)*(30+J244)*100+I244,0),IF((M244&gt;=12)*(1-(IF(N244="",-1,N244)&gt;=3)*(IF(N244="",-1,N244)&lt;=4))*(1-(IF(N244="",-1,N244)=0)),IF(C244="peso_corporal",IF(ISNUMBER(E244),E244,0)+L244,L244)*(30+M244)*100+L244,0),IF((P244&gt;=12)*(1-(IF(Q244="",-1,Q244)&gt;=3)*(IF(Q244="",-1,Q244)&lt;=4))*(1-(IF(Q244="",-1,Q244)=0)),IF(C244="peso_corporal",IF(ISNUMBER(E244),E244,0)+O244,O244)*(30+P244)*100+O244,0),IF((S244&gt;=12)*(1-(IF(T244="",-1,T244)&gt;=3)*(IF(T244="",-1,T244)&lt;=4))*(1-(IF(T244="",-1,T244)=0)),IF(C244="peso_corporal",IF(ISNUMBER(E244),E244,0)+R244,R244)*(30+S244)*100+R244,0))</f>
        <v>0</v>
      </c>
      <c r="AB244" s="69">
        <f>IF(AA244=0,0,IF(IF((S244&gt;=12)*(1-(IF(T244="",-1,T244)&gt;=3)*(IF(T244="",-1,T244)&lt;=4))*(1-(IF(T244="",-1,T244)=0)),IF(C244="peso_corporal",IF(ISNUMBER(E244),E244,0)+R244,R244)*(30+S244)*100+R244,0)=AA244,5,IF(IF((P244&gt;=12)*(1-(IF(Q244="",-1,Q244)&gt;=3)*(IF(Q244="",-1,Q244)&lt;=4))*(1-(IF(Q244="",-1,Q244)=0)),IF(C244="peso_corporal",IF(ISNUMBER(E244),E244,0)+O244,O244)*(30+P244)*100+O244,0)=AA244,4,IF(IF((M244&gt;=12)*(1-(IF(N244="",-1,N244)&gt;=3)*(IF(N244="",-1,N244)&lt;=4))*(1-(IF(N244="",-1,N244)=0)),IF(C244="peso_corporal",IF(ISNUMBER(E244),E244,0)+L244,L244)*(30+M244)*100+L244,0)=AA244,3,IF(IF((J244&gt;=12)*(1-(IF(K244="",-1,K244)&gt;=3)*(IF(K244="",-1,K244)&lt;=4))*(1-(IF(K244="",-1,K244)=0)),IF(C244="peso_corporal",IF(ISNUMBER(E244),E244,0)+I244,I244)*(30+J244)*100+I244,0)=AA244,2,IF(IF((G244&gt;=12)*(1-(IF(H244="",-1,H244)&gt;=3)*(IF(H244="",-1,H244)&lt;=4))*(1-(IF(H244="",-1,H244)=0)),IF(C244="peso_corporal",IF(ISNUMBER(E244),E244,0)+F244,F244)*(30+G244)*100+F244,0)=AA244,1,0))))))</f>
        <v>0</v>
      </c>
      <c r="AC244" s="69" t="str">
        <f>IF(X244&gt;0,"A"&amp;X244,IF(Z244&gt;0,"B"&amp;Z244,IF(AB244&gt;0,"C"&amp;AB244,"")))</f>
        <v/>
      </c>
    </row>
    <row r="245" spans="1:29" ht="20.100000000000001" customHeight="1">
      <c r="A245" s="14" t="s">
        <v>92</v>
      </c>
      <c r="B245" s="15" t="s">
        <v>108</v>
      </c>
      <c r="C245" s="16" t="str">
        <f>IFERROR(INDEX(EJERCICIOS!$D$3:$D$75,MATCH(A245&amp;"|"&amp;B245,EJERCICIOS!$G$3:$G$75,0)),"--")</f>
        <v>polea</v>
      </c>
      <c r="D245" s="17">
        <v>3</v>
      </c>
      <c r="E245" s="18">
        <f>IFERROR(LOOKUP(2,1/(MEDIDAS_Y_PESO!$B$3:$B$14&lt;&gt;""),MEDIDAS_Y_PESO!$B$3:$B$14),"--")</f>
        <v>80</v>
      </c>
      <c r="F245" s="19"/>
      <c r="G245" s="20"/>
      <c r="H245" s="21"/>
      <c r="I245" s="19"/>
      <c r="J245" s="20"/>
      <c r="K245" s="21"/>
      <c r="L245" s="19"/>
      <c r="M245" s="20"/>
      <c r="N245" s="21"/>
      <c r="O245" s="19"/>
      <c r="P245" s="20"/>
      <c r="Q245" s="21"/>
      <c r="R245" s="19"/>
      <c r="S245" s="20"/>
      <c r="T245" s="21"/>
      <c r="U245" s="22" t="str">
        <f>IFERROR(IF(IF(X245&gt;0,X245,IF(Z245&gt;0,Z245,IF(AB245&gt;0,AB245,0)))=0,"--",ROUND(CHOOSE(IF(X245&gt;0,X245,IF(Z245&gt;0,Z245,IF(AB245&gt;0,AB245,0))),IF(C245="peso_corporal",IF(ISNUMBER(E245),E245,0)+F245,F245)*(1+G245/30),IF(C245="peso_corporal",IF(ISNUMBER(E245),E245,0)+I245,I245)*(1+J245/30),IF(C245="peso_corporal",IF(ISNUMBER(E245),E245,0)+L245,L245)*(1+M245/30),IF(C245="peso_corporal",IF(ISNUMBER(E245),E245,0)+O245,O245)*(1+P245/30),IF(C245="peso_corporal",IF(ISNUMBER(E245),E245,0)+R245,R245)*(1+S245/30)),1)),"--")</f>
        <v>--</v>
      </c>
      <c r="V245" s="23" t="str">
        <f>IF(SUGERENCIAS!N709="SIN","Sin datos anteriores",IF(SUGERENCIAS!N709="SUBIR_F","^ SUBIR FUERTE | Kg:"&amp;ROUND(SUGERENCIAS!K709,1)&amp;" R:"&amp;ROUND(SUGERENCIAS!L709,0)&amp;" RIR:"&amp;ROUND(SUGERENCIAS!M709,0),IF(SUGERENCIAS!N709="SUBIR_E","^ SUBIR (Est.) | Kg:"&amp;ROUND(SUGERENCIAS!K709,1)&amp;" R:"&amp;ROUND(SUGERENCIAS!L709,0)&amp;" RIR:"&amp;ROUND(SUGERENCIAS!M709,0),IF(SUGERENCIAS!N709="SUBIR","^ SUBIR | Kg:"&amp;ROUND(SUGERENCIAS!K709,1)&amp;" R:"&amp;ROUND(SUGERENCIAS!L709,0)&amp;" RIR:"&amp;ROUND(SUGERENCIAS!M709,0),IF(SUGERENCIAS!N709="BAJAR","v BAJAR | Kg:"&amp;ROUND(SUGERENCIAS!K709,1)&amp;" R:"&amp;ROUND(SUGERENCIAS!L709,0)&amp;" RIR:"&amp;ROUND(SUGERENCIAS!M709,0),"= MANT | Kg:"&amp;ROUND(SUGERENCIAS!K709,1)&amp;" R:"&amp;ROUND(SUGERENCIAS!L709,0)&amp;" RIR:"&amp;ROUND(SUGERENCIAS!M709,0))))))</f>
        <v>Sin datos anteriores</v>
      </c>
      <c r="W245" s="69">
        <f>MAX(IF((G245&gt;0)*(IF(H245="",-1,H245)&gt;=3)*(IF(H245="",-1,H245)&lt;=4),IF(C245="peso_corporal",IF(ISNUMBER(E245),E245,0)+F245,F245)*G245*1000+F245,0),IF((J245&gt;0)*(IF(K245="",-1,K245)&gt;=3)*(IF(K245="",-1,K245)&lt;=4),IF(C245="peso_corporal",IF(ISNUMBER(E245),E245,0)+I245,I245)*J245*1000+I245,0),IF((M245&gt;0)*(IF(N245="",-1,N245)&gt;=3)*(IF(N245="",-1,N245)&lt;=4),IF(C245="peso_corporal",IF(ISNUMBER(E245),E245,0)+L245,L245)*M245*1000+L245,0),IF((P245&gt;0)*(IF(Q245="",-1,Q245)&gt;=3)*(IF(Q245="",-1,Q245)&lt;=4),IF(C245="peso_corporal",IF(ISNUMBER(E245),E245,0)+O245,O245)*P245*1000+O245,0),IF((S245&gt;0)*(IF(T245="",-1,T245)&gt;=3)*(IF(T245="",-1,T245)&lt;=4),IF(C245="peso_corporal",IF(ISNUMBER(E245),E245,0)+R245,R245)*S245*1000+R245,0))</f>
        <v>0</v>
      </c>
      <c r="X245" s="69">
        <f>IF(W245=0,0,IF(IF((S245&gt;0)*(IF(T245="",-1,T245)&gt;=3)*(IF(T245="",-1,T245)&lt;=4),IF(C245="peso_corporal",IF(ISNUMBER(E245),E245,0)+R245,R245)*S245*1000+R245,0)=W245,5,IF(IF((P245&gt;0)*(IF(Q245="",-1,Q245)&gt;=3)*(IF(Q245="",-1,Q245)&lt;=4),IF(C245="peso_corporal",IF(ISNUMBER(E245),E245,0)+O245,O245)*P245*1000+O245,0)=W245,4,IF(IF((M245&gt;0)*(IF(N245="",-1,N245)&gt;=3)*(IF(N245="",-1,N245)&lt;=4),IF(C245="peso_corporal",IF(ISNUMBER(E245),E245,0)+L245,L245)*M245*1000+L245,0)=W245,3,IF(IF((J245&gt;0)*(IF(K245="",-1,K245)&gt;=3)*(IF(K245="",-1,K245)&lt;=4),IF(C245="peso_corporal",IF(ISNUMBER(E245),E245,0)+I245,I245)*J245*1000+I245,0)=W245,2,IF(IF((G245&gt;0)*(IF(H245="",-1,H245)&gt;=3)*(IF(H245="",-1,H245)&lt;=4),IF(C245="peso_corporal",IF(ISNUMBER(E245),E245,0)+F245,F245)*G245*1000+F245,0)=W245,1,0))))))</f>
        <v>0</v>
      </c>
      <c r="Y245" s="69">
        <f>MAX(IF((G245&gt;0)*(IF(H245="",-1,H245)=0)*(1-(IF(H245="",-1,H245)&gt;=3)*(IF(H245="",-1,H245)&lt;=4)),IF(C245="peso_corporal",IF(ISNUMBER(E245),E245,0)+F245,F245)*G245*1000+F245,0),IF((J245&gt;0)*(IF(K245="",-1,K245)=0)*(1-(IF(K245="",-1,K245)&gt;=3)*(IF(K245="",-1,K245)&lt;=4)),IF(C245="peso_corporal",IF(ISNUMBER(E245),E245,0)+I245,I245)*J245*1000+I245,0),IF((M245&gt;0)*(IF(N245="",-1,N245)=0)*(1-(IF(N245="",-1,N245)&gt;=3)*(IF(N245="",-1,N245)&lt;=4)),IF(C245="peso_corporal",IF(ISNUMBER(E245),E245,0)+L245,L245)*M245*1000+L245,0),IF((P245&gt;0)*(IF(Q245="",-1,Q245)=0)*(1-(IF(Q245="",-1,Q245)&gt;=3)*(IF(Q245="",-1,Q245)&lt;=4)),IF(C245="peso_corporal",IF(ISNUMBER(E245),E245,0)+O245,O245)*P245*1000+O245,0),IF((S245&gt;0)*(IF(T245="",-1,T245)=0)*(1-(IF(T245="",-1,T245)&gt;=3)*(IF(T245="",-1,T245)&lt;=4)),IF(C245="peso_corporal",IF(ISNUMBER(E245),E245,0)+R245,R245)*S245*1000+R245,0))</f>
        <v>0</v>
      </c>
      <c r="Z245" s="69">
        <f>IF(Y245=0,0,IF(IF((S245&gt;0)*(IF(T245="",-1,T245)=0)*(1-(IF(T245="",-1,T245)&gt;=3)*(IF(T245="",-1,T245)&lt;=4)),IF(C245="peso_corporal",IF(ISNUMBER(E245),E245,0)+R245,R245)*S245*1000+R245,0)=Y245,5,IF(IF((P245&gt;0)*(IF(Q245="",-1,Q245)=0)*(1-(IF(Q245="",-1,Q245)&gt;=3)*(IF(Q245="",-1,Q245)&lt;=4)),IF(C245="peso_corporal",IF(ISNUMBER(E245),E245,0)+O245,O245)*P245*1000+O245,0)=Y245,4,IF(IF((M245&gt;0)*(IF(N245="",-1,N245)=0)*(1-(IF(N245="",-1,N245)&gt;=3)*(IF(N245="",-1,N245)&lt;=4)),IF(C245="peso_corporal",IF(ISNUMBER(E245),E245,0)+L245,L245)*M245*1000+L245,0)=Y245,3,IF(IF((J245&gt;0)*(IF(K245="",-1,K245)=0)*(1-(IF(K245="",-1,K245)&gt;=3)*(IF(K245="",-1,K245)&lt;=4)),IF(C245="peso_corporal",IF(ISNUMBER(E245),E245,0)+I245,I245)*J245*1000+I245,0)=Y245,2,IF(IF((G245&gt;0)*(IF(H245="",-1,H245)=0)*(1-(IF(H245="",-1,H245)&gt;=3)*(IF(H245="",-1,H245)&lt;=4)),IF(C245="peso_corporal",IF(ISNUMBER(E245),E245,0)+F245,F245)*G245*1000+F245,0)=Y245,1,0))))))</f>
        <v>0</v>
      </c>
      <c r="AA245" s="69">
        <f>MAX(IF((G245&gt;=12)*(1-(IF(H245="",-1,H245)&gt;=3)*(IF(H245="",-1,H245)&lt;=4))*(1-(IF(H245="",-1,H245)=0)),IF(C245="peso_corporal",IF(ISNUMBER(E245),E245,0)+F245,F245)*(30+G245)*100+F245,0),IF((J245&gt;=12)*(1-(IF(K245="",-1,K245)&gt;=3)*(IF(K245="",-1,K245)&lt;=4))*(1-(IF(K245="",-1,K245)=0)),IF(C245="peso_corporal",IF(ISNUMBER(E245),E245,0)+I245,I245)*(30+J245)*100+I245,0),IF((M245&gt;=12)*(1-(IF(N245="",-1,N245)&gt;=3)*(IF(N245="",-1,N245)&lt;=4))*(1-(IF(N245="",-1,N245)=0)),IF(C245="peso_corporal",IF(ISNUMBER(E245),E245,0)+L245,L245)*(30+M245)*100+L245,0),IF((P245&gt;=12)*(1-(IF(Q245="",-1,Q245)&gt;=3)*(IF(Q245="",-1,Q245)&lt;=4))*(1-(IF(Q245="",-1,Q245)=0)),IF(C245="peso_corporal",IF(ISNUMBER(E245),E245,0)+O245,O245)*(30+P245)*100+O245,0),IF((S245&gt;=12)*(1-(IF(T245="",-1,T245)&gt;=3)*(IF(T245="",-1,T245)&lt;=4))*(1-(IF(T245="",-1,T245)=0)),IF(C245="peso_corporal",IF(ISNUMBER(E245),E245,0)+R245,R245)*(30+S245)*100+R245,0))</f>
        <v>0</v>
      </c>
      <c r="AB245" s="69">
        <f>IF(AA245=0,0,IF(IF((S245&gt;=12)*(1-(IF(T245="",-1,T245)&gt;=3)*(IF(T245="",-1,T245)&lt;=4))*(1-(IF(T245="",-1,T245)=0)),IF(C245="peso_corporal",IF(ISNUMBER(E245),E245,0)+R245,R245)*(30+S245)*100+R245,0)=AA245,5,IF(IF((P245&gt;=12)*(1-(IF(Q245="",-1,Q245)&gt;=3)*(IF(Q245="",-1,Q245)&lt;=4))*(1-(IF(Q245="",-1,Q245)=0)),IF(C245="peso_corporal",IF(ISNUMBER(E245),E245,0)+O245,O245)*(30+P245)*100+O245,0)=AA245,4,IF(IF((M245&gt;=12)*(1-(IF(N245="",-1,N245)&gt;=3)*(IF(N245="",-1,N245)&lt;=4))*(1-(IF(N245="",-1,N245)=0)),IF(C245="peso_corporal",IF(ISNUMBER(E245),E245,0)+L245,L245)*(30+M245)*100+L245,0)=AA245,3,IF(IF((J245&gt;=12)*(1-(IF(K245="",-1,K245)&gt;=3)*(IF(K245="",-1,K245)&lt;=4))*(1-(IF(K245="",-1,K245)=0)),IF(C245="peso_corporal",IF(ISNUMBER(E245),E245,0)+I245,I245)*(30+J245)*100+I245,0)=AA245,2,IF(IF((G245&gt;=12)*(1-(IF(H245="",-1,H245)&gt;=3)*(IF(H245="",-1,H245)&lt;=4))*(1-(IF(H245="",-1,H245)=0)),IF(C245="peso_corporal",IF(ISNUMBER(E245),E245,0)+F245,F245)*(30+G245)*100+F245,0)=AA245,1,0))))))</f>
        <v>0</v>
      </c>
      <c r="AC245" s="69" t="str">
        <f>IF(X245&gt;0,"A"&amp;X245,IF(Z245&gt;0,"B"&amp;Z245,IF(AB245&gt;0,"C"&amp;AB245,"")))</f>
        <v/>
      </c>
    </row>
    <row r="246" spans="1:29" ht="11.1" customHeight="1">
      <c r="A246" s="84" t="s">
        <v>94</v>
      </c>
      <c r="B246" s="73"/>
      <c r="C246" s="73"/>
      <c r="D246" s="73"/>
      <c r="E246" s="73"/>
      <c r="F246" s="73"/>
      <c r="G246" s="73"/>
      <c r="H246" s="73"/>
      <c r="I246" s="73"/>
      <c r="J246" s="73"/>
      <c r="K246" s="73"/>
      <c r="L246" s="73"/>
      <c r="M246" s="73"/>
      <c r="N246" s="73"/>
      <c r="O246" s="73"/>
      <c r="P246" s="73"/>
      <c r="Q246" s="73"/>
      <c r="R246" s="73"/>
      <c r="S246" s="73"/>
      <c r="T246" s="73"/>
      <c r="U246" s="73"/>
      <c r="V246" s="73"/>
      <c r="W246" s="69"/>
      <c r="X246" s="69"/>
      <c r="Y246" s="69"/>
      <c r="Z246" s="69"/>
      <c r="AA246" s="69"/>
      <c r="AB246" s="69"/>
      <c r="AC246" s="69"/>
    </row>
    <row r="247" spans="1:29" ht="20.100000000000001" customHeight="1">
      <c r="A247" s="14" t="s">
        <v>95</v>
      </c>
      <c r="B247" s="15" t="s">
        <v>96</v>
      </c>
      <c r="C247" s="16" t="str">
        <f>IFERROR(INDEX(EJERCICIOS!$D$3:$D$75,MATCH(A247&amp;"|"&amp;B247,EJERCICIOS!$G$3:$G$75,0)),"--")</f>
        <v>polea</v>
      </c>
      <c r="D247" s="17">
        <v>3</v>
      </c>
      <c r="E247" s="18">
        <f>IFERROR(LOOKUP(2,1/(MEDIDAS_Y_PESO!$B$3:$B$14&lt;&gt;""),MEDIDAS_Y_PESO!$B$3:$B$14),"--")</f>
        <v>80</v>
      </c>
      <c r="F247" s="19"/>
      <c r="G247" s="20"/>
      <c r="H247" s="21"/>
      <c r="I247" s="19"/>
      <c r="J247" s="20"/>
      <c r="K247" s="21"/>
      <c r="L247" s="19"/>
      <c r="M247" s="20"/>
      <c r="N247" s="21"/>
      <c r="O247" s="19"/>
      <c r="P247" s="20"/>
      <c r="Q247" s="21"/>
      <c r="R247" s="19"/>
      <c r="S247" s="20"/>
      <c r="T247" s="21"/>
      <c r="U247" s="22" t="str">
        <f>IFERROR(IF(IF(X247&gt;0,X247,IF(Z247&gt;0,Z247,IF(AB247&gt;0,AB247,0)))=0,"--",ROUND(CHOOSE(IF(X247&gt;0,X247,IF(Z247&gt;0,Z247,IF(AB247&gt;0,AB247,0))),IF(C247="peso_corporal",IF(ISNUMBER(E247),E247,0)+F247,F247)*(1+G247/30),IF(C247="peso_corporal",IF(ISNUMBER(E247),E247,0)+I247,I247)*(1+J247/30),IF(C247="peso_corporal",IF(ISNUMBER(E247),E247,0)+L247,L247)*(1+M247/30),IF(C247="peso_corporal",IF(ISNUMBER(E247),E247,0)+O247,O247)*(1+P247/30),IF(C247="peso_corporal",IF(ISNUMBER(E247),E247,0)+R247,R247)*(1+S247/30)),1)),"--")</f>
        <v>--</v>
      </c>
      <c r="V247" s="23" t="str">
        <f>IF(SUGERENCIAS!N710="SIN","Sin datos anteriores",IF(SUGERENCIAS!N710="SUBIR_F","^ SUBIR FUERTE | Kg:"&amp;ROUND(SUGERENCIAS!K710,1)&amp;" R:"&amp;ROUND(SUGERENCIAS!L710,0)&amp;" RIR:"&amp;ROUND(SUGERENCIAS!M710,0),IF(SUGERENCIAS!N710="SUBIR_E","^ SUBIR (Est.) | Kg:"&amp;ROUND(SUGERENCIAS!K710,1)&amp;" R:"&amp;ROUND(SUGERENCIAS!L710,0)&amp;" RIR:"&amp;ROUND(SUGERENCIAS!M710,0),IF(SUGERENCIAS!N710="SUBIR","^ SUBIR | Kg:"&amp;ROUND(SUGERENCIAS!K710,1)&amp;" R:"&amp;ROUND(SUGERENCIAS!L710,0)&amp;" RIR:"&amp;ROUND(SUGERENCIAS!M710,0),IF(SUGERENCIAS!N710="BAJAR","v BAJAR | Kg:"&amp;ROUND(SUGERENCIAS!K710,1)&amp;" R:"&amp;ROUND(SUGERENCIAS!L710,0)&amp;" RIR:"&amp;ROUND(SUGERENCIAS!M710,0),"= MANT | Kg:"&amp;ROUND(SUGERENCIAS!K710,1)&amp;" R:"&amp;ROUND(SUGERENCIAS!L710,0)&amp;" RIR:"&amp;ROUND(SUGERENCIAS!M710,0))))))</f>
        <v>Sin datos anteriores</v>
      </c>
      <c r="W247" s="69">
        <f>MAX(IF((G247&gt;0)*(IF(H247="",-1,H247)&gt;=3)*(IF(H247="",-1,H247)&lt;=4),IF(C247="peso_corporal",IF(ISNUMBER(E247),E247,0)+F247,F247)*G247*1000+F247,0),IF((J247&gt;0)*(IF(K247="",-1,K247)&gt;=3)*(IF(K247="",-1,K247)&lt;=4),IF(C247="peso_corporal",IF(ISNUMBER(E247),E247,0)+I247,I247)*J247*1000+I247,0),IF((M247&gt;0)*(IF(N247="",-1,N247)&gt;=3)*(IF(N247="",-1,N247)&lt;=4),IF(C247="peso_corporal",IF(ISNUMBER(E247),E247,0)+L247,L247)*M247*1000+L247,0),IF((P247&gt;0)*(IF(Q247="",-1,Q247)&gt;=3)*(IF(Q247="",-1,Q247)&lt;=4),IF(C247="peso_corporal",IF(ISNUMBER(E247),E247,0)+O247,O247)*P247*1000+O247,0),IF((S247&gt;0)*(IF(T247="",-1,T247)&gt;=3)*(IF(T247="",-1,T247)&lt;=4),IF(C247="peso_corporal",IF(ISNUMBER(E247),E247,0)+R247,R247)*S247*1000+R247,0))</f>
        <v>0</v>
      </c>
      <c r="X247" s="69">
        <f>IF(W247=0,0,IF(IF((S247&gt;0)*(IF(T247="",-1,T247)&gt;=3)*(IF(T247="",-1,T247)&lt;=4),IF(C247="peso_corporal",IF(ISNUMBER(E247),E247,0)+R247,R247)*S247*1000+R247,0)=W247,5,IF(IF((P247&gt;0)*(IF(Q247="",-1,Q247)&gt;=3)*(IF(Q247="",-1,Q247)&lt;=4),IF(C247="peso_corporal",IF(ISNUMBER(E247),E247,0)+O247,O247)*P247*1000+O247,0)=W247,4,IF(IF((M247&gt;0)*(IF(N247="",-1,N247)&gt;=3)*(IF(N247="",-1,N247)&lt;=4),IF(C247="peso_corporal",IF(ISNUMBER(E247),E247,0)+L247,L247)*M247*1000+L247,0)=W247,3,IF(IF((J247&gt;0)*(IF(K247="",-1,K247)&gt;=3)*(IF(K247="",-1,K247)&lt;=4),IF(C247="peso_corporal",IF(ISNUMBER(E247),E247,0)+I247,I247)*J247*1000+I247,0)=W247,2,IF(IF((G247&gt;0)*(IF(H247="",-1,H247)&gt;=3)*(IF(H247="",-1,H247)&lt;=4),IF(C247="peso_corporal",IF(ISNUMBER(E247),E247,0)+F247,F247)*G247*1000+F247,0)=W247,1,0))))))</f>
        <v>0</v>
      </c>
      <c r="Y247" s="69">
        <f>MAX(IF((G247&gt;0)*(IF(H247="",-1,H247)=0)*(1-(IF(H247="",-1,H247)&gt;=3)*(IF(H247="",-1,H247)&lt;=4)),IF(C247="peso_corporal",IF(ISNUMBER(E247),E247,0)+F247,F247)*G247*1000+F247,0),IF((J247&gt;0)*(IF(K247="",-1,K247)=0)*(1-(IF(K247="",-1,K247)&gt;=3)*(IF(K247="",-1,K247)&lt;=4)),IF(C247="peso_corporal",IF(ISNUMBER(E247),E247,0)+I247,I247)*J247*1000+I247,0),IF((M247&gt;0)*(IF(N247="",-1,N247)=0)*(1-(IF(N247="",-1,N247)&gt;=3)*(IF(N247="",-1,N247)&lt;=4)),IF(C247="peso_corporal",IF(ISNUMBER(E247),E247,0)+L247,L247)*M247*1000+L247,0),IF((P247&gt;0)*(IF(Q247="",-1,Q247)=0)*(1-(IF(Q247="",-1,Q247)&gt;=3)*(IF(Q247="",-1,Q247)&lt;=4)),IF(C247="peso_corporal",IF(ISNUMBER(E247),E247,0)+O247,O247)*P247*1000+O247,0),IF((S247&gt;0)*(IF(T247="",-1,T247)=0)*(1-(IF(T247="",-1,T247)&gt;=3)*(IF(T247="",-1,T247)&lt;=4)),IF(C247="peso_corporal",IF(ISNUMBER(E247),E247,0)+R247,R247)*S247*1000+R247,0))</f>
        <v>0</v>
      </c>
      <c r="Z247" s="69">
        <f>IF(Y247=0,0,IF(IF((S247&gt;0)*(IF(T247="",-1,T247)=0)*(1-(IF(T247="",-1,T247)&gt;=3)*(IF(T247="",-1,T247)&lt;=4)),IF(C247="peso_corporal",IF(ISNUMBER(E247),E247,0)+R247,R247)*S247*1000+R247,0)=Y247,5,IF(IF((P247&gt;0)*(IF(Q247="",-1,Q247)=0)*(1-(IF(Q247="",-1,Q247)&gt;=3)*(IF(Q247="",-1,Q247)&lt;=4)),IF(C247="peso_corporal",IF(ISNUMBER(E247),E247,0)+O247,O247)*P247*1000+O247,0)=Y247,4,IF(IF((M247&gt;0)*(IF(N247="",-1,N247)=0)*(1-(IF(N247="",-1,N247)&gt;=3)*(IF(N247="",-1,N247)&lt;=4)),IF(C247="peso_corporal",IF(ISNUMBER(E247),E247,0)+L247,L247)*M247*1000+L247,0)=Y247,3,IF(IF((J247&gt;0)*(IF(K247="",-1,K247)=0)*(1-(IF(K247="",-1,K247)&gt;=3)*(IF(K247="",-1,K247)&lt;=4)),IF(C247="peso_corporal",IF(ISNUMBER(E247),E247,0)+I247,I247)*J247*1000+I247,0)=Y247,2,IF(IF((G247&gt;0)*(IF(H247="",-1,H247)=0)*(1-(IF(H247="",-1,H247)&gt;=3)*(IF(H247="",-1,H247)&lt;=4)),IF(C247="peso_corporal",IF(ISNUMBER(E247),E247,0)+F247,F247)*G247*1000+F247,0)=Y247,1,0))))))</f>
        <v>0</v>
      </c>
      <c r="AA247" s="69">
        <f>MAX(IF((G247&gt;=12)*(1-(IF(H247="",-1,H247)&gt;=3)*(IF(H247="",-1,H247)&lt;=4))*(1-(IF(H247="",-1,H247)=0)),IF(C247="peso_corporal",IF(ISNUMBER(E247),E247,0)+F247,F247)*(30+G247)*100+F247,0),IF((J247&gt;=12)*(1-(IF(K247="",-1,K247)&gt;=3)*(IF(K247="",-1,K247)&lt;=4))*(1-(IF(K247="",-1,K247)=0)),IF(C247="peso_corporal",IF(ISNUMBER(E247),E247,0)+I247,I247)*(30+J247)*100+I247,0),IF((M247&gt;=12)*(1-(IF(N247="",-1,N247)&gt;=3)*(IF(N247="",-1,N247)&lt;=4))*(1-(IF(N247="",-1,N247)=0)),IF(C247="peso_corporal",IF(ISNUMBER(E247),E247,0)+L247,L247)*(30+M247)*100+L247,0),IF((P247&gt;=12)*(1-(IF(Q247="",-1,Q247)&gt;=3)*(IF(Q247="",-1,Q247)&lt;=4))*(1-(IF(Q247="",-1,Q247)=0)),IF(C247="peso_corporal",IF(ISNUMBER(E247),E247,0)+O247,O247)*(30+P247)*100+O247,0),IF((S247&gt;=12)*(1-(IF(T247="",-1,T247)&gt;=3)*(IF(T247="",-1,T247)&lt;=4))*(1-(IF(T247="",-1,T247)=0)),IF(C247="peso_corporal",IF(ISNUMBER(E247),E247,0)+R247,R247)*(30+S247)*100+R247,0))</f>
        <v>0</v>
      </c>
      <c r="AB247" s="69">
        <f>IF(AA247=0,0,IF(IF((S247&gt;=12)*(1-(IF(T247="",-1,T247)&gt;=3)*(IF(T247="",-1,T247)&lt;=4))*(1-(IF(T247="",-1,T247)=0)),IF(C247="peso_corporal",IF(ISNUMBER(E247),E247,0)+R247,R247)*(30+S247)*100+R247,0)=AA247,5,IF(IF((P247&gt;=12)*(1-(IF(Q247="",-1,Q247)&gt;=3)*(IF(Q247="",-1,Q247)&lt;=4))*(1-(IF(Q247="",-1,Q247)=0)),IF(C247="peso_corporal",IF(ISNUMBER(E247),E247,0)+O247,O247)*(30+P247)*100+O247,0)=AA247,4,IF(IF((M247&gt;=12)*(1-(IF(N247="",-1,N247)&gt;=3)*(IF(N247="",-1,N247)&lt;=4))*(1-(IF(N247="",-1,N247)=0)),IF(C247="peso_corporal",IF(ISNUMBER(E247),E247,0)+L247,L247)*(30+M247)*100+L247,0)=AA247,3,IF(IF((J247&gt;=12)*(1-(IF(K247="",-1,K247)&gt;=3)*(IF(K247="",-1,K247)&lt;=4))*(1-(IF(K247="",-1,K247)=0)),IF(C247="peso_corporal",IF(ISNUMBER(E247),E247,0)+I247,I247)*(30+J247)*100+I247,0)=AA247,2,IF(IF((G247&gt;=12)*(1-(IF(H247="",-1,H247)&gt;=3)*(IF(H247="",-1,H247)&lt;=4))*(1-(IF(H247="",-1,H247)=0)),IF(C247="peso_corporal",IF(ISNUMBER(E247),E247,0)+F247,F247)*(30+G247)*100+F247,0)=AA247,1,0))))))</f>
        <v>0</v>
      </c>
      <c r="AC247" s="69" t="str">
        <f>IF(X247&gt;0,"A"&amp;X247,IF(Z247&gt;0,"B"&amp;Z247,IF(AB247&gt;0,"C"&amp;AB247,"")))</f>
        <v/>
      </c>
    </row>
    <row r="248" spans="1:29" ht="20.100000000000001" customHeight="1">
      <c r="A248" s="14" t="s">
        <v>95</v>
      </c>
      <c r="B248" s="15" t="s">
        <v>97</v>
      </c>
      <c r="C248" s="16" t="str">
        <f>IFERROR(INDEX(EJERCICIOS!$D$3:$D$75,MATCH(A248&amp;"|"&amp;B248,EJERCICIOS!$G$3:$G$75,0)),"--")</f>
        <v>polea</v>
      </c>
      <c r="D248" s="17">
        <v>3</v>
      </c>
      <c r="E248" s="18">
        <f>IFERROR(LOOKUP(2,1/(MEDIDAS_Y_PESO!$B$3:$B$14&lt;&gt;""),MEDIDAS_Y_PESO!$B$3:$B$14),"--")</f>
        <v>80</v>
      </c>
      <c r="F248" s="19"/>
      <c r="G248" s="20"/>
      <c r="H248" s="21"/>
      <c r="I248" s="19"/>
      <c r="J248" s="20"/>
      <c r="K248" s="21"/>
      <c r="L248" s="19"/>
      <c r="M248" s="20"/>
      <c r="N248" s="21"/>
      <c r="O248" s="19"/>
      <c r="P248" s="20"/>
      <c r="Q248" s="21"/>
      <c r="R248" s="19"/>
      <c r="S248" s="20"/>
      <c r="T248" s="21"/>
      <c r="U248" s="22" t="str">
        <f>IFERROR(IF(IF(X248&gt;0,X248,IF(Z248&gt;0,Z248,IF(AB248&gt;0,AB248,0)))=0,"--",ROUND(CHOOSE(IF(X248&gt;0,X248,IF(Z248&gt;0,Z248,IF(AB248&gt;0,AB248,0))),IF(C248="peso_corporal",IF(ISNUMBER(E248),E248,0)+F248,F248)*(1+G248/30),IF(C248="peso_corporal",IF(ISNUMBER(E248),E248,0)+I248,I248)*(1+J248/30),IF(C248="peso_corporal",IF(ISNUMBER(E248),E248,0)+L248,L248)*(1+M248/30),IF(C248="peso_corporal",IF(ISNUMBER(E248),E248,0)+O248,O248)*(1+P248/30),IF(C248="peso_corporal",IF(ISNUMBER(E248),E248,0)+R248,R248)*(1+S248/30)),1)),"--")</f>
        <v>--</v>
      </c>
      <c r="V248" s="23" t="str">
        <f>IF(SUGERENCIAS!N711="SIN","Sin datos anteriores",IF(SUGERENCIAS!N711="SUBIR_F","^ SUBIR FUERTE | Kg:"&amp;ROUND(SUGERENCIAS!K711,1)&amp;" R:"&amp;ROUND(SUGERENCIAS!L711,0)&amp;" RIR:"&amp;ROUND(SUGERENCIAS!M711,0),IF(SUGERENCIAS!N711="SUBIR_E","^ SUBIR (Est.) | Kg:"&amp;ROUND(SUGERENCIAS!K711,1)&amp;" R:"&amp;ROUND(SUGERENCIAS!L711,0)&amp;" RIR:"&amp;ROUND(SUGERENCIAS!M711,0),IF(SUGERENCIAS!N711="SUBIR","^ SUBIR | Kg:"&amp;ROUND(SUGERENCIAS!K711,1)&amp;" R:"&amp;ROUND(SUGERENCIAS!L711,0)&amp;" RIR:"&amp;ROUND(SUGERENCIAS!M711,0),IF(SUGERENCIAS!N711="BAJAR","v BAJAR | Kg:"&amp;ROUND(SUGERENCIAS!K711,1)&amp;" R:"&amp;ROUND(SUGERENCIAS!L711,0)&amp;" RIR:"&amp;ROUND(SUGERENCIAS!M711,0),"= MANT | Kg:"&amp;ROUND(SUGERENCIAS!K711,1)&amp;" R:"&amp;ROUND(SUGERENCIAS!L711,0)&amp;" RIR:"&amp;ROUND(SUGERENCIAS!M711,0))))))</f>
        <v>Sin datos anteriores</v>
      </c>
      <c r="W248" s="69">
        <f>MAX(IF((G248&gt;0)*(IF(H248="",-1,H248)&gt;=3)*(IF(H248="",-1,H248)&lt;=4),IF(C248="peso_corporal",IF(ISNUMBER(E248),E248,0)+F248,F248)*G248*1000+F248,0),IF((J248&gt;0)*(IF(K248="",-1,K248)&gt;=3)*(IF(K248="",-1,K248)&lt;=4),IF(C248="peso_corporal",IF(ISNUMBER(E248),E248,0)+I248,I248)*J248*1000+I248,0),IF((M248&gt;0)*(IF(N248="",-1,N248)&gt;=3)*(IF(N248="",-1,N248)&lt;=4),IF(C248="peso_corporal",IF(ISNUMBER(E248),E248,0)+L248,L248)*M248*1000+L248,0),IF((P248&gt;0)*(IF(Q248="",-1,Q248)&gt;=3)*(IF(Q248="",-1,Q248)&lt;=4),IF(C248="peso_corporal",IF(ISNUMBER(E248),E248,0)+O248,O248)*P248*1000+O248,0),IF((S248&gt;0)*(IF(T248="",-1,T248)&gt;=3)*(IF(T248="",-1,T248)&lt;=4),IF(C248="peso_corporal",IF(ISNUMBER(E248),E248,0)+R248,R248)*S248*1000+R248,0))</f>
        <v>0</v>
      </c>
      <c r="X248" s="69">
        <f>IF(W248=0,0,IF(IF((S248&gt;0)*(IF(T248="",-1,T248)&gt;=3)*(IF(T248="",-1,T248)&lt;=4),IF(C248="peso_corporal",IF(ISNUMBER(E248),E248,0)+R248,R248)*S248*1000+R248,0)=W248,5,IF(IF((P248&gt;0)*(IF(Q248="",-1,Q248)&gt;=3)*(IF(Q248="",-1,Q248)&lt;=4),IF(C248="peso_corporal",IF(ISNUMBER(E248),E248,0)+O248,O248)*P248*1000+O248,0)=W248,4,IF(IF((M248&gt;0)*(IF(N248="",-1,N248)&gt;=3)*(IF(N248="",-1,N248)&lt;=4),IF(C248="peso_corporal",IF(ISNUMBER(E248),E248,0)+L248,L248)*M248*1000+L248,0)=W248,3,IF(IF((J248&gt;0)*(IF(K248="",-1,K248)&gt;=3)*(IF(K248="",-1,K248)&lt;=4),IF(C248="peso_corporal",IF(ISNUMBER(E248),E248,0)+I248,I248)*J248*1000+I248,0)=W248,2,IF(IF((G248&gt;0)*(IF(H248="",-1,H248)&gt;=3)*(IF(H248="",-1,H248)&lt;=4),IF(C248="peso_corporal",IF(ISNUMBER(E248),E248,0)+F248,F248)*G248*1000+F248,0)=W248,1,0))))))</f>
        <v>0</v>
      </c>
      <c r="Y248" s="69">
        <f>MAX(IF((G248&gt;0)*(IF(H248="",-1,H248)=0)*(1-(IF(H248="",-1,H248)&gt;=3)*(IF(H248="",-1,H248)&lt;=4)),IF(C248="peso_corporal",IF(ISNUMBER(E248),E248,0)+F248,F248)*G248*1000+F248,0),IF((J248&gt;0)*(IF(K248="",-1,K248)=0)*(1-(IF(K248="",-1,K248)&gt;=3)*(IF(K248="",-1,K248)&lt;=4)),IF(C248="peso_corporal",IF(ISNUMBER(E248),E248,0)+I248,I248)*J248*1000+I248,0),IF((M248&gt;0)*(IF(N248="",-1,N248)=0)*(1-(IF(N248="",-1,N248)&gt;=3)*(IF(N248="",-1,N248)&lt;=4)),IF(C248="peso_corporal",IF(ISNUMBER(E248),E248,0)+L248,L248)*M248*1000+L248,0),IF((P248&gt;0)*(IF(Q248="",-1,Q248)=0)*(1-(IF(Q248="",-1,Q248)&gt;=3)*(IF(Q248="",-1,Q248)&lt;=4)),IF(C248="peso_corporal",IF(ISNUMBER(E248),E248,0)+O248,O248)*P248*1000+O248,0),IF((S248&gt;0)*(IF(T248="",-1,T248)=0)*(1-(IF(T248="",-1,T248)&gt;=3)*(IF(T248="",-1,T248)&lt;=4)),IF(C248="peso_corporal",IF(ISNUMBER(E248),E248,0)+R248,R248)*S248*1000+R248,0))</f>
        <v>0</v>
      </c>
      <c r="Z248" s="69">
        <f>IF(Y248=0,0,IF(IF((S248&gt;0)*(IF(T248="",-1,T248)=0)*(1-(IF(T248="",-1,T248)&gt;=3)*(IF(T248="",-1,T248)&lt;=4)),IF(C248="peso_corporal",IF(ISNUMBER(E248),E248,0)+R248,R248)*S248*1000+R248,0)=Y248,5,IF(IF((P248&gt;0)*(IF(Q248="",-1,Q248)=0)*(1-(IF(Q248="",-1,Q248)&gt;=3)*(IF(Q248="",-1,Q248)&lt;=4)),IF(C248="peso_corporal",IF(ISNUMBER(E248),E248,0)+O248,O248)*P248*1000+O248,0)=Y248,4,IF(IF((M248&gt;0)*(IF(N248="",-1,N248)=0)*(1-(IF(N248="",-1,N248)&gt;=3)*(IF(N248="",-1,N248)&lt;=4)),IF(C248="peso_corporal",IF(ISNUMBER(E248),E248,0)+L248,L248)*M248*1000+L248,0)=Y248,3,IF(IF((J248&gt;0)*(IF(K248="",-1,K248)=0)*(1-(IF(K248="",-1,K248)&gt;=3)*(IF(K248="",-1,K248)&lt;=4)),IF(C248="peso_corporal",IF(ISNUMBER(E248),E248,0)+I248,I248)*J248*1000+I248,0)=Y248,2,IF(IF((G248&gt;0)*(IF(H248="",-1,H248)=0)*(1-(IF(H248="",-1,H248)&gt;=3)*(IF(H248="",-1,H248)&lt;=4)),IF(C248="peso_corporal",IF(ISNUMBER(E248),E248,0)+F248,F248)*G248*1000+F248,0)=Y248,1,0))))))</f>
        <v>0</v>
      </c>
      <c r="AA248" s="69">
        <f>MAX(IF((G248&gt;=12)*(1-(IF(H248="",-1,H248)&gt;=3)*(IF(H248="",-1,H248)&lt;=4))*(1-(IF(H248="",-1,H248)=0)),IF(C248="peso_corporal",IF(ISNUMBER(E248),E248,0)+F248,F248)*(30+G248)*100+F248,0),IF((J248&gt;=12)*(1-(IF(K248="",-1,K248)&gt;=3)*(IF(K248="",-1,K248)&lt;=4))*(1-(IF(K248="",-1,K248)=0)),IF(C248="peso_corporal",IF(ISNUMBER(E248),E248,0)+I248,I248)*(30+J248)*100+I248,0),IF((M248&gt;=12)*(1-(IF(N248="",-1,N248)&gt;=3)*(IF(N248="",-1,N248)&lt;=4))*(1-(IF(N248="",-1,N248)=0)),IF(C248="peso_corporal",IF(ISNUMBER(E248),E248,0)+L248,L248)*(30+M248)*100+L248,0),IF((P248&gt;=12)*(1-(IF(Q248="",-1,Q248)&gt;=3)*(IF(Q248="",-1,Q248)&lt;=4))*(1-(IF(Q248="",-1,Q248)=0)),IF(C248="peso_corporal",IF(ISNUMBER(E248),E248,0)+O248,O248)*(30+P248)*100+O248,0),IF((S248&gt;=12)*(1-(IF(T248="",-1,T248)&gt;=3)*(IF(T248="",-1,T248)&lt;=4))*(1-(IF(T248="",-1,T248)=0)),IF(C248="peso_corporal",IF(ISNUMBER(E248),E248,0)+R248,R248)*(30+S248)*100+R248,0))</f>
        <v>0</v>
      </c>
      <c r="AB248" s="69">
        <f>IF(AA248=0,0,IF(IF((S248&gt;=12)*(1-(IF(T248="",-1,T248)&gt;=3)*(IF(T248="",-1,T248)&lt;=4))*(1-(IF(T248="",-1,T248)=0)),IF(C248="peso_corporal",IF(ISNUMBER(E248),E248,0)+R248,R248)*(30+S248)*100+R248,0)=AA248,5,IF(IF((P248&gt;=12)*(1-(IF(Q248="",-1,Q248)&gt;=3)*(IF(Q248="",-1,Q248)&lt;=4))*(1-(IF(Q248="",-1,Q248)=0)),IF(C248="peso_corporal",IF(ISNUMBER(E248),E248,0)+O248,O248)*(30+P248)*100+O248,0)=AA248,4,IF(IF((M248&gt;=12)*(1-(IF(N248="",-1,N248)&gt;=3)*(IF(N248="",-1,N248)&lt;=4))*(1-(IF(N248="",-1,N248)=0)),IF(C248="peso_corporal",IF(ISNUMBER(E248),E248,0)+L248,L248)*(30+M248)*100+L248,0)=AA248,3,IF(IF((J248&gt;=12)*(1-(IF(K248="",-1,K248)&gt;=3)*(IF(K248="",-1,K248)&lt;=4))*(1-(IF(K248="",-1,K248)=0)),IF(C248="peso_corporal",IF(ISNUMBER(E248),E248,0)+I248,I248)*(30+J248)*100+I248,0)=AA248,2,IF(IF((G248&gt;=12)*(1-(IF(H248="",-1,H248)&gt;=3)*(IF(H248="",-1,H248)&lt;=4))*(1-(IF(H248="",-1,H248)=0)),IF(C248="peso_corporal",IF(ISNUMBER(E248),E248,0)+F248,F248)*(30+G248)*100+F248,0)=AA248,1,0))))))</f>
        <v>0</v>
      </c>
      <c r="AC248" s="69" t="str">
        <f>IF(X248&gt;0,"A"&amp;X248,IF(Z248&gt;0,"B"&amp;Z248,IF(AB248&gt;0,"C"&amp;AB248,"")))</f>
        <v/>
      </c>
    </row>
    <row r="249" spans="1:29" ht="15" customHeight="1">
      <c r="A249" s="81" t="s">
        <v>53</v>
      </c>
      <c r="B249" s="73"/>
      <c r="C249" s="73"/>
      <c r="D249" s="73"/>
      <c r="E249" s="73"/>
      <c r="F249" s="73"/>
      <c r="G249" s="73"/>
      <c r="H249" s="73"/>
      <c r="I249" s="73"/>
      <c r="J249" s="73"/>
      <c r="K249" s="73"/>
      <c r="L249" s="73"/>
      <c r="M249" s="73"/>
      <c r="N249" s="73"/>
      <c r="O249" s="73"/>
      <c r="P249" s="73"/>
      <c r="Q249" s="73"/>
      <c r="R249" s="73"/>
      <c r="S249" s="73"/>
      <c r="T249" s="73"/>
      <c r="U249" s="73"/>
      <c r="V249" s="73"/>
      <c r="W249" s="69"/>
      <c r="X249" s="69"/>
      <c r="Y249" s="69"/>
      <c r="Z249" s="69"/>
      <c r="AA249" s="69"/>
      <c r="AB249" s="69"/>
      <c r="AC249" s="69"/>
    </row>
    <row r="250" spans="1:29" ht="20.100000000000001" customHeight="1">
      <c r="A250" s="14" t="s">
        <v>54</v>
      </c>
      <c r="B250" s="15" t="s">
        <v>67</v>
      </c>
      <c r="C250" s="16" t="str">
        <f>IFERROR(INDEX(EJERCICIOS!$D$3:$D$75,MATCH(A250&amp;"|"&amp;B250,EJERCICIOS!$G$3:$G$75,0)),"--")</f>
        <v>mancuerna</v>
      </c>
      <c r="D250" s="17">
        <v>3</v>
      </c>
      <c r="E250" s="18">
        <f>IFERROR(LOOKUP(2,1/(MEDIDAS_Y_PESO!$B$3:$B$14&lt;&gt;""),MEDIDAS_Y_PESO!$B$3:$B$14),"--")</f>
        <v>80</v>
      </c>
      <c r="F250" s="19"/>
      <c r="G250" s="20"/>
      <c r="H250" s="21"/>
      <c r="I250" s="19"/>
      <c r="J250" s="20"/>
      <c r="K250" s="21"/>
      <c r="L250" s="19"/>
      <c r="M250" s="20"/>
      <c r="N250" s="21"/>
      <c r="O250" s="19"/>
      <c r="P250" s="20"/>
      <c r="Q250" s="21"/>
      <c r="R250" s="19"/>
      <c r="S250" s="20"/>
      <c r="T250" s="21"/>
      <c r="U250" s="22" t="str">
        <f>IFERROR(IF(IF(X250&gt;0,X250,IF(Z250&gt;0,Z250,IF(AB250&gt;0,AB250,0)))=0,"--",ROUND(CHOOSE(IF(X250&gt;0,X250,IF(Z250&gt;0,Z250,IF(AB250&gt;0,AB250,0))),IF(C250="peso_corporal",IF(ISNUMBER(E250),E250,0)+F250,F250)*(1+G250/30),IF(C250="peso_corporal",IF(ISNUMBER(E250),E250,0)+I250,I250)*(1+J250/30),IF(C250="peso_corporal",IF(ISNUMBER(E250),E250,0)+L250,L250)*(1+M250/30),IF(C250="peso_corporal",IF(ISNUMBER(E250),E250,0)+O250,O250)*(1+P250/30),IF(C250="peso_corporal",IF(ISNUMBER(E250),E250,0)+R250,R250)*(1+S250/30)),1)),"--")</f>
        <v>--</v>
      </c>
      <c r="V250" s="23" t="str">
        <f>IF(SUGERENCIAS!N712="SIN","Sin datos anteriores",IF(SUGERENCIAS!N712="SUBIR_F","^ SUBIR FUERTE | Kg:"&amp;ROUND(SUGERENCIAS!K712,1)&amp;" R:"&amp;ROUND(SUGERENCIAS!L712,0)&amp;" RIR:"&amp;ROUND(SUGERENCIAS!M712,0),IF(SUGERENCIAS!N712="SUBIR_E","^ SUBIR (Est.) | Kg:"&amp;ROUND(SUGERENCIAS!K712,1)&amp;" R:"&amp;ROUND(SUGERENCIAS!L712,0)&amp;" RIR:"&amp;ROUND(SUGERENCIAS!M712,0),IF(SUGERENCIAS!N712="SUBIR","^ SUBIR | Kg:"&amp;ROUND(SUGERENCIAS!K712,1)&amp;" R:"&amp;ROUND(SUGERENCIAS!L712,0)&amp;" RIR:"&amp;ROUND(SUGERENCIAS!M712,0),IF(SUGERENCIAS!N712="BAJAR","v BAJAR | Kg:"&amp;ROUND(SUGERENCIAS!K712,1)&amp;" R:"&amp;ROUND(SUGERENCIAS!L712,0)&amp;" RIR:"&amp;ROUND(SUGERENCIAS!M712,0),"= MANT | Kg:"&amp;ROUND(SUGERENCIAS!K712,1)&amp;" R:"&amp;ROUND(SUGERENCIAS!L712,0)&amp;" RIR:"&amp;ROUND(SUGERENCIAS!M712,0))))))</f>
        <v>Sin datos anteriores</v>
      </c>
      <c r="W250" s="69">
        <f>MAX(IF((G250&gt;0)*(IF(H250="",-1,H250)&gt;=3)*(IF(H250="",-1,H250)&lt;=4),IF(C250="peso_corporal",IF(ISNUMBER(E250),E250,0)+F250,F250)*G250*1000+F250,0),IF((J250&gt;0)*(IF(K250="",-1,K250)&gt;=3)*(IF(K250="",-1,K250)&lt;=4),IF(C250="peso_corporal",IF(ISNUMBER(E250),E250,0)+I250,I250)*J250*1000+I250,0),IF((M250&gt;0)*(IF(N250="",-1,N250)&gt;=3)*(IF(N250="",-1,N250)&lt;=4),IF(C250="peso_corporal",IF(ISNUMBER(E250),E250,0)+L250,L250)*M250*1000+L250,0),IF((P250&gt;0)*(IF(Q250="",-1,Q250)&gt;=3)*(IF(Q250="",-1,Q250)&lt;=4),IF(C250="peso_corporal",IF(ISNUMBER(E250),E250,0)+O250,O250)*P250*1000+O250,0),IF((S250&gt;0)*(IF(T250="",-1,T250)&gt;=3)*(IF(T250="",-1,T250)&lt;=4),IF(C250="peso_corporal",IF(ISNUMBER(E250),E250,0)+R250,R250)*S250*1000+R250,0))</f>
        <v>0</v>
      </c>
      <c r="X250" s="69">
        <f>IF(W250=0,0,IF(IF((S250&gt;0)*(IF(T250="",-1,T250)&gt;=3)*(IF(T250="",-1,T250)&lt;=4),IF(C250="peso_corporal",IF(ISNUMBER(E250),E250,0)+R250,R250)*S250*1000+R250,0)=W250,5,IF(IF((P250&gt;0)*(IF(Q250="",-1,Q250)&gt;=3)*(IF(Q250="",-1,Q250)&lt;=4),IF(C250="peso_corporal",IF(ISNUMBER(E250),E250,0)+O250,O250)*P250*1000+O250,0)=W250,4,IF(IF((M250&gt;0)*(IF(N250="",-1,N250)&gt;=3)*(IF(N250="",-1,N250)&lt;=4),IF(C250="peso_corporal",IF(ISNUMBER(E250),E250,0)+L250,L250)*M250*1000+L250,0)=W250,3,IF(IF((J250&gt;0)*(IF(K250="",-1,K250)&gt;=3)*(IF(K250="",-1,K250)&lt;=4),IF(C250="peso_corporal",IF(ISNUMBER(E250),E250,0)+I250,I250)*J250*1000+I250,0)=W250,2,IF(IF((G250&gt;0)*(IF(H250="",-1,H250)&gt;=3)*(IF(H250="",-1,H250)&lt;=4),IF(C250="peso_corporal",IF(ISNUMBER(E250),E250,0)+F250,F250)*G250*1000+F250,0)=W250,1,0))))))</f>
        <v>0</v>
      </c>
      <c r="Y250" s="69">
        <f>MAX(IF((G250&gt;0)*(IF(H250="",-1,H250)=0)*(1-(IF(H250="",-1,H250)&gt;=3)*(IF(H250="",-1,H250)&lt;=4)),IF(C250="peso_corporal",IF(ISNUMBER(E250),E250,0)+F250,F250)*G250*1000+F250,0),IF((J250&gt;0)*(IF(K250="",-1,K250)=0)*(1-(IF(K250="",-1,K250)&gt;=3)*(IF(K250="",-1,K250)&lt;=4)),IF(C250="peso_corporal",IF(ISNUMBER(E250),E250,0)+I250,I250)*J250*1000+I250,0),IF((M250&gt;0)*(IF(N250="",-1,N250)=0)*(1-(IF(N250="",-1,N250)&gt;=3)*(IF(N250="",-1,N250)&lt;=4)),IF(C250="peso_corporal",IF(ISNUMBER(E250),E250,0)+L250,L250)*M250*1000+L250,0),IF((P250&gt;0)*(IF(Q250="",-1,Q250)=0)*(1-(IF(Q250="",-1,Q250)&gt;=3)*(IF(Q250="",-1,Q250)&lt;=4)),IF(C250="peso_corporal",IF(ISNUMBER(E250),E250,0)+O250,O250)*P250*1000+O250,0),IF((S250&gt;0)*(IF(T250="",-1,T250)=0)*(1-(IF(T250="",-1,T250)&gt;=3)*(IF(T250="",-1,T250)&lt;=4)),IF(C250="peso_corporal",IF(ISNUMBER(E250),E250,0)+R250,R250)*S250*1000+R250,0))</f>
        <v>0</v>
      </c>
      <c r="Z250" s="69">
        <f>IF(Y250=0,0,IF(IF((S250&gt;0)*(IF(T250="",-1,T250)=0)*(1-(IF(T250="",-1,T250)&gt;=3)*(IF(T250="",-1,T250)&lt;=4)),IF(C250="peso_corporal",IF(ISNUMBER(E250),E250,0)+R250,R250)*S250*1000+R250,0)=Y250,5,IF(IF((P250&gt;0)*(IF(Q250="",-1,Q250)=0)*(1-(IF(Q250="",-1,Q250)&gt;=3)*(IF(Q250="",-1,Q250)&lt;=4)),IF(C250="peso_corporal",IF(ISNUMBER(E250),E250,0)+O250,O250)*P250*1000+O250,0)=Y250,4,IF(IF((M250&gt;0)*(IF(N250="",-1,N250)=0)*(1-(IF(N250="",-1,N250)&gt;=3)*(IF(N250="",-1,N250)&lt;=4)),IF(C250="peso_corporal",IF(ISNUMBER(E250),E250,0)+L250,L250)*M250*1000+L250,0)=Y250,3,IF(IF((J250&gt;0)*(IF(K250="",-1,K250)=0)*(1-(IF(K250="",-1,K250)&gt;=3)*(IF(K250="",-1,K250)&lt;=4)),IF(C250="peso_corporal",IF(ISNUMBER(E250),E250,0)+I250,I250)*J250*1000+I250,0)=Y250,2,IF(IF((G250&gt;0)*(IF(H250="",-1,H250)=0)*(1-(IF(H250="",-1,H250)&gt;=3)*(IF(H250="",-1,H250)&lt;=4)),IF(C250="peso_corporal",IF(ISNUMBER(E250),E250,0)+F250,F250)*G250*1000+F250,0)=Y250,1,0))))))</f>
        <v>0</v>
      </c>
      <c r="AA250" s="69">
        <f>MAX(IF((G250&gt;=12)*(1-(IF(H250="",-1,H250)&gt;=3)*(IF(H250="",-1,H250)&lt;=4))*(1-(IF(H250="",-1,H250)=0)),IF(C250="peso_corporal",IF(ISNUMBER(E250),E250,0)+F250,F250)*(30+G250)*100+F250,0),IF((J250&gt;=12)*(1-(IF(K250="",-1,K250)&gt;=3)*(IF(K250="",-1,K250)&lt;=4))*(1-(IF(K250="",-1,K250)=0)),IF(C250="peso_corporal",IF(ISNUMBER(E250),E250,0)+I250,I250)*(30+J250)*100+I250,0),IF((M250&gt;=12)*(1-(IF(N250="",-1,N250)&gt;=3)*(IF(N250="",-1,N250)&lt;=4))*(1-(IF(N250="",-1,N250)=0)),IF(C250="peso_corporal",IF(ISNUMBER(E250),E250,0)+L250,L250)*(30+M250)*100+L250,0),IF((P250&gt;=12)*(1-(IF(Q250="",-1,Q250)&gt;=3)*(IF(Q250="",-1,Q250)&lt;=4))*(1-(IF(Q250="",-1,Q250)=0)),IF(C250="peso_corporal",IF(ISNUMBER(E250),E250,0)+O250,O250)*(30+P250)*100+O250,0),IF((S250&gt;=12)*(1-(IF(T250="",-1,T250)&gt;=3)*(IF(T250="",-1,T250)&lt;=4))*(1-(IF(T250="",-1,T250)=0)),IF(C250="peso_corporal",IF(ISNUMBER(E250),E250,0)+R250,R250)*(30+S250)*100+R250,0))</f>
        <v>0</v>
      </c>
      <c r="AB250" s="69">
        <f>IF(AA250=0,0,IF(IF((S250&gt;=12)*(1-(IF(T250="",-1,T250)&gt;=3)*(IF(T250="",-1,T250)&lt;=4))*(1-(IF(T250="",-1,T250)=0)),IF(C250="peso_corporal",IF(ISNUMBER(E250),E250,0)+R250,R250)*(30+S250)*100+R250,0)=AA250,5,IF(IF((P250&gt;=12)*(1-(IF(Q250="",-1,Q250)&gt;=3)*(IF(Q250="",-1,Q250)&lt;=4))*(1-(IF(Q250="",-1,Q250)=0)),IF(C250="peso_corporal",IF(ISNUMBER(E250),E250,0)+O250,O250)*(30+P250)*100+O250,0)=AA250,4,IF(IF((M250&gt;=12)*(1-(IF(N250="",-1,N250)&gt;=3)*(IF(N250="",-1,N250)&lt;=4))*(1-(IF(N250="",-1,N250)=0)),IF(C250="peso_corporal",IF(ISNUMBER(E250),E250,0)+L250,L250)*(30+M250)*100+L250,0)=AA250,3,IF(IF((J250&gt;=12)*(1-(IF(K250="",-1,K250)&gt;=3)*(IF(K250="",-1,K250)&lt;=4))*(1-(IF(K250="",-1,K250)=0)),IF(C250="peso_corporal",IF(ISNUMBER(E250),E250,0)+I250,I250)*(30+J250)*100+I250,0)=AA250,2,IF(IF((G250&gt;=12)*(1-(IF(H250="",-1,H250)&gt;=3)*(IF(H250="",-1,H250)&lt;=4))*(1-(IF(H250="",-1,H250)=0)),IF(C250="peso_corporal",IF(ISNUMBER(E250),E250,0)+F250,F250)*(30+G250)*100+F250,0)=AA250,1,0))))))</f>
        <v>0</v>
      </c>
      <c r="AC250" s="69" t="str">
        <f>IF(X250&gt;0,"A"&amp;X250,IF(Z250&gt;0,"B"&amp;Z250,IF(AB250&gt;0,"C"&amp;AB250,"")))</f>
        <v/>
      </c>
    </row>
    <row r="251" spans="1:29" ht="20.100000000000001" customHeight="1">
      <c r="A251" s="14" t="s">
        <v>54</v>
      </c>
      <c r="B251" s="15" t="s">
        <v>98</v>
      </c>
      <c r="C251" s="16" t="str">
        <f>IFERROR(INDEX(EJERCICIOS!$D$3:$D$75,MATCH(A251&amp;"|"&amp;B251,EJERCICIOS!$G$3:$G$75,0)),"--")</f>
        <v>polea</v>
      </c>
      <c r="D251" s="17">
        <v>3</v>
      </c>
      <c r="E251" s="18">
        <f>IFERROR(LOOKUP(2,1/(MEDIDAS_Y_PESO!$B$3:$B$14&lt;&gt;""),MEDIDAS_Y_PESO!$B$3:$B$14),"--")</f>
        <v>80</v>
      </c>
      <c r="F251" s="19"/>
      <c r="G251" s="20"/>
      <c r="H251" s="21"/>
      <c r="I251" s="19"/>
      <c r="J251" s="20"/>
      <c r="K251" s="21"/>
      <c r="L251" s="19"/>
      <c r="M251" s="20"/>
      <c r="N251" s="21"/>
      <c r="O251" s="19"/>
      <c r="P251" s="20"/>
      <c r="Q251" s="21"/>
      <c r="R251" s="19"/>
      <c r="S251" s="20"/>
      <c r="T251" s="21"/>
      <c r="U251" s="22" t="str">
        <f>IFERROR(IF(IF(X251&gt;0,X251,IF(Z251&gt;0,Z251,IF(AB251&gt;0,AB251,0)))=0,"--",ROUND(CHOOSE(IF(X251&gt;0,X251,IF(Z251&gt;0,Z251,IF(AB251&gt;0,AB251,0))),IF(C251="peso_corporal",IF(ISNUMBER(E251),E251,0)+F251,F251)*(1+G251/30),IF(C251="peso_corporal",IF(ISNUMBER(E251),E251,0)+I251,I251)*(1+J251/30),IF(C251="peso_corporal",IF(ISNUMBER(E251),E251,0)+L251,L251)*(1+M251/30),IF(C251="peso_corporal",IF(ISNUMBER(E251),E251,0)+O251,O251)*(1+P251/30),IF(C251="peso_corporal",IF(ISNUMBER(E251),E251,0)+R251,R251)*(1+S251/30)),1)),"--")</f>
        <v>--</v>
      </c>
      <c r="V251" s="23" t="str">
        <f>IF(SUGERENCIAS!N713="SIN","Sin datos anteriores",IF(SUGERENCIAS!N713="SUBIR_F","^ SUBIR FUERTE | Kg:"&amp;ROUND(SUGERENCIAS!K713,1)&amp;" R:"&amp;ROUND(SUGERENCIAS!L713,0)&amp;" RIR:"&amp;ROUND(SUGERENCIAS!M713,0),IF(SUGERENCIAS!N713="SUBIR_E","^ SUBIR (Est.) | Kg:"&amp;ROUND(SUGERENCIAS!K713,1)&amp;" R:"&amp;ROUND(SUGERENCIAS!L713,0)&amp;" RIR:"&amp;ROUND(SUGERENCIAS!M713,0),IF(SUGERENCIAS!N713="SUBIR","^ SUBIR | Kg:"&amp;ROUND(SUGERENCIAS!K713,1)&amp;" R:"&amp;ROUND(SUGERENCIAS!L713,0)&amp;" RIR:"&amp;ROUND(SUGERENCIAS!M713,0),IF(SUGERENCIAS!N713="BAJAR","v BAJAR | Kg:"&amp;ROUND(SUGERENCIAS!K713,1)&amp;" R:"&amp;ROUND(SUGERENCIAS!L713,0)&amp;" RIR:"&amp;ROUND(SUGERENCIAS!M713,0),"= MANT | Kg:"&amp;ROUND(SUGERENCIAS!K713,1)&amp;" R:"&amp;ROUND(SUGERENCIAS!L713,0)&amp;" RIR:"&amp;ROUND(SUGERENCIAS!M713,0))))))</f>
        <v>Sin datos anteriores</v>
      </c>
      <c r="W251" s="69">
        <f>MAX(IF((G251&gt;0)*(IF(H251="",-1,H251)&gt;=3)*(IF(H251="",-1,H251)&lt;=4),IF(C251="peso_corporal",IF(ISNUMBER(E251),E251,0)+F251,F251)*G251*1000+F251,0),IF((J251&gt;0)*(IF(K251="",-1,K251)&gt;=3)*(IF(K251="",-1,K251)&lt;=4),IF(C251="peso_corporal",IF(ISNUMBER(E251),E251,0)+I251,I251)*J251*1000+I251,0),IF((M251&gt;0)*(IF(N251="",-1,N251)&gt;=3)*(IF(N251="",-1,N251)&lt;=4),IF(C251="peso_corporal",IF(ISNUMBER(E251),E251,0)+L251,L251)*M251*1000+L251,0),IF((P251&gt;0)*(IF(Q251="",-1,Q251)&gt;=3)*(IF(Q251="",-1,Q251)&lt;=4),IF(C251="peso_corporal",IF(ISNUMBER(E251),E251,0)+O251,O251)*P251*1000+O251,0),IF((S251&gt;0)*(IF(T251="",-1,T251)&gt;=3)*(IF(T251="",-1,T251)&lt;=4),IF(C251="peso_corporal",IF(ISNUMBER(E251),E251,0)+R251,R251)*S251*1000+R251,0))</f>
        <v>0</v>
      </c>
      <c r="X251" s="69">
        <f>IF(W251=0,0,IF(IF((S251&gt;0)*(IF(T251="",-1,T251)&gt;=3)*(IF(T251="",-1,T251)&lt;=4),IF(C251="peso_corporal",IF(ISNUMBER(E251),E251,0)+R251,R251)*S251*1000+R251,0)=W251,5,IF(IF((P251&gt;0)*(IF(Q251="",-1,Q251)&gt;=3)*(IF(Q251="",-1,Q251)&lt;=4),IF(C251="peso_corporal",IF(ISNUMBER(E251),E251,0)+O251,O251)*P251*1000+O251,0)=W251,4,IF(IF((M251&gt;0)*(IF(N251="",-1,N251)&gt;=3)*(IF(N251="",-1,N251)&lt;=4),IF(C251="peso_corporal",IF(ISNUMBER(E251),E251,0)+L251,L251)*M251*1000+L251,0)=W251,3,IF(IF((J251&gt;0)*(IF(K251="",-1,K251)&gt;=3)*(IF(K251="",-1,K251)&lt;=4),IF(C251="peso_corporal",IF(ISNUMBER(E251),E251,0)+I251,I251)*J251*1000+I251,0)=W251,2,IF(IF((G251&gt;0)*(IF(H251="",-1,H251)&gt;=3)*(IF(H251="",-1,H251)&lt;=4),IF(C251="peso_corporal",IF(ISNUMBER(E251),E251,0)+F251,F251)*G251*1000+F251,0)=W251,1,0))))))</f>
        <v>0</v>
      </c>
      <c r="Y251" s="69">
        <f>MAX(IF((G251&gt;0)*(IF(H251="",-1,H251)=0)*(1-(IF(H251="",-1,H251)&gt;=3)*(IF(H251="",-1,H251)&lt;=4)),IF(C251="peso_corporal",IF(ISNUMBER(E251),E251,0)+F251,F251)*G251*1000+F251,0),IF((J251&gt;0)*(IF(K251="",-1,K251)=0)*(1-(IF(K251="",-1,K251)&gt;=3)*(IF(K251="",-1,K251)&lt;=4)),IF(C251="peso_corporal",IF(ISNUMBER(E251),E251,0)+I251,I251)*J251*1000+I251,0),IF((M251&gt;0)*(IF(N251="",-1,N251)=0)*(1-(IF(N251="",-1,N251)&gt;=3)*(IF(N251="",-1,N251)&lt;=4)),IF(C251="peso_corporal",IF(ISNUMBER(E251),E251,0)+L251,L251)*M251*1000+L251,0),IF((P251&gt;0)*(IF(Q251="",-1,Q251)=0)*(1-(IF(Q251="",-1,Q251)&gt;=3)*(IF(Q251="",-1,Q251)&lt;=4)),IF(C251="peso_corporal",IF(ISNUMBER(E251),E251,0)+O251,O251)*P251*1000+O251,0),IF((S251&gt;0)*(IF(T251="",-1,T251)=0)*(1-(IF(T251="",-1,T251)&gt;=3)*(IF(T251="",-1,T251)&lt;=4)),IF(C251="peso_corporal",IF(ISNUMBER(E251),E251,0)+R251,R251)*S251*1000+R251,0))</f>
        <v>0</v>
      </c>
      <c r="Z251" s="69">
        <f>IF(Y251=0,0,IF(IF((S251&gt;0)*(IF(T251="",-1,T251)=0)*(1-(IF(T251="",-1,T251)&gt;=3)*(IF(T251="",-1,T251)&lt;=4)),IF(C251="peso_corporal",IF(ISNUMBER(E251),E251,0)+R251,R251)*S251*1000+R251,0)=Y251,5,IF(IF((P251&gt;0)*(IF(Q251="",-1,Q251)=0)*(1-(IF(Q251="",-1,Q251)&gt;=3)*(IF(Q251="",-1,Q251)&lt;=4)),IF(C251="peso_corporal",IF(ISNUMBER(E251),E251,0)+O251,O251)*P251*1000+O251,0)=Y251,4,IF(IF((M251&gt;0)*(IF(N251="",-1,N251)=0)*(1-(IF(N251="",-1,N251)&gt;=3)*(IF(N251="",-1,N251)&lt;=4)),IF(C251="peso_corporal",IF(ISNUMBER(E251),E251,0)+L251,L251)*M251*1000+L251,0)=Y251,3,IF(IF((J251&gt;0)*(IF(K251="",-1,K251)=0)*(1-(IF(K251="",-1,K251)&gt;=3)*(IF(K251="",-1,K251)&lt;=4)),IF(C251="peso_corporal",IF(ISNUMBER(E251),E251,0)+I251,I251)*J251*1000+I251,0)=Y251,2,IF(IF((G251&gt;0)*(IF(H251="",-1,H251)=0)*(1-(IF(H251="",-1,H251)&gt;=3)*(IF(H251="",-1,H251)&lt;=4)),IF(C251="peso_corporal",IF(ISNUMBER(E251),E251,0)+F251,F251)*G251*1000+F251,0)=Y251,1,0))))))</f>
        <v>0</v>
      </c>
      <c r="AA251" s="69">
        <f>MAX(IF((G251&gt;=12)*(1-(IF(H251="",-1,H251)&gt;=3)*(IF(H251="",-1,H251)&lt;=4))*(1-(IF(H251="",-1,H251)=0)),IF(C251="peso_corporal",IF(ISNUMBER(E251),E251,0)+F251,F251)*(30+G251)*100+F251,0),IF((J251&gt;=12)*(1-(IF(K251="",-1,K251)&gt;=3)*(IF(K251="",-1,K251)&lt;=4))*(1-(IF(K251="",-1,K251)=0)),IF(C251="peso_corporal",IF(ISNUMBER(E251),E251,0)+I251,I251)*(30+J251)*100+I251,0),IF((M251&gt;=12)*(1-(IF(N251="",-1,N251)&gt;=3)*(IF(N251="",-1,N251)&lt;=4))*(1-(IF(N251="",-1,N251)=0)),IF(C251="peso_corporal",IF(ISNUMBER(E251),E251,0)+L251,L251)*(30+M251)*100+L251,0),IF((P251&gt;=12)*(1-(IF(Q251="",-1,Q251)&gt;=3)*(IF(Q251="",-1,Q251)&lt;=4))*(1-(IF(Q251="",-1,Q251)=0)),IF(C251="peso_corporal",IF(ISNUMBER(E251),E251,0)+O251,O251)*(30+P251)*100+O251,0),IF((S251&gt;=12)*(1-(IF(T251="",-1,T251)&gt;=3)*(IF(T251="",-1,T251)&lt;=4))*(1-(IF(T251="",-1,T251)=0)),IF(C251="peso_corporal",IF(ISNUMBER(E251),E251,0)+R251,R251)*(30+S251)*100+R251,0))</f>
        <v>0</v>
      </c>
      <c r="AB251" s="69">
        <f>IF(AA251=0,0,IF(IF((S251&gt;=12)*(1-(IF(T251="",-1,T251)&gt;=3)*(IF(T251="",-1,T251)&lt;=4))*(1-(IF(T251="",-1,T251)=0)),IF(C251="peso_corporal",IF(ISNUMBER(E251),E251,0)+R251,R251)*(30+S251)*100+R251,0)=AA251,5,IF(IF((P251&gt;=12)*(1-(IF(Q251="",-1,Q251)&gt;=3)*(IF(Q251="",-1,Q251)&lt;=4))*(1-(IF(Q251="",-1,Q251)=0)),IF(C251="peso_corporal",IF(ISNUMBER(E251),E251,0)+O251,O251)*(30+P251)*100+O251,0)=AA251,4,IF(IF((M251&gt;=12)*(1-(IF(N251="",-1,N251)&gt;=3)*(IF(N251="",-1,N251)&lt;=4))*(1-(IF(N251="",-1,N251)=0)),IF(C251="peso_corporal",IF(ISNUMBER(E251),E251,0)+L251,L251)*(30+M251)*100+L251,0)=AA251,3,IF(IF((J251&gt;=12)*(1-(IF(K251="",-1,K251)&gt;=3)*(IF(K251="",-1,K251)&lt;=4))*(1-(IF(K251="",-1,K251)=0)),IF(C251="peso_corporal",IF(ISNUMBER(E251),E251,0)+I251,I251)*(30+J251)*100+I251,0)=AA251,2,IF(IF((G251&gt;=12)*(1-(IF(H251="",-1,H251)&gt;=3)*(IF(H251="",-1,H251)&lt;=4))*(1-(IF(H251="",-1,H251)=0)),IF(C251="peso_corporal",IF(ISNUMBER(E251),E251,0)+F251,F251)*(30+G251)*100+F251,0)=AA251,1,0))))))</f>
        <v>0</v>
      </c>
      <c r="AC251" s="69" t="str">
        <f>IF(X251&gt;0,"A"&amp;X251,IF(Z251&gt;0,"B"&amp;Z251,IF(AB251&gt;0,"C"&amp;AB251,"")))</f>
        <v/>
      </c>
    </row>
    <row r="252" spans="1:29" ht="15" customHeight="1">
      <c r="A252" s="83" t="s">
        <v>99</v>
      </c>
      <c r="B252" s="73"/>
      <c r="C252" s="73"/>
      <c r="D252" s="73"/>
      <c r="E252" s="73"/>
      <c r="F252" s="73"/>
      <c r="G252" s="73"/>
      <c r="H252" s="73"/>
      <c r="I252" s="73"/>
      <c r="J252" s="73"/>
      <c r="K252" s="73"/>
      <c r="L252" s="73"/>
      <c r="M252" s="73"/>
      <c r="N252" s="73"/>
      <c r="O252" s="73"/>
      <c r="P252" s="73"/>
      <c r="Q252" s="73"/>
      <c r="R252" s="73"/>
      <c r="S252" s="73"/>
      <c r="T252" s="73"/>
      <c r="U252" s="73"/>
      <c r="V252" s="73"/>
      <c r="W252" s="69"/>
      <c r="X252" s="69"/>
      <c r="Y252" s="69"/>
      <c r="Z252" s="69"/>
      <c r="AA252" s="69"/>
      <c r="AB252" s="69"/>
      <c r="AC252" s="69"/>
    </row>
    <row r="253" spans="1:29" ht="20.100000000000001" customHeight="1">
      <c r="A253" s="14" t="s">
        <v>100</v>
      </c>
      <c r="B253" s="15" t="s">
        <v>101</v>
      </c>
      <c r="C253" s="16" t="str">
        <f>IFERROR(INDEX(EJERCICIOS!$D$3:$D$75,MATCH(A253&amp;"|"&amp;B253,EJERCICIOS!$G$3:$G$75,0)),"--")</f>
        <v>mancuerna</v>
      </c>
      <c r="D253" s="17">
        <v>3</v>
      </c>
      <c r="E253" s="18">
        <f>IFERROR(LOOKUP(2,1/(MEDIDAS_Y_PESO!$B$3:$B$14&lt;&gt;""),MEDIDAS_Y_PESO!$B$3:$B$14),"--")</f>
        <v>80</v>
      </c>
      <c r="F253" s="19"/>
      <c r="G253" s="20"/>
      <c r="H253" s="21"/>
      <c r="I253" s="19"/>
      <c r="J253" s="20"/>
      <c r="K253" s="21"/>
      <c r="L253" s="19"/>
      <c r="M253" s="20"/>
      <c r="N253" s="21"/>
      <c r="O253" s="19"/>
      <c r="P253" s="20"/>
      <c r="Q253" s="21"/>
      <c r="R253" s="19"/>
      <c r="S253" s="20"/>
      <c r="T253" s="21"/>
      <c r="U253" s="22" t="str">
        <f>IFERROR(IF(IF(X253&gt;0,X253,IF(Z253&gt;0,Z253,IF(AB253&gt;0,AB253,0)))=0,"--",ROUND(CHOOSE(IF(X253&gt;0,X253,IF(Z253&gt;0,Z253,IF(AB253&gt;0,AB253,0))),IF(C253="peso_corporal",IF(ISNUMBER(E253),E253,0)+F253,F253)*(1+G253/30),IF(C253="peso_corporal",IF(ISNUMBER(E253),E253,0)+I253,I253)*(1+J253/30),IF(C253="peso_corporal",IF(ISNUMBER(E253),E253,0)+L253,L253)*(1+M253/30),IF(C253="peso_corporal",IF(ISNUMBER(E253),E253,0)+O253,O253)*(1+P253/30),IF(C253="peso_corporal",IF(ISNUMBER(E253),E253,0)+R253,R253)*(1+S253/30)),1)),"--")</f>
        <v>--</v>
      </c>
      <c r="V253" s="23" t="str">
        <f>IF(SUGERENCIAS!N714="SIN","Sin datos anteriores",IF(SUGERENCIAS!N714="SUBIR_F","^ SUBIR FUERTE | Kg:"&amp;ROUND(SUGERENCIAS!K714,1)&amp;" R:"&amp;ROUND(SUGERENCIAS!L714,0)&amp;" RIR:"&amp;ROUND(SUGERENCIAS!M714,0),IF(SUGERENCIAS!N714="SUBIR_E","^ SUBIR (Est.) | Kg:"&amp;ROUND(SUGERENCIAS!K714,1)&amp;" R:"&amp;ROUND(SUGERENCIAS!L714,0)&amp;" RIR:"&amp;ROUND(SUGERENCIAS!M714,0),IF(SUGERENCIAS!N714="SUBIR","^ SUBIR | Kg:"&amp;ROUND(SUGERENCIAS!K714,1)&amp;" R:"&amp;ROUND(SUGERENCIAS!L714,0)&amp;" RIR:"&amp;ROUND(SUGERENCIAS!M714,0),IF(SUGERENCIAS!N714="BAJAR","v BAJAR | Kg:"&amp;ROUND(SUGERENCIAS!K714,1)&amp;" R:"&amp;ROUND(SUGERENCIAS!L714,0)&amp;" RIR:"&amp;ROUND(SUGERENCIAS!M714,0),"= MANT | Kg:"&amp;ROUND(SUGERENCIAS!K714,1)&amp;" R:"&amp;ROUND(SUGERENCIAS!L714,0)&amp;" RIR:"&amp;ROUND(SUGERENCIAS!M714,0))))))</f>
        <v>Sin datos anteriores</v>
      </c>
      <c r="W253" s="69">
        <f>MAX(IF((G253&gt;0)*(IF(H253="",-1,H253)&gt;=3)*(IF(H253="",-1,H253)&lt;=4),IF(C253="peso_corporal",IF(ISNUMBER(E253),E253,0)+F253,F253)*G253*1000+F253,0),IF((J253&gt;0)*(IF(K253="",-1,K253)&gt;=3)*(IF(K253="",-1,K253)&lt;=4),IF(C253="peso_corporal",IF(ISNUMBER(E253),E253,0)+I253,I253)*J253*1000+I253,0),IF((M253&gt;0)*(IF(N253="",-1,N253)&gt;=3)*(IF(N253="",-1,N253)&lt;=4),IF(C253="peso_corporal",IF(ISNUMBER(E253),E253,0)+L253,L253)*M253*1000+L253,0),IF((P253&gt;0)*(IF(Q253="",-1,Q253)&gt;=3)*(IF(Q253="",-1,Q253)&lt;=4),IF(C253="peso_corporal",IF(ISNUMBER(E253),E253,0)+O253,O253)*P253*1000+O253,0),IF((S253&gt;0)*(IF(T253="",-1,T253)&gt;=3)*(IF(T253="",-1,T253)&lt;=4),IF(C253="peso_corporal",IF(ISNUMBER(E253),E253,0)+R253,R253)*S253*1000+R253,0))</f>
        <v>0</v>
      </c>
      <c r="X253" s="69">
        <f>IF(W253=0,0,IF(IF((S253&gt;0)*(IF(T253="",-1,T253)&gt;=3)*(IF(T253="",-1,T253)&lt;=4),IF(C253="peso_corporal",IF(ISNUMBER(E253),E253,0)+R253,R253)*S253*1000+R253,0)=W253,5,IF(IF((P253&gt;0)*(IF(Q253="",-1,Q253)&gt;=3)*(IF(Q253="",-1,Q253)&lt;=4),IF(C253="peso_corporal",IF(ISNUMBER(E253),E253,0)+O253,O253)*P253*1000+O253,0)=W253,4,IF(IF((M253&gt;0)*(IF(N253="",-1,N253)&gt;=3)*(IF(N253="",-1,N253)&lt;=4),IF(C253="peso_corporal",IF(ISNUMBER(E253),E253,0)+L253,L253)*M253*1000+L253,0)=W253,3,IF(IF((J253&gt;0)*(IF(K253="",-1,K253)&gt;=3)*(IF(K253="",-1,K253)&lt;=4),IF(C253="peso_corporal",IF(ISNUMBER(E253),E253,0)+I253,I253)*J253*1000+I253,0)=W253,2,IF(IF((G253&gt;0)*(IF(H253="",-1,H253)&gt;=3)*(IF(H253="",-1,H253)&lt;=4),IF(C253="peso_corporal",IF(ISNUMBER(E253),E253,0)+F253,F253)*G253*1000+F253,0)=W253,1,0))))))</f>
        <v>0</v>
      </c>
      <c r="Y253" s="69">
        <f>MAX(IF((G253&gt;0)*(IF(H253="",-1,H253)=0)*(1-(IF(H253="",-1,H253)&gt;=3)*(IF(H253="",-1,H253)&lt;=4)),IF(C253="peso_corporal",IF(ISNUMBER(E253),E253,0)+F253,F253)*G253*1000+F253,0),IF((J253&gt;0)*(IF(K253="",-1,K253)=0)*(1-(IF(K253="",-1,K253)&gt;=3)*(IF(K253="",-1,K253)&lt;=4)),IF(C253="peso_corporal",IF(ISNUMBER(E253),E253,0)+I253,I253)*J253*1000+I253,0),IF((M253&gt;0)*(IF(N253="",-1,N253)=0)*(1-(IF(N253="",-1,N253)&gt;=3)*(IF(N253="",-1,N253)&lt;=4)),IF(C253="peso_corporal",IF(ISNUMBER(E253),E253,0)+L253,L253)*M253*1000+L253,0),IF((P253&gt;0)*(IF(Q253="",-1,Q253)=0)*(1-(IF(Q253="",-1,Q253)&gt;=3)*(IF(Q253="",-1,Q253)&lt;=4)),IF(C253="peso_corporal",IF(ISNUMBER(E253),E253,0)+O253,O253)*P253*1000+O253,0),IF((S253&gt;0)*(IF(T253="",-1,T253)=0)*(1-(IF(T253="",-1,T253)&gt;=3)*(IF(T253="",-1,T253)&lt;=4)),IF(C253="peso_corporal",IF(ISNUMBER(E253),E253,0)+R253,R253)*S253*1000+R253,0))</f>
        <v>0</v>
      </c>
      <c r="Z253" s="69">
        <f>IF(Y253=0,0,IF(IF((S253&gt;0)*(IF(T253="",-1,T253)=0)*(1-(IF(T253="",-1,T253)&gt;=3)*(IF(T253="",-1,T253)&lt;=4)),IF(C253="peso_corporal",IF(ISNUMBER(E253),E253,0)+R253,R253)*S253*1000+R253,0)=Y253,5,IF(IF((P253&gt;0)*(IF(Q253="",-1,Q253)=0)*(1-(IF(Q253="",-1,Q253)&gt;=3)*(IF(Q253="",-1,Q253)&lt;=4)),IF(C253="peso_corporal",IF(ISNUMBER(E253),E253,0)+O253,O253)*P253*1000+O253,0)=Y253,4,IF(IF((M253&gt;0)*(IF(N253="",-1,N253)=0)*(1-(IF(N253="",-1,N253)&gt;=3)*(IF(N253="",-1,N253)&lt;=4)),IF(C253="peso_corporal",IF(ISNUMBER(E253),E253,0)+L253,L253)*M253*1000+L253,0)=Y253,3,IF(IF((J253&gt;0)*(IF(K253="",-1,K253)=0)*(1-(IF(K253="",-1,K253)&gt;=3)*(IF(K253="",-1,K253)&lt;=4)),IF(C253="peso_corporal",IF(ISNUMBER(E253),E253,0)+I253,I253)*J253*1000+I253,0)=Y253,2,IF(IF((G253&gt;0)*(IF(H253="",-1,H253)=0)*(1-(IF(H253="",-1,H253)&gt;=3)*(IF(H253="",-1,H253)&lt;=4)),IF(C253="peso_corporal",IF(ISNUMBER(E253),E253,0)+F253,F253)*G253*1000+F253,0)=Y253,1,0))))))</f>
        <v>0</v>
      </c>
      <c r="AA253" s="69">
        <f>MAX(IF((G253&gt;=12)*(1-(IF(H253="",-1,H253)&gt;=3)*(IF(H253="",-1,H253)&lt;=4))*(1-(IF(H253="",-1,H253)=0)),IF(C253="peso_corporal",IF(ISNUMBER(E253),E253,0)+F253,F253)*(30+G253)*100+F253,0),IF((J253&gt;=12)*(1-(IF(K253="",-1,K253)&gt;=3)*(IF(K253="",-1,K253)&lt;=4))*(1-(IF(K253="",-1,K253)=0)),IF(C253="peso_corporal",IF(ISNUMBER(E253),E253,0)+I253,I253)*(30+J253)*100+I253,0),IF((M253&gt;=12)*(1-(IF(N253="",-1,N253)&gt;=3)*(IF(N253="",-1,N253)&lt;=4))*(1-(IF(N253="",-1,N253)=0)),IF(C253="peso_corporal",IF(ISNUMBER(E253),E253,0)+L253,L253)*(30+M253)*100+L253,0),IF((P253&gt;=12)*(1-(IF(Q253="",-1,Q253)&gt;=3)*(IF(Q253="",-1,Q253)&lt;=4))*(1-(IF(Q253="",-1,Q253)=0)),IF(C253="peso_corporal",IF(ISNUMBER(E253),E253,0)+O253,O253)*(30+P253)*100+O253,0),IF((S253&gt;=12)*(1-(IF(T253="",-1,T253)&gt;=3)*(IF(T253="",-1,T253)&lt;=4))*(1-(IF(T253="",-1,T253)=0)),IF(C253="peso_corporal",IF(ISNUMBER(E253),E253,0)+R253,R253)*(30+S253)*100+R253,0))</f>
        <v>0</v>
      </c>
      <c r="AB253" s="69">
        <f>IF(AA253=0,0,IF(IF((S253&gt;=12)*(1-(IF(T253="",-1,T253)&gt;=3)*(IF(T253="",-1,T253)&lt;=4))*(1-(IF(T253="",-1,T253)=0)),IF(C253="peso_corporal",IF(ISNUMBER(E253),E253,0)+R253,R253)*(30+S253)*100+R253,0)=AA253,5,IF(IF((P253&gt;=12)*(1-(IF(Q253="",-1,Q253)&gt;=3)*(IF(Q253="",-1,Q253)&lt;=4))*(1-(IF(Q253="",-1,Q253)=0)),IF(C253="peso_corporal",IF(ISNUMBER(E253),E253,0)+O253,O253)*(30+P253)*100+O253,0)=AA253,4,IF(IF((M253&gt;=12)*(1-(IF(N253="",-1,N253)&gt;=3)*(IF(N253="",-1,N253)&lt;=4))*(1-(IF(N253="",-1,N253)=0)),IF(C253="peso_corporal",IF(ISNUMBER(E253),E253,0)+L253,L253)*(30+M253)*100+L253,0)=AA253,3,IF(IF((J253&gt;=12)*(1-(IF(K253="",-1,K253)&gt;=3)*(IF(K253="",-1,K253)&lt;=4))*(1-(IF(K253="",-1,K253)=0)),IF(C253="peso_corporal",IF(ISNUMBER(E253),E253,0)+I253,I253)*(30+J253)*100+I253,0)=AA253,2,IF(IF((G253&gt;=12)*(1-(IF(H253="",-1,H253)&gt;=3)*(IF(H253="",-1,H253)&lt;=4))*(1-(IF(H253="",-1,H253)=0)),IF(C253="peso_corporal",IF(ISNUMBER(E253),E253,0)+F253,F253)*(30+G253)*100+F253,0)=AA253,1,0))))))</f>
        <v>0</v>
      </c>
      <c r="AC253" s="69" t="str">
        <f>IF(X253&gt;0,"A"&amp;X253,IF(Z253&gt;0,"B"&amp;Z253,IF(AB253&gt;0,"C"&amp;AB253,"")))</f>
        <v/>
      </c>
    </row>
    <row r="254" spans="1:29" ht="20.100000000000001" customHeight="1">
      <c r="A254" s="14" t="s">
        <v>100</v>
      </c>
      <c r="B254" s="15" t="s">
        <v>102</v>
      </c>
      <c r="C254" s="16" t="str">
        <f>IFERROR(INDEX(EJERCICIOS!$D$3:$D$75,MATCH(A254&amp;"|"&amp;B254,EJERCICIOS!$G$3:$G$75,0)),"--")</f>
        <v>mancuerna</v>
      </c>
      <c r="D254" s="17">
        <v>3</v>
      </c>
      <c r="E254" s="18">
        <f>IFERROR(LOOKUP(2,1/(MEDIDAS_Y_PESO!$B$3:$B$14&lt;&gt;""),MEDIDAS_Y_PESO!$B$3:$B$14),"--")</f>
        <v>80</v>
      </c>
      <c r="F254" s="19"/>
      <c r="G254" s="20"/>
      <c r="H254" s="21"/>
      <c r="I254" s="19"/>
      <c r="J254" s="20"/>
      <c r="K254" s="21"/>
      <c r="L254" s="19"/>
      <c r="M254" s="20"/>
      <c r="N254" s="21"/>
      <c r="O254" s="19"/>
      <c r="P254" s="20"/>
      <c r="Q254" s="21"/>
      <c r="R254" s="19"/>
      <c r="S254" s="20"/>
      <c r="T254" s="21"/>
      <c r="U254" s="22" t="str">
        <f>IFERROR(IF(IF(X254&gt;0,X254,IF(Z254&gt;0,Z254,IF(AB254&gt;0,AB254,0)))=0,"--",ROUND(CHOOSE(IF(X254&gt;0,X254,IF(Z254&gt;0,Z254,IF(AB254&gt;0,AB254,0))),IF(C254="peso_corporal",IF(ISNUMBER(E254),E254,0)+F254,F254)*(1+G254/30),IF(C254="peso_corporal",IF(ISNUMBER(E254),E254,0)+I254,I254)*(1+J254/30),IF(C254="peso_corporal",IF(ISNUMBER(E254),E254,0)+L254,L254)*(1+M254/30),IF(C254="peso_corporal",IF(ISNUMBER(E254),E254,0)+O254,O254)*(1+P254/30),IF(C254="peso_corporal",IF(ISNUMBER(E254),E254,0)+R254,R254)*(1+S254/30)),1)),"--")</f>
        <v>--</v>
      </c>
      <c r="V254" s="23" t="str">
        <f>IF(SUGERENCIAS!N715="SIN","Sin datos anteriores",IF(SUGERENCIAS!N715="SUBIR_F","^ SUBIR FUERTE | Kg:"&amp;ROUND(SUGERENCIAS!K715,1)&amp;" R:"&amp;ROUND(SUGERENCIAS!L715,0)&amp;" RIR:"&amp;ROUND(SUGERENCIAS!M715,0),IF(SUGERENCIAS!N715="SUBIR_E","^ SUBIR (Est.) | Kg:"&amp;ROUND(SUGERENCIAS!K715,1)&amp;" R:"&amp;ROUND(SUGERENCIAS!L715,0)&amp;" RIR:"&amp;ROUND(SUGERENCIAS!M715,0),IF(SUGERENCIAS!N715="SUBIR","^ SUBIR | Kg:"&amp;ROUND(SUGERENCIAS!K715,1)&amp;" R:"&amp;ROUND(SUGERENCIAS!L715,0)&amp;" RIR:"&amp;ROUND(SUGERENCIAS!M715,0),IF(SUGERENCIAS!N715="BAJAR","v BAJAR | Kg:"&amp;ROUND(SUGERENCIAS!K715,1)&amp;" R:"&amp;ROUND(SUGERENCIAS!L715,0)&amp;" RIR:"&amp;ROUND(SUGERENCIAS!M715,0),"= MANT | Kg:"&amp;ROUND(SUGERENCIAS!K715,1)&amp;" R:"&amp;ROUND(SUGERENCIAS!L715,0)&amp;" RIR:"&amp;ROUND(SUGERENCIAS!M715,0))))))</f>
        <v>Sin datos anteriores</v>
      </c>
      <c r="W254" s="69">
        <f>MAX(IF((G254&gt;0)*(IF(H254="",-1,H254)&gt;=3)*(IF(H254="",-1,H254)&lt;=4),IF(C254="peso_corporal",IF(ISNUMBER(E254),E254,0)+F254,F254)*G254*1000+F254,0),IF((J254&gt;0)*(IF(K254="",-1,K254)&gt;=3)*(IF(K254="",-1,K254)&lt;=4),IF(C254="peso_corporal",IF(ISNUMBER(E254),E254,0)+I254,I254)*J254*1000+I254,0),IF((M254&gt;0)*(IF(N254="",-1,N254)&gt;=3)*(IF(N254="",-1,N254)&lt;=4),IF(C254="peso_corporal",IF(ISNUMBER(E254),E254,0)+L254,L254)*M254*1000+L254,0),IF((P254&gt;0)*(IF(Q254="",-1,Q254)&gt;=3)*(IF(Q254="",-1,Q254)&lt;=4),IF(C254="peso_corporal",IF(ISNUMBER(E254),E254,0)+O254,O254)*P254*1000+O254,0),IF((S254&gt;0)*(IF(T254="",-1,T254)&gt;=3)*(IF(T254="",-1,T254)&lt;=4),IF(C254="peso_corporal",IF(ISNUMBER(E254),E254,0)+R254,R254)*S254*1000+R254,0))</f>
        <v>0</v>
      </c>
      <c r="X254" s="69">
        <f>IF(W254=0,0,IF(IF((S254&gt;0)*(IF(T254="",-1,T254)&gt;=3)*(IF(T254="",-1,T254)&lt;=4),IF(C254="peso_corporal",IF(ISNUMBER(E254),E254,0)+R254,R254)*S254*1000+R254,0)=W254,5,IF(IF((P254&gt;0)*(IF(Q254="",-1,Q254)&gt;=3)*(IF(Q254="",-1,Q254)&lt;=4),IF(C254="peso_corporal",IF(ISNUMBER(E254),E254,0)+O254,O254)*P254*1000+O254,0)=W254,4,IF(IF((M254&gt;0)*(IF(N254="",-1,N254)&gt;=3)*(IF(N254="",-1,N254)&lt;=4),IF(C254="peso_corporal",IF(ISNUMBER(E254),E254,0)+L254,L254)*M254*1000+L254,0)=W254,3,IF(IF((J254&gt;0)*(IF(K254="",-1,K254)&gt;=3)*(IF(K254="",-1,K254)&lt;=4),IF(C254="peso_corporal",IF(ISNUMBER(E254),E254,0)+I254,I254)*J254*1000+I254,0)=W254,2,IF(IF((G254&gt;0)*(IF(H254="",-1,H254)&gt;=3)*(IF(H254="",-1,H254)&lt;=4),IF(C254="peso_corporal",IF(ISNUMBER(E254),E254,0)+F254,F254)*G254*1000+F254,0)=W254,1,0))))))</f>
        <v>0</v>
      </c>
      <c r="Y254" s="69">
        <f>MAX(IF((G254&gt;0)*(IF(H254="",-1,H254)=0)*(1-(IF(H254="",-1,H254)&gt;=3)*(IF(H254="",-1,H254)&lt;=4)),IF(C254="peso_corporal",IF(ISNUMBER(E254),E254,0)+F254,F254)*G254*1000+F254,0),IF((J254&gt;0)*(IF(K254="",-1,K254)=0)*(1-(IF(K254="",-1,K254)&gt;=3)*(IF(K254="",-1,K254)&lt;=4)),IF(C254="peso_corporal",IF(ISNUMBER(E254),E254,0)+I254,I254)*J254*1000+I254,0),IF((M254&gt;0)*(IF(N254="",-1,N254)=0)*(1-(IF(N254="",-1,N254)&gt;=3)*(IF(N254="",-1,N254)&lt;=4)),IF(C254="peso_corporal",IF(ISNUMBER(E254),E254,0)+L254,L254)*M254*1000+L254,0),IF((P254&gt;0)*(IF(Q254="",-1,Q254)=0)*(1-(IF(Q254="",-1,Q254)&gt;=3)*(IF(Q254="",-1,Q254)&lt;=4)),IF(C254="peso_corporal",IF(ISNUMBER(E254),E254,0)+O254,O254)*P254*1000+O254,0),IF((S254&gt;0)*(IF(T254="",-1,T254)=0)*(1-(IF(T254="",-1,T254)&gt;=3)*(IF(T254="",-1,T254)&lt;=4)),IF(C254="peso_corporal",IF(ISNUMBER(E254),E254,0)+R254,R254)*S254*1000+R254,0))</f>
        <v>0</v>
      </c>
      <c r="Z254" s="69">
        <f>IF(Y254=0,0,IF(IF((S254&gt;0)*(IF(T254="",-1,T254)=0)*(1-(IF(T254="",-1,T254)&gt;=3)*(IF(T254="",-1,T254)&lt;=4)),IF(C254="peso_corporal",IF(ISNUMBER(E254),E254,0)+R254,R254)*S254*1000+R254,0)=Y254,5,IF(IF((P254&gt;0)*(IF(Q254="",-1,Q254)=0)*(1-(IF(Q254="",-1,Q254)&gt;=3)*(IF(Q254="",-1,Q254)&lt;=4)),IF(C254="peso_corporal",IF(ISNUMBER(E254),E254,0)+O254,O254)*P254*1000+O254,0)=Y254,4,IF(IF((M254&gt;0)*(IF(N254="",-1,N254)=0)*(1-(IF(N254="",-1,N254)&gt;=3)*(IF(N254="",-1,N254)&lt;=4)),IF(C254="peso_corporal",IF(ISNUMBER(E254),E254,0)+L254,L254)*M254*1000+L254,0)=Y254,3,IF(IF((J254&gt;0)*(IF(K254="",-1,K254)=0)*(1-(IF(K254="",-1,K254)&gt;=3)*(IF(K254="",-1,K254)&lt;=4)),IF(C254="peso_corporal",IF(ISNUMBER(E254),E254,0)+I254,I254)*J254*1000+I254,0)=Y254,2,IF(IF((G254&gt;0)*(IF(H254="",-1,H254)=0)*(1-(IF(H254="",-1,H254)&gt;=3)*(IF(H254="",-1,H254)&lt;=4)),IF(C254="peso_corporal",IF(ISNUMBER(E254),E254,0)+F254,F254)*G254*1000+F254,0)=Y254,1,0))))))</f>
        <v>0</v>
      </c>
      <c r="AA254" s="69">
        <f>MAX(IF((G254&gt;=12)*(1-(IF(H254="",-1,H254)&gt;=3)*(IF(H254="",-1,H254)&lt;=4))*(1-(IF(H254="",-1,H254)=0)),IF(C254="peso_corporal",IF(ISNUMBER(E254),E254,0)+F254,F254)*(30+G254)*100+F254,0),IF((J254&gt;=12)*(1-(IF(K254="",-1,K254)&gt;=3)*(IF(K254="",-1,K254)&lt;=4))*(1-(IF(K254="",-1,K254)=0)),IF(C254="peso_corporal",IF(ISNUMBER(E254),E254,0)+I254,I254)*(30+J254)*100+I254,0),IF((M254&gt;=12)*(1-(IF(N254="",-1,N254)&gt;=3)*(IF(N254="",-1,N254)&lt;=4))*(1-(IF(N254="",-1,N254)=0)),IF(C254="peso_corporal",IF(ISNUMBER(E254),E254,0)+L254,L254)*(30+M254)*100+L254,0),IF((P254&gt;=12)*(1-(IF(Q254="",-1,Q254)&gt;=3)*(IF(Q254="",-1,Q254)&lt;=4))*(1-(IF(Q254="",-1,Q254)=0)),IF(C254="peso_corporal",IF(ISNUMBER(E254),E254,0)+O254,O254)*(30+P254)*100+O254,0),IF((S254&gt;=12)*(1-(IF(T254="",-1,T254)&gt;=3)*(IF(T254="",-1,T254)&lt;=4))*(1-(IF(T254="",-1,T254)=0)),IF(C254="peso_corporal",IF(ISNUMBER(E254),E254,0)+R254,R254)*(30+S254)*100+R254,0))</f>
        <v>0</v>
      </c>
      <c r="AB254" s="69">
        <f>IF(AA254=0,0,IF(IF((S254&gt;=12)*(1-(IF(T254="",-1,T254)&gt;=3)*(IF(T254="",-1,T254)&lt;=4))*(1-(IF(T254="",-1,T254)=0)),IF(C254="peso_corporal",IF(ISNUMBER(E254),E254,0)+R254,R254)*(30+S254)*100+R254,0)=AA254,5,IF(IF((P254&gt;=12)*(1-(IF(Q254="",-1,Q254)&gt;=3)*(IF(Q254="",-1,Q254)&lt;=4))*(1-(IF(Q254="",-1,Q254)=0)),IF(C254="peso_corporal",IF(ISNUMBER(E254),E254,0)+O254,O254)*(30+P254)*100+O254,0)=AA254,4,IF(IF((M254&gt;=12)*(1-(IF(N254="",-1,N254)&gt;=3)*(IF(N254="",-1,N254)&lt;=4))*(1-(IF(N254="",-1,N254)=0)),IF(C254="peso_corporal",IF(ISNUMBER(E254),E254,0)+L254,L254)*(30+M254)*100+L254,0)=AA254,3,IF(IF((J254&gt;=12)*(1-(IF(K254="",-1,K254)&gt;=3)*(IF(K254="",-1,K254)&lt;=4))*(1-(IF(K254="",-1,K254)=0)),IF(C254="peso_corporal",IF(ISNUMBER(E254),E254,0)+I254,I254)*(30+J254)*100+I254,0)=AA254,2,IF(IF((G254&gt;=12)*(1-(IF(H254="",-1,H254)&gt;=3)*(IF(H254="",-1,H254)&lt;=4))*(1-(IF(H254="",-1,H254)=0)),IF(C254="peso_corporal",IF(ISNUMBER(E254),E254,0)+F254,F254)*(30+G254)*100+F254,0)=AA254,1,0))))))</f>
        <v>0</v>
      </c>
      <c r="AC254" s="69" t="str">
        <f>IF(X254&gt;0,"A"&amp;X254,IF(Z254&gt;0,"B"&amp;Z254,IF(AB254&gt;0,"C"&amp;AB254,"")))</f>
        <v/>
      </c>
    </row>
    <row r="255" spans="1:29" ht="15" customHeight="1">
      <c r="A255" s="83" t="s">
        <v>103</v>
      </c>
      <c r="B255" s="73"/>
      <c r="C255" s="73"/>
      <c r="D255" s="73"/>
      <c r="E255" s="73"/>
      <c r="F255" s="73"/>
      <c r="G255" s="73"/>
      <c r="H255" s="73"/>
      <c r="I255" s="73"/>
      <c r="J255" s="73"/>
      <c r="K255" s="73"/>
      <c r="L255" s="73"/>
      <c r="M255" s="73"/>
      <c r="N255" s="73"/>
      <c r="O255" s="73"/>
      <c r="P255" s="73"/>
      <c r="Q255" s="73"/>
      <c r="R255" s="73"/>
      <c r="S255" s="73"/>
      <c r="T255" s="73"/>
      <c r="U255" s="73"/>
      <c r="V255" s="73"/>
      <c r="W255" s="69"/>
      <c r="X255" s="69"/>
      <c r="Y255" s="69"/>
      <c r="Z255" s="69"/>
      <c r="AA255" s="69"/>
      <c r="AB255" s="69"/>
      <c r="AC255" s="69"/>
    </row>
    <row r="256" spans="1:29" ht="20.100000000000001" customHeight="1">
      <c r="A256" s="14" t="s">
        <v>104</v>
      </c>
      <c r="B256" s="15" t="s">
        <v>105</v>
      </c>
      <c r="C256" s="16" t="str">
        <f>IFERROR(INDEX(EJERCICIOS!$D$3:$D$75,MATCH(A256&amp;"|"&amp;B256,EJERCICIOS!$G$3:$G$75,0)),"--")</f>
        <v>mancuerna</v>
      </c>
      <c r="D256" s="17">
        <v>3</v>
      </c>
      <c r="E256" s="18">
        <f>IFERROR(LOOKUP(2,1/(MEDIDAS_Y_PESO!$B$3:$B$14&lt;&gt;""),MEDIDAS_Y_PESO!$B$3:$B$14),"--")</f>
        <v>80</v>
      </c>
      <c r="F256" s="19"/>
      <c r="G256" s="20"/>
      <c r="H256" s="21"/>
      <c r="I256" s="19"/>
      <c r="J256" s="20"/>
      <c r="K256" s="21"/>
      <c r="L256" s="19"/>
      <c r="M256" s="20"/>
      <c r="N256" s="21"/>
      <c r="O256" s="19"/>
      <c r="P256" s="20"/>
      <c r="Q256" s="21"/>
      <c r="R256" s="19"/>
      <c r="S256" s="20"/>
      <c r="T256" s="21"/>
      <c r="U256" s="22" t="str">
        <f>IFERROR(IF(IF(X256&gt;0,X256,IF(Z256&gt;0,Z256,IF(AB256&gt;0,AB256,0)))=0,"--",ROUND(CHOOSE(IF(X256&gt;0,X256,IF(Z256&gt;0,Z256,IF(AB256&gt;0,AB256,0))),IF(C256="peso_corporal",IF(ISNUMBER(E256),E256,0)+F256,F256)*(1+G256/30),IF(C256="peso_corporal",IF(ISNUMBER(E256),E256,0)+I256,I256)*(1+J256/30),IF(C256="peso_corporal",IF(ISNUMBER(E256),E256,0)+L256,L256)*(1+M256/30),IF(C256="peso_corporal",IF(ISNUMBER(E256),E256,0)+O256,O256)*(1+P256/30),IF(C256="peso_corporal",IF(ISNUMBER(E256),E256,0)+R256,R256)*(1+S256/30)),1)),"--")</f>
        <v>--</v>
      </c>
      <c r="V256" s="23" t="str">
        <f>IF(SUGERENCIAS!N716="SIN","Sin datos anteriores",IF(SUGERENCIAS!N716="SUBIR_F","^ SUBIR FUERTE | Kg:"&amp;ROUND(SUGERENCIAS!K716,1)&amp;" R:"&amp;ROUND(SUGERENCIAS!L716,0)&amp;" RIR:"&amp;ROUND(SUGERENCIAS!M716,0),IF(SUGERENCIAS!N716="SUBIR_E","^ SUBIR (Est.) | Kg:"&amp;ROUND(SUGERENCIAS!K716,1)&amp;" R:"&amp;ROUND(SUGERENCIAS!L716,0)&amp;" RIR:"&amp;ROUND(SUGERENCIAS!M716,0),IF(SUGERENCIAS!N716="SUBIR","^ SUBIR | Kg:"&amp;ROUND(SUGERENCIAS!K716,1)&amp;" R:"&amp;ROUND(SUGERENCIAS!L716,0)&amp;" RIR:"&amp;ROUND(SUGERENCIAS!M716,0),IF(SUGERENCIAS!N716="BAJAR","v BAJAR | Kg:"&amp;ROUND(SUGERENCIAS!K716,1)&amp;" R:"&amp;ROUND(SUGERENCIAS!L716,0)&amp;" RIR:"&amp;ROUND(SUGERENCIAS!M716,0),"= MANT | Kg:"&amp;ROUND(SUGERENCIAS!K716,1)&amp;" R:"&amp;ROUND(SUGERENCIAS!L716,0)&amp;" RIR:"&amp;ROUND(SUGERENCIAS!M716,0))))))</f>
        <v>Sin datos anteriores</v>
      </c>
      <c r="W256" s="69">
        <f>MAX(IF((G256&gt;0)*(IF(H256="",-1,H256)&gt;=3)*(IF(H256="",-1,H256)&lt;=4),IF(C256="peso_corporal",IF(ISNUMBER(E256),E256,0)+F256,F256)*G256*1000+F256,0),IF((J256&gt;0)*(IF(K256="",-1,K256)&gt;=3)*(IF(K256="",-1,K256)&lt;=4),IF(C256="peso_corporal",IF(ISNUMBER(E256),E256,0)+I256,I256)*J256*1000+I256,0),IF((M256&gt;0)*(IF(N256="",-1,N256)&gt;=3)*(IF(N256="",-1,N256)&lt;=4),IF(C256="peso_corporal",IF(ISNUMBER(E256),E256,0)+L256,L256)*M256*1000+L256,0),IF((P256&gt;0)*(IF(Q256="",-1,Q256)&gt;=3)*(IF(Q256="",-1,Q256)&lt;=4),IF(C256="peso_corporal",IF(ISNUMBER(E256),E256,0)+O256,O256)*P256*1000+O256,0),IF((S256&gt;0)*(IF(T256="",-1,T256)&gt;=3)*(IF(T256="",-1,T256)&lt;=4),IF(C256="peso_corporal",IF(ISNUMBER(E256),E256,0)+R256,R256)*S256*1000+R256,0))</f>
        <v>0</v>
      </c>
      <c r="X256" s="69">
        <f>IF(W256=0,0,IF(IF((S256&gt;0)*(IF(T256="",-1,T256)&gt;=3)*(IF(T256="",-1,T256)&lt;=4),IF(C256="peso_corporal",IF(ISNUMBER(E256),E256,0)+R256,R256)*S256*1000+R256,0)=W256,5,IF(IF((P256&gt;0)*(IF(Q256="",-1,Q256)&gt;=3)*(IF(Q256="",-1,Q256)&lt;=4),IF(C256="peso_corporal",IF(ISNUMBER(E256),E256,0)+O256,O256)*P256*1000+O256,0)=W256,4,IF(IF((M256&gt;0)*(IF(N256="",-1,N256)&gt;=3)*(IF(N256="",-1,N256)&lt;=4),IF(C256="peso_corporal",IF(ISNUMBER(E256),E256,0)+L256,L256)*M256*1000+L256,0)=W256,3,IF(IF((J256&gt;0)*(IF(K256="",-1,K256)&gt;=3)*(IF(K256="",-1,K256)&lt;=4),IF(C256="peso_corporal",IF(ISNUMBER(E256),E256,0)+I256,I256)*J256*1000+I256,0)=W256,2,IF(IF((G256&gt;0)*(IF(H256="",-1,H256)&gt;=3)*(IF(H256="",-1,H256)&lt;=4),IF(C256="peso_corporal",IF(ISNUMBER(E256),E256,0)+F256,F256)*G256*1000+F256,0)=W256,1,0))))))</f>
        <v>0</v>
      </c>
      <c r="Y256" s="69">
        <f>MAX(IF((G256&gt;0)*(IF(H256="",-1,H256)=0)*(1-(IF(H256="",-1,H256)&gt;=3)*(IF(H256="",-1,H256)&lt;=4)),IF(C256="peso_corporal",IF(ISNUMBER(E256),E256,0)+F256,F256)*G256*1000+F256,0),IF((J256&gt;0)*(IF(K256="",-1,K256)=0)*(1-(IF(K256="",-1,K256)&gt;=3)*(IF(K256="",-1,K256)&lt;=4)),IF(C256="peso_corporal",IF(ISNUMBER(E256),E256,0)+I256,I256)*J256*1000+I256,0),IF((M256&gt;0)*(IF(N256="",-1,N256)=0)*(1-(IF(N256="",-1,N256)&gt;=3)*(IF(N256="",-1,N256)&lt;=4)),IF(C256="peso_corporal",IF(ISNUMBER(E256),E256,0)+L256,L256)*M256*1000+L256,0),IF((P256&gt;0)*(IF(Q256="",-1,Q256)=0)*(1-(IF(Q256="",-1,Q256)&gt;=3)*(IF(Q256="",-1,Q256)&lt;=4)),IF(C256="peso_corporal",IF(ISNUMBER(E256),E256,0)+O256,O256)*P256*1000+O256,0),IF((S256&gt;0)*(IF(T256="",-1,T256)=0)*(1-(IF(T256="",-1,T256)&gt;=3)*(IF(T256="",-1,T256)&lt;=4)),IF(C256="peso_corporal",IF(ISNUMBER(E256),E256,0)+R256,R256)*S256*1000+R256,0))</f>
        <v>0</v>
      </c>
      <c r="Z256" s="69">
        <f>IF(Y256=0,0,IF(IF((S256&gt;0)*(IF(T256="",-1,T256)=0)*(1-(IF(T256="",-1,T256)&gt;=3)*(IF(T256="",-1,T256)&lt;=4)),IF(C256="peso_corporal",IF(ISNUMBER(E256),E256,0)+R256,R256)*S256*1000+R256,0)=Y256,5,IF(IF((P256&gt;0)*(IF(Q256="",-1,Q256)=0)*(1-(IF(Q256="",-1,Q256)&gt;=3)*(IF(Q256="",-1,Q256)&lt;=4)),IF(C256="peso_corporal",IF(ISNUMBER(E256),E256,0)+O256,O256)*P256*1000+O256,0)=Y256,4,IF(IF((M256&gt;0)*(IF(N256="",-1,N256)=0)*(1-(IF(N256="",-1,N256)&gt;=3)*(IF(N256="",-1,N256)&lt;=4)),IF(C256="peso_corporal",IF(ISNUMBER(E256),E256,0)+L256,L256)*M256*1000+L256,0)=Y256,3,IF(IF((J256&gt;0)*(IF(K256="",-1,K256)=0)*(1-(IF(K256="",-1,K256)&gt;=3)*(IF(K256="",-1,K256)&lt;=4)),IF(C256="peso_corporal",IF(ISNUMBER(E256),E256,0)+I256,I256)*J256*1000+I256,0)=Y256,2,IF(IF((G256&gt;0)*(IF(H256="",-1,H256)=0)*(1-(IF(H256="",-1,H256)&gt;=3)*(IF(H256="",-1,H256)&lt;=4)),IF(C256="peso_corporal",IF(ISNUMBER(E256),E256,0)+F256,F256)*G256*1000+F256,0)=Y256,1,0))))))</f>
        <v>0</v>
      </c>
      <c r="AA256" s="69">
        <f>MAX(IF((G256&gt;=12)*(1-(IF(H256="",-1,H256)&gt;=3)*(IF(H256="",-1,H256)&lt;=4))*(1-(IF(H256="",-1,H256)=0)),IF(C256="peso_corporal",IF(ISNUMBER(E256),E256,0)+F256,F256)*(30+G256)*100+F256,0),IF((J256&gt;=12)*(1-(IF(K256="",-1,K256)&gt;=3)*(IF(K256="",-1,K256)&lt;=4))*(1-(IF(K256="",-1,K256)=0)),IF(C256="peso_corporal",IF(ISNUMBER(E256),E256,0)+I256,I256)*(30+J256)*100+I256,0),IF((M256&gt;=12)*(1-(IF(N256="",-1,N256)&gt;=3)*(IF(N256="",-1,N256)&lt;=4))*(1-(IF(N256="",-1,N256)=0)),IF(C256="peso_corporal",IF(ISNUMBER(E256),E256,0)+L256,L256)*(30+M256)*100+L256,0),IF((P256&gt;=12)*(1-(IF(Q256="",-1,Q256)&gt;=3)*(IF(Q256="",-1,Q256)&lt;=4))*(1-(IF(Q256="",-1,Q256)=0)),IF(C256="peso_corporal",IF(ISNUMBER(E256),E256,0)+O256,O256)*(30+P256)*100+O256,0),IF((S256&gt;=12)*(1-(IF(T256="",-1,T256)&gt;=3)*(IF(T256="",-1,T256)&lt;=4))*(1-(IF(T256="",-1,T256)=0)),IF(C256="peso_corporal",IF(ISNUMBER(E256),E256,0)+R256,R256)*(30+S256)*100+R256,0))</f>
        <v>0</v>
      </c>
      <c r="AB256" s="69">
        <f>IF(AA256=0,0,IF(IF((S256&gt;=12)*(1-(IF(T256="",-1,T256)&gt;=3)*(IF(T256="",-1,T256)&lt;=4))*(1-(IF(T256="",-1,T256)=0)),IF(C256="peso_corporal",IF(ISNUMBER(E256),E256,0)+R256,R256)*(30+S256)*100+R256,0)=AA256,5,IF(IF((P256&gt;=12)*(1-(IF(Q256="",-1,Q256)&gt;=3)*(IF(Q256="",-1,Q256)&lt;=4))*(1-(IF(Q256="",-1,Q256)=0)),IF(C256="peso_corporal",IF(ISNUMBER(E256),E256,0)+O256,O256)*(30+P256)*100+O256,0)=AA256,4,IF(IF((M256&gt;=12)*(1-(IF(N256="",-1,N256)&gt;=3)*(IF(N256="",-1,N256)&lt;=4))*(1-(IF(N256="",-1,N256)=0)),IF(C256="peso_corporal",IF(ISNUMBER(E256),E256,0)+L256,L256)*(30+M256)*100+L256,0)=AA256,3,IF(IF((J256&gt;=12)*(1-(IF(K256="",-1,K256)&gt;=3)*(IF(K256="",-1,K256)&lt;=4))*(1-(IF(K256="",-1,K256)=0)),IF(C256="peso_corporal",IF(ISNUMBER(E256),E256,0)+I256,I256)*(30+J256)*100+I256,0)=AA256,2,IF(IF((G256&gt;=12)*(1-(IF(H256="",-1,H256)&gt;=3)*(IF(H256="",-1,H256)&lt;=4))*(1-(IF(H256="",-1,H256)=0)),IF(C256="peso_corporal",IF(ISNUMBER(E256),E256,0)+F256,F256)*(30+G256)*100+F256,0)=AA256,1,0))))))</f>
        <v>0</v>
      </c>
      <c r="AC256" s="69" t="str">
        <f>IF(X256&gt;0,"A"&amp;X256,IF(Z256&gt;0,"B"&amp;Z256,IF(AB256&gt;0,"C"&amp;AB256,"")))</f>
        <v/>
      </c>
    </row>
    <row r="257" spans="1:29" ht="15" customHeight="1">
      <c r="A257" s="82" t="s">
        <v>47</v>
      </c>
      <c r="B257" s="73"/>
      <c r="C257" s="73"/>
      <c r="D257" s="73"/>
      <c r="E257" s="73"/>
      <c r="F257" s="73"/>
      <c r="G257" s="73"/>
      <c r="H257" s="73"/>
      <c r="I257" s="73"/>
      <c r="J257" s="73"/>
      <c r="K257" s="73"/>
      <c r="L257" s="73"/>
      <c r="M257" s="73"/>
      <c r="N257" s="73"/>
      <c r="O257" s="73"/>
      <c r="P257" s="73"/>
      <c r="Q257" s="73"/>
      <c r="R257" s="73"/>
      <c r="S257" s="73"/>
      <c r="T257" s="73"/>
      <c r="U257" s="73"/>
      <c r="V257" s="73"/>
      <c r="W257" s="69"/>
      <c r="X257" s="69"/>
      <c r="Y257" s="69"/>
      <c r="Z257" s="69"/>
      <c r="AA257" s="69"/>
      <c r="AB257" s="69"/>
      <c r="AC257" s="69"/>
    </row>
    <row r="258" spans="1:29" ht="20.100000000000001" customHeight="1">
      <c r="A258" s="14" t="s">
        <v>106</v>
      </c>
      <c r="B258" s="15" t="s">
        <v>107</v>
      </c>
      <c r="C258" s="16" t="str">
        <f>IFERROR(INDEX(EJERCICIOS!$D$3:$D$75,MATCH(A258&amp;"|"&amp;B258,EJERCICIOS!$G$3:$G$75,0)),"--")</f>
        <v>--</v>
      </c>
      <c r="D258" s="17">
        <v>3</v>
      </c>
      <c r="E258" s="18">
        <f>IFERROR(LOOKUP(2,1/(MEDIDAS_Y_PESO!$B$3:$B$14&lt;&gt;""),MEDIDAS_Y_PESO!$B$3:$B$14),"--")</f>
        <v>80</v>
      </c>
      <c r="F258" s="19"/>
      <c r="G258" s="20"/>
      <c r="H258" s="21"/>
      <c r="I258" s="19"/>
      <c r="J258" s="20"/>
      <c r="K258" s="21"/>
      <c r="L258" s="19"/>
      <c r="M258" s="20"/>
      <c r="N258" s="21"/>
      <c r="O258" s="19"/>
      <c r="P258" s="20"/>
      <c r="Q258" s="21"/>
      <c r="R258" s="19"/>
      <c r="S258" s="20"/>
      <c r="T258" s="21"/>
      <c r="U258" s="22" t="str">
        <f>IFERROR(IF(IF(X258&gt;0,X258,IF(Z258&gt;0,Z258,IF(AB258&gt;0,AB258,0)))=0,"--",ROUND(CHOOSE(IF(X258&gt;0,X258,IF(Z258&gt;0,Z258,IF(AB258&gt;0,AB258,0))),IF(C258="peso_corporal",IF(ISNUMBER(E258),E258,0)+F258,F258)*(1+G258/30),IF(C258="peso_corporal",IF(ISNUMBER(E258),E258,0)+I258,I258)*(1+J258/30),IF(C258="peso_corporal",IF(ISNUMBER(E258),E258,0)+L258,L258)*(1+M258/30),IF(C258="peso_corporal",IF(ISNUMBER(E258),E258,0)+O258,O258)*(1+P258/30),IF(C258="peso_corporal",IF(ISNUMBER(E258),E258,0)+R258,R258)*(1+S258/30)),1)),"--")</f>
        <v>--</v>
      </c>
      <c r="V258" s="23" t="str">
        <f>IF(SUGERENCIAS!N717="SIN","Sin datos anteriores",IF(SUGERENCIAS!N717="SUBIR_F","^ SUBIR FUERTE | Kg:"&amp;ROUND(SUGERENCIAS!K717,1)&amp;" R:"&amp;ROUND(SUGERENCIAS!L717,0)&amp;" RIR:"&amp;ROUND(SUGERENCIAS!M717,0),IF(SUGERENCIAS!N717="SUBIR_E","^ SUBIR (Est.) | Kg:"&amp;ROUND(SUGERENCIAS!K717,1)&amp;" R:"&amp;ROUND(SUGERENCIAS!L717,0)&amp;" RIR:"&amp;ROUND(SUGERENCIAS!M717,0),IF(SUGERENCIAS!N717="SUBIR","^ SUBIR | Kg:"&amp;ROUND(SUGERENCIAS!K717,1)&amp;" R:"&amp;ROUND(SUGERENCIAS!L717,0)&amp;" RIR:"&amp;ROUND(SUGERENCIAS!M717,0),IF(SUGERENCIAS!N717="BAJAR","v BAJAR | Kg:"&amp;ROUND(SUGERENCIAS!K717,1)&amp;" R:"&amp;ROUND(SUGERENCIAS!L717,0)&amp;" RIR:"&amp;ROUND(SUGERENCIAS!M717,0),"= MANT | Kg:"&amp;ROUND(SUGERENCIAS!K717,1)&amp;" R:"&amp;ROUND(SUGERENCIAS!L717,0)&amp;" RIR:"&amp;ROUND(SUGERENCIAS!M717,0))))))</f>
        <v>Sin datos anteriores</v>
      </c>
      <c r="W258" s="69">
        <f>MAX(IF((G258&gt;0)*(IF(H258="",-1,H258)&gt;=3)*(IF(H258="",-1,H258)&lt;=4),IF(C258="peso_corporal",IF(ISNUMBER(E258),E258,0)+F258,F258)*G258*1000+F258,0),IF((J258&gt;0)*(IF(K258="",-1,K258)&gt;=3)*(IF(K258="",-1,K258)&lt;=4),IF(C258="peso_corporal",IF(ISNUMBER(E258),E258,0)+I258,I258)*J258*1000+I258,0),IF((M258&gt;0)*(IF(N258="",-1,N258)&gt;=3)*(IF(N258="",-1,N258)&lt;=4),IF(C258="peso_corporal",IF(ISNUMBER(E258),E258,0)+L258,L258)*M258*1000+L258,0),IF((P258&gt;0)*(IF(Q258="",-1,Q258)&gt;=3)*(IF(Q258="",-1,Q258)&lt;=4),IF(C258="peso_corporal",IF(ISNUMBER(E258),E258,0)+O258,O258)*P258*1000+O258,0),IF((S258&gt;0)*(IF(T258="",-1,T258)&gt;=3)*(IF(T258="",-1,T258)&lt;=4),IF(C258="peso_corporal",IF(ISNUMBER(E258),E258,0)+R258,R258)*S258*1000+R258,0))</f>
        <v>0</v>
      </c>
      <c r="X258" s="69">
        <f>IF(W258=0,0,IF(IF((S258&gt;0)*(IF(T258="",-1,T258)&gt;=3)*(IF(T258="",-1,T258)&lt;=4),IF(C258="peso_corporal",IF(ISNUMBER(E258),E258,0)+R258,R258)*S258*1000+R258,0)=W258,5,IF(IF((P258&gt;0)*(IF(Q258="",-1,Q258)&gt;=3)*(IF(Q258="",-1,Q258)&lt;=4),IF(C258="peso_corporal",IF(ISNUMBER(E258),E258,0)+O258,O258)*P258*1000+O258,0)=W258,4,IF(IF((M258&gt;0)*(IF(N258="",-1,N258)&gt;=3)*(IF(N258="",-1,N258)&lt;=4),IF(C258="peso_corporal",IF(ISNUMBER(E258),E258,0)+L258,L258)*M258*1000+L258,0)=W258,3,IF(IF((J258&gt;0)*(IF(K258="",-1,K258)&gt;=3)*(IF(K258="",-1,K258)&lt;=4),IF(C258="peso_corporal",IF(ISNUMBER(E258),E258,0)+I258,I258)*J258*1000+I258,0)=W258,2,IF(IF((G258&gt;0)*(IF(H258="",-1,H258)&gt;=3)*(IF(H258="",-1,H258)&lt;=4),IF(C258="peso_corporal",IF(ISNUMBER(E258),E258,0)+F258,F258)*G258*1000+F258,0)=W258,1,0))))))</f>
        <v>0</v>
      </c>
      <c r="Y258" s="69">
        <f>MAX(IF((G258&gt;0)*(IF(H258="",-1,H258)=0)*(1-(IF(H258="",-1,H258)&gt;=3)*(IF(H258="",-1,H258)&lt;=4)),IF(C258="peso_corporal",IF(ISNUMBER(E258),E258,0)+F258,F258)*G258*1000+F258,0),IF((J258&gt;0)*(IF(K258="",-1,K258)=0)*(1-(IF(K258="",-1,K258)&gt;=3)*(IF(K258="",-1,K258)&lt;=4)),IF(C258="peso_corporal",IF(ISNUMBER(E258),E258,0)+I258,I258)*J258*1000+I258,0),IF((M258&gt;0)*(IF(N258="",-1,N258)=0)*(1-(IF(N258="",-1,N258)&gt;=3)*(IF(N258="",-1,N258)&lt;=4)),IF(C258="peso_corporal",IF(ISNUMBER(E258),E258,0)+L258,L258)*M258*1000+L258,0),IF((P258&gt;0)*(IF(Q258="",-1,Q258)=0)*(1-(IF(Q258="",-1,Q258)&gt;=3)*(IF(Q258="",-1,Q258)&lt;=4)),IF(C258="peso_corporal",IF(ISNUMBER(E258),E258,0)+O258,O258)*P258*1000+O258,0),IF((S258&gt;0)*(IF(T258="",-1,T258)=0)*(1-(IF(T258="",-1,T258)&gt;=3)*(IF(T258="",-1,T258)&lt;=4)),IF(C258="peso_corporal",IF(ISNUMBER(E258),E258,0)+R258,R258)*S258*1000+R258,0))</f>
        <v>0</v>
      </c>
      <c r="Z258" s="69">
        <f>IF(Y258=0,0,IF(IF((S258&gt;0)*(IF(T258="",-1,T258)=0)*(1-(IF(T258="",-1,T258)&gt;=3)*(IF(T258="",-1,T258)&lt;=4)),IF(C258="peso_corporal",IF(ISNUMBER(E258),E258,0)+R258,R258)*S258*1000+R258,0)=Y258,5,IF(IF((P258&gt;0)*(IF(Q258="",-1,Q258)=0)*(1-(IF(Q258="",-1,Q258)&gt;=3)*(IF(Q258="",-1,Q258)&lt;=4)),IF(C258="peso_corporal",IF(ISNUMBER(E258),E258,0)+O258,O258)*P258*1000+O258,0)=Y258,4,IF(IF((M258&gt;0)*(IF(N258="",-1,N258)=0)*(1-(IF(N258="",-1,N258)&gt;=3)*(IF(N258="",-1,N258)&lt;=4)),IF(C258="peso_corporal",IF(ISNUMBER(E258),E258,0)+L258,L258)*M258*1000+L258,0)=Y258,3,IF(IF((J258&gt;0)*(IF(K258="",-1,K258)=0)*(1-(IF(K258="",-1,K258)&gt;=3)*(IF(K258="",-1,K258)&lt;=4)),IF(C258="peso_corporal",IF(ISNUMBER(E258),E258,0)+I258,I258)*J258*1000+I258,0)=Y258,2,IF(IF((G258&gt;0)*(IF(H258="",-1,H258)=0)*(1-(IF(H258="",-1,H258)&gt;=3)*(IF(H258="",-1,H258)&lt;=4)),IF(C258="peso_corporal",IF(ISNUMBER(E258),E258,0)+F258,F258)*G258*1000+F258,0)=Y258,1,0))))))</f>
        <v>0</v>
      </c>
      <c r="AA258" s="69">
        <f>MAX(IF((G258&gt;=12)*(1-(IF(H258="",-1,H258)&gt;=3)*(IF(H258="",-1,H258)&lt;=4))*(1-(IF(H258="",-1,H258)=0)),IF(C258="peso_corporal",IF(ISNUMBER(E258),E258,0)+F258,F258)*(30+G258)*100+F258,0),IF((J258&gt;=12)*(1-(IF(K258="",-1,K258)&gt;=3)*(IF(K258="",-1,K258)&lt;=4))*(1-(IF(K258="",-1,K258)=0)),IF(C258="peso_corporal",IF(ISNUMBER(E258),E258,0)+I258,I258)*(30+J258)*100+I258,0),IF((M258&gt;=12)*(1-(IF(N258="",-1,N258)&gt;=3)*(IF(N258="",-1,N258)&lt;=4))*(1-(IF(N258="",-1,N258)=0)),IF(C258="peso_corporal",IF(ISNUMBER(E258),E258,0)+L258,L258)*(30+M258)*100+L258,0),IF((P258&gt;=12)*(1-(IF(Q258="",-1,Q258)&gt;=3)*(IF(Q258="",-1,Q258)&lt;=4))*(1-(IF(Q258="",-1,Q258)=0)),IF(C258="peso_corporal",IF(ISNUMBER(E258),E258,0)+O258,O258)*(30+P258)*100+O258,0),IF((S258&gt;=12)*(1-(IF(T258="",-1,T258)&gt;=3)*(IF(T258="",-1,T258)&lt;=4))*(1-(IF(T258="",-1,T258)=0)),IF(C258="peso_corporal",IF(ISNUMBER(E258),E258,0)+R258,R258)*(30+S258)*100+R258,0))</f>
        <v>0</v>
      </c>
      <c r="AB258" s="69">
        <f>IF(AA258=0,0,IF(IF((S258&gt;=12)*(1-(IF(T258="",-1,T258)&gt;=3)*(IF(T258="",-1,T258)&lt;=4))*(1-(IF(T258="",-1,T258)=0)),IF(C258="peso_corporal",IF(ISNUMBER(E258),E258,0)+R258,R258)*(30+S258)*100+R258,0)=AA258,5,IF(IF((P258&gt;=12)*(1-(IF(Q258="",-1,Q258)&gt;=3)*(IF(Q258="",-1,Q258)&lt;=4))*(1-(IF(Q258="",-1,Q258)=0)),IF(C258="peso_corporal",IF(ISNUMBER(E258),E258,0)+O258,O258)*(30+P258)*100+O258,0)=AA258,4,IF(IF((M258&gt;=12)*(1-(IF(N258="",-1,N258)&gt;=3)*(IF(N258="",-1,N258)&lt;=4))*(1-(IF(N258="",-1,N258)=0)),IF(C258="peso_corporal",IF(ISNUMBER(E258),E258,0)+L258,L258)*(30+M258)*100+L258,0)=AA258,3,IF(IF((J258&gt;=12)*(1-(IF(K258="",-1,K258)&gt;=3)*(IF(K258="",-1,K258)&lt;=4))*(1-(IF(K258="",-1,K258)=0)),IF(C258="peso_corporal",IF(ISNUMBER(E258),E258,0)+I258,I258)*(30+J258)*100+I258,0)=AA258,2,IF(IF((G258&gt;=12)*(1-(IF(H258="",-1,H258)&gt;=3)*(IF(H258="",-1,H258)&lt;=4))*(1-(IF(H258="",-1,H258)=0)),IF(C258="peso_corporal",IF(ISNUMBER(E258),E258,0)+F258,F258)*(30+G258)*100+F258,0)=AA258,1,0))))))</f>
        <v>0</v>
      </c>
      <c r="AC258" s="69" t="str">
        <f>IF(X258&gt;0,"A"&amp;X258,IF(Z258&gt;0,"B"&amp;Z258,IF(AB258&gt;0,"C"&amp;AB258,"")))</f>
        <v/>
      </c>
    </row>
    <row r="259" spans="1:29" ht="15" customHeight="1">
      <c r="A259" s="72" t="s">
        <v>56</v>
      </c>
      <c r="B259" s="73"/>
      <c r="C259" s="73"/>
      <c r="D259" s="73"/>
      <c r="E259" s="73"/>
      <c r="F259" s="73"/>
      <c r="G259" s="73"/>
      <c r="H259" s="73"/>
      <c r="I259" s="73"/>
      <c r="J259" s="73"/>
      <c r="K259" s="73"/>
      <c r="L259" s="73"/>
      <c r="M259" s="73"/>
      <c r="N259" s="73"/>
      <c r="O259" s="73"/>
      <c r="P259" s="73"/>
      <c r="Q259" s="73"/>
      <c r="R259" s="73"/>
      <c r="S259" s="73"/>
      <c r="T259" s="73"/>
      <c r="U259" s="73"/>
      <c r="V259" s="73"/>
      <c r="W259" s="69"/>
      <c r="X259" s="69"/>
      <c r="Y259" s="69"/>
      <c r="Z259" s="69"/>
      <c r="AA259" s="69"/>
      <c r="AB259" s="69"/>
      <c r="AC259" s="69"/>
    </row>
    <row r="260" spans="1:29" ht="20.100000000000001" customHeight="1">
      <c r="A260" s="14" t="s">
        <v>57</v>
      </c>
      <c r="B260" s="15" t="s">
        <v>58</v>
      </c>
      <c r="C260" s="16" t="str">
        <f>IFERROR(INDEX(EJERCICIOS!$D$3:$D$75,MATCH(A260&amp;"|"&amp;B260,EJERCICIOS!$G$3:$G$75,0)),"--")</f>
        <v>polea</v>
      </c>
      <c r="D260" s="17">
        <v>3</v>
      </c>
      <c r="E260" s="18">
        <f>IFERROR(LOOKUP(2,1/(MEDIDAS_Y_PESO!$B$3:$B$14&lt;&gt;""),MEDIDAS_Y_PESO!$B$3:$B$14),"--")</f>
        <v>80</v>
      </c>
      <c r="F260" s="19"/>
      <c r="G260" s="20"/>
      <c r="H260" s="21"/>
      <c r="I260" s="19"/>
      <c r="J260" s="20"/>
      <c r="K260" s="21"/>
      <c r="L260" s="19"/>
      <c r="M260" s="20"/>
      <c r="N260" s="21"/>
      <c r="O260" s="19"/>
      <c r="P260" s="20"/>
      <c r="Q260" s="21"/>
      <c r="R260" s="19"/>
      <c r="S260" s="20"/>
      <c r="T260" s="21"/>
      <c r="U260" s="22" t="str">
        <f>IFERROR(IF(IF(X260&gt;0,X260,IF(Z260&gt;0,Z260,IF(AB260&gt;0,AB260,0)))=0,"--",ROUND(CHOOSE(IF(X260&gt;0,X260,IF(Z260&gt;0,Z260,IF(AB260&gt;0,AB260,0))),IF(C260="peso_corporal",IF(ISNUMBER(E260),E260,0)+F260,F260)*(1+G260/30),IF(C260="peso_corporal",IF(ISNUMBER(E260),E260,0)+I260,I260)*(1+J260/30),IF(C260="peso_corporal",IF(ISNUMBER(E260),E260,0)+L260,L260)*(1+M260/30),IF(C260="peso_corporal",IF(ISNUMBER(E260),E260,0)+O260,O260)*(1+P260/30),IF(C260="peso_corporal",IF(ISNUMBER(E260),E260,0)+R260,R260)*(1+S260/30)),1)),"--")</f>
        <v>--</v>
      </c>
      <c r="V260" s="23" t="str">
        <f>IF(SUGERENCIAS!N718="SIN","Sin datos anteriores",IF(SUGERENCIAS!N718="SUBIR_F","^ SUBIR FUERTE | Kg:"&amp;ROUND(SUGERENCIAS!K718,1)&amp;" R:"&amp;ROUND(SUGERENCIAS!L718,0)&amp;" RIR:"&amp;ROUND(SUGERENCIAS!M718,0),IF(SUGERENCIAS!N718="SUBIR_E","^ SUBIR (Est.) | Kg:"&amp;ROUND(SUGERENCIAS!K718,1)&amp;" R:"&amp;ROUND(SUGERENCIAS!L718,0)&amp;" RIR:"&amp;ROUND(SUGERENCIAS!M718,0),IF(SUGERENCIAS!N718="SUBIR","^ SUBIR | Kg:"&amp;ROUND(SUGERENCIAS!K718,1)&amp;" R:"&amp;ROUND(SUGERENCIAS!L718,0)&amp;" RIR:"&amp;ROUND(SUGERENCIAS!M718,0),IF(SUGERENCIAS!N718="BAJAR","v BAJAR | Kg:"&amp;ROUND(SUGERENCIAS!K718,1)&amp;" R:"&amp;ROUND(SUGERENCIAS!L718,0)&amp;" RIR:"&amp;ROUND(SUGERENCIAS!M718,0),"= MANT | Kg:"&amp;ROUND(SUGERENCIAS!K718,1)&amp;" R:"&amp;ROUND(SUGERENCIAS!L718,0)&amp;" RIR:"&amp;ROUND(SUGERENCIAS!M718,0))))))</f>
        <v>Sin datos anteriores</v>
      </c>
      <c r="W260" s="69">
        <f>MAX(IF((G260&gt;0)*(IF(H260="",-1,H260)&gt;=3)*(IF(H260="",-1,H260)&lt;=4),IF(C260="peso_corporal",IF(ISNUMBER(E260),E260,0)+F260,F260)*G260*1000+F260,0),IF((J260&gt;0)*(IF(K260="",-1,K260)&gt;=3)*(IF(K260="",-1,K260)&lt;=4),IF(C260="peso_corporal",IF(ISNUMBER(E260),E260,0)+I260,I260)*J260*1000+I260,0),IF((M260&gt;0)*(IF(N260="",-1,N260)&gt;=3)*(IF(N260="",-1,N260)&lt;=4),IF(C260="peso_corporal",IF(ISNUMBER(E260),E260,0)+L260,L260)*M260*1000+L260,0),IF((P260&gt;0)*(IF(Q260="",-1,Q260)&gt;=3)*(IF(Q260="",-1,Q260)&lt;=4),IF(C260="peso_corporal",IF(ISNUMBER(E260),E260,0)+O260,O260)*P260*1000+O260,0),IF((S260&gt;0)*(IF(T260="",-1,T260)&gt;=3)*(IF(T260="",-1,T260)&lt;=4),IF(C260="peso_corporal",IF(ISNUMBER(E260),E260,0)+R260,R260)*S260*1000+R260,0))</f>
        <v>0</v>
      </c>
      <c r="X260" s="69">
        <f>IF(W260=0,0,IF(IF((S260&gt;0)*(IF(T260="",-1,T260)&gt;=3)*(IF(T260="",-1,T260)&lt;=4),IF(C260="peso_corporal",IF(ISNUMBER(E260),E260,0)+R260,R260)*S260*1000+R260,0)=W260,5,IF(IF((P260&gt;0)*(IF(Q260="",-1,Q260)&gt;=3)*(IF(Q260="",-1,Q260)&lt;=4),IF(C260="peso_corporal",IF(ISNUMBER(E260),E260,0)+O260,O260)*P260*1000+O260,0)=W260,4,IF(IF((M260&gt;0)*(IF(N260="",-1,N260)&gt;=3)*(IF(N260="",-1,N260)&lt;=4),IF(C260="peso_corporal",IF(ISNUMBER(E260),E260,0)+L260,L260)*M260*1000+L260,0)=W260,3,IF(IF((J260&gt;0)*(IF(K260="",-1,K260)&gt;=3)*(IF(K260="",-1,K260)&lt;=4),IF(C260="peso_corporal",IF(ISNUMBER(E260),E260,0)+I260,I260)*J260*1000+I260,0)=W260,2,IF(IF((G260&gt;0)*(IF(H260="",-1,H260)&gt;=3)*(IF(H260="",-1,H260)&lt;=4),IF(C260="peso_corporal",IF(ISNUMBER(E260),E260,0)+F260,F260)*G260*1000+F260,0)=W260,1,0))))))</f>
        <v>0</v>
      </c>
      <c r="Y260" s="69">
        <f>MAX(IF((G260&gt;0)*(IF(H260="",-1,H260)=0)*(1-(IF(H260="",-1,H260)&gt;=3)*(IF(H260="",-1,H260)&lt;=4)),IF(C260="peso_corporal",IF(ISNUMBER(E260),E260,0)+F260,F260)*G260*1000+F260,0),IF((J260&gt;0)*(IF(K260="",-1,K260)=0)*(1-(IF(K260="",-1,K260)&gt;=3)*(IF(K260="",-1,K260)&lt;=4)),IF(C260="peso_corporal",IF(ISNUMBER(E260),E260,0)+I260,I260)*J260*1000+I260,0),IF((M260&gt;0)*(IF(N260="",-1,N260)=0)*(1-(IF(N260="",-1,N260)&gt;=3)*(IF(N260="",-1,N260)&lt;=4)),IF(C260="peso_corporal",IF(ISNUMBER(E260),E260,0)+L260,L260)*M260*1000+L260,0),IF((P260&gt;0)*(IF(Q260="",-1,Q260)=0)*(1-(IF(Q260="",-1,Q260)&gt;=3)*(IF(Q260="",-1,Q260)&lt;=4)),IF(C260="peso_corporal",IF(ISNUMBER(E260),E260,0)+O260,O260)*P260*1000+O260,0),IF((S260&gt;0)*(IF(T260="",-1,T260)=0)*(1-(IF(T260="",-1,T260)&gt;=3)*(IF(T260="",-1,T260)&lt;=4)),IF(C260="peso_corporal",IF(ISNUMBER(E260),E260,0)+R260,R260)*S260*1000+R260,0))</f>
        <v>0</v>
      </c>
      <c r="Z260" s="69">
        <f>IF(Y260=0,0,IF(IF((S260&gt;0)*(IF(T260="",-1,T260)=0)*(1-(IF(T260="",-1,T260)&gt;=3)*(IF(T260="",-1,T260)&lt;=4)),IF(C260="peso_corporal",IF(ISNUMBER(E260),E260,0)+R260,R260)*S260*1000+R260,0)=Y260,5,IF(IF((P260&gt;0)*(IF(Q260="",-1,Q260)=0)*(1-(IF(Q260="",-1,Q260)&gt;=3)*(IF(Q260="",-1,Q260)&lt;=4)),IF(C260="peso_corporal",IF(ISNUMBER(E260),E260,0)+O260,O260)*P260*1000+O260,0)=Y260,4,IF(IF((M260&gt;0)*(IF(N260="",-1,N260)=0)*(1-(IF(N260="",-1,N260)&gt;=3)*(IF(N260="",-1,N260)&lt;=4)),IF(C260="peso_corporal",IF(ISNUMBER(E260),E260,0)+L260,L260)*M260*1000+L260,0)=Y260,3,IF(IF((J260&gt;0)*(IF(K260="",-1,K260)=0)*(1-(IF(K260="",-1,K260)&gt;=3)*(IF(K260="",-1,K260)&lt;=4)),IF(C260="peso_corporal",IF(ISNUMBER(E260),E260,0)+I260,I260)*J260*1000+I260,0)=Y260,2,IF(IF((G260&gt;0)*(IF(H260="",-1,H260)=0)*(1-(IF(H260="",-1,H260)&gt;=3)*(IF(H260="",-1,H260)&lt;=4)),IF(C260="peso_corporal",IF(ISNUMBER(E260),E260,0)+F260,F260)*G260*1000+F260,0)=Y260,1,0))))))</f>
        <v>0</v>
      </c>
      <c r="AA260" s="69">
        <f>MAX(IF((G260&gt;=12)*(1-(IF(H260="",-1,H260)&gt;=3)*(IF(H260="",-1,H260)&lt;=4))*(1-(IF(H260="",-1,H260)=0)),IF(C260="peso_corporal",IF(ISNUMBER(E260),E260,0)+F260,F260)*(30+G260)*100+F260,0),IF((J260&gt;=12)*(1-(IF(K260="",-1,K260)&gt;=3)*(IF(K260="",-1,K260)&lt;=4))*(1-(IF(K260="",-1,K260)=0)),IF(C260="peso_corporal",IF(ISNUMBER(E260),E260,0)+I260,I260)*(30+J260)*100+I260,0),IF((M260&gt;=12)*(1-(IF(N260="",-1,N260)&gt;=3)*(IF(N260="",-1,N260)&lt;=4))*(1-(IF(N260="",-1,N260)=0)),IF(C260="peso_corporal",IF(ISNUMBER(E260),E260,0)+L260,L260)*(30+M260)*100+L260,0),IF((P260&gt;=12)*(1-(IF(Q260="",-1,Q260)&gt;=3)*(IF(Q260="",-1,Q260)&lt;=4))*(1-(IF(Q260="",-1,Q260)=0)),IF(C260="peso_corporal",IF(ISNUMBER(E260),E260,0)+O260,O260)*(30+P260)*100+O260,0),IF((S260&gt;=12)*(1-(IF(T260="",-1,T260)&gt;=3)*(IF(T260="",-1,T260)&lt;=4))*(1-(IF(T260="",-1,T260)=0)),IF(C260="peso_corporal",IF(ISNUMBER(E260),E260,0)+R260,R260)*(30+S260)*100+R260,0))</f>
        <v>0</v>
      </c>
      <c r="AB260" s="69">
        <f>IF(AA260=0,0,IF(IF((S260&gt;=12)*(1-(IF(T260="",-1,T260)&gt;=3)*(IF(T260="",-1,T260)&lt;=4))*(1-(IF(T260="",-1,T260)=0)),IF(C260="peso_corporal",IF(ISNUMBER(E260),E260,0)+R260,R260)*(30+S260)*100+R260,0)=AA260,5,IF(IF((P260&gt;=12)*(1-(IF(Q260="",-1,Q260)&gt;=3)*(IF(Q260="",-1,Q260)&lt;=4))*(1-(IF(Q260="",-1,Q260)=0)),IF(C260="peso_corporal",IF(ISNUMBER(E260),E260,0)+O260,O260)*(30+P260)*100+O260,0)=AA260,4,IF(IF((M260&gt;=12)*(1-(IF(N260="",-1,N260)&gt;=3)*(IF(N260="",-1,N260)&lt;=4))*(1-(IF(N260="",-1,N260)=0)),IF(C260="peso_corporal",IF(ISNUMBER(E260),E260,0)+L260,L260)*(30+M260)*100+L260,0)=AA260,3,IF(IF((J260&gt;=12)*(1-(IF(K260="",-1,K260)&gt;=3)*(IF(K260="",-1,K260)&lt;=4))*(1-(IF(K260="",-1,K260)=0)),IF(C260="peso_corporal",IF(ISNUMBER(E260),E260,0)+I260,I260)*(30+J260)*100+I260,0)=AA260,2,IF(IF((G260&gt;=12)*(1-(IF(H260="",-1,H260)&gt;=3)*(IF(H260="",-1,H260)&lt;=4))*(1-(IF(H260="",-1,H260)=0)),IF(C260="peso_corporal",IF(ISNUMBER(E260),E260,0)+F260,F260)*(30+G260)*100+F260,0)=AA260,1,0))))))</f>
        <v>0</v>
      </c>
      <c r="AC260" s="69" t="str">
        <f>IF(X260&gt;0,"A"&amp;X260,IF(Z260&gt;0,"B"&amp;Z260,IF(AB260&gt;0,"C"&amp;AB260,"")))</f>
        <v/>
      </c>
    </row>
    <row r="261" spans="1:29" ht="6"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69"/>
      <c r="X261" s="69"/>
      <c r="Y261" s="69"/>
      <c r="Z261" s="69"/>
      <c r="AA261" s="69"/>
      <c r="AB261" s="69"/>
      <c r="AC261" s="69"/>
    </row>
  </sheetData>
  <mergeCells count="116">
    <mergeCell ref="A246:V246"/>
    <mergeCell ref="A75:V75"/>
    <mergeCell ref="A133:V133"/>
    <mergeCell ref="A158:V158"/>
    <mergeCell ref="A238:V238"/>
    <mergeCell ref="A120:V120"/>
    <mergeCell ref="A12:V12"/>
    <mergeCell ref="A95:V95"/>
    <mergeCell ref="A1:V1"/>
    <mergeCell ref="A45:V45"/>
    <mergeCell ref="A94:V94"/>
    <mergeCell ref="A168:V168"/>
    <mergeCell ref="A78:V78"/>
    <mergeCell ref="L2:N2"/>
    <mergeCell ref="A87:V87"/>
    <mergeCell ref="A162:V162"/>
    <mergeCell ref="A54:V54"/>
    <mergeCell ref="A137:V137"/>
    <mergeCell ref="A217:V217"/>
    <mergeCell ref="A74:V74"/>
    <mergeCell ref="A154:V154"/>
    <mergeCell ref="A196:V196"/>
    <mergeCell ref="A183:V183"/>
    <mergeCell ref="A66:V66"/>
    <mergeCell ref="A255:V255"/>
    <mergeCell ref="A89:V89"/>
    <mergeCell ref="A136:V136"/>
    <mergeCell ref="A21:V21"/>
    <mergeCell ref="A192:V192"/>
    <mergeCell ref="A105:V105"/>
    <mergeCell ref="A26:V26"/>
    <mergeCell ref="A57:V57"/>
    <mergeCell ref="A210:V210"/>
    <mergeCell ref="A179:V179"/>
    <mergeCell ref="A194:V194"/>
    <mergeCell ref="A234:V234"/>
    <mergeCell ref="A91:V91"/>
    <mergeCell ref="A171:V171"/>
    <mergeCell ref="A52:V52"/>
    <mergeCell ref="A165:V165"/>
    <mergeCell ref="A63:V63"/>
    <mergeCell ref="A242:V242"/>
    <mergeCell ref="A129:V129"/>
    <mergeCell ref="A33:V33"/>
    <mergeCell ref="A116:V116"/>
    <mergeCell ref="A131:V131"/>
    <mergeCell ref="A36:V36"/>
    <mergeCell ref="A28:V28"/>
    <mergeCell ref="A259:V259"/>
    <mergeCell ref="A53:V53"/>
    <mergeCell ref="A231:V231"/>
    <mergeCell ref="A180:V180"/>
    <mergeCell ref="A115:V115"/>
    <mergeCell ref="A68:V68"/>
    <mergeCell ref="A102:V102"/>
    <mergeCell ref="A117:V117"/>
    <mergeCell ref="A39:V39"/>
    <mergeCell ref="A207:V207"/>
    <mergeCell ref="A220:V220"/>
    <mergeCell ref="A173:V173"/>
    <mergeCell ref="A201:V201"/>
    <mergeCell ref="A157:V157"/>
    <mergeCell ref="A222:V222"/>
    <mergeCell ref="A49:V49"/>
    <mergeCell ref="A138:V138"/>
    <mergeCell ref="A110:V110"/>
    <mergeCell ref="A215:V215"/>
    <mergeCell ref="A112:V112"/>
    <mergeCell ref="A199:V199"/>
    <mergeCell ref="A225:V225"/>
    <mergeCell ref="A178:V178"/>
    <mergeCell ref="A70:V70"/>
    <mergeCell ref="A249:V249"/>
    <mergeCell ref="A31:V31"/>
    <mergeCell ref="A15:V15"/>
    <mergeCell ref="A186:V186"/>
    <mergeCell ref="A257:V257"/>
    <mergeCell ref="A73:V73"/>
    <mergeCell ref="A24:V24"/>
    <mergeCell ref="A60:V60"/>
    <mergeCell ref="A241:V241"/>
    <mergeCell ref="A123:V123"/>
    <mergeCell ref="A228:V228"/>
    <mergeCell ref="A243:V243"/>
    <mergeCell ref="A252:V252"/>
    <mergeCell ref="A99:V99"/>
    <mergeCell ref="A221:V221"/>
    <mergeCell ref="A108:V108"/>
    <mergeCell ref="A84:V84"/>
    <mergeCell ref="A236:V236"/>
    <mergeCell ref="A18:V18"/>
    <mergeCell ref="A189:V189"/>
    <mergeCell ref="A204:V204"/>
    <mergeCell ref="A42:V42"/>
    <mergeCell ref="A213:V213"/>
    <mergeCell ref="A47:V47"/>
    <mergeCell ref="A175:V175"/>
    <mergeCell ref="A5:V5"/>
    <mergeCell ref="A32:V32"/>
    <mergeCell ref="A159:V159"/>
    <mergeCell ref="F2:H2"/>
    <mergeCell ref="A200:V200"/>
    <mergeCell ref="A4:V4"/>
    <mergeCell ref="A81:V81"/>
    <mergeCell ref="A96:V96"/>
    <mergeCell ref="A152:V152"/>
    <mergeCell ref="A147:V147"/>
    <mergeCell ref="I2:K2"/>
    <mergeCell ref="A126:V126"/>
    <mergeCell ref="A141:V141"/>
    <mergeCell ref="A150:V150"/>
    <mergeCell ref="A144:V144"/>
    <mergeCell ref="A10:V10"/>
    <mergeCell ref="A11:V11"/>
    <mergeCell ref="R2:T2"/>
    <mergeCell ref="O2:Q2"/>
  </mergeCells>
  <conditionalFormatting sqref="I13:K13">
    <cfRule type="expression" dxfId="4046" priority="4">
      <formula>$D$13&lt;2</formula>
    </cfRule>
  </conditionalFormatting>
  <conditionalFormatting sqref="I14:K14">
    <cfRule type="expression" dxfId="4045" priority="19">
      <formula>$D$14&lt;2</formula>
    </cfRule>
  </conditionalFormatting>
  <conditionalFormatting sqref="I16:K16">
    <cfRule type="expression" dxfId="4044" priority="34">
      <formula>$D$16&lt;2</formula>
    </cfRule>
  </conditionalFormatting>
  <conditionalFormatting sqref="I17:K17">
    <cfRule type="expression" dxfId="4043" priority="49">
      <formula>$D$17&lt;2</formula>
    </cfRule>
  </conditionalFormatting>
  <conditionalFormatting sqref="I19:K19">
    <cfRule type="expression" dxfId="4042" priority="64">
      <formula>$D$19&lt;2</formula>
    </cfRule>
  </conditionalFormatting>
  <conditionalFormatting sqref="I20:K20">
    <cfRule type="expression" dxfId="4041" priority="79">
      <formula>$D$20&lt;2</formula>
    </cfRule>
  </conditionalFormatting>
  <conditionalFormatting sqref="I22:K22">
    <cfRule type="expression" dxfId="4040" priority="94">
      <formula>$D$22&lt;2</formula>
    </cfRule>
  </conditionalFormatting>
  <conditionalFormatting sqref="I23:K23">
    <cfRule type="expression" dxfId="4039" priority="109">
      <formula>$D$23&lt;2</formula>
    </cfRule>
  </conditionalFormatting>
  <conditionalFormatting sqref="I25:K25">
    <cfRule type="expression" dxfId="4038" priority="124">
      <formula>$D$25&lt;2</formula>
    </cfRule>
  </conditionalFormatting>
  <conditionalFormatting sqref="I27:K27">
    <cfRule type="expression" dxfId="4037" priority="139">
      <formula>$D$27&lt;2</formula>
    </cfRule>
  </conditionalFormatting>
  <conditionalFormatting sqref="I29:K29">
    <cfRule type="expression" dxfId="4036" priority="154">
      <formula>$D$29&lt;2</formula>
    </cfRule>
  </conditionalFormatting>
  <conditionalFormatting sqref="I34:K34">
    <cfRule type="expression" dxfId="4035" priority="169">
      <formula>$D$34&lt;2</formula>
    </cfRule>
  </conditionalFormatting>
  <conditionalFormatting sqref="I35:K35">
    <cfRule type="expression" dxfId="4034" priority="184">
      <formula>$D$35&lt;2</formula>
    </cfRule>
  </conditionalFormatting>
  <conditionalFormatting sqref="I37:K37">
    <cfRule type="expression" dxfId="4033" priority="199">
      <formula>$D$37&lt;2</formula>
    </cfRule>
  </conditionalFormatting>
  <conditionalFormatting sqref="I38:K38">
    <cfRule type="expression" dxfId="4032" priority="214">
      <formula>$D$38&lt;2</formula>
    </cfRule>
  </conditionalFormatting>
  <conditionalFormatting sqref="I40:K40">
    <cfRule type="expression" dxfId="4031" priority="229">
      <formula>$D$40&lt;2</formula>
    </cfRule>
  </conditionalFormatting>
  <conditionalFormatting sqref="I41:K41">
    <cfRule type="expression" dxfId="4030" priority="244">
      <formula>$D$41&lt;2</formula>
    </cfRule>
  </conditionalFormatting>
  <conditionalFormatting sqref="I43:K43">
    <cfRule type="expression" dxfId="4029" priority="259">
      <formula>$D$43&lt;2</formula>
    </cfRule>
  </conditionalFormatting>
  <conditionalFormatting sqref="I44:K44">
    <cfRule type="expression" dxfId="4028" priority="274">
      <formula>$D$44&lt;2</formula>
    </cfRule>
  </conditionalFormatting>
  <conditionalFormatting sqref="I46:K46">
    <cfRule type="expression" dxfId="4027" priority="289">
      <formula>$D$46&lt;2</formula>
    </cfRule>
  </conditionalFormatting>
  <conditionalFormatting sqref="I48:K48">
    <cfRule type="expression" dxfId="4026" priority="304">
      <formula>$D$48&lt;2</formula>
    </cfRule>
  </conditionalFormatting>
  <conditionalFormatting sqref="I50:K50">
    <cfRule type="expression" dxfId="4025" priority="319">
      <formula>$D$50&lt;2</formula>
    </cfRule>
  </conditionalFormatting>
  <conditionalFormatting sqref="I55:K55">
    <cfRule type="expression" dxfId="4024" priority="334">
      <formula>$D$55&lt;2</formula>
    </cfRule>
  </conditionalFormatting>
  <conditionalFormatting sqref="I56:K56">
    <cfRule type="expression" dxfId="4023" priority="349">
      <formula>$D$56&lt;2</formula>
    </cfRule>
  </conditionalFormatting>
  <conditionalFormatting sqref="I58:K58">
    <cfRule type="expression" dxfId="4022" priority="364">
      <formula>$D$58&lt;2</formula>
    </cfRule>
  </conditionalFormatting>
  <conditionalFormatting sqref="I59:K59">
    <cfRule type="expression" dxfId="4021" priority="379">
      <formula>$D$59&lt;2</formula>
    </cfRule>
  </conditionalFormatting>
  <conditionalFormatting sqref="I61:K61">
    <cfRule type="expression" dxfId="4020" priority="394">
      <formula>$D$61&lt;2</formula>
    </cfRule>
  </conditionalFormatting>
  <conditionalFormatting sqref="I62:K62">
    <cfRule type="expression" dxfId="4019" priority="409">
      <formula>$D$62&lt;2</formula>
    </cfRule>
  </conditionalFormatting>
  <conditionalFormatting sqref="I64:K64">
    <cfRule type="expression" dxfId="4018" priority="424">
      <formula>$D$64&lt;2</formula>
    </cfRule>
  </conditionalFormatting>
  <conditionalFormatting sqref="I65:K65">
    <cfRule type="expression" dxfId="4017" priority="439">
      <formula>$D$65&lt;2</formula>
    </cfRule>
  </conditionalFormatting>
  <conditionalFormatting sqref="I67:K67">
    <cfRule type="expression" dxfId="4016" priority="454">
      <formula>$D$67&lt;2</formula>
    </cfRule>
  </conditionalFormatting>
  <conditionalFormatting sqref="I69:K69">
    <cfRule type="expression" dxfId="4015" priority="469">
      <formula>$D$69&lt;2</formula>
    </cfRule>
  </conditionalFormatting>
  <conditionalFormatting sqref="I71:K71">
    <cfRule type="expression" dxfId="4014" priority="484">
      <formula>$D$71&lt;2</formula>
    </cfRule>
  </conditionalFormatting>
  <conditionalFormatting sqref="I76:K76">
    <cfRule type="expression" dxfId="4013" priority="499">
      <formula>$D$76&lt;2</formula>
    </cfRule>
  </conditionalFormatting>
  <conditionalFormatting sqref="I77:K77">
    <cfRule type="expression" dxfId="4012" priority="514">
      <formula>$D$77&lt;2</formula>
    </cfRule>
  </conditionalFormatting>
  <conditionalFormatting sqref="I79:K79">
    <cfRule type="expression" dxfId="4011" priority="529">
      <formula>$D$79&lt;2</formula>
    </cfRule>
  </conditionalFormatting>
  <conditionalFormatting sqref="I80:K80">
    <cfRule type="expression" dxfId="4010" priority="544">
      <formula>$D$80&lt;2</formula>
    </cfRule>
  </conditionalFormatting>
  <conditionalFormatting sqref="I82:K82">
    <cfRule type="expression" dxfId="4009" priority="559">
      <formula>$D$82&lt;2</formula>
    </cfRule>
  </conditionalFormatting>
  <conditionalFormatting sqref="I83:K83">
    <cfRule type="expression" dxfId="4008" priority="574">
      <formula>$D$83&lt;2</formula>
    </cfRule>
  </conditionalFormatting>
  <conditionalFormatting sqref="I85:K85">
    <cfRule type="expression" dxfId="4007" priority="589">
      <formula>$D$85&lt;2</formula>
    </cfRule>
  </conditionalFormatting>
  <conditionalFormatting sqref="I86:K86">
    <cfRule type="expression" dxfId="4006" priority="604">
      <formula>$D$86&lt;2</formula>
    </cfRule>
  </conditionalFormatting>
  <conditionalFormatting sqref="I88:K88">
    <cfRule type="expression" dxfId="4005" priority="619">
      <formula>$D$88&lt;2</formula>
    </cfRule>
  </conditionalFormatting>
  <conditionalFormatting sqref="I90:K90">
    <cfRule type="expression" dxfId="4004" priority="634">
      <formula>$D$90&lt;2</formula>
    </cfRule>
  </conditionalFormatting>
  <conditionalFormatting sqref="I92:K92">
    <cfRule type="expression" dxfId="4003" priority="649">
      <formula>$D$92&lt;2</formula>
    </cfRule>
  </conditionalFormatting>
  <conditionalFormatting sqref="I97:K97">
    <cfRule type="expression" dxfId="4002" priority="664">
      <formula>$D$97&lt;2</formula>
    </cfRule>
  </conditionalFormatting>
  <conditionalFormatting sqref="I98:K98">
    <cfRule type="expression" dxfId="4001" priority="679">
      <formula>$D$98&lt;2</formula>
    </cfRule>
  </conditionalFormatting>
  <conditionalFormatting sqref="I100:K100">
    <cfRule type="expression" dxfId="4000" priority="694">
      <formula>$D$100&lt;2</formula>
    </cfRule>
  </conditionalFormatting>
  <conditionalFormatting sqref="I101:K101">
    <cfRule type="expression" dxfId="3999" priority="709">
      <formula>$D$101&lt;2</formula>
    </cfRule>
  </conditionalFormatting>
  <conditionalFormatting sqref="I103:K103">
    <cfRule type="expression" dxfId="3998" priority="724">
      <formula>$D$103&lt;2</formula>
    </cfRule>
  </conditionalFormatting>
  <conditionalFormatting sqref="I104:K104">
    <cfRule type="expression" dxfId="3997" priority="739">
      <formula>$D$104&lt;2</formula>
    </cfRule>
  </conditionalFormatting>
  <conditionalFormatting sqref="I106:K106">
    <cfRule type="expression" dxfId="3996" priority="754">
      <formula>$D$106&lt;2</formula>
    </cfRule>
  </conditionalFormatting>
  <conditionalFormatting sqref="I107:K107">
    <cfRule type="expression" dxfId="3995" priority="769">
      <formula>$D$107&lt;2</formula>
    </cfRule>
  </conditionalFormatting>
  <conditionalFormatting sqref="I109:K109">
    <cfRule type="expression" dxfId="3994" priority="784">
      <formula>$D$109&lt;2</formula>
    </cfRule>
  </conditionalFormatting>
  <conditionalFormatting sqref="I111:K111">
    <cfRule type="expression" dxfId="3993" priority="799">
      <formula>$D$111&lt;2</formula>
    </cfRule>
  </conditionalFormatting>
  <conditionalFormatting sqref="I113:K113">
    <cfRule type="expression" dxfId="3992" priority="814">
      <formula>$D$113&lt;2</formula>
    </cfRule>
  </conditionalFormatting>
  <conditionalFormatting sqref="I118:K118">
    <cfRule type="expression" dxfId="3991" priority="829">
      <formula>$D$118&lt;2</formula>
    </cfRule>
  </conditionalFormatting>
  <conditionalFormatting sqref="I119:K119">
    <cfRule type="expression" dxfId="3990" priority="844">
      <formula>$D$119&lt;2</formula>
    </cfRule>
  </conditionalFormatting>
  <conditionalFormatting sqref="I121:K121">
    <cfRule type="expression" dxfId="3989" priority="859">
      <formula>$D$121&lt;2</formula>
    </cfRule>
  </conditionalFormatting>
  <conditionalFormatting sqref="I122:K122">
    <cfRule type="expression" dxfId="3988" priority="874">
      <formula>$D$122&lt;2</formula>
    </cfRule>
  </conditionalFormatting>
  <conditionalFormatting sqref="I124:K124">
    <cfRule type="expression" dxfId="3987" priority="889">
      <formula>$D$124&lt;2</formula>
    </cfRule>
  </conditionalFormatting>
  <conditionalFormatting sqref="I125:K125">
    <cfRule type="expression" dxfId="3986" priority="904">
      <formula>$D$125&lt;2</formula>
    </cfRule>
  </conditionalFormatting>
  <conditionalFormatting sqref="I127:K127">
    <cfRule type="expression" dxfId="3985" priority="919">
      <formula>$D$127&lt;2</formula>
    </cfRule>
  </conditionalFormatting>
  <conditionalFormatting sqref="I128:K128">
    <cfRule type="expression" dxfId="3984" priority="934">
      <formula>$D$128&lt;2</formula>
    </cfRule>
  </conditionalFormatting>
  <conditionalFormatting sqref="I130:K130">
    <cfRule type="expression" dxfId="3983" priority="949">
      <formula>$D$130&lt;2</formula>
    </cfRule>
  </conditionalFormatting>
  <conditionalFormatting sqref="I132:K132">
    <cfRule type="expression" dxfId="3982" priority="964">
      <formula>$D$132&lt;2</formula>
    </cfRule>
  </conditionalFormatting>
  <conditionalFormatting sqref="I134:K134">
    <cfRule type="expression" dxfId="3981" priority="979">
      <formula>$D$134&lt;2</formula>
    </cfRule>
  </conditionalFormatting>
  <conditionalFormatting sqref="I139:K139">
    <cfRule type="expression" dxfId="3980" priority="994">
      <formula>$D$139&lt;2</formula>
    </cfRule>
  </conditionalFormatting>
  <conditionalFormatting sqref="I140:K140">
    <cfRule type="expression" dxfId="3979" priority="1009">
      <formula>$D$140&lt;2</formula>
    </cfRule>
  </conditionalFormatting>
  <conditionalFormatting sqref="I142:K142">
    <cfRule type="expression" dxfId="3978" priority="1024">
      <formula>$D$142&lt;2</formula>
    </cfRule>
  </conditionalFormatting>
  <conditionalFormatting sqref="I143:K143">
    <cfRule type="expression" dxfId="3977" priority="1039">
      <formula>$D$143&lt;2</formula>
    </cfRule>
  </conditionalFormatting>
  <conditionalFormatting sqref="I145:K145">
    <cfRule type="expression" dxfId="3976" priority="1054">
      <formula>$D$145&lt;2</formula>
    </cfRule>
  </conditionalFormatting>
  <conditionalFormatting sqref="I146:K146">
    <cfRule type="expression" dxfId="3975" priority="1069">
      <formula>$D$146&lt;2</formula>
    </cfRule>
  </conditionalFormatting>
  <conditionalFormatting sqref="I148:K148">
    <cfRule type="expression" dxfId="3974" priority="1084">
      <formula>$D$148&lt;2</formula>
    </cfRule>
  </conditionalFormatting>
  <conditionalFormatting sqref="I149:K149">
    <cfRule type="expression" dxfId="3973" priority="1099">
      <formula>$D$149&lt;2</formula>
    </cfRule>
  </conditionalFormatting>
  <conditionalFormatting sqref="I151:K151">
    <cfRule type="expression" dxfId="3972" priority="1114">
      <formula>$D$151&lt;2</formula>
    </cfRule>
  </conditionalFormatting>
  <conditionalFormatting sqref="I153:K153">
    <cfRule type="expression" dxfId="3971" priority="1129">
      <formula>$D$153&lt;2</formula>
    </cfRule>
  </conditionalFormatting>
  <conditionalFormatting sqref="I155:K155">
    <cfRule type="expression" dxfId="3970" priority="1144">
      <formula>$D$155&lt;2</formula>
    </cfRule>
  </conditionalFormatting>
  <conditionalFormatting sqref="I160:K160">
    <cfRule type="expression" dxfId="3969" priority="1159">
      <formula>$D$160&lt;2</formula>
    </cfRule>
  </conditionalFormatting>
  <conditionalFormatting sqref="I161:K161">
    <cfRule type="expression" dxfId="3968" priority="1174">
      <formula>$D$161&lt;2</formula>
    </cfRule>
  </conditionalFormatting>
  <conditionalFormatting sqref="I163:K163">
    <cfRule type="expression" dxfId="3967" priority="1189">
      <formula>$D$163&lt;2</formula>
    </cfRule>
  </conditionalFormatting>
  <conditionalFormatting sqref="I164:K164">
    <cfRule type="expression" dxfId="3966" priority="1204">
      <formula>$D$164&lt;2</formula>
    </cfRule>
  </conditionalFormatting>
  <conditionalFormatting sqref="I166:K166">
    <cfRule type="expression" dxfId="3965" priority="1219">
      <formula>$D$166&lt;2</formula>
    </cfRule>
  </conditionalFormatting>
  <conditionalFormatting sqref="I167:K167">
    <cfRule type="expression" dxfId="3964" priority="1234">
      <formula>$D$167&lt;2</formula>
    </cfRule>
  </conditionalFormatting>
  <conditionalFormatting sqref="I169:K169">
    <cfRule type="expression" dxfId="3963" priority="1249">
      <formula>$D$169&lt;2</formula>
    </cfRule>
  </conditionalFormatting>
  <conditionalFormatting sqref="I170:K170">
    <cfRule type="expression" dxfId="3962" priority="1264">
      <formula>$D$170&lt;2</formula>
    </cfRule>
  </conditionalFormatting>
  <conditionalFormatting sqref="I172:K172">
    <cfRule type="expression" dxfId="3961" priority="1279">
      <formula>$D$172&lt;2</formula>
    </cfRule>
  </conditionalFormatting>
  <conditionalFormatting sqref="I174:K174">
    <cfRule type="expression" dxfId="3960" priority="1294">
      <formula>$D$174&lt;2</formula>
    </cfRule>
  </conditionalFormatting>
  <conditionalFormatting sqref="I176:K176">
    <cfRule type="expression" dxfId="3959" priority="1309">
      <formula>$D$176&lt;2</formula>
    </cfRule>
  </conditionalFormatting>
  <conditionalFormatting sqref="I181:K181">
    <cfRule type="expression" dxfId="3958" priority="1324">
      <formula>$D$181&lt;2</formula>
    </cfRule>
  </conditionalFormatting>
  <conditionalFormatting sqref="I182:K182">
    <cfRule type="expression" dxfId="3957" priority="1339">
      <formula>$D$182&lt;2</formula>
    </cfRule>
  </conditionalFormatting>
  <conditionalFormatting sqref="I184:K184">
    <cfRule type="expression" dxfId="3956" priority="1354">
      <formula>$D$184&lt;2</formula>
    </cfRule>
  </conditionalFormatting>
  <conditionalFormatting sqref="I185:K185">
    <cfRule type="expression" dxfId="3955" priority="1369">
      <formula>$D$185&lt;2</formula>
    </cfRule>
  </conditionalFormatting>
  <conditionalFormatting sqref="I187:K187">
    <cfRule type="expression" dxfId="3954" priority="1384">
      <formula>$D$187&lt;2</formula>
    </cfRule>
  </conditionalFormatting>
  <conditionalFormatting sqref="I188:K188">
    <cfRule type="expression" dxfId="3953" priority="1399">
      <formula>$D$188&lt;2</formula>
    </cfRule>
  </conditionalFormatting>
  <conditionalFormatting sqref="I190:K190">
    <cfRule type="expression" dxfId="3952" priority="1414">
      <formula>$D$190&lt;2</formula>
    </cfRule>
  </conditionalFormatting>
  <conditionalFormatting sqref="I191:K191">
    <cfRule type="expression" dxfId="3951" priority="1429">
      <formula>$D$191&lt;2</formula>
    </cfRule>
  </conditionalFormatting>
  <conditionalFormatting sqref="I193:K193">
    <cfRule type="expression" dxfId="3950" priority="1444">
      <formula>$D$193&lt;2</formula>
    </cfRule>
  </conditionalFormatting>
  <conditionalFormatting sqref="I195:K195">
    <cfRule type="expression" dxfId="3949" priority="1459">
      <formula>$D$195&lt;2</formula>
    </cfRule>
  </conditionalFormatting>
  <conditionalFormatting sqref="I197:K197">
    <cfRule type="expression" dxfId="3948" priority="1474">
      <formula>$D$197&lt;2</formula>
    </cfRule>
  </conditionalFormatting>
  <conditionalFormatting sqref="I202:K202">
    <cfRule type="expression" dxfId="3947" priority="1489">
      <formula>$D$202&lt;2</formula>
    </cfRule>
  </conditionalFormatting>
  <conditionalFormatting sqref="I203:K203">
    <cfRule type="expression" dxfId="3946" priority="1504">
      <formula>$D$203&lt;2</formula>
    </cfRule>
  </conditionalFormatting>
  <conditionalFormatting sqref="I205:K205">
    <cfRule type="expression" dxfId="3945" priority="1519">
      <formula>$D$205&lt;2</formula>
    </cfRule>
  </conditionalFormatting>
  <conditionalFormatting sqref="I206:K206">
    <cfRule type="expression" dxfId="3944" priority="1534">
      <formula>$D$206&lt;2</formula>
    </cfRule>
  </conditionalFormatting>
  <conditionalFormatting sqref="I208:K208">
    <cfRule type="expression" dxfId="3943" priority="1549">
      <formula>$D$208&lt;2</formula>
    </cfRule>
  </conditionalFormatting>
  <conditionalFormatting sqref="I209:K209">
    <cfRule type="expression" dxfId="3942" priority="1564">
      <formula>$D$209&lt;2</formula>
    </cfRule>
  </conditionalFormatting>
  <conditionalFormatting sqref="I211:K211">
    <cfRule type="expression" dxfId="3941" priority="1579">
      <formula>$D$211&lt;2</formula>
    </cfRule>
  </conditionalFormatting>
  <conditionalFormatting sqref="I212:K212">
    <cfRule type="expression" dxfId="3940" priority="1594">
      <formula>$D$212&lt;2</formula>
    </cfRule>
  </conditionalFormatting>
  <conditionalFormatting sqref="I214:K214">
    <cfRule type="expression" dxfId="3939" priority="1609">
      <formula>$D$214&lt;2</formula>
    </cfRule>
  </conditionalFormatting>
  <conditionalFormatting sqref="I216:K216">
    <cfRule type="expression" dxfId="3938" priority="1624">
      <formula>$D$216&lt;2</formula>
    </cfRule>
  </conditionalFormatting>
  <conditionalFormatting sqref="I218:K218">
    <cfRule type="expression" dxfId="3937" priority="1639">
      <formula>$D$218&lt;2</formula>
    </cfRule>
  </conditionalFormatting>
  <conditionalFormatting sqref="I223:K223">
    <cfRule type="expression" dxfId="3936" priority="1654">
      <formula>$D$223&lt;2</formula>
    </cfRule>
  </conditionalFormatting>
  <conditionalFormatting sqref="I224:K224">
    <cfRule type="expression" dxfId="3935" priority="1669">
      <formula>$D$224&lt;2</formula>
    </cfRule>
  </conditionalFormatting>
  <conditionalFormatting sqref="I226:K226">
    <cfRule type="expression" dxfId="3934" priority="1684">
      <formula>$D$226&lt;2</formula>
    </cfRule>
  </conditionalFormatting>
  <conditionalFormatting sqref="I227:K227">
    <cfRule type="expression" dxfId="3933" priority="1699">
      <formula>$D$227&lt;2</formula>
    </cfRule>
  </conditionalFormatting>
  <conditionalFormatting sqref="I229:K229">
    <cfRule type="expression" dxfId="3932" priority="1714">
      <formula>$D$229&lt;2</formula>
    </cfRule>
  </conditionalFormatting>
  <conditionalFormatting sqref="I230:K230">
    <cfRule type="expression" dxfId="3931" priority="1729">
      <formula>$D$230&lt;2</formula>
    </cfRule>
  </conditionalFormatting>
  <conditionalFormatting sqref="I232:K232">
    <cfRule type="expression" dxfId="3930" priority="1744">
      <formula>$D$232&lt;2</formula>
    </cfRule>
  </conditionalFormatting>
  <conditionalFormatting sqref="I233:K233">
    <cfRule type="expression" dxfId="3929" priority="1759">
      <formula>$D$233&lt;2</formula>
    </cfRule>
  </conditionalFormatting>
  <conditionalFormatting sqref="I235:K235">
    <cfRule type="expression" dxfId="3928" priority="1774">
      <formula>$D$235&lt;2</formula>
    </cfRule>
  </conditionalFormatting>
  <conditionalFormatting sqref="I237:K237">
    <cfRule type="expression" dxfId="3927" priority="1789">
      <formula>$D$237&lt;2</formula>
    </cfRule>
  </conditionalFormatting>
  <conditionalFormatting sqref="I239:K239">
    <cfRule type="expression" dxfId="3926" priority="1804">
      <formula>$D$239&lt;2</formula>
    </cfRule>
  </conditionalFormatting>
  <conditionalFormatting sqref="I244:K244">
    <cfRule type="expression" dxfId="3925" priority="1819">
      <formula>$D$244&lt;2</formula>
    </cfRule>
  </conditionalFormatting>
  <conditionalFormatting sqref="I245:K245">
    <cfRule type="expression" dxfId="3924" priority="1834">
      <formula>$D$245&lt;2</formula>
    </cfRule>
  </conditionalFormatting>
  <conditionalFormatting sqref="I247:K247">
    <cfRule type="expression" dxfId="3923" priority="1849">
      <formula>$D$247&lt;2</formula>
    </cfRule>
  </conditionalFormatting>
  <conditionalFormatting sqref="I248:K248">
    <cfRule type="expression" dxfId="3922" priority="1864">
      <formula>$D$248&lt;2</formula>
    </cfRule>
  </conditionalFormatting>
  <conditionalFormatting sqref="I250:K250">
    <cfRule type="expression" dxfId="3921" priority="1879">
      <formula>$D$250&lt;2</formula>
    </cfRule>
  </conditionalFormatting>
  <conditionalFormatting sqref="I251:K251">
    <cfRule type="expression" dxfId="3920" priority="1894">
      <formula>$D$251&lt;2</formula>
    </cfRule>
  </conditionalFormatting>
  <conditionalFormatting sqref="I253:K253">
    <cfRule type="expression" dxfId="3919" priority="1909">
      <formula>$D$253&lt;2</formula>
    </cfRule>
  </conditionalFormatting>
  <conditionalFormatting sqref="I254:K254">
    <cfRule type="expression" dxfId="3918" priority="1924">
      <formula>$D$254&lt;2</formula>
    </cfRule>
  </conditionalFormatting>
  <conditionalFormatting sqref="I256:K256">
    <cfRule type="expression" dxfId="3917" priority="1939">
      <formula>$D$256&lt;2</formula>
    </cfRule>
  </conditionalFormatting>
  <conditionalFormatting sqref="I258:K258">
    <cfRule type="expression" dxfId="3916" priority="1954">
      <formula>$D$258&lt;2</formula>
    </cfRule>
  </conditionalFormatting>
  <conditionalFormatting sqref="I260:K260">
    <cfRule type="expression" dxfId="3915" priority="1969">
      <formula>$D$260&lt;2</formula>
    </cfRule>
  </conditionalFormatting>
  <conditionalFormatting sqref="L13:N13">
    <cfRule type="expression" dxfId="3914" priority="7">
      <formula>$D$13&lt;3</formula>
    </cfRule>
  </conditionalFormatting>
  <conditionalFormatting sqref="L14:N14">
    <cfRule type="expression" dxfId="3913" priority="22">
      <formula>$D$14&lt;3</formula>
    </cfRule>
  </conditionalFormatting>
  <conditionalFormatting sqref="L16:N16">
    <cfRule type="expression" dxfId="3912" priority="37">
      <formula>$D$16&lt;3</formula>
    </cfRule>
  </conditionalFormatting>
  <conditionalFormatting sqref="L17:N17">
    <cfRule type="expression" dxfId="3911" priority="52">
      <formula>$D$17&lt;3</formula>
    </cfRule>
  </conditionalFormatting>
  <conditionalFormatting sqref="L19:N19">
    <cfRule type="expression" dxfId="3910" priority="67">
      <formula>$D$19&lt;3</formula>
    </cfRule>
  </conditionalFormatting>
  <conditionalFormatting sqref="L20:N20">
    <cfRule type="expression" dxfId="3909" priority="82">
      <formula>$D$20&lt;3</formula>
    </cfRule>
  </conditionalFormatting>
  <conditionalFormatting sqref="L22:N22">
    <cfRule type="expression" dxfId="3908" priority="97">
      <formula>$D$22&lt;3</formula>
    </cfRule>
  </conditionalFormatting>
  <conditionalFormatting sqref="L23:N23">
    <cfRule type="expression" dxfId="3907" priority="112">
      <formula>$D$23&lt;3</formula>
    </cfRule>
  </conditionalFormatting>
  <conditionalFormatting sqref="L25:N25">
    <cfRule type="expression" dxfId="3906" priority="127">
      <formula>$D$25&lt;3</formula>
    </cfRule>
  </conditionalFormatting>
  <conditionalFormatting sqref="L27:N27">
    <cfRule type="expression" dxfId="3905" priority="142">
      <formula>$D$27&lt;3</formula>
    </cfRule>
  </conditionalFormatting>
  <conditionalFormatting sqref="L29:N29">
    <cfRule type="expression" dxfId="3904" priority="157">
      <formula>$D$29&lt;3</formula>
    </cfRule>
  </conditionalFormatting>
  <conditionalFormatting sqref="L34:N34">
    <cfRule type="expression" dxfId="3903" priority="172">
      <formula>$D$34&lt;3</formula>
    </cfRule>
  </conditionalFormatting>
  <conditionalFormatting sqref="L35:N35">
    <cfRule type="expression" dxfId="3902" priority="187">
      <formula>$D$35&lt;3</formula>
    </cfRule>
  </conditionalFormatting>
  <conditionalFormatting sqref="L37:N37">
    <cfRule type="expression" dxfId="3901" priority="202">
      <formula>$D$37&lt;3</formula>
    </cfRule>
  </conditionalFormatting>
  <conditionalFormatting sqref="L38:N38">
    <cfRule type="expression" dxfId="3900" priority="217">
      <formula>$D$38&lt;3</formula>
    </cfRule>
  </conditionalFormatting>
  <conditionalFormatting sqref="L40:N40">
    <cfRule type="expression" dxfId="3899" priority="232">
      <formula>$D$40&lt;3</formula>
    </cfRule>
  </conditionalFormatting>
  <conditionalFormatting sqref="L41:N41">
    <cfRule type="expression" dxfId="3898" priority="247">
      <formula>$D$41&lt;3</formula>
    </cfRule>
  </conditionalFormatting>
  <conditionalFormatting sqref="L43:N43">
    <cfRule type="expression" dxfId="3897" priority="262">
      <formula>$D$43&lt;3</formula>
    </cfRule>
  </conditionalFormatting>
  <conditionalFormatting sqref="L44:N44">
    <cfRule type="expression" dxfId="3896" priority="277">
      <formula>$D$44&lt;3</formula>
    </cfRule>
  </conditionalFormatting>
  <conditionalFormatting sqref="L46:N46">
    <cfRule type="expression" dxfId="3895" priority="292">
      <formula>$D$46&lt;3</formula>
    </cfRule>
  </conditionalFormatting>
  <conditionalFormatting sqref="L48:N48">
    <cfRule type="expression" dxfId="3894" priority="307">
      <formula>$D$48&lt;3</formula>
    </cfRule>
  </conditionalFormatting>
  <conditionalFormatting sqref="L50:N50">
    <cfRule type="expression" dxfId="3893" priority="322">
      <formula>$D$50&lt;3</formula>
    </cfRule>
  </conditionalFormatting>
  <conditionalFormatting sqref="L55:N55">
    <cfRule type="expression" dxfId="3892" priority="337">
      <formula>$D$55&lt;3</formula>
    </cfRule>
  </conditionalFormatting>
  <conditionalFormatting sqref="L56:N56">
    <cfRule type="expression" dxfId="3891" priority="352">
      <formula>$D$56&lt;3</formula>
    </cfRule>
  </conditionalFormatting>
  <conditionalFormatting sqref="L58:N58">
    <cfRule type="expression" dxfId="3890" priority="367">
      <formula>$D$58&lt;3</formula>
    </cfRule>
  </conditionalFormatting>
  <conditionalFormatting sqref="L59:N59">
    <cfRule type="expression" dxfId="3889" priority="382">
      <formula>$D$59&lt;3</formula>
    </cfRule>
  </conditionalFormatting>
  <conditionalFormatting sqref="L61:N61">
    <cfRule type="expression" dxfId="3888" priority="397">
      <formula>$D$61&lt;3</formula>
    </cfRule>
  </conditionalFormatting>
  <conditionalFormatting sqref="L62:N62">
    <cfRule type="expression" dxfId="3887" priority="412">
      <formula>$D$62&lt;3</formula>
    </cfRule>
  </conditionalFormatting>
  <conditionalFormatting sqref="L64:N64">
    <cfRule type="expression" dxfId="3886" priority="427">
      <formula>$D$64&lt;3</formula>
    </cfRule>
  </conditionalFormatting>
  <conditionalFormatting sqref="L65:N65">
    <cfRule type="expression" dxfId="3885" priority="442">
      <formula>$D$65&lt;3</formula>
    </cfRule>
  </conditionalFormatting>
  <conditionalFormatting sqref="L67:N67">
    <cfRule type="expression" dxfId="3884" priority="457">
      <formula>$D$67&lt;3</formula>
    </cfRule>
  </conditionalFormatting>
  <conditionalFormatting sqref="L69:N69">
    <cfRule type="expression" dxfId="3883" priority="472">
      <formula>$D$69&lt;3</formula>
    </cfRule>
  </conditionalFormatting>
  <conditionalFormatting sqref="L71:N71">
    <cfRule type="expression" dxfId="3882" priority="487">
      <formula>$D$71&lt;3</formula>
    </cfRule>
  </conditionalFormatting>
  <conditionalFormatting sqref="L76:N76">
    <cfRule type="expression" dxfId="3881" priority="502">
      <formula>$D$76&lt;3</formula>
    </cfRule>
  </conditionalFormatting>
  <conditionalFormatting sqref="L77:N77">
    <cfRule type="expression" dxfId="3880" priority="517">
      <formula>$D$77&lt;3</formula>
    </cfRule>
  </conditionalFormatting>
  <conditionalFormatting sqref="L79:N79">
    <cfRule type="expression" dxfId="3879" priority="532">
      <formula>$D$79&lt;3</formula>
    </cfRule>
  </conditionalFormatting>
  <conditionalFormatting sqref="L80:N80">
    <cfRule type="expression" dxfId="3878" priority="547">
      <formula>$D$80&lt;3</formula>
    </cfRule>
  </conditionalFormatting>
  <conditionalFormatting sqref="L82:N82">
    <cfRule type="expression" dxfId="3877" priority="562">
      <formula>$D$82&lt;3</formula>
    </cfRule>
  </conditionalFormatting>
  <conditionalFormatting sqref="L83:N83">
    <cfRule type="expression" dxfId="3876" priority="577">
      <formula>$D$83&lt;3</formula>
    </cfRule>
  </conditionalFormatting>
  <conditionalFormatting sqref="L85:N85">
    <cfRule type="expression" dxfId="3875" priority="592">
      <formula>$D$85&lt;3</formula>
    </cfRule>
  </conditionalFormatting>
  <conditionalFormatting sqref="L86:N86">
    <cfRule type="expression" dxfId="3874" priority="607">
      <formula>$D$86&lt;3</formula>
    </cfRule>
  </conditionalFormatting>
  <conditionalFormatting sqref="L88:N88">
    <cfRule type="expression" dxfId="3873" priority="622">
      <formula>$D$88&lt;3</formula>
    </cfRule>
  </conditionalFormatting>
  <conditionalFormatting sqref="L90:N90">
    <cfRule type="expression" dxfId="3872" priority="637">
      <formula>$D$90&lt;3</formula>
    </cfRule>
  </conditionalFormatting>
  <conditionalFormatting sqref="L92:N92">
    <cfRule type="expression" dxfId="3871" priority="652">
      <formula>$D$92&lt;3</formula>
    </cfRule>
  </conditionalFormatting>
  <conditionalFormatting sqref="L97:N97">
    <cfRule type="expression" dxfId="3870" priority="667">
      <formula>$D$97&lt;3</formula>
    </cfRule>
  </conditionalFormatting>
  <conditionalFormatting sqref="L98:N98">
    <cfRule type="expression" dxfId="3869" priority="682">
      <formula>$D$98&lt;3</formula>
    </cfRule>
  </conditionalFormatting>
  <conditionalFormatting sqref="L100:N100">
    <cfRule type="expression" dxfId="3868" priority="697">
      <formula>$D$100&lt;3</formula>
    </cfRule>
  </conditionalFormatting>
  <conditionalFormatting sqref="L101:N101">
    <cfRule type="expression" dxfId="3867" priority="712">
      <formula>$D$101&lt;3</formula>
    </cfRule>
  </conditionalFormatting>
  <conditionalFormatting sqref="L103:N103">
    <cfRule type="expression" dxfId="3866" priority="727">
      <formula>$D$103&lt;3</formula>
    </cfRule>
  </conditionalFormatting>
  <conditionalFormatting sqref="L104:N104">
    <cfRule type="expression" dxfId="3865" priority="742">
      <formula>$D$104&lt;3</formula>
    </cfRule>
  </conditionalFormatting>
  <conditionalFormatting sqref="L106:N106">
    <cfRule type="expression" dxfId="3864" priority="757">
      <formula>$D$106&lt;3</formula>
    </cfRule>
  </conditionalFormatting>
  <conditionalFormatting sqref="L107:N107">
    <cfRule type="expression" dxfId="3863" priority="772">
      <formula>$D$107&lt;3</formula>
    </cfRule>
  </conditionalFormatting>
  <conditionalFormatting sqref="L109:N109">
    <cfRule type="expression" dxfId="3862" priority="787">
      <formula>$D$109&lt;3</formula>
    </cfRule>
  </conditionalFormatting>
  <conditionalFormatting sqref="L111:N111">
    <cfRule type="expression" dxfId="3861" priority="802">
      <formula>$D$111&lt;3</formula>
    </cfRule>
  </conditionalFormatting>
  <conditionalFormatting sqref="L113:N113">
    <cfRule type="expression" dxfId="3860" priority="817">
      <formula>$D$113&lt;3</formula>
    </cfRule>
  </conditionalFormatting>
  <conditionalFormatting sqref="L118:N118">
    <cfRule type="expression" dxfId="3859" priority="832">
      <formula>$D$118&lt;3</formula>
    </cfRule>
  </conditionalFormatting>
  <conditionalFormatting sqref="L119:N119">
    <cfRule type="expression" dxfId="3858" priority="847">
      <formula>$D$119&lt;3</formula>
    </cfRule>
  </conditionalFormatting>
  <conditionalFormatting sqref="L121:N121">
    <cfRule type="expression" dxfId="3857" priority="862">
      <formula>$D$121&lt;3</formula>
    </cfRule>
  </conditionalFormatting>
  <conditionalFormatting sqref="L122:N122">
    <cfRule type="expression" dxfId="3856" priority="877">
      <formula>$D$122&lt;3</formula>
    </cfRule>
  </conditionalFormatting>
  <conditionalFormatting sqref="L124:N124">
    <cfRule type="expression" dxfId="3855" priority="892">
      <formula>$D$124&lt;3</formula>
    </cfRule>
  </conditionalFormatting>
  <conditionalFormatting sqref="L125:N125">
    <cfRule type="expression" dxfId="3854" priority="907">
      <formula>$D$125&lt;3</formula>
    </cfRule>
  </conditionalFormatting>
  <conditionalFormatting sqref="L127:N127">
    <cfRule type="expression" dxfId="3853" priority="922">
      <formula>$D$127&lt;3</formula>
    </cfRule>
  </conditionalFormatting>
  <conditionalFormatting sqref="L128:N128">
    <cfRule type="expression" dxfId="3852" priority="937">
      <formula>$D$128&lt;3</formula>
    </cfRule>
  </conditionalFormatting>
  <conditionalFormatting sqref="L130:N130">
    <cfRule type="expression" dxfId="3851" priority="952">
      <formula>$D$130&lt;3</formula>
    </cfRule>
  </conditionalFormatting>
  <conditionalFormatting sqref="L132:N132">
    <cfRule type="expression" dxfId="3850" priority="967">
      <formula>$D$132&lt;3</formula>
    </cfRule>
  </conditionalFormatting>
  <conditionalFormatting sqref="L134:N134">
    <cfRule type="expression" dxfId="3849" priority="982">
      <formula>$D$134&lt;3</formula>
    </cfRule>
  </conditionalFormatting>
  <conditionalFormatting sqref="L139:N139">
    <cfRule type="expression" dxfId="3848" priority="997">
      <formula>$D$139&lt;3</formula>
    </cfRule>
  </conditionalFormatting>
  <conditionalFormatting sqref="L140:N140">
    <cfRule type="expression" dxfId="3847" priority="1012">
      <formula>$D$140&lt;3</formula>
    </cfRule>
  </conditionalFormatting>
  <conditionalFormatting sqref="L142:N142">
    <cfRule type="expression" dxfId="3846" priority="1027">
      <formula>$D$142&lt;3</formula>
    </cfRule>
  </conditionalFormatting>
  <conditionalFormatting sqref="L143:N143">
    <cfRule type="expression" dxfId="3845" priority="1042">
      <formula>$D$143&lt;3</formula>
    </cfRule>
  </conditionalFormatting>
  <conditionalFormatting sqref="L145:N145">
    <cfRule type="expression" dxfId="3844" priority="1057">
      <formula>$D$145&lt;3</formula>
    </cfRule>
  </conditionalFormatting>
  <conditionalFormatting sqref="L146:N146">
    <cfRule type="expression" dxfId="3843" priority="1072">
      <formula>$D$146&lt;3</formula>
    </cfRule>
  </conditionalFormatting>
  <conditionalFormatting sqref="L148:N148">
    <cfRule type="expression" dxfId="3842" priority="1087">
      <formula>$D$148&lt;3</formula>
    </cfRule>
  </conditionalFormatting>
  <conditionalFormatting sqref="L149:N149">
    <cfRule type="expression" dxfId="3841" priority="1102">
      <formula>$D$149&lt;3</formula>
    </cfRule>
  </conditionalFormatting>
  <conditionalFormatting sqref="L151:N151">
    <cfRule type="expression" dxfId="3840" priority="1117">
      <formula>$D$151&lt;3</formula>
    </cfRule>
  </conditionalFormatting>
  <conditionalFormatting sqref="L153:N153">
    <cfRule type="expression" dxfId="3839" priority="1132">
      <formula>$D$153&lt;3</formula>
    </cfRule>
  </conditionalFormatting>
  <conditionalFormatting sqref="L155:N155">
    <cfRule type="expression" dxfId="3838" priority="1147">
      <formula>$D$155&lt;3</formula>
    </cfRule>
  </conditionalFormatting>
  <conditionalFormatting sqref="L160:N160">
    <cfRule type="expression" dxfId="3837" priority="1162">
      <formula>$D$160&lt;3</formula>
    </cfRule>
  </conditionalFormatting>
  <conditionalFormatting sqref="L161:N161">
    <cfRule type="expression" dxfId="3836" priority="1177">
      <formula>$D$161&lt;3</formula>
    </cfRule>
  </conditionalFormatting>
  <conditionalFormatting sqref="L163:N163">
    <cfRule type="expression" dxfId="3835" priority="1192">
      <formula>$D$163&lt;3</formula>
    </cfRule>
  </conditionalFormatting>
  <conditionalFormatting sqref="L164:N164">
    <cfRule type="expression" dxfId="3834" priority="1207">
      <formula>$D$164&lt;3</formula>
    </cfRule>
  </conditionalFormatting>
  <conditionalFormatting sqref="L166:N166">
    <cfRule type="expression" dxfId="3833" priority="1222">
      <formula>$D$166&lt;3</formula>
    </cfRule>
  </conditionalFormatting>
  <conditionalFormatting sqref="L167:N167">
    <cfRule type="expression" dxfId="3832" priority="1237">
      <formula>$D$167&lt;3</formula>
    </cfRule>
  </conditionalFormatting>
  <conditionalFormatting sqref="L169:N169">
    <cfRule type="expression" dxfId="3831" priority="1252">
      <formula>$D$169&lt;3</formula>
    </cfRule>
  </conditionalFormatting>
  <conditionalFormatting sqref="L170:N170">
    <cfRule type="expression" dxfId="3830" priority="1267">
      <formula>$D$170&lt;3</formula>
    </cfRule>
  </conditionalFormatting>
  <conditionalFormatting sqref="L172:N172">
    <cfRule type="expression" dxfId="3829" priority="1282">
      <formula>$D$172&lt;3</formula>
    </cfRule>
  </conditionalFormatting>
  <conditionalFormatting sqref="L174:N174">
    <cfRule type="expression" dxfId="3828" priority="1297">
      <formula>$D$174&lt;3</formula>
    </cfRule>
  </conditionalFormatting>
  <conditionalFormatting sqref="L176:N176">
    <cfRule type="expression" dxfId="3827" priority="1312">
      <formula>$D$176&lt;3</formula>
    </cfRule>
  </conditionalFormatting>
  <conditionalFormatting sqref="L181:N181">
    <cfRule type="expression" dxfId="3826" priority="1327">
      <formula>$D$181&lt;3</formula>
    </cfRule>
  </conditionalFormatting>
  <conditionalFormatting sqref="L182:N182">
    <cfRule type="expression" dxfId="3825" priority="1342">
      <formula>$D$182&lt;3</formula>
    </cfRule>
  </conditionalFormatting>
  <conditionalFormatting sqref="L184:N184">
    <cfRule type="expression" dxfId="3824" priority="1357">
      <formula>$D$184&lt;3</formula>
    </cfRule>
  </conditionalFormatting>
  <conditionalFormatting sqref="L185:N185">
    <cfRule type="expression" dxfId="3823" priority="1372">
      <formula>$D$185&lt;3</formula>
    </cfRule>
  </conditionalFormatting>
  <conditionalFormatting sqref="L187:N187">
    <cfRule type="expression" dxfId="3822" priority="1387">
      <formula>$D$187&lt;3</formula>
    </cfRule>
  </conditionalFormatting>
  <conditionalFormatting sqref="L188:N188">
    <cfRule type="expression" dxfId="3821" priority="1402">
      <formula>$D$188&lt;3</formula>
    </cfRule>
  </conditionalFormatting>
  <conditionalFormatting sqref="L190:N190">
    <cfRule type="expression" dxfId="3820" priority="1417">
      <formula>$D$190&lt;3</formula>
    </cfRule>
  </conditionalFormatting>
  <conditionalFormatting sqref="L191:N191">
    <cfRule type="expression" dxfId="3819" priority="1432">
      <formula>$D$191&lt;3</formula>
    </cfRule>
  </conditionalFormatting>
  <conditionalFormatting sqref="L193:N193">
    <cfRule type="expression" dxfId="3818" priority="1447">
      <formula>$D$193&lt;3</formula>
    </cfRule>
  </conditionalFormatting>
  <conditionalFormatting sqref="L195:N195">
    <cfRule type="expression" dxfId="3817" priority="1462">
      <formula>$D$195&lt;3</formula>
    </cfRule>
  </conditionalFormatting>
  <conditionalFormatting sqref="L197:N197">
    <cfRule type="expression" dxfId="3816" priority="1477">
      <formula>$D$197&lt;3</formula>
    </cfRule>
  </conditionalFormatting>
  <conditionalFormatting sqref="L202:N202">
    <cfRule type="expression" dxfId="3815" priority="1492">
      <formula>$D$202&lt;3</formula>
    </cfRule>
  </conditionalFormatting>
  <conditionalFormatting sqref="L203:N203">
    <cfRule type="expression" dxfId="3814" priority="1507">
      <formula>$D$203&lt;3</formula>
    </cfRule>
  </conditionalFormatting>
  <conditionalFormatting sqref="L205:N205">
    <cfRule type="expression" dxfId="3813" priority="1522">
      <formula>$D$205&lt;3</formula>
    </cfRule>
  </conditionalFormatting>
  <conditionalFormatting sqref="L206:N206">
    <cfRule type="expression" dxfId="3812" priority="1537">
      <formula>$D$206&lt;3</formula>
    </cfRule>
  </conditionalFormatting>
  <conditionalFormatting sqref="L208:N208">
    <cfRule type="expression" dxfId="3811" priority="1552">
      <formula>$D$208&lt;3</formula>
    </cfRule>
  </conditionalFormatting>
  <conditionalFormatting sqref="L209:N209">
    <cfRule type="expression" dxfId="3810" priority="1567">
      <formula>$D$209&lt;3</formula>
    </cfRule>
  </conditionalFormatting>
  <conditionalFormatting sqref="L211:N211">
    <cfRule type="expression" dxfId="3809" priority="1582">
      <formula>$D$211&lt;3</formula>
    </cfRule>
  </conditionalFormatting>
  <conditionalFormatting sqref="L212:N212">
    <cfRule type="expression" dxfId="3808" priority="1597">
      <formula>$D$212&lt;3</formula>
    </cfRule>
  </conditionalFormatting>
  <conditionalFormatting sqref="L214:N214">
    <cfRule type="expression" dxfId="3807" priority="1612">
      <formula>$D$214&lt;3</formula>
    </cfRule>
  </conditionalFormatting>
  <conditionalFormatting sqref="L216:N216">
    <cfRule type="expression" dxfId="3806" priority="1627">
      <formula>$D$216&lt;3</formula>
    </cfRule>
  </conditionalFormatting>
  <conditionalFormatting sqref="L218:N218">
    <cfRule type="expression" dxfId="3805" priority="1642">
      <formula>$D$218&lt;3</formula>
    </cfRule>
  </conditionalFormatting>
  <conditionalFormatting sqref="L223:N223">
    <cfRule type="expression" dxfId="3804" priority="1657">
      <formula>$D$223&lt;3</formula>
    </cfRule>
  </conditionalFormatting>
  <conditionalFormatting sqref="L224:N224">
    <cfRule type="expression" dxfId="3803" priority="1672">
      <formula>$D$224&lt;3</formula>
    </cfRule>
  </conditionalFormatting>
  <conditionalFormatting sqref="L226:N226">
    <cfRule type="expression" dxfId="3802" priority="1687">
      <formula>$D$226&lt;3</formula>
    </cfRule>
  </conditionalFormatting>
  <conditionalFormatting sqref="L227:N227">
    <cfRule type="expression" dxfId="3801" priority="1702">
      <formula>$D$227&lt;3</formula>
    </cfRule>
  </conditionalFormatting>
  <conditionalFormatting sqref="L229:N229">
    <cfRule type="expression" dxfId="3800" priority="1717">
      <formula>$D$229&lt;3</formula>
    </cfRule>
  </conditionalFormatting>
  <conditionalFormatting sqref="L230:N230">
    <cfRule type="expression" dxfId="3799" priority="1732">
      <formula>$D$230&lt;3</formula>
    </cfRule>
  </conditionalFormatting>
  <conditionalFormatting sqref="L232:N232">
    <cfRule type="expression" dxfId="3798" priority="1747">
      <formula>$D$232&lt;3</formula>
    </cfRule>
  </conditionalFormatting>
  <conditionalFormatting sqref="L233:N233">
    <cfRule type="expression" dxfId="3797" priority="1762">
      <formula>$D$233&lt;3</formula>
    </cfRule>
  </conditionalFormatting>
  <conditionalFormatting sqref="L235:N235">
    <cfRule type="expression" dxfId="3796" priority="1777">
      <formula>$D$235&lt;3</formula>
    </cfRule>
  </conditionalFormatting>
  <conditionalFormatting sqref="L237:N237">
    <cfRule type="expression" dxfId="3795" priority="1792">
      <formula>$D$237&lt;3</formula>
    </cfRule>
  </conditionalFormatting>
  <conditionalFormatting sqref="L239:N239">
    <cfRule type="expression" dxfId="3794" priority="1807">
      <formula>$D$239&lt;3</formula>
    </cfRule>
  </conditionalFormatting>
  <conditionalFormatting sqref="L244:N244">
    <cfRule type="expression" dxfId="3793" priority="1822">
      <formula>$D$244&lt;3</formula>
    </cfRule>
  </conditionalFormatting>
  <conditionalFormatting sqref="L245:N245">
    <cfRule type="expression" dxfId="3792" priority="1837">
      <formula>$D$245&lt;3</formula>
    </cfRule>
  </conditionalFormatting>
  <conditionalFormatting sqref="L247:N247">
    <cfRule type="expression" dxfId="3791" priority="1852">
      <formula>$D$247&lt;3</formula>
    </cfRule>
  </conditionalFormatting>
  <conditionalFormatting sqref="L248:N248">
    <cfRule type="expression" dxfId="3790" priority="1867">
      <formula>$D$248&lt;3</formula>
    </cfRule>
  </conditionalFormatting>
  <conditionalFormatting sqref="L250:N250">
    <cfRule type="expression" dxfId="3789" priority="1882">
      <formula>$D$250&lt;3</formula>
    </cfRule>
  </conditionalFormatting>
  <conditionalFormatting sqref="L251:N251">
    <cfRule type="expression" dxfId="3788" priority="1897">
      <formula>$D$251&lt;3</formula>
    </cfRule>
  </conditionalFormatting>
  <conditionalFormatting sqref="L253:N253">
    <cfRule type="expression" dxfId="3787" priority="1912">
      <formula>$D$253&lt;3</formula>
    </cfRule>
  </conditionalFormatting>
  <conditionalFormatting sqref="L254:N254">
    <cfRule type="expression" dxfId="3786" priority="1927">
      <formula>$D$254&lt;3</formula>
    </cfRule>
  </conditionalFormatting>
  <conditionalFormatting sqref="L256:N256">
    <cfRule type="expression" dxfId="3785" priority="1942">
      <formula>$D$256&lt;3</formula>
    </cfRule>
  </conditionalFormatting>
  <conditionalFormatting sqref="L258:N258">
    <cfRule type="expression" dxfId="3784" priority="1957">
      <formula>$D$258&lt;3</formula>
    </cfRule>
  </conditionalFormatting>
  <conditionalFormatting sqref="L260:N260">
    <cfRule type="expression" dxfId="3783" priority="1972">
      <formula>$D$260&lt;3</formula>
    </cfRule>
  </conditionalFormatting>
  <conditionalFormatting sqref="O13:Q13">
    <cfRule type="expression" dxfId="3782" priority="10">
      <formula>$D$13&lt;4</formula>
    </cfRule>
  </conditionalFormatting>
  <conditionalFormatting sqref="O14:Q14">
    <cfRule type="expression" dxfId="3781" priority="25">
      <formula>$D$14&lt;4</formula>
    </cfRule>
  </conditionalFormatting>
  <conditionalFormatting sqref="O16:Q16">
    <cfRule type="expression" dxfId="3780" priority="40">
      <formula>$D$16&lt;4</formula>
    </cfRule>
  </conditionalFormatting>
  <conditionalFormatting sqref="O17:Q17">
    <cfRule type="expression" dxfId="3779" priority="55">
      <formula>$D$17&lt;4</formula>
    </cfRule>
  </conditionalFormatting>
  <conditionalFormatting sqref="O19:Q19">
    <cfRule type="expression" dxfId="3778" priority="70">
      <formula>$D$19&lt;4</formula>
    </cfRule>
  </conditionalFormatting>
  <conditionalFormatting sqref="O20:Q20">
    <cfRule type="expression" dxfId="3777" priority="85">
      <formula>$D$20&lt;4</formula>
    </cfRule>
  </conditionalFormatting>
  <conditionalFormatting sqref="O22:Q22">
    <cfRule type="expression" dxfId="3776" priority="100">
      <formula>$D$22&lt;4</formula>
    </cfRule>
  </conditionalFormatting>
  <conditionalFormatting sqref="O23:Q23">
    <cfRule type="expression" dxfId="3775" priority="115">
      <formula>$D$23&lt;4</formula>
    </cfRule>
  </conditionalFormatting>
  <conditionalFormatting sqref="O25:Q25">
    <cfRule type="expression" dxfId="3774" priority="130">
      <formula>$D$25&lt;4</formula>
    </cfRule>
  </conditionalFormatting>
  <conditionalFormatting sqref="O27:Q27">
    <cfRule type="expression" dxfId="3773" priority="145">
      <formula>$D$27&lt;4</formula>
    </cfRule>
  </conditionalFormatting>
  <conditionalFormatting sqref="O29:Q29">
    <cfRule type="expression" dxfId="3772" priority="160">
      <formula>$D$29&lt;4</formula>
    </cfRule>
  </conditionalFormatting>
  <conditionalFormatting sqref="O34:Q34">
    <cfRule type="expression" dxfId="3771" priority="175">
      <formula>$D$34&lt;4</formula>
    </cfRule>
  </conditionalFormatting>
  <conditionalFormatting sqref="O35:Q35">
    <cfRule type="expression" dxfId="3770" priority="190">
      <formula>$D$35&lt;4</formula>
    </cfRule>
  </conditionalFormatting>
  <conditionalFormatting sqref="O37:Q37">
    <cfRule type="expression" dxfId="3769" priority="205">
      <formula>$D$37&lt;4</formula>
    </cfRule>
  </conditionalFormatting>
  <conditionalFormatting sqref="O38:Q38">
    <cfRule type="expression" dxfId="3768" priority="220">
      <formula>$D$38&lt;4</formula>
    </cfRule>
  </conditionalFormatting>
  <conditionalFormatting sqref="O40:Q40">
    <cfRule type="expression" dxfId="3767" priority="235">
      <formula>$D$40&lt;4</formula>
    </cfRule>
  </conditionalFormatting>
  <conditionalFormatting sqref="O41:Q41">
    <cfRule type="expression" dxfId="3766" priority="250">
      <formula>$D$41&lt;4</formula>
    </cfRule>
  </conditionalFormatting>
  <conditionalFormatting sqref="O43:Q43">
    <cfRule type="expression" dxfId="3765" priority="265">
      <formula>$D$43&lt;4</formula>
    </cfRule>
  </conditionalFormatting>
  <conditionalFormatting sqref="O44:Q44">
    <cfRule type="expression" dxfId="3764" priority="280">
      <formula>$D$44&lt;4</formula>
    </cfRule>
  </conditionalFormatting>
  <conditionalFormatting sqref="O46:Q46">
    <cfRule type="expression" dxfId="3763" priority="295">
      <formula>$D$46&lt;4</formula>
    </cfRule>
  </conditionalFormatting>
  <conditionalFormatting sqref="O48:Q48">
    <cfRule type="expression" dxfId="3762" priority="310">
      <formula>$D$48&lt;4</formula>
    </cfRule>
  </conditionalFormatting>
  <conditionalFormatting sqref="O50:Q50">
    <cfRule type="expression" dxfId="3761" priority="325">
      <formula>$D$50&lt;4</formula>
    </cfRule>
  </conditionalFormatting>
  <conditionalFormatting sqref="O55:Q55">
    <cfRule type="expression" dxfId="3760" priority="340">
      <formula>$D$55&lt;4</formula>
    </cfRule>
  </conditionalFormatting>
  <conditionalFormatting sqref="O56:Q56">
    <cfRule type="expression" dxfId="3759" priority="355">
      <formula>$D$56&lt;4</formula>
    </cfRule>
  </conditionalFormatting>
  <conditionalFormatting sqref="O58:Q58">
    <cfRule type="expression" dxfId="3758" priority="370">
      <formula>$D$58&lt;4</formula>
    </cfRule>
  </conditionalFormatting>
  <conditionalFormatting sqref="O59:Q59">
    <cfRule type="expression" dxfId="3757" priority="385">
      <formula>$D$59&lt;4</formula>
    </cfRule>
  </conditionalFormatting>
  <conditionalFormatting sqref="O61:Q61">
    <cfRule type="expression" dxfId="3756" priority="400">
      <formula>$D$61&lt;4</formula>
    </cfRule>
  </conditionalFormatting>
  <conditionalFormatting sqref="O62:Q62">
    <cfRule type="expression" dxfId="3755" priority="415">
      <formula>$D$62&lt;4</formula>
    </cfRule>
  </conditionalFormatting>
  <conditionalFormatting sqref="O64:Q64">
    <cfRule type="expression" dxfId="3754" priority="430">
      <formula>$D$64&lt;4</formula>
    </cfRule>
  </conditionalFormatting>
  <conditionalFormatting sqref="O65:Q65">
    <cfRule type="expression" dxfId="3753" priority="445">
      <formula>$D$65&lt;4</formula>
    </cfRule>
  </conditionalFormatting>
  <conditionalFormatting sqref="O67:Q67">
    <cfRule type="expression" dxfId="3752" priority="460">
      <formula>$D$67&lt;4</formula>
    </cfRule>
  </conditionalFormatting>
  <conditionalFormatting sqref="O69:Q69">
    <cfRule type="expression" dxfId="3751" priority="475">
      <formula>$D$69&lt;4</formula>
    </cfRule>
  </conditionalFormatting>
  <conditionalFormatting sqref="O71:Q71">
    <cfRule type="expression" dxfId="3750" priority="490">
      <formula>$D$71&lt;4</formula>
    </cfRule>
  </conditionalFormatting>
  <conditionalFormatting sqref="O76:Q76">
    <cfRule type="expression" dxfId="3749" priority="505">
      <formula>$D$76&lt;4</formula>
    </cfRule>
  </conditionalFormatting>
  <conditionalFormatting sqref="O77:Q77">
    <cfRule type="expression" dxfId="3748" priority="520">
      <formula>$D$77&lt;4</formula>
    </cfRule>
  </conditionalFormatting>
  <conditionalFormatting sqref="O79:Q79">
    <cfRule type="expression" dxfId="3747" priority="535">
      <formula>$D$79&lt;4</formula>
    </cfRule>
  </conditionalFormatting>
  <conditionalFormatting sqref="O80:Q80">
    <cfRule type="expression" dxfId="3746" priority="550">
      <formula>$D$80&lt;4</formula>
    </cfRule>
  </conditionalFormatting>
  <conditionalFormatting sqref="O82:Q82">
    <cfRule type="expression" dxfId="3745" priority="565">
      <formula>$D$82&lt;4</formula>
    </cfRule>
  </conditionalFormatting>
  <conditionalFormatting sqref="O83:Q83">
    <cfRule type="expression" dxfId="3744" priority="580">
      <formula>$D$83&lt;4</formula>
    </cfRule>
  </conditionalFormatting>
  <conditionalFormatting sqref="O85:Q85">
    <cfRule type="expression" dxfId="3743" priority="595">
      <formula>$D$85&lt;4</formula>
    </cfRule>
  </conditionalFormatting>
  <conditionalFormatting sqref="O86:Q86">
    <cfRule type="expression" dxfId="3742" priority="610">
      <formula>$D$86&lt;4</formula>
    </cfRule>
  </conditionalFormatting>
  <conditionalFormatting sqref="O88:Q88">
    <cfRule type="expression" dxfId="3741" priority="625">
      <formula>$D$88&lt;4</formula>
    </cfRule>
  </conditionalFormatting>
  <conditionalFormatting sqref="O90:Q90">
    <cfRule type="expression" dxfId="3740" priority="640">
      <formula>$D$90&lt;4</formula>
    </cfRule>
  </conditionalFormatting>
  <conditionalFormatting sqref="O92:Q92">
    <cfRule type="expression" dxfId="3739" priority="655">
      <formula>$D$92&lt;4</formula>
    </cfRule>
  </conditionalFormatting>
  <conditionalFormatting sqref="O97:Q97">
    <cfRule type="expression" dxfId="3738" priority="670">
      <formula>$D$97&lt;4</formula>
    </cfRule>
  </conditionalFormatting>
  <conditionalFormatting sqref="O98:Q98">
    <cfRule type="expression" dxfId="3737" priority="685">
      <formula>$D$98&lt;4</formula>
    </cfRule>
  </conditionalFormatting>
  <conditionalFormatting sqref="O100:Q100">
    <cfRule type="expression" dxfId="3736" priority="700">
      <formula>$D$100&lt;4</formula>
    </cfRule>
  </conditionalFormatting>
  <conditionalFormatting sqref="O101:Q101">
    <cfRule type="expression" dxfId="3735" priority="715">
      <formula>$D$101&lt;4</formula>
    </cfRule>
  </conditionalFormatting>
  <conditionalFormatting sqref="O103:Q103">
    <cfRule type="expression" dxfId="3734" priority="730">
      <formula>$D$103&lt;4</formula>
    </cfRule>
  </conditionalFormatting>
  <conditionalFormatting sqref="O104:Q104">
    <cfRule type="expression" dxfId="3733" priority="745">
      <formula>$D$104&lt;4</formula>
    </cfRule>
  </conditionalFormatting>
  <conditionalFormatting sqref="O106:Q106">
    <cfRule type="expression" dxfId="3732" priority="760">
      <formula>$D$106&lt;4</formula>
    </cfRule>
  </conditionalFormatting>
  <conditionalFormatting sqref="O107:Q107">
    <cfRule type="expression" dxfId="3731" priority="775">
      <formula>$D$107&lt;4</formula>
    </cfRule>
  </conditionalFormatting>
  <conditionalFormatting sqref="O109:Q109">
    <cfRule type="expression" dxfId="3730" priority="790">
      <formula>$D$109&lt;4</formula>
    </cfRule>
  </conditionalFormatting>
  <conditionalFormatting sqref="O111:Q111">
    <cfRule type="expression" dxfId="3729" priority="805">
      <formula>$D$111&lt;4</formula>
    </cfRule>
  </conditionalFormatting>
  <conditionalFormatting sqref="O113:Q113">
    <cfRule type="expression" dxfId="3728" priority="820">
      <formula>$D$113&lt;4</formula>
    </cfRule>
  </conditionalFormatting>
  <conditionalFormatting sqref="O118:Q118">
    <cfRule type="expression" dxfId="3727" priority="835">
      <formula>$D$118&lt;4</formula>
    </cfRule>
  </conditionalFormatting>
  <conditionalFormatting sqref="O119:Q119">
    <cfRule type="expression" dxfId="3726" priority="850">
      <formula>$D$119&lt;4</formula>
    </cfRule>
  </conditionalFormatting>
  <conditionalFormatting sqref="O121:Q121">
    <cfRule type="expression" dxfId="3725" priority="865">
      <formula>$D$121&lt;4</formula>
    </cfRule>
  </conditionalFormatting>
  <conditionalFormatting sqref="O122:Q122">
    <cfRule type="expression" dxfId="3724" priority="880">
      <formula>$D$122&lt;4</formula>
    </cfRule>
  </conditionalFormatting>
  <conditionalFormatting sqref="O124:Q124">
    <cfRule type="expression" dxfId="3723" priority="895">
      <formula>$D$124&lt;4</formula>
    </cfRule>
  </conditionalFormatting>
  <conditionalFormatting sqref="O125:Q125">
    <cfRule type="expression" dxfId="3722" priority="910">
      <formula>$D$125&lt;4</formula>
    </cfRule>
  </conditionalFormatting>
  <conditionalFormatting sqref="O127:Q127">
    <cfRule type="expression" dxfId="3721" priority="925">
      <formula>$D$127&lt;4</formula>
    </cfRule>
  </conditionalFormatting>
  <conditionalFormatting sqref="O128:Q128">
    <cfRule type="expression" dxfId="3720" priority="940">
      <formula>$D$128&lt;4</formula>
    </cfRule>
  </conditionalFormatting>
  <conditionalFormatting sqref="O130:Q130">
    <cfRule type="expression" dxfId="3719" priority="955">
      <formula>$D$130&lt;4</formula>
    </cfRule>
  </conditionalFormatting>
  <conditionalFormatting sqref="O132:Q132">
    <cfRule type="expression" dxfId="3718" priority="970">
      <formula>$D$132&lt;4</formula>
    </cfRule>
  </conditionalFormatting>
  <conditionalFormatting sqref="O134:Q134">
    <cfRule type="expression" dxfId="3717" priority="985">
      <formula>$D$134&lt;4</formula>
    </cfRule>
  </conditionalFormatting>
  <conditionalFormatting sqref="O139:Q139">
    <cfRule type="expression" dxfId="3716" priority="1000">
      <formula>$D$139&lt;4</formula>
    </cfRule>
  </conditionalFormatting>
  <conditionalFormatting sqref="O140:Q140">
    <cfRule type="expression" dxfId="3715" priority="1015">
      <formula>$D$140&lt;4</formula>
    </cfRule>
  </conditionalFormatting>
  <conditionalFormatting sqref="O142:Q142">
    <cfRule type="expression" dxfId="3714" priority="1030">
      <formula>$D$142&lt;4</formula>
    </cfRule>
  </conditionalFormatting>
  <conditionalFormatting sqref="O143:Q143">
    <cfRule type="expression" dxfId="3713" priority="1045">
      <formula>$D$143&lt;4</formula>
    </cfRule>
  </conditionalFormatting>
  <conditionalFormatting sqref="O145:Q145">
    <cfRule type="expression" dxfId="3712" priority="1060">
      <formula>$D$145&lt;4</formula>
    </cfRule>
  </conditionalFormatting>
  <conditionalFormatting sqref="O146:Q146">
    <cfRule type="expression" dxfId="3711" priority="1075">
      <formula>$D$146&lt;4</formula>
    </cfRule>
  </conditionalFormatting>
  <conditionalFormatting sqref="O148:Q148">
    <cfRule type="expression" dxfId="3710" priority="1090">
      <formula>$D$148&lt;4</formula>
    </cfRule>
  </conditionalFormatting>
  <conditionalFormatting sqref="O149:Q149">
    <cfRule type="expression" dxfId="3709" priority="1105">
      <formula>$D$149&lt;4</formula>
    </cfRule>
  </conditionalFormatting>
  <conditionalFormatting sqref="O151:Q151">
    <cfRule type="expression" dxfId="3708" priority="1120">
      <formula>$D$151&lt;4</formula>
    </cfRule>
  </conditionalFormatting>
  <conditionalFormatting sqref="O153:Q153">
    <cfRule type="expression" dxfId="3707" priority="1135">
      <formula>$D$153&lt;4</formula>
    </cfRule>
  </conditionalFormatting>
  <conditionalFormatting sqref="O155:Q155">
    <cfRule type="expression" dxfId="3706" priority="1150">
      <formula>$D$155&lt;4</formula>
    </cfRule>
  </conditionalFormatting>
  <conditionalFormatting sqref="O160:Q160">
    <cfRule type="expression" dxfId="3705" priority="1165">
      <formula>$D$160&lt;4</formula>
    </cfRule>
  </conditionalFormatting>
  <conditionalFormatting sqref="O161:Q161">
    <cfRule type="expression" dxfId="3704" priority="1180">
      <formula>$D$161&lt;4</formula>
    </cfRule>
  </conditionalFormatting>
  <conditionalFormatting sqref="O163:Q163">
    <cfRule type="expression" dxfId="3703" priority="1195">
      <formula>$D$163&lt;4</formula>
    </cfRule>
  </conditionalFormatting>
  <conditionalFormatting sqref="O164:Q164">
    <cfRule type="expression" dxfId="3702" priority="1210">
      <formula>$D$164&lt;4</formula>
    </cfRule>
  </conditionalFormatting>
  <conditionalFormatting sqref="O166:Q166">
    <cfRule type="expression" dxfId="3701" priority="1225">
      <formula>$D$166&lt;4</formula>
    </cfRule>
  </conditionalFormatting>
  <conditionalFormatting sqref="O167:Q167">
    <cfRule type="expression" dxfId="3700" priority="1240">
      <formula>$D$167&lt;4</formula>
    </cfRule>
  </conditionalFormatting>
  <conditionalFormatting sqref="O169:Q169">
    <cfRule type="expression" dxfId="3699" priority="1255">
      <formula>$D$169&lt;4</formula>
    </cfRule>
  </conditionalFormatting>
  <conditionalFormatting sqref="O170:Q170">
    <cfRule type="expression" dxfId="3698" priority="1270">
      <formula>$D$170&lt;4</formula>
    </cfRule>
  </conditionalFormatting>
  <conditionalFormatting sqref="O172:Q172">
    <cfRule type="expression" dxfId="3697" priority="1285">
      <formula>$D$172&lt;4</formula>
    </cfRule>
  </conditionalFormatting>
  <conditionalFormatting sqref="O174:Q174">
    <cfRule type="expression" dxfId="3696" priority="1300">
      <formula>$D$174&lt;4</formula>
    </cfRule>
  </conditionalFormatting>
  <conditionalFormatting sqref="O176:Q176">
    <cfRule type="expression" dxfId="3695" priority="1315">
      <formula>$D$176&lt;4</formula>
    </cfRule>
  </conditionalFormatting>
  <conditionalFormatting sqref="O181:Q181">
    <cfRule type="expression" dxfId="3694" priority="1330">
      <formula>$D$181&lt;4</formula>
    </cfRule>
  </conditionalFormatting>
  <conditionalFormatting sqref="O182:Q182">
    <cfRule type="expression" dxfId="3693" priority="1345">
      <formula>$D$182&lt;4</formula>
    </cfRule>
  </conditionalFormatting>
  <conditionalFormatting sqref="O184:Q184">
    <cfRule type="expression" dxfId="3692" priority="1360">
      <formula>$D$184&lt;4</formula>
    </cfRule>
  </conditionalFormatting>
  <conditionalFormatting sqref="O185:Q185">
    <cfRule type="expression" dxfId="3691" priority="1375">
      <formula>$D$185&lt;4</formula>
    </cfRule>
  </conditionalFormatting>
  <conditionalFormatting sqref="O187:Q187">
    <cfRule type="expression" dxfId="3690" priority="1390">
      <formula>$D$187&lt;4</formula>
    </cfRule>
  </conditionalFormatting>
  <conditionalFormatting sqref="O188:Q188">
    <cfRule type="expression" dxfId="3689" priority="1405">
      <formula>$D$188&lt;4</formula>
    </cfRule>
  </conditionalFormatting>
  <conditionalFormatting sqref="O190:Q190">
    <cfRule type="expression" dxfId="3688" priority="1420">
      <formula>$D$190&lt;4</formula>
    </cfRule>
  </conditionalFormatting>
  <conditionalFormatting sqref="O191:Q191">
    <cfRule type="expression" dxfId="3687" priority="1435">
      <formula>$D$191&lt;4</formula>
    </cfRule>
  </conditionalFormatting>
  <conditionalFormatting sqref="O193:Q193">
    <cfRule type="expression" dxfId="3686" priority="1450">
      <formula>$D$193&lt;4</formula>
    </cfRule>
  </conditionalFormatting>
  <conditionalFormatting sqref="O195:Q195">
    <cfRule type="expression" dxfId="3685" priority="1465">
      <formula>$D$195&lt;4</formula>
    </cfRule>
  </conditionalFormatting>
  <conditionalFormatting sqref="O197:Q197">
    <cfRule type="expression" dxfId="3684" priority="1480">
      <formula>$D$197&lt;4</formula>
    </cfRule>
  </conditionalFormatting>
  <conditionalFormatting sqref="O202:Q202">
    <cfRule type="expression" dxfId="3683" priority="1495">
      <formula>$D$202&lt;4</formula>
    </cfRule>
  </conditionalFormatting>
  <conditionalFormatting sqref="O203:Q203">
    <cfRule type="expression" dxfId="3682" priority="1510">
      <formula>$D$203&lt;4</formula>
    </cfRule>
  </conditionalFormatting>
  <conditionalFormatting sqref="O205:Q205">
    <cfRule type="expression" dxfId="3681" priority="1525">
      <formula>$D$205&lt;4</formula>
    </cfRule>
  </conditionalFormatting>
  <conditionalFormatting sqref="O206:Q206">
    <cfRule type="expression" dxfId="3680" priority="1540">
      <formula>$D$206&lt;4</formula>
    </cfRule>
  </conditionalFormatting>
  <conditionalFormatting sqref="O208:Q208">
    <cfRule type="expression" dxfId="3679" priority="1555">
      <formula>$D$208&lt;4</formula>
    </cfRule>
  </conditionalFormatting>
  <conditionalFormatting sqref="O209:Q209">
    <cfRule type="expression" dxfId="3678" priority="1570">
      <formula>$D$209&lt;4</formula>
    </cfRule>
  </conditionalFormatting>
  <conditionalFormatting sqref="O211:Q211">
    <cfRule type="expression" dxfId="3677" priority="1585">
      <formula>$D$211&lt;4</formula>
    </cfRule>
  </conditionalFormatting>
  <conditionalFormatting sqref="O212:Q212">
    <cfRule type="expression" dxfId="3676" priority="1600">
      <formula>$D$212&lt;4</formula>
    </cfRule>
  </conditionalFormatting>
  <conditionalFormatting sqref="O214:Q214">
    <cfRule type="expression" dxfId="3675" priority="1615">
      <formula>$D$214&lt;4</formula>
    </cfRule>
  </conditionalFormatting>
  <conditionalFormatting sqref="O216:Q216">
    <cfRule type="expression" dxfId="3674" priority="1630">
      <formula>$D$216&lt;4</formula>
    </cfRule>
  </conditionalFormatting>
  <conditionalFormatting sqref="O218:Q218">
    <cfRule type="expression" dxfId="3673" priority="1645">
      <formula>$D$218&lt;4</formula>
    </cfRule>
  </conditionalFormatting>
  <conditionalFormatting sqref="O223:Q223">
    <cfRule type="expression" dxfId="3672" priority="1660">
      <formula>$D$223&lt;4</formula>
    </cfRule>
  </conditionalFormatting>
  <conditionalFormatting sqref="O224:Q224">
    <cfRule type="expression" dxfId="3671" priority="1675">
      <formula>$D$224&lt;4</formula>
    </cfRule>
  </conditionalFormatting>
  <conditionalFormatting sqref="O226:Q226">
    <cfRule type="expression" dxfId="3670" priority="1690">
      <formula>$D$226&lt;4</formula>
    </cfRule>
  </conditionalFormatting>
  <conditionalFormatting sqref="O227:Q227">
    <cfRule type="expression" dxfId="3669" priority="1705">
      <formula>$D$227&lt;4</formula>
    </cfRule>
  </conditionalFormatting>
  <conditionalFormatting sqref="O229:Q229">
    <cfRule type="expression" dxfId="3668" priority="1720">
      <formula>$D$229&lt;4</formula>
    </cfRule>
  </conditionalFormatting>
  <conditionalFormatting sqref="O230:Q230">
    <cfRule type="expression" dxfId="3667" priority="1735">
      <formula>$D$230&lt;4</formula>
    </cfRule>
  </conditionalFormatting>
  <conditionalFormatting sqref="O232:Q232">
    <cfRule type="expression" dxfId="3666" priority="1750">
      <formula>$D$232&lt;4</formula>
    </cfRule>
  </conditionalFormatting>
  <conditionalFormatting sqref="O233:Q233">
    <cfRule type="expression" dxfId="3665" priority="1765">
      <formula>$D$233&lt;4</formula>
    </cfRule>
  </conditionalFormatting>
  <conditionalFormatting sqref="O235:Q235">
    <cfRule type="expression" dxfId="3664" priority="1780">
      <formula>$D$235&lt;4</formula>
    </cfRule>
  </conditionalFormatting>
  <conditionalFormatting sqref="O237:Q237">
    <cfRule type="expression" dxfId="3663" priority="1795">
      <formula>$D$237&lt;4</formula>
    </cfRule>
  </conditionalFormatting>
  <conditionalFormatting sqref="O239:Q239">
    <cfRule type="expression" dxfId="3662" priority="1810">
      <formula>$D$239&lt;4</formula>
    </cfRule>
  </conditionalFormatting>
  <conditionalFormatting sqref="O244:Q244">
    <cfRule type="expression" dxfId="3661" priority="1825">
      <formula>$D$244&lt;4</formula>
    </cfRule>
  </conditionalFormatting>
  <conditionalFormatting sqref="O245:Q245">
    <cfRule type="expression" dxfId="3660" priority="1840">
      <formula>$D$245&lt;4</formula>
    </cfRule>
  </conditionalFormatting>
  <conditionalFormatting sqref="O247:Q247">
    <cfRule type="expression" dxfId="3659" priority="1855">
      <formula>$D$247&lt;4</formula>
    </cfRule>
  </conditionalFormatting>
  <conditionalFormatting sqref="O248:Q248">
    <cfRule type="expression" dxfId="3658" priority="1870">
      <formula>$D$248&lt;4</formula>
    </cfRule>
  </conditionalFormatting>
  <conditionalFormatting sqref="O250:Q250">
    <cfRule type="expression" dxfId="3657" priority="1885">
      <formula>$D$250&lt;4</formula>
    </cfRule>
  </conditionalFormatting>
  <conditionalFormatting sqref="O251:Q251">
    <cfRule type="expression" dxfId="3656" priority="1900">
      <formula>$D$251&lt;4</formula>
    </cfRule>
  </conditionalFormatting>
  <conditionalFormatting sqref="O253:Q253">
    <cfRule type="expression" dxfId="3655" priority="1915">
      <formula>$D$253&lt;4</formula>
    </cfRule>
  </conditionalFormatting>
  <conditionalFormatting sqref="O254:Q254">
    <cfRule type="expression" dxfId="3654" priority="1930">
      <formula>$D$254&lt;4</formula>
    </cfRule>
  </conditionalFormatting>
  <conditionalFormatting sqref="O256:Q256">
    <cfRule type="expression" dxfId="3653" priority="1945">
      <formula>$D$256&lt;4</formula>
    </cfRule>
  </conditionalFormatting>
  <conditionalFormatting sqref="O258:Q258">
    <cfRule type="expression" dxfId="3652" priority="1960">
      <formula>$D$258&lt;4</formula>
    </cfRule>
  </conditionalFormatting>
  <conditionalFormatting sqref="O260:Q260">
    <cfRule type="expression" dxfId="3651" priority="1975">
      <formula>$D$260&lt;4</formula>
    </cfRule>
  </conditionalFormatting>
  <conditionalFormatting sqref="R13:T13">
    <cfRule type="expression" dxfId="3650" priority="13">
      <formula>$D$13&lt;5</formula>
    </cfRule>
  </conditionalFormatting>
  <conditionalFormatting sqref="R14:T14">
    <cfRule type="expression" dxfId="3649" priority="28">
      <formula>$D$14&lt;5</formula>
    </cfRule>
  </conditionalFormatting>
  <conditionalFormatting sqref="R16:T16">
    <cfRule type="expression" dxfId="3648" priority="43">
      <formula>$D$16&lt;5</formula>
    </cfRule>
  </conditionalFormatting>
  <conditionalFormatting sqref="R17:T17">
    <cfRule type="expression" dxfId="3647" priority="58">
      <formula>$D$17&lt;5</formula>
    </cfRule>
  </conditionalFormatting>
  <conditionalFormatting sqref="R19:T19">
    <cfRule type="expression" dxfId="3646" priority="73">
      <formula>$D$19&lt;5</formula>
    </cfRule>
  </conditionalFormatting>
  <conditionalFormatting sqref="R20:T20">
    <cfRule type="expression" dxfId="3645" priority="88">
      <formula>$D$20&lt;5</formula>
    </cfRule>
  </conditionalFormatting>
  <conditionalFormatting sqref="R22:T22">
    <cfRule type="expression" dxfId="3644" priority="103">
      <formula>$D$22&lt;5</formula>
    </cfRule>
  </conditionalFormatting>
  <conditionalFormatting sqref="R23:T23">
    <cfRule type="expression" dxfId="3643" priority="118">
      <formula>$D$23&lt;5</formula>
    </cfRule>
  </conditionalFormatting>
  <conditionalFormatting sqref="R25:T25">
    <cfRule type="expression" dxfId="3642" priority="133">
      <formula>$D$25&lt;5</formula>
    </cfRule>
  </conditionalFormatting>
  <conditionalFormatting sqref="R27:T27">
    <cfRule type="expression" dxfId="3641" priority="148">
      <formula>$D$27&lt;5</formula>
    </cfRule>
  </conditionalFormatting>
  <conditionalFormatting sqref="R29:T29">
    <cfRule type="expression" dxfId="3640" priority="163">
      <formula>$D$29&lt;5</formula>
    </cfRule>
  </conditionalFormatting>
  <conditionalFormatting sqref="R34:T34">
    <cfRule type="expression" dxfId="3639" priority="178">
      <formula>$D$34&lt;5</formula>
    </cfRule>
  </conditionalFormatting>
  <conditionalFormatting sqref="R35:T35">
    <cfRule type="expression" dxfId="3638" priority="193">
      <formula>$D$35&lt;5</formula>
    </cfRule>
  </conditionalFormatting>
  <conditionalFormatting sqref="R37:T37">
    <cfRule type="expression" dxfId="3637" priority="208">
      <formula>$D$37&lt;5</formula>
    </cfRule>
  </conditionalFormatting>
  <conditionalFormatting sqref="R38:T38">
    <cfRule type="expression" dxfId="3636" priority="223">
      <formula>$D$38&lt;5</formula>
    </cfRule>
  </conditionalFormatting>
  <conditionalFormatting sqref="R40:T40">
    <cfRule type="expression" dxfId="3635" priority="238">
      <formula>$D$40&lt;5</formula>
    </cfRule>
  </conditionalFormatting>
  <conditionalFormatting sqref="R41:T41">
    <cfRule type="expression" dxfId="3634" priority="253">
      <formula>$D$41&lt;5</formula>
    </cfRule>
  </conditionalFormatting>
  <conditionalFormatting sqref="R43:T43">
    <cfRule type="expression" dxfId="3633" priority="268">
      <formula>$D$43&lt;5</formula>
    </cfRule>
  </conditionalFormatting>
  <conditionalFormatting sqref="R44:T44">
    <cfRule type="expression" dxfId="3632" priority="283">
      <formula>$D$44&lt;5</formula>
    </cfRule>
  </conditionalFormatting>
  <conditionalFormatting sqref="R46:T46">
    <cfRule type="expression" dxfId="3631" priority="298">
      <formula>$D$46&lt;5</formula>
    </cfRule>
  </conditionalFormatting>
  <conditionalFormatting sqref="R48:T48">
    <cfRule type="expression" dxfId="3630" priority="313">
      <formula>$D$48&lt;5</formula>
    </cfRule>
  </conditionalFormatting>
  <conditionalFormatting sqref="R50:T50">
    <cfRule type="expression" dxfId="3629" priority="328">
      <formula>$D$50&lt;5</formula>
    </cfRule>
  </conditionalFormatting>
  <conditionalFormatting sqref="R55:T55">
    <cfRule type="expression" dxfId="3628" priority="343">
      <formula>$D$55&lt;5</formula>
    </cfRule>
  </conditionalFormatting>
  <conditionalFormatting sqref="R56:T56">
    <cfRule type="expression" dxfId="3627" priority="358">
      <formula>$D$56&lt;5</formula>
    </cfRule>
  </conditionalFormatting>
  <conditionalFormatting sqref="R58:T58">
    <cfRule type="expression" dxfId="3626" priority="373">
      <formula>$D$58&lt;5</formula>
    </cfRule>
  </conditionalFormatting>
  <conditionalFormatting sqref="R59:T59">
    <cfRule type="expression" dxfId="3625" priority="388">
      <formula>$D$59&lt;5</formula>
    </cfRule>
  </conditionalFormatting>
  <conditionalFormatting sqref="R61:T61">
    <cfRule type="expression" dxfId="3624" priority="403">
      <formula>$D$61&lt;5</formula>
    </cfRule>
  </conditionalFormatting>
  <conditionalFormatting sqref="R62:T62">
    <cfRule type="expression" dxfId="3623" priority="418">
      <formula>$D$62&lt;5</formula>
    </cfRule>
  </conditionalFormatting>
  <conditionalFormatting sqref="R64:T64">
    <cfRule type="expression" dxfId="3622" priority="433">
      <formula>$D$64&lt;5</formula>
    </cfRule>
  </conditionalFormatting>
  <conditionalFormatting sqref="R65:T65">
    <cfRule type="expression" dxfId="3621" priority="448">
      <formula>$D$65&lt;5</formula>
    </cfRule>
  </conditionalFormatting>
  <conditionalFormatting sqref="R67:T67">
    <cfRule type="expression" dxfId="3620" priority="463">
      <formula>$D$67&lt;5</formula>
    </cfRule>
  </conditionalFormatting>
  <conditionalFormatting sqref="R69:T69">
    <cfRule type="expression" dxfId="3619" priority="478">
      <formula>$D$69&lt;5</formula>
    </cfRule>
  </conditionalFormatting>
  <conditionalFormatting sqref="R71:T71">
    <cfRule type="expression" dxfId="3618" priority="493">
      <formula>$D$71&lt;5</formula>
    </cfRule>
  </conditionalFormatting>
  <conditionalFormatting sqref="R76:T76">
    <cfRule type="expression" dxfId="3617" priority="508">
      <formula>$D$76&lt;5</formula>
    </cfRule>
  </conditionalFormatting>
  <conditionalFormatting sqref="R77:T77">
    <cfRule type="expression" dxfId="3616" priority="523">
      <formula>$D$77&lt;5</formula>
    </cfRule>
  </conditionalFormatting>
  <conditionalFormatting sqref="R79:T79">
    <cfRule type="expression" dxfId="3615" priority="538">
      <formula>$D$79&lt;5</formula>
    </cfRule>
  </conditionalFormatting>
  <conditionalFormatting sqref="R80:T80">
    <cfRule type="expression" dxfId="3614" priority="553">
      <formula>$D$80&lt;5</formula>
    </cfRule>
  </conditionalFormatting>
  <conditionalFormatting sqref="R82:T82">
    <cfRule type="expression" dxfId="3613" priority="568">
      <formula>$D$82&lt;5</formula>
    </cfRule>
  </conditionalFormatting>
  <conditionalFormatting sqref="R83:T83">
    <cfRule type="expression" dxfId="3612" priority="583">
      <formula>$D$83&lt;5</formula>
    </cfRule>
  </conditionalFormatting>
  <conditionalFormatting sqref="R85:T85">
    <cfRule type="expression" dxfId="3611" priority="598">
      <formula>$D$85&lt;5</formula>
    </cfRule>
  </conditionalFormatting>
  <conditionalFormatting sqref="R86:T86">
    <cfRule type="expression" dxfId="3610" priority="613">
      <formula>$D$86&lt;5</formula>
    </cfRule>
  </conditionalFormatting>
  <conditionalFormatting sqref="R88:T88">
    <cfRule type="expression" dxfId="3609" priority="628">
      <formula>$D$88&lt;5</formula>
    </cfRule>
  </conditionalFormatting>
  <conditionalFormatting sqref="R90:T90">
    <cfRule type="expression" dxfId="3608" priority="643">
      <formula>$D$90&lt;5</formula>
    </cfRule>
  </conditionalFormatting>
  <conditionalFormatting sqref="R92:T92">
    <cfRule type="expression" dxfId="3607" priority="658">
      <formula>$D$92&lt;5</formula>
    </cfRule>
  </conditionalFormatting>
  <conditionalFormatting sqref="R97:T97">
    <cfRule type="expression" dxfId="3606" priority="673">
      <formula>$D$97&lt;5</formula>
    </cfRule>
  </conditionalFormatting>
  <conditionalFormatting sqref="R98:T98">
    <cfRule type="expression" dxfId="3605" priority="688">
      <formula>$D$98&lt;5</formula>
    </cfRule>
  </conditionalFormatting>
  <conditionalFormatting sqref="R100:T100">
    <cfRule type="expression" dxfId="3604" priority="703">
      <formula>$D$100&lt;5</formula>
    </cfRule>
  </conditionalFormatting>
  <conditionalFormatting sqref="R101:T101">
    <cfRule type="expression" dxfId="3603" priority="718">
      <formula>$D$101&lt;5</formula>
    </cfRule>
  </conditionalFormatting>
  <conditionalFormatting sqref="R103:T103">
    <cfRule type="expression" dxfId="3602" priority="733">
      <formula>$D$103&lt;5</formula>
    </cfRule>
  </conditionalFormatting>
  <conditionalFormatting sqref="R104:T104">
    <cfRule type="expression" dxfId="3601" priority="748">
      <formula>$D$104&lt;5</formula>
    </cfRule>
  </conditionalFormatting>
  <conditionalFormatting sqref="R106:T106">
    <cfRule type="expression" dxfId="3600" priority="763">
      <formula>$D$106&lt;5</formula>
    </cfRule>
  </conditionalFormatting>
  <conditionalFormatting sqref="R107:T107">
    <cfRule type="expression" dxfId="3599" priority="778">
      <formula>$D$107&lt;5</formula>
    </cfRule>
  </conditionalFormatting>
  <conditionalFormatting sqref="R109:T109">
    <cfRule type="expression" dxfId="3598" priority="793">
      <formula>$D$109&lt;5</formula>
    </cfRule>
  </conditionalFormatting>
  <conditionalFormatting sqref="R111:T111">
    <cfRule type="expression" dxfId="3597" priority="808">
      <formula>$D$111&lt;5</formula>
    </cfRule>
  </conditionalFormatting>
  <conditionalFormatting sqref="R113:T113">
    <cfRule type="expression" dxfId="3596" priority="823">
      <formula>$D$113&lt;5</formula>
    </cfRule>
  </conditionalFormatting>
  <conditionalFormatting sqref="R118:T118">
    <cfRule type="expression" dxfId="3595" priority="838">
      <formula>$D$118&lt;5</formula>
    </cfRule>
  </conditionalFormatting>
  <conditionalFormatting sqref="R119:T119">
    <cfRule type="expression" dxfId="3594" priority="853">
      <formula>$D$119&lt;5</formula>
    </cfRule>
  </conditionalFormatting>
  <conditionalFormatting sqref="R121:T121">
    <cfRule type="expression" dxfId="3593" priority="868">
      <formula>$D$121&lt;5</formula>
    </cfRule>
  </conditionalFormatting>
  <conditionalFormatting sqref="R122:T122">
    <cfRule type="expression" dxfId="3592" priority="883">
      <formula>$D$122&lt;5</formula>
    </cfRule>
  </conditionalFormatting>
  <conditionalFormatting sqref="R124:T124">
    <cfRule type="expression" dxfId="3591" priority="898">
      <formula>$D$124&lt;5</formula>
    </cfRule>
  </conditionalFormatting>
  <conditionalFormatting sqref="R125:T125">
    <cfRule type="expression" dxfId="3590" priority="913">
      <formula>$D$125&lt;5</formula>
    </cfRule>
  </conditionalFormatting>
  <conditionalFormatting sqref="R127:T127">
    <cfRule type="expression" dxfId="3589" priority="928">
      <formula>$D$127&lt;5</formula>
    </cfRule>
  </conditionalFormatting>
  <conditionalFormatting sqref="R128:T128">
    <cfRule type="expression" dxfId="3588" priority="943">
      <formula>$D$128&lt;5</formula>
    </cfRule>
  </conditionalFormatting>
  <conditionalFormatting sqref="R130:T130">
    <cfRule type="expression" dxfId="3587" priority="958">
      <formula>$D$130&lt;5</formula>
    </cfRule>
  </conditionalFormatting>
  <conditionalFormatting sqref="R132:T132">
    <cfRule type="expression" dxfId="3586" priority="973">
      <formula>$D$132&lt;5</formula>
    </cfRule>
  </conditionalFormatting>
  <conditionalFormatting sqref="R134:T134">
    <cfRule type="expression" dxfId="3585" priority="988">
      <formula>$D$134&lt;5</formula>
    </cfRule>
  </conditionalFormatting>
  <conditionalFormatting sqref="R139:T139">
    <cfRule type="expression" dxfId="3584" priority="1003">
      <formula>$D$139&lt;5</formula>
    </cfRule>
  </conditionalFormatting>
  <conditionalFormatting sqref="R140:T140">
    <cfRule type="expression" dxfId="3583" priority="1018">
      <formula>$D$140&lt;5</formula>
    </cfRule>
  </conditionalFormatting>
  <conditionalFormatting sqref="R142:T142">
    <cfRule type="expression" dxfId="3582" priority="1033">
      <formula>$D$142&lt;5</formula>
    </cfRule>
  </conditionalFormatting>
  <conditionalFormatting sqref="R143:T143">
    <cfRule type="expression" dxfId="3581" priority="1048">
      <formula>$D$143&lt;5</formula>
    </cfRule>
  </conditionalFormatting>
  <conditionalFormatting sqref="R145:T145">
    <cfRule type="expression" dxfId="3580" priority="1063">
      <formula>$D$145&lt;5</formula>
    </cfRule>
  </conditionalFormatting>
  <conditionalFormatting sqref="R146:T146">
    <cfRule type="expression" dxfId="3579" priority="1078">
      <formula>$D$146&lt;5</formula>
    </cfRule>
  </conditionalFormatting>
  <conditionalFormatting sqref="R148:T148">
    <cfRule type="expression" dxfId="3578" priority="1093">
      <formula>$D$148&lt;5</formula>
    </cfRule>
  </conditionalFormatting>
  <conditionalFormatting sqref="R149:T149">
    <cfRule type="expression" dxfId="3577" priority="1108">
      <formula>$D$149&lt;5</formula>
    </cfRule>
  </conditionalFormatting>
  <conditionalFormatting sqref="R151:T151">
    <cfRule type="expression" dxfId="3576" priority="1123">
      <formula>$D$151&lt;5</formula>
    </cfRule>
  </conditionalFormatting>
  <conditionalFormatting sqref="R153:T153">
    <cfRule type="expression" dxfId="3575" priority="1138">
      <formula>$D$153&lt;5</formula>
    </cfRule>
  </conditionalFormatting>
  <conditionalFormatting sqref="R155:T155">
    <cfRule type="expression" dxfId="3574" priority="1153">
      <formula>$D$155&lt;5</formula>
    </cfRule>
  </conditionalFormatting>
  <conditionalFormatting sqref="R160:T160">
    <cfRule type="expression" dxfId="3573" priority="1168">
      <formula>$D$160&lt;5</formula>
    </cfRule>
  </conditionalFormatting>
  <conditionalFormatting sqref="R161:T161">
    <cfRule type="expression" dxfId="3572" priority="1183">
      <formula>$D$161&lt;5</formula>
    </cfRule>
  </conditionalFormatting>
  <conditionalFormatting sqref="R163:T163">
    <cfRule type="expression" dxfId="3571" priority="1198">
      <formula>$D$163&lt;5</formula>
    </cfRule>
  </conditionalFormatting>
  <conditionalFormatting sqref="R164:T164">
    <cfRule type="expression" dxfId="3570" priority="1213">
      <formula>$D$164&lt;5</formula>
    </cfRule>
  </conditionalFormatting>
  <conditionalFormatting sqref="R166:T166">
    <cfRule type="expression" dxfId="3569" priority="1228">
      <formula>$D$166&lt;5</formula>
    </cfRule>
  </conditionalFormatting>
  <conditionalFormatting sqref="R167:T167">
    <cfRule type="expression" dxfId="3568" priority="1243">
      <formula>$D$167&lt;5</formula>
    </cfRule>
  </conditionalFormatting>
  <conditionalFormatting sqref="R169:T169">
    <cfRule type="expression" dxfId="3567" priority="1258">
      <formula>$D$169&lt;5</formula>
    </cfRule>
  </conditionalFormatting>
  <conditionalFormatting sqref="R170:T170">
    <cfRule type="expression" dxfId="3566" priority="1273">
      <formula>$D$170&lt;5</formula>
    </cfRule>
  </conditionalFormatting>
  <conditionalFormatting sqref="R172:T172">
    <cfRule type="expression" dxfId="3565" priority="1288">
      <formula>$D$172&lt;5</formula>
    </cfRule>
  </conditionalFormatting>
  <conditionalFormatting sqref="R174:T174">
    <cfRule type="expression" dxfId="3564" priority="1303">
      <formula>$D$174&lt;5</formula>
    </cfRule>
  </conditionalFormatting>
  <conditionalFormatting sqref="R176:T176">
    <cfRule type="expression" dxfId="3563" priority="1318">
      <formula>$D$176&lt;5</formula>
    </cfRule>
  </conditionalFormatting>
  <conditionalFormatting sqref="R181:T181">
    <cfRule type="expression" dxfId="3562" priority="1333">
      <formula>$D$181&lt;5</formula>
    </cfRule>
  </conditionalFormatting>
  <conditionalFormatting sqref="R182:T182">
    <cfRule type="expression" dxfId="3561" priority="1348">
      <formula>$D$182&lt;5</formula>
    </cfRule>
  </conditionalFormatting>
  <conditionalFormatting sqref="R184:T184">
    <cfRule type="expression" dxfId="3560" priority="1363">
      <formula>$D$184&lt;5</formula>
    </cfRule>
  </conditionalFormatting>
  <conditionalFormatting sqref="R185:T185">
    <cfRule type="expression" dxfId="3559" priority="1378">
      <formula>$D$185&lt;5</formula>
    </cfRule>
  </conditionalFormatting>
  <conditionalFormatting sqref="R187:T187">
    <cfRule type="expression" dxfId="3558" priority="1393">
      <formula>$D$187&lt;5</formula>
    </cfRule>
  </conditionalFormatting>
  <conditionalFormatting sqref="R188:T188">
    <cfRule type="expression" dxfId="3557" priority="1408">
      <formula>$D$188&lt;5</formula>
    </cfRule>
  </conditionalFormatting>
  <conditionalFormatting sqref="R190:T190">
    <cfRule type="expression" dxfId="3556" priority="1423">
      <formula>$D$190&lt;5</formula>
    </cfRule>
  </conditionalFormatting>
  <conditionalFormatting sqref="R191:T191">
    <cfRule type="expression" dxfId="3555" priority="1438">
      <formula>$D$191&lt;5</formula>
    </cfRule>
  </conditionalFormatting>
  <conditionalFormatting sqref="R193:T193">
    <cfRule type="expression" dxfId="3554" priority="1453">
      <formula>$D$193&lt;5</formula>
    </cfRule>
  </conditionalFormatting>
  <conditionalFormatting sqref="R195:T195">
    <cfRule type="expression" dxfId="3553" priority="1468">
      <formula>$D$195&lt;5</formula>
    </cfRule>
  </conditionalFormatting>
  <conditionalFormatting sqref="R197:T197">
    <cfRule type="expression" dxfId="3552" priority="1483">
      <formula>$D$197&lt;5</formula>
    </cfRule>
  </conditionalFormatting>
  <conditionalFormatting sqref="R202:T202">
    <cfRule type="expression" dxfId="3551" priority="1498">
      <formula>$D$202&lt;5</formula>
    </cfRule>
  </conditionalFormatting>
  <conditionalFormatting sqref="R203:T203">
    <cfRule type="expression" dxfId="3550" priority="1513">
      <formula>$D$203&lt;5</formula>
    </cfRule>
  </conditionalFormatting>
  <conditionalFormatting sqref="R205:T205">
    <cfRule type="expression" dxfId="3549" priority="1528">
      <formula>$D$205&lt;5</formula>
    </cfRule>
  </conditionalFormatting>
  <conditionalFormatting sqref="R206:T206">
    <cfRule type="expression" dxfId="3548" priority="1543">
      <formula>$D$206&lt;5</formula>
    </cfRule>
  </conditionalFormatting>
  <conditionalFormatting sqref="R208:T208">
    <cfRule type="expression" dxfId="3547" priority="1558">
      <formula>$D$208&lt;5</formula>
    </cfRule>
  </conditionalFormatting>
  <conditionalFormatting sqref="R209:T209">
    <cfRule type="expression" dxfId="3546" priority="1573">
      <formula>$D$209&lt;5</formula>
    </cfRule>
  </conditionalFormatting>
  <conditionalFormatting sqref="R211:T211">
    <cfRule type="expression" dxfId="3545" priority="1588">
      <formula>$D$211&lt;5</formula>
    </cfRule>
  </conditionalFormatting>
  <conditionalFormatting sqref="R212:T212">
    <cfRule type="expression" dxfId="3544" priority="1603">
      <formula>$D$212&lt;5</formula>
    </cfRule>
  </conditionalFormatting>
  <conditionalFormatting sqref="R214:T214">
    <cfRule type="expression" dxfId="3543" priority="1618">
      <formula>$D$214&lt;5</formula>
    </cfRule>
  </conditionalFormatting>
  <conditionalFormatting sqref="R216:T216">
    <cfRule type="expression" dxfId="3542" priority="1633">
      <formula>$D$216&lt;5</formula>
    </cfRule>
  </conditionalFormatting>
  <conditionalFormatting sqref="R218:T218">
    <cfRule type="expression" dxfId="3541" priority="1648">
      <formula>$D$218&lt;5</formula>
    </cfRule>
  </conditionalFormatting>
  <conditionalFormatting sqref="R223:T223">
    <cfRule type="expression" dxfId="3540" priority="1663">
      <formula>$D$223&lt;5</formula>
    </cfRule>
  </conditionalFormatting>
  <conditionalFormatting sqref="R224:T224">
    <cfRule type="expression" dxfId="3539" priority="1678">
      <formula>$D$224&lt;5</formula>
    </cfRule>
  </conditionalFormatting>
  <conditionalFormatting sqref="R226:T226">
    <cfRule type="expression" dxfId="3538" priority="1693">
      <formula>$D$226&lt;5</formula>
    </cfRule>
  </conditionalFormatting>
  <conditionalFormatting sqref="R227:T227">
    <cfRule type="expression" dxfId="3537" priority="1708">
      <formula>$D$227&lt;5</formula>
    </cfRule>
  </conditionalFormatting>
  <conditionalFormatting sqref="R229:T229">
    <cfRule type="expression" dxfId="3536" priority="1723">
      <formula>$D$229&lt;5</formula>
    </cfRule>
  </conditionalFormatting>
  <conditionalFormatting sqref="R230:T230">
    <cfRule type="expression" dxfId="3535" priority="1738">
      <formula>$D$230&lt;5</formula>
    </cfRule>
  </conditionalFormatting>
  <conditionalFormatting sqref="R232:T232">
    <cfRule type="expression" dxfId="3534" priority="1753">
      <formula>$D$232&lt;5</formula>
    </cfRule>
  </conditionalFormatting>
  <conditionalFormatting sqref="R233:T233">
    <cfRule type="expression" dxfId="3533" priority="1768">
      <formula>$D$233&lt;5</formula>
    </cfRule>
  </conditionalFormatting>
  <conditionalFormatting sqref="R235:T235">
    <cfRule type="expression" dxfId="3532" priority="1783">
      <formula>$D$235&lt;5</formula>
    </cfRule>
  </conditionalFormatting>
  <conditionalFormatting sqref="R237:T237">
    <cfRule type="expression" dxfId="3531" priority="1798">
      <formula>$D$237&lt;5</formula>
    </cfRule>
  </conditionalFormatting>
  <conditionalFormatting sqref="R239:T239">
    <cfRule type="expression" dxfId="3530" priority="1813">
      <formula>$D$239&lt;5</formula>
    </cfRule>
  </conditionalFormatting>
  <conditionalFormatting sqref="R244:T244">
    <cfRule type="expression" dxfId="3529" priority="1828">
      <formula>$D$244&lt;5</formula>
    </cfRule>
  </conditionalFormatting>
  <conditionalFormatting sqref="R245:T245">
    <cfRule type="expression" dxfId="3528" priority="1843">
      <formula>$D$245&lt;5</formula>
    </cfRule>
  </conditionalFormatting>
  <conditionalFormatting sqref="R247:T247">
    <cfRule type="expression" dxfId="3527" priority="1858">
      <formula>$D$247&lt;5</formula>
    </cfRule>
  </conditionalFormatting>
  <conditionalFormatting sqref="R248:T248">
    <cfRule type="expression" dxfId="3526" priority="1873">
      <formula>$D$248&lt;5</formula>
    </cfRule>
  </conditionalFormatting>
  <conditionalFormatting sqref="R250:T250">
    <cfRule type="expression" dxfId="3525" priority="1888">
      <formula>$D$250&lt;5</formula>
    </cfRule>
  </conditionalFormatting>
  <conditionalFormatting sqref="R251:T251">
    <cfRule type="expression" dxfId="3524" priority="1903">
      <formula>$D$251&lt;5</formula>
    </cfRule>
  </conditionalFormatting>
  <conditionalFormatting sqref="R253:T253">
    <cfRule type="expression" dxfId="3523" priority="1918">
      <formula>$D$253&lt;5</formula>
    </cfRule>
  </conditionalFormatting>
  <conditionalFormatting sqref="R254:T254">
    <cfRule type="expression" dxfId="3522" priority="1933">
      <formula>$D$254&lt;5</formula>
    </cfRule>
  </conditionalFormatting>
  <conditionalFormatting sqref="R256:T256">
    <cfRule type="expression" dxfId="3521" priority="1948">
      <formula>$D$256&lt;5</formula>
    </cfRule>
  </conditionalFormatting>
  <conditionalFormatting sqref="R258:T258">
    <cfRule type="expression" dxfId="3520" priority="1963">
      <formula>$D$258&lt;5</formula>
    </cfRule>
  </conditionalFormatting>
  <conditionalFormatting sqref="R260:T260">
    <cfRule type="expression" dxfId="3519" priority="1978">
      <formula>$D$260&lt;5</formula>
    </cfRule>
  </conditionalFormatting>
  <dataValidations count="7">
    <dataValidation type="list" allowBlank="1" sqref="A19:A20 A40:A41 A61:A62 A82:A83 A103:A104 A124:A125 A145:A146 A166:A167 A187:A188 A208:A209 A229:A230 A250:A251" xr:uid="{00000000-0002-0000-0100-000000000000}">
      <formula1>BASES_BICEPS</formula1>
    </dataValidation>
    <dataValidation type="list" allowBlank="1" sqref="A22:A23 A43:A44 A64:A65 A85:A86 A106:A107 A127:A128 A148:A149 A169:A170 A190:A191 A211:A212 A232:A233 A253:A254" xr:uid="{00000000-0002-0000-0100-000001000000}">
      <formula1>BASES_ANTEBRAZO</formula1>
    </dataValidation>
    <dataValidation type="list" allowBlank="1" sqref="A25 A46 A67 A88 A109 A130 A151 A172 A193 A214 A235 A256" xr:uid="{00000000-0002-0000-0100-000002000000}">
      <formula1>BASES_AGARRE</formula1>
    </dataValidation>
    <dataValidation type="list" allowBlank="1" sqref="A27 A48 A69 A90 A111 A132 A153 A174 A195 A216 A237 A258" xr:uid="{00000000-0002-0000-0100-000003000000}">
      <formula1>BASES_TRICEPS</formula1>
    </dataValidation>
    <dataValidation type="list" allowBlank="1" sqref="A29 A50 A71 A92 A113 A134 A155 A176 A197 A218 A239 A260" xr:uid="{00000000-0002-0000-0100-000004000000}">
      <formula1>BASES_CIERRE</formula1>
    </dataValidation>
    <dataValidation type="list" allowBlank="1" sqref="A13 A14 A34 A35 A55 A56 A76 A77 A97 A98 A118 A119 A139 A140 A160 A161 A181 A182 A202 A203 A223 A224 A244 A245" xr:uid="{00000000-0002-0000-0100-000005000000}">
      <formula1>BASES_ESPALDA_ANCHURA</formula1>
    </dataValidation>
    <dataValidation type="list" allowBlank="1" sqref="A16 A17 A37 A38 A58 A59 A79 A80 A100 A101 A121 A122 A142 A143 A163 A164 A184 A185 A205 A206 A226 A227 A247 A248" xr:uid="{00000000-0002-0000-0100-000006000000}">
      <formula1>BASES_ESPALDA_DENSIDAD</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xr:uid="{00000000-0002-0000-0100-000007000000}">
          <x14:formula1>
            <xm:f>INDIRECT(IFERROR(VLOOKUP(A6,EJERCICIOS!$B$3:$E$85,4,0),"BASES_LIST"))</xm:f>
          </x14:formula1>
          <xm:sqref>B260 B258 B256 B253:B254 B250:B251 B247:B248 B244:B245 B239 B237 B235 B232:B233 B229:B230 B226:B227 B223:B224 B218 B216 B214 B211:B212 B208:B209 B205:B206 B202:B203 B197 B195 B193 B190:B191 B187:B188 B184:B185 B181:B182 B176 B174 B172 B169:B170 B166:B167 B163:B164 B160:B161 B155 B153 B151 B148:B149 B145:B146 B142:B143 B139:B140 B134 B132 B130 B127:B128 B124:B125 B121:B122 B118:B119 B113 B111 B109 B106:B107 B103:B104 B100:B101 B97:B98 B92 B90 B88 B85:B86 B82:B83 B79:B80 B76:B77 B71 B69 B67 B64:B65 B61:B62 B58:B59 B55:B56 B50 B48 B46 B43:B44 B40:B41 B37:B38 B34:B35 B29 B27 B25 B22:B23 B19:B20 B16:B17 B13:B14 B6:B8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375623"/>
  </sheetPr>
  <dimension ref="A1:AC273"/>
  <sheetViews>
    <sheetView showGridLines="0" workbookViewId="0">
      <pane ySplit="3" topLeftCell="A16" activePane="bottomLeft" state="frozen"/>
      <selection pane="bottomLeft" activeCell="B27" sqref="B27"/>
    </sheetView>
  </sheetViews>
  <sheetFormatPr defaultColWidth="8.85546875" defaultRowHeight="15"/>
  <cols>
    <col min="1" max="1" width="28" style="68" customWidth="1"/>
    <col min="2" max="2" width="24" style="68" customWidth="1"/>
    <col min="3" max="3" width="10" style="68" customWidth="1"/>
    <col min="4" max="4" width="7" style="68" customWidth="1"/>
    <col min="5" max="5" width="8" style="68" customWidth="1"/>
    <col min="6" max="6" width="7" style="68" customWidth="1"/>
    <col min="7" max="7" width="6" style="68" customWidth="1"/>
    <col min="8" max="8" width="5" style="68" customWidth="1"/>
    <col min="9" max="9" width="7" style="68" customWidth="1"/>
    <col min="10" max="10" width="6" style="68" customWidth="1"/>
    <col min="11" max="11" width="5" style="68" customWidth="1"/>
    <col min="12" max="12" width="7" style="68" customWidth="1"/>
    <col min="13" max="13" width="6" style="68" customWidth="1"/>
    <col min="14" max="14" width="5" style="68" customWidth="1"/>
    <col min="15" max="15" width="7" style="68" customWidth="1"/>
    <col min="16" max="16" width="6" style="68" customWidth="1"/>
    <col min="17" max="17" width="5" style="68" customWidth="1"/>
    <col min="18" max="18" width="7" style="68" customWidth="1"/>
    <col min="19" max="19" width="6" style="68" customWidth="1"/>
    <col min="20" max="20" width="5" style="68" customWidth="1"/>
    <col min="21" max="21" width="9" style="68" customWidth="1"/>
    <col min="22" max="22" width="44" style="68" customWidth="1"/>
    <col min="23" max="29" width="13" style="68" hidden="1" customWidth="1"/>
  </cols>
  <sheetData>
    <row r="1" spans="1:29" ht="30" customHeight="1">
      <c r="A1" s="86" t="s">
        <v>119</v>
      </c>
      <c r="B1" s="78"/>
      <c r="C1" s="78"/>
      <c r="D1" s="78"/>
      <c r="E1" s="78"/>
      <c r="F1" s="78"/>
      <c r="G1" s="78"/>
      <c r="H1" s="78"/>
      <c r="I1" s="78"/>
      <c r="J1" s="78"/>
      <c r="K1" s="78"/>
      <c r="L1" s="78"/>
      <c r="M1" s="78"/>
      <c r="N1" s="78"/>
      <c r="O1" s="78"/>
      <c r="P1" s="78"/>
      <c r="Q1" s="78"/>
      <c r="R1" s="78"/>
      <c r="S1" s="78"/>
      <c r="T1" s="78"/>
      <c r="U1" s="78"/>
      <c r="V1" s="79"/>
      <c r="W1" s="69"/>
      <c r="X1" s="69"/>
      <c r="Y1" s="69"/>
      <c r="Z1" s="69"/>
      <c r="AA1" s="69"/>
      <c r="AB1" s="69"/>
      <c r="AC1" s="69"/>
    </row>
    <row r="2" spans="1:29" ht="20.100000000000001" customHeight="1">
      <c r="A2" s="1" t="s">
        <v>1</v>
      </c>
      <c r="B2" s="1" t="s">
        <v>2</v>
      </c>
      <c r="C2" s="1" t="s">
        <v>3</v>
      </c>
      <c r="D2" s="1" t="s">
        <v>4</v>
      </c>
      <c r="E2" s="1" t="s">
        <v>5</v>
      </c>
      <c r="F2" s="77" t="s">
        <v>6</v>
      </c>
      <c r="G2" s="78"/>
      <c r="H2" s="79"/>
      <c r="I2" s="77" t="s">
        <v>7</v>
      </c>
      <c r="J2" s="78"/>
      <c r="K2" s="79"/>
      <c r="L2" s="77" t="s">
        <v>8</v>
      </c>
      <c r="M2" s="78"/>
      <c r="N2" s="79"/>
      <c r="O2" s="77" t="s">
        <v>9</v>
      </c>
      <c r="P2" s="78"/>
      <c r="Q2" s="79"/>
      <c r="R2" s="77" t="s">
        <v>10</v>
      </c>
      <c r="S2" s="78"/>
      <c r="T2" s="79"/>
      <c r="U2" s="2" t="s">
        <v>11</v>
      </c>
      <c r="V2" s="1" t="s">
        <v>12</v>
      </c>
      <c r="W2" s="69"/>
      <c r="X2" s="69"/>
      <c r="Y2" s="69"/>
      <c r="Z2" s="69"/>
      <c r="AA2" s="69"/>
      <c r="AB2" s="69"/>
      <c r="AC2" s="69"/>
    </row>
    <row r="3" spans="1:29" ht="15.95" customHeight="1">
      <c r="A3" s="3"/>
      <c r="B3" s="3"/>
      <c r="C3" s="3"/>
      <c r="D3" s="3"/>
      <c r="E3" s="3"/>
      <c r="F3" s="4" t="s">
        <v>13</v>
      </c>
      <c r="G3" s="5" t="s">
        <v>14</v>
      </c>
      <c r="H3" s="6" t="s">
        <v>15</v>
      </c>
      <c r="I3" s="4" t="s">
        <v>13</v>
      </c>
      <c r="J3" s="5" t="s">
        <v>14</v>
      </c>
      <c r="K3" s="6" t="s">
        <v>15</v>
      </c>
      <c r="L3" s="4" t="s">
        <v>13</v>
      </c>
      <c r="M3" s="5" t="s">
        <v>14</v>
      </c>
      <c r="N3" s="6" t="s">
        <v>15</v>
      </c>
      <c r="O3" s="4" t="s">
        <v>13</v>
      </c>
      <c r="P3" s="5" t="s">
        <v>14</v>
      </c>
      <c r="Q3" s="6" t="s">
        <v>15</v>
      </c>
      <c r="R3" s="4" t="s">
        <v>13</v>
      </c>
      <c r="S3" s="5" t="s">
        <v>14</v>
      </c>
      <c r="T3" s="6" t="s">
        <v>15</v>
      </c>
      <c r="U3" s="3"/>
      <c r="V3" s="3"/>
      <c r="W3" s="69"/>
      <c r="X3" s="69"/>
      <c r="Y3" s="69"/>
      <c r="Z3" s="69"/>
      <c r="AA3" s="69"/>
      <c r="AB3" s="69"/>
      <c r="AC3" s="69"/>
    </row>
    <row r="4" spans="1:29" ht="15.95" customHeight="1">
      <c r="A4" s="80" t="s">
        <v>16</v>
      </c>
      <c r="B4" s="73"/>
      <c r="C4" s="73"/>
      <c r="D4" s="73"/>
      <c r="E4" s="73"/>
      <c r="F4" s="73"/>
      <c r="G4" s="73"/>
      <c r="H4" s="73"/>
      <c r="I4" s="73"/>
      <c r="J4" s="73"/>
      <c r="K4" s="73"/>
      <c r="L4" s="73"/>
      <c r="M4" s="73"/>
      <c r="N4" s="73"/>
      <c r="O4" s="73"/>
      <c r="P4" s="73"/>
      <c r="Q4" s="73"/>
      <c r="R4" s="73"/>
      <c r="S4" s="73"/>
      <c r="T4" s="73"/>
      <c r="U4" s="73"/>
      <c r="V4" s="73"/>
      <c r="W4" s="69"/>
      <c r="X4" s="69"/>
      <c r="Y4" s="69"/>
      <c r="Z4" s="69"/>
      <c r="AA4" s="69"/>
      <c r="AB4" s="69"/>
      <c r="AC4" s="69"/>
    </row>
    <row r="5" spans="1:29" ht="15.95" customHeight="1">
      <c r="A5" s="74" t="s">
        <v>120</v>
      </c>
      <c r="B5" s="73"/>
      <c r="C5" s="73"/>
      <c r="D5" s="73"/>
      <c r="E5" s="73"/>
      <c r="F5" s="73"/>
      <c r="G5" s="73"/>
      <c r="H5" s="73"/>
      <c r="I5" s="73"/>
      <c r="J5" s="73"/>
      <c r="K5" s="73"/>
      <c r="L5" s="73"/>
      <c r="M5" s="73"/>
      <c r="N5" s="73"/>
      <c r="O5" s="73"/>
      <c r="P5" s="73"/>
      <c r="Q5" s="73"/>
      <c r="R5" s="73"/>
      <c r="S5" s="73"/>
      <c r="T5" s="73"/>
      <c r="U5" s="73"/>
      <c r="V5" s="73"/>
      <c r="W5" s="69"/>
      <c r="X5" s="69"/>
      <c r="Y5" s="69"/>
      <c r="Z5" s="69"/>
      <c r="AA5" s="69"/>
      <c r="AB5" s="69"/>
      <c r="AC5" s="69"/>
    </row>
    <row r="6" spans="1:29" ht="18" customHeight="1">
      <c r="A6" s="7" t="s">
        <v>121</v>
      </c>
      <c r="B6" s="8" t="s">
        <v>122</v>
      </c>
      <c r="C6" s="9"/>
      <c r="D6" s="10">
        <v>2</v>
      </c>
      <c r="E6" s="11"/>
      <c r="F6" s="11"/>
      <c r="G6" s="11"/>
      <c r="H6" s="11"/>
      <c r="I6" s="11"/>
      <c r="J6" s="11"/>
      <c r="K6" s="11"/>
      <c r="L6" s="11"/>
      <c r="M6" s="11"/>
      <c r="N6" s="11"/>
      <c r="O6" s="11"/>
      <c r="P6" s="11"/>
      <c r="Q6" s="11"/>
      <c r="R6" s="11"/>
      <c r="S6" s="11"/>
      <c r="T6" s="11"/>
      <c r="U6" s="11"/>
      <c r="V6" s="12" t="s">
        <v>123</v>
      </c>
      <c r="W6" s="69"/>
      <c r="X6" s="69"/>
      <c r="Y6" s="69"/>
      <c r="Z6" s="69"/>
      <c r="AA6" s="69"/>
      <c r="AB6" s="69"/>
      <c r="AC6" s="69"/>
    </row>
    <row r="7" spans="1:29" ht="18" customHeight="1">
      <c r="A7" s="7" t="s">
        <v>51</v>
      </c>
      <c r="B7" s="8" t="s">
        <v>124</v>
      </c>
      <c r="C7" s="9"/>
      <c r="D7" s="10">
        <v>2</v>
      </c>
      <c r="E7" s="11"/>
      <c r="F7" s="11"/>
      <c r="G7" s="11"/>
      <c r="H7" s="11"/>
      <c r="I7" s="11"/>
      <c r="J7" s="11"/>
      <c r="K7" s="11"/>
      <c r="L7" s="11"/>
      <c r="M7" s="11"/>
      <c r="N7" s="11"/>
      <c r="O7" s="11"/>
      <c r="P7" s="11"/>
      <c r="Q7" s="11"/>
      <c r="R7" s="11"/>
      <c r="S7" s="11"/>
      <c r="T7" s="11"/>
      <c r="U7" s="11"/>
      <c r="V7" s="12" t="s">
        <v>125</v>
      </c>
      <c r="W7" s="69"/>
      <c r="X7" s="69"/>
      <c r="Y7" s="69"/>
      <c r="Z7" s="69"/>
      <c r="AA7" s="69"/>
      <c r="AB7" s="69"/>
      <c r="AC7" s="69"/>
    </row>
    <row r="8" spans="1:29" ht="18" customHeight="1">
      <c r="A8" s="7" t="s">
        <v>126</v>
      </c>
      <c r="B8" s="8" t="s">
        <v>127</v>
      </c>
      <c r="C8" s="9"/>
      <c r="D8" s="10">
        <v>2</v>
      </c>
      <c r="E8" s="11"/>
      <c r="F8" s="11"/>
      <c r="G8" s="11"/>
      <c r="H8" s="11"/>
      <c r="I8" s="11"/>
      <c r="J8" s="11"/>
      <c r="K8" s="11"/>
      <c r="L8" s="11"/>
      <c r="M8" s="11"/>
      <c r="N8" s="11"/>
      <c r="O8" s="11"/>
      <c r="P8" s="11"/>
      <c r="Q8" s="11"/>
      <c r="R8" s="11"/>
      <c r="S8" s="11"/>
      <c r="T8" s="11"/>
      <c r="U8" s="11"/>
      <c r="V8" s="12" t="s">
        <v>128</v>
      </c>
      <c r="W8" s="69"/>
      <c r="X8" s="69"/>
      <c r="Y8" s="69"/>
      <c r="Z8" s="69"/>
      <c r="AA8" s="69"/>
      <c r="AB8" s="69"/>
      <c r="AC8" s="69"/>
    </row>
    <row r="9" spans="1:29" ht="5.0999999999999996" customHeight="1">
      <c r="A9" s="13"/>
      <c r="B9" s="13"/>
      <c r="C9" s="13"/>
      <c r="D9" s="13"/>
      <c r="E9" s="13"/>
      <c r="F9" s="13"/>
      <c r="G9" s="13"/>
      <c r="H9" s="13"/>
      <c r="I9" s="13"/>
      <c r="J9" s="13"/>
      <c r="K9" s="13"/>
      <c r="L9" s="13"/>
      <c r="M9" s="13"/>
      <c r="N9" s="13"/>
      <c r="O9" s="13"/>
      <c r="P9" s="13"/>
      <c r="Q9" s="13"/>
      <c r="R9" s="13"/>
      <c r="S9" s="13"/>
      <c r="T9" s="13"/>
      <c r="U9" s="13"/>
      <c r="V9" s="13"/>
      <c r="W9" s="69"/>
      <c r="X9" s="69"/>
      <c r="Y9" s="69"/>
      <c r="Z9" s="69"/>
      <c r="AA9" s="69"/>
      <c r="AB9" s="69"/>
      <c r="AC9" s="69"/>
    </row>
    <row r="10" spans="1:29" ht="18" customHeight="1">
      <c r="A10" s="85" t="s">
        <v>27</v>
      </c>
      <c r="B10" s="73"/>
      <c r="C10" s="73"/>
      <c r="D10" s="73"/>
      <c r="E10" s="73"/>
      <c r="F10" s="73"/>
      <c r="G10" s="73"/>
      <c r="H10" s="73"/>
      <c r="I10" s="73"/>
      <c r="J10" s="73"/>
      <c r="K10" s="73"/>
      <c r="L10" s="73"/>
      <c r="M10" s="73"/>
      <c r="N10" s="73"/>
      <c r="O10" s="73"/>
      <c r="P10" s="73"/>
      <c r="Q10" s="73"/>
      <c r="R10" s="73"/>
      <c r="S10" s="73"/>
      <c r="T10" s="73"/>
      <c r="U10" s="73"/>
      <c r="V10" s="73"/>
      <c r="W10" s="69"/>
      <c r="X10" s="69"/>
      <c r="Y10" s="69"/>
      <c r="Z10" s="69"/>
      <c r="AA10" s="69"/>
      <c r="AB10" s="69"/>
      <c r="AC10" s="69"/>
    </row>
    <row r="11" spans="1:29" ht="15" customHeight="1">
      <c r="A11" s="88" t="s">
        <v>129</v>
      </c>
      <c r="B11" s="73"/>
      <c r="C11" s="73"/>
      <c r="D11" s="73"/>
      <c r="E11" s="73"/>
      <c r="F11" s="73"/>
      <c r="G11" s="73"/>
      <c r="H11" s="73"/>
      <c r="I11" s="73"/>
      <c r="J11" s="73"/>
      <c r="K11" s="73"/>
      <c r="L11" s="73"/>
      <c r="M11" s="73"/>
      <c r="N11" s="73"/>
      <c r="O11" s="73"/>
      <c r="P11" s="73"/>
      <c r="Q11" s="73"/>
      <c r="R11" s="73"/>
      <c r="S11" s="73"/>
      <c r="T11" s="73"/>
      <c r="U11" s="73"/>
      <c r="V11" s="73"/>
      <c r="W11" s="69"/>
      <c r="X11" s="69"/>
      <c r="Y11" s="69"/>
      <c r="Z11" s="69"/>
      <c r="AA11" s="69"/>
      <c r="AB11" s="69"/>
      <c r="AC11" s="69"/>
    </row>
    <row r="12" spans="1:29" ht="20.100000000000001" customHeight="1">
      <c r="A12" s="14" t="s">
        <v>130</v>
      </c>
      <c r="B12" s="15" t="s">
        <v>131</v>
      </c>
      <c r="C12" s="16" t="str">
        <f>IFERROR(INDEX(EJERCICIOS!$D$3:$D$75,MATCH(A12&amp;"|"&amp;B12,EJERCICIOS!$G$3:$G$75,0)),"--")</f>
        <v>polea</v>
      </c>
      <c r="D12" s="17">
        <v>3</v>
      </c>
      <c r="E12" s="18">
        <f>IFERROR(LOOKUP(2,1/(MEDIDAS_Y_PESO!$B$3:$B$3&lt;&gt;""),MEDIDAS_Y_PESO!$B$3:$B$3),"--")</f>
        <v>80</v>
      </c>
      <c r="F12" s="19"/>
      <c r="G12" s="20"/>
      <c r="H12" s="21"/>
      <c r="I12" s="19"/>
      <c r="J12" s="20"/>
      <c r="K12" s="21"/>
      <c r="L12" s="19"/>
      <c r="M12" s="20"/>
      <c r="N12" s="21"/>
      <c r="O12" s="19"/>
      <c r="P12" s="20"/>
      <c r="Q12" s="21"/>
      <c r="R12" s="19"/>
      <c r="S12" s="20"/>
      <c r="T12" s="21"/>
      <c r="U12" s="22" t="str">
        <f>IFERROR(IF(IF(X12&gt;0,X12,IF(Z12&gt;0,Z12,IF(AB12&gt;0,AB12,0)))=0,"--",ROUND(CHOOSE(IF(X12&gt;0,X12,IF(Z12&gt;0,Z12,IF(AB12&gt;0,AB12,0))),IF(C12="peso_corporal",IF(ISNUMBER(E12),E12,0)+F12,F12)*(1+G12/30),IF(C12="peso_corporal",IF(ISNUMBER(E12),E12,0)+I12,I12)*(1+J12/30),IF(C12="peso_corporal",IF(ISNUMBER(E12),E12,0)+L12,L12)*(1+M12/30),IF(C12="peso_corporal",IF(ISNUMBER(E12),E12,0)+O12,O12)*(1+P12/30),IF(C12="peso_corporal",IF(ISNUMBER(E12),E12,0)+R12,R12)*(1+S12/30)),1)),"--")</f>
        <v>--</v>
      </c>
      <c r="V12" s="23" t="str">
        <f>IF(SUGERENCIAS!N26="SIN","Sin datos anteriores",IF(SUGERENCIAS!N26="SUBIR_F","^ SUBIR FUERTE | Kg:"&amp;ROUND(SUGERENCIAS!K26,1)&amp;" R:"&amp;ROUND(SUGERENCIAS!L26,0)&amp;" RIR:"&amp;ROUND(SUGERENCIAS!M26,0),IF(SUGERENCIAS!N26="SUBIR_E","^ SUBIR (Est.) | Kg:"&amp;ROUND(SUGERENCIAS!K26,1)&amp;" R:"&amp;ROUND(SUGERENCIAS!L26,0)&amp;" RIR:"&amp;ROUND(SUGERENCIAS!M26,0),IF(SUGERENCIAS!N26="SUBIR","^ SUBIR | Kg:"&amp;ROUND(SUGERENCIAS!K26,1)&amp;" R:"&amp;ROUND(SUGERENCIAS!L26,0)&amp;" RIR:"&amp;ROUND(SUGERENCIAS!M26,0),IF(SUGERENCIAS!N26="BAJAR","v BAJAR | Kg:"&amp;ROUND(SUGERENCIAS!K26,1)&amp;" R:"&amp;ROUND(SUGERENCIAS!L26,0)&amp;" RIR:"&amp;ROUND(SUGERENCIAS!M26,0),"= MANT | Kg:"&amp;ROUND(SUGERENCIAS!K26,1)&amp;" R:"&amp;ROUND(SUGERENCIAS!L26,0)&amp;" RIR:"&amp;ROUND(SUGERENCIAS!M26,0))))))</f>
        <v>Sin datos anteriores</v>
      </c>
      <c r="W12" s="69">
        <f>MAX(IF((G12&gt;0)*(IF(H12="",-1,H12)&gt;=1)*(IF(H12="",-1,H12)&lt;=3),IF(C12="peso_corporal",IF(ISNUMBER(E12),E12,0)+F12,F12)*G12*1000+F12,0),IF((J12&gt;0)*(IF(K12="",-1,K12)&gt;=1)*(IF(K12="",-1,K12)&lt;=3),IF(C12="peso_corporal",IF(ISNUMBER(E12),E12,0)+I12,I12)*J12*1000+I12,0),IF((M12&gt;0)*(IF(N12="",-1,N12)&gt;=1)*(IF(N12="",-1,N12)&lt;=3),IF(C12="peso_corporal",IF(ISNUMBER(E12),E12,0)+L12,L12)*M12*1000+L12,0),IF((P12&gt;0)*(IF(Q12="",-1,Q12)&gt;=1)*(IF(Q12="",-1,Q12)&lt;=3),IF(C12="peso_corporal",IF(ISNUMBER(E12),E12,0)+O12,O12)*P12*1000+O12,0),IF((S12&gt;0)*(IF(T12="",-1,T12)&gt;=1)*(IF(T12="",-1,T12)&lt;=3),IF(C12="peso_corporal",IF(ISNUMBER(E12),E12,0)+R12,R12)*S12*1000+R12,0))</f>
        <v>0</v>
      </c>
      <c r="X12" s="69">
        <f>IF(W12=0,0,IF(IF((S12&gt;0)*(IF(T12="",-1,T12)&gt;=1)*(IF(T12="",-1,T12)&lt;=3),IF(C12="peso_corporal",IF(ISNUMBER(E12),E12,0)+R12,R12)*S12*1000+R12,0)=W12,5,IF(IF((P12&gt;0)*(IF(Q12="",-1,Q12)&gt;=1)*(IF(Q12="",-1,Q12)&lt;=3),IF(C12="peso_corporal",IF(ISNUMBER(E12),E12,0)+O12,O12)*P12*1000+O12,0)=W12,4,IF(IF((M12&gt;0)*(IF(N12="",-1,N12)&gt;=1)*(IF(N12="",-1,N12)&lt;=3),IF(C12="peso_corporal",IF(ISNUMBER(E12),E12,0)+L12,L12)*M12*1000+L12,0)=W12,3,IF(IF((J12&gt;0)*(IF(K12="",-1,K12)&gt;=1)*(IF(K12="",-1,K12)&lt;=3),IF(C12="peso_corporal",IF(ISNUMBER(E12),E12,0)+I12,I12)*J12*1000+I12,0)=W12,2,IF(IF((G12&gt;0)*(IF(H12="",-1,H12)&gt;=1)*(IF(H12="",-1,H12)&lt;=3),IF(C12="peso_corporal",IF(ISNUMBER(E12),E12,0)+F12,F12)*G12*1000+F12,0)=W12,1,0))))))</f>
        <v>0</v>
      </c>
      <c r="Y12" s="69">
        <f>MAX(IF((G12&gt;0)*(IF(H12="",-1,H12)=0)*(1-(IF(H12="",-1,H12)&gt;=1)*(IF(H12="",-1,H12)&lt;=3)),IF(C12="peso_corporal",IF(ISNUMBER(E12),E12,0)+F12,F12)*G12*1000+F12,0),IF((J12&gt;0)*(IF(K12="",-1,K12)=0)*(1-(IF(K12="",-1,K12)&gt;=1)*(IF(K12="",-1,K12)&lt;=3)),IF(C12="peso_corporal",IF(ISNUMBER(E12),E12,0)+I12,I12)*J12*1000+I12,0),IF((M12&gt;0)*(IF(N12="",-1,N12)=0)*(1-(IF(N12="",-1,N12)&gt;=1)*(IF(N12="",-1,N12)&lt;=3)),IF(C12="peso_corporal",IF(ISNUMBER(E12),E12,0)+L12,L12)*M12*1000+L12,0),IF((P12&gt;0)*(IF(Q12="",-1,Q12)=0)*(1-(IF(Q12="",-1,Q12)&gt;=1)*(IF(Q12="",-1,Q12)&lt;=3)),IF(C12="peso_corporal",IF(ISNUMBER(E12),E12,0)+O12,O12)*P12*1000+O12,0),IF((S12&gt;0)*(IF(T12="",-1,T12)=0)*(1-(IF(T12="",-1,T12)&gt;=1)*(IF(T12="",-1,T12)&lt;=3)),IF(C12="peso_corporal",IF(ISNUMBER(E12),E12,0)+R12,R12)*S12*1000+R12,0))</f>
        <v>0</v>
      </c>
      <c r="Z12" s="69">
        <f>IF(Y12=0,0,IF(IF((S12&gt;0)*(IF(T12="",-1,T12)=0)*(1-(IF(T12="",-1,T12)&gt;=1)*(IF(T12="",-1,T12)&lt;=3)),IF(C12="peso_corporal",IF(ISNUMBER(E12),E12,0)+R12,R12)*S12*1000+R12,0)=Y12,5,IF(IF((P12&gt;0)*(IF(Q12="",-1,Q12)=0)*(1-(IF(Q12="",-1,Q12)&gt;=1)*(IF(Q12="",-1,Q12)&lt;=3)),IF(C12="peso_corporal",IF(ISNUMBER(E12),E12,0)+O12,O12)*P12*1000+O12,0)=Y12,4,IF(IF((M12&gt;0)*(IF(N12="",-1,N12)=0)*(1-(IF(N12="",-1,N12)&gt;=1)*(IF(N12="",-1,N12)&lt;=3)),IF(C12="peso_corporal",IF(ISNUMBER(E12),E12,0)+L12,L12)*M12*1000+L12,0)=Y12,3,IF(IF((J12&gt;0)*(IF(K12="",-1,K12)=0)*(1-(IF(K12="",-1,K12)&gt;=1)*(IF(K12="",-1,K12)&lt;=3)),IF(C12="peso_corporal",IF(ISNUMBER(E12),E12,0)+I12,I12)*J12*1000+I12,0)=Y12,2,IF(IF((G12&gt;0)*(IF(H12="",-1,H12)=0)*(1-(IF(H12="",-1,H12)&gt;=1)*(IF(H12="",-1,H12)&lt;=3)),IF(C12="peso_corporal",IF(ISNUMBER(E12),E12,0)+F12,F12)*G12*1000+F12,0)=Y12,1,0))))))</f>
        <v>0</v>
      </c>
      <c r="AA12" s="69">
        <f>MAX(IF((G12&gt;=6)*(1-(IF(H12="",-1,H12)&gt;=1)*(IF(H12="",-1,H12)&lt;=3))*(1-(IF(H12="",-1,H12)=0)),IF(C12="peso_corporal",IF(ISNUMBER(E12),E12,0)+F12,F12)*(30+G12)*100+F12,0),IF((J12&gt;=6)*(1-(IF(K12="",-1,K12)&gt;=1)*(IF(K12="",-1,K12)&lt;=3))*(1-(IF(K12="",-1,K12)=0)),IF(C12="peso_corporal",IF(ISNUMBER(E12),E12,0)+I12,I12)*(30+J12)*100+I12,0),IF((M12&gt;=6)*(1-(IF(N12="",-1,N12)&gt;=1)*(IF(N12="",-1,N12)&lt;=3))*(1-(IF(N12="",-1,N12)=0)),IF(C12="peso_corporal",IF(ISNUMBER(E12),E12,0)+L12,L12)*(30+M12)*100+L12,0),IF((P12&gt;=6)*(1-(IF(Q12="",-1,Q12)&gt;=1)*(IF(Q12="",-1,Q12)&lt;=3))*(1-(IF(Q12="",-1,Q12)=0)),IF(C12="peso_corporal",IF(ISNUMBER(E12),E12,0)+O12,O12)*(30+P12)*100+O12,0),IF((S12&gt;=6)*(1-(IF(T12="",-1,T12)&gt;=1)*(IF(T12="",-1,T12)&lt;=3))*(1-(IF(T12="",-1,T12)=0)),IF(C12="peso_corporal",IF(ISNUMBER(E12),E12,0)+R12,R12)*(30+S12)*100+R12,0))</f>
        <v>0</v>
      </c>
      <c r="AB12" s="69">
        <f>IF(AA12=0,0,IF(IF((S12&gt;=6)*(1-(IF(T12="",-1,T12)&gt;=1)*(IF(T12="",-1,T12)&lt;=3))*(1-(IF(T12="",-1,T12)=0)),IF(C12="peso_corporal",IF(ISNUMBER(E12),E12,0)+R12,R12)*(30+S12)*100+R12,0)=AA12,5,IF(IF((P12&gt;=6)*(1-(IF(Q12="",-1,Q12)&gt;=1)*(IF(Q12="",-1,Q12)&lt;=3))*(1-(IF(Q12="",-1,Q12)=0)),IF(C12="peso_corporal",IF(ISNUMBER(E12),E12,0)+O12,O12)*(30+P12)*100+O12,0)=AA12,4,IF(IF((M12&gt;=6)*(1-(IF(N12="",-1,N12)&gt;=1)*(IF(N12="",-1,N12)&lt;=3))*(1-(IF(N12="",-1,N12)=0)),IF(C12="peso_corporal",IF(ISNUMBER(E12),E12,0)+L12,L12)*(30+M12)*100+L12,0)=AA12,3,IF(IF((J12&gt;=6)*(1-(IF(K12="",-1,K12)&gt;=1)*(IF(K12="",-1,K12)&lt;=3))*(1-(IF(K12="",-1,K12)=0)),IF(C12="peso_corporal",IF(ISNUMBER(E12),E12,0)+I12,I12)*(30+J12)*100+I12,0)=AA12,2,IF(IF((G12&gt;=6)*(1-(IF(H12="",-1,H12)&gt;=1)*(IF(H12="",-1,H12)&lt;=3))*(1-(IF(H12="",-1,H12)=0)),IF(C12="peso_corporal",IF(ISNUMBER(E12),E12,0)+F12,F12)*(30+G12)*100+F12,0)=AA12,1,0))))))</f>
        <v>0</v>
      </c>
      <c r="AC12" s="69" t="str">
        <f>IF(X12&gt;0,"A"&amp;X12,IF(Z12&gt;0,"B"&amp;Z12,IF(AB12&gt;0,"C"&amp;AB12,"")))</f>
        <v/>
      </c>
    </row>
    <row r="13" spans="1:29" ht="20.100000000000001" customHeight="1">
      <c r="A13" s="14" t="s">
        <v>130</v>
      </c>
      <c r="B13" s="15" t="s">
        <v>132</v>
      </c>
      <c r="C13" s="16" t="str">
        <f>IFERROR(INDEX(EJERCICIOS!$D$3:$D$75,MATCH(A13&amp;"|"&amp;B13,EJERCICIOS!$G$3:$G$75,0)),"--")</f>
        <v>polea</v>
      </c>
      <c r="D13" s="17">
        <v>3</v>
      </c>
      <c r="E13" s="18">
        <f>IFERROR(LOOKUP(2,1/(MEDIDAS_Y_PESO!$B$3:$B$3&lt;&gt;""),MEDIDAS_Y_PESO!$B$3:$B$3),"--")</f>
        <v>80</v>
      </c>
      <c r="F13" s="19"/>
      <c r="G13" s="20"/>
      <c r="H13" s="21"/>
      <c r="I13" s="19"/>
      <c r="J13" s="20"/>
      <c r="K13" s="21"/>
      <c r="L13" s="19"/>
      <c r="M13" s="20"/>
      <c r="N13" s="21"/>
      <c r="O13" s="19"/>
      <c r="P13" s="20"/>
      <c r="Q13" s="21"/>
      <c r="R13" s="19"/>
      <c r="S13" s="20"/>
      <c r="T13" s="21"/>
      <c r="U13" s="22" t="str">
        <f>IFERROR(IF(IF(X13&gt;0,X13,IF(Z13&gt;0,Z13,IF(AB13&gt;0,AB13,0)))=0,"--",ROUND(CHOOSE(IF(X13&gt;0,X13,IF(Z13&gt;0,Z13,IF(AB13&gt;0,AB13,0))),IF(C13="peso_corporal",IF(ISNUMBER(E13),E13,0)+F13,F13)*(1+G13/30),IF(C13="peso_corporal",IF(ISNUMBER(E13),E13,0)+I13,I13)*(1+J13/30),IF(C13="peso_corporal",IF(ISNUMBER(E13),E13,0)+L13,L13)*(1+M13/30),IF(C13="peso_corporal",IF(ISNUMBER(E13),E13,0)+O13,O13)*(1+P13/30),IF(C13="peso_corporal",IF(ISNUMBER(E13),E13,0)+R13,R13)*(1+S13/30)),1)),"--")</f>
        <v>--</v>
      </c>
      <c r="V13" s="23" t="str">
        <f>IF(SUGERENCIAS!N27="SIN","Sin datos anteriores",IF(SUGERENCIAS!N27="SUBIR_F","^ SUBIR FUERTE | Kg:"&amp;ROUND(SUGERENCIAS!K27,1)&amp;" R:"&amp;ROUND(SUGERENCIAS!L27,0)&amp;" RIR:"&amp;ROUND(SUGERENCIAS!M27,0),IF(SUGERENCIAS!N27="SUBIR_E","^ SUBIR (Est.) | Kg:"&amp;ROUND(SUGERENCIAS!K27,1)&amp;" R:"&amp;ROUND(SUGERENCIAS!L27,0)&amp;" RIR:"&amp;ROUND(SUGERENCIAS!M27,0),IF(SUGERENCIAS!N27="SUBIR","^ SUBIR | Kg:"&amp;ROUND(SUGERENCIAS!K27,1)&amp;" R:"&amp;ROUND(SUGERENCIAS!L27,0)&amp;" RIR:"&amp;ROUND(SUGERENCIAS!M27,0),IF(SUGERENCIAS!N27="BAJAR","v BAJAR | Kg:"&amp;ROUND(SUGERENCIAS!K27,1)&amp;" R:"&amp;ROUND(SUGERENCIAS!L27,0)&amp;" RIR:"&amp;ROUND(SUGERENCIAS!M27,0),"= MANT | Kg:"&amp;ROUND(SUGERENCIAS!K27,1)&amp;" R:"&amp;ROUND(SUGERENCIAS!L27,0)&amp;" RIR:"&amp;ROUND(SUGERENCIAS!M27,0))))))</f>
        <v>Sin datos anteriores</v>
      </c>
      <c r="W13" s="69">
        <f>MAX(IF((G13&gt;0)*(IF(H13="",-1,H13)&gt;=1)*(IF(H13="",-1,H13)&lt;=3),IF(C13="peso_corporal",IF(ISNUMBER(E13),E13,0)+F13,F13)*G13*1000+F13,0),IF((J13&gt;0)*(IF(K13="",-1,K13)&gt;=1)*(IF(K13="",-1,K13)&lt;=3),IF(C13="peso_corporal",IF(ISNUMBER(E13),E13,0)+I13,I13)*J13*1000+I13,0),IF((M13&gt;0)*(IF(N13="",-1,N13)&gt;=1)*(IF(N13="",-1,N13)&lt;=3),IF(C13="peso_corporal",IF(ISNUMBER(E13),E13,0)+L13,L13)*M13*1000+L13,0),IF((P13&gt;0)*(IF(Q13="",-1,Q13)&gt;=1)*(IF(Q13="",-1,Q13)&lt;=3),IF(C13="peso_corporal",IF(ISNUMBER(E13),E13,0)+O13,O13)*P13*1000+O13,0),IF((S13&gt;0)*(IF(T13="",-1,T13)&gt;=1)*(IF(T13="",-1,T13)&lt;=3),IF(C13="peso_corporal",IF(ISNUMBER(E13),E13,0)+R13,R13)*S13*1000+R13,0))</f>
        <v>0</v>
      </c>
      <c r="X13" s="69">
        <f>IF(W13=0,0,IF(IF((S13&gt;0)*(IF(T13="",-1,T13)&gt;=1)*(IF(T13="",-1,T13)&lt;=3),IF(C13="peso_corporal",IF(ISNUMBER(E13),E13,0)+R13,R13)*S13*1000+R13,0)=W13,5,IF(IF((P13&gt;0)*(IF(Q13="",-1,Q13)&gt;=1)*(IF(Q13="",-1,Q13)&lt;=3),IF(C13="peso_corporal",IF(ISNUMBER(E13),E13,0)+O13,O13)*P13*1000+O13,0)=W13,4,IF(IF((M13&gt;0)*(IF(N13="",-1,N13)&gt;=1)*(IF(N13="",-1,N13)&lt;=3),IF(C13="peso_corporal",IF(ISNUMBER(E13),E13,0)+L13,L13)*M13*1000+L13,0)=W13,3,IF(IF((J13&gt;0)*(IF(K13="",-1,K13)&gt;=1)*(IF(K13="",-1,K13)&lt;=3),IF(C13="peso_corporal",IF(ISNUMBER(E13),E13,0)+I13,I13)*J13*1000+I13,0)=W13,2,IF(IF((G13&gt;0)*(IF(H13="",-1,H13)&gt;=1)*(IF(H13="",-1,H13)&lt;=3),IF(C13="peso_corporal",IF(ISNUMBER(E13),E13,0)+F13,F13)*G13*1000+F13,0)=W13,1,0))))))</f>
        <v>0</v>
      </c>
      <c r="Y13" s="69">
        <f>MAX(IF((G13&gt;0)*(IF(H13="",-1,H13)=0)*(1-(IF(H13="",-1,H13)&gt;=1)*(IF(H13="",-1,H13)&lt;=3)),IF(C13="peso_corporal",IF(ISNUMBER(E13),E13,0)+F13,F13)*G13*1000+F13,0),IF((J13&gt;0)*(IF(K13="",-1,K13)=0)*(1-(IF(K13="",-1,K13)&gt;=1)*(IF(K13="",-1,K13)&lt;=3)),IF(C13="peso_corporal",IF(ISNUMBER(E13),E13,0)+I13,I13)*J13*1000+I13,0),IF((M13&gt;0)*(IF(N13="",-1,N13)=0)*(1-(IF(N13="",-1,N13)&gt;=1)*(IF(N13="",-1,N13)&lt;=3)),IF(C13="peso_corporal",IF(ISNUMBER(E13),E13,0)+L13,L13)*M13*1000+L13,0),IF((P13&gt;0)*(IF(Q13="",-1,Q13)=0)*(1-(IF(Q13="",-1,Q13)&gt;=1)*(IF(Q13="",-1,Q13)&lt;=3)),IF(C13="peso_corporal",IF(ISNUMBER(E13),E13,0)+O13,O13)*P13*1000+O13,0),IF((S13&gt;0)*(IF(T13="",-1,T13)=0)*(1-(IF(T13="",-1,T13)&gt;=1)*(IF(T13="",-1,T13)&lt;=3)),IF(C13="peso_corporal",IF(ISNUMBER(E13),E13,0)+R13,R13)*S13*1000+R13,0))</f>
        <v>0</v>
      </c>
      <c r="Z13" s="69">
        <f>IF(Y13=0,0,IF(IF((S13&gt;0)*(IF(T13="",-1,T13)=0)*(1-(IF(T13="",-1,T13)&gt;=1)*(IF(T13="",-1,T13)&lt;=3)),IF(C13="peso_corporal",IF(ISNUMBER(E13),E13,0)+R13,R13)*S13*1000+R13,0)=Y13,5,IF(IF((P13&gt;0)*(IF(Q13="",-1,Q13)=0)*(1-(IF(Q13="",-1,Q13)&gt;=1)*(IF(Q13="",-1,Q13)&lt;=3)),IF(C13="peso_corporal",IF(ISNUMBER(E13),E13,0)+O13,O13)*P13*1000+O13,0)=Y13,4,IF(IF((M13&gt;0)*(IF(N13="",-1,N13)=0)*(1-(IF(N13="",-1,N13)&gt;=1)*(IF(N13="",-1,N13)&lt;=3)),IF(C13="peso_corporal",IF(ISNUMBER(E13),E13,0)+L13,L13)*M13*1000+L13,0)=Y13,3,IF(IF((J13&gt;0)*(IF(K13="",-1,K13)=0)*(1-(IF(K13="",-1,K13)&gt;=1)*(IF(K13="",-1,K13)&lt;=3)),IF(C13="peso_corporal",IF(ISNUMBER(E13),E13,0)+I13,I13)*J13*1000+I13,0)=Y13,2,IF(IF((G13&gt;0)*(IF(H13="",-1,H13)=0)*(1-(IF(H13="",-1,H13)&gt;=1)*(IF(H13="",-1,H13)&lt;=3)),IF(C13="peso_corporal",IF(ISNUMBER(E13),E13,0)+F13,F13)*G13*1000+F13,0)=Y13,1,0))))))</f>
        <v>0</v>
      </c>
      <c r="AA13" s="69">
        <f>MAX(IF((G13&gt;=6)*(1-(IF(H13="",-1,H13)&gt;=1)*(IF(H13="",-1,H13)&lt;=3))*(1-(IF(H13="",-1,H13)=0)),IF(C13="peso_corporal",IF(ISNUMBER(E13),E13,0)+F13,F13)*(30+G13)*100+F13,0),IF((J13&gt;=6)*(1-(IF(K13="",-1,K13)&gt;=1)*(IF(K13="",-1,K13)&lt;=3))*(1-(IF(K13="",-1,K13)=0)),IF(C13="peso_corporal",IF(ISNUMBER(E13),E13,0)+I13,I13)*(30+J13)*100+I13,0),IF((M13&gt;=6)*(1-(IF(N13="",-1,N13)&gt;=1)*(IF(N13="",-1,N13)&lt;=3))*(1-(IF(N13="",-1,N13)=0)),IF(C13="peso_corporal",IF(ISNUMBER(E13),E13,0)+L13,L13)*(30+M13)*100+L13,0),IF((P13&gt;=6)*(1-(IF(Q13="",-1,Q13)&gt;=1)*(IF(Q13="",-1,Q13)&lt;=3))*(1-(IF(Q13="",-1,Q13)=0)),IF(C13="peso_corporal",IF(ISNUMBER(E13),E13,0)+O13,O13)*(30+P13)*100+O13,0),IF((S13&gt;=6)*(1-(IF(T13="",-1,T13)&gt;=1)*(IF(T13="",-1,T13)&lt;=3))*(1-(IF(T13="",-1,T13)=0)),IF(C13="peso_corporal",IF(ISNUMBER(E13),E13,0)+R13,R13)*(30+S13)*100+R13,0))</f>
        <v>0</v>
      </c>
      <c r="AB13" s="69">
        <f>IF(AA13=0,0,IF(IF((S13&gt;=6)*(1-(IF(T13="",-1,T13)&gt;=1)*(IF(T13="",-1,T13)&lt;=3))*(1-(IF(T13="",-1,T13)=0)),IF(C13="peso_corporal",IF(ISNUMBER(E13),E13,0)+R13,R13)*(30+S13)*100+R13,0)=AA13,5,IF(IF((P13&gt;=6)*(1-(IF(Q13="",-1,Q13)&gt;=1)*(IF(Q13="",-1,Q13)&lt;=3))*(1-(IF(Q13="",-1,Q13)=0)),IF(C13="peso_corporal",IF(ISNUMBER(E13),E13,0)+O13,O13)*(30+P13)*100+O13,0)=AA13,4,IF(IF((M13&gt;=6)*(1-(IF(N13="",-1,N13)&gt;=1)*(IF(N13="",-1,N13)&lt;=3))*(1-(IF(N13="",-1,N13)=0)),IF(C13="peso_corporal",IF(ISNUMBER(E13),E13,0)+L13,L13)*(30+M13)*100+L13,0)=AA13,3,IF(IF((J13&gt;=6)*(1-(IF(K13="",-1,K13)&gt;=1)*(IF(K13="",-1,K13)&lt;=3))*(1-(IF(K13="",-1,K13)=0)),IF(C13="peso_corporal",IF(ISNUMBER(E13),E13,0)+I13,I13)*(30+J13)*100+I13,0)=AA13,2,IF(IF((G13&gt;=6)*(1-(IF(H13="",-1,H13)&gt;=1)*(IF(H13="",-1,H13)&lt;=3))*(1-(IF(H13="",-1,H13)=0)),IF(C13="peso_corporal",IF(ISNUMBER(E13),E13,0)+F13,F13)*(30+G13)*100+F13,0)=AA13,1,0))))))</f>
        <v>0</v>
      </c>
      <c r="AC13" s="69" t="str">
        <f>IF(X13&gt;0,"A"&amp;X13,IF(Z13&gt;0,"B"&amp;Z13,IF(AB13&gt;0,"C"&amp;AB13,"")))</f>
        <v/>
      </c>
    </row>
    <row r="14" spans="1:29" ht="20.100000000000001" customHeight="1">
      <c r="A14" s="14" t="s">
        <v>133</v>
      </c>
      <c r="B14" s="15" t="s">
        <v>31</v>
      </c>
      <c r="C14" s="16" t="str">
        <f>IFERROR(INDEX(EJERCICIOS!$D$3:$D$75,MATCH(A14&amp;"|"&amp;B14,EJERCICIOS!$G$3:$G$75,0)),"--")</f>
        <v>mancuerna</v>
      </c>
      <c r="D14" s="17">
        <v>3</v>
      </c>
      <c r="E14" s="18">
        <f>IFERROR(LOOKUP(2,1/(MEDIDAS_Y_PESO!$B$3:$B$3&lt;&gt;""),MEDIDAS_Y_PESO!$B$3:$B$3),"--")</f>
        <v>80</v>
      </c>
      <c r="F14" s="19"/>
      <c r="G14" s="20"/>
      <c r="H14" s="21"/>
      <c r="I14" s="19"/>
      <c r="J14" s="20"/>
      <c r="K14" s="21"/>
      <c r="L14" s="19"/>
      <c r="M14" s="20"/>
      <c r="N14" s="21"/>
      <c r="O14" s="19"/>
      <c r="P14" s="20"/>
      <c r="Q14" s="21"/>
      <c r="R14" s="19"/>
      <c r="S14" s="20"/>
      <c r="T14" s="21"/>
      <c r="U14" s="22" t="str">
        <f>IFERROR(IF(IF(X14&gt;0,X14,IF(Z14&gt;0,Z14,IF(AB14&gt;0,AB14,0)))=0,"--",ROUND(CHOOSE(IF(X14&gt;0,X14,IF(Z14&gt;0,Z14,IF(AB14&gt;0,AB14,0))),IF(C14="peso_corporal",IF(ISNUMBER(E14),E14,0)+F14,F14)*(1+G14/30),IF(C14="peso_corporal",IF(ISNUMBER(E14),E14,0)+I14,I14)*(1+J14/30),IF(C14="peso_corporal",IF(ISNUMBER(E14),E14,0)+L14,L14)*(1+M14/30),IF(C14="peso_corporal",IF(ISNUMBER(E14),E14,0)+O14,O14)*(1+P14/30),IF(C14="peso_corporal",IF(ISNUMBER(E14),E14,0)+R14,R14)*(1+S14/30)),1)),"--")</f>
        <v>--</v>
      </c>
      <c r="V14" s="23" t="str">
        <f>IF(SUGERENCIAS!N28="SIN","Sin datos anteriores",IF(SUGERENCIAS!N28="SUBIR_F","^ SUBIR FUERTE | Kg:"&amp;ROUND(SUGERENCIAS!K28,1)&amp;" R:"&amp;ROUND(SUGERENCIAS!L28,0)&amp;" RIR:"&amp;ROUND(SUGERENCIAS!M28,0),IF(SUGERENCIAS!N28="SUBIR_E","^ SUBIR (Est.) | Kg:"&amp;ROUND(SUGERENCIAS!K28,1)&amp;" R:"&amp;ROUND(SUGERENCIAS!L28,0)&amp;" RIR:"&amp;ROUND(SUGERENCIAS!M28,0),IF(SUGERENCIAS!N28="SUBIR","^ SUBIR | Kg:"&amp;ROUND(SUGERENCIAS!K28,1)&amp;" R:"&amp;ROUND(SUGERENCIAS!L28,0)&amp;" RIR:"&amp;ROUND(SUGERENCIAS!M28,0),IF(SUGERENCIAS!N28="BAJAR","v BAJAR | Kg:"&amp;ROUND(SUGERENCIAS!K28,1)&amp;" R:"&amp;ROUND(SUGERENCIAS!L28,0)&amp;" RIR:"&amp;ROUND(SUGERENCIAS!M28,0),"= MANT | Kg:"&amp;ROUND(SUGERENCIAS!K28,1)&amp;" R:"&amp;ROUND(SUGERENCIAS!L28,0)&amp;" RIR:"&amp;ROUND(SUGERENCIAS!M28,0))))))</f>
        <v>Sin datos anteriores</v>
      </c>
      <c r="W14" s="69">
        <f>MAX(IF((G14&gt;0)*(IF(H14="",-1,H14)&gt;=1)*(IF(H14="",-1,H14)&lt;=3),IF(C14="peso_corporal",IF(ISNUMBER(E14),E14,0)+F14,F14)*G14*1000+F14,0),IF((J14&gt;0)*(IF(K14="",-1,K14)&gt;=1)*(IF(K14="",-1,K14)&lt;=3),IF(C14="peso_corporal",IF(ISNUMBER(E14),E14,0)+I14,I14)*J14*1000+I14,0),IF((M14&gt;0)*(IF(N14="",-1,N14)&gt;=1)*(IF(N14="",-1,N14)&lt;=3),IF(C14="peso_corporal",IF(ISNUMBER(E14),E14,0)+L14,L14)*M14*1000+L14,0),IF((P14&gt;0)*(IF(Q14="",-1,Q14)&gt;=1)*(IF(Q14="",-1,Q14)&lt;=3),IF(C14="peso_corporal",IF(ISNUMBER(E14),E14,0)+O14,O14)*P14*1000+O14,0),IF((S14&gt;0)*(IF(T14="",-1,T14)&gt;=1)*(IF(T14="",-1,T14)&lt;=3),IF(C14="peso_corporal",IF(ISNUMBER(E14),E14,0)+R14,R14)*S14*1000+R14,0))</f>
        <v>0</v>
      </c>
      <c r="X14" s="69">
        <f>IF(W14=0,0,IF(IF((S14&gt;0)*(IF(T14="",-1,T14)&gt;=1)*(IF(T14="",-1,T14)&lt;=3),IF(C14="peso_corporal",IF(ISNUMBER(E14),E14,0)+R14,R14)*S14*1000+R14,0)=W14,5,IF(IF((P14&gt;0)*(IF(Q14="",-1,Q14)&gt;=1)*(IF(Q14="",-1,Q14)&lt;=3),IF(C14="peso_corporal",IF(ISNUMBER(E14),E14,0)+O14,O14)*P14*1000+O14,0)=W14,4,IF(IF((M14&gt;0)*(IF(N14="",-1,N14)&gt;=1)*(IF(N14="",-1,N14)&lt;=3),IF(C14="peso_corporal",IF(ISNUMBER(E14),E14,0)+L14,L14)*M14*1000+L14,0)=W14,3,IF(IF((J14&gt;0)*(IF(K14="",-1,K14)&gt;=1)*(IF(K14="",-1,K14)&lt;=3),IF(C14="peso_corporal",IF(ISNUMBER(E14),E14,0)+I14,I14)*J14*1000+I14,0)=W14,2,IF(IF((G14&gt;0)*(IF(H14="",-1,H14)&gt;=1)*(IF(H14="",-1,H14)&lt;=3),IF(C14="peso_corporal",IF(ISNUMBER(E14),E14,0)+F14,F14)*G14*1000+F14,0)=W14,1,0))))))</f>
        <v>0</v>
      </c>
      <c r="Y14" s="69">
        <f>MAX(IF((G14&gt;0)*(IF(H14="",-1,H14)=0)*(1-(IF(H14="",-1,H14)&gt;=1)*(IF(H14="",-1,H14)&lt;=3)),IF(C14="peso_corporal",IF(ISNUMBER(E14),E14,0)+F14,F14)*G14*1000+F14,0),IF((J14&gt;0)*(IF(K14="",-1,K14)=0)*(1-(IF(K14="",-1,K14)&gt;=1)*(IF(K14="",-1,K14)&lt;=3)),IF(C14="peso_corporal",IF(ISNUMBER(E14),E14,0)+I14,I14)*J14*1000+I14,0),IF((M14&gt;0)*(IF(N14="",-1,N14)=0)*(1-(IF(N14="",-1,N14)&gt;=1)*(IF(N14="",-1,N14)&lt;=3)),IF(C14="peso_corporal",IF(ISNUMBER(E14),E14,0)+L14,L14)*M14*1000+L14,0),IF((P14&gt;0)*(IF(Q14="",-1,Q14)=0)*(1-(IF(Q14="",-1,Q14)&gt;=1)*(IF(Q14="",-1,Q14)&lt;=3)),IF(C14="peso_corporal",IF(ISNUMBER(E14),E14,0)+O14,O14)*P14*1000+O14,0),IF((S14&gt;0)*(IF(T14="",-1,T14)=0)*(1-(IF(T14="",-1,T14)&gt;=1)*(IF(T14="",-1,T14)&lt;=3)),IF(C14="peso_corporal",IF(ISNUMBER(E14),E14,0)+R14,R14)*S14*1000+R14,0))</f>
        <v>0</v>
      </c>
      <c r="Z14" s="69">
        <f>IF(Y14=0,0,IF(IF((S14&gt;0)*(IF(T14="",-1,T14)=0)*(1-(IF(T14="",-1,T14)&gt;=1)*(IF(T14="",-1,T14)&lt;=3)),IF(C14="peso_corporal",IF(ISNUMBER(E14),E14,0)+R14,R14)*S14*1000+R14,0)=Y14,5,IF(IF((P14&gt;0)*(IF(Q14="",-1,Q14)=0)*(1-(IF(Q14="",-1,Q14)&gt;=1)*(IF(Q14="",-1,Q14)&lt;=3)),IF(C14="peso_corporal",IF(ISNUMBER(E14),E14,0)+O14,O14)*P14*1000+O14,0)=Y14,4,IF(IF((M14&gt;0)*(IF(N14="",-1,N14)=0)*(1-(IF(N14="",-1,N14)&gt;=1)*(IF(N14="",-1,N14)&lt;=3)),IF(C14="peso_corporal",IF(ISNUMBER(E14),E14,0)+L14,L14)*M14*1000+L14,0)=Y14,3,IF(IF((J14&gt;0)*(IF(K14="",-1,K14)=0)*(1-(IF(K14="",-1,K14)&gt;=1)*(IF(K14="",-1,K14)&lt;=3)),IF(C14="peso_corporal",IF(ISNUMBER(E14),E14,0)+I14,I14)*J14*1000+I14,0)=Y14,2,IF(IF((G14&gt;0)*(IF(H14="",-1,H14)=0)*(1-(IF(H14="",-1,H14)&gt;=1)*(IF(H14="",-1,H14)&lt;=3)),IF(C14="peso_corporal",IF(ISNUMBER(E14),E14,0)+F14,F14)*G14*1000+F14,0)=Y14,1,0))))))</f>
        <v>0</v>
      </c>
      <c r="AA14" s="69">
        <f>MAX(IF((G14&gt;=6)*(1-(IF(H14="",-1,H14)&gt;=1)*(IF(H14="",-1,H14)&lt;=3))*(1-(IF(H14="",-1,H14)=0)),IF(C14="peso_corporal",IF(ISNUMBER(E14),E14,0)+F14,F14)*(30+G14)*100+F14,0),IF((J14&gt;=6)*(1-(IF(K14="",-1,K14)&gt;=1)*(IF(K14="",-1,K14)&lt;=3))*(1-(IF(K14="",-1,K14)=0)),IF(C14="peso_corporal",IF(ISNUMBER(E14),E14,0)+I14,I14)*(30+J14)*100+I14,0),IF((M14&gt;=6)*(1-(IF(N14="",-1,N14)&gt;=1)*(IF(N14="",-1,N14)&lt;=3))*(1-(IF(N14="",-1,N14)=0)),IF(C14="peso_corporal",IF(ISNUMBER(E14),E14,0)+L14,L14)*(30+M14)*100+L14,0),IF((P14&gt;=6)*(1-(IF(Q14="",-1,Q14)&gt;=1)*(IF(Q14="",-1,Q14)&lt;=3))*(1-(IF(Q14="",-1,Q14)=0)),IF(C14="peso_corporal",IF(ISNUMBER(E14),E14,0)+O14,O14)*(30+P14)*100+O14,0),IF((S14&gt;=6)*(1-(IF(T14="",-1,T14)&gt;=1)*(IF(T14="",-1,T14)&lt;=3))*(1-(IF(T14="",-1,T14)=0)),IF(C14="peso_corporal",IF(ISNUMBER(E14),E14,0)+R14,R14)*(30+S14)*100+R14,0))</f>
        <v>0</v>
      </c>
      <c r="AB14" s="69">
        <f>IF(AA14=0,0,IF(IF((S14&gt;=6)*(1-(IF(T14="",-1,T14)&gt;=1)*(IF(T14="",-1,T14)&lt;=3))*(1-(IF(T14="",-1,T14)=0)),IF(C14="peso_corporal",IF(ISNUMBER(E14),E14,0)+R14,R14)*(30+S14)*100+R14,0)=AA14,5,IF(IF((P14&gt;=6)*(1-(IF(Q14="",-1,Q14)&gt;=1)*(IF(Q14="",-1,Q14)&lt;=3))*(1-(IF(Q14="",-1,Q14)=0)),IF(C14="peso_corporal",IF(ISNUMBER(E14),E14,0)+O14,O14)*(30+P14)*100+O14,0)=AA14,4,IF(IF((M14&gt;=6)*(1-(IF(N14="",-1,N14)&gt;=1)*(IF(N14="",-1,N14)&lt;=3))*(1-(IF(N14="",-1,N14)=0)),IF(C14="peso_corporal",IF(ISNUMBER(E14),E14,0)+L14,L14)*(30+M14)*100+L14,0)=AA14,3,IF(IF((J14&gt;=6)*(1-(IF(K14="",-1,K14)&gt;=1)*(IF(K14="",-1,K14)&lt;=3))*(1-(IF(K14="",-1,K14)=0)),IF(C14="peso_corporal",IF(ISNUMBER(E14),E14,0)+I14,I14)*(30+J14)*100+I14,0)=AA14,2,IF(IF((G14&gt;=6)*(1-(IF(H14="",-1,H14)&gt;=1)*(IF(H14="",-1,H14)&lt;=3))*(1-(IF(H14="",-1,H14)=0)),IF(C14="peso_corporal",IF(ISNUMBER(E14),E14,0)+F14,F14)*(30+G14)*100+F14,0)=AA14,1,0))))))</f>
        <v>0</v>
      </c>
      <c r="AC14" s="69" t="str">
        <f>IF(X14&gt;0,"A"&amp;X14,IF(Z14&gt;0,"B"&amp;Z14,IF(AB14&gt;0,"C"&amp;AB14,"")))</f>
        <v/>
      </c>
    </row>
    <row r="15" spans="1:29" ht="15" customHeight="1">
      <c r="A15" s="88" t="s">
        <v>50</v>
      </c>
      <c r="B15" s="73"/>
      <c r="C15" s="73"/>
      <c r="D15" s="73"/>
      <c r="E15" s="73"/>
      <c r="F15" s="73"/>
      <c r="G15" s="73"/>
      <c r="H15" s="73"/>
      <c r="I15" s="73"/>
      <c r="J15" s="73"/>
      <c r="K15" s="73"/>
      <c r="L15" s="73"/>
      <c r="M15" s="73"/>
      <c r="N15" s="73"/>
      <c r="O15" s="73"/>
      <c r="P15" s="73"/>
      <c r="Q15" s="73"/>
      <c r="R15" s="73"/>
      <c r="S15" s="73"/>
      <c r="T15" s="73"/>
      <c r="U15" s="73"/>
      <c r="V15" s="73"/>
      <c r="W15" s="69"/>
      <c r="X15" s="69"/>
      <c r="Y15" s="69"/>
      <c r="Z15" s="69"/>
      <c r="AA15" s="69"/>
      <c r="AB15" s="69"/>
      <c r="AC15" s="69"/>
    </row>
    <row r="16" spans="1:29" ht="20.100000000000001" customHeight="1">
      <c r="A16" s="14" t="s">
        <v>51</v>
      </c>
      <c r="B16" s="15" t="s">
        <v>134</v>
      </c>
      <c r="C16" s="16" t="str">
        <f>IFERROR(INDEX(EJERCICIOS!$D$3:$D$75,MATCH(A16&amp;"|"&amp;B16,EJERCICIOS!$G$3:$G$75,0)),"--")</f>
        <v>--</v>
      </c>
      <c r="D16" s="17">
        <v>3</v>
      </c>
      <c r="E16" s="18">
        <f>IFERROR(LOOKUP(2,1/(MEDIDAS_Y_PESO!$B$3:$B$3&lt;&gt;""),MEDIDAS_Y_PESO!$B$3:$B$3),"--")</f>
        <v>80</v>
      </c>
      <c r="F16" s="19"/>
      <c r="G16" s="20"/>
      <c r="H16" s="21"/>
      <c r="I16" s="19"/>
      <c r="J16" s="20"/>
      <c r="K16" s="21"/>
      <c r="L16" s="19"/>
      <c r="M16" s="20"/>
      <c r="N16" s="21"/>
      <c r="O16" s="19"/>
      <c r="P16" s="20"/>
      <c r="Q16" s="21"/>
      <c r="R16" s="19"/>
      <c r="S16" s="20"/>
      <c r="T16" s="21"/>
      <c r="U16" s="22" t="str">
        <f>IFERROR(IF(IF(X16&gt;0,X16,IF(Z16&gt;0,Z16,IF(AB16&gt;0,AB16,0)))=0,"--",ROUND(CHOOSE(IF(X16&gt;0,X16,IF(Z16&gt;0,Z16,IF(AB16&gt;0,AB16,0))),IF(C16="peso_corporal",IF(ISNUMBER(E16),E16,0)+F16,F16)*(1+G16/30),IF(C16="peso_corporal",IF(ISNUMBER(E16),E16,0)+I16,I16)*(1+J16/30),IF(C16="peso_corporal",IF(ISNUMBER(E16),E16,0)+L16,L16)*(1+M16/30),IF(C16="peso_corporal",IF(ISNUMBER(E16),E16,0)+O16,O16)*(1+P16/30),IF(C16="peso_corporal",IF(ISNUMBER(E16),E16,0)+R16,R16)*(1+S16/30)),1)),"--")</f>
        <v>--</v>
      </c>
      <c r="V16" s="23" t="str">
        <f>IF(SUGERENCIAS!N29="SIN","Sin datos anteriores",IF(SUGERENCIAS!N29="SUBIR_F","^ SUBIR FUERTE | Kg:"&amp;ROUND(SUGERENCIAS!K29,1)&amp;" R:"&amp;ROUND(SUGERENCIAS!L29,0)&amp;" RIR:"&amp;ROUND(SUGERENCIAS!M29,0),IF(SUGERENCIAS!N29="SUBIR_E","^ SUBIR (Est.) | Kg:"&amp;ROUND(SUGERENCIAS!K29,1)&amp;" R:"&amp;ROUND(SUGERENCIAS!L29,0)&amp;" RIR:"&amp;ROUND(SUGERENCIAS!M29,0),IF(SUGERENCIAS!N29="SUBIR","^ SUBIR | Kg:"&amp;ROUND(SUGERENCIAS!K29,1)&amp;" R:"&amp;ROUND(SUGERENCIAS!L29,0)&amp;" RIR:"&amp;ROUND(SUGERENCIAS!M29,0),IF(SUGERENCIAS!N29="BAJAR","v BAJAR | Kg:"&amp;ROUND(SUGERENCIAS!K29,1)&amp;" R:"&amp;ROUND(SUGERENCIAS!L29,0)&amp;" RIR:"&amp;ROUND(SUGERENCIAS!M29,0),"= MANT | Kg:"&amp;ROUND(SUGERENCIAS!K29,1)&amp;" R:"&amp;ROUND(SUGERENCIAS!L29,0)&amp;" RIR:"&amp;ROUND(SUGERENCIAS!M29,0))))))</f>
        <v>Sin datos anteriores</v>
      </c>
      <c r="W16" s="69">
        <f>MAX(IF((G16&gt;0)*(IF(H16="",-1,H16)&gt;=1)*(IF(H16="",-1,H16)&lt;=3),IF(C16="peso_corporal",IF(ISNUMBER(E16),E16,0)+F16,F16)*G16*1000+F16,0),IF((J16&gt;0)*(IF(K16="",-1,K16)&gt;=1)*(IF(K16="",-1,K16)&lt;=3),IF(C16="peso_corporal",IF(ISNUMBER(E16),E16,0)+I16,I16)*J16*1000+I16,0),IF((M16&gt;0)*(IF(N16="",-1,N16)&gt;=1)*(IF(N16="",-1,N16)&lt;=3),IF(C16="peso_corporal",IF(ISNUMBER(E16),E16,0)+L16,L16)*M16*1000+L16,0),IF((P16&gt;0)*(IF(Q16="",-1,Q16)&gt;=1)*(IF(Q16="",-1,Q16)&lt;=3),IF(C16="peso_corporal",IF(ISNUMBER(E16),E16,0)+O16,O16)*P16*1000+O16,0),IF((S16&gt;0)*(IF(T16="",-1,T16)&gt;=1)*(IF(T16="",-1,T16)&lt;=3),IF(C16="peso_corporal",IF(ISNUMBER(E16),E16,0)+R16,R16)*S16*1000+R16,0))</f>
        <v>0</v>
      </c>
      <c r="X16" s="69">
        <f>IF(W16=0,0,IF(IF((S16&gt;0)*(IF(T16="",-1,T16)&gt;=1)*(IF(T16="",-1,T16)&lt;=3),IF(C16="peso_corporal",IF(ISNUMBER(E16),E16,0)+R16,R16)*S16*1000+R16,0)=W16,5,IF(IF((P16&gt;0)*(IF(Q16="",-1,Q16)&gt;=1)*(IF(Q16="",-1,Q16)&lt;=3),IF(C16="peso_corporal",IF(ISNUMBER(E16),E16,0)+O16,O16)*P16*1000+O16,0)=W16,4,IF(IF((M16&gt;0)*(IF(N16="",-1,N16)&gt;=1)*(IF(N16="",-1,N16)&lt;=3),IF(C16="peso_corporal",IF(ISNUMBER(E16),E16,0)+L16,L16)*M16*1000+L16,0)=W16,3,IF(IF((J16&gt;0)*(IF(K16="",-1,K16)&gt;=1)*(IF(K16="",-1,K16)&lt;=3),IF(C16="peso_corporal",IF(ISNUMBER(E16),E16,0)+I16,I16)*J16*1000+I16,0)=W16,2,IF(IF((G16&gt;0)*(IF(H16="",-1,H16)&gt;=1)*(IF(H16="",-1,H16)&lt;=3),IF(C16="peso_corporal",IF(ISNUMBER(E16),E16,0)+F16,F16)*G16*1000+F16,0)=W16,1,0))))))</f>
        <v>0</v>
      </c>
      <c r="Y16" s="69">
        <f>MAX(IF((G16&gt;0)*(IF(H16="",-1,H16)=0)*(1-(IF(H16="",-1,H16)&gt;=1)*(IF(H16="",-1,H16)&lt;=3)),IF(C16="peso_corporal",IF(ISNUMBER(E16),E16,0)+F16,F16)*G16*1000+F16,0),IF((J16&gt;0)*(IF(K16="",-1,K16)=0)*(1-(IF(K16="",-1,K16)&gt;=1)*(IF(K16="",-1,K16)&lt;=3)),IF(C16="peso_corporal",IF(ISNUMBER(E16),E16,0)+I16,I16)*J16*1000+I16,0),IF((M16&gt;0)*(IF(N16="",-1,N16)=0)*(1-(IF(N16="",-1,N16)&gt;=1)*(IF(N16="",-1,N16)&lt;=3)),IF(C16="peso_corporal",IF(ISNUMBER(E16),E16,0)+L16,L16)*M16*1000+L16,0),IF((P16&gt;0)*(IF(Q16="",-1,Q16)=0)*(1-(IF(Q16="",-1,Q16)&gt;=1)*(IF(Q16="",-1,Q16)&lt;=3)),IF(C16="peso_corporal",IF(ISNUMBER(E16),E16,0)+O16,O16)*P16*1000+O16,0),IF((S16&gt;0)*(IF(T16="",-1,T16)=0)*(1-(IF(T16="",-1,T16)&gt;=1)*(IF(T16="",-1,T16)&lt;=3)),IF(C16="peso_corporal",IF(ISNUMBER(E16),E16,0)+R16,R16)*S16*1000+R16,0))</f>
        <v>0</v>
      </c>
      <c r="Z16" s="69">
        <f>IF(Y16=0,0,IF(IF((S16&gt;0)*(IF(T16="",-1,T16)=0)*(1-(IF(T16="",-1,T16)&gt;=1)*(IF(T16="",-1,T16)&lt;=3)),IF(C16="peso_corporal",IF(ISNUMBER(E16),E16,0)+R16,R16)*S16*1000+R16,0)=Y16,5,IF(IF((P16&gt;0)*(IF(Q16="",-1,Q16)=0)*(1-(IF(Q16="",-1,Q16)&gt;=1)*(IF(Q16="",-1,Q16)&lt;=3)),IF(C16="peso_corporal",IF(ISNUMBER(E16),E16,0)+O16,O16)*P16*1000+O16,0)=Y16,4,IF(IF((M16&gt;0)*(IF(N16="",-1,N16)=0)*(1-(IF(N16="",-1,N16)&gt;=1)*(IF(N16="",-1,N16)&lt;=3)),IF(C16="peso_corporal",IF(ISNUMBER(E16),E16,0)+L16,L16)*M16*1000+L16,0)=Y16,3,IF(IF((J16&gt;0)*(IF(K16="",-1,K16)=0)*(1-(IF(K16="",-1,K16)&gt;=1)*(IF(K16="",-1,K16)&lt;=3)),IF(C16="peso_corporal",IF(ISNUMBER(E16),E16,0)+I16,I16)*J16*1000+I16,0)=Y16,2,IF(IF((G16&gt;0)*(IF(H16="",-1,H16)=0)*(1-(IF(H16="",-1,H16)&gt;=1)*(IF(H16="",-1,H16)&lt;=3)),IF(C16="peso_corporal",IF(ISNUMBER(E16),E16,0)+F16,F16)*G16*1000+F16,0)=Y16,1,0))))))</f>
        <v>0</v>
      </c>
      <c r="AA16" s="69">
        <f>MAX(IF((G16&gt;=6)*(1-(IF(H16="",-1,H16)&gt;=1)*(IF(H16="",-1,H16)&lt;=3))*(1-(IF(H16="",-1,H16)=0)),IF(C16="peso_corporal",IF(ISNUMBER(E16),E16,0)+F16,F16)*(30+G16)*100+F16,0),IF((J16&gt;=6)*(1-(IF(K16="",-1,K16)&gt;=1)*(IF(K16="",-1,K16)&lt;=3))*(1-(IF(K16="",-1,K16)=0)),IF(C16="peso_corporal",IF(ISNUMBER(E16),E16,0)+I16,I16)*(30+J16)*100+I16,0),IF((M16&gt;=6)*(1-(IF(N16="",-1,N16)&gt;=1)*(IF(N16="",-1,N16)&lt;=3))*(1-(IF(N16="",-1,N16)=0)),IF(C16="peso_corporal",IF(ISNUMBER(E16),E16,0)+L16,L16)*(30+M16)*100+L16,0),IF((P16&gt;=6)*(1-(IF(Q16="",-1,Q16)&gt;=1)*(IF(Q16="",-1,Q16)&lt;=3))*(1-(IF(Q16="",-1,Q16)=0)),IF(C16="peso_corporal",IF(ISNUMBER(E16),E16,0)+O16,O16)*(30+P16)*100+O16,0),IF((S16&gt;=6)*(1-(IF(T16="",-1,T16)&gt;=1)*(IF(T16="",-1,T16)&lt;=3))*(1-(IF(T16="",-1,T16)=0)),IF(C16="peso_corporal",IF(ISNUMBER(E16),E16,0)+R16,R16)*(30+S16)*100+R16,0))</f>
        <v>0</v>
      </c>
      <c r="AB16" s="69">
        <f>IF(AA16=0,0,IF(IF((S16&gt;=6)*(1-(IF(T16="",-1,T16)&gt;=1)*(IF(T16="",-1,T16)&lt;=3))*(1-(IF(T16="",-1,T16)=0)),IF(C16="peso_corporal",IF(ISNUMBER(E16),E16,0)+R16,R16)*(30+S16)*100+R16,0)=AA16,5,IF(IF((P16&gt;=6)*(1-(IF(Q16="",-1,Q16)&gt;=1)*(IF(Q16="",-1,Q16)&lt;=3))*(1-(IF(Q16="",-1,Q16)=0)),IF(C16="peso_corporal",IF(ISNUMBER(E16),E16,0)+O16,O16)*(30+P16)*100+O16,0)=AA16,4,IF(IF((M16&gt;=6)*(1-(IF(N16="",-1,N16)&gt;=1)*(IF(N16="",-1,N16)&lt;=3))*(1-(IF(N16="",-1,N16)=0)),IF(C16="peso_corporal",IF(ISNUMBER(E16),E16,0)+L16,L16)*(30+M16)*100+L16,0)=AA16,3,IF(IF((J16&gt;=6)*(1-(IF(K16="",-1,K16)&gt;=1)*(IF(K16="",-1,K16)&lt;=3))*(1-(IF(K16="",-1,K16)=0)),IF(C16="peso_corporal",IF(ISNUMBER(E16),E16,0)+I16,I16)*(30+J16)*100+I16,0)=AA16,2,IF(IF((G16&gt;=6)*(1-(IF(H16="",-1,H16)&gt;=1)*(IF(H16="",-1,H16)&lt;=3))*(1-(IF(H16="",-1,H16)=0)),IF(C16="peso_corporal",IF(ISNUMBER(E16),E16,0)+F16,F16)*(30+G16)*100+F16,0)=AA16,1,0))))))</f>
        <v>0</v>
      </c>
      <c r="AC16" s="69" t="str">
        <f>IF(X16&gt;0,"A"&amp;X16,IF(Z16&gt;0,"B"&amp;Z16,IF(AB16&gt;0,"C"&amp;AB16,"")))</f>
        <v/>
      </c>
    </row>
    <row r="17" spans="1:29" ht="20.100000000000001" customHeight="1">
      <c r="A17" s="14" t="s">
        <v>135</v>
      </c>
      <c r="B17" s="15" t="s">
        <v>136</v>
      </c>
      <c r="C17" s="16" t="str">
        <f>IFERROR(INDEX(EJERCICIOS!$D$3:$D$75,MATCH(A17&amp;"|"&amp;B17,EJERCICIOS!$G$3:$G$75,0)),"--")</f>
        <v>--</v>
      </c>
      <c r="D17" s="17">
        <v>3</v>
      </c>
      <c r="E17" s="18">
        <f>IFERROR(LOOKUP(2,1/(MEDIDAS_Y_PESO!$B$3:$B$3&lt;&gt;""),MEDIDAS_Y_PESO!$B$3:$B$3),"--")</f>
        <v>80</v>
      </c>
      <c r="F17" s="19"/>
      <c r="G17" s="20"/>
      <c r="H17" s="21"/>
      <c r="I17" s="19"/>
      <c r="J17" s="20"/>
      <c r="K17" s="21"/>
      <c r="L17" s="19"/>
      <c r="M17" s="20"/>
      <c r="N17" s="21"/>
      <c r="O17" s="19"/>
      <c r="P17" s="20"/>
      <c r="Q17" s="21"/>
      <c r="R17" s="19"/>
      <c r="S17" s="20"/>
      <c r="T17" s="21"/>
      <c r="U17" s="22" t="str">
        <f>IFERROR(IF(IF(X17&gt;0,X17,IF(Z17&gt;0,Z17,IF(AB17&gt;0,AB17,0)))=0,"--",ROUND(CHOOSE(IF(X17&gt;0,X17,IF(Z17&gt;0,Z17,IF(AB17&gt;0,AB17,0))),IF(C17="peso_corporal",IF(ISNUMBER(E17),E17,0)+F17,F17)*(1+G17/30),IF(C17="peso_corporal",IF(ISNUMBER(E17),E17,0)+I17,I17)*(1+J17/30),IF(C17="peso_corporal",IF(ISNUMBER(E17),E17,0)+L17,L17)*(1+M17/30),IF(C17="peso_corporal",IF(ISNUMBER(E17),E17,0)+O17,O17)*(1+P17/30),IF(C17="peso_corporal",IF(ISNUMBER(E17),E17,0)+R17,R17)*(1+S17/30)),1)),"--")</f>
        <v>--</v>
      </c>
      <c r="V17" s="23" t="str">
        <f>IF(SUGERENCIAS!N30="SIN","Sin datos anteriores",IF(SUGERENCIAS!N30="SUBIR_F","^ SUBIR FUERTE | Kg:"&amp;ROUND(SUGERENCIAS!K30,1)&amp;" R:"&amp;ROUND(SUGERENCIAS!L30,0)&amp;" RIR:"&amp;ROUND(SUGERENCIAS!M30,0),IF(SUGERENCIAS!N30="SUBIR_E","^ SUBIR (Est.) | Kg:"&amp;ROUND(SUGERENCIAS!K30,1)&amp;" R:"&amp;ROUND(SUGERENCIAS!L30,0)&amp;" RIR:"&amp;ROUND(SUGERENCIAS!M30,0),IF(SUGERENCIAS!N30="SUBIR","^ SUBIR | Kg:"&amp;ROUND(SUGERENCIAS!K30,1)&amp;" R:"&amp;ROUND(SUGERENCIAS!L30,0)&amp;" RIR:"&amp;ROUND(SUGERENCIAS!M30,0),IF(SUGERENCIAS!N30="BAJAR","v BAJAR | Kg:"&amp;ROUND(SUGERENCIAS!K30,1)&amp;" R:"&amp;ROUND(SUGERENCIAS!L30,0)&amp;" RIR:"&amp;ROUND(SUGERENCIAS!M30,0),"= MANT | Kg:"&amp;ROUND(SUGERENCIAS!K30,1)&amp;" R:"&amp;ROUND(SUGERENCIAS!L30,0)&amp;" RIR:"&amp;ROUND(SUGERENCIAS!M30,0))))))</f>
        <v>Sin datos anteriores</v>
      </c>
      <c r="W17" s="69">
        <f>MAX(IF((G17&gt;0)*(IF(H17="",-1,H17)&gt;=1)*(IF(H17="",-1,H17)&lt;=3),IF(C17="peso_corporal",IF(ISNUMBER(E17),E17,0)+F17,F17)*G17*1000+F17,0),IF((J17&gt;0)*(IF(K17="",-1,K17)&gt;=1)*(IF(K17="",-1,K17)&lt;=3),IF(C17="peso_corporal",IF(ISNUMBER(E17),E17,0)+I17,I17)*J17*1000+I17,0),IF((M17&gt;0)*(IF(N17="",-1,N17)&gt;=1)*(IF(N17="",-1,N17)&lt;=3),IF(C17="peso_corporal",IF(ISNUMBER(E17),E17,0)+L17,L17)*M17*1000+L17,0),IF((P17&gt;0)*(IF(Q17="",-1,Q17)&gt;=1)*(IF(Q17="",-1,Q17)&lt;=3),IF(C17="peso_corporal",IF(ISNUMBER(E17),E17,0)+O17,O17)*P17*1000+O17,0),IF((S17&gt;0)*(IF(T17="",-1,T17)&gt;=1)*(IF(T17="",-1,T17)&lt;=3),IF(C17="peso_corporal",IF(ISNUMBER(E17),E17,0)+R17,R17)*S17*1000+R17,0))</f>
        <v>0</v>
      </c>
      <c r="X17" s="69">
        <f>IF(W17=0,0,IF(IF((S17&gt;0)*(IF(T17="",-1,T17)&gt;=1)*(IF(T17="",-1,T17)&lt;=3),IF(C17="peso_corporal",IF(ISNUMBER(E17),E17,0)+R17,R17)*S17*1000+R17,0)=W17,5,IF(IF((P17&gt;0)*(IF(Q17="",-1,Q17)&gt;=1)*(IF(Q17="",-1,Q17)&lt;=3),IF(C17="peso_corporal",IF(ISNUMBER(E17),E17,0)+O17,O17)*P17*1000+O17,0)=W17,4,IF(IF((M17&gt;0)*(IF(N17="",-1,N17)&gt;=1)*(IF(N17="",-1,N17)&lt;=3),IF(C17="peso_corporal",IF(ISNUMBER(E17),E17,0)+L17,L17)*M17*1000+L17,0)=W17,3,IF(IF((J17&gt;0)*(IF(K17="",-1,K17)&gt;=1)*(IF(K17="",-1,K17)&lt;=3),IF(C17="peso_corporal",IF(ISNUMBER(E17),E17,0)+I17,I17)*J17*1000+I17,0)=W17,2,IF(IF((G17&gt;0)*(IF(H17="",-1,H17)&gt;=1)*(IF(H17="",-1,H17)&lt;=3),IF(C17="peso_corporal",IF(ISNUMBER(E17),E17,0)+F17,F17)*G17*1000+F17,0)=W17,1,0))))))</f>
        <v>0</v>
      </c>
      <c r="Y17" s="69">
        <f>MAX(IF((G17&gt;0)*(IF(H17="",-1,H17)=0)*(1-(IF(H17="",-1,H17)&gt;=1)*(IF(H17="",-1,H17)&lt;=3)),IF(C17="peso_corporal",IF(ISNUMBER(E17),E17,0)+F17,F17)*G17*1000+F17,0),IF((J17&gt;0)*(IF(K17="",-1,K17)=0)*(1-(IF(K17="",-1,K17)&gt;=1)*(IF(K17="",-1,K17)&lt;=3)),IF(C17="peso_corporal",IF(ISNUMBER(E17),E17,0)+I17,I17)*J17*1000+I17,0),IF((M17&gt;0)*(IF(N17="",-1,N17)=0)*(1-(IF(N17="",-1,N17)&gt;=1)*(IF(N17="",-1,N17)&lt;=3)),IF(C17="peso_corporal",IF(ISNUMBER(E17),E17,0)+L17,L17)*M17*1000+L17,0),IF((P17&gt;0)*(IF(Q17="",-1,Q17)=0)*(1-(IF(Q17="",-1,Q17)&gt;=1)*(IF(Q17="",-1,Q17)&lt;=3)),IF(C17="peso_corporal",IF(ISNUMBER(E17),E17,0)+O17,O17)*P17*1000+O17,0),IF((S17&gt;0)*(IF(T17="",-1,T17)=0)*(1-(IF(T17="",-1,T17)&gt;=1)*(IF(T17="",-1,T17)&lt;=3)),IF(C17="peso_corporal",IF(ISNUMBER(E17),E17,0)+R17,R17)*S17*1000+R17,0))</f>
        <v>0</v>
      </c>
      <c r="Z17" s="69">
        <f>IF(Y17=0,0,IF(IF((S17&gt;0)*(IF(T17="",-1,T17)=0)*(1-(IF(T17="",-1,T17)&gt;=1)*(IF(T17="",-1,T17)&lt;=3)),IF(C17="peso_corporal",IF(ISNUMBER(E17),E17,0)+R17,R17)*S17*1000+R17,0)=Y17,5,IF(IF((P17&gt;0)*(IF(Q17="",-1,Q17)=0)*(1-(IF(Q17="",-1,Q17)&gt;=1)*(IF(Q17="",-1,Q17)&lt;=3)),IF(C17="peso_corporal",IF(ISNUMBER(E17),E17,0)+O17,O17)*P17*1000+O17,0)=Y17,4,IF(IF((M17&gt;0)*(IF(N17="",-1,N17)=0)*(1-(IF(N17="",-1,N17)&gt;=1)*(IF(N17="",-1,N17)&lt;=3)),IF(C17="peso_corporal",IF(ISNUMBER(E17),E17,0)+L17,L17)*M17*1000+L17,0)=Y17,3,IF(IF((J17&gt;0)*(IF(K17="",-1,K17)=0)*(1-(IF(K17="",-1,K17)&gt;=1)*(IF(K17="",-1,K17)&lt;=3)),IF(C17="peso_corporal",IF(ISNUMBER(E17),E17,0)+I17,I17)*J17*1000+I17,0)=Y17,2,IF(IF((G17&gt;0)*(IF(H17="",-1,H17)=0)*(1-(IF(H17="",-1,H17)&gt;=1)*(IF(H17="",-1,H17)&lt;=3)),IF(C17="peso_corporal",IF(ISNUMBER(E17),E17,0)+F17,F17)*G17*1000+F17,0)=Y17,1,0))))))</f>
        <v>0</v>
      </c>
      <c r="AA17" s="69">
        <f>MAX(IF((G17&gt;=6)*(1-(IF(H17="",-1,H17)&gt;=1)*(IF(H17="",-1,H17)&lt;=3))*(1-(IF(H17="",-1,H17)=0)),IF(C17="peso_corporal",IF(ISNUMBER(E17),E17,0)+F17,F17)*(30+G17)*100+F17,0),IF((J17&gt;=6)*(1-(IF(K17="",-1,K17)&gt;=1)*(IF(K17="",-1,K17)&lt;=3))*(1-(IF(K17="",-1,K17)=0)),IF(C17="peso_corporal",IF(ISNUMBER(E17),E17,0)+I17,I17)*(30+J17)*100+I17,0),IF((M17&gt;=6)*(1-(IF(N17="",-1,N17)&gt;=1)*(IF(N17="",-1,N17)&lt;=3))*(1-(IF(N17="",-1,N17)=0)),IF(C17="peso_corporal",IF(ISNUMBER(E17),E17,0)+L17,L17)*(30+M17)*100+L17,0),IF((P17&gt;=6)*(1-(IF(Q17="",-1,Q17)&gt;=1)*(IF(Q17="",-1,Q17)&lt;=3))*(1-(IF(Q17="",-1,Q17)=0)),IF(C17="peso_corporal",IF(ISNUMBER(E17),E17,0)+O17,O17)*(30+P17)*100+O17,0),IF((S17&gt;=6)*(1-(IF(T17="",-1,T17)&gt;=1)*(IF(T17="",-1,T17)&lt;=3))*(1-(IF(T17="",-1,T17)=0)),IF(C17="peso_corporal",IF(ISNUMBER(E17),E17,0)+R17,R17)*(30+S17)*100+R17,0))</f>
        <v>0</v>
      </c>
      <c r="AB17" s="69">
        <f>IF(AA17=0,0,IF(IF((S17&gt;=6)*(1-(IF(T17="",-1,T17)&gt;=1)*(IF(T17="",-1,T17)&lt;=3))*(1-(IF(T17="",-1,T17)=0)),IF(C17="peso_corporal",IF(ISNUMBER(E17),E17,0)+R17,R17)*(30+S17)*100+R17,0)=AA17,5,IF(IF((P17&gt;=6)*(1-(IF(Q17="",-1,Q17)&gt;=1)*(IF(Q17="",-1,Q17)&lt;=3))*(1-(IF(Q17="",-1,Q17)=0)),IF(C17="peso_corporal",IF(ISNUMBER(E17),E17,0)+O17,O17)*(30+P17)*100+O17,0)=AA17,4,IF(IF((M17&gt;=6)*(1-(IF(N17="",-1,N17)&gt;=1)*(IF(N17="",-1,N17)&lt;=3))*(1-(IF(N17="",-1,N17)=0)),IF(C17="peso_corporal",IF(ISNUMBER(E17),E17,0)+L17,L17)*(30+M17)*100+L17,0)=AA17,3,IF(IF((J17&gt;=6)*(1-(IF(K17="",-1,K17)&gt;=1)*(IF(K17="",-1,K17)&lt;=3))*(1-(IF(K17="",-1,K17)=0)),IF(C17="peso_corporal",IF(ISNUMBER(E17),E17,0)+I17,I17)*(30+J17)*100+I17,0)=AA17,2,IF(IF((G17&gt;=6)*(1-(IF(H17="",-1,H17)&gt;=1)*(IF(H17="",-1,H17)&lt;=3))*(1-(IF(H17="",-1,H17)=0)),IF(C17="peso_corporal",IF(ISNUMBER(E17),E17,0)+F17,F17)*(30+G17)*100+F17,0)=AA17,1,0))))))</f>
        <v>0</v>
      </c>
      <c r="AC17" s="69" t="str">
        <f>IF(X17&gt;0,"A"&amp;X17,IF(Z17&gt;0,"B"&amp;Z17,IF(AB17&gt;0,"C"&amp;AB17,"")))</f>
        <v/>
      </c>
    </row>
    <row r="18" spans="1:29" ht="20.100000000000001" customHeight="1">
      <c r="A18" s="14" t="s">
        <v>65</v>
      </c>
      <c r="B18" s="15" t="s">
        <v>66</v>
      </c>
      <c r="C18" s="16" t="str">
        <f>IFERROR(INDEX(EJERCICIOS!$D$3:$D$75,MATCH(A18&amp;"|"&amp;B18,EJERCICIOS!$G$3:$G$75,0)),"--")</f>
        <v>--</v>
      </c>
      <c r="D18" s="17">
        <v>3</v>
      </c>
      <c r="E18" s="18">
        <f>IFERROR(LOOKUP(2,1/(MEDIDAS_Y_PESO!$B$3:$B$3&lt;&gt;""),MEDIDAS_Y_PESO!$B$3:$B$3),"--")</f>
        <v>80</v>
      </c>
      <c r="F18" s="19"/>
      <c r="G18" s="20"/>
      <c r="H18" s="21"/>
      <c r="I18" s="19"/>
      <c r="J18" s="20"/>
      <c r="K18" s="21"/>
      <c r="L18" s="19"/>
      <c r="M18" s="20"/>
      <c r="N18" s="21"/>
      <c r="O18" s="19"/>
      <c r="P18" s="20"/>
      <c r="Q18" s="21"/>
      <c r="R18" s="19"/>
      <c r="S18" s="20"/>
      <c r="T18" s="21"/>
      <c r="U18" s="22" t="str">
        <f>IFERROR(IF(IF(X18&gt;0,X18,IF(Z18&gt;0,Z18,IF(AB18&gt;0,AB18,0)))=0,"--",ROUND(CHOOSE(IF(X18&gt;0,X18,IF(Z18&gt;0,Z18,IF(AB18&gt;0,AB18,0))),IF(C18="peso_corporal",IF(ISNUMBER(E18),E18,0)+F18,F18)*(1+G18/30),IF(C18="peso_corporal",IF(ISNUMBER(E18),E18,0)+I18,I18)*(1+J18/30),IF(C18="peso_corporal",IF(ISNUMBER(E18),E18,0)+L18,L18)*(1+M18/30),IF(C18="peso_corporal",IF(ISNUMBER(E18),E18,0)+O18,O18)*(1+P18/30),IF(C18="peso_corporal",IF(ISNUMBER(E18),E18,0)+R18,R18)*(1+S18/30)),1)),"--")</f>
        <v>--</v>
      </c>
      <c r="V18" s="23" t="str">
        <f>IF(SUGERENCIAS!N31="SIN","Sin datos anteriores",IF(SUGERENCIAS!N31="SUBIR_F","^ SUBIR FUERTE | Kg:"&amp;ROUND(SUGERENCIAS!K31,1)&amp;" R:"&amp;ROUND(SUGERENCIAS!L31,0)&amp;" RIR:"&amp;ROUND(SUGERENCIAS!M31,0),IF(SUGERENCIAS!N31="SUBIR_E","^ SUBIR (Est.) | Kg:"&amp;ROUND(SUGERENCIAS!K31,1)&amp;" R:"&amp;ROUND(SUGERENCIAS!L31,0)&amp;" RIR:"&amp;ROUND(SUGERENCIAS!M31,0),IF(SUGERENCIAS!N31="SUBIR","^ SUBIR | Kg:"&amp;ROUND(SUGERENCIAS!K31,1)&amp;" R:"&amp;ROUND(SUGERENCIAS!L31,0)&amp;" RIR:"&amp;ROUND(SUGERENCIAS!M31,0),IF(SUGERENCIAS!N31="BAJAR","v BAJAR | Kg:"&amp;ROUND(SUGERENCIAS!K31,1)&amp;" R:"&amp;ROUND(SUGERENCIAS!L31,0)&amp;" RIR:"&amp;ROUND(SUGERENCIAS!M31,0),"= MANT | Kg:"&amp;ROUND(SUGERENCIAS!K31,1)&amp;" R:"&amp;ROUND(SUGERENCIAS!L31,0)&amp;" RIR:"&amp;ROUND(SUGERENCIAS!M31,0))))))</f>
        <v>Sin datos anteriores</v>
      </c>
      <c r="W18" s="69">
        <f>MAX(IF((G18&gt;0)*(IF(H18="",-1,H18)&gt;=1)*(IF(H18="",-1,H18)&lt;=3),IF(C18="peso_corporal",IF(ISNUMBER(E18),E18,0)+F18,F18)*G18*1000+F18,0),IF((J18&gt;0)*(IF(K18="",-1,K18)&gt;=1)*(IF(K18="",-1,K18)&lt;=3),IF(C18="peso_corporal",IF(ISNUMBER(E18),E18,0)+I18,I18)*J18*1000+I18,0),IF((M18&gt;0)*(IF(N18="",-1,N18)&gt;=1)*(IF(N18="",-1,N18)&lt;=3),IF(C18="peso_corporal",IF(ISNUMBER(E18),E18,0)+L18,L18)*M18*1000+L18,0),IF((P18&gt;0)*(IF(Q18="",-1,Q18)&gt;=1)*(IF(Q18="",-1,Q18)&lt;=3),IF(C18="peso_corporal",IF(ISNUMBER(E18),E18,0)+O18,O18)*P18*1000+O18,0),IF((S18&gt;0)*(IF(T18="",-1,T18)&gt;=1)*(IF(T18="",-1,T18)&lt;=3),IF(C18="peso_corporal",IF(ISNUMBER(E18),E18,0)+R18,R18)*S18*1000+R18,0))</f>
        <v>0</v>
      </c>
      <c r="X18" s="69">
        <f>IF(W18=0,0,IF(IF((S18&gt;0)*(IF(T18="",-1,T18)&gt;=1)*(IF(T18="",-1,T18)&lt;=3),IF(C18="peso_corporal",IF(ISNUMBER(E18),E18,0)+R18,R18)*S18*1000+R18,0)=W18,5,IF(IF((P18&gt;0)*(IF(Q18="",-1,Q18)&gt;=1)*(IF(Q18="",-1,Q18)&lt;=3),IF(C18="peso_corporal",IF(ISNUMBER(E18),E18,0)+O18,O18)*P18*1000+O18,0)=W18,4,IF(IF((M18&gt;0)*(IF(N18="",-1,N18)&gt;=1)*(IF(N18="",-1,N18)&lt;=3),IF(C18="peso_corporal",IF(ISNUMBER(E18),E18,0)+L18,L18)*M18*1000+L18,0)=W18,3,IF(IF((J18&gt;0)*(IF(K18="",-1,K18)&gt;=1)*(IF(K18="",-1,K18)&lt;=3),IF(C18="peso_corporal",IF(ISNUMBER(E18),E18,0)+I18,I18)*J18*1000+I18,0)=W18,2,IF(IF((G18&gt;0)*(IF(H18="",-1,H18)&gt;=1)*(IF(H18="",-1,H18)&lt;=3),IF(C18="peso_corporal",IF(ISNUMBER(E18),E18,0)+F18,F18)*G18*1000+F18,0)=W18,1,0))))))</f>
        <v>0</v>
      </c>
      <c r="Y18" s="69">
        <f>MAX(IF((G18&gt;0)*(IF(H18="",-1,H18)=0)*(1-(IF(H18="",-1,H18)&gt;=1)*(IF(H18="",-1,H18)&lt;=3)),IF(C18="peso_corporal",IF(ISNUMBER(E18),E18,0)+F18,F18)*G18*1000+F18,0),IF((J18&gt;0)*(IF(K18="",-1,K18)=0)*(1-(IF(K18="",-1,K18)&gt;=1)*(IF(K18="",-1,K18)&lt;=3)),IF(C18="peso_corporal",IF(ISNUMBER(E18),E18,0)+I18,I18)*J18*1000+I18,0),IF((M18&gt;0)*(IF(N18="",-1,N18)=0)*(1-(IF(N18="",-1,N18)&gt;=1)*(IF(N18="",-1,N18)&lt;=3)),IF(C18="peso_corporal",IF(ISNUMBER(E18),E18,0)+L18,L18)*M18*1000+L18,0),IF((P18&gt;0)*(IF(Q18="",-1,Q18)=0)*(1-(IF(Q18="",-1,Q18)&gt;=1)*(IF(Q18="",-1,Q18)&lt;=3)),IF(C18="peso_corporal",IF(ISNUMBER(E18),E18,0)+O18,O18)*P18*1000+O18,0),IF((S18&gt;0)*(IF(T18="",-1,T18)=0)*(1-(IF(T18="",-1,T18)&gt;=1)*(IF(T18="",-1,T18)&lt;=3)),IF(C18="peso_corporal",IF(ISNUMBER(E18),E18,0)+R18,R18)*S18*1000+R18,0))</f>
        <v>0</v>
      </c>
      <c r="Z18" s="69">
        <f>IF(Y18=0,0,IF(IF((S18&gt;0)*(IF(T18="",-1,T18)=0)*(1-(IF(T18="",-1,T18)&gt;=1)*(IF(T18="",-1,T18)&lt;=3)),IF(C18="peso_corporal",IF(ISNUMBER(E18),E18,0)+R18,R18)*S18*1000+R18,0)=Y18,5,IF(IF((P18&gt;0)*(IF(Q18="",-1,Q18)=0)*(1-(IF(Q18="",-1,Q18)&gt;=1)*(IF(Q18="",-1,Q18)&lt;=3)),IF(C18="peso_corporal",IF(ISNUMBER(E18),E18,0)+O18,O18)*P18*1000+O18,0)=Y18,4,IF(IF((M18&gt;0)*(IF(N18="",-1,N18)=0)*(1-(IF(N18="",-1,N18)&gt;=1)*(IF(N18="",-1,N18)&lt;=3)),IF(C18="peso_corporal",IF(ISNUMBER(E18),E18,0)+L18,L18)*M18*1000+L18,0)=Y18,3,IF(IF((J18&gt;0)*(IF(K18="",-1,K18)=0)*(1-(IF(K18="",-1,K18)&gt;=1)*(IF(K18="",-1,K18)&lt;=3)),IF(C18="peso_corporal",IF(ISNUMBER(E18),E18,0)+I18,I18)*J18*1000+I18,0)=Y18,2,IF(IF((G18&gt;0)*(IF(H18="",-1,H18)=0)*(1-(IF(H18="",-1,H18)&gt;=1)*(IF(H18="",-1,H18)&lt;=3)),IF(C18="peso_corporal",IF(ISNUMBER(E18),E18,0)+F18,F18)*G18*1000+F18,0)=Y18,1,0))))))</f>
        <v>0</v>
      </c>
      <c r="AA18" s="69">
        <f>MAX(IF((G18&gt;=6)*(1-(IF(H18="",-1,H18)&gt;=1)*(IF(H18="",-1,H18)&lt;=3))*(1-(IF(H18="",-1,H18)=0)),IF(C18="peso_corporal",IF(ISNUMBER(E18),E18,0)+F18,F18)*(30+G18)*100+F18,0),IF((J18&gt;=6)*(1-(IF(K18="",-1,K18)&gt;=1)*(IF(K18="",-1,K18)&lt;=3))*(1-(IF(K18="",-1,K18)=0)),IF(C18="peso_corporal",IF(ISNUMBER(E18),E18,0)+I18,I18)*(30+J18)*100+I18,0),IF((M18&gt;=6)*(1-(IF(N18="",-1,N18)&gt;=1)*(IF(N18="",-1,N18)&lt;=3))*(1-(IF(N18="",-1,N18)=0)),IF(C18="peso_corporal",IF(ISNUMBER(E18),E18,0)+L18,L18)*(30+M18)*100+L18,0),IF((P18&gt;=6)*(1-(IF(Q18="",-1,Q18)&gt;=1)*(IF(Q18="",-1,Q18)&lt;=3))*(1-(IF(Q18="",-1,Q18)=0)),IF(C18="peso_corporal",IF(ISNUMBER(E18),E18,0)+O18,O18)*(30+P18)*100+O18,0),IF((S18&gt;=6)*(1-(IF(T18="",-1,T18)&gt;=1)*(IF(T18="",-1,T18)&lt;=3))*(1-(IF(T18="",-1,T18)=0)),IF(C18="peso_corporal",IF(ISNUMBER(E18),E18,0)+R18,R18)*(30+S18)*100+R18,0))</f>
        <v>0</v>
      </c>
      <c r="AB18" s="69">
        <f>IF(AA18=0,0,IF(IF((S18&gt;=6)*(1-(IF(T18="",-1,T18)&gt;=1)*(IF(T18="",-1,T18)&lt;=3))*(1-(IF(T18="",-1,T18)=0)),IF(C18="peso_corporal",IF(ISNUMBER(E18),E18,0)+R18,R18)*(30+S18)*100+R18,0)=AA18,5,IF(IF((P18&gt;=6)*(1-(IF(Q18="",-1,Q18)&gt;=1)*(IF(Q18="",-1,Q18)&lt;=3))*(1-(IF(Q18="",-1,Q18)=0)),IF(C18="peso_corporal",IF(ISNUMBER(E18),E18,0)+O18,O18)*(30+P18)*100+O18,0)=AA18,4,IF(IF((M18&gt;=6)*(1-(IF(N18="",-1,N18)&gt;=1)*(IF(N18="",-1,N18)&lt;=3))*(1-(IF(N18="",-1,N18)=0)),IF(C18="peso_corporal",IF(ISNUMBER(E18),E18,0)+L18,L18)*(30+M18)*100+L18,0)=AA18,3,IF(IF((J18&gt;=6)*(1-(IF(K18="",-1,K18)&gt;=1)*(IF(K18="",-1,K18)&lt;=3))*(1-(IF(K18="",-1,K18)=0)),IF(C18="peso_corporal",IF(ISNUMBER(E18),E18,0)+I18,I18)*(30+J18)*100+I18,0)=AA18,2,IF(IF((G18&gt;=6)*(1-(IF(H18="",-1,H18)&gt;=1)*(IF(H18="",-1,H18)&lt;=3))*(1-(IF(H18="",-1,H18)=0)),IF(C18="peso_corporal",IF(ISNUMBER(E18),E18,0)+F18,F18)*(30+G18)*100+F18,0)=AA18,1,0))))))</f>
        <v>0</v>
      </c>
      <c r="AC18" s="69" t="str">
        <f>IF(X18&gt;0,"A"&amp;X18,IF(Z18&gt;0,"B"&amp;Z18,IF(AB18&gt;0,"C"&amp;AB18,"")))</f>
        <v/>
      </c>
    </row>
    <row r="19" spans="1:29" ht="20.100000000000001" customHeight="1">
      <c r="A19" s="14" t="s">
        <v>65</v>
      </c>
      <c r="B19" s="15" t="s">
        <v>137</v>
      </c>
      <c r="C19" s="16" t="str">
        <f>IFERROR(INDEX(EJERCICIOS!$D$3:$D$75,MATCH(A19&amp;"|"&amp;B19,EJERCICIOS!$G$3:$G$75,0)),"--")</f>
        <v>--</v>
      </c>
      <c r="D19" s="17">
        <v>3</v>
      </c>
      <c r="E19" s="18">
        <f>IFERROR(LOOKUP(2,1/(MEDIDAS_Y_PESO!$B$3:$B$3&lt;&gt;""),MEDIDAS_Y_PESO!$B$3:$B$3),"--")</f>
        <v>80</v>
      </c>
      <c r="F19" s="19"/>
      <c r="G19" s="20"/>
      <c r="H19" s="21"/>
      <c r="I19" s="19"/>
      <c r="J19" s="20"/>
      <c r="K19" s="21"/>
      <c r="L19" s="19"/>
      <c r="M19" s="20"/>
      <c r="N19" s="21"/>
      <c r="O19" s="19"/>
      <c r="P19" s="20"/>
      <c r="Q19" s="21"/>
      <c r="R19" s="19"/>
      <c r="S19" s="20"/>
      <c r="T19" s="21"/>
      <c r="U19" s="22" t="str">
        <f>IFERROR(IF(IF(X19&gt;0,X19,IF(Z19&gt;0,Z19,IF(AB19&gt;0,AB19,0)))=0,"--",ROUND(CHOOSE(IF(X19&gt;0,X19,IF(Z19&gt;0,Z19,IF(AB19&gt;0,AB19,0))),IF(C19="peso_corporal",IF(ISNUMBER(E19),E19,0)+F19,F19)*(1+G19/30),IF(C19="peso_corporal",IF(ISNUMBER(E19),E19,0)+I19,I19)*(1+J19/30),IF(C19="peso_corporal",IF(ISNUMBER(E19),E19,0)+L19,L19)*(1+M19/30),IF(C19="peso_corporal",IF(ISNUMBER(E19),E19,0)+O19,O19)*(1+P19/30),IF(C19="peso_corporal",IF(ISNUMBER(E19),E19,0)+R19,R19)*(1+S19/30)),1)),"--")</f>
        <v>--</v>
      </c>
      <c r="V19" s="23" t="str">
        <f>IF(SUGERENCIAS!N32="SIN","Sin datos anteriores",IF(SUGERENCIAS!N32="SUBIR_F","^ SUBIR FUERTE | Kg:"&amp;ROUND(SUGERENCIAS!K32,1)&amp;" R:"&amp;ROUND(SUGERENCIAS!L32,0)&amp;" RIR:"&amp;ROUND(SUGERENCIAS!M32,0),IF(SUGERENCIAS!N32="SUBIR_E","^ SUBIR (Est.) | Kg:"&amp;ROUND(SUGERENCIAS!K32,1)&amp;" R:"&amp;ROUND(SUGERENCIAS!L32,0)&amp;" RIR:"&amp;ROUND(SUGERENCIAS!M32,0),IF(SUGERENCIAS!N32="SUBIR","^ SUBIR | Kg:"&amp;ROUND(SUGERENCIAS!K32,1)&amp;" R:"&amp;ROUND(SUGERENCIAS!L32,0)&amp;" RIR:"&amp;ROUND(SUGERENCIAS!M32,0),IF(SUGERENCIAS!N32="BAJAR","v BAJAR | Kg:"&amp;ROUND(SUGERENCIAS!K32,1)&amp;" R:"&amp;ROUND(SUGERENCIAS!L32,0)&amp;" RIR:"&amp;ROUND(SUGERENCIAS!M32,0),"= MANT | Kg:"&amp;ROUND(SUGERENCIAS!K32,1)&amp;" R:"&amp;ROUND(SUGERENCIAS!L32,0)&amp;" RIR:"&amp;ROUND(SUGERENCIAS!M32,0))))))</f>
        <v>Sin datos anteriores</v>
      </c>
      <c r="W19" s="69">
        <f>MAX(IF((G19&gt;0)*(IF(H19="",-1,H19)&gt;=1)*(IF(H19="",-1,H19)&lt;=3),IF(C19="peso_corporal",IF(ISNUMBER(E19),E19,0)+F19,F19)*G19*1000+F19,0),IF((J19&gt;0)*(IF(K19="",-1,K19)&gt;=1)*(IF(K19="",-1,K19)&lt;=3),IF(C19="peso_corporal",IF(ISNUMBER(E19),E19,0)+I19,I19)*J19*1000+I19,0),IF((M19&gt;0)*(IF(N19="",-1,N19)&gt;=1)*(IF(N19="",-1,N19)&lt;=3),IF(C19="peso_corporal",IF(ISNUMBER(E19),E19,0)+L19,L19)*M19*1000+L19,0),IF((P19&gt;0)*(IF(Q19="",-1,Q19)&gt;=1)*(IF(Q19="",-1,Q19)&lt;=3),IF(C19="peso_corporal",IF(ISNUMBER(E19),E19,0)+O19,O19)*P19*1000+O19,0),IF((S19&gt;0)*(IF(T19="",-1,T19)&gt;=1)*(IF(T19="",-1,T19)&lt;=3),IF(C19="peso_corporal",IF(ISNUMBER(E19),E19,0)+R19,R19)*S19*1000+R19,0))</f>
        <v>0</v>
      </c>
      <c r="X19" s="69">
        <f>IF(W19=0,0,IF(IF((S19&gt;0)*(IF(T19="",-1,T19)&gt;=1)*(IF(T19="",-1,T19)&lt;=3),IF(C19="peso_corporal",IF(ISNUMBER(E19),E19,0)+R19,R19)*S19*1000+R19,0)=W19,5,IF(IF((P19&gt;0)*(IF(Q19="",-1,Q19)&gt;=1)*(IF(Q19="",-1,Q19)&lt;=3),IF(C19="peso_corporal",IF(ISNUMBER(E19),E19,0)+O19,O19)*P19*1000+O19,0)=W19,4,IF(IF((M19&gt;0)*(IF(N19="",-1,N19)&gt;=1)*(IF(N19="",-1,N19)&lt;=3),IF(C19="peso_corporal",IF(ISNUMBER(E19),E19,0)+L19,L19)*M19*1000+L19,0)=W19,3,IF(IF((J19&gt;0)*(IF(K19="",-1,K19)&gt;=1)*(IF(K19="",-1,K19)&lt;=3),IF(C19="peso_corporal",IF(ISNUMBER(E19),E19,0)+I19,I19)*J19*1000+I19,0)=W19,2,IF(IF((G19&gt;0)*(IF(H19="",-1,H19)&gt;=1)*(IF(H19="",-1,H19)&lt;=3),IF(C19="peso_corporal",IF(ISNUMBER(E19),E19,0)+F19,F19)*G19*1000+F19,0)=W19,1,0))))))</f>
        <v>0</v>
      </c>
      <c r="Y19" s="69">
        <f>MAX(IF((G19&gt;0)*(IF(H19="",-1,H19)=0)*(1-(IF(H19="",-1,H19)&gt;=1)*(IF(H19="",-1,H19)&lt;=3)),IF(C19="peso_corporal",IF(ISNUMBER(E19),E19,0)+F19,F19)*G19*1000+F19,0),IF((J19&gt;0)*(IF(K19="",-1,K19)=0)*(1-(IF(K19="",-1,K19)&gt;=1)*(IF(K19="",-1,K19)&lt;=3)),IF(C19="peso_corporal",IF(ISNUMBER(E19),E19,0)+I19,I19)*J19*1000+I19,0),IF((M19&gt;0)*(IF(N19="",-1,N19)=0)*(1-(IF(N19="",-1,N19)&gt;=1)*(IF(N19="",-1,N19)&lt;=3)),IF(C19="peso_corporal",IF(ISNUMBER(E19),E19,0)+L19,L19)*M19*1000+L19,0),IF((P19&gt;0)*(IF(Q19="",-1,Q19)=0)*(1-(IF(Q19="",-1,Q19)&gt;=1)*(IF(Q19="",-1,Q19)&lt;=3)),IF(C19="peso_corporal",IF(ISNUMBER(E19),E19,0)+O19,O19)*P19*1000+O19,0),IF((S19&gt;0)*(IF(T19="",-1,T19)=0)*(1-(IF(T19="",-1,T19)&gt;=1)*(IF(T19="",-1,T19)&lt;=3)),IF(C19="peso_corporal",IF(ISNUMBER(E19),E19,0)+R19,R19)*S19*1000+R19,0))</f>
        <v>0</v>
      </c>
      <c r="Z19" s="69">
        <f>IF(Y19=0,0,IF(IF((S19&gt;0)*(IF(T19="",-1,T19)=0)*(1-(IF(T19="",-1,T19)&gt;=1)*(IF(T19="",-1,T19)&lt;=3)),IF(C19="peso_corporal",IF(ISNUMBER(E19),E19,0)+R19,R19)*S19*1000+R19,0)=Y19,5,IF(IF((P19&gt;0)*(IF(Q19="",-1,Q19)=0)*(1-(IF(Q19="",-1,Q19)&gt;=1)*(IF(Q19="",-1,Q19)&lt;=3)),IF(C19="peso_corporal",IF(ISNUMBER(E19),E19,0)+O19,O19)*P19*1000+O19,0)=Y19,4,IF(IF((M19&gt;0)*(IF(N19="",-1,N19)=0)*(1-(IF(N19="",-1,N19)&gt;=1)*(IF(N19="",-1,N19)&lt;=3)),IF(C19="peso_corporal",IF(ISNUMBER(E19),E19,0)+L19,L19)*M19*1000+L19,0)=Y19,3,IF(IF((J19&gt;0)*(IF(K19="",-1,K19)=0)*(1-(IF(K19="",-1,K19)&gt;=1)*(IF(K19="",-1,K19)&lt;=3)),IF(C19="peso_corporal",IF(ISNUMBER(E19),E19,0)+I19,I19)*J19*1000+I19,0)=Y19,2,IF(IF((G19&gt;0)*(IF(H19="",-1,H19)=0)*(1-(IF(H19="",-1,H19)&gt;=1)*(IF(H19="",-1,H19)&lt;=3)),IF(C19="peso_corporal",IF(ISNUMBER(E19),E19,0)+F19,F19)*G19*1000+F19,0)=Y19,1,0))))))</f>
        <v>0</v>
      </c>
      <c r="AA19" s="69">
        <f>MAX(IF((G19&gt;=6)*(1-(IF(H19="",-1,H19)&gt;=1)*(IF(H19="",-1,H19)&lt;=3))*(1-(IF(H19="",-1,H19)=0)),IF(C19="peso_corporal",IF(ISNUMBER(E19),E19,0)+F19,F19)*(30+G19)*100+F19,0),IF((J19&gt;=6)*(1-(IF(K19="",-1,K19)&gt;=1)*(IF(K19="",-1,K19)&lt;=3))*(1-(IF(K19="",-1,K19)=0)),IF(C19="peso_corporal",IF(ISNUMBER(E19),E19,0)+I19,I19)*(30+J19)*100+I19,0),IF((M19&gt;=6)*(1-(IF(N19="",-1,N19)&gt;=1)*(IF(N19="",-1,N19)&lt;=3))*(1-(IF(N19="",-1,N19)=0)),IF(C19="peso_corporal",IF(ISNUMBER(E19),E19,0)+L19,L19)*(30+M19)*100+L19,0),IF((P19&gt;=6)*(1-(IF(Q19="",-1,Q19)&gt;=1)*(IF(Q19="",-1,Q19)&lt;=3))*(1-(IF(Q19="",-1,Q19)=0)),IF(C19="peso_corporal",IF(ISNUMBER(E19),E19,0)+O19,O19)*(30+P19)*100+O19,0),IF((S19&gt;=6)*(1-(IF(T19="",-1,T19)&gt;=1)*(IF(T19="",-1,T19)&lt;=3))*(1-(IF(T19="",-1,T19)=0)),IF(C19="peso_corporal",IF(ISNUMBER(E19),E19,0)+R19,R19)*(30+S19)*100+R19,0))</f>
        <v>0</v>
      </c>
      <c r="AB19" s="69">
        <f>IF(AA19=0,0,IF(IF((S19&gt;=6)*(1-(IF(T19="",-1,T19)&gt;=1)*(IF(T19="",-1,T19)&lt;=3))*(1-(IF(T19="",-1,T19)=0)),IF(C19="peso_corporal",IF(ISNUMBER(E19),E19,0)+R19,R19)*(30+S19)*100+R19,0)=AA19,5,IF(IF((P19&gt;=6)*(1-(IF(Q19="",-1,Q19)&gt;=1)*(IF(Q19="",-1,Q19)&lt;=3))*(1-(IF(Q19="",-1,Q19)=0)),IF(C19="peso_corporal",IF(ISNUMBER(E19),E19,0)+O19,O19)*(30+P19)*100+O19,0)=AA19,4,IF(IF((M19&gt;=6)*(1-(IF(N19="",-1,N19)&gt;=1)*(IF(N19="",-1,N19)&lt;=3))*(1-(IF(N19="",-1,N19)=0)),IF(C19="peso_corporal",IF(ISNUMBER(E19),E19,0)+L19,L19)*(30+M19)*100+L19,0)=AA19,3,IF(IF((J19&gt;=6)*(1-(IF(K19="",-1,K19)&gt;=1)*(IF(K19="",-1,K19)&lt;=3))*(1-(IF(K19="",-1,K19)=0)),IF(C19="peso_corporal",IF(ISNUMBER(E19),E19,0)+I19,I19)*(30+J19)*100+I19,0)=AA19,2,IF(IF((G19&gt;=6)*(1-(IF(H19="",-1,H19)&gt;=1)*(IF(H19="",-1,H19)&lt;=3))*(1-(IF(H19="",-1,H19)=0)),IF(C19="peso_corporal",IF(ISNUMBER(E19),E19,0)+F19,F19)*(30+G19)*100+F19,0)=AA19,1,0))))))</f>
        <v>0</v>
      </c>
      <c r="AC19" s="69" t="str">
        <f>IF(X19&gt;0,"A"&amp;X19,IF(Z19&gt;0,"B"&amp;Z19,IF(AB19&gt;0,"C"&amp;AB19,"")))</f>
        <v/>
      </c>
    </row>
    <row r="20" spans="1:29" ht="15" customHeight="1">
      <c r="A20" s="89" t="s">
        <v>138</v>
      </c>
      <c r="B20" s="73"/>
      <c r="C20" s="73"/>
      <c r="D20" s="73"/>
      <c r="E20" s="73"/>
      <c r="F20" s="73"/>
      <c r="G20" s="73"/>
      <c r="H20" s="73"/>
      <c r="I20" s="73"/>
      <c r="J20" s="73"/>
      <c r="K20" s="73"/>
      <c r="L20" s="73"/>
      <c r="M20" s="73"/>
      <c r="N20" s="73"/>
      <c r="O20" s="73"/>
      <c r="P20" s="73"/>
      <c r="Q20" s="73"/>
      <c r="R20" s="73"/>
      <c r="S20" s="73"/>
      <c r="T20" s="73"/>
      <c r="U20" s="73"/>
      <c r="V20" s="73"/>
      <c r="W20" s="69"/>
      <c r="X20" s="69"/>
      <c r="Y20" s="69"/>
      <c r="Z20" s="69"/>
      <c r="AA20" s="69"/>
      <c r="AB20" s="69"/>
      <c r="AC20" s="69"/>
    </row>
    <row r="21" spans="1:29" ht="20.100000000000001" customHeight="1">
      <c r="A21" s="14" t="s">
        <v>139</v>
      </c>
      <c r="B21" s="15" t="s">
        <v>140</v>
      </c>
      <c r="C21" s="16" t="str">
        <f>IFERROR(INDEX(EJERCICIOS!$D$3:$D$75,MATCH(A21&amp;"|"&amp;B21,EJERCICIOS!$G$3:$G$75,0)),"--")</f>
        <v>disco</v>
      </c>
      <c r="D21" s="17">
        <v>3</v>
      </c>
      <c r="E21" s="18">
        <f>IFERROR(LOOKUP(2,1/(MEDIDAS_Y_PESO!$B$3:$B$3&lt;&gt;""),MEDIDAS_Y_PESO!$B$3:$B$3),"--")</f>
        <v>80</v>
      </c>
      <c r="F21" s="19"/>
      <c r="G21" s="20"/>
      <c r="H21" s="21"/>
      <c r="I21" s="19"/>
      <c r="J21" s="20"/>
      <c r="K21" s="21"/>
      <c r="L21" s="19"/>
      <c r="M21" s="20"/>
      <c r="N21" s="21"/>
      <c r="O21" s="19"/>
      <c r="P21" s="20"/>
      <c r="Q21" s="21"/>
      <c r="R21" s="19"/>
      <c r="S21" s="20"/>
      <c r="T21" s="21"/>
      <c r="U21" s="22" t="str">
        <f>IFERROR(IF(IF(X21&gt;0,X21,IF(Z21&gt;0,Z21,IF(AB21&gt;0,AB21,0)))=0,"--",ROUND(CHOOSE(IF(X21&gt;0,X21,IF(Z21&gt;0,Z21,IF(AB21&gt;0,AB21,0))),IF(C21="peso_corporal",IF(ISNUMBER(E21),E21,0)+F21,F21)*(1+G21/30),IF(C21="peso_corporal",IF(ISNUMBER(E21),E21,0)+I21,I21)*(1+J21/30),IF(C21="peso_corporal",IF(ISNUMBER(E21),E21,0)+L21,L21)*(1+M21/30),IF(C21="peso_corporal",IF(ISNUMBER(E21),E21,0)+O21,O21)*(1+P21/30),IF(C21="peso_corporal",IF(ISNUMBER(E21),E21,0)+R21,R21)*(1+S21/30)),1)),"--")</f>
        <v>--</v>
      </c>
      <c r="V21" s="23" t="str">
        <f>IF(SUGERENCIAS!N33="SIN","Sin datos anteriores",IF(SUGERENCIAS!N33="SUBIR_F","^ SUBIR FUERTE | Kg:"&amp;ROUND(SUGERENCIAS!K33,1)&amp;" R:"&amp;ROUND(SUGERENCIAS!L33,0)&amp;" RIR:"&amp;ROUND(SUGERENCIAS!M33,0),IF(SUGERENCIAS!N33="SUBIR_E","^ SUBIR (Est.) | Kg:"&amp;ROUND(SUGERENCIAS!K33,1)&amp;" R:"&amp;ROUND(SUGERENCIAS!L33,0)&amp;" RIR:"&amp;ROUND(SUGERENCIAS!M33,0),IF(SUGERENCIAS!N33="SUBIR","^ SUBIR | Kg:"&amp;ROUND(SUGERENCIAS!K33,1)&amp;" R:"&amp;ROUND(SUGERENCIAS!L33,0)&amp;" RIR:"&amp;ROUND(SUGERENCIAS!M33,0),IF(SUGERENCIAS!N33="BAJAR","v BAJAR | Kg:"&amp;ROUND(SUGERENCIAS!K33,1)&amp;" R:"&amp;ROUND(SUGERENCIAS!L33,0)&amp;" RIR:"&amp;ROUND(SUGERENCIAS!M33,0),"= MANT | Kg:"&amp;ROUND(SUGERENCIAS!K33,1)&amp;" R:"&amp;ROUND(SUGERENCIAS!L33,0)&amp;" RIR:"&amp;ROUND(SUGERENCIAS!M33,0))))))</f>
        <v>Sin datos anteriores</v>
      </c>
      <c r="W21" s="69">
        <f>MAX(IF((G21&gt;0)*(IF(H21="",-1,H21)&gt;=1)*(IF(H21="",-1,H21)&lt;=3),IF(C21="peso_corporal",IF(ISNUMBER(E21),E21,0)+F21,F21)*G21*1000+F21,0),IF((J21&gt;0)*(IF(K21="",-1,K21)&gt;=1)*(IF(K21="",-1,K21)&lt;=3),IF(C21="peso_corporal",IF(ISNUMBER(E21),E21,0)+I21,I21)*J21*1000+I21,0),IF((M21&gt;0)*(IF(N21="",-1,N21)&gt;=1)*(IF(N21="",-1,N21)&lt;=3),IF(C21="peso_corporal",IF(ISNUMBER(E21),E21,0)+L21,L21)*M21*1000+L21,0),IF((P21&gt;0)*(IF(Q21="",-1,Q21)&gt;=1)*(IF(Q21="",-1,Q21)&lt;=3),IF(C21="peso_corporal",IF(ISNUMBER(E21),E21,0)+O21,O21)*P21*1000+O21,0),IF((S21&gt;0)*(IF(T21="",-1,T21)&gt;=1)*(IF(T21="",-1,T21)&lt;=3),IF(C21="peso_corporal",IF(ISNUMBER(E21),E21,0)+R21,R21)*S21*1000+R21,0))</f>
        <v>0</v>
      </c>
      <c r="X21" s="69">
        <f>IF(W21=0,0,IF(IF((S21&gt;0)*(IF(T21="",-1,T21)&gt;=1)*(IF(T21="",-1,T21)&lt;=3),IF(C21="peso_corporal",IF(ISNUMBER(E21),E21,0)+R21,R21)*S21*1000+R21,0)=W21,5,IF(IF((P21&gt;0)*(IF(Q21="",-1,Q21)&gt;=1)*(IF(Q21="",-1,Q21)&lt;=3),IF(C21="peso_corporal",IF(ISNUMBER(E21),E21,0)+O21,O21)*P21*1000+O21,0)=W21,4,IF(IF((M21&gt;0)*(IF(N21="",-1,N21)&gt;=1)*(IF(N21="",-1,N21)&lt;=3),IF(C21="peso_corporal",IF(ISNUMBER(E21),E21,0)+L21,L21)*M21*1000+L21,0)=W21,3,IF(IF((J21&gt;0)*(IF(K21="",-1,K21)&gt;=1)*(IF(K21="",-1,K21)&lt;=3),IF(C21="peso_corporal",IF(ISNUMBER(E21),E21,0)+I21,I21)*J21*1000+I21,0)=W21,2,IF(IF((G21&gt;0)*(IF(H21="",-1,H21)&gt;=1)*(IF(H21="",-1,H21)&lt;=3),IF(C21="peso_corporal",IF(ISNUMBER(E21),E21,0)+F21,F21)*G21*1000+F21,0)=W21,1,0))))))</f>
        <v>0</v>
      </c>
      <c r="Y21" s="69">
        <f>MAX(IF((G21&gt;0)*(IF(H21="",-1,H21)=0)*(1-(IF(H21="",-1,H21)&gt;=1)*(IF(H21="",-1,H21)&lt;=3)),IF(C21="peso_corporal",IF(ISNUMBER(E21),E21,0)+F21,F21)*G21*1000+F21,0),IF((J21&gt;0)*(IF(K21="",-1,K21)=0)*(1-(IF(K21="",-1,K21)&gt;=1)*(IF(K21="",-1,K21)&lt;=3)),IF(C21="peso_corporal",IF(ISNUMBER(E21),E21,0)+I21,I21)*J21*1000+I21,0),IF((M21&gt;0)*(IF(N21="",-1,N21)=0)*(1-(IF(N21="",-1,N21)&gt;=1)*(IF(N21="",-1,N21)&lt;=3)),IF(C21="peso_corporal",IF(ISNUMBER(E21),E21,0)+L21,L21)*M21*1000+L21,0),IF((P21&gt;0)*(IF(Q21="",-1,Q21)=0)*(1-(IF(Q21="",-1,Q21)&gt;=1)*(IF(Q21="",-1,Q21)&lt;=3)),IF(C21="peso_corporal",IF(ISNUMBER(E21),E21,0)+O21,O21)*P21*1000+O21,0),IF((S21&gt;0)*(IF(T21="",-1,T21)=0)*(1-(IF(T21="",-1,T21)&gt;=1)*(IF(T21="",-1,T21)&lt;=3)),IF(C21="peso_corporal",IF(ISNUMBER(E21),E21,0)+R21,R21)*S21*1000+R21,0))</f>
        <v>0</v>
      </c>
      <c r="Z21" s="69">
        <f>IF(Y21=0,0,IF(IF((S21&gt;0)*(IF(T21="",-1,T21)=0)*(1-(IF(T21="",-1,T21)&gt;=1)*(IF(T21="",-1,T21)&lt;=3)),IF(C21="peso_corporal",IF(ISNUMBER(E21),E21,0)+R21,R21)*S21*1000+R21,0)=Y21,5,IF(IF((P21&gt;0)*(IF(Q21="",-1,Q21)=0)*(1-(IF(Q21="",-1,Q21)&gt;=1)*(IF(Q21="",-1,Q21)&lt;=3)),IF(C21="peso_corporal",IF(ISNUMBER(E21),E21,0)+O21,O21)*P21*1000+O21,0)=Y21,4,IF(IF((M21&gt;0)*(IF(N21="",-1,N21)=0)*(1-(IF(N21="",-1,N21)&gt;=1)*(IF(N21="",-1,N21)&lt;=3)),IF(C21="peso_corporal",IF(ISNUMBER(E21),E21,0)+L21,L21)*M21*1000+L21,0)=Y21,3,IF(IF((J21&gt;0)*(IF(K21="",-1,K21)=0)*(1-(IF(K21="",-1,K21)&gt;=1)*(IF(K21="",-1,K21)&lt;=3)),IF(C21="peso_corporal",IF(ISNUMBER(E21),E21,0)+I21,I21)*J21*1000+I21,0)=Y21,2,IF(IF((G21&gt;0)*(IF(H21="",-1,H21)=0)*(1-(IF(H21="",-1,H21)&gt;=1)*(IF(H21="",-1,H21)&lt;=3)),IF(C21="peso_corporal",IF(ISNUMBER(E21),E21,0)+F21,F21)*G21*1000+F21,0)=Y21,1,0))))))</f>
        <v>0</v>
      </c>
      <c r="AA21" s="69">
        <f>MAX(IF((G21&gt;=6)*(1-(IF(H21="",-1,H21)&gt;=1)*(IF(H21="",-1,H21)&lt;=3))*(1-(IF(H21="",-1,H21)=0)),IF(C21="peso_corporal",IF(ISNUMBER(E21),E21,0)+F21,F21)*(30+G21)*100+F21,0),IF((J21&gt;=6)*(1-(IF(K21="",-1,K21)&gt;=1)*(IF(K21="",-1,K21)&lt;=3))*(1-(IF(K21="",-1,K21)=0)),IF(C21="peso_corporal",IF(ISNUMBER(E21),E21,0)+I21,I21)*(30+J21)*100+I21,0),IF((M21&gt;=6)*(1-(IF(N21="",-1,N21)&gt;=1)*(IF(N21="",-1,N21)&lt;=3))*(1-(IF(N21="",-1,N21)=0)),IF(C21="peso_corporal",IF(ISNUMBER(E21),E21,0)+L21,L21)*(30+M21)*100+L21,0),IF((P21&gt;=6)*(1-(IF(Q21="",-1,Q21)&gt;=1)*(IF(Q21="",-1,Q21)&lt;=3))*(1-(IF(Q21="",-1,Q21)=0)),IF(C21="peso_corporal",IF(ISNUMBER(E21),E21,0)+O21,O21)*(30+P21)*100+O21,0),IF((S21&gt;=6)*(1-(IF(T21="",-1,T21)&gt;=1)*(IF(T21="",-1,T21)&lt;=3))*(1-(IF(T21="",-1,T21)=0)),IF(C21="peso_corporal",IF(ISNUMBER(E21),E21,0)+R21,R21)*(30+S21)*100+R21,0))</f>
        <v>0</v>
      </c>
      <c r="AB21" s="69">
        <f>IF(AA21=0,0,IF(IF((S21&gt;=6)*(1-(IF(T21="",-1,T21)&gt;=1)*(IF(T21="",-1,T21)&lt;=3))*(1-(IF(T21="",-1,T21)=0)),IF(C21="peso_corporal",IF(ISNUMBER(E21),E21,0)+R21,R21)*(30+S21)*100+R21,0)=AA21,5,IF(IF((P21&gt;=6)*(1-(IF(Q21="",-1,Q21)&gt;=1)*(IF(Q21="",-1,Q21)&lt;=3))*(1-(IF(Q21="",-1,Q21)=0)),IF(C21="peso_corporal",IF(ISNUMBER(E21),E21,0)+O21,O21)*(30+P21)*100+O21,0)=AA21,4,IF(IF((M21&gt;=6)*(1-(IF(N21="",-1,N21)&gt;=1)*(IF(N21="",-1,N21)&lt;=3))*(1-(IF(N21="",-1,N21)=0)),IF(C21="peso_corporal",IF(ISNUMBER(E21),E21,0)+L21,L21)*(30+M21)*100+L21,0)=AA21,3,IF(IF((J21&gt;=6)*(1-(IF(K21="",-1,K21)&gt;=1)*(IF(K21="",-1,K21)&lt;=3))*(1-(IF(K21="",-1,K21)=0)),IF(C21="peso_corporal",IF(ISNUMBER(E21),E21,0)+I21,I21)*(30+J21)*100+I21,0)=AA21,2,IF(IF((G21&gt;=6)*(1-(IF(H21="",-1,H21)&gt;=1)*(IF(H21="",-1,H21)&lt;=3))*(1-(IF(H21="",-1,H21)=0)),IF(C21="peso_corporal",IF(ISNUMBER(E21),E21,0)+F21,F21)*(30+G21)*100+F21,0)=AA21,1,0))))))</f>
        <v>0</v>
      </c>
      <c r="AC21" s="69" t="str">
        <f>IF(X21&gt;0,"A"&amp;X21,IF(Z21&gt;0,"B"&amp;Z21,IF(AB21&gt;0,"C"&amp;AB21,"")))</f>
        <v/>
      </c>
    </row>
    <row r="22" spans="1:29" ht="20.100000000000001" customHeight="1">
      <c r="A22" s="14" t="s">
        <v>139</v>
      </c>
      <c r="B22" s="15" t="s">
        <v>141</v>
      </c>
      <c r="C22" s="16" t="str">
        <f>IFERROR(INDEX(EJERCICIOS!$D$3:$D$75,MATCH(A22&amp;"|"&amp;B22,EJERCICIOS!$G$3:$G$75,0)),"--")</f>
        <v>disco</v>
      </c>
      <c r="D22" s="17">
        <v>3</v>
      </c>
      <c r="E22" s="18">
        <f>IFERROR(LOOKUP(2,1/(MEDIDAS_Y_PESO!$B$3:$B$3&lt;&gt;""),MEDIDAS_Y_PESO!$B$3:$B$3),"--")</f>
        <v>80</v>
      </c>
      <c r="F22" s="19"/>
      <c r="G22" s="20"/>
      <c r="H22" s="21"/>
      <c r="I22" s="19"/>
      <c r="J22" s="20"/>
      <c r="K22" s="21"/>
      <c r="L22" s="19"/>
      <c r="M22" s="20"/>
      <c r="N22" s="21"/>
      <c r="O22" s="19"/>
      <c r="P22" s="20"/>
      <c r="Q22" s="21"/>
      <c r="R22" s="19"/>
      <c r="S22" s="20"/>
      <c r="T22" s="21"/>
      <c r="U22" s="22" t="str">
        <f>IFERROR(IF(IF(X22&gt;0,X22,IF(Z22&gt;0,Z22,IF(AB22&gt;0,AB22,0)))=0,"--",ROUND(CHOOSE(IF(X22&gt;0,X22,IF(Z22&gt;0,Z22,IF(AB22&gt;0,AB22,0))),IF(C22="peso_corporal",IF(ISNUMBER(E22),E22,0)+F22,F22)*(1+G22/30),IF(C22="peso_corporal",IF(ISNUMBER(E22),E22,0)+I22,I22)*(1+J22/30),IF(C22="peso_corporal",IF(ISNUMBER(E22),E22,0)+L22,L22)*(1+M22/30),IF(C22="peso_corporal",IF(ISNUMBER(E22),E22,0)+O22,O22)*(1+P22/30),IF(C22="peso_corporal",IF(ISNUMBER(E22),E22,0)+R22,R22)*(1+S22/30)),1)),"--")</f>
        <v>--</v>
      </c>
      <c r="V22" s="23" t="str">
        <f>IF(SUGERENCIAS!N34="SIN","Sin datos anteriores",IF(SUGERENCIAS!N34="SUBIR_F","^ SUBIR FUERTE | Kg:"&amp;ROUND(SUGERENCIAS!K34,1)&amp;" R:"&amp;ROUND(SUGERENCIAS!L34,0)&amp;" RIR:"&amp;ROUND(SUGERENCIAS!M34,0),IF(SUGERENCIAS!N34="SUBIR_E","^ SUBIR (Est.) | Kg:"&amp;ROUND(SUGERENCIAS!K34,1)&amp;" R:"&amp;ROUND(SUGERENCIAS!L34,0)&amp;" RIR:"&amp;ROUND(SUGERENCIAS!M34,0),IF(SUGERENCIAS!N34="SUBIR","^ SUBIR | Kg:"&amp;ROUND(SUGERENCIAS!K34,1)&amp;" R:"&amp;ROUND(SUGERENCIAS!L34,0)&amp;" RIR:"&amp;ROUND(SUGERENCIAS!M34,0),IF(SUGERENCIAS!N34="BAJAR","v BAJAR | Kg:"&amp;ROUND(SUGERENCIAS!K34,1)&amp;" R:"&amp;ROUND(SUGERENCIAS!L34,0)&amp;" RIR:"&amp;ROUND(SUGERENCIAS!M34,0),"= MANT | Kg:"&amp;ROUND(SUGERENCIAS!K34,1)&amp;" R:"&amp;ROUND(SUGERENCIAS!L34,0)&amp;" RIR:"&amp;ROUND(SUGERENCIAS!M34,0))))))</f>
        <v>Sin datos anteriores</v>
      </c>
      <c r="W22" s="69">
        <f>MAX(IF((G22&gt;0)*(IF(H22="",-1,H22)&gt;=1)*(IF(H22="",-1,H22)&lt;=3),IF(C22="peso_corporal",IF(ISNUMBER(E22),E22,0)+F22,F22)*G22*1000+F22,0),IF((J22&gt;0)*(IF(K22="",-1,K22)&gt;=1)*(IF(K22="",-1,K22)&lt;=3),IF(C22="peso_corporal",IF(ISNUMBER(E22),E22,0)+I22,I22)*J22*1000+I22,0),IF((M22&gt;0)*(IF(N22="",-1,N22)&gt;=1)*(IF(N22="",-1,N22)&lt;=3),IF(C22="peso_corporal",IF(ISNUMBER(E22),E22,0)+L22,L22)*M22*1000+L22,0),IF((P22&gt;0)*(IF(Q22="",-1,Q22)&gt;=1)*(IF(Q22="",-1,Q22)&lt;=3),IF(C22="peso_corporal",IF(ISNUMBER(E22),E22,0)+O22,O22)*P22*1000+O22,0),IF((S22&gt;0)*(IF(T22="",-1,T22)&gt;=1)*(IF(T22="",-1,T22)&lt;=3),IF(C22="peso_corporal",IF(ISNUMBER(E22),E22,0)+R22,R22)*S22*1000+R22,0))</f>
        <v>0</v>
      </c>
      <c r="X22" s="69">
        <f>IF(W22=0,0,IF(IF((S22&gt;0)*(IF(T22="",-1,T22)&gt;=1)*(IF(T22="",-1,T22)&lt;=3),IF(C22="peso_corporal",IF(ISNUMBER(E22),E22,0)+R22,R22)*S22*1000+R22,0)=W22,5,IF(IF((P22&gt;0)*(IF(Q22="",-1,Q22)&gt;=1)*(IF(Q22="",-1,Q22)&lt;=3),IF(C22="peso_corporal",IF(ISNUMBER(E22),E22,0)+O22,O22)*P22*1000+O22,0)=W22,4,IF(IF((M22&gt;0)*(IF(N22="",-1,N22)&gt;=1)*(IF(N22="",-1,N22)&lt;=3),IF(C22="peso_corporal",IF(ISNUMBER(E22),E22,0)+L22,L22)*M22*1000+L22,0)=W22,3,IF(IF((J22&gt;0)*(IF(K22="",-1,K22)&gt;=1)*(IF(K22="",-1,K22)&lt;=3),IF(C22="peso_corporal",IF(ISNUMBER(E22),E22,0)+I22,I22)*J22*1000+I22,0)=W22,2,IF(IF((G22&gt;0)*(IF(H22="",-1,H22)&gt;=1)*(IF(H22="",-1,H22)&lt;=3),IF(C22="peso_corporal",IF(ISNUMBER(E22),E22,0)+F22,F22)*G22*1000+F22,0)=W22,1,0))))))</f>
        <v>0</v>
      </c>
      <c r="Y22" s="69">
        <f>MAX(IF((G22&gt;0)*(IF(H22="",-1,H22)=0)*(1-(IF(H22="",-1,H22)&gt;=1)*(IF(H22="",-1,H22)&lt;=3)),IF(C22="peso_corporal",IF(ISNUMBER(E22),E22,0)+F22,F22)*G22*1000+F22,0),IF((J22&gt;0)*(IF(K22="",-1,K22)=0)*(1-(IF(K22="",-1,K22)&gt;=1)*(IF(K22="",-1,K22)&lt;=3)),IF(C22="peso_corporal",IF(ISNUMBER(E22),E22,0)+I22,I22)*J22*1000+I22,0),IF((M22&gt;0)*(IF(N22="",-1,N22)=0)*(1-(IF(N22="",-1,N22)&gt;=1)*(IF(N22="",-1,N22)&lt;=3)),IF(C22="peso_corporal",IF(ISNUMBER(E22),E22,0)+L22,L22)*M22*1000+L22,0),IF((P22&gt;0)*(IF(Q22="",-1,Q22)=0)*(1-(IF(Q22="",-1,Q22)&gt;=1)*(IF(Q22="",-1,Q22)&lt;=3)),IF(C22="peso_corporal",IF(ISNUMBER(E22),E22,0)+O22,O22)*P22*1000+O22,0),IF((S22&gt;0)*(IF(T22="",-1,T22)=0)*(1-(IF(T22="",-1,T22)&gt;=1)*(IF(T22="",-1,T22)&lt;=3)),IF(C22="peso_corporal",IF(ISNUMBER(E22),E22,0)+R22,R22)*S22*1000+R22,0))</f>
        <v>0</v>
      </c>
      <c r="Z22" s="69">
        <f>IF(Y22=0,0,IF(IF((S22&gt;0)*(IF(T22="",-1,T22)=0)*(1-(IF(T22="",-1,T22)&gt;=1)*(IF(T22="",-1,T22)&lt;=3)),IF(C22="peso_corporal",IF(ISNUMBER(E22),E22,0)+R22,R22)*S22*1000+R22,0)=Y22,5,IF(IF((P22&gt;0)*(IF(Q22="",-1,Q22)=0)*(1-(IF(Q22="",-1,Q22)&gt;=1)*(IF(Q22="",-1,Q22)&lt;=3)),IF(C22="peso_corporal",IF(ISNUMBER(E22),E22,0)+O22,O22)*P22*1000+O22,0)=Y22,4,IF(IF((M22&gt;0)*(IF(N22="",-1,N22)=0)*(1-(IF(N22="",-1,N22)&gt;=1)*(IF(N22="",-1,N22)&lt;=3)),IF(C22="peso_corporal",IF(ISNUMBER(E22),E22,0)+L22,L22)*M22*1000+L22,0)=Y22,3,IF(IF((J22&gt;0)*(IF(K22="",-1,K22)=0)*(1-(IF(K22="",-1,K22)&gt;=1)*(IF(K22="",-1,K22)&lt;=3)),IF(C22="peso_corporal",IF(ISNUMBER(E22),E22,0)+I22,I22)*J22*1000+I22,0)=Y22,2,IF(IF((G22&gt;0)*(IF(H22="",-1,H22)=0)*(1-(IF(H22="",-1,H22)&gt;=1)*(IF(H22="",-1,H22)&lt;=3)),IF(C22="peso_corporal",IF(ISNUMBER(E22),E22,0)+F22,F22)*G22*1000+F22,0)=Y22,1,0))))))</f>
        <v>0</v>
      </c>
      <c r="AA22" s="69">
        <f>MAX(IF((G22&gt;=6)*(1-(IF(H22="",-1,H22)&gt;=1)*(IF(H22="",-1,H22)&lt;=3))*(1-(IF(H22="",-1,H22)=0)),IF(C22="peso_corporal",IF(ISNUMBER(E22),E22,0)+F22,F22)*(30+G22)*100+F22,0),IF((J22&gt;=6)*(1-(IF(K22="",-1,K22)&gt;=1)*(IF(K22="",-1,K22)&lt;=3))*(1-(IF(K22="",-1,K22)=0)),IF(C22="peso_corporal",IF(ISNUMBER(E22),E22,0)+I22,I22)*(30+J22)*100+I22,0),IF((M22&gt;=6)*(1-(IF(N22="",-1,N22)&gt;=1)*(IF(N22="",-1,N22)&lt;=3))*(1-(IF(N22="",-1,N22)=0)),IF(C22="peso_corporal",IF(ISNUMBER(E22),E22,0)+L22,L22)*(30+M22)*100+L22,0),IF((P22&gt;=6)*(1-(IF(Q22="",-1,Q22)&gt;=1)*(IF(Q22="",-1,Q22)&lt;=3))*(1-(IF(Q22="",-1,Q22)=0)),IF(C22="peso_corporal",IF(ISNUMBER(E22),E22,0)+O22,O22)*(30+P22)*100+O22,0),IF((S22&gt;=6)*(1-(IF(T22="",-1,T22)&gt;=1)*(IF(T22="",-1,T22)&lt;=3))*(1-(IF(T22="",-1,T22)=0)),IF(C22="peso_corporal",IF(ISNUMBER(E22),E22,0)+R22,R22)*(30+S22)*100+R22,0))</f>
        <v>0</v>
      </c>
      <c r="AB22" s="69">
        <f>IF(AA22=0,0,IF(IF((S22&gt;=6)*(1-(IF(T22="",-1,T22)&gt;=1)*(IF(T22="",-1,T22)&lt;=3))*(1-(IF(T22="",-1,T22)=0)),IF(C22="peso_corporal",IF(ISNUMBER(E22),E22,0)+R22,R22)*(30+S22)*100+R22,0)=AA22,5,IF(IF((P22&gt;=6)*(1-(IF(Q22="",-1,Q22)&gt;=1)*(IF(Q22="",-1,Q22)&lt;=3))*(1-(IF(Q22="",-1,Q22)=0)),IF(C22="peso_corporal",IF(ISNUMBER(E22),E22,0)+O22,O22)*(30+P22)*100+O22,0)=AA22,4,IF(IF((M22&gt;=6)*(1-(IF(N22="",-1,N22)&gt;=1)*(IF(N22="",-1,N22)&lt;=3))*(1-(IF(N22="",-1,N22)=0)),IF(C22="peso_corporal",IF(ISNUMBER(E22),E22,0)+L22,L22)*(30+M22)*100+L22,0)=AA22,3,IF(IF((J22&gt;=6)*(1-(IF(K22="",-1,K22)&gt;=1)*(IF(K22="",-1,K22)&lt;=3))*(1-(IF(K22="",-1,K22)=0)),IF(C22="peso_corporal",IF(ISNUMBER(E22),E22,0)+I22,I22)*(30+J22)*100+I22,0)=AA22,2,IF(IF((G22&gt;=6)*(1-(IF(H22="",-1,H22)&gt;=1)*(IF(H22="",-1,H22)&lt;=3))*(1-(IF(H22="",-1,H22)=0)),IF(C22="peso_corporal",IF(ISNUMBER(E22),E22,0)+F22,F22)*(30+G22)*100+F22,0)=AA22,1,0))))))</f>
        <v>0</v>
      </c>
      <c r="AC22" s="69" t="str">
        <f>IF(X22&gt;0,"A"&amp;X22,IF(Z22&gt;0,"B"&amp;Z22,IF(AB22&gt;0,"C"&amp;AB22,"")))</f>
        <v/>
      </c>
    </row>
    <row r="23" spans="1:29" ht="15" customHeight="1">
      <c r="A23" s="90" t="s">
        <v>142</v>
      </c>
      <c r="B23" s="73"/>
      <c r="C23" s="73"/>
      <c r="D23" s="73"/>
      <c r="E23" s="73"/>
      <c r="F23" s="73"/>
      <c r="G23" s="73"/>
      <c r="H23" s="73"/>
      <c r="I23" s="73"/>
      <c r="J23" s="73"/>
      <c r="K23" s="73"/>
      <c r="L23" s="73"/>
      <c r="M23" s="73"/>
      <c r="N23" s="73"/>
      <c r="O23" s="73"/>
      <c r="P23" s="73"/>
      <c r="Q23" s="73"/>
      <c r="R23" s="73"/>
      <c r="S23" s="73"/>
      <c r="T23" s="73"/>
      <c r="U23" s="73"/>
      <c r="V23" s="73"/>
      <c r="W23" s="69"/>
      <c r="X23" s="69"/>
      <c r="Y23" s="69"/>
      <c r="Z23" s="69"/>
      <c r="AA23" s="69"/>
      <c r="AB23" s="69"/>
      <c r="AC23" s="69"/>
    </row>
    <row r="24" spans="1:29" ht="20.100000000000001" customHeight="1">
      <c r="A24" s="14" t="s">
        <v>24</v>
      </c>
      <c r="B24" s="15" t="s">
        <v>143</v>
      </c>
      <c r="C24" s="16" t="str">
        <f>IFERROR(INDEX(EJERCICIOS!$D$3:$D$75,MATCH(A24&amp;"|"&amp;B24,EJERCICIOS!$G$3:$G$75,0)),"--")</f>
        <v>peso_corporal</v>
      </c>
      <c r="D24" s="17">
        <v>3</v>
      </c>
      <c r="E24" s="18">
        <f>IFERROR(LOOKUP(2,1/(MEDIDAS_Y_PESO!$B$3:$B$3&lt;&gt;""),MEDIDAS_Y_PESO!$B$3:$B$3),"--")</f>
        <v>80</v>
      </c>
      <c r="F24" s="19"/>
      <c r="G24" s="20"/>
      <c r="H24" s="21"/>
      <c r="I24" s="19"/>
      <c r="J24" s="20"/>
      <c r="K24" s="21"/>
      <c r="L24" s="19"/>
      <c r="M24" s="20"/>
      <c r="N24" s="21"/>
      <c r="O24" s="19"/>
      <c r="P24" s="20"/>
      <c r="Q24" s="21"/>
      <c r="R24" s="19"/>
      <c r="S24" s="20"/>
      <c r="T24" s="21"/>
      <c r="U24" s="22" t="str">
        <f>IFERROR(IF(IF(X24&gt;0,X24,IF(Z24&gt;0,Z24,IF(AB24&gt;0,AB24,0)))=0,"--",ROUND(CHOOSE(IF(X24&gt;0,X24,IF(Z24&gt;0,Z24,IF(AB24&gt;0,AB24,0))),IF(C24="peso_corporal",IF(ISNUMBER(E24),E24,0)+F24,F24)*(1+G24/30),IF(C24="peso_corporal",IF(ISNUMBER(E24),E24,0)+I24,I24)*(1+J24/30),IF(C24="peso_corporal",IF(ISNUMBER(E24),E24,0)+L24,L24)*(1+M24/30),IF(C24="peso_corporal",IF(ISNUMBER(E24),E24,0)+O24,O24)*(1+P24/30),IF(C24="peso_corporal",IF(ISNUMBER(E24),E24,0)+R24,R24)*(1+S24/30)),1)),"--")</f>
        <v>--</v>
      </c>
      <c r="V24" s="23" t="str">
        <f>IF(SUGERENCIAS!N35="SIN","Sin datos anteriores",IF(SUGERENCIAS!N35="SUBIR_F","^ SUBIR FUERTE | Kg:"&amp;ROUND(SUGERENCIAS!K35,1)&amp;" R:"&amp;ROUND(SUGERENCIAS!L35,0)&amp;" RIR:"&amp;ROUND(SUGERENCIAS!M35,0),IF(SUGERENCIAS!N35="SUBIR_E","^ SUBIR (Est.) | Kg:"&amp;ROUND(SUGERENCIAS!K35,1)&amp;" R:"&amp;ROUND(SUGERENCIAS!L35,0)&amp;" RIR:"&amp;ROUND(SUGERENCIAS!M35,0),IF(SUGERENCIAS!N35="SUBIR","^ SUBIR | Kg:"&amp;ROUND(SUGERENCIAS!K35,1)&amp;" R:"&amp;ROUND(SUGERENCIAS!L35,0)&amp;" RIR:"&amp;ROUND(SUGERENCIAS!M35,0),IF(SUGERENCIAS!N35="BAJAR","v BAJAR | Kg:"&amp;ROUND(SUGERENCIAS!K35,1)&amp;" R:"&amp;ROUND(SUGERENCIAS!L35,0)&amp;" RIR:"&amp;ROUND(SUGERENCIAS!M35,0),"= MANT | Kg:"&amp;ROUND(SUGERENCIAS!K35,1)&amp;" R:"&amp;ROUND(SUGERENCIAS!L35,0)&amp;" RIR:"&amp;ROUND(SUGERENCIAS!M35,0))))))</f>
        <v>Sin datos anteriores</v>
      </c>
      <c r="W24" s="69">
        <f>MAX(IF((G24&gt;0)*(IF(H24="",-1,H24)&gt;=1)*(IF(H24="",-1,H24)&lt;=3),IF(C24="peso_corporal",IF(ISNUMBER(E24),E24,0)+F24,F24)*G24*1000+F24,0),IF((J24&gt;0)*(IF(K24="",-1,K24)&gt;=1)*(IF(K24="",-1,K24)&lt;=3),IF(C24="peso_corporal",IF(ISNUMBER(E24),E24,0)+I24,I24)*J24*1000+I24,0),IF((M24&gt;0)*(IF(N24="",-1,N24)&gt;=1)*(IF(N24="",-1,N24)&lt;=3),IF(C24="peso_corporal",IF(ISNUMBER(E24),E24,0)+L24,L24)*M24*1000+L24,0),IF((P24&gt;0)*(IF(Q24="",-1,Q24)&gt;=1)*(IF(Q24="",-1,Q24)&lt;=3),IF(C24="peso_corporal",IF(ISNUMBER(E24),E24,0)+O24,O24)*P24*1000+O24,0),IF((S24&gt;0)*(IF(T24="",-1,T24)&gt;=1)*(IF(T24="",-1,T24)&lt;=3),IF(C24="peso_corporal",IF(ISNUMBER(E24),E24,0)+R24,R24)*S24*1000+R24,0))</f>
        <v>0</v>
      </c>
      <c r="X24" s="69">
        <f>IF(W24=0,0,IF(IF((S24&gt;0)*(IF(T24="",-1,T24)&gt;=1)*(IF(T24="",-1,T24)&lt;=3),IF(C24="peso_corporal",IF(ISNUMBER(E24),E24,0)+R24,R24)*S24*1000+R24,0)=W24,5,IF(IF((P24&gt;0)*(IF(Q24="",-1,Q24)&gt;=1)*(IF(Q24="",-1,Q24)&lt;=3),IF(C24="peso_corporal",IF(ISNUMBER(E24),E24,0)+O24,O24)*P24*1000+O24,0)=W24,4,IF(IF((M24&gt;0)*(IF(N24="",-1,N24)&gt;=1)*(IF(N24="",-1,N24)&lt;=3),IF(C24="peso_corporal",IF(ISNUMBER(E24),E24,0)+L24,L24)*M24*1000+L24,0)=W24,3,IF(IF((J24&gt;0)*(IF(K24="",-1,K24)&gt;=1)*(IF(K24="",-1,K24)&lt;=3),IF(C24="peso_corporal",IF(ISNUMBER(E24),E24,0)+I24,I24)*J24*1000+I24,0)=W24,2,IF(IF((G24&gt;0)*(IF(H24="",-1,H24)&gt;=1)*(IF(H24="",-1,H24)&lt;=3),IF(C24="peso_corporal",IF(ISNUMBER(E24),E24,0)+F24,F24)*G24*1000+F24,0)=W24,1,0))))))</f>
        <v>0</v>
      </c>
      <c r="Y24" s="69">
        <f>MAX(IF((G24&gt;0)*(IF(H24="",-1,H24)=0)*(1-(IF(H24="",-1,H24)&gt;=1)*(IF(H24="",-1,H24)&lt;=3)),IF(C24="peso_corporal",IF(ISNUMBER(E24),E24,0)+F24,F24)*G24*1000+F24,0),IF((J24&gt;0)*(IF(K24="",-1,K24)=0)*(1-(IF(K24="",-1,K24)&gt;=1)*(IF(K24="",-1,K24)&lt;=3)),IF(C24="peso_corporal",IF(ISNUMBER(E24),E24,0)+I24,I24)*J24*1000+I24,0),IF((M24&gt;0)*(IF(N24="",-1,N24)=0)*(1-(IF(N24="",-1,N24)&gt;=1)*(IF(N24="",-1,N24)&lt;=3)),IF(C24="peso_corporal",IF(ISNUMBER(E24),E24,0)+L24,L24)*M24*1000+L24,0),IF((P24&gt;0)*(IF(Q24="",-1,Q24)=0)*(1-(IF(Q24="",-1,Q24)&gt;=1)*(IF(Q24="",-1,Q24)&lt;=3)),IF(C24="peso_corporal",IF(ISNUMBER(E24),E24,0)+O24,O24)*P24*1000+O24,0),IF((S24&gt;0)*(IF(T24="",-1,T24)=0)*(1-(IF(T24="",-1,T24)&gt;=1)*(IF(T24="",-1,T24)&lt;=3)),IF(C24="peso_corporal",IF(ISNUMBER(E24),E24,0)+R24,R24)*S24*1000+R24,0))</f>
        <v>0</v>
      </c>
      <c r="Z24" s="69">
        <f>IF(Y24=0,0,IF(IF((S24&gt;0)*(IF(T24="",-1,T24)=0)*(1-(IF(T24="",-1,T24)&gt;=1)*(IF(T24="",-1,T24)&lt;=3)),IF(C24="peso_corporal",IF(ISNUMBER(E24),E24,0)+R24,R24)*S24*1000+R24,0)=Y24,5,IF(IF((P24&gt;0)*(IF(Q24="",-1,Q24)=0)*(1-(IF(Q24="",-1,Q24)&gt;=1)*(IF(Q24="",-1,Q24)&lt;=3)),IF(C24="peso_corporal",IF(ISNUMBER(E24),E24,0)+O24,O24)*P24*1000+O24,0)=Y24,4,IF(IF((M24&gt;0)*(IF(N24="",-1,N24)=0)*(1-(IF(N24="",-1,N24)&gt;=1)*(IF(N24="",-1,N24)&lt;=3)),IF(C24="peso_corporal",IF(ISNUMBER(E24),E24,0)+L24,L24)*M24*1000+L24,0)=Y24,3,IF(IF((J24&gt;0)*(IF(K24="",-1,K24)=0)*(1-(IF(K24="",-1,K24)&gt;=1)*(IF(K24="",-1,K24)&lt;=3)),IF(C24="peso_corporal",IF(ISNUMBER(E24),E24,0)+I24,I24)*J24*1000+I24,0)=Y24,2,IF(IF((G24&gt;0)*(IF(H24="",-1,H24)=0)*(1-(IF(H24="",-1,H24)&gt;=1)*(IF(H24="",-1,H24)&lt;=3)),IF(C24="peso_corporal",IF(ISNUMBER(E24),E24,0)+F24,F24)*G24*1000+F24,0)=Y24,1,0))))))</f>
        <v>0</v>
      </c>
      <c r="AA24" s="69">
        <f>MAX(IF((G24&gt;=6)*(1-(IF(H24="",-1,H24)&gt;=1)*(IF(H24="",-1,H24)&lt;=3))*(1-(IF(H24="",-1,H24)=0)),IF(C24="peso_corporal",IF(ISNUMBER(E24),E24,0)+F24,F24)*(30+G24)*100+F24,0),IF((J24&gt;=6)*(1-(IF(K24="",-1,K24)&gt;=1)*(IF(K24="",-1,K24)&lt;=3))*(1-(IF(K24="",-1,K24)=0)),IF(C24="peso_corporal",IF(ISNUMBER(E24),E24,0)+I24,I24)*(30+J24)*100+I24,0),IF((M24&gt;=6)*(1-(IF(N24="",-1,N24)&gt;=1)*(IF(N24="",-1,N24)&lt;=3))*(1-(IF(N24="",-1,N24)=0)),IF(C24="peso_corporal",IF(ISNUMBER(E24),E24,0)+L24,L24)*(30+M24)*100+L24,0),IF((P24&gt;=6)*(1-(IF(Q24="",-1,Q24)&gt;=1)*(IF(Q24="",-1,Q24)&lt;=3))*(1-(IF(Q24="",-1,Q24)=0)),IF(C24="peso_corporal",IF(ISNUMBER(E24),E24,0)+O24,O24)*(30+P24)*100+O24,0),IF((S24&gt;=6)*(1-(IF(T24="",-1,T24)&gt;=1)*(IF(T24="",-1,T24)&lt;=3))*(1-(IF(T24="",-1,T24)=0)),IF(C24="peso_corporal",IF(ISNUMBER(E24),E24,0)+R24,R24)*(30+S24)*100+R24,0))</f>
        <v>0</v>
      </c>
      <c r="AB24" s="69">
        <f>IF(AA24=0,0,IF(IF((S24&gt;=6)*(1-(IF(T24="",-1,T24)&gt;=1)*(IF(T24="",-1,T24)&lt;=3))*(1-(IF(T24="",-1,T24)=0)),IF(C24="peso_corporal",IF(ISNUMBER(E24),E24,0)+R24,R24)*(30+S24)*100+R24,0)=AA24,5,IF(IF((P24&gt;=6)*(1-(IF(Q24="",-1,Q24)&gt;=1)*(IF(Q24="",-1,Q24)&lt;=3))*(1-(IF(Q24="",-1,Q24)=0)),IF(C24="peso_corporal",IF(ISNUMBER(E24),E24,0)+O24,O24)*(30+P24)*100+O24,0)=AA24,4,IF(IF((M24&gt;=6)*(1-(IF(N24="",-1,N24)&gt;=1)*(IF(N24="",-1,N24)&lt;=3))*(1-(IF(N24="",-1,N24)=0)),IF(C24="peso_corporal",IF(ISNUMBER(E24),E24,0)+L24,L24)*(30+M24)*100+L24,0)=AA24,3,IF(IF((J24&gt;=6)*(1-(IF(K24="",-1,K24)&gt;=1)*(IF(K24="",-1,K24)&lt;=3))*(1-(IF(K24="",-1,K24)=0)),IF(C24="peso_corporal",IF(ISNUMBER(E24),E24,0)+I24,I24)*(30+J24)*100+I24,0)=AA24,2,IF(IF((G24&gt;=6)*(1-(IF(H24="",-1,H24)&gt;=1)*(IF(H24="",-1,H24)&lt;=3))*(1-(IF(H24="",-1,H24)=0)),IF(C24="peso_corporal",IF(ISNUMBER(E24),E24,0)+F24,F24)*(30+G24)*100+F24,0)=AA24,1,0))))))</f>
        <v>0</v>
      </c>
      <c r="AC24" s="69" t="str">
        <f>IF(X24&gt;0,"A"&amp;X24,IF(Z24&gt;0,"B"&amp;Z24,IF(AB24&gt;0,"C"&amp;AB24,"")))</f>
        <v/>
      </c>
    </row>
    <row r="25" spans="1:29" ht="20.100000000000001" customHeight="1">
      <c r="A25" s="14" t="s">
        <v>144</v>
      </c>
      <c r="B25" s="15" t="s">
        <v>60</v>
      </c>
      <c r="C25" s="16" t="str">
        <f>IFERROR(INDEX(EJERCICIOS!$D$3:$D$75,MATCH(A25&amp;"|"&amp;B25,EJERCICIOS!$G$3:$G$75,0)),"--")</f>
        <v>disco</v>
      </c>
      <c r="D25" s="17">
        <v>3</v>
      </c>
      <c r="E25" s="18">
        <f>IFERROR(LOOKUP(2,1/(MEDIDAS_Y_PESO!$B$3:$B$3&lt;&gt;""),MEDIDAS_Y_PESO!$B$3:$B$3),"--")</f>
        <v>80</v>
      </c>
      <c r="F25" s="19"/>
      <c r="G25" s="20"/>
      <c r="H25" s="21"/>
      <c r="I25" s="19"/>
      <c r="J25" s="20"/>
      <c r="K25" s="21"/>
      <c r="L25" s="19"/>
      <c r="M25" s="20"/>
      <c r="N25" s="21"/>
      <c r="O25" s="19"/>
      <c r="P25" s="20"/>
      <c r="Q25" s="21"/>
      <c r="R25" s="19"/>
      <c r="S25" s="20"/>
      <c r="T25" s="21"/>
      <c r="U25" s="22" t="str">
        <f>IFERROR(IF(IF(X25&gt;0,X25,IF(Z25&gt;0,Z25,IF(AB25&gt;0,AB25,0)))=0,"--",ROUND(CHOOSE(IF(X25&gt;0,X25,IF(Z25&gt;0,Z25,IF(AB25&gt;0,AB25,0))),IF(C25="peso_corporal",IF(ISNUMBER(E25),E25,0)+F25,F25)*(1+G25/30),IF(C25="peso_corporal",IF(ISNUMBER(E25),E25,0)+I25,I25)*(1+J25/30),IF(C25="peso_corporal",IF(ISNUMBER(E25),E25,0)+L25,L25)*(1+M25/30),IF(C25="peso_corporal",IF(ISNUMBER(E25),E25,0)+O25,O25)*(1+P25/30),IF(C25="peso_corporal",IF(ISNUMBER(E25),E25,0)+R25,R25)*(1+S25/30)),1)),"--")</f>
        <v>--</v>
      </c>
      <c r="V25" s="23" t="str">
        <f>IF(SUGERENCIAS!N36="SIN","Sin datos anteriores",IF(SUGERENCIAS!N36="SUBIR_F","^ SUBIR FUERTE | Kg:"&amp;ROUND(SUGERENCIAS!K36,1)&amp;" R:"&amp;ROUND(SUGERENCIAS!L36,0)&amp;" RIR:"&amp;ROUND(SUGERENCIAS!M36,0),IF(SUGERENCIAS!N36="SUBIR_E","^ SUBIR (Est.) | Kg:"&amp;ROUND(SUGERENCIAS!K36,1)&amp;" R:"&amp;ROUND(SUGERENCIAS!L36,0)&amp;" RIR:"&amp;ROUND(SUGERENCIAS!M36,0),IF(SUGERENCIAS!N36="SUBIR","^ SUBIR | Kg:"&amp;ROUND(SUGERENCIAS!K36,1)&amp;" R:"&amp;ROUND(SUGERENCIAS!L36,0)&amp;" RIR:"&amp;ROUND(SUGERENCIAS!M36,0),IF(SUGERENCIAS!N36="BAJAR","v BAJAR | Kg:"&amp;ROUND(SUGERENCIAS!K36,1)&amp;" R:"&amp;ROUND(SUGERENCIAS!L36,0)&amp;" RIR:"&amp;ROUND(SUGERENCIAS!M36,0),"= MANT | Kg:"&amp;ROUND(SUGERENCIAS!K36,1)&amp;" R:"&amp;ROUND(SUGERENCIAS!L36,0)&amp;" RIR:"&amp;ROUND(SUGERENCIAS!M36,0))))))</f>
        <v>Sin datos anteriores</v>
      </c>
      <c r="W25" s="69">
        <f>MAX(IF((G25&gt;0)*(IF(H25="",-1,H25)&gt;=1)*(IF(H25="",-1,H25)&lt;=3),IF(C25="peso_corporal",IF(ISNUMBER(E25),E25,0)+F25,F25)*G25*1000+F25,0),IF((J25&gt;0)*(IF(K25="",-1,K25)&gt;=1)*(IF(K25="",-1,K25)&lt;=3),IF(C25="peso_corporal",IF(ISNUMBER(E25),E25,0)+I25,I25)*J25*1000+I25,0),IF((M25&gt;0)*(IF(N25="",-1,N25)&gt;=1)*(IF(N25="",-1,N25)&lt;=3),IF(C25="peso_corporal",IF(ISNUMBER(E25),E25,0)+L25,L25)*M25*1000+L25,0),IF((P25&gt;0)*(IF(Q25="",-1,Q25)&gt;=1)*(IF(Q25="",-1,Q25)&lt;=3),IF(C25="peso_corporal",IF(ISNUMBER(E25),E25,0)+O25,O25)*P25*1000+O25,0),IF((S25&gt;0)*(IF(T25="",-1,T25)&gt;=1)*(IF(T25="",-1,T25)&lt;=3),IF(C25="peso_corporal",IF(ISNUMBER(E25),E25,0)+R25,R25)*S25*1000+R25,0))</f>
        <v>0</v>
      </c>
      <c r="X25" s="69">
        <f>IF(W25=0,0,IF(IF((S25&gt;0)*(IF(T25="",-1,T25)&gt;=1)*(IF(T25="",-1,T25)&lt;=3),IF(C25="peso_corporal",IF(ISNUMBER(E25),E25,0)+R25,R25)*S25*1000+R25,0)=W25,5,IF(IF((P25&gt;0)*(IF(Q25="",-1,Q25)&gt;=1)*(IF(Q25="",-1,Q25)&lt;=3),IF(C25="peso_corporal",IF(ISNUMBER(E25),E25,0)+O25,O25)*P25*1000+O25,0)=W25,4,IF(IF((M25&gt;0)*(IF(N25="",-1,N25)&gt;=1)*(IF(N25="",-1,N25)&lt;=3),IF(C25="peso_corporal",IF(ISNUMBER(E25),E25,0)+L25,L25)*M25*1000+L25,0)=W25,3,IF(IF((J25&gt;0)*(IF(K25="",-1,K25)&gt;=1)*(IF(K25="",-1,K25)&lt;=3),IF(C25="peso_corporal",IF(ISNUMBER(E25),E25,0)+I25,I25)*J25*1000+I25,0)=W25,2,IF(IF((G25&gt;0)*(IF(H25="",-1,H25)&gt;=1)*(IF(H25="",-1,H25)&lt;=3),IF(C25="peso_corporal",IF(ISNUMBER(E25),E25,0)+F25,F25)*G25*1000+F25,0)=W25,1,0))))))</f>
        <v>0</v>
      </c>
      <c r="Y25" s="69">
        <f>MAX(IF((G25&gt;0)*(IF(H25="",-1,H25)=0)*(1-(IF(H25="",-1,H25)&gt;=1)*(IF(H25="",-1,H25)&lt;=3)),IF(C25="peso_corporal",IF(ISNUMBER(E25),E25,0)+F25,F25)*G25*1000+F25,0),IF((J25&gt;0)*(IF(K25="",-1,K25)=0)*(1-(IF(K25="",-1,K25)&gt;=1)*(IF(K25="",-1,K25)&lt;=3)),IF(C25="peso_corporal",IF(ISNUMBER(E25),E25,0)+I25,I25)*J25*1000+I25,0),IF((M25&gt;0)*(IF(N25="",-1,N25)=0)*(1-(IF(N25="",-1,N25)&gt;=1)*(IF(N25="",-1,N25)&lt;=3)),IF(C25="peso_corporal",IF(ISNUMBER(E25),E25,0)+L25,L25)*M25*1000+L25,0),IF((P25&gt;0)*(IF(Q25="",-1,Q25)=0)*(1-(IF(Q25="",-1,Q25)&gt;=1)*(IF(Q25="",-1,Q25)&lt;=3)),IF(C25="peso_corporal",IF(ISNUMBER(E25),E25,0)+O25,O25)*P25*1000+O25,0),IF((S25&gt;0)*(IF(T25="",-1,T25)=0)*(1-(IF(T25="",-1,T25)&gt;=1)*(IF(T25="",-1,T25)&lt;=3)),IF(C25="peso_corporal",IF(ISNUMBER(E25),E25,0)+R25,R25)*S25*1000+R25,0))</f>
        <v>0</v>
      </c>
      <c r="Z25" s="69">
        <f>IF(Y25=0,0,IF(IF((S25&gt;0)*(IF(T25="",-1,T25)=0)*(1-(IF(T25="",-1,T25)&gt;=1)*(IF(T25="",-1,T25)&lt;=3)),IF(C25="peso_corporal",IF(ISNUMBER(E25),E25,0)+R25,R25)*S25*1000+R25,0)=Y25,5,IF(IF((P25&gt;0)*(IF(Q25="",-1,Q25)=0)*(1-(IF(Q25="",-1,Q25)&gt;=1)*(IF(Q25="",-1,Q25)&lt;=3)),IF(C25="peso_corporal",IF(ISNUMBER(E25),E25,0)+O25,O25)*P25*1000+O25,0)=Y25,4,IF(IF((M25&gt;0)*(IF(N25="",-1,N25)=0)*(1-(IF(N25="",-1,N25)&gt;=1)*(IF(N25="",-1,N25)&lt;=3)),IF(C25="peso_corporal",IF(ISNUMBER(E25),E25,0)+L25,L25)*M25*1000+L25,0)=Y25,3,IF(IF((J25&gt;0)*(IF(K25="",-1,K25)=0)*(1-(IF(K25="",-1,K25)&gt;=1)*(IF(K25="",-1,K25)&lt;=3)),IF(C25="peso_corporal",IF(ISNUMBER(E25),E25,0)+I25,I25)*J25*1000+I25,0)=Y25,2,IF(IF((G25&gt;0)*(IF(H25="",-1,H25)=0)*(1-(IF(H25="",-1,H25)&gt;=1)*(IF(H25="",-1,H25)&lt;=3)),IF(C25="peso_corporal",IF(ISNUMBER(E25),E25,0)+F25,F25)*G25*1000+F25,0)=Y25,1,0))))))</f>
        <v>0</v>
      </c>
      <c r="AA25" s="69">
        <f>MAX(IF((G25&gt;=6)*(1-(IF(H25="",-1,H25)&gt;=1)*(IF(H25="",-1,H25)&lt;=3))*(1-(IF(H25="",-1,H25)=0)),IF(C25="peso_corporal",IF(ISNUMBER(E25),E25,0)+F25,F25)*(30+G25)*100+F25,0),IF((J25&gt;=6)*(1-(IF(K25="",-1,K25)&gt;=1)*(IF(K25="",-1,K25)&lt;=3))*(1-(IF(K25="",-1,K25)=0)),IF(C25="peso_corporal",IF(ISNUMBER(E25),E25,0)+I25,I25)*(30+J25)*100+I25,0),IF((M25&gt;=6)*(1-(IF(N25="",-1,N25)&gt;=1)*(IF(N25="",-1,N25)&lt;=3))*(1-(IF(N25="",-1,N25)=0)),IF(C25="peso_corporal",IF(ISNUMBER(E25),E25,0)+L25,L25)*(30+M25)*100+L25,0),IF((P25&gt;=6)*(1-(IF(Q25="",-1,Q25)&gt;=1)*(IF(Q25="",-1,Q25)&lt;=3))*(1-(IF(Q25="",-1,Q25)=0)),IF(C25="peso_corporal",IF(ISNUMBER(E25),E25,0)+O25,O25)*(30+P25)*100+O25,0),IF((S25&gt;=6)*(1-(IF(T25="",-1,T25)&gt;=1)*(IF(T25="",-1,T25)&lt;=3))*(1-(IF(T25="",-1,T25)=0)),IF(C25="peso_corporal",IF(ISNUMBER(E25),E25,0)+R25,R25)*(30+S25)*100+R25,0))</f>
        <v>0</v>
      </c>
      <c r="AB25" s="69">
        <f>IF(AA25=0,0,IF(IF((S25&gt;=6)*(1-(IF(T25="",-1,T25)&gt;=1)*(IF(T25="",-1,T25)&lt;=3))*(1-(IF(T25="",-1,T25)=0)),IF(C25="peso_corporal",IF(ISNUMBER(E25),E25,0)+R25,R25)*(30+S25)*100+R25,0)=AA25,5,IF(IF((P25&gt;=6)*(1-(IF(Q25="",-1,Q25)&gt;=1)*(IF(Q25="",-1,Q25)&lt;=3))*(1-(IF(Q25="",-1,Q25)=0)),IF(C25="peso_corporal",IF(ISNUMBER(E25),E25,0)+O25,O25)*(30+P25)*100+O25,0)=AA25,4,IF(IF((M25&gt;=6)*(1-(IF(N25="",-1,N25)&gt;=1)*(IF(N25="",-1,N25)&lt;=3))*(1-(IF(N25="",-1,N25)=0)),IF(C25="peso_corporal",IF(ISNUMBER(E25),E25,0)+L25,L25)*(30+M25)*100+L25,0)=AA25,3,IF(IF((J25&gt;=6)*(1-(IF(K25="",-1,K25)&gt;=1)*(IF(K25="",-1,K25)&lt;=3))*(1-(IF(K25="",-1,K25)=0)),IF(C25="peso_corporal",IF(ISNUMBER(E25),E25,0)+I25,I25)*(30+J25)*100+I25,0)=AA25,2,IF(IF((G25&gt;=6)*(1-(IF(H25="",-1,H25)&gt;=1)*(IF(H25="",-1,H25)&lt;=3))*(1-(IF(H25="",-1,H25)=0)),IF(C25="peso_corporal",IF(ISNUMBER(E25),E25,0)+F25,F25)*(30+G25)*100+F25,0)=AA25,1,0))))))</f>
        <v>0</v>
      </c>
      <c r="AC25" s="69" t="str">
        <f>IF(X25&gt;0,"A"&amp;X25,IF(Z25&gt;0,"B"&amp;Z25,IF(AB25&gt;0,"C"&amp;AB25,"")))</f>
        <v/>
      </c>
    </row>
    <row r="26" spans="1:29" ht="15" customHeight="1">
      <c r="A26" s="91" t="s">
        <v>145</v>
      </c>
      <c r="B26" s="73"/>
      <c r="C26" s="73"/>
      <c r="D26" s="73"/>
      <c r="E26" s="73"/>
      <c r="F26" s="73"/>
      <c r="G26" s="73"/>
      <c r="H26" s="73"/>
      <c r="I26" s="73"/>
      <c r="J26" s="73"/>
      <c r="K26" s="73"/>
      <c r="L26" s="73"/>
      <c r="M26" s="73"/>
      <c r="N26" s="73"/>
      <c r="O26" s="73"/>
      <c r="P26" s="73"/>
      <c r="Q26" s="73"/>
      <c r="R26" s="73"/>
      <c r="S26" s="73"/>
      <c r="T26" s="73"/>
      <c r="U26" s="73"/>
      <c r="V26" s="73"/>
      <c r="W26" s="69"/>
      <c r="X26" s="69"/>
      <c r="Y26" s="69"/>
      <c r="Z26" s="69"/>
      <c r="AA26" s="69"/>
      <c r="AB26" s="69"/>
      <c r="AC26" s="69"/>
    </row>
    <row r="27" spans="1:29" ht="20.100000000000001" customHeight="1">
      <c r="A27" s="14" t="s">
        <v>57</v>
      </c>
      <c r="B27" s="15" t="s">
        <v>58</v>
      </c>
      <c r="C27" s="16" t="str">
        <f>IFERROR(INDEX(EJERCICIOS!$D$3:$D$75,MATCH(A27&amp;"|"&amp;B27,EJERCICIOS!$G$3:$G$75,0)),"--")</f>
        <v>polea</v>
      </c>
      <c r="D27" s="17">
        <v>3</v>
      </c>
      <c r="E27" s="18">
        <f>IFERROR(LOOKUP(2,1/(MEDIDAS_Y_PESO!$B$3:$B$3&lt;&gt;""),MEDIDAS_Y_PESO!$B$3:$B$3),"--")</f>
        <v>80</v>
      </c>
      <c r="F27" s="19"/>
      <c r="G27" s="20"/>
      <c r="H27" s="21"/>
      <c r="I27" s="19"/>
      <c r="J27" s="20"/>
      <c r="K27" s="21"/>
      <c r="L27" s="19"/>
      <c r="M27" s="20"/>
      <c r="N27" s="21"/>
      <c r="O27" s="19"/>
      <c r="P27" s="20"/>
      <c r="Q27" s="21"/>
      <c r="R27" s="19"/>
      <c r="S27" s="20"/>
      <c r="T27" s="21"/>
      <c r="U27" s="22" t="str">
        <f>IFERROR(IF(IF(X27&gt;0,X27,IF(Z27&gt;0,Z27,IF(AB27&gt;0,AB27,0)))=0,"--",ROUND(CHOOSE(IF(X27&gt;0,X27,IF(Z27&gt;0,Z27,IF(AB27&gt;0,AB27,0))),IF(C27="peso_corporal",IF(ISNUMBER(E27),E27,0)+F27,F27)*(1+G27/30),IF(C27="peso_corporal",IF(ISNUMBER(E27),E27,0)+I27,I27)*(1+J27/30),IF(C27="peso_corporal",IF(ISNUMBER(E27),E27,0)+L27,L27)*(1+M27/30),IF(C27="peso_corporal",IF(ISNUMBER(E27),E27,0)+O27,O27)*(1+P27/30),IF(C27="peso_corporal",IF(ISNUMBER(E27),E27,0)+R27,R27)*(1+S27/30)),1)),"--")</f>
        <v>--</v>
      </c>
      <c r="V27" s="23" t="str">
        <f>IF(SUGERENCIAS!N37="SIN","Sin datos anteriores",IF(SUGERENCIAS!N37="SUBIR_F","^ SUBIR FUERTE | Kg:"&amp;ROUND(SUGERENCIAS!K37,1)&amp;" R:"&amp;ROUND(SUGERENCIAS!L37,0)&amp;" RIR:"&amp;ROUND(SUGERENCIAS!M37,0),IF(SUGERENCIAS!N37="SUBIR_E","^ SUBIR (Est.) | Kg:"&amp;ROUND(SUGERENCIAS!K37,1)&amp;" R:"&amp;ROUND(SUGERENCIAS!L37,0)&amp;" RIR:"&amp;ROUND(SUGERENCIAS!M37,0),IF(SUGERENCIAS!N37="SUBIR","^ SUBIR | Kg:"&amp;ROUND(SUGERENCIAS!K37,1)&amp;" R:"&amp;ROUND(SUGERENCIAS!L37,0)&amp;" RIR:"&amp;ROUND(SUGERENCIAS!M37,0),IF(SUGERENCIAS!N37="BAJAR","v BAJAR | Kg:"&amp;ROUND(SUGERENCIAS!K37,1)&amp;" R:"&amp;ROUND(SUGERENCIAS!L37,0)&amp;" RIR:"&amp;ROUND(SUGERENCIAS!M37,0),"= MANT | Kg:"&amp;ROUND(SUGERENCIAS!K37,1)&amp;" R:"&amp;ROUND(SUGERENCIAS!L37,0)&amp;" RIR:"&amp;ROUND(SUGERENCIAS!M37,0))))))</f>
        <v>Sin datos anteriores</v>
      </c>
      <c r="W27" s="69">
        <f>MAX(IF((G27&gt;0)*(IF(H27="",-1,H27)&gt;=1)*(IF(H27="",-1,H27)&lt;=3),IF(C27="peso_corporal",IF(ISNUMBER(E27),E27,0)+F27,F27)*G27*1000+F27,0),IF((J27&gt;0)*(IF(K27="",-1,K27)&gt;=1)*(IF(K27="",-1,K27)&lt;=3),IF(C27="peso_corporal",IF(ISNUMBER(E27),E27,0)+I27,I27)*J27*1000+I27,0),IF((M27&gt;0)*(IF(N27="",-1,N27)&gt;=1)*(IF(N27="",-1,N27)&lt;=3),IF(C27="peso_corporal",IF(ISNUMBER(E27),E27,0)+L27,L27)*M27*1000+L27,0),IF((P27&gt;0)*(IF(Q27="",-1,Q27)&gt;=1)*(IF(Q27="",-1,Q27)&lt;=3),IF(C27="peso_corporal",IF(ISNUMBER(E27),E27,0)+O27,O27)*P27*1000+O27,0),IF((S27&gt;0)*(IF(T27="",-1,T27)&gt;=1)*(IF(T27="",-1,T27)&lt;=3),IF(C27="peso_corporal",IF(ISNUMBER(E27),E27,0)+R27,R27)*S27*1000+R27,0))</f>
        <v>0</v>
      </c>
      <c r="X27" s="69">
        <f>IF(W27=0,0,IF(IF((S27&gt;0)*(IF(T27="",-1,T27)&gt;=1)*(IF(T27="",-1,T27)&lt;=3),IF(C27="peso_corporal",IF(ISNUMBER(E27),E27,0)+R27,R27)*S27*1000+R27,0)=W27,5,IF(IF((P27&gt;0)*(IF(Q27="",-1,Q27)&gt;=1)*(IF(Q27="",-1,Q27)&lt;=3),IF(C27="peso_corporal",IF(ISNUMBER(E27),E27,0)+O27,O27)*P27*1000+O27,0)=W27,4,IF(IF((M27&gt;0)*(IF(N27="",-1,N27)&gt;=1)*(IF(N27="",-1,N27)&lt;=3),IF(C27="peso_corporal",IF(ISNUMBER(E27),E27,0)+L27,L27)*M27*1000+L27,0)=W27,3,IF(IF((J27&gt;0)*(IF(K27="",-1,K27)&gt;=1)*(IF(K27="",-1,K27)&lt;=3),IF(C27="peso_corporal",IF(ISNUMBER(E27),E27,0)+I27,I27)*J27*1000+I27,0)=W27,2,IF(IF((G27&gt;0)*(IF(H27="",-1,H27)&gt;=1)*(IF(H27="",-1,H27)&lt;=3),IF(C27="peso_corporal",IF(ISNUMBER(E27),E27,0)+F27,F27)*G27*1000+F27,0)=W27,1,0))))))</f>
        <v>0</v>
      </c>
      <c r="Y27" s="69">
        <f>MAX(IF((G27&gt;0)*(IF(H27="",-1,H27)=0)*(1-(IF(H27="",-1,H27)&gt;=1)*(IF(H27="",-1,H27)&lt;=3)),IF(C27="peso_corporal",IF(ISNUMBER(E27),E27,0)+F27,F27)*G27*1000+F27,0),IF((J27&gt;0)*(IF(K27="",-1,K27)=0)*(1-(IF(K27="",-1,K27)&gt;=1)*(IF(K27="",-1,K27)&lt;=3)),IF(C27="peso_corporal",IF(ISNUMBER(E27),E27,0)+I27,I27)*J27*1000+I27,0),IF((M27&gt;0)*(IF(N27="",-1,N27)=0)*(1-(IF(N27="",-1,N27)&gt;=1)*(IF(N27="",-1,N27)&lt;=3)),IF(C27="peso_corporal",IF(ISNUMBER(E27),E27,0)+L27,L27)*M27*1000+L27,0),IF((P27&gt;0)*(IF(Q27="",-1,Q27)=0)*(1-(IF(Q27="",-1,Q27)&gt;=1)*(IF(Q27="",-1,Q27)&lt;=3)),IF(C27="peso_corporal",IF(ISNUMBER(E27),E27,0)+O27,O27)*P27*1000+O27,0),IF((S27&gt;0)*(IF(T27="",-1,T27)=0)*(1-(IF(T27="",-1,T27)&gt;=1)*(IF(T27="",-1,T27)&lt;=3)),IF(C27="peso_corporal",IF(ISNUMBER(E27),E27,0)+R27,R27)*S27*1000+R27,0))</f>
        <v>0</v>
      </c>
      <c r="Z27" s="69">
        <f>IF(Y27=0,0,IF(IF((S27&gt;0)*(IF(T27="",-1,T27)=0)*(1-(IF(T27="",-1,T27)&gt;=1)*(IF(T27="",-1,T27)&lt;=3)),IF(C27="peso_corporal",IF(ISNUMBER(E27),E27,0)+R27,R27)*S27*1000+R27,0)=Y27,5,IF(IF((P27&gt;0)*(IF(Q27="",-1,Q27)=0)*(1-(IF(Q27="",-1,Q27)&gt;=1)*(IF(Q27="",-1,Q27)&lt;=3)),IF(C27="peso_corporal",IF(ISNUMBER(E27),E27,0)+O27,O27)*P27*1000+O27,0)=Y27,4,IF(IF((M27&gt;0)*(IF(N27="",-1,N27)=0)*(1-(IF(N27="",-1,N27)&gt;=1)*(IF(N27="",-1,N27)&lt;=3)),IF(C27="peso_corporal",IF(ISNUMBER(E27),E27,0)+L27,L27)*M27*1000+L27,0)=Y27,3,IF(IF((J27&gt;0)*(IF(K27="",-1,K27)=0)*(1-(IF(K27="",-1,K27)&gt;=1)*(IF(K27="",-1,K27)&lt;=3)),IF(C27="peso_corporal",IF(ISNUMBER(E27),E27,0)+I27,I27)*J27*1000+I27,0)=Y27,2,IF(IF((G27&gt;0)*(IF(H27="",-1,H27)=0)*(1-(IF(H27="",-1,H27)&gt;=1)*(IF(H27="",-1,H27)&lt;=3)),IF(C27="peso_corporal",IF(ISNUMBER(E27),E27,0)+F27,F27)*G27*1000+F27,0)=Y27,1,0))))))</f>
        <v>0</v>
      </c>
      <c r="AA27" s="69">
        <f>MAX(IF((G27&gt;=6)*(1-(IF(H27="",-1,H27)&gt;=1)*(IF(H27="",-1,H27)&lt;=3))*(1-(IF(H27="",-1,H27)=0)),IF(C27="peso_corporal",IF(ISNUMBER(E27),E27,0)+F27,F27)*(30+G27)*100+F27,0),IF((J27&gt;=6)*(1-(IF(K27="",-1,K27)&gt;=1)*(IF(K27="",-1,K27)&lt;=3))*(1-(IF(K27="",-1,K27)=0)),IF(C27="peso_corporal",IF(ISNUMBER(E27),E27,0)+I27,I27)*(30+J27)*100+I27,0),IF((M27&gt;=6)*(1-(IF(N27="",-1,N27)&gt;=1)*(IF(N27="",-1,N27)&lt;=3))*(1-(IF(N27="",-1,N27)=0)),IF(C27="peso_corporal",IF(ISNUMBER(E27),E27,0)+L27,L27)*(30+M27)*100+L27,0),IF((P27&gt;=6)*(1-(IF(Q27="",-1,Q27)&gt;=1)*(IF(Q27="",-1,Q27)&lt;=3))*(1-(IF(Q27="",-1,Q27)=0)),IF(C27="peso_corporal",IF(ISNUMBER(E27),E27,0)+O27,O27)*(30+P27)*100+O27,0),IF((S27&gt;=6)*(1-(IF(T27="",-1,T27)&gt;=1)*(IF(T27="",-1,T27)&lt;=3))*(1-(IF(T27="",-1,T27)=0)),IF(C27="peso_corporal",IF(ISNUMBER(E27),E27,0)+R27,R27)*(30+S27)*100+R27,0))</f>
        <v>0</v>
      </c>
      <c r="AB27" s="69">
        <f>IF(AA27=0,0,IF(IF((S27&gt;=6)*(1-(IF(T27="",-1,T27)&gt;=1)*(IF(T27="",-1,T27)&lt;=3))*(1-(IF(T27="",-1,T27)=0)),IF(C27="peso_corporal",IF(ISNUMBER(E27),E27,0)+R27,R27)*(30+S27)*100+R27,0)=AA27,5,IF(IF((P27&gt;=6)*(1-(IF(Q27="",-1,Q27)&gt;=1)*(IF(Q27="",-1,Q27)&lt;=3))*(1-(IF(Q27="",-1,Q27)=0)),IF(C27="peso_corporal",IF(ISNUMBER(E27),E27,0)+O27,O27)*(30+P27)*100+O27,0)=AA27,4,IF(IF((M27&gt;=6)*(1-(IF(N27="",-1,N27)&gt;=1)*(IF(N27="",-1,N27)&lt;=3))*(1-(IF(N27="",-1,N27)=0)),IF(C27="peso_corporal",IF(ISNUMBER(E27),E27,0)+L27,L27)*(30+M27)*100+L27,0)=AA27,3,IF(IF((J27&gt;=6)*(1-(IF(K27="",-1,K27)&gt;=1)*(IF(K27="",-1,K27)&lt;=3))*(1-(IF(K27="",-1,K27)=0)),IF(C27="peso_corporal",IF(ISNUMBER(E27),E27,0)+I27,I27)*(30+J27)*100+I27,0)=AA27,2,IF(IF((G27&gt;=6)*(1-(IF(H27="",-1,H27)&gt;=1)*(IF(H27="",-1,H27)&lt;=3))*(1-(IF(H27="",-1,H27)=0)),IF(C27="peso_corporal",IF(ISNUMBER(E27),E27,0)+F27,F27)*(30+G27)*100+F27,0)=AA27,1,0))))))</f>
        <v>0</v>
      </c>
      <c r="AC27" s="69" t="str">
        <f>IF(X27&gt;0,"A"&amp;X27,IF(Z27&gt;0,"B"&amp;Z27,IF(AB27&gt;0,"C"&amp;AB27,"")))</f>
        <v/>
      </c>
    </row>
    <row r="28" spans="1:29" ht="20.100000000000001" customHeight="1">
      <c r="A28" s="14" t="s">
        <v>146</v>
      </c>
      <c r="B28" s="15" t="s">
        <v>147</v>
      </c>
      <c r="C28" s="16" t="str">
        <f>IFERROR(INDEX(EJERCICIOS!$D$3:$D$75,MATCH(A28&amp;"|"&amp;B28,EJERCICIOS!$G$3:$G$75,0)),"--")</f>
        <v>--</v>
      </c>
      <c r="D28" s="17">
        <v>3</v>
      </c>
      <c r="E28" s="18">
        <f>IFERROR(LOOKUP(2,1/(MEDIDAS_Y_PESO!$B$3:$B$3&lt;&gt;""),MEDIDAS_Y_PESO!$B$3:$B$3),"--")</f>
        <v>80</v>
      </c>
      <c r="F28" s="19"/>
      <c r="G28" s="20"/>
      <c r="H28" s="21"/>
      <c r="I28" s="19"/>
      <c r="J28" s="20"/>
      <c r="K28" s="21"/>
      <c r="L28" s="19"/>
      <c r="M28" s="20"/>
      <c r="N28" s="21"/>
      <c r="O28" s="19"/>
      <c r="P28" s="20"/>
      <c r="Q28" s="21"/>
      <c r="R28" s="19"/>
      <c r="S28" s="20"/>
      <c r="T28" s="21"/>
      <c r="U28" s="22" t="str">
        <f>IFERROR(IF(IF(X28&gt;0,X28,IF(Z28&gt;0,Z28,IF(AB28&gt;0,AB28,0)))=0,"--",ROUND(CHOOSE(IF(X28&gt;0,X28,IF(Z28&gt;0,Z28,IF(AB28&gt;0,AB28,0))),IF(C28="peso_corporal",IF(ISNUMBER(E28),E28,0)+F28,F28)*(1+G28/30),IF(C28="peso_corporal",IF(ISNUMBER(E28),E28,0)+I28,I28)*(1+J28/30),IF(C28="peso_corporal",IF(ISNUMBER(E28),E28,0)+L28,L28)*(1+M28/30),IF(C28="peso_corporal",IF(ISNUMBER(E28),E28,0)+O28,O28)*(1+P28/30),IF(C28="peso_corporal",IF(ISNUMBER(E28),E28,0)+R28,R28)*(1+S28/30)),1)),"--")</f>
        <v>--</v>
      </c>
      <c r="V28" s="23" t="str">
        <f>IF(SUGERENCIAS!N38="SIN","Sin datos anteriores",IF(SUGERENCIAS!N38="SUBIR_F","^ SUBIR FUERTE | Kg:"&amp;ROUND(SUGERENCIAS!K38,1)&amp;" R:"&amp;ROUND(SUGERENCIAS!L38,0)&amp;" RIR:"&amp;ROUND(SUGERENCIAS!M38,0),IF(SUGERENCIAS!N38="SUBIR_E","^ SUBIR (Est.) | Kg:"&amp;ROUND(SUGERENCIAS!K38,1)&amp;" R:"&amp;ROUND(SUGERENCIAS!L38,0)&amp;" RIR:"&amp;ROUND(SUGERENCIAS!M38,0),IF(SUGERENCIAS!N38="SUBIR","^ SUBIR | Kg:"&amp;ROUND(SUGERENCIAS!K38,1)&amp;" R:"&amp;ROUND(SUGERENCIAS!L38,0)&amp;" RIR:"&amp;ROUND(SUGERENCIAS!M38,0),IF(SUGERENCIAS!N38="BAJAR","v BAJAR | Kg:"&amp;ROUND(SUGERENCIAS!K38,1)&amp;" R:"&amp;ROUND(SUGERENCIAS!L38,0)&amp;" RIR:"&amp;ROUND(SUGERENCIAS!M38,0),"= MANT | Kg:"&amp;ROUND(SUGERENCIAS!K38,1)&amp;" R:"&amp;ROUND(SUGERENCIAS!L38,0)&amp;" RIR:"&amp;ROUND(SUGERENCIAS!M38,0))))))</f>
        <v>Sin datos anteriores</v>
      </c>
      <c r="W28" s="69">
        <f>MAX(IF((G28&gt;0)*(IF(H28="",-1,H28)&gt;=1)*(IF(H28="",-1,H28)&lt;=3),IF(C28="peso_corporal",IF(ISNUMBER(E28),E28,0)+F28,F28)*G28*1000+F28,0),IF((J28&gt;0)*(IF(K28="",-1,K28)&gt;=1)*(IF(K28="",-1,K28)&lt;=3),IF(C28="peso_corporal",IF(ISNUMBER(E28),E28,0)+I28,I28)*J28*1000+I28,0),IF((M28&gt;0)*(IF(N28="",-1,N28)&gt;=1)*(IF(N28="",-1,N28)&lt;=3),IF(C28="peso_corporal",IF(ISNUMBER(E28),E28,0)+L28,L28)*M28*1000+L28,0),IF((P28&gt;0)*(IF(Q28="",-1,Q28)&gt;=1)*(IF(Q28="",-1,Q28)&lt;=3),IF(C28="peso_corporal",IF(ISNUMBER(E28),E28,0)+O28,O28)*P28*1000+O28,0),IF((S28&gt;0)*(IF(T28="",-1,T28)&gt;=1)*(IF(T28="",-1,T28)&lt;=3),IF(C28="peso_corporal",IF(ISNUMBER(E28),E28,0)+R28,R28)*S28*1000+R28,0))</f>
        <v>0</v>
      </c>
      <c r="X28" s="69">
        <f>IF(W28=0,0,IF(IF((S28&gt;0)*(IF(T28="",-1,T28)&gt;=1)*(IF(T28="",-1,T28)&lt;=3),IF(C28="peso_corporal",IF(ISNUMBER(E28),E28,0)+R28,R28)*S28*1000+R28,0)=W28,5,IF(IF((P28&gt;0)*(IF(Q28="",-1,Q28)&gt;=1)*(IF(Q28="",-1,Q28)&lt;=3),IF(C28="peso_corporal",IF(ISNUMBER(E28),E28,0)+O28,O28)*P28*1000+O28,0)=W28,4,IF(IF((M28&gt;0)*(IF(N28="",-1,N28)&gt;=1)*(IF(N28="",-1,N28)&lt;=3),IF(C28="peso_corporal",IF(ISNUMBER(E28),E28,0)+L28,L28)*M28*1000+L28,0)=W28,3,IF(IF((J28&gt;0)*(IF(K28="",-1,K28)&gt;=1)*(IF(K28="",-1,K28)&lt;=3),IF(C28="peso_corporal",IF(ISNUMBER(E28),E28,0)+I28,I28)*J28*1000+I28,0)=W28,2,IF(IF((G28&gt;0)*(IF(H28="",-1,H28)&gt;=1)*(IF(H28="",-1,H28)&lt;=3),IF(C28="peso_corporal",IF(ISNUMBER(E28),E28,0)+F28,F28)*G28*1000+F28,0)=W28,1,0))))))</f>
        <v>0</v>
      </c>
      <c r="Y28" s="69">
        <f>MAX(IF((G28&gt;0)*(IF(H28="",-1,H28)=0)*(1-(IF(H28="",-1,H28)&gt;=1)*(IF(H28="",-1,H28)&lt;=3)),IF(C28="peso_corporal",IF(ISNUMBER(E28),E28,0)+F28,F28)*G28*1000+F28,0),IF((J28&gt;0)*(IF(K28="",-1,K28)=0)*(1-(IF(K28="",-1,K28)&gt;=1)*(IF(K28="",-1,K28)&lt;=3)),IF(C28="peso_corporal",IF(ISNUMBER(E28),E28,0)+I28,I28)*J28*1000+I28,0),IF((M28&gt;0)*(IF(N28="",-1,N28)=0)*(1-(IF(N28="",-1,N28)&gt;=1)*(IF(N28="",-1,N28)&lt;=3)),IF(C28="peso_corporal",IF(ISNUMBER(E28),E28,0)+L28,L28)*M28*1000+L28,0),IF((P28&gt;0)*(IF(Q28="",-1,Q28)=0)*(1-(IF(Q28="",-1,Q28)&gt;=1)*(IF(Q28="",-1,Q28)&lt;=3)),IF(C28="peso_corporal",IF(ISNUMBER(E28),E28,0)+O28,O28)*P28*1000+O28,0),IF((S28&gt;0)*(IF(T28="",-1,T28)=0)*(1-(IF(T28="",-1,T28)&gt;=1)*(IF(T28="",-1,T28)&lt;=3)),IF(C28="peso_corporal",IF(ISNUMBER(E28),E28,0)+R28,R28)*S28*1000+R28,0))</f>
        <v>0</v>
      </c>
      <c r="Z28" s="69">
        <f>IF(Y28=0,0,IF(IF((S28&gt;0)*(IF(T28="",-1,T28)=0)*(1-(IF(T28="",-1,T28)&gt;=1)*(IF(T28="",-1,T28)&lt;=3)),IF(C28="peso_corporal",IF(ISNUMBER(E28),E28,0)+R28,R28)*S28*1000+R28,0)=Y28,5,IF(IF((P28&gt;0)*(IF(Q28="",-1,Q28)=0)*(1-(IF(Q28="",-1,Q28)&gt;=1)*(IF(Q28="",-1,Q28)&lt;=3)),IF(C28="peso_corporal",IF(ISNUMBER(E28),E28,0)+O28,O28)*P28*1000+O28,0)=Y28,4,IF(IF((M28&gt;0)*(IF(N28="",-1,N28)=0)*(1-(IF(N28="",-1,N28)&gt;=1)*(IF(N28="",-1,N28)&lt;=3)),IF(C28="peso_corporal",IF(ISNUMBER(E28),E28,0)+L28,L28)*M28*1000+L28,0)=Y28,3,IF(IF((J28&gt;0)*(IF(K28="",-1,K28)=0)*(1-(IF(K28="",-1,K28)&gt;=1)*(IF(K28="",-1,K28)&lt;=3)),IF(C28="peso_corporal",IF(ISNUMBER(E28),E28,0)+I28,I28)*J28*1000+I28,0)=Y28,2,IF(IF((G28&gt;0)*(IF(H28="",-1,H28)=0)*(1-(IF(H28="",-1,H28)&gt;=1)*(IF(H28="",-1,H28)&lt;=3)),IF(C28="peso_corporal",IF(ISNUMBER(E28),E28,0)+F28,F28)*G28*1000+F28,0)=Y28,1,0))))))</f>
        <v>0</v>
      </c>
      <c r="AA28" s="69">
        <f>MAX(IF((G28&gt;=6)*(1-(IF(H28="",-1,H28)&gt;=1)*(IF(H28="",-1,H28)&lt;=3))*(1-(IF(H28="",-1,H28)=0)),IF(C28="peso_corporal",IF(ISNUMBER(E28),E28,0)+F28,F28)*(30+G28)*100+F28,0),IF((J28&gt;=6)*(1-(IF(K28="",-1,K28)&gt;=1)*(IF(K28="",-1,K28)&lt;=3))*(1-(IF(K28="",-1,K28)=0)),IF(C28="peso_corporal",IF(ISNUMBER(E28),E28,0)+I28,I28)*(30+J28)*100+I28,0),IF((M28&gt;=6)*(1-(IF(N28="",-1,N28)&gt;=1)*(IF(N28="",-1,N28)&lt;=3))*(1-(IF(N28="",-1,N28)=0)),IF(C28="peso_corporal",IF(ISNUMBER(E28),E28,0)+L28,L28)*(30+M28)*100+L28,0),IF((P28&gt;=6)*(1-(IF(Q28="",-1,Q28)&gt;=1)*(IF(Q28="",-1,Q28)&lt;=3))*(1-(IF(Q28="",-1,Q28)=0)),IF(C28="peso_corporal",IF(ISNUMBER(E28),E28,0)+O28,O28)*(30+P28)*100+O28,0),IF((S28&gt;=6)*(1-(IF(T28="",-1,T28)&gt;=1)*(IF(T28="",-1,T28)&lt;=3))*(1-(IF(T28="",-1,T28)=0)),IF(C28="peso_corporal",IF(ISNUMBER(E28),E28,0)+R28,R28)*(30+S28)*100+R28,0))</f>
        <v>0</v>
      </c>
      <c r="AB28" s="69">
        <f>IF(AA28=0,0,IF(IF((S28&gt;=6)*(1-(IF(T28="",-1,T28)&gt;=1)*(IF(T28="",-1,T28)&lt;=3))*(1-(IF(T28="",-1,T28)=0)),IF(C28="peso_corporal",IF(ISNUMBER(E28),E28,0)+R28,R28)*(30+S28)*100+R28,0)=AA28,5,IF(IF((P28&gt;=6)*(1-(IF(Q28="",-1,Q28)&gt;=1)*(IF(Q28="",-1,Q28)&lt;=3))*(1-(IF(Q28="",-1,Q28)=0)),IF(C28="peso_corporal",IF(ISNUMBER(E28),E28,0)+O28,O28)*(30+P28)*100+O28,0)=AA28,4,IF(IF((M28&gt;=6)*(1-(IF(N28="",-1,N28)&gt;=1)*(IF(N28="",-1,N28)&lt;=3))*(1-(IF(N28="",-1,N28)=0)),IF(C28="peso_corporal",IF(ISNUMBER(E28),E28,0)+L28,L28)*(30+M28)*100+L28,0)=AA28,3,IF(IF((J28&gt;=6)*(1-(IF(K28="",-1,K28)&gt;=1)*(IF(K28="",-1,K28)&lt;=3))*(1-(IF(K28="",-1,K28)=0)),IF(C28="peso_corporal",IF(ISNUMBER(E28),E28,0)+I28,I28)*(30+J28)*100+I28,0)=AA28,2,IF(IF((G28&gt;=6)*(1-(IF(H28="",-1,H28)&gt;=1)*(IF(H28="",-1,H28)&lt;=3))*(1-(IF(H28="",-1,H28)=0)),IF(C28="peso_corporal",IF(ISNUMBER(E28),E28,0)+F28,F28)*(30+G28)*100+F28,0)=AA28,1,0))))))</f>
        <v>0</v>
      </c>
      <c r="AC28" s="69" t="str">
        <f>IF(X28&gt;0,"A"&amp;X28,IF(Z28&gt;0,"B"&amp;Z28,IF(AB28&gt;0,"C"&amp;AB28,"")))</f>
        <v/>
      </c>
    </row>
    <row r="29" spans="1:29" ht="20.100000000000001" customHeight="1">
      <c r="A29" s="14" t="s">
        <v>148</v>
      </c>
      <c r="B29" s="15" t="s">
        <v>149</v>
      </c>
      <c r="C29" s="16" t="str">
        <f>IFERROR(INDEX(EJERCICIOS!$D$3:$D$75,MATCH(A29&amp;"|"&amp;B29,EJERCICIOS!$G$3:$G$75,0)),"--")</f>
        <v>--</v>
      </c>
      <c r="D29" s="17">
        <v>3</v>
      </c>
      <c r="E29" s="18">
        <f>IFERROR(LOOKUP(2,1/(MEDIDAS_Y_PESO!$B$3:$B$3&lt;&gt;""),MEDIDAS_Y_PESO!$B$3:$B$3),"--")</f>
        <v>80</v>
      </c>
      <c r="F29" s="19"/>
      <c r="G29" s="20"/>
      <c r="H29" s="21"/>
      <c r="I29" s="19"/>
      <c r="J29" s="20"/>
      <c r="K29" s="21"/>
      <c r="L29" s="19"/>
      <c r="M29" s="20"/>
      <c r="N29" s="21"/>
      <c r="O29" s="19"/>
      <c r="P29" s="20"/>
      <c r="Q29" s="21"/>
      <c r="R29" s="19"/>
      <c r="S29" s="20"/>
      <c r="T29" s="21"/>
      <c r="U29" s="22" t="str">
        <f>IFERROR(IF(IF(X29&gt;0,X29,IF(Z29&gt;0,Z29,IF(AB29&gt;0,AB29,0)))=0,"--",ROUND(CHOOSE(IF(X29&gt;0,X29,IF(Z29&gt;0,Z29,IF(AB29&gt;0,AB29,0))),IF(C29="peso_corporal",IF(ISNUMBER(E29),E29,0)+F29,F29)*(1+G29/30),IF(C29="peso_corporal",IF(ISNUMBER(E29),E29,0)+I29,I29)*(1+J29/30),IF(C29="peso_corporal",IF(ISNUMBER(E29),E29,0)+L29,L29)*(1+M29/30),IF(C29="peso_corporal",IF(ISNUMBER(E29),E29,0)+O29,O29)*(1+P29/30),IF(C29="peso_corporal",IF(ISNUMBER(E29),E29,0)+R29,R29)*(1+S29/30)),1)),"--")</f>
        <v>--</v>
      </c>
      <c r="V29" s="23" t="str">
        <f>IF(SUGERENCIAS!N39="SIN","Sin datos anteriores",IF(SUGERENCIAS!N39="SUBIR_F","^ SUBIR FUERTE | Kg:"&amp;ROUND(SUGERENCIAS!K39,1)&amp;" R:"&amp;ROUND(SUGERENCIAS!L39,0)&amp;" RIR:"&amp;ROUND(SUGERENCIAS!M39,0),IF(SUGERENCIAS!N39="SUBIR_E","^ SUBIR (Est.) | Kg:"&amp;ROUND(SUGERENCIAS!K39,1)&amp;" R:"&amp;ROUND(SUGERENCIAS!L39,0)&amp;" RIR:"&amp;ROUND(SUGERENCIAS!M39,0),IF(SUGERENCIAS!N39="SUBIR","^ SUBIR | Kg:"&amp;ROUND(SUGERENCIAS!K39,1)&amp;" R:"&amp;ROUND(SUGERENCIAS!L39,0)&amp;" RIR:"&amp;ROUND(SUGERENCIAS!M39,0),IF(SUGERENCIAS!N39="BAJAR","v BAJAR | Kg:"&amp;ROUND(SUGERENCIAS!K39,1)&amp;" R:"&amp;ROUND(SUGERENCIAS!L39,0)&amp;" RIR:"&amp;ROUND(SUGERENCIAS!M39,0),"= MANT | Kg:"&amp;ROUND(SUGERENCIAS!K39,1)&amp;" R:"&amp;ROUND(SUGERENCIAS!L39,0)&amp;" RIR:"&amp;ROUND(SUGERENCIAS!M39,0))))))</f>
        <v>Sin datos anteriores</v>
      </c>
      <c r="W29" s="69">
        <f>MAX(IF((G29&gt;0)*(IF(H29="",-1,H29)&gt;=1)*(IF(H29="",-1,H29)&lt;=3),IF(C29="peso_corporal",IF(ISNUMBER(E29),E29,0)+F29,F29)*G29*1000+F29,0),IF((J29&gt;0)*(IF(K29="",-1,K29)&gt;=1)*(IF(K29="",-1,K29)&lt;=3),IF(C29="peso_corporal",IF(ISNUMBER(E29),E29,0)+I29,I29)*J29*1000+I29,0),IF((M29&gt;0)*(IF(N29="",-1,N29)&gt;=1)*(IF(N29="",-1,N29)&lt;=3),IF(C29="peso_corporal",IF(ISNUMBER(E29),E29,0)+L29,L29)*M29*1000+L29,0),IF((P29&gt;0)*(IF(Q29="",-1,Q29)&gt;=1)*(IF(Q29="",-1,Q29)&lt;=3),IF(C29="peso_corporal",IF(ISNUMBER(E29),E29,0)+O29,O29)*P29*1000+O29,0),IF((S29&gt;0)*(IF(T29="",-1,T29)&gt;=1)*(IF(T29="",-1,T29)&lt;=3),IF(C29="peso_corporal",IF(ISNUMBER(E29),E29,0)+R29,R29)*S29*1000+R29,0))</f>
        <v>0</v>
      </c>
      <c r="X29" s="69">
        <f>IF(W29=0,0,IF(IF((S29&gt;0)*(IF(T29="",-1,T29)&gt;=1)*(IF(T29="",-1,T29)&lt;=3),IF(C29="peso_corporal",IF(ISNUMBER(E29),E29,0)+R29,R29)*S29*1000+R29,0)=W29,5,IF(IF((P29&gt;0)*(IF(Q29="",-1,Q29)&gt;=1)*(IF(Q29="",-1,Q29)&lt;=3),IF(C29="peso_corporal",IF(ISNUMBER(E29),E29,0)+O29,O29)*P29*1000+O29,0)=W29,4,IF(IF((M29&gt;0)*(IF(N29="",-1,N29)&gt;=1)*(IF(N29="",-1,N29)&lt;=3),IF(C29="peso_corporal",IF(ISNUMBER(E29),E29,0)+L29,L29)*M29*1000+L29,0)=W29,3,IF(IF((J29&gt;0)*(IF(K29="",-1,K29)&gt;=1)*(IF(K29="",-1,K29)&lt;=3),IF(C29="peso_corporal",IF(ISNUMBER(E29),E29,0)+I29,I29)*J29*1000+I29,0)=W29,2,IF(IF((G29&gt;0)*(IF(H29="",-1,H29)&gt;=1)*(IF(H29="",-1,H29)&lt;=3),IF(C29="peso_corporal",IF(ISNUMBER(E29),E29,0)+F29,F29)*G29*1000+F29,0)=W29,1,0))))))</f>
        <v>0</v>
      </c>
      <c r="Y29" s="69">
        <f>MAX(IF((G29&gt;0)*(IF(H29="",-1,H29)=0)*(1-(IF(H29="",-1,H29)&gt;=1)*(IF(H29="",-1,H29)&lt;=3)),IF(C29="peso_corporal",IF(ISNUMBER(E29),E29,0)+F29,F29)*G29*1000+F29,0),IF((J29&gt;0)*(IF(K29="",-1,K29)=0)*(1-(IF(K29="",-1,K29)&gt;=1)*(IF(K29="",-1,K29)&lt;=3)),IF(C29="peso_corporal",IF(ISNUMBER(E29),E29,0)+I29,I29)*J29*1000+I29,0),IF((M29&gt;0)*(IF(N29="",-1,N29)=0)*(1-(IF(N29="",-1,N29)&gt;=1)*(IF(N29="",-1,N29)&lt;=3)),IF(C29="peso_corporal",IF(ISNUMBER(E29),E29,0)+L29,L29)*M29*1000+L29,0),IF((P29&gt;0)*(IF(Q29="",-1,Q29)=0)*(1-(IF(Q29="",-1,Q29)&gt;=1)*(IF(Q29="",-1,Q29)&lt;=3)),IF(C29="peso_corporal",IF(ISNUMBER(E29),E29,0)+O29,O29)*P29*1000+O29,0),IF((S29&gt;0)*(IF(T29="",-1,T29)=0)*(1-(IF(T29="",-1,T29)&gt;=1)*(IF(T29="",-1,T29)&lt;=3)),IF(C29="peso_corporal",IF(ISNUMBER(E29),E29,0)+R29,R29)*S29*1000+R29,0))</f>
        <v>0</v>
      </c>
      <c r="Z29" s="69">
        <f>IF(Y29=0,0,IF(IF((S29&gt;0)*(IF(T29="",-1,T29)=0)*(1-(IF(T29="",-1,T29)&gt;=1)*(IF(T29="",-1,T29)&lt;=3)),IF(C29="peso_corporal",IF(ISNUMBER(E29),E29,0)+R29,R29)*S29*1000+R29,0)=Y29,5,IF(IF((P29&gt;0)*(IF(Q29="",-1,Q29)=0)*(1-(IF(Q29="",-1,Q29)&gt;=1)*(IF(Q29="",-1,Q29)&lt;=3)),IF(C29="peso_corporal",IF(ISNUMBER(E29),E29,0)+O29,O29)*P29*1000+O29,0)=Y29,4,IF(IF((M29&gt;0)*(IF(N29="",-1,N29)=0)*(1-(IF(N29="",-1,N29)&gt;=1)*(IF(N29="",-1,N29)&lt;=3)),IF(C29="peso_corporal",IF(ISNUMBER(E29),E29,0)+L29,L29)*M29*1000+L29,0)=Y29,3,IF(IF((J29&gt;0)*(IF(K29="",-1,K29)=0)*(1-(IF(K29="",-1,K29)&gt;=1)*(IF(K29="",-1,K29)&lt;=3)),IF(C29="peso_corporal",IF(ISNUMBER(E29),E29,0)+I29,I29)*J29*1000+I29,0)=Y29,2,IF(IF((G29&gt;0)*(IF(H29="",-1,H29)=0)*(1-(IF(H29="",-1,H29)&gt;=1)*(IF(H29="",-1,H29)&lt;=3)),IF(C29="peso_corporal",IF(ISNUMBER(E29),E29,0)+F29,F29)*G29*1000+F29,0)=Y29,1,0))))))</f>
        <v>0</v>
      </c>
      <c r="AA29" s="69">
        <f>MAX(IF((G29&gt;=6)*(1-(IF(H29="",-1,H29)&gt;=1)*(IF(H29="",-1,H29)&lt;=3))*(1-(IF(H29="",-1,H29)=0)),IF(C29="peso_corporal",IF(ISNUMBER(E29),E29,0)+F29,F29)*(30+G29)*100+F29,0),IF((J29&gt;=6)*(1-(IF(K29="",-1,K29)&gt;=1)*(IF(K29="",-1,K29)&lt;=3))*(1-(IF(K29="",-1,K29)=0)),IF(C29="peso_corporal",IF(ISNUMBER(E29),E29,0)+I29,I29)*(30+J29)*100+I29,0),IF((M29&gt;=6)*(1-(IF(N29="",-1,N29)&gt;=1)*(IF(N29="",-1,N29)&lt;=3))*(1-(IF(N29="",-1,N29)=0)),IF(C29="peso_corporal",IF(ISNUMBER(E29),E29,0)+L29,L29)*(30+M29)*100+L29,0),IF((P29&gt;=6)*(1-(IF(Q29="",-1,Q29)&gt;=1)*(IF(Q29="",-1,Q29)&lt;=3))*(1-(IF(Q29="",-1,Q29)=0)),IF(C29="peso_corporal",IF(ISNUMBER(E29),E29,0)+O29,O29)*(30+P29)*100+O29,0),IF((S29&gt;=6)*(1-(IF(T29="",-1,T29)&gt;=1)*(IF(T29="",-1,T29)&lt;=3))*(1-(IF(T29="",-1,T29)=0)),IF(C29="peso_corporal",IF(ISNUMBER(E29),E29,0)+R29,R29)*(30+S29)*100+R29,0))</f>
        <v>0</v>
      </c>
      <c r="AB29" s="69">
        <f>IF(AA29=0,0,IF(IF((S29&gt;=6)*(1-(IF(T29="",-1,T29)&gt;=1)*(IF(T29="",-1,T29)&lt;=3))*(1-(IF(T29="",-1,T29)=0)),IF(C29="peso_corporal",IF(ISNUMBER(E29),E29,0)+R29,R29)*(30+S29)*100+R29,0)=AA29,5,IF(IF((P29&gt;=6)*(1-(IF(Q29="",-1,Q29)&gt;=1)*(IF(Q29="",-1,Q29)&lt;=3))*(1-(IF(Q29="",-1,Q29)=0)),IF(C29="peso_corporal",IF(ISNUMBER(E29),E29,0)+O29,O29)*(30+P29)*100+O29,0)=AA29,4,IF(IF((M29&gt;=6)*(1-(IF(N29="",-1,N29)&gt;=1)*(IF(N29="",-1,N29)&lt;=3))*(1-(IF(N29="",-1,N29)=0)),IF(C29="peso_corporal",IF(ISNUMBER(E29),E29,0)+L29,L29)*(30+M29)*100+L29,0)=AA29,3,IF(IF((J29&gt;=6)*(1-(IF(K29="",-1,K29)&gt;=1)*(IF(K29="",-1,K29)&lt;=3))*(1-(IF(K29="",-1,K29)=0)),IF(C29="peso_corporal",IF(ISNUMBER(E29),E29,0)+I29,I29)*(30+J29)*100+I29,0)=AA29,2,IF(IF((G29&gt;=6)*(1-(IF(H29="",-1,H29)&gt;=1)*(IF(H29="",-1,H29)&lt;=3))*(1-(IF(H29="",-1,H29)=0)),IF(C29="peso_corporal",IF(ISNUMBER(E29),E29,0)+F29,F29)*(30+G29)*100+F29,0)=AA29,1,0))))))</f>
        <v>0</v>
      </c>
      <c r="AC29" s="69" t="str">
        <f>IF(X29&gt;0,"A"&amp;X29,IF(Z29&gt;0,"B"&amp;Z29,IF(AB29&gt;0,"C"&amp;AB29,"")))</f>
        <v/>
      </c>
    </row>
    <row r="30" spans="1:29" ht="20.100000000000001" customHeight="1">
      <c r="A30" s="14" t="s">
        <v>150</v>
      </c>
      <c r="B30" s="15" t="s">
        <v>151</v>
      </c>
      <c r="C30" s="16" t="str">
        <f>IFERROR(INDEX(EJERCICIOS!$D$3:$D$75,MATCH(A30&amp;"|"&amp;B30,EJERCICIOS!$G$3:$G$75,0)),"--")</f>
        <v>peso_corporal</v>
      </c>
      <c r="D30" s="17">
        <v>3</v>
      </c>
      <c r="E30" s="18">
        <f>IFERROR(LOOKUP(2,1/(MEDIDAS_Y_PESO!$B$3:$B$3&lt;&gt;""),MEDIDAS_Y_PESO!$B$3:$B$3),"--")</f>
        <v>80</v>
      </c>
      <c r="F30" s="19"/>
      <c r="G30" s="20"/>
      <c r="H30" s="21"/>
      <c r="I30" s="19"/>
      <c r="J30" s="20"/>
      <c r="K30" s="21"/>
      <c r="L30" s="19"/>
      <c r="M30" s="20"/>
      <c r="N30" s="21"/>
      <c r="O30" s="19"/>
      <c r="P30" s="20"/>
      <c r="Q30" s="21"/>
      <c r="R30" s="19"/>
      <c r="S30" s="20"/>
      <c r="T30" s="21"/>
      <c r="U30" s="22" t="str">
        <f>IFERROR(IF(IF(X30&gt;0,X30,IF(Z30&gt;0,Z30,IF(AB30&gt;0,AB30,0)))=0,"--",ROUND(CHOOSE(IF(X30&gt;0,X30,IF(Z30&gt;0,Z30,IF(AB30&gt;0,AB30,0))),IF(C30="peso_corporal",IF(ISNUMBER(E30),E30,0)+F30,F30)*(1+G30/30),IF(C30="peso_corporal",IF(ISNUMBER(E30),E30,0)+I30,I30)*(1+J30/30),IF(C30="peso_corporal",IF(ISNUMBER(E30),E30,0)+L30,L30)*(1+M30/30),IF(C30="peso_corporal",IF(ISNUMBER(E30),E30,0)+O30,O30)*(1+P30/30),IF(C30="peso_corporal",IF(ISNUMBER(E30),E30,0)+R30,R30)*(1+S30/30)),1)),"--")</f>
        <v>--</v>
      </c>
      <c r="V30" s="23" t="str">
        <f>IF(SUGERENCIAS!N40="SIN","Sin datos anteriores",IF(SUGERENCIAS!N40="SUBIR_F","^ SUBIR FUERTE | Kg:"&amp;ROUND(SUGERENCIAS!K40,1)&amp;" R:"&amp;ROUND(SUGERENCIAS!L40,0)&amp;" RIR:"&amp;ROUND(SUGERENCIAS!M40,0),IF(SUGERENCIAS!N40="SUBIR_E","^ SUBIR (Est.) | Kg:"&amp;ROUND(SUGERENCIAS!K40,1)&amp;" R:"&amp;ROUND(SUGERENCIAS!L40,0)&amp;" RIR:"&amp;ROUND(SUGERENCIAS!M40,0),IF(SUGERENCIAS!N40="SUBIR","^ SUBIR | Kg:"&amp;ROUND(SUGERENCIAS!K40,1)&amp;" R:"&amp;ROUND(SUGERENCIAS!L40,0)&amp;" RIR:"&amp;ROUND(SUGERENCIAS!M40,0),IF(SUGERENCIAS!N40="BAJAR","v BAJAR | Kg:"&amp;ROUND(SUGERENCIAS!K40,1)&amp;" R:"&amp;ROUND(SUGERENCIAS!L40,0)&amp;" RIR:"&amp;ROUND(SUGERENCIAS!M40,0),"= MANT | Kg:"&amp;ROUND(SUGERENCIAS!K40,1)&amp;" R:"&amp;ROUND(SUGERENCIAS!L40,0)&amp;" RIR:"&amp;ROUND(SUGERENCIAS!M40,0))))))</f>
        <v>Sin datos anteriores</v>
      </c>
      <c r="W30" s="69">
        <f>MAX(IF((G30&gt;0)*(IF(H30="",-1,H30)&gt;=1)*(IF(H30="",-1,H30)&lt;=3),IF(C30="peso_corporal",IF(ISNUMBER(E30),E30,0)+F30,F30)*G30*1000+F30,0),IF((J30&gt;0)*(IF(K30="",-1,K30)&gt;=1)*(IF(K30="",-1,K30)&lt;=3),IF(C30="peso_corporal",IF(ISNUMBER(E30),E30,0)+I30,I30)*J30*1000+I30,0),IF((M30&gt;0)*(IF(N30="",-1,N30)&gt;=1)*(IF(N30="",-1,N30)&lt;=3),IF(C30="peso_corporal",IF(ISNUMBER(E30),E30,0)+L30,L30)*M30*1000+L30,0),IF((P30&gt;0)*(IF(Q30="",-1,Q30)&gt;=1)*(IF(Q30="",-1,Q30)&lt;=3),IF(C30="peso_corporal",IF(ISNUMBER(E30),E30,0)+O30,O30)*P30*1000+O30,0),IF((S30&gt;0)*(IF(T30="",-1,T30)&gt;=1)*(IF(T30="",-1,T30)&lt;=3),IF(C30="peso_corporal",IF(ISNUMBER(E30),E30,0)+R30,R30)*S30*1000+R30,0))</f>
        <v>0</v>
      </c>
      <c r="X30" s="69">
        <f>IF(W30=0,0,IF(IF((S30&gt;0)*(IF(T30="",-1,T30)&gt;=1)*(IF(T30="",-1,T30)&lt;=3),IF(C30="peso_corporal",IF(ISNUMBER(E30),E30,0)+R30,R30)*S30*1000+R30,0)=W30,5,IF(IF((P30&gt;0)*(IF(Q30="",-1,Q30)&gt;=1)*(IF(Q30="",-1,Q30)&lt;=3),IF(C30="peso_corporal",IF(ISNUMBER(E30),E30,0)+O30,O30)*P30*1000+O30,0)=W30,4,IF(IF((M30&gt;0)*(IF(N30="",-1,N30)&gt;=1)*(IF(N30="",-1,N30)&lt;=3),IF(C30="peso_corporal",IF(ISNUMBER(E30),E30,0)+L30,L30)*M30*1000+L30,0)=W30,3,IF(IF((J30&gt;0)*(IF(K30="",-1,K30)&gt;=1)*(IF(K30="",-1,K30)&lt;=3),IF(C30="peso_corporal",IF(ISNUMBER(E30),E30,0)+I30,I30)*J30*1000+I30,0)=W30,2,IF(IF((G30&gt;0)*(IF(H30="",-1,H30)&gt;=1)*(IF(H30="",-1,H30)&lt;=3),IF(C30="peso_corporal",IF(ISNUMBER(E30),E30,0)+F30,F30)*G30*1000+F30,0)=W30,1,0))))))</f>
        <v>0</v>
      </c>
      <c r="Y30" s="69">
        <f>MAX(IF((G30&gt;0)*(IF(H30="",-1,H30)=0)*(1-(IF(H30="",-1,H30)&gt;=1)*(IF(H30="",-1,H30)&lt;=3)),IF(C30="peso_corporal",IF(ISNUMBER(E30),E30,0)+F30,F30)*G30*1000+F30,0),IF((J30&gt;0)*(IF(K30="",-1,K30)=0)*(1-(IF(K30="",-1,K30)&gt;=1)*(IF(K30="",-1,K30)&lt;=3)),IF(C30="peso_corporal",IF(ISNUMBER(E30),E30,0)+I30,I30)*J30*1000+I30,0),IF((M30&gt;0)*(IF(N30="",-1,N30)=0)*(1-(IF(N30="",-1,N30)&gt;=1)*(IF(N30="",-1,N30)&lt;=3)),IF(C30="peso_corporal",IF(ISNUMBER(E30),E30,0)+L30,L30)*M30*1000+L30,0),IF((P30&gt;0)*(IF(Q30="",-1,Q30)=0)*(1-(IF(Q30="",-1,Q30)&gt;=1)*(IF(Q30="",-1,Q30)&lt;=3)),IF(C30="peso_corporal",IF(ISNUMBER(E30),E30,0)+O30,O30)*P30*1000+O30,0),IF((S30&gt;0)*(IF(T30="",-1,T30)=0)*(1-(IF(T30="",-1,T30)&gt;=1)*(IF(T30="",-1,T30)&lt;=3)),IF(C30="peso_corporal",IF(ISNUMBER(E30),E30,0)+R30,R30)*S30*1000+R30,0))</f>
        <v>0</v>
      </c>
      <c r="Z30" s="69">
        <f>IF(Y30=0,0,IF(IF((S30&gt;0)*(IF(T30="",-1,T30)=0)*(1-(IF(T30="",-1,T30)&gt;=1)*(IF(T30="",-1,T30)&lt;=3)),IF(C30="peso_corporal",IF(ISNUMBER(E30),E30,0)+R30,R30)*S30*1000+R30,0)=Y30,5,IF(IF((P30&gt;0)*(IF(Q30="",-1,Q30)=0)*(1-(IF(Q30="",-1,Q30)&gt;=1)*(IF(Q30="",-1,Q30)&lt;=3)),IF(C30="peso_corporal",IF(ISNUMBER(E30),E30,0)+O30,O30)*P30*1000+O30,0)=Y30,4,IF(IF((M30&gt;0)*(IF(N30="",-1,N30)=0)*(1-(IF(N30="",-1,N30)&gt;=1)*(IF(N30="",-1,N30)&lt;=3)),IF(C30="peso_corporal",IF(ISNUMBER(E30),E30,0)+L30,L30)*M30*1000+L30,0)=Y30,3,IF(IF((J30&gt;0)*(IF(K30="",-1,K30)=0)*(1-(IF(K30="",-1,K30)&gt;=1)*(IF(K30="",-1,K30)&lt;=3)),IF(C30="peso_corporal",IF(ISNUMBER(E30),E30,0)+I30,I30)*J30*1000+I30,0)=Y30,2,IF(IF((G30&gt;0)*(IF(H30="",-1,H30)=0)*(1-(IF(H30="",-1,H30)&gt;=1)*(IF(H30="",-1,H30)&lt;=3)),IF(C30="peso_corporal",IF(ISNUMBER(E30),E30,0)+F30,F30)*G30*1000+F30,0)=Y30,1,0))))))</f>
        <v>0</v>
      </c>
      <c r="AA30" s="69">
        <f>MAX(IF((G30&gt;=6)*(1-(IF(H30="",-1,H30)&gt;=1)*(IF(H30="",-1,H30)&lt;=3))*(1-(IF(H30="",-1,H30)=0)),IF(C30="peso_corporal",IF(ISNUMBER(E30),E30,0)+F30,F30)*(30+G30)*100+F30,0),IF((J30&gt;=6)*(1-(IF(K30="",-1,K30)&gt;=1)*(IF(K30="",-1,K30)&lt;=3))*(1-(IF(K30="",-1,K30)=0)),IF(C30="peso_corporal",IF(ISNUMBER(E30),E30,0)+I30,I30)*(30+J30)*100+I30,0),IF((M30&gt;=6)*(1-(IF(N30="",-1,N30)&gt;=1)*(IF(N30="",-1,N30)&lt;=3))*(1-(IF(N30="",-1,N30)=0)),IF(C30="peso_corporal",IF(ISNUMBER(E30),E30,0)+L30,L30)*(30+M30)*100+L30,0),IF((P30&gt;=6)*(1-(IF(Q30="",-1,Q30)&gt;=1)*(IF(Q30="",-1,Q30)&lt;=3))*(1-(IF(Q30="",-1,Q30)=0)),IF(C30="peso_corporal",IF(ISNUMBER(E30),E30,0)+O30,O30)*(30+P30)*100+O30,0),IF((S30&gt;=6)*(1-(IF(T30="",-1,T30)&gt;=1)*(IF(T30="",-1,T30)&lt;=3))*(1-(IF(T30="",-1,T30)=0)),IF(C30="peso_corporal",IF(ISNUMBER(E30),E30,0)+R30,R30)*(30+S30)*100+R30,0))</f>
        <v>0</v>
      </c>
      <c r="AB30" s="69">
        <f>IF(AA30=0,0,IF(IF((S30&gt;=6)*(1-(IF(T30="",-1,T30)&gt;=1)*(IF(T30="",-1,T30)&lt;=3))*(1-(IF(T30="",-1,T30)=0)),IF(C30="peso_corporal",IF(ISNUMBER(E30),E30,0)+R30,R30)*(30+S30)*100+R30,0)=AA30,5,IF(IF((P30&gt;=6)*(1-(IF(Q30="",-1,Q30)&gt;=1)*(IF(Q30="",-1,Q30)&lt;=3))*(1-(IF(Q30="",-1,Q30)=0)),IF(C30="peso_corporal",IF(ISNUMBER(E30),E30,0)+O30,O30)*(30+P30)*100+O30,0)=AA30,4,IF(IF((M30&gt;=6)*(1-(IF(N30="",-1,N30)&gt;=1)*(IF(N30="",-1,N30)&lt;=3))*(1-(IF(N30="",-1,N30)=0)),IF(C30="peso_corporal",IF(ISNUMBER(E30),E30,0)+L30,L30)*(30+M30)*100+L30,0)=AA30,3,IF(IF((J30&gt;=6)*(1-(IF(K30="",-1,K30)&gt;=1)*(IF(K30="",-1,K30)&lt;=3))*(1-(IF(K30="",-1,K30)=0)),IF(C30="peso_corporal",IF(ISNUMBER(E30),E30,0)+I30,I30)*(30+J30)*100+I30,0)=AA30,2,IF(IF((G30&gt;=6)*(1-(IF(H30="",-1,H30)&gt;=1)*(IF(H30="",-1,H30)&lt;=3))*(1-(IF(H30="",-1,H30)=0)),IF(C30="peso_corporal",IF(ISNUMBER(E30),E30,0)+F30,F30)*(30+G30)*100+F30,0)=AA30,1,0))))))</f>
        <v>0</v>
      </c>
      <c r="AC30" s="69" t="str">
        <f>IF(X30&gt;0,"A"&amp;X30,IF(Z30&gt;0,"B"&amp;Z30,IF(AB30&gt;0,"C"&amp;AB30,"")))</f>
        <v/>
      </c>
    </row>
    <row r="31" spans="1:29" ht="6" customHeight="1">
      <c r="A31" s="13"/>
      <c r="B31" s="13"/>
      <c r="C31" s="13"/>
      <c r="D31" s="13"/>
      <c r="E31" s="13"/>
      <c r="F31" s="13"/>
      <c r="G31" s="13"/>
      <c r="H31" s="13"/>
      <c r="I31" s="13"/>
      <c r="J31" s="13"/>
      <c r="K31" s="13"/>
      <c r="L31" s="13"/>
      <c r="M31" s="13"/>
      <c r="N31" s="13"/>
      <c r="O31" s="13"/>
      <c r="P31" s="13"/>
      <c r="Q31" s="13"/>
      <c r="R31" s="13"/>
      <c r="S31" s="13"/>
      <c r="T31" s="13"/>
      <c r="U31" s="13"/>
      <c r="V31" s="13"/>
      <c r="W31" s="69"/>
      <c r="X31" s="69"/>
      <c r="Y31" s="69"/>
      <c r="Z31" s="69"/>
      <c r="AA31" s="69"/>
      <c r="AB31" s="69"/>
      <c r="AC31" s="69"/>
    </row>
    <row r="32" spans="1:29" ht="18" customHeight="1">
      <c r="A32" s="85" t="s">
        <v>59</v>
      </c>
      <c r="B32" s="73"/>
      <c r="C32" s="73"/>
      <c r="D32" s="73"/>
      <c r="E32" s="73"/>
      <c r="F32" s="73"/>
      <c r="G32" s="73"/>
      <c r="H32" s="73"/>
      <c r="I32" s="73"/>
      <c r="J32" s="73"/>
      <c r="K32" s="73"/>
      <c r="L32" s="73"/>
      <c r="M32" s="73"/>
      <c r="N32" s="73"/>
      <c r="O32" s="73"/>
      <c r="P32" s="73"/>
      <c r="Q32" s="73"/>
      <c r="R32" s="73"/>
      <c r="S32" s="73"/>
      <c r="T32" s="73"/>
      <c r="U32" s="73"/>
      <c r="V32" s="73"/>
      <c r="W32" s="69"/>
      <c r="X32" s="69"/>
      <c r="Y32" s="69"/>
      <c r="Z32" s="69"/>
      <c r="AA32" s="69"/>
      <c r="AB32" s="69"/>
      <c r="AC32" s="69"/>
    </row>
    <row r="33" spans="1:29" ht="15" customHeight="1">
      <c r="A33" s="88" t="s">
        <v>129</v>
      </c>
      <c r="B33" s="73"/>
      <c r="C33" s="73"/>
      <c r="D33" s="73"/>
      <c r="E33" s="73"/>
      <c r="F33" s="73"/>
      <c r="G33" s="73"/>
      <c r="H33" s="73"/>
      <c r="I33" s="73"/>
      <c r="J33" s="73"/>
      <c r="K33" s="73"/>
      <c r="L33" s="73"/>
      <c r="M33" s="73"/>
      <c r="N33" s="73"/>
      <c r="O33" s="73"/>
      <c r="P33" s="73"/>
      <c r="Q33" s="73"/>
      <c r="R33" s="73"/>
      <c r="S33" s="73"/>
      <c r="T33" s="73"/>
      <c r="U33" s="73"/>
      <c r="V33" s="73"/>
      <c r="W33" s="69"/>
      <c r="X33" s="69"/>
      <c r="Y33" s="69"/>
      <c r="Z33" s="69"/>
      <c r="AA33" s="69"/>
      <c r="AB33" s="69"/>
      <c r="AC33" s="69"/>
    </row>
    <row r="34" spans="1:29" ht="20.100000000000001" customHeight="1">
      <c r="A34" s="14" t="s">
        <v>130</v>
      </c>
      <c r="B34" s="15" t="s">
        <v>131</v>
      </c>
      <c r="C34" s="16" t="str">
        <f>IFERROR(INDEX(EJERCICIOS!$D$3:$D$75,MATCH(A34&amp;"|"&amp;B34,EJERCICIOS!$G$3:$G$75,0)),"--")</f>
        <v>polea</v>
      </c>
      <c r="D34" s="17">
        <v>3</v>
      </c>
      <c r="E34" s="18">
        <f>IFERROR(LOOKUP(2,1/(MEDIDAS_Y_PESO!$B$3:$B$4&lt;&gt;""),MEDIDAS_Y_PESO!$B$3:$B$4),"--")</f>
        <v>80</v>
      </c>
      <c r="F34" s="19"/>
      <c r="G34" s="20"/>
      <c r="H34" s="21"/>
      <c r="I34" s="19"/>
      <c r="J34" s="20"/>
      <c r="K34" s="21"/>
      <c r="L34" s="19"/>
      <c r="M34" s="20"/>
      <c r="N34" s="21"/>
      <c r="O34" s="19"/>
      <c r="P34" s="20"/>
      <c r="Q34" s="21"/>
      <c r="R34" s="19"/>
      <c r="S34" s="20"/>
      <c r="T34" s="21"/>
      <c r="U34" s="22" t="str">
        <f>IFERROR(IF(IF(X34&gt;0,X34,IF(Z34&gt;0,Z34,IF(AB34&gt;0,AB34,0)))=0,"--",ROUND(CHOOSE(IF(X34&gt;0,X34,IF(Z34&gt;0,Z34,IF(AB34&gt;0,AB34,0))),IF(C34="peso_corporal",IF(ISNUMBER(E34),E34,0)+F34,F34)*(1+G34/30),IF(C34="peso_corporal",IF(ISNUMBER(E34),E34,0)+I34,I34)*(1+J34/30),IF(C34="peso_corporal",IF(ISNUMBER(E34),E34,0)+L34,L34)*(1+M34/30),IF(C34="peso_corporal",IF(ISNUMBER(E34),E34,0)+O34,O34)*(1+P34/30),IF(C34="peso_corporal",IF(ISNUMBER(E34),E34,0)+R34,R34)*(1+S34/30)),1)),"--")</f>
        <v>--</v>
      </c>
      <c r="V34" s="23" t="str">
        <f>IF(SUGERENCIAS!N89="SIN","Sin datos anteriores",IF(SUGERENCIAS!N89="SUBIR_F","^ SUBIR FUERTE | Kg:"&amp;ROUND(SUGERENCIAS!K89,1)&amp;" R:"&amp;ROUND(SUGERENCIAS!L89,0)&amp;" RIR:"&amp;ROUND(SUGERENCIAS!M89,0),IF(SUGERENCIAS!N89="SUBIR_E","^ SUBIR (Est.) | Kg:"&amp;ROUND(SUGERENCIAS!K89,1)&amp;" R:"&amp;ROUND(SUGERENCIAS!L89,0)&amp;" RIR:"&amp;ROUND(SUGERENCIAS!M89,0),IF(SUGERENCIAS!N89="SUBIR","^ SUBIR | Kg:"&amp;ROUND(SUGERENCIAS!K89,1)&amp;" R:"&amp;ROUND(SUGERENCIAS!L89,0)&amp;" RIR:"&amp;ROUND(SUGERENCIAS!M89,0),IF(SUGERENCIAS!N89="BAJAR","v BAJAR | Kg:"&amp;ROUND(SUGERENCIAS!K89,1)&amp;" R:"&amp;ROUND(SUGERENCIAS!L89,0)&amp;" RIR:"&amp;ROUND(SUGERENCIAS!M89,0),"= MANT | Kg:"&amp;ROUND(SUGERENCIAS!K89,1)&amp;" R:"&amp;ROUND(SUGERENCIAS!L89,0)&amp;" RIR:"&amp;ROUND(SUGERENCIAS!M89,0))))))</f>
        <v>Sin datos anteriores</v>
      </c>
      <c r="W34" s="69">
        <f>MAX(IF((G34&gt;0)*(IF(H34="",-1,H34)&gt;=1)*(IF(H34="",-1,H34)&lt;=3),IF(C34="peso_corporal",IF(ISNUMBER(E34),E34,0)+F34,F34)*G34*1000+F34,0),IF((J34&gt;0)*(IF(K34="",-1,K34)&gt;=1)*(IF(K34="",-1,K34)&lt;=3),IF(C34="peso_corporal",IF(ISNUMBER(E34),E34,0)+I34,I34)*J34*1000+I34,0),IF((M34&gt;0)*(IF(N34="",-1,N34)&gt;=1)*(IF(N34="",-1,N34)&lt;=3),IF(C34="peso_corporal",IF(ISNUMBER(E34),E34,0)+L34,L34)*M34*1000+L34,0),IF((P34&gt;0)*(IF(Q34="",-1,Q34)&gt;=1)*(IF(Q34="",-1,Q34)&lt;=3),IF(C34="peso_corporal",IF(ISNUMBER(E34),E34,0)+O34,O34)*P34*1000+O34,0),IF((S34&gt;0)*(IF(T34="",-1,T34)&gt;=1)*(IF(T34="",-1,T34)&lt;=3),IF(C34="peso_corporal",IF(ISNUMBER(E34),E34,0)+R34,R34)*S34*1000+R34,0))</f>
        <v>0</v>
      </c>
      <c r="X34" s="69">
        <f>IF(W34=0,0,IF(IF((S34&gt;0)*(IF(T34="",-1,T34)&gt;=1)*(IF(T34="",-1,T34)&lt;=3),IF(C34="peso_corporal",IF(ISNUMBER(E34),E34,0)+R34,R34)*S34*1000+R34,0)=W34,5,IF(IF((P34&gt;0)*(IF(Q34="",-1,Q34)&gt;=1)*(IF(Q34="",-1,Q34)&lt;=3),IF(C34="peso_corporal",IF(ISNUMBER(E34),E34,0)+O34,O34)*P34*1000+O34,0)=W34,4,IF(IF((M34&gt;0)*(IF(N34="",-1,N34)&gt;=1)*(IF(N34="",-1,N34)&lt;=3),IF(C34="peso_corporal",IF(ISNUMBER(E34),E34,0)+L34,L34)*M34*1000+L34,0)=W34,3,IF(IF((J34&gt;0)*(IF(K34="",-1,K34)&gt;=1)*(IF(K34="",-1,K34)&lt;=3),IF(C34="peso_corporal",IF(ISNUMBER(E34),E34,0)+I34,I34)*J34*1000+I34,0)=W34,2,IF(IF((G34&gt;0)*(IF(H34="",-1,H34)&gt;=1)*(IF(H34="",-1,H34)&lt;=3),IF(C34="peso_corporal",IF(ISNUMBER(E34),E34,0)+F34,F34)*G34*1000+F34,0)=W34,1,0))))))</f>
        <v>0</v>
      </c>
      <c r="Y34" s="69">
        <f>MAX(IF((G34&gt;0)*(IF(H34="",-1,H34)=0)*(1-(IF(H34="",-1,H34)&gt;=1)*(IF(H34="",-1,H34)&lt;=3)),IF(C34="peso_corporal",IF(ISNUMBER(E34),E34,0)+F34,F34)*G34*1000+F34,0),IF((J34&gt;0)*(IF(K34="",-1,K34)=0)*(1-(IF(K34="",-1,K34)&gt;=1)*(IF(K34="",-1,K34)&lt;=3)),IF(C34="peso_corporal",IF(ISNUMBER(E34),E34,0)+I34,I34)*J34*1000+I34,0),IF((M34&gt;0)*(IF(N34="",-1,N34)=0)*(1-(IF(N34="",-1,N34)&gt;=1)*(IF(N34="",-1,N34)&lt;=3)),IF(C34="peso_corporal",IF(ISNUMBER(E34),E34,0)+L34,L34)*M34*1000+L34,0),IF((P34&gt;0)*(IF(Q34="",-1,Q34)=0)*(1-(IF(Q34="",-1,Q34)&gt;=1)*(IF(Q34="",-1,Q34)&lt;=3)),IF(C34="peso_corporal",IF(ISNUMBER(E34),E34,0)+O34,O34)*P34*1000+O34,0),IF((S34&gt;0)*(IF(T34="",-1,T34)=0)*(1-(IF(T34="",-1,T34)&gt;=1)*(IF(T34="",-1,T34)&lt;=3)),IF(C34="peso_corporal",IF(ISNUMBER(E34),E34,0)+R34,R34)*S34*1000+R34,0))</f>
        <v>0</v>
      </c>
      <c r="Z34" s="69">
        <f>IF(Y34=0,0,IF(IF((S34&gt;0)*(IF(T34="",-1,T34)=0)*(1-(IF(T34="",-1,T34)&gt;=1)*(IF(T34="",-1,T34)&lt;=3)),IF(C34="peso_corporal",IF(ISNUMBER(E34),E34,0)+R34,R34)*S34*1000+R34,0)=Y34,5,IF(IF((P34&gt;0)*(IF(Q34="",-1,Q34)=0)*(1-(IF(Q34="",-1,Q34)&gt;=1)*(IF(Q34="",-1,Q34)&lt;=3)),IF(C34="peso_corporal",IF(ISNUMBER(E34),E34,0)+O34,O34)*P34*1000+O34,0)=Y34,4,IF(IF((M34&gt;0)*(IF(N34="",-1,N34)=0)*(1-(IF(N34="",-1,N34)&gt;=1)*(IF(N34="",-1,N34)&lt;=3)),IF(C34="peso_corporal",IF(ISNUMBER(E34),E34,0)+L34,L34)*M34*1000+L34,0)=Y34,3,IF(IF((J34&gt;0)*(IF(K34="",-1,K34)=0)*(1-(IF(K34="",-1,K34)&gt;=1)*(IF(K34="",-1,K34)&lt;=3)),IF(C34="peso_corporal",IF(ISNUMBER(E34),E34,0)+I34,I34)*J34*1000+I34,0)=Y34,2,IF(IF((G34&gt;0)*(IF(H34="",-1,H34)=0)*(1-(IF(H34="",-1,H34)&gt;=1)*(IF(H34="",-1,H34)&lt;=3)),IF(C34="peso_corporal",IF(ISNUMBER(E34),E34,0)+F34,F34)*G34*1000+F34,0)=Y34,1,0))))))</f>
        <v>0</v>
      </c>
      <c r="AA34" s="69">
        <f>MAX(IF((G34&gt;=6)*(1-(IF(H34="",-1,H34)&gt;=1)*(IF(H34="",-1,H34)&lt;=3))*(1-(IF(H34="",-1,H34)=0)),IF(C34="peso_corporal",IF(ISNUMBER(E34),E34,0)+F34,F34)*(30+G34)*100+F34,0),IF((J34&gt;=6)*(1-(IF(K34="",-1,K34)&gt;=1)*(IF(K34="",-1,K34)&lt;=3))*(1-(IF(K34="",-1,K34)=0)),IF(C34="peso_corporal",IF(ISNUMBER(E34),E34,0)+I34,I34)*(30+J34)*100+I34,0),IF((M34&gt;=6)*(1-(IF(N34="",-1,N34)&gt;=1)*(IF(N34="",-1,N34)&lt;=3))*(1-(IF(N34="",-1,N34)=0)),IF(C34="peso_corporal",IF(ISNUMBER(E34),E34,0)+L34,L34)*(30+M34)*100+L34,0),IF((P34&gt;=6)*(1-(IF(Q34="",-1,Q34)&gt;=1)*(IF(Q34="",-1,Q34)&lt;=3))*(1-(IF(Q34="",-1,Q34)=0)),IF(C34="peso_corporal",IF(ISNUMBER(E34),E34,0)+O34,O34)*(30+P34)*100+O34,0),IF((S34&gt;=6)*(1-(IF(T34="",-1,T34)&gt;=1)*(IF(T34="",-1,T34)&lt;=3))*(1-(IF(T34="",-1,T34)=0)),IF(C34="peso_corporal",IF(ISNUMBER(E34),E34,0)+R34,R34)*(30+S34)*100+R34,0))</f>
        <v>0</v>
      </c>
      <c r="AB34" s="69">
        <f>IF(AA34=0,0,IF(IF((S34&gt;=6)*(1-(IF(T34="",-1,T34)&gt;=1)*(IF(T34="",-1,T34)&lt;=3))*(1-(IF(T34="",-1,T34)=0)),IF(C34="peso_corporal",IF(ISNUMBER(E34),E34,0)+R34,R34)*(30+S34)*100+R34,0)=AA34,5,IF(IF((P34&gt;=6)*(1-(IF(Q34="",-1,Q34)&gt;=1)*(IF(Q34="",-1,Q34)&lt;=3))*(1-(IF(Q34="",-1,Q34)=0)),IF(C34="peso_corporal",IF(ISNUMBER(E34),E34,0)+O34,O34)*(30+P34)*100+O34,0)=AA34,4,IF(IF((M34&gt;=6)*(1-(IF(N34="",-1,N34)&gt;=1)*(IF(N34="",-1,N34)&lt;=3))*(1-(IF(N34="",-1,N34)=0)),IF(C34="peso_corporal",IF(ISNUMBER(E34),E34,0)+L34,L34)*(30+M34)*100+L34,0)=AA34,3,IF(IF((J34&gt;=6)*(1-(IF(K34="",-1,K34)&gt;=1)*(IF(K34="",-1,K34)&lt;=3))*(1-(IF(K34="",-1,K34)=0)),IF(C34="peso_corporal",IF(ISNUMBER(E34),E34,0)+I34,I34)*(30+J34)*100+I34,0)=AA34,2,IF(IF((G34&gt;=6)*(1-(IF(H34="",-1,H34)&gt;=1)*(IF(H34="",-1,H34)&lt;=3))*(1-(IF(H34="",-1,H34)=0)),IF(C34="peso_corporal",IF(ISNUMBER(E34),E34,0)+F34,F34)*(30+G34)*100+F34,0)=AA34,1,0))))))</f>
        <v>0</v>
      </c>
      <c r="AC34" s="69" t="str">
        <f>IF(X34&gt;0,"A"&amp;X34,IF(Z34&gt;0,"B"&amp;Z34,IF(AB34&gt;0,"C"&amp;AB34,"")))</f>
        <v/>
      </c>
    </row>
    <row r="35" spans="1:29" ht="20.100000000000001" customHeight="1">
      <c r="A35" s="14" t="s">
        <v>130</v>
      </c>
      <c r="B35" s="15" t="s">
        <v>132</v>
      </c>
      <c r="C35" s="16" t="str">
        <f>IFERROR(INDEX(EJERCICIOS!$D$3:$D$75,MATCH(A35&amp;"|"&amp;B35,EJERCICIOS!$G$3:$G$75,0)),"--")</f>
        <v>polea</v>
      </c>
      <c r="D35" s="17">
        <v>3</v>
      </c>
      <c r="E35" s="18">
        <f>IFERROR(LOOKUP(2,1/(MEDIDAS_Y_PESO!$B$3:$B$4&lt;&gt;""),MEDIDAS_Y_PESO!$B$3:$B$4),"--")</f>
        <v>80</v>
      </c>
      <c r="F35" s="19"/>
      <c r="G35" s="20"/>
      <c r="H35" s="21"/>
      <c r="I35" s="19"/>
      <c r="J35" s="20"/>
      <c r="K35" s="21"/>
      <c r="L35" s="19"/>
      <c r="M35" s="20"/>
      <c r="N35" s="21"/>
      <c r="O35" s="19"/>
      <c r="P35" s="20"/>
      <c r="Q35" s="21"/>
      <c r="R35" s="19"/>
      <c r="S35" s="20"/>
      <c r="T35" s="21"/>
      <c r="U35" s="22" t="str">
        <f>IFERROR(IF(IF(X35&gt;0,X35,IF(Z35&gt;0,Z35,IF(AB35&gt;0,AB35,0)))=0,"--",ROUND(CHOOSE(IF(X35&gt;0,X35,IF(Z35&gt;0,Z35,IF(AB35&gt;0,AB35,0))),IF(C35="peso_corporal",IF(ISNUMBER(E35),E35,0)+F35,F35)*(1+G35/30),IF(C35="peso_corporal",IF(ISNUMBER(E35),E35,0)+I35,I35)*(1+J35/30),IF(C35="peso_corporal",IF(ISNUMBER(E35),E35,0)+L35,L35)*(1+M35/30),IF(C35="peso_corporal",IF(ISNUMBER(E35),E35,0)+O35,O35)*(1+P35/30),IF(C35="peso_corporal",IF(ISNUMBER(E35),E35,0)+R35,R35)*(1+S35/30)),1)),"--")</f>
        <v>--</v>
      </c>
      <c r="V35" s="23" t="str">
        <f>IF(SUGERENCIAS!N90="SIN","Sin datos anteriores",IF(SUGERENCIAS!N90="SUBIR_F","^ SUBIR FUERTE | Kg:"&amp;ROUND(SUGERENCIAS!K90,1)&amp;" R:"&amp;ROUND(SUGERENCIAS!L90,0)&amp;" RIR:"&amp;ROUND(SUGERENCIAS!M90,0),IF(SUGERENCIAS!N90="SUBIR_E","^ SUBIR (Est.) | Kg:"&amp;ROUND(SUGERENCIAS!K90,1)&amp;" R:"&amp;ROUND(SUGERENCIAS!L90,0)&amp;" RIR:"&amp;ROUND(SUGERENCIAS!M90,0),IF(SUGERENCIAS!N90="SUBIR","^ SUBIR | Kg:"&amp;ROUND(SUGERENCIAS!K90,1)&amp;" R:"&amp;ROUND(SUGERENCIAS!L90,0)&amp;" RIR:"&amp;ROUND(SUGERENCIAS!M90,0),IF(SUGERENCIAS!N90="BAJAR","v BAJAR | Kg:"&amp;ROUND(SUGERENCIAS!K90,1)&amp;" R:"&amp;ROUND(SUGERENCIAS!L90,0)&amp;" RIR:"&amp;ROUND(SUGERENCIAS!M90,0),"= MANT | Kg:"&amp;ROUND(SUGERENCIAS!K90,1)&amp;" R:"&amp;ROUND(SUGERENCIAS!L90,0)&amp;" RIR:"&amp;ROUND(SUGERENCIAS!M90,0))))))</f>
        <v>Sin datos anteriores</v>
      </c>
      <c r="W35" s="69">
        <f>MAX(IF((G35&gt;0)*(IF(H35="",-1,H35)&gt;=1)*(IF(H35="",-1,H35)&lt;=3),IF(C35="peso_corporal",IF(ISNUMBER(E35),E35,0)+F35,F35)*G35*1000+F35,0),IF((J35&gt;0)*(IF(K35="",-1,K35)&gt;=1)*(IF(K35="",-1,K35)&lt;=3),IF(C35="peso_corporal",IF(ISNUMBER(E35),E35,0)+I35,I35)*J35*1000+I35,0),IF((M35&gt;0)*(IF(N35="",-1,N35)&gt;=1)*(IF(N35="",-1,N35)&lt;=3),IF(C35="peso_corporal",IF(ISNUMBER(E35),E35,0)+L35,L35)*M35*1000+L35,0),IF((P35&gt;0)*(IF(Q35="",-1,Q35)&gt;=1)*(IF(Q35="",-1,Q35)&lt;=3),IF(C35="peso_corporal",IF(ISNUMBER(E35),E35,0)+O35,O35)*P35*1000+O35,0),IF((S35&gt;0)*(IF(T35="",-1,T35)&gt;=1)*(IF(T35="",-1,T35)&lt;=3),IF(C35="peso_corporal",IF(ISNUMBER(E35),E35,0)+R35,R35)*S35*1000+R35,0))</f>
        <v>0</v>
      </c>
      <c r="X35" s="69">
        <f>IF(W35=0,0,IF(IF((S35&gt;0)*(IF(T35="",-1,T35)&gt;=1)*(IF(T35="",-1,T35)&lt;=3),IF(C35="peso_corporal",IF(ISNUMBER(E35),E35,0)+R35,R35)*S35*1000+R35,0)=W35,5,IF(IF((P35&gt;0)*(IF(Q35="",-1,Q35)&gt;=1)*(IF(Q35="",-1,Q35)&lt;=3),IF(C35="peso_corporal",IF(ISNUMBER(E35),E35,0)+O35,O35)*P35*1000+O35,0)=W35,4,IF(IF((M35&gt;0)*(IF(N35="",-1,N35)&gt;=1)*(IF(N35="",-1,N35)&lt;=3),IF(C35="peso_corporal",IF(ISNUMBER(E35),E35,0)+L35,L35)*M35*1000+L35,0)=W35,3,IF(IF((J35&gt;0)*(IF(K35="",-1,K35)&gt;=1)*(IF(K35="",-1,K35)&lt;=3),IF(C35="peso_corporal",IF(ISNUMBER(E35),E35,0)+I35,I35)*J35*1000+I35,0)=W35,2,IF(IF((G35&gt;0)*(IF(H35="",-1,H35)&gt;=1)*(IF(H35="",-1,H35)&lt;=3),IF(C35="peso_corporal",IF(ISNUMBER(E35),E35,0)+F35,F35)*G35*1000+F35,0)=W35,1,0))))))</f>
        <v>0</v>
      </c>
      <c r="Y35" s="69">
        <f>MAX(IF((G35&gt;0)*(IF(H35="",-1,H35)=0)*(1-(IF(H35="",-1,H35)&gt;=1)*(IF(H35="",-1,H35)&lt;=3)),IF(C35="peso_corporal",IF(ISNUMBER(E35),E35,0)+F35,F35)*G35*1000+F35,0),IF((J35&gt;0)*(IF(K35="",-1,K35)=0)*(1-(IF(K35="",-1,K35)&gt;=1)*(IF(K35="",-1,K35)&lt;=3)),IF(C35="peso_corporal",IF(ISNUMBER(E35),E35,0)+I35,I35)*J35*1000+I35,0),IF((M35&gt;0)*(IF(N35="",-1,N35)=0)*(1-(IF(N35="",-1,N35)&gt;=1)*(IF(N35="",-1,N35)&lt;=3)),IF(C35="peso_corporal",IF(ISNUMBER(E35),E35,0)+L35,L35)*M35*1000+L35,0),IF((P35&gt;0)*(IF(Q35="",-1,Q35)=0)*(1-(IF(Q35="",-1,Q35)&gt;=1)*(IF(Q35="",-1,Q35)&lt;=3)),IF(C35="peso_corporal",IF(ISNUMBER(E35),E35,0)+O35,O35)*P35*1000+O35,0),IF((S35&gt;0)*(IF(T35="",-1,T35)=0)*(1-(IF(T35="",-1,T35)&gt;=1)*(IF(T35="",-1,T35)&lt;=3)),IF(C35="peso_corporal",IF(ISNUMBER(E35),E35,0)+R35,R35)*S35*1000+R35,0))</f>
        <v>0</v>
      </c>
      <c r="Z35" s="69">
        <f>IF(Y35=0,0,IF(IF((S35&gt;0)*(IF(T35="",-1,T35)=0)*(1-(IF(T35="",-1,T35)&gt;=1)*(IF(T35="",-1,T35)&lt;=3)),IF(C35="peso_corporal",IF(ISNUMBER(E35),E35,0)+R35,R35)*S35*1000+R35,0)=Y35,5,IF(IF((P35&gt;0)*(IF(Q35="",-1,Q35)=0)*(1-(IF(Q35="",-1,Q35)&gt;=1)*(IF(Q35="",-1,Q35)&lt;=3)),IF(C35="peso_corporal",IF(ISNUMBER(E35),E35,0)+O35,O35)*P35*1000+O35,0)=Y35,4,IF(IF((M35&gt;0)*(IF(N35="",-1,N35)=0)*(1-(IF(N35="",-1,N35)&gt;=1)*(IF(N35="",-1,N35)&lt;=3)),IF(C35="peso_corporal",IF(ISNUMBER(E35),E35,0)+L35,L35)*M35*1000+L35,0)=Y35,3,IF(IF((J35&gt;0)*(IF(K35="",-1,K35)=0)*(1-(IF(K35="",-1,K35)&gt;=1)*(IF(K35="",-1,K35)&lt;=3)),IF(C35="peso_corporal",IF(ISNUMBER(E35),E35,0)+I35,I35)*J35*1000+I35,0)=Y35,2,IF(IF((G35&gt;0)*(IF(H35="",-1,H35)=0)*(1-(IF(H35="",-1,H35)&gt;=1)*(IF(H35="",-1,H35)&lt;=3)),IF(C35="peso_corporal",IF(ISNUMBER(E35),E35,0)+F35,F35)*G35*1000+F35,0)=Y35,1,0))))))</f>
        <v>0</v>
      </c>
      <c r="AA35" s="69">
        <f>MAX(IF((G35&gt;=6)*(1-(IF(H35="",-1,H35)&gt;=1)*(IF(H35="",-1,H35)&lt;=3))*(1-(IF(H35="",-1,H35)=0)),IF(C35="peso_corporal",IF(ISNUMBER(E35),E35,0)+F35,F35)*(30+G35)*100+F35,0),IF((J35&gt;=6)*(1-(IF(K35="",-1,K35)&gt;=1)*(IF(K35="",-1,K35)&lt;=3))*(1-(IF(K35="",-1,K35)=0)),IF(C35="peso_corporal",IF(ISNUMBER(E35),E35,0)+I35,I35)*(30+J35)*100+I35,0),IF((M35&gt;=6)*(1-(IF(N35="",-1,N35)&gt;=1)*(IF(N35="",-1,N35)&lt;=3))*(1-(IF(N35="",-1,N35)=0)),IF(C35="peso_corporal",IF(ISNUMBER(E35),E35,0)+L35,L35)*(30+M35)*100+L35,0),IF((P35&gt;=6)*(1-(IF(Q35="",-1,Q35)&gt;=1)*(IF(Q35="",-1,Q35)&lt;=3))*(1-(IF(Q35="",-1,Q35)=0)),IF(C35="peso_corporal",IF(ISNUMBER(E35),E35,0)+O35,O35)*(30+P35)*100+O35,0),IF((S35&gt;=6)*(1-(IF(T35="",-1,T35)&gt;=1)*(IF(T35="",-1,T35)&lt;=3))*(1-(IF(T35="",-1,T35)=0)),IF(C35="peso_corporal",IF(ISNUMBER(E35),E35,0)+R35,R35)*(30+S35)*100+R35,0))</f>
        <v>0</v>
      </c>
      <c r="AB35" s="69">
        <f>IF(AA35=0,0,IF(IF((S35&gt;=6)*(1-(IF(T35="",-1,T35)&gt;=1)*(IF(T35="",-1,T35)&lt;=3))*(1-(IF(T35="",-1,T35)=0)),IF(C35="peso_corporal",IF(ISNUMBER(E35),E35,0)+R35,R35)*(30+S35)*100+R35,0)=AA35,5,IF(IF((P35&gt;=6)*(1-(IF(Q35="",-1,Q35)&gt;=1)*(IF(Q35="",-1,Q35)&lt;=3))*(1-(IF(Q35="",-1,Q35)=0)),IF(C35="peso_corporal",IF(ISNUMBER(E35),E35,0)+O35,O35)*(30+P35)*100+O35,0)=AA35,4,IF(IF((M35&gt;=6)*(1-(IF(N35="",-1,N35)&gt;=1)*(IF(N35="",-1,N35)&lt;=3))*(1-(IF(N35="",-1,N35)=0)),IF(C35="peso_corporal",IF(ISNUMBER(E35),E35,0)+L35,L35)*(30+M35)*100+L35,0)=AA35,3,IF(IF((J35&gt;=6)*(1-(IF(K35="",-1,K35)&gt;=1)*(IF(K35="",-1,K35)&lt;=3))*(1-(IF(K35="",-1,K35)=0)),IF(C35="peso_corporal",IF(ISNUMBER(E35),E35,0)+I35,I35)*(30+J35)*100+I35,0)=AA35,2,IF(IF((G35&gt;=6)*(1-(IF(H35="",-1,H35)&gt;=1)*(IF(H35="",-1,H35)&lt;=3))*(1-(IF(H35="",-1,H35)=0)),IF(C35="peso_corporal",IF(ISNUMBER(E35),E35,0)+F35,F35)*(30+G35)*100+F35,0)=AA35,1,0))))))</f>
        <v>0</v>
      </c>
      <c r="AC35" s="69" t="str">
        <f>IF(X35&gt;0,"A"&amp;X35,IF(Z35&gt;0,"B"&amp;Z35,IF(AB35&gt;0,"C"&amp;AB35,"")))</f>
        <v/>
      </c>
    </row>
    <row r="36" spans="1:29" ht="20.100000000000001" customHeight="1">
      <c r="A36" s="14" t="s">
        <v>133</v>
      </c>
      <c r="B36" s="15" t="s">
        <v>31</v>
      </c>
      <c r="C36" s="16" t="str">
        <f>IFERROR(INDEX(EJERCICIOS!$D$3:$D$75,MATCH(A36&amp;"|"&amp;B36,EJERCICIOS!$G$3:$G$75,0)),"--")</f>
        <v>mancuerna</v>
      </c>
      <c r="D36" s="17">
        <v>3</v>
      </c>
      <c r="E36" s="18">
        <f>IFERROR(LOOKUP(2,1/(MEDIDAS_Y_PESO!$B$3:$B$4&lt;&gt;""),MEDIDAS_Y_PESO!$B$3:$B$4),"--")</f>
        <v>80</v>
      </c>
      <c r="F36" s="19"/>
      <c r="G36" s="20"/>
      <c r="H36" s="21"/>
      <c r="I36" s="19"/>
      <c r="J36" s="20"/>
      <c r="K36" s="21"/>
      <c r="L36" s="19"/>
      <c r="M36" s="20"/>
      <c r="N36" s="21"/>
      <c r="O36" s="19"/>
      <c r="P36" s="20"/>
      <c r="Q36" s="21"/>
      <c r="R36" s="19"/>
      <c r="S36" s="20"/>
      <c r="T36" s="21"/>
      <c r="U36" s="22" t="str">
        <f>IFERROR(IF(IF(X36&gt;0,X36,IF(Z36&gt;0,Z36,IF(AB36&gt;0,AB36,0)))=0,"--",ROUND(CHOOSE(IF(X36&gt;0,X36,IF(Z36&gt;0,Z36,IF(AB36&gt;0,AB36,0))),IF(C36="peso_corporal",IF(ISNUMBER(E36),E36,0)+F36,F36)*(1+G36/30),IF(C36="peso_corporal",IF(ISNUMBER(E36),E36,0)+I36,I36)*(1+J36/30),IF(C36="peso_corporal",IF(ISNUMBER(E36),E36,0)+L36,L36)*(1+M36/30),IF(C36="peso_corporal",IF(ISNUMBER(E36),E36,0)+O36,O36)*(1+P36/30),IF(C36="peso_corporal",IF(ISNUMBER(E36),E36,0)+R36,R36)*(1+S36/30)),1)),"--")</f>
        <v>--</v>
      </c>
      <c r="V36" s="23" t="str">
        <f>IF(SUGERENCIAS!N91="SIN","Sin datos anteriores",IF(SUGERENCIAS!N91="SUBIR_F","^ SUBIR FUERTE | Kg:"&amp;ROUND(SUGERENCIAS!K91,1)&amp;" R:"&amp;ROUND(SUGERENCIAS!L91,0)&amp;" RIR:"&amp;ROUND(SUGERENCIAS!M91,0),IF(SUGERENCIAS!N91="SUBIR_E","^ SUBIR (Est.) | Kg:"&amp;ROUND(SUGERENCIAS!K91,1)&amp;" R:"&amp;ROUND(SUGERENCIAS!L91,0)&amp;" RIR:"&amp;ROUND(SUGERENCIAS!M91,0),IF(SUGERENCIAS!N91="SUBIR","^ SUBIR | Kg:"&amp;ROUND(SUGERENCIAS!K91,1)&amp;" R:"&amp;ROUND(SUGERENCIAS!L91,0)&amp;" RIR:"&amp;ROUND(SUGERENCIAS!M91,0),IF(SUGERENCIAS!N91="BAJAR","v BAJAR | Kg:"&amp;ROUND(SUGERENCIAS!K91,1)&amp;" R:"&amp;ROUND(SUGERENCIAS!L91,0)&amp;" RIR:"&amp;ROUND(SUGERENCIAS!M91,0),"= MANT | Kg:"&amp;ROUND(SUGERENCIAS!K91,1)&amp;" R:"&amp;ROUND(SUGERENCIAS!L91,0)&amp;" RIR:"&amp;ROUND(SUGERENCIAS!M91,0))))))</f>
        <v>Sin datos anteriores</v>
      </c>
      <c r="W36" s="69">
        <f>MAX(IF((G36&gt;0)*(IF(H36="",-1,H36)&gt;=1)*(IF(H36="",-1,H36)&lt;=3),IF(C36="peso_corporal",IF(ISNUMBER(E36),E36,0)+F36,F36)*G36*1000+F36,0),IF((J36&gt;0)*(IF(K36="",-1,K36)&gt;=1)*(IF(K36="",-1,K36)&lt;=3),IF(C36="peso_corporal",IF(ISNUMBER(E36),E36,0)+I36,I36)*J36*1000+I36,0),IF((M36&gt;0)*(IF(N36="",-1,N36)&gt;=1)*(IF(N36="",-1,N36)&lt;=3),IF(C36="peso_corporal",IF(ISNUMBER(E36),E36,0)+L36,L36)*M36*1000+L36,0),IF((P36&gt;0)*(IF(Q36="",-1,Q36)&gt;=1)*(IF(Q36="",-1,Q36)&lt;=3),IF(C36="peso_corporal",IF(ISNUMBER(E36),E36,0)+O36,O36)*P36*1000+O36,0),IF((S36&gt;0)*(IF(T36="",-1,T36)&gt;=1)*(IF(T36="",-1,T36)&lt;=3),IF(C36="peso_corporal",IF(ISNUMBER(E36),E36,0)+R36,R36)*S36*1000+R36,0))</f>
        <v>0</v>
      </c>
      <c r="X36" s="69">
        <f>IF(W36=0,0,IF(IF((S36&gt;0)*(IF(T36="",-1,T36)&gt;=1)*(IF(T36="",-1,T36)&lt;=3),IF(C36="peso_corporal",IF(ISNUMBER(E36),E36,0)+R36,R36)*S36*1000+R36,0)=W36,5,IF(IF((P36&gt;0)*(IF(Q36="",-1,Q36)&gt;=1)*(IF(Q36="",-1,Q36)&lt;=3),IF(C36="peso_corporal",IF(ISNUMBER(E36),E36,0)+O36,O36)*P36*1000+O36,0)=W36,4,IF(IF((M36&gt;0)*(IF(N36="",-1,N36)&gt;=1)*(IF(N36="",-1,N36)&lt;=3),IF(C36="peso_corporal",IF(ISNUMBER(E36),E36,0)+L36,L36)*M36*1000+L36,0)=W36,3,IF(IF((J36&gt;0)*(IF(K36="",-1,K36)&gt;=1)*(IF(K36="",-1,K36)&lt;=3),IF(C36="peso_corporal",IF(ISNUMBER(E36),E36,0)+I36,I36)*J36*1000+I36,0)=W36,2,IF(IF((G36&gt;0)*(IF(H36="",-1,H36)&gt;=1)*(IF(H36="",-1,H36)&lt;=3),IF(C36="peso_corporal",IF(ISNUMBER(E36),E36,0)+F36,F36)*G36*1000+F36,0)=W36,1,0))))))</f>
        <v>0</v>
      </c>
      <c r="Y36" s="69">
        <f>MAX(IF((G36&gt;0)*(IF(H36="",-1,H36)=0)*(1-(IF(H36="",-1,H36)&gt;=1)*(IF(H36="",-1,H36)&lt;=3)),IF(C36="peso_corporal",IF(ISNUMBER(E36),E36,0)+F36,F36)*G36*1000+F36,0),IF((J36&gt;0)*(IF(K36="",-1,K36)=0)*(1-(IF(K36="",-1,K36)&gt;=1)*(IF(K36="",-1,K36)&lt;=3)),IF(C36="peso_corporal",IF(ISNUMBER(E36),E36,0)+I36,I36)*J36*1000+I36,0),IF((M36&gt;0)*(IF(N36="",-1,N36)=0)*(1-(IF(N36="",-1,N36)&gt;=1)*(IF(N36="",-1,N36)&lt;=3)),IF(C36="peso_corporal",IF(ISNUMBER(E36),E36,0)+L36,L36)*M36*1000+L36,0),IF((P36&gt;0)*(IF(Q36="",-1,Q36)=0)*(1-(IF(Q36="",-1,Q36)&gt;=1)*(IF(Q36="",-1,Q36)&lt;=3)),IF(C36="peso_corporal",IF(ISNUMBER(E36),E36,0)+O36,O36)*P36*1000+O36,0),IF((S36&gt;0)*(IF(T36="",-1,T36)=0)*(1-(IF(T36="",-1,T36)&gt;=1)*(IF(T36="",-1,T36)&lt;=3)),IF(C36="peso_corporal",IF(ISNUMBER(E36),E36,0)+R36,R36)*S36*1000+R36,0))</f>
        <v>0</v>
      </c>
      <c r="Z36" s="69">
        <f>IF(Y36=0,0,IF(IF((S36&gt;0)*(IF(T36="",-1,T36)=0)*(1-(IF(T36="",-1,T36)&gt;=1)*(IF(T36="",-1,T36)&lt;=3)),IF(C36="peso_corporal",IF(ISNUMBER(E36),E36,0)+R36,R36)*S36*1000+R36,0)=Y36,5,IF(IF((P36&gt;0)*(IF(Q36="",-1,Q36)=0)*(1-(IF(Q36="",-1,Q36)&gt;=1)*(IF(Q36="",-1,Q36)&lt;=3)),IF(C36="peso_corporal",IF(ISNUMBER(E36),E36,0)+O36,O36)*P36*1000+O36,0)=Y36,4,IF(IF((M36&gt;0)*(IF(N36="",-1,N36)=0)*(1-(IF(N36="",-1,N36)&gt;=1)*(IF(N36="",-1,N36)&lt;=3)),IF(C36="peso_corporal",IF(ISNUMBER(E36),E36,0)+L36,L36)*M36*1000+L36,0)=Y36,3,IF(IF((J36&gt;0)*(IF(K36="",-1,K36)=0)*(1-(IF(K36="",-1,K36)&gt;=1)*(IF(K36="",-1,K36)&lt;=3)),IF(C36="peso_corporal",IF(ISNUMBER(E36),E36,0)+I36,I36)*J36*1000+I36,0)=Y36,2,IF(IF((G36&gt;0)*(IF(H36="",-1,H36)=0)*(1-(IF(H36="",-1,H36)&gt;=1)*(IF(H36="",-1,H36)&lt;=3)),IF(C36="peso_corporal",IF(ISNUMBER(E36),E36,0)+F36,F36)*G36*1000+F36,0)=Y36,1,0))))))</f>
        <v>0</v>
      </c>
      <c r="AA36" s="69">
        <f>MAX(IF((G36&gt;=6)*(1-(IF(H36="",-1,H36)&gt;=1)*(IF(H36="",-1,H36)&lt;=3))*(1-(IF(H36="",-1,H36)=0)),IF(C36="peso_corporal",IF(ISNUMBER(E36),E36,0)+F36,F36)*(30+G36)*100+F36,0),IF((J36&gt;=6)*(1-(IF(K36="",-1,K36)&gt;=1)*(IF(K36="",-1,K36)&lt;=3))*(1-(IF(K36="",-1,K36)=0)),IF(C36="peso_corporal",IF(ISNUMBER(E36),E36,0)+I36,I36)*(30+J36)*100+I36,0),IF((M36&gt;=6)*(1-(IF(N36="",-1,N36)&gt;=1)*(IF(N36="",-1,N36)&lt;=3))*(1-(IF(N36="",-1,N36)=0)),IF(C36="peso_corporal",IF(ISNUMBER(E36),E36,0)+L36,L36)*(30+M36)*100+L36,0),IF((P36&gt;=6)*(1-(IF(Q36="",-1,Q36)&gt;=1)*(IF(Q36="",-1,Q36)&lt;=3))*(1-(IF(Q36="",-1,Q36)=0)),IF(C36="peso_corporal",IF(ISNUMBER(E36),E36,0)+O36,O36)*(30+P36)*100+O36,0),IF((S36&gt;=6)*(1-(IF(T36="",-1,T36)&gt;=1)*(IF(T36="",-1,T36)&lt;=3))*(1-(IF(T36="",-1,T36)=0)),IF(C36="peso_corporal",IF(ISNUMBER(E36),E36,0)+R36,R36)*(30+S36)*100+R36,0))</f>
        <v>0</v>
      </c>
      <c r="AB36" s="69">
        <f>IF(AA36=0,0,IF(IF((S36&gt;=6)*(1-(IF(T36="",-1,T36)&gt;=1)*(IF(T36="",-1,T36)&lt;=3))*(1-(IF(T36="",-1,T36)=0)),IF(C36="peso_corporal",IF(ISNUMBER(E36),E36,0)+R36,R36)*(30+S36)*100+R36,0)=AA36,5,IF(IF((P36&gt;=6)*(1-(IF(Q36="",-1,Q36)&gt;=1)*(IF(Q36="",-1,Q36)&lt;=3))*(1-(IF(Q36="",-1,Q36)=0)),IF(C36="peso_corporal",IF(ISNUMBER(E36),E36,0)+O36,O36)*(30+P36)*100+O36,0)=AA36,4,IF(IF((M36&gt;=6)*(1-(IF(N36="",-1,N36)&gt;=1)*(IF(N36="",-1,N36)&lt;=3))*(1-(IF(N36="",-1,N36)=0)),IF(C36="peso_corporal",IF(ISNUMBER(E36),E36,0)+L36,L36)*(30+M36)*100+L36,0)=AA36,3,IF(IF((J36&gt;=6)*(1-(IF(K36="",-1,K36)&gt;=1)*(IF(K36="",-1,K36)&lt;=3))*(1-(IF(K36="",-1,K36)=0)),IF(C36="peso_corporal",IF(ISNUMBER(E36),E36,0)+I36,I36)*(30+J36)*100+I36,0)=AA36,2,IF(IF((G36&gt;=6)*(1-(IF(H36="",-1,H36)&gt;=1)*(IF(H36="",-1,H36)&lt;=3))*(1-(IF(H36="",-1,H36)=0)),IF(C36="peso_corporal",IF(ISNUMBER(E36),E36,0)+F36,F36)*(30+G36)*100+F36,0)=AA36,1,0))))))</f>
        <v>0</v>
      </c>
      <c r="AC36" s="69" t="str">
        <f>IF(X36&gt;0,"A"&amp;X36,IF(Z36&gt;0,"B"&amp;Z36,IF(AB36&gt;0,"C"&amp;AB36,"")))</f>
        <v/>
      </c>
    </row>
    <row r="37" spans="1:29" ht="15" customHeight="1">
      <c r="A37" s="88" t="s">
        <v>50</v>
      </c>
      <c r="B37" s="73"/>
      <c r="C37" s="73"/>
      <c r="D37" s="73"/>
      <c r="E37" s="73"/>
      <c r="F37" s="73"/>
      <c r="G37" s="73"/>
      <c r="H37" s="73"/>
      <c r="I37" s="73"/>
      <c r="J37" s="73"/>
      <c r="K37" s="73"/>
      <c r="L37" s="73"/>
      <c r="M37" s="73"/>
      <c r="N37" s="73"/>
      <c r="O37" s="73"/>
      <c r="P37" s="73"/>
      <c r="Q37" s="73"/>
      <c r="R37" s="73"/>
      <c r="S37" s="73"/>
      <c r="T37" s="73"/>
      <c r="U37" s="73"/>
      <c r="V37" s="73"/>
      <c r="W37" s="69"/>
      <c r="X37" s="69"/>
      <c r="Y37" s="69"/>
      <c r="Z37" s="69"/>
      <c r="AA37" s="69"/>
      <c r="AB37" s="69"/>
      <c r="AC37" s="69"/>
    </row>
    <row r="38" spans="1:29" ht="20.100000000000001" customHeight="1">
      <c r="A38" s="14" t="s">
        <v>51</v>
      </c>
      <c r="B38" s="15" t="s">
        <v>134</v>
      </c>
      <c r="C38" s="16" t="str">
        <f>IFERROR(INDEX(EJERCICIOS!$D$3:$D$75,MATCH(A38&amp;"|"&amp;B38,EJERCICIOS!$G$3:$G$75,0)),"--")</f>
        <v>--</v>
      </c>
      <c r="D38" s="17">
        <v>3</v>
      </c>
      <c r="E38" s="18">
        <f>IFERROR(LOOKUP(2,1/(MEDIDAS_Y_PESO!$B$3:$B$4&lt;&gt;""),MEDIDAS_Y_PESO!$B$3:$B$4),"--")</f>
        <v>80</v>
      </c>
      <c r="F38" s="19"/>
      <c r="G38" s="20"/>
      <c r="H38" s="21"/>
      <c r="I38" s="19"/>
      <c r="J38" s="20"/>
      <c r="K38" s="21"/>
      <c r="L38" s="19"/>
      <c r="M38" s="20"/>
      <c r="N38" s="21"/>
      <c r="O38" s="19"/>
      <c r="P38" s="20"/>
      <c r="Q38" s="21"/>
      <c r="R38" s="19"/>
      <c r="S38" s="20"/>
      <c r="T38" s="21"/>
      <c r="U38" s="22" t="str">
        <f>IFERROR(IF(IF(X38&gt;0,X38,IF(Z38&gt;0,Z38,IF(AB38&gt;0,AB38,0)))=0,"--",ROUND(CHOOSE(IF(X38&gt;0,X38,IF(Z38&gt;0,Z38,IF(AB38&gt;0,AB38,0))),IF(C38="peso_corporal",IF(ISNUMBER(E38),E38,0)+F38,F38)*(1+G38/30),IF(C38="peso_corporal",IF(ISNUMBER(E38),E38,0)+I38,I38)*(1+J38/30),IF(C38="peso_corporal",IF(ISNUMBER(E38),E38,0)+L38,L38)*(1+M38/30),IF(C38="peso_corporal",IF(ISNUMBER(E38),E38,0)+O38,O38)*(1+P38/30),IF(C38="peso_corporal",IF(ISNUMBER(E38),E38,0)+R38,R38)*(1+S38/30)),1)),"--")</f>
        <v>--</v>
      </c>
      <c r="V38" s="23" t="str">
        <f>IF(SUGERENCIAS!N92="SIN","Sin datos anteriores",IF(SUGERENCIAS!N92="SUBIR_F","^ SUBIR FUERTE | Kg:"&amp;ROUND(SUGERENCIAS!K92,1)&amp;" R:"&amp;ROUND(SUGERENCIAS!L92,0)&amp;" RIR:"&amp;ROUND(SUGERENCIAS!M92,0),IF(SUGERENCIAS!N92="SUBIR_E","^ SUBIR (Est.) | Kg:"&amp;ROUND(SUGERENCIAS!K92,1)&amp;" R:"&amp;ROUND(SUGERENCIAS!L92,0)&amp;" RIR:"&amp;ROUND(SUGERENCIAS!M92,0),IF(SUGERENCIAS!N92="SUBIR","^ SUBIR | Kg:"&amp;ROUND(SUGERENCIAS!K92,1)&amp;" R:"&amp;ROUND(SUGERENCIAS!L92,0)&amp;" RIR:"&amp;ROUND(SUGERENCIAS!M92,0),IF(SUGERENCIAS!N92="BAJAR","v BAJAR | Kg:"&amp;ROUND(SUGERENCIAS!K92,1)&amp;" R:"&amp;ROUND(SUGERENCIAS!L92,0)&amp;" RIR:"&amp;ROUND(SUGERENCIAS!M92,0),"= MANT | Kg:"&amp;ROUND(SUGERENCIAS!K92,1)&amp;" R:"&amp;ROUND(SUGERENCIAS!L92,0)&amp;" RIR:"&amp;ROUND(SUGERENCIAS!M92,0))))))</f>
        <v>Sin datos anteriores</v>
      </c>
      <c r="W38" s="69">
        <f>MAX(IF((G38&gt;0)*(IF(H38="",-1,H38)&gt;=1)*(IF(H38="",-1,H38)&lt;=3),IF(C38="peso_corporal",IF(ISNUMBER(E38),E38,0)+F38,F38)*G38*1000+F38,0),IF((J38&gt;0)*(IF(K38="",-1,K38)&gt;=1)*(IF(K38="",-1,K38)&lt;=3),IF(C38="peso_corporal",IF(ISNUMBER(E38),E38,0)+I38,I38)*J38*1000+I38,0),IF((M38&gt;0)*(IF(N38="",-1,N38)&gt;=1)*(IF(N38="",-1,N38)&lt;=3),IF(C38="peso_corporal",IF(ISNUMBER(E38),E38,0)+L38,L38)*M38*1000+L38,0),IF((P38&gt;0)*(IF(Q38="",-1,Q38)&gt;=1)*(IF(Q38="",-1,Q38)&lt;=3),IF(C38="peso_corporal",IF(ISNUMBER(E38),E38,0)+O38,O38)*P38*1000+O38,0),IF((S38&gt;0)*(IF(T38="",-1,T38)&gt;=1)*(IF(T38="",-1,T38)&lt;=3),IF(C38="peso_corporal",IF(ISNUMBER(E38),E38,0)+R38,R38)*S38*1000+R38,0))</f>
        <v>0</v>
      </c>
      <c r="X38" s="69">
        <f>IF(W38=0,0,IF(IF((S38&gt;0)*(IF(T38="",-1,T38)&gt;=1)*(IF(T38="",-1,T38)&lt;=3),IF(C38="peso_corporal",IF(ISNUMBER(E38),E38,0)+R38,R38)*S38*1000+R38,0)=W38,5,IF(IF((P38&gt;0)*(IF(Q38="",-1,Q38)&gt;=1)*(IF(Q38="",-1,Q38)&lt;=3),IF(C38="peso_corporal",IF(ISNUMBER(E38),E38,0)+O38,O38)*P38*1000+O38,0)=W38,4,IF(IF((M38&gt;0)*(IF(N38="",-1,N38)&gt;=1)*(IF(N38="",-1,N38)&lt;=3),IF(C38="peso_corporal",IF(ISNUMBER(E38),E38,0)+L38,L38)*M38*1000+L38,0)=W38,3,IF(IF((J38&gt;0)*(IF(K38="",-1,K38)&gt;=1)*(IF(K38="",-1,K38)&lt;=3),IF(C38="peso_corporal",IF(ISNUMBER(E38),E38,0)+I38,I38)*J38*1000+I38,0)=W38,2,IF(IF((G38&gt;0)*(IF(H38="",-1,H38)&gt;=1)*(IF(H38="",-1,H38)&lt;=3),IF(C38="peso_corporal",IF(ISNUMBER(E38),E38,0)+F38,F38)*G38*1000+F38,0)=W38,1,0))))))</f>
        <v>0</v>
      </c>
      <c r="Y38" s="69">
        <f>MAX(IF((G38&gt;0)*(IF(H38="",-1,H38)=0)*(1-(IF(H38="",-1,H38)&gt;=1)*(IF(H38="",-1,H38)&lt;=3)),IF(C38="peso_corporal",IF(ISNUMBER(E38),E38,0)+F38,F38)*G38*1000+F38,0),IF((J38&gt;0)*(IF(K38="",-1,K38)=0)*(1-(IF(K38="",-1,K38)&gt;=1)*(IF(K38="",-1,K38)&lt;=3)),IF(C38="peso_corporal",IF(ISNUMBER(E38),E38,0)+I38,I38)*J38*1000+I38,0),IF((M38&gt;0)*(IF(N38="",-1,N38)=0)*(1-(IF(N38="",-1,N38)&gt;=1)*(IF(N38="",-1,N38)&lt;=3)),IF(C38="peso_corporal",IF(ISNUMBER(E38),E38,0)+L38,L38)*M38*1000+L38,0),IF((P38&gt;0)*(IF(Q38="",-1,Q38)=0)*(1-(IF(Q38="",-1,Q38)&gt;=1)*(IF(Q38="",-1,Q38)&lt;=3)),IF(C38="peso_corporal",IF(ISNUMBER(E38),E38,0)+O38,O38)*P38*1000+O38,0),IF((S38&gt;0)*(IF(T38="",-1,T38)=0)*(1-(IF(T38="",-1,T38)&gt;=1)*(IF(T38="",-1,T38)&lt;=3)),IF(C38="peso_corporal",IF(ISNUMBER(E38),E38,0)+R38,R38)*S38*1000+R38,0))</f>
        <v>0</v>
      </c>
      <c r="Z38" s="69">
        <f>IF(Y38=0,0,IF(IF((S38&gt;0)*(IF(T38="",-1,T38)=0)*(1-(IF(T38="",-1,T38)&gt;=1)*(IF(T38="",-1,T38)&lt;=3)),IF(C38="peso_corporal",IF(ISNUMBER(E38),E38,0)+R38,R38)*S38*1000+R38,0)=Y38,5,IF(IF((P38&gt;0)*(IF(Q38="",-1,Q38)=0)*(1-(IF(Q38="",-1,Q38)&gt;=1)*(IF(Q38="",-1,Q38)&lt;=3)),IF(C38="peso_corporal",IF(ISNUMBER(E38),E38,0)+O38,O38)*P38*1000+O38,0)=Y38,4,IF(IF((M38&gt;0)*(IF(N38="",-1,N38)=0)*(1-(IF(N38="",-1,N38)&gt;=1)*(IF(N38="",-1,N38)&lt;=3)),IF(C38="peso_corporal",IF(ISNUMBER(E38),E38,0)+L38,L38)*M38*1000+L38,0)=Y38,3,IF(IF((J38&gt;0)*(IF(K38="",-1,K38)=0)*(1-(IF(K38="",-1,K38)&gt;=1)*(IF(K38="",-1,K38)&lt;=3)),IF(C38="peso_corporal",IF(ISNUMBER(E38),E38,0)+I38,I38)*J38*1000+I38,0)=Y38,2,IF(IF((G38&gt;0)*(IF(H38="",-1,H38)=0)*(1-(IF(H38="",-1,H38)&gt;=1)*(IF(H38="",-1,H38)&lt;=3)),IF(C38="peso_corporal",IF(ISNUMBER(E38),E38,0)+F38,F38)*G38*1000+F38,0)=Y38,1,0))))))</f>
        <v>0</v>
      </c>
      <c r="AA38" s="69">
        <f>MAX(IF((G38&gt;=6)*(1-(IF(H38="",-1,H38)&gt;=1)*(IF(H38="",-1,H38)&lt;=3))*(1-(IF(H38="",-1,H38)=0)),IF(C38="peso_corporal",IF(ISNUMBER(E38),E38,0)+F38,F38)*(30+G38)*100+F38,0),IF((J38&gt;=6)*(1-(IF(K38="",-1,K38)&gt;=1)*(IF(K38="",-1,K38)&lt;=3))*(1-(IF(K38="",-1,K38)=0)),IF(C38="peso_corporal",IF(ISNUMBER(E38),E38,0)+I38,I38)*(30+J38)*100+I38,0),IF((M38&gt;=6)*(1-(IF(N38="",-1,N38)&gt;=1)*(IF(N38="",-1,N38)&lt;=3))*(1-(IF(N38="",-1,N38)=0)),IF(C38="peso_corporal",IF(ISNUMBER(E38),E38,0)+L38,L38)*(30+M38)*100+L38,0),IF((P38&gt;=6)*(1-(IF(Q38="",-1,Q38)&gt;=1)*(IF(Q38="",-1,Q38)&lt;=3))*(1-(IF(Q38="",-1,Q38)=0)),IF(C38="peso_corporal",IF(ISNUMBER(E38),E38,0)+O38,O38)*(30+P38)*100+O38,0),IF((S38&gt;=6)*(1-(IF(T38="",-1,T38)&gt;=1)*(IF(T38="",-1,T38)&lt;=3))*(1-(IF(T38="",-1,T38)=0)),IF(C38="peso_corporal",IF(ISNUMBER(E38),E38,0)+R38,R38)*(30+S38)*100+R38,0))</f>
        <v>0</v>
      </c>
      <c r="AB38" s="69">
        <f>IF(AA38=0,0,IF(IF((S38&gt;=6)*(1-(IF(T38="",-1,T38)&gt;=1)*(IF(T38="",-1,T38)&lt;=3))*(1-(IF(T38="",-1,T38)=0)),IF(C38="peso_corporal",IF(ISNUMBER(E38),E38,0)+R38,R38)*(30+S38)*100+R38,0)=AA38,5,IF(IF((P38&gt;=6)*(1-(IF(Q38="",-1,Q38)&gt;=1)*(IF(Q38="",-1,Q38)&lt;=3))*(1-(IF(Q38="",-1,Q38)=0)),IF(C38="peso_corporal",IF(ISNUMBER(E38),E38,0)+O38,O38)*(30+P38)*100+O38,0)=AA38,4,IF(IF((M38&gt;=6)*(1-(IF(N38="",-1,N38)&gt;=1)*(IF(N38="",-1,N38)&lt;=3))*(1-(IF(N38="",-1,N38)=0)),IF(C38="peso_corporal",IF(ISNUMBER(E38),E38,0)+L38,L38)*(30+M38)*100+L38,0)=AA38,3,IF(IF((J38&gt;=6)*(1-(IF(K38="",-1,K38)&gt;=1)*(IF(K38="",-1,K38)&lt;=3))*(1-(IF(K38="",-1,K38)=0)),IF(C38="peso_corporal",IF(ISNUMBER(E38),E38,0)+I38,I38)*(30+J38)*100+I38,0)=AA38,2,IF(IF((G38&gt;=6)*(1-(IF(H38="",-1,H38)&gt;=1)*(IF(H38="",-1,H38)&lt;=3))*(1-(IF(H38="",-1,H38)=0)),IF(C38="peso_corporal",IF(ISNUMBER(E38),E38,0)+F38,F38)*(30+G38)*100+F38,0)=AA38,1,0))))))</f>
        <v>0</v>
      </c>
      <c r="AC38" s="69" t="str">
        <f>IF(X38&gt;0,"A"&amp;X38,IF(Z38&gt;0,"B"&amp;Z38,IF(AB38&gt;0,"C"&amp;AB38,"")))</f>
        <v/>
      </c>
    </row>
    <row r="39" spans="1:29" ht="20.100000000000001" customHeight="1">
      <c r="A39" s="14" t="s">
        <v>135</v>
      </c>
      <c r="B39" s="15" t="s">
        <v>136</v>
      </c>
      <c r="C39" s="16" t="str">
        <f>IFERROR(INDEX(EJERCICIOS!$D$3:$D$75,MATCH(A39&amp;"|"&amp;B39,EJERCICIOS!$G$3:$G$75,0)),"--")</f>
        <v>--</v>
      </c>
      <c r="D39" s="17">
        <v>3</v>
      </c>
      <c r="E39" s="18">
        <f>IFERROR(LOOKUP(2,1/(MEDIDAS_Y_PESO!$B$3:$B$4&lt;&gt;""),MEDIDAS_Y_PESO!$B$3:$B$4),"--")</f>
        <v>80</v>
      </c>
      <c r="F39" s="19"/>
      <c r="G39" s="20"/>
      <c r="H39" s="21"/>
      <c r="I39" s="19"/>
      <c r="J39" s="20"/>
      <c r="K39" s="21"/>
      <c r="L39" s="19"/>
      <c r="M39" s="20"/>
      <c r="N39" s="21"/>
      <c r="O39" s="19"/>
      <c r="P39" s="20"/>
      <c r="Q39" s="21"/>
      <c r="R39" s="19"/>
      <c r="S39" s="20"/>
      <c r="T39" s="21"/>
      <c r="U39" s="22" t="str">
        <f>IFERROR(IF(IF(X39&gt;0,X39,IF(Z39&gt;0,Z39,IF(AB39&gt;0,AB39,0)))=0,"--",ROUND(CHOOSE(IF(X39&gt;0,X39,IF(Z39&gt;0,Z39,IF(AB39&gt;0,AB39,0))),IF(C39="peso_corporal",IF(ISNUMBER(E39),E39,0)+F39,F39)*(1+G39/30),IF(C39="peso_corporal",IF(ISNUMBER(E39),E39,0)+I39,I39)*(1+J39/30),IF(C39="peso_corporal",IF(ISNUMBER(E39),E39,0)+L39,L39)*(1+M39/30),IF(C39="peso_corporal",IF(ISNUMBER(E39),E39,0)+O39,O39)*(1+P39/30),IF(C39="peso_corporal",IF(ISNUMBER(E39),E39,0)+R39,R39)*(1+S39/30)),1)),"--")</f>
        <v>--</v>
      </c>
      <c r="V39" s="23" t="str">
        <f>IF(SUGERENCIAS!N93="SIN","Sin datos anteriores",IF(SUGERENCIAS!N93="SUBIR_F","^ SUBIR FUERTE | Kg:"&amp;ROUND(SUGERENCIAS!K93,1)&amp;" R:"&amp;ROUND(SUGERENCIAS!L93,0)&amp;" RIR:"&amp;ROUND(SUGERENCIAS!M93,0),IF(SUGERENCIAS!N93="SUBIR_E","^ SUBIR (Est.) | Kg:"&amp;ROUND(SUGERENCIAS!K93,1)&amp;" R:"&amp;ROUND(SUGERENCIAS!L93,0)&amp;" RIR:"&amp;ROUND(SUGERENCIAS!M93,0),IF(SUGERENCIAS!N93="SUBIR","^ SUBIR | Kg:"&amp;ROUND(SUGERENCIAS!K93,1)&amp;" R:"&amp;ROUND(SUGERENCIAS!L93,0)&amp;" RIR:"&amp;ROUND(SUGERENCIAS!M93,0),IF(SUGERENCIAS!N93="BAJAR","v BAJAR | Kg:"&amp;ROUND(SUGERENCIAS!K93,1)&amp;" R:"&amp;ROUND(SUGERENCIAS!L93,0)&amp;" RIR:"&amp;ROUND(SUGERENCIAS!M93,0),"= MANT | Kg:"&amp;ROUND(SUGERENCIAS!K93,1)&amp;" R:"&amp;ROUND(SUGERENCIAS!L93,0)&amp;" RIR:"&amp;ROUND(SUGERENCIAS!M93,0))))))</f>
        <v>Sin datos anteriores</v>
      </c>
      <c r="W39" s="69">
        <f>MAX(IF((G39&gt;0)*(IF(H39="",-1,H39)&gt;=1)*(IF(H39="",-1,H39)&lt;=3),IF(C39="peso_corporal",IF(ISNUMBER(E39),E39,0)+F39,F39)*G39*1000+F39,0),IF((J39&gt;0)*(IF(K39="",-1,K39)&gt;=1)*(IF(K39="",-1,K39)&lt;=3),IF(C39="peso_corporal",IF(ISNUMBER(E39),E39,0)+I39,I39)*J39*1000+I39,0),IF((M39&gt;0)*(IF(N39="",-1,N39)&gt;=1)*(IF(N39="",-1,N39)&lt;=3),IF(C39="peso_corporal",IF(ISNUMBER(E39),E39,0)+L39,L39)*M39*1000+L39,0),IF((P39&gt;0)*(IF(Q39="",-1,Q39)&gt;=1)*(IF(Q39="",-1,Q39)&lt;=3),IF(C39="peso_corporal",IF(ISNUMBER(E39),E39,0)+O39,O39)*P39*1000+O39,0),IF((S39&gt;0)*(IF(T39="",-1,T39)&gt;=1)*(IF(T39="",-1,T39)&lt;=3),IF(C39="peso_corporal",IF(ISNUMBER(E39),E39,0)+R39,R39)*S39*1000+R39,0))</f>
        <v>0</v>
      </c>
      <c r="X39" s="69">
        <f>IF(W39=0,0,IF(IF((S39&gt;0)*(IF(T39="",-1,T39)&gt;=1)*(IF(T39="",-1,T39)&lt;=3),IF(C39="peso_corporal",IF(ISNUMBER(E39),E39,0)+R39,R39)*S39*1000+R39,0)=W39,5,IF(IF((P39&gt;0)*(IF(Q39="",-1,Q39)&gt;=1)*(IF(Q39="",-1,Q39)&lt;=3),IF(C39="peso_corporal",IF(ISNUMBER(E39),E39,0)+O39,O39)*P39*1000+O39,0)=W39,4,IF(IF((M39&gt;0)*(IF(N39="",-1,N39)&gt;=1)*(IF(N39="",-1,N39)&lt;=3),IF(C39="peso_corporal",IF(ISNUMBER(E39),E39,0)+L39,L39)*M39*1000+L39,0)=W39,3,IF(IF((J39&gt;0)*(IF(K39="",-1,K39)&gt;=1)*(IF(K39="",-1,K39)&lt;=3),IF(C39="peso_corporal",IF(ISNUMBER(E39),E39,0)+I39,I39)*J39*1000+I39,0)=W39,2,IF(IF((G39&gt;0)*(IF(H39="",-1,H39)&gt;=1)*(IF(H39="",-1,H39)&lt;=3),IF(C39="peso_corporal",IF(ISNUMBER(E39),E39,0)+F39,F39)*G39*1000+F39,0)=W39,1,0))))))</f>
        <v>0</v>
      </c>
      <c r="Y39" s="69">
        <f>MAX(IF((G39&gt;0)*(IF(H39="",-1,H39)=0)*(1-(IF(H39="",-1,H39)&gt;=1)*(IF(H39="",-1,H39)&lt;=3)),IF(C39="peso_corporal",IF(ISNUMBER(E39),E39,0)+F39,F39)*G39*1000+F39,0),IF((J39&gt;0)*(IF(K39="",-1,K39)=0)*(1-(IF(K39="",-1,K39)&gt;=1)*(IF(K39="",-1,K39)&lt;=3)),IF(C39="peso_corporal",IF(ISNUMBER(E39),E39,0)+I39,I39)*J39*1000+I39,0),IF((M39&gt;0)*(IF(N39="",-1,N39)=0)*(1-(IF(N39="",-1,N39)&gt;=1)*(IF(N39="",-1,N39)&lt;=3)),IF(C39="peso_corporal",IF(ISNUMBER(E39),E39,0)+L39,L39)*M39*1000+L39,0),IF((P39&gt;0)*(IF(Q39="",-1,Q39)=0)*(1-(IF(Q39="",-1,Q39)&gt;=1)*(IF(Q39="",-1,Q39)&lt;=3)),IF(C39="peso_corporal",IF(ISNUMBER(E39),E39,0)+O39,O39)*P39*1000+O39,0),IF((S39&gt;0)*(IF(T39="",-1,T39)=0)*(1-(IF(T39="",-1,T39)&gt;=1)*(IF(T39="",-1,T39)&lt;=3)),IF(C39="peso_corporal",IF(ISNUMBER(E39),E39,0)+R39,R39)*S39*1000+R39,0))</f>
        <v>0</v>
      </c>
      <c r="Z39" s="69">
        <f>IF(Y39=0,0,IF(IF((S39&gt;0)*(IF(T39="",-1,T39)=0)*(1-(IF(T39="",-1,T39)&gt;=1)*(IF(T39="",-1,T39)&lt;=3)),IF(C39="peso_corporal",IF(ISNUMBER(E39),E39,0)+R39,R39)*S39*1000+R39,0)=Y39,5,IF(IF((P39&gt;0)*(IF(Q39="",-1,Q39)=0)*(1-(IF(Q39="",-1,Q39)&gt;=1)*(IF(Q39="",-1,Q39)&lt;=3)),IF(C39="peso_corporal",IF(ISNUMBER(E39),E39,0)+O39,O39)*P39*1000+O39,0)=Y39,4,IF(IF((M39&gt;0)*(IF(N39="",-1,N39)=0)*(1-(IF(N39="",-1,N39)&gt;=1)*(IF(N39="",-1,N39)&lt;=3)),IF(C39="peso_corporal",IF(ISNUMBER(E39),E39,0)+L39,L39)*M39*1000+L39,0)=Y39,3,IF(IF((J39&gt;0)*(IF(K39="",-1,K39)=0)*(1-(IF(K39="",-1,K39)&gt;=1)*(IF(K39="",-1,K39)&lt;=3)),IF(C39="peso_corporal",IF(ISNUMBER(E39),E39,0)+I39,I39)*J39*1000+I39,0)=Y39,2,IF(IF((G39&gt;0)*(IF(H39="",-1,H39)=0)*(1-(IF(H39="",-1,H39)&gt;=1)*(IF(H39="",-1,H39)&lt;=3)),IF(C39="peso_corporal",IF(ISNUMBER(E39),E39,0)+F39,F39)*G39*1000+F39,0)=Y39,1,0))))))</f>
        <v>0</v>
      </c>
      <c r="AA39" s="69">
        <f>MAX(IF((G39&gt;=6)*(1-(IF(H39="",-1,H39)&gt;=1)*(IF(H39="",-1,H39)&lt;=3))*(1-(IF(H39="",-1,H39)=0)),IF(C39="peso_corporal",IF(ISNUMBER(E39),E39,0)+F39,F39)*(30+G39)*100+F39,0),IF((J39&gt;=6)*(1-(IF(K39="",-1,K39)&gt;=1)*(IF(K39="",-1,K39)&lt;=3))*(1-(IF(K39="",-1,K39)=0)),IF(C39="peso_corporal",IF(ISNUMBER(E39),E39,0)+I39,I39)*(30+J39)*100+I39,0),IF((M39&gt;=6)*(1-(IF(N39="",-1,N39)&gt;=1)*(IF(N39="",-1,N39)&lt;=3))*(1-(IF(N39="",-1,N39)=0)),IF(C39="peso_corporal",IF(ISNUMBER(E39),E39,0)+L39,L39)*(30+M39)*100+L39,0),IF((P39&gt;=6)*(1-(IF(Q39="",-1,Q39)&gt;=1)*(IF(Q39="",-1,Q39)&lt;=3))*(1-(IF(Q39="",-1,Q39)=0)),IF(C39="peso_corporal",IF(ISNUMBER(E39),E39,0)+O39,O39)*(30+P39)*100+O39,0),IF((S39&gt;=6)*(1-(IF(T39="",-1,T39)&gt;=1)*(IF(T39="",-1,T39)&lt;=3))*(1-(IF(T39="",-1,T39)=0)),IF(C39="peso_corporal",IF(ISNUMBER(E39),E39,0)+R39,R39)*(30+S39)*100+R39,0))</f>
        <v>0</v>
      </c>
      <c r="AB39" s="69">
        <f>IF(AA39=0,0,IF(IF((S39&gt;=6)*(1-(IF(T39="",-1,T39)&gt;=1)*(IF(T39="",-1,T39)&lt;=3))*(1-(IF(T39="",-1,T39)=0)),IF(C39="peso_corporal",IF(ISNUMBER(E39),E39,0)+R39,R39)*(30+S39)*100+R39,0)=AA39,5,IF(IF((P39&gt;=6)*(1-(IF(Q39="",-1,Q39)&gt;=1)*(IF(Q39="",-1,Q39)&lt;=3))*(1-(IF(Q39="",-1,Q39)=0)),IF(C39="peso_corporal",IF(ISNUMBER(E39),E39,0)+O39,O39)*(30+P39)*100+O39,0)=AA39,4,IF(IF((M39&gt;=6)*(1-(IF(N39="",-1,N39)&gt;=1)*(IF(N39="",-1,N39)&lt;=3))*(1-(IF(N39="",-1,N39)=0)),IF(C39="peso_corporal",IF(ISNUMBER(E39),E39,0)+L39,L39)*(30+M39)*100+L39,0)=AA39,3,IF(IF((J39&gt;=6)*(1-(IF(K39="",-1,K39)&gt;=1)*(IF(K39="",-1,K39)&lt;=3))*(1-(IF(K39="",-1,K39)=0)),IF(C39="peso_corporal",IF(ISNUMBER(E39),E39,0)+I39,I39)*(30+J39)*100+I39,0)=AA39,2,IF(IF((G39&gt;=6)*(1-(IF(H39="",-1,H39)&gt;=1)*(IF(H39="",-1,H39)&lt;=3))*(1-(IF(H39="",-1,H39)=0)),IF(C39="peso_corporal",IF(ISNUMBER(E39),E39,0)+F39,F39)*(30+G39)*100+F39,0)=AA39,1,0))))))</f>
        <v>0</v>
      </c>
      <c r="AC39" s="69" t="str">
        <f>IF(X39&gt;0,"A"&amp;X39,IF(Z39&gt;0,"B"&amp;Z39,IF(AB39&gt;0,"C"&amp;AB39,"")))</f>
        <v/>
      </c>
    </row>
    <row r="40" spans="1:29" ht="20.100000000000001" customHeight="1">
      <c r="A40" s="14" t="s">
        <v>65</v>
      </c>
      <c r="B40" s="15" t="s">
        <v>66</v>
      </c>
      <c r="C40" s="16" t="str">
        <f>IFERROR(INDEX(EJERCICIOS!$D$3:$D$75,MATCH(A40&amp;"|"&amp;B40,EJERCICIOS!$G$3:$G$75,0)),"--")</f>
        <v>--</v>
      </c>
      <c r="D40" s="17">
        <v>3</v>
      </c>
      <c r="E40" s="18">
        <f>IFERROR(LOOKUP(2,1/(MEDIDAS_Y_PESO!$B$3:$B$4&lt;&gt;""),MEDIDAS_Y_PESO!$B$3:$B$4),"--")</f>
        <v>80</v>
      </c>
      <c r="F40" s="19"/>
      <c r="G40" s="20"/>
      <c r="H40" s="21"/>
      <c r="I40" s="19"/>
      <c r="J40" s="20"/>
      <c r="K40" s="21"/>
      <c r="L40" s="19"/>
      <c r="M40" s="20"/>
      <c r="N40" s="21"/>
      <c r="O40" s="19"/>
      <c r="P40" s="20"/>
      <c r="Q40" s="21"/>
      <c r="R40" s="19"/>
      <c r="S40" s="20"/>
      <c r="T40" s="21"/>
      <c r="U40" s="22" t="str">
        <f>IFERROR(IF(IF(X40&gt;0,X40,IF(Z40&gt;0,Z40,IF(AB40&gt;0,AB40,0)))=0,"--",ROUND(CHOOSE(IF(X40&gt;0,X40,IF(Z40&gt;0,Z40,IF(AB40&gt;0,AB40,0))),IF(C40="peso_corporal",IF(ISNUMBER(E40),E40,0)+F40,F40)*(1+G40/30),IF(C40="peso_corporal",IF(ISNUMBER(E40),E40,0)+I40,I40)*(1+J40/30),IF(C40="peso_corporal",IF(ISNUMBER(E40),E40,0)+L40,L40)*(1+M40/30),IF(C40="peso_corporal",IF(ISNUMBER(E40),E40,0)+O40,O40)*(1+P40/30),IF(C40="peso_corporal",IF(ISNUMBER(E40),E40,0)+R40,R40)*(1+S40/30)),1)),"--")</f>
        <v>--</v>
      </c>
      <c r="V40" s="23" t="str">
        <f>IF(SUGERENCIAS!N94="SIN","Sin datos anteriores",IF(SUGERENCIAS!N94="SUBIR_F","^ SUBIR FUERTE | Kg:"&amp;ROUND(SUGERENCIAS!K94,1)&amp;" R:"&amp;ROUND(SUGERENCIAS!L94,0)&amp;" RIR:"&amp;ROUND(SUGERENCIAS!M94,0),IF(SUGERENCIAS!N94="SUBIR_E","^ SUBIR (Est.) | Kg:"&amp;ROUND(SUGERENCIAS!K94,1)&amp;" R:"&amp;ROUND(SUGERENCIAS!L94,0)&amp;" RIR:"&amp;ROUND(SUGERENCIAS!M94,0),IF(SUGERENCIAS!N94="SUBIR","^ SUBIR | Kg:"&amp;ROUND(SUGERENCIAS!K94,1)&amp;" R:"&amp;ROUND(SUGERENCIAS!L94,0)&amp;" RIR:"&amp;ROUND(SUGERENCIAS!M94,0),IF(SUGERENCIAS!N94="BAJAR","v BAJAR | Kg:"&amp;ROUND(SUGERENCIAS!K94,1)&amp;" R:"&amp;ROUND(SUGERENCIAS!L94,0)&amp;" RIR:"&amp;ROUND(SUGERENCIAS!M94,0),"= MANT | Kg:"&amp;ROUND(SUGERENCIAS!K94,1)&amp;" R:"&amp;ROUND(SUGERENCIAS!L94,0)&amp;" RIR:"&amp;ROUND(SUGERENCIAS!M94,0))))))</f>
        <v>Sin datos anteriores</v>
      </c>
      <c r="W40" s="69">
        <f>MAX(IF((G40&gt;0)*(IF(H40="",-1,H40)&gt;=1)*(IF(H40="",-1,H40)&lt;=3),IF(C40="peso_corporal",IF(ISNUMBER(E40),E40,0)+F40,F40)*G40*1000+F40,0),IF((J40&gt;0)*(IF(K40="",-1,K40)&gt;=1)*(IF(K40="",-1,K40)&lt;=3),IF(C40="peso_corporal",IF(ISNUMBER(E40),E40,0)+I40,I40)*J40*1000+I40,0),IF((M40&gt;0)*(IF(N40="",-1,N40)&gt;=1)*(IF(N40="",-1,N40)&lt;=3),IF(C40="peso_corporal",IF(ISNUMBER(E40),E40,0)+L40,L40)*M40*1000+L40,0),IF((P40&gt;0)*(IF(Q40="",-1,Q40)&gt;=1)*(IF(Q40="",-1,Q40)&lt;=3),IF(C40="peso_corporal",IF(ISNUMBER(E40),E40,0)+O40,O40)*P40*1000+O40,0),IF((S40&gt;0)*(IF(T40="",-1,T40)&gt;=1)*(IF(T40="",-1,T40)&lt;=3),IF(C40="peso_corporal",IF(ISNUMBER(E40),E40,0)+R40,R40)*S40*1000+R40,0))</f>
        <v>0</v>
      </c>
      <c r="X40" s="69">
        <f>IF(W40=0,0,IF(IF((S40&gt;0)*(IF(T40="",-1,T40)&gt;=1)*(IF(T40="",-1,T40)&lt;=3),IF(C40="peso_corporal",IF(ISNUMBER(E40),E40,0)+R40,R40)*S40*1000+R40,0)=W40,5,IF(IF((P40&gt;0)*(IF(Q40="",-1,Q40)&gt;=1)*(IF(Q40="",-1,Q40)&lt;=3),IF(C40="peso_corporal",IF(ISNUMBER(E40),E40,0)+O40,O40)*P40*1000+O40,0)=W40,4,IF(IF((M40&gt;0)*(IF(N40="",-1,N40)&gt;=1)*(IF(N40="",-1,N40)&lt;=3),IF(C40="peso_corporal",IF(ISNUMBER(E40),E40,0)+L40,L40)*M40*1000+L40,0)=W40,3,IF(IF((J40&gt;0)*(IF(K40="",-1,K40)&gt;=1)*(IF(K40="",-1,K40)&lt;=3),IF(C40="peso_corporal",IF(ISNUMBER(E40),E40,0)+I40,I40)*J40*1000+I40,0)=W40,2,IF(IF((G40&gt;0)*(IF(H40="",-1,H40)&gt;=1)*(IF(H40="",-1,H40)&lt;=3),IF(C40="peso_corporal",IF(ISNUMBER(E40),E40,0)+F40,F40)*G40*1000+F40,0)=W40,1,0))))))</f>
        <v>0</v>
      </c>
      <c r="Y40" s="69">
        <f>MAX(IF((G40&gt;0)*(IF(H40="",-1,H40)=0)*(1-(IF(H40="",-1,H40)&gt;=1)*(IF(H40="",-1,H40)&lt;=3)),IF(C40="peso_corporal",IF(ISNUMBER(E40),E40,0)+F40,F40)*G40*1000+F40,0),IF((J40&gt;0)*(IF(K40="",-1,K40)=0)*(1-(IF(K40="",-1,K40)&gt;=1)*(IF(K40="",-1,K40)&lt;=3)),IF(C40="peso_corporal",IF(ISNUMBER(E40),E40,0)+I40,I40)*J40*1000+I40,0),IF((M40&gt;0)*(IF(N40="",-1,N40)=0)*(1-(IF(N40="",-1,N40)&gt;=1)*(IF(N40="",-1,N40)&lt;=3)),IF(C40="peso_corporal",IF(ISNUMBER(E40),E40,0)+L40,L40)*M40*1000+L40,0),IF((P40&gt;0)*(IF(Q40="",-1,Q40)=0)*(1-(IF(Q40="",-1,Q40)&gt;=1)*(IF(Q40="",-1,Q40)&lt;=3)),IF(C40="peso_corporal",IF(ISNUMBER(E40),E40,0)+O40,O40)*P40*1000+O40,0),IF((S40&gt;0)*(IF(T40="",-1,T40)=0)*(1-(IF(T40="",-1,T40)&gt;=1)*(IF(T40="",-1,T40)&lt;=3)),IF(C40="peso_corporal",IF(ISNUMBER(E40),E40,0)+R40,R40)*S40*1000+R40,0))</f>
        <v>0</v>
      </c>
      <c r="Z40" s="69">
        <f>IF(Y40=0,0,IF(IF((S40&gt;0)*(IF(T40="",-1,T40)=0)*(1-(IF(T40="",-1,T40)&gt;=1)*(IF(T40="",-1,T40)&lt;=3)),IF(C40="peso_corporal",IF(ISNUMBER(E40),E40,0)+R40,R40)*S40*1000+R40,0)=Y40,5,IF(IF((P40&gt;0)*(IF(Q40="",-1,Q40)=0)*(1-(IF(Q40="",-1,Q40)&gt;=1)*(IF(Q40="",-1,Q40)&lt;=3)),IF(C40="peso_corporal",IF(ISNUMBER(E40),E40,0)+O40,O40)*P40*1000+O40,0)=Y40,4,IF(IF((M40&gt;0)*(IF(N40="",-1,N40)=0)*(1-(IF(N40="",-1,N40)&gt;=1)*(IF(N40="",-1,N40)&lt;=3)),IF(C40="peso_corporal",IF(ISNUMBER(E40),E40,0)+L40,L40)*M40*1000+L40,0)=Y40,3,IF(IF((J40&gt;0)*(IF(K40="",-1,K40)=0)*(1-(IF(K40="",-1,K40)&gt;=1)*(IF(K40="",-1,K40)&lt;=3)),IF(C40="peso_corporal",IF(ISNUMBER(E40),E40,0)+I40,I40)*J40*1000+I40,0)=Y40,2,IF(IF((G40&gt;0)*(IF(H40="",-1,H40)=0)*(1-(IF(H40="",-1,H40)&gt;=1)*(IF(H40="",-1,H40)&lt;=3)),IF(C40="peso_corporal",IF(ISNUMBER(E40),E40,0)+F40,F40)*G40*1000+F40,0)=Y40,1,0))))))</f>
        <v>0</v>
      </c>
      <c r="AA40" s="69">
        <f>MAX(IF((G40&gt;=6)*(1-(IF(H40="",-1,H40)&gt;=1)*(IF(H40="",-1,H40)&lt;=3))*(1-(IF(H40="",-1,H40)=0)),IF(C40="peso_corporal",IF(ISNUMBER(E40),E40,0)+F40,F40)*(30+G40)*100+F40,0),IF((J40&gt;=6)*(1-(IF(K40="",-1,K40)&gt;=1)*(IF(K40="",-1,K40)&lt;=3))*(1-(IF(K40="",-1,K40)=0)),IF(C40="peso_corporal",IF(ISNUMBER(E40),E40,0)+I40,I40)*(30+J40)*100+I40,0),IF((M40&gt;=6)*(1-(IF(N40="",-1,N40)&gt;=1)*(IF(N40="",-1,N40)&lt;=3))*(1-(IF(N40="",-1,N40)=0)),IF(C40="peso_corporal",IF(ISNUMBER(E40),E40,0)+L40,L40)*(30+M40)*100+L40,0),IF((P40&gt;=6)*(1-(IF(Q40="",-1,Q40)&gt;=1)*(IF(Q40="",-1,Q40)&lt;=3))*(1-(IF(Q40="",-1,Q40)=0)),IF(C40="peso_corporal",IF(ISNUMBER(E40),E40,0)+O40,O40)*(30+P40)*100+O40,0),IF((S40&gt;=6)*(1-(IF(T40="",-1,T40)&gt;=1)*(IF(T40="",-1,T40)&lt;=3))*(1-(IF(T40="",-1,T40)=0)),IF(C40="peso_corporal",IF(ISNUMBER(E40),E40,0)+R40,R40)*(30+S40)*100+R40,0))</f>
        <v>0</v>
      </c>
      <c r="AB40" s="69">
        <f>IF(AA40=0,0,IF(IF((S40&gt;=6)*(1-(IF(T40="",-1,T40)&gt;=1)*(IF(T40="",-1,T40)&lt;=3))*(1-(IF(T40="",-1,T40)=0)),IF(C40="peso_corporal",IF(ISNUMBER(E40),E40,0)+R40,R40)*(30+S40)*100+R40,0)=AA40,5,IF(IF((P40&gt;=6)*(1-(IF(Q40="",-1,Q40)&gt;=1)*(IF(Q40="",-1,Q40)&lt;=3))*(1-(IF(Q40="",-1,Q40)=0)),IF(C40="peso_corporal",IF(ISNUMBER(E40),E40,0)+O40,O40)*(30+P40)*100+O40,0)=AA40,4,IF(IF((M40&gt;=6)*(1-(IF(N40="",-1,N40)&gt;=1)*(IF(N40="",-1,N40)&lt;=3))*(1-(IF(N40="",-1,N40)=0)),IF(C40="peso_corporal",IF(ISNUMBER(E40),E40,0)+L40,L40)*(30+M40)*100+L40,0)=AA40,3,IF(IF((J40&gt;=6)*(1-(IF(K40="",-1,K40)&gt;=1)*(IF(K40="",-1,K40)&lt;=3))*(1-(IF(K40="",-1,K40)=0)),IF(C40="peso_corporal",IF(ISNUMBER(E40),E40,0)+I40,I40)*(30+J40)*100+I40,0)=AA40,2,IF(IF((G40&gt;=6)*(1-(IF(H40="",-1,H40)&gt;=1)*(IF(H40="",-1,H40)&lt;=3))*(1-(IF(H40="",-1,H40)=0)),IF(C40="peso_corporal",IF(ISNUMBER(E40),E40,0)+F40,F40)*(30+G40)*100+F40,0)=AA40,1,0))))))</f>
        <v>0</v>
      </c>
      <c r="AC40" s="69" t="str">
        <f>IF(X40&gt;0,"A"&amp;X40,IF(Z40&gt;0,"B"&amp;Z40,IF(AB40&gt;0,"C"&amp;AB40,"")))</f>
        <v/>
      </c>
    </row>
    <row r="41" spans="1:29" ht="20.100000000000001" customHeight="1">
      <c r="A41" s="14" t="s">
        <v>65</v>
      </c>
      <c r="B41" s="15" t="s">
        <v>137</v>
      </c>
      <c r="C41" s="16" t="str">
        <f>IFERROR(INDEX(EJERCICIOS!$D$3:$D$75,MATCH(A41&amp;"|"&amp;B41,EJERCICIOS!$G$3:$G$75,0)),"--")</f>
        <v>--</v>
      </c>
      <c r="D41" s="17">
        <v>3</v>
      </c>
      <c r="E41" s="18">
        <f>IFERROR(LOOKUP(2,1/(MEDIDAS_Y_PESO!$B$3:$B$4&lt;&gt;""),MEDIDAS_Y_PESO!$B$3:$B$4),"--")</f>
        <v>80</v>
      </c>
      <c r="F41" s="19"/>
      <c r="G41" s="20"/>
      <c r="H41" s="21"/>
      <c r="I41" s="19"/>
      <c r="J41" s="20"/>
      <c r="K41" s="21"/>
      <c r="L41" s="19"/>
      <c r="M41" s="20"/>
      <c r="N41" s="21"/>
      <c r="O41" s="19"/>
      <c r="P41" s="20"/>
      <c r="Q41" s="21"/>
      <c r="R41" s="19"/>
      <c r="S41" s="20"/>
      <c r="T41" s="21"/>
      <c r="U41" s="22" t="str">
        <f>IFERROR(IF(IF(X41&gt;0,X41,IF(Z41&gt;0,Z41,IF(AB41&gt;0,AB41,0)))=0,"--",ROUND(CHOOSE(IF(X41&gt;0,X41,IF(Z41&gt;0,Z41,IF(AB41&gt;0,AB41,0))),IF(C41="peso_corporal",IF(ISNUMBER(E41),E41,0)+F41,F41)*(1+G41/30),IF(C41="peso_corporal",IF(ISNUMBER(E41),E41,0)+I41,I41)*(1+J41/30),IF(C41="peso_corporal",IF(ISNUMBER(E41),E41,0)+L41,L41)*(1+M41/30),IF(C41="peso_corporal",IF(ISNUMBER(E41),E41,0)+O41,O41)*(1+P41/30),IF(C41="peso_corporal",IF(ISNUMBER(E41),E41,0)+R41,R41)*(1+S41/30)),1)),"--")</f>
        <v>--</v>
      </c>
      <c r="V41" s="23" t="str">
        <f>IF(SUGERENCIAS!N95="SIN","Sin datos anteriores",IF(SUGERENCIAS!N95="SUBIR_F","^ SUBIR FUERTE | Kg:"&amp;ROUND(SUGERENCIAS!K95,1)&amp;" R:"&amp;ROUND(SUGERENCIAS!L95,0)&amp;" RIR:"&amp;ROUND(SUGERENCIAS!M95,0),IF(SUGERENCIAS!N95="SUBIR_E","^ SUBIR (Est.) | Kg:"&amp;ROUND(SUGERENCIAS!K95,1)&amp;" R:"&amp;ROUND(SUGERENCIAS!L95,0)&amp;" RIR:"&amp;ROUND(SUGERENCIAS!M95,0),IF(SUGERENCIAS!N95="SUBIR","^ SUBIR | Kg:"&amp;ROUND(SUGERENCIAS!K95,1)&amp;" R:"&amp;ROUND(SUGERENCIAS!L95,0)&amp;" RIR:"&amp;ROUND(SUGERENCIAS!M95,0),IF(SUGERENCIAS!N95="BAJAR","v BAJAR | Kg:"&amp;ROUND(SUGERENCIAS!K95,1)&amp;" R:"&amp;ROUND(SUGERENCIAS!L95,0)&amp;" RIR:"&amp;ROUND(SUGERENCIAS!M95,0),"= MANT | Kg:"&amp;ROUND(SUGERENCIAS!K95,1)&amp;" R:"&amp;ROUND(SUGERENCIAS!L95,0)&amp;" RIR:"&amp;ROUND(SUGERENCIAS!M95,0))))))</f>
        <v>Sin datos anteriores</v>
      </c>
      <c r="W41" s="69">
        <f>MAX(IF((G41&gt;0)*(IF(H41="",-1,H41)&gt;=1)*(IF(H41="",-1,H41)&lt;=3),IF(C41="peso_corporal",IF(ISNUMBER(E41),E41,0)+F41,F41)*G41*1000+F41,0),IF((J41&gt;0)*(IF(K41="",-1,K41)&gt;=1)*(IF(K41="",-1,K41)&lt;=3),IF(C41="peso_corporal",IF(ISNUMBER(E41),E41,0)+I41,I41)*J41*1000+I41,0),IF((M41&gt;0)*(IF(N41="",-1,N41)&gt;=1)*(IF(N41="",-1,N41)&lt;=3),IF(C41="peso_corporal",IF(ISNUMBER(E41),E41,0)+L41,L41)*M41*1000+L41,0),IF((P41&gt;0)*(IF(Q41="",-1,Q41)&gt;=1)*(IF(Q41="",-1,Q41)&lt;=3),IF(C41="peso_corporal",IF(ISNUMBER(E41),E41,0)+O41,O41)*P41*1000+O41,0),IF((S41&gt;0)*(IF(T41="",-1,T41)&gt;=1)*(IF(T41="",-1,T41)&lt;=3),IF(C41="peso_corporal",IF(ISNUMBER(E41),E41,0)+R41,R41)*S41*1000+R41,0))</f>
        <v>0</v>
      </c>
      <c r="X41" s="69">
        <f>IF(W41=0,0,IF(IF((S41&gt;0)*(IF(T41="",-1,T41)&gt;=1)*(IF(T41="",-1,T41)&lt;=3),IF(C41="peso_corporal",IF(ISNUMBER(E41),E41,0)+R41,R41)*S41*1000+R41,0)=W41,5,IF(IF((P41&gt;0)*(IF(Q41="",-1,Q41)&gt;=1)*(IF(Q41="",-1,Q41)&lt;=3),IF(C41="peso_corporal",IF(ISNUMBER(E41),E41,0)+O41,O41)*P41*1000+O41,0)=W41,4,IF(IF((M41&gt;0)*(IF(N41="",-1,N41)&gt;=1)*(IF(N41="",-1,N41)&lt;=3),IF(C41="peso_corporal",IF(ISNUMBER(E41),E41,0)+L41,L41)*M41*1000+L41,0)=W41,3,IF(IF((J41&gt;0)*(IF(K41="",-1,K41)&gt;=1)*(IF(K41="",-1,K41)&lt;=3),IF(C41="peso_corporal",IF(ISNUMBER(E41),E41,0)+I41,I41)*J41*1000+I41,0)=W41,2,IF(IF((G41&gt;0)*(IF(H41="",-1,H41)&gt;=1)*(IF(H41="",-1,H41)&lt;=3),IF(C41="peso_corporal",IF(ISNUMBER(E41),E41,0)+F41,F41)*G41*1000+F41,0)=W41,1,0))))))</f>
        <v>0</v>
      </c>
      <c r="Y41" s="69">
        <f>MAX(IF((G41&gt;0)*(IF(H41="",-1,H41)=0)*(1-(IF(H41="",-1,H41)&gt;=1)*(IF(H41="",-1,H41)&lt;=3)),IF(C41="peso_corporal",IF(ISNUMBER(E41),E41,0)+F41,F41)*G41*1000+F41,0),IF((J41&gt;0)*(IF(K41="",-1,K41)=0)*(1-(IF(K41="",-1,K41)&gt;=1)*(IF(K41="",-1,K41)&lt;=3)),IF(C41="peso_corporal",IF(ISNUMBER(E41),E41,0)+I41,I41)*J41*1000+I41,0),IF((M41&gt;0)*(IF(N41="",-1,N41)=0)*(1-(IF(N41="",-1,N41)&gt;=1)*(IF(N41="",-1,N41)&lt;=3)),IF(C41="peso_corporal",IF(ISNUMBER(E41),E41,0)+L41,L41)*M41*1000+L41,0),IF((P41&gt;0)*(IF(Q41="",-1,Q41)=0)*(1-(IF(Q41="",-1,Q41)&gt;=1)*(IF(Q41="",-1,Q41)&lt;=3)),IF(C41="peso_corporal",IF(ISNUMBER(E41),E41,0)+O41,O41)*P41*1000+O41,0),IF((S41&gt;0)*(IF(T41="",-1,T41)=0)*(1-(IF(T41="",-1,T41)&gt;=1)*(IF(T41="",-1,T41)&lt;=3)),IF(C41="peso_corporal",IF(ISNUMBER(E41),E41,0)+R41,R41)*S41*1000+R41,0))</f>
        <v>0</v>
      </c>
      <c r="Z41" s="69">
        <f>IF(Y41=0,0,IF(IF((S41&gt;0)*(IF(T41="",-1,T41)=0)*(1-(IF(T41="",-1,T41)&gt;=1)*(IF(T41="",-1,T41)&lt;=3)),IF(C41="peso_corporal",IF(ISNUMBER(E41),E41,0)+R41,R41)*S41*1000+R41,0)=Y41,5,IF(IF((P41&gt;0)*(IF(Q41="",-1,Q41)=0)*(1-(IF(Q41="",-1,Q41)&gt;=1)*(IF(Q41="",-1,Q41)&lt;=3)),IF(C41="peso_corporal",IF(ISNUMBER(E41),E41,0)+O41,O41)*P41*1000+O41,0)=Y41,4,IF(IF((M41&gt;0)*(IF(N41="",-1,N41)=0)*(1-(IF(N41="",-1,N41)&gt;=1)*(IF(N41="",-1,N41)&lt;=3)),IF(C41="peso_corporal",IF(ISNUMBER(E41),E41,0)+L41,L41)*M41*1000+L41,0)=Y41,3,IF(IF((J41&gt;0)*(IF(K41="",-1,K41)=0)*(1-(IF(K41="",-1,K41)&gt;=1)*(IF(K41="",-1,K41)&lt;=3)),IF(C41="peso_corporal",IF(ISNUMBER(E41),E41,0)+I41,I41)*J41*1000+I41,0)=Y41,2,IF(IF((G41&gt;0)*(IF(H41="",-1,H41)=0)*(1-(IF(H41="",-1,H41)&gt;=1)*(IF(H41="",-1,H41)&lt;=3)),IF(C41="peso_corporal",IF(ISNUMBER(E41),E41,0)+F41,F41)*G41*1000+F41,0)=Y41,1,0))))))</f>
        <v>0</v>
      </c>
      <c r="AA41" s="69">
        <f>MAX(IF((G41&gt;=6)*(1-(IF(H41="",-1,H41)&gt;=1)*(IF(H41="",-1,H41)&lt;=3))*(1-(IF(H41="",-1,H41)=0)),IF(C41="peso_corporal",IF(ISNUMBER(E41),E41,0)+F41,F41)*(30+G41)*100+F41,0),IF((J41&gt;=6)*(1-(IF(K41="",-1,K41)&gt;=1)*(IF(K41="",-1,K41)&lt;=3))*(1-(IF(K41="",-1,K41)=0)),IF(C41="peso_corporal",IF(ISNUMBER(E41),E41,0)+I41,I41)*(30+J41)*100+I41,0),IF((M41&gt;=6)*(1-(IF(N41="",-1,N41)&gt;=1)*(IF(N41="",-1,N41)&lt;=3))*(1-(IF(N41="",-1,N41)=0)),IF(C41="peso_corporal",IF(ISNUMBER(E41),E41,0)+L41,L41)*(30+M41)*100+L41,0),IF((P41&gt;=6)*(1-(IF(Q41="",-1,Q41)&gt;=1)*(IF(Q41="",-1,Q41)&lt;=3))*(1-(IF(Q41="",-1,Q41)=0)),IF(C41="peso_corporal",IF(ISNUMBER(E41),E41,0)+O41,O41)*(30+P41)*100+O41,0),IF((S41&gt;=6)*(1-(IF(T41="",-1,T41)&gt;=1)*(IF(T41="",-1,T41)&lt;=3))*(1-(IF(T41="",-1,T41)=0)),IF(C41="peso_corporal",IF(ISNUMBER(E41),E41,0)+R41,R41)*(30+S41)*100+R41,0))</f>
        <v>0</v>
      </c>
      <c r="AB41" s="69">
        <f>IF(AA41=0,0,IF(IF((S41&gt;=6)*(1-(IF(T41="",-1,T41)&gt;=1)*(IF(T41="",-1,T41)&lt;=3))*(1-(IF(T41="",-1,T41)=0)),IF(C41="peso_corporal",IF(ISNUMBER(E41),E41,0)+R41,R41)*(30+S41)*100+R41,0)=AA41,5,IF(IF((P41&gt;=6)*(1-(IF(Q41="",-1,Q41)&gt;=1)*(IF(Q41="",-1,Q41)&lt;=3))*(1-(IF(Q41="",-1,Q41)=0)),IF(C41="peso_corporal",IF(ISNUMBER(E41),E41,0)+O41,O41)*(30+P41)*100+O41,0)=AA41,4,IF(IF((M41&gt;=6)*(1-(IF(N41="",-1,N41)&gt;=1)*(IF(N41="",-1,N41)&lt;=3))*(1-(IF(N41="",-1,N41)=0)),IF(C41="peso_corporal",IF(ISNUMBER(E41),E41,0)+L41,L41)*(30+M41)*100+L41,0)=AA41,3,IF(IF((J41&gt;=6)*(1-(IF(K41="",-1,K41)&gt;=1)*(IF(K41="",-1,K41)&lt;=3))*(1-(IF(K41="",-1,K41)=0)),IF(C41="peso_corporal",IF(ISNUMBER(E41),E41,0)+I41,I41)*(30+J41)*100+I41,0)=AA41,2,IF(IF((G41&gt;=6)*(1-(IF(H41="",-1,H41)&gt;=1)*(IF(H41="",-1,H41)&lt;=3))*(1-(IF(H41="",-1,H41)=0)),IF(C41="peso_corporal",IF(ISNUMBER(E41),E41,0)+F41,F41)*(30+G41)*100+F41,0)=AA41,1,0))))))</f>
        <v>0</v>
      </c>
      <c r="AC41" s="69" t="str">
        <f>IF(X41&gt;0,"A"&amp;X41,IF(Z41&gt;0,"B"&amp;Z41,IF(AB41&gt;0,"C"&amp;AB41,"")))</f>
        <v/>
      </c>
    </row>
    <row r="42" spans="1:29" ht="15" customHeight="1">
      <c r="A42" s="89" t="s">
        <v>138</v>
      </c>
      <c r="B42" s="73"/>
      <c r="C42" s="73"/>
      <c r="D42" s="73"/>
      <c r="E42" s="73"/>
      <c r="F42" s="73"/>
      <c r="G42" s="73"/>
      <c r="H42" s="73"/>
      <c r="I42" s="73"/>
      <c r="J42" s="73"/>
      <c r="K42" s="73"/>
      <c r="L42" s="73"/>
      <c r="M42" s="73"/>
      <c r="N42" s="73"/>
      <c r="O42" s="73"/>
      <c r="P42" s="73"/>
      <c r="Q42" s="73"/>
      <c r="R42" s="73"/>
      <c r="S42" s="73"/>
      <c r="T42" s="73"/>
      <c r="U42" s="73"/>
      <c r="V42" s="73"/>
      <c r="W42" s="69"/>
      <c r="X42" s="69"/>
      <c r="Y42" s="69"/>
      <c r="Z42" s="69"/>
      <c r="AA42" s="69"/>
      <c r="AB42" s="69"/>
      <c r="AC42" s="69"/>
    </row>
    <row r="43" spans="1:29" ht="20.100000000000001" customHeight="1">
      <c r="A43" s="14" t="s">
        <v>139</v>
      </c>
      <c r="B43" s="15" t="s">
        <v>140</v>
      </c>
      <c r="C43" s="16" t="str">
        <f>IFERROR(INDEX(EJERCICIOS!$D$3:$D$75,MATCH(A43&amp;"|"&amp;B43,EJERCICIOS!$G$3:$G$75,0)),"--")</f>
        <v>disco</v>
      </c>
      <c r="D43" s="17">
        <v>3</v>
      </c>
      <c r="E43" s="18">
        <f>IFERROR(LOOKUP(2,1/(MEDIDAS_Y_PESO!$B$3:$B$4&lt;&gt;""),MEDIDAS_Y_PESO!$B$3:$B$4),"--")</f>
        <v>80</v>
      </c>
      <c r="F43" s="19"/>
      <c r="G43" s="20"/>
      <c r="H43" s="21"/>
      <c r="I43" s="19"/>
      <c r="J43" s="20"/>
      <c r="K43" s="21"/>
      <c r="L43" s="19"/>
      <c r="M43" s="20"/>
      <c r="N43" s="21"/>
      <c r="O43" s="19"/>
      <c r="P43" s="20"/>
      <c r="Q43" s="21"/>
      <c r="R43" s="19"/>
      <c r="S43" s="20"/>
      <c r="T43" s="21"/>
      <c r="U43" s="22" t="str">
        <f>IFERROR(IF(IF(X43&gt;0,X43,IF(Z43&gt;0,Z43,IF(AB43&gt;0,AB43,0)))=0,"--",ROUND(CHOOSE(IF(X43&gt;0,X43,IF(Z43&gt;0,Z43,IF(AB43&gt;0,AB43,0))),IF(C43="peso_corporal",IF(ISNUMBER(E43),E43,0)+F43,F43)*(1+G43/30),IF(C43="peso_corporal",IF(ISNUMBER(E43),E43,0)+I43,I43)*(1+J43/30),IF(C43="peso_corporal",IF(ISNUMBER(E43),E43,0)+L43,L43)*(1+M43/30),IF(C43="peso_corporal",IF(ISNUMBER(E43),E43,0)+O43,O43)*(1+P43/30),IF(C43="peso_corporal",IF(ISNUMBER(E43),E43,0)+R43,R43)*(1+S43/30)),1)),"--")</f>
        <v>--</v>
      </c>
      <c r="V43" s="23" t="str">
        <f>IF(SUGERENCIAS!N96="SIN","Sin datos anteriores",IF(SUGERENCIAS!N96="SUBIR_F","^ SUBIR FUERTE | Kg:"&amp;ROUND(SUGERENCIAS!K96,1)&amp;" R:"&amp;ROUND(SUGERENCIAS!L96,0)&amp;" RIR:"&amp;ROUND(SUGERENCIAS!M96,0),IF(SUGERENCIAS!N96="SUBIR_E","^ SUBIR (Est.) | Kg:"&amp;ROUND(SUGERENCIAS!K96,1)&amp;" R:"&amp;ROUND(SUGERENCIAS!L96,0)&amp;" RIR:"&amp;ROUND(SUGERENCIAS!M96,0),IF(SUGERENCIAS!N96="SUBIR","^ SUBIR | Kg:"&amp;ROUND(SUGERENCIAS!K96,1)&amp;" R:"&amp;ROUND(SUGERENCIAS!L96,0)&amp;" RIR:"&amp;ROUND(SUGERENCIAS!M96,0),IF(SUGERENCIAS!N96="BAJAR","v BAJAR | Kg:"&amp;ROUND(SUGERENCIAS!K96,1)&amp;" R:"&amp;ROUND(SUGERENCIAS!L96,0)&amp;" RIR:"&amp;ROUND(SUGERENCIAS!M96,0),"= MANT | Kg:"&amp;ROUND(SUGERENCIAS!K96,1)&amp;" R:"&amp;ROUND(SUGERENCIAS!L96,0)&amp;" RIR:"&amp;ROUND(SUGERENCIAS!M96,0))))))</f>
        <v>Sin datos anteriores</v>
      </c>
      <c r="W43" s="69">
        <f>MAX(IF((G43&gt;0)*(IF(H43="",-1,H43)&gt;=1)*(IF(H43="",-1,H43)&lt;=3),IF(C43="peso_corporal",IF(ISNUMBER(E43),E43,0)+F43,F43)*G43*1000+F43,0),IF((J43&gt;0)*(IF(K43="",-1,K43)&gt;=1)*(IF(K43="",-1,K43)&lt;=3),IF(C43="peso_corporal",IF(ISNUMBER(E43),E43,0)+I43,I43)*J43*1000+I43,0),IF((M43&gt;0)*(IF(N43="",-1,N43)&gt;=1)*(IF(N43="",-1,N43)&lt;=3),IF(C43="peso_corporal",IF(ISNUMBER(E43),E43,0)+L43,L43)*M43*1000+L43,0),IF((P43&gt;0)*(IF(Q43="",-1,Q43)&gt;=1)*(IF(Q43="",-1,Q43)&lt;=3),IF(C43="peso_corporal",IF(ISNUMBER(E43),E43,0)+O43,O43)*P43*1000+O43,0),IF((S43&gt;0)*(IF(T43="",-1,T43)&gt;=1)*(IF(T43="",-1,T43)&lt;=3),IF(C43="peso_corporal",IF(ISNUMBER(E43),E43,0)+R43,R43)*S43*1000+R43,0))</f>
        <v>0</v>
      </c>
      <c r="X43" s="69">
        <f>IF(W43=0,0,IF(IF((S43&gt;0)*(IF(T43="",-1,T43)&gt;=1)*(IF(T43="",-1,T43)&lt;=3),IF(C43="peso_corporal",IF(ISNUMBER(E43),E43,0)+R43,R43)*S43*1000+R43,0)=W43,5,IF(IF((P43&gt;0)*(IF(Q43="",-1,Q43)&gt;=1)*(IF(Q43="",-1,Q43)&lt;=3),IF(C43="peso_corporal",IF(ISNUMBER(E43),E43,0)+O43,O43)*P43*1000+O43,0)=W43,4,IF(IF((M43&gt;0)*(IF(N43="",-1,N43)&gt;=1)*(IF(N43="",-1,N43)&lt;=3),IF(C43="peso_corporal",IF(ISNUMBER(E43),E43,0)+L43,L43)*M43*1000+L43,0)=W43,3,IF(IF((J43&gt;0)*(IF(K43="",-1,K43)&gt;=1)*(IF(K43="",-1,K43)&lt;=3),IF(C43="peso_corporal",IF(ISNUMBER(E43),E43,0)+I43,I43)*J43*1000+I43,0)=W43,2,IF(IF((G43&gt;0)*(IF(H43="",-1,H43)&gt;=1)*(IF(H43="",-1,H43)&lt;=3),IF(C43="peso_corporal",IF(ISNUMBER(E43),E43,0)+F43,F43)*G43*1000+F43,0)=W43,1,0))))))</f>
        <v>0</v>
      </c>
      <c r="Y43" s="69">
        <f>MAX(IF((G43&gt;0)*(IF(H43="",-1,H43)=0)*(1-(IF(H43="",-1,H43)&gt;=1)*(IF(H43="",-1,H43)&lt;=3)),IF(C43="peso_corporal",IF(ISNUMBER(E43),E43,0)+F43,F43)*G43*1000+F43,0),IF((J43&gt;0)*(IF(K43="",-1,K43)=0)*(1-(IF(K43="",-1,K43)&gt;=1)*(IF(K43="",-1,K43)&lt;=3)),IF(C43="peso_corporal",IF(ISNUMBER(E43),E43,0)+I43,I43)*J43*1000+I43,0),IF((M43&gt;0)*(IF(N43="",-1,N43)=0)*(1-(IF(N43="",-1,N43)&gt;=1)*(IF(N43="",-1,N43)&lt;=3)),IF(C43="peso_corporal",IF(ISNUMBER(E43),E43,0)+L43,L43)*M43*1000+L43,0),IF((P43&gt;0)*(IF(Q43="",-1,Q43)=0)*(1-(IF(Q43="",-1,Q43)&gt;=1)*(IF(Q43="",-1,Q43)&lt;=3)),IF(C43="peso_corporal",IF(ISNUMBER(E43),E43,0)+O43,O43)*P43*1000+O43,0),IF((S43&gt;0)*(IF(T43="",-1,T43)=0)*(1-(IF(T43="",-1,T43)&gt;=1)*(IF(T43="",-1,T43)&lt;=3)),IF(C43="peso_corporal",IF(ISNUMBER(E43),E43,0)+R43,R43)*S43*1000+R43,0))</f>
        <v>0</v>
      </c>
      <c r="Z43" s="69">
        <f>IF(Y43=0,0,IF(IF((S43&gt;0)*(IF(T43="",-1,T43)=0)*(1-(IF(T43="",-1,T43)&gt;=1)*(IF(T43="",-1,T43)&lt;=3)),IF(C43="peso_corporal",IF(ISNUMBER(E43),E43,0)+R43,R43)*S43*1000+R43,0)=Y43,5,IF(IF((P43&gt;0)*(IF(Q43="",-1,Q43)=0)*(1-(IF(Q43="",-1,Q43)&gt;=1)*(IF(Q43="",-1,Q43)&lt;=3)),IF(C43="peso_corporal",IF(ISNUMBER(E43),E43,0)+O43,O43)*P43*1000+O43,0)=Y43,4,IF(IF((M43&gt;0)*(IF(N43="",-1,N43)=0)*(1-(IF(N43="",-1,N43)&gt;=1)*(IF(N43="",-1,N43)&lt;=3)),IF(C43="peso_corporal",IF(ISNUMBER(E43),E43,0)+L43,L43)*M43*1000+L43,0)=Y43,3,IF(IF((J43&gt;0)*(IF(K43="",-1,K43)=0)*(1-(IF(K43="",-1,K43)&gt;=1)*(IF(K43="",-1,K43)&lt;=3)),IF(C43="peso_corporal",IF(ISNUMBER(E43),E43,0)+I43,I43)*J43*1000+I43,0)=Y43,2,IF(IF((G43&gt;0)*(IF(H43="",-1,H43)=0)*(1-(IF(H43="",-1,H43)&gt;=1)*(IF(H43="",-1,H43)&lt;=3)),IF(C43="peso_corporal",IF(ISNUMBER(E43),E43,0)+F43,F43)*G43*1000+F43,0)=Y43,1,0))))))</f>
        <v>0</v>
      </c>
      <c r="AA43" s="69">
        <f>MAX(IF((G43&gt;=6)*(1-(IF(H43="",-1,H43)&gt;=1)*(IF(H43="",-1,H43)&lt;=3))*(1-(IF(H43="",-1,H43)=0)),IF(C43="peso_corporal",IF(ISNUMBER(E43),E43,0)+F43,F43)*(30+G43)*100+F43,0),IF((J43&gt;=6)*(1-(IF(K43="",-1,K43)&gt;=1)*(IF(K43="",-1,K43)&lt;=3))*(1-(IF(K43="",-1,K43)=0)),IF(C43="peso_corporal",IF(ISNUMBER(E43),E43,0)+I43,I43)*(30+J43)*100+I43,0),IF((M43&gt;=6)*(1-(IF(N43="",-1,N43)&gt;=1)*(IF(N43="",-1,N43)&lt;=3))*(1-(IF(N43="",-1,N43)=0)),IF(C43="peso_corporal",IF(ISNUMBER(E43),E43,0)+L43,L43)*(30+M43)*100+L43,0),IF((P43&gt;=6)*(1-(IF(Q43="",-1,Q43)&gt;=1)*(IF(Q43="",-1,Q43)&lt;=3))*(1-(IF(Q43="",-1,Q43)=0)),IF(C43="peso_corporal",IF(ISNUMBER(E43),E43,0)+O43,O43)*(30+P43)*100+O43,0),IF((S43&gt;=6)*(1-(IF(T43="",-1,T43)&gt;=1)*(IF(T43="",-1,T43)&lt;=3))*(1-(IF(T43="",-1,T43)=0)),IF(C43="peso_corporal",IF(ISNUMBER(E43),E43,0)+R43,R43)*(30+S43)*100+R43,0))</f>
        <v>0</v>
      </c>
      <c r="AB43" s="69">
        <f>IF(AA43=0,0,IF(IF((S43&gt;=6)*(1-(IF(T43="",-1,T43)&gt;=1)*(IF(T43="",-1,T43)&lt;=3))*(1-(IF(T43="",-1,T43)=0)),IF(C43="peso_corporal",IF(ISNUMBER(E43),E43,0)+R43,R43)*(30+S43)*100+R43,0)=AA43,5,IF(IF((P43&gt;=6)*(1-(IF(Q43="",-1,Q43)&gt;=1)*(IF(Q43="",-1,Q43)&lt;=3))*(1-(IF(Q43="",-1,Q43)=0)),IF(C43="peso_corporal",IF(ISNUMBER(E43),E43,0)+O43,O43)*(30+P43)*100+O43,0)=AA43,4,IF(IF((M43&gt;=6)*(1-(IF(N43="",-1,N43)&gt;=1)*(IF(N43="",-1,N43)&lt;=3))*(1-(IF(N43="",-1,N43)=0)),IF(C43="peso_corporal",IF(ISNUMBER(E43),E43,0)+L43,L43)*(30+M43)*100+L43,0)=AA43,3,IF(IF((J43&gt;=6)*(1-(IF(K43="",-1,K43)&gt;=1)*(IF(K43="",-1,K43)&lt;=3))*(1-(IF(K43="",-1,K43)=0)),IF(C43="peso_corporal",IF(ISNUMBER(E43),E43,0)+I43,I43)*(30+J43)*100+I43,0)=AA43,2,IF(IF((G43&gt;=6)*(1-(IF(H43="",-1,H43)&gt;=1)*(IF(H43="",-1,H43)&lt;=3))*(1-(IF(H43="",-1,H43)=0)),IF(C43="peso_corporal",IF(ISNUMBER(E43),E43,0)+F43,F43)*(30+G43)*100+F43,0)=AA43,1,0))))))</f>
        <v>0</v>
      </c>
      <c r="AC43" s="69" t="str">
        <f>IF(X43&gt;0,"A"&amp;X43,IF(Z43&gt;0,"B"&amp;Z43,IF(AB43&gt;0,"C"&amp;AB43,"")))</f>
        <v/>
      </c>
    </row>
    <row r="44" spans="1:29" ht="20.100000000000001" customHeight="1">
      <c r="A44" s="14" t="s">
        <v>139</v>
      </c>
      <c r="B44" s="15" t="s">
        <v>141</v>
      </c>
      <c r="C44" s="16" t="str">
        <f>IFERROR(INDEX(EJERCICIOS!$D$3:$D$75,MATCH(A44&amp;"|"&amp;B44,EJERCICIOS!$G$3:$G$75,0)),"--")</f>
        <v>disco</v>
      </c>
      <c r="D44" s="17">
        <v>3</v>
      </c>
      <c r="E44" s="18">
        <f>IFERROR(LOOKUP(2,1/(MEDIDAS_Y_PESO!$B$3:$B$4&lt;&gt;""),MEDIDAS_Y_PESO!$B$3:$B$4),"--")</f>
        <v>80</v>
      </c>
      <c r="F44" s="19"/>
      <c r="G44" s="20"/>
      <c r="H44" s="21"/>
      <c r="I44" s="19"/>
      <c r="J44" s="20"/>
      <c r="K44" s="21"/>
      <c r="L44" s="19"/>
      <c r="M44" s="20"/>
      <c r="N44" s="21"/>
      <c r="O44" s="19"/>
      <c r="P44" s="20"/>
      <c r="Q44" s="21"/>
      <c r="R44" s="19"/>
      <c r="S44" s="20"/>
      <c r="T44" s="21"/>
      <c r="U44" s="22" t="str">
        <f>IFERROR(IF(IF(X44&gt;0,X44,IF(Z44&gt;0,Z44,IF(AB44&gt;0,AB44,0)))=0,"--",ROUND(CHOOSE(IF(X44&gt;0,X44,IF(Z44&gt;0,Z44,IF(AB44&gt;0,AB44,0))),IF(C44="peso_corporal",IF(ISNUMBER(E44),E44,0)+F44,F44)*(1+G44/30),IF(C44="peso_corporal",IF(ISNUMBER(E44),E44,0)+I44,I44)*(1+J44/30),IF(C44="peso_corporal",IF(ISNUMBER(E44),E44,0)+L44,L44)*(1+M44/30),IF(C44="peso_corporal",IF(ISNUMBER(E44),E44,0)+O44,O44)*(1+P44/30),IF(C44="peso_corporal",IF(ISNUMBER(E44),E44,0)+R44,R44)*(1+S44/30)),1)),"--")</f>
        <v>--</v>
      </c>
      <c r="V44" s="23" t="str">
        <f>IF(SUGERENCIAS!N97="SIN","Sin datos anteriores",IF(SUGERENCIAS!N97="SUBIR_F","^ SUBIR FUERTE | Kg:"&amp;ROUND(SUGERENCIAS!K97,1)&amp;" R:"&amp;ROUND(SUGERENCIAS!L97,0)&amp;" RIR:"&amp;ROUND(SUGERENCIAS!M97,0),IF(SUGERENCIAS!N97="SUBIR_E","^ SUBIR (Est.) | Kg:"&amp;ROUND(SUGERENCIAS!K97,1)&amp;" R:"&amp;ROUND(SUGERENCIAS!L97,0)&amp;" RIR:"&amp;ROUND(SUGERENCIAS!M97,0),IF(SUGERENCIAS!N97="SUBIR","^ SUBIR | Kg:"&amp;ROUND(SUGERENCIAS!K97,1)&amp;" R:"&amp;ROUND(SUGERENCIAS!L97,0)&amp;" RIR:"&amp;ROUND(SUGERENCIAS!M97,0),IF(SUGERENCIAS!N97="BAJAR","v BAJAR | Kg:"&amp;ROUND(SUGERENCIAS!K97,1)&amp;" R:"&amp;ROUND(SUGERENCIAS!L97,0)&amp;" RIR:"&amp;ROUND(SUGERENCIAS!M97,0),"= MANT | Kg:"&amp;ROUND(SUGERENCIAS!K97,1)&amp;" R:"&amp;ROUND(SUGERENCIAS!L97,0)&amp;" RIR:"&amp;ROUND(SUGERENCIAS!M97,0))))))</f>
        <v>Sin datos anteriores</v>
      </c>
      <c r="W44" s="69">
        <f>MAX(IF((G44&gt;0)*(IF(H44="",-1,H44)&gt;=1)*(IF(H44="",-1,H44)&lt;=3),IF(C44="peso_corporal",IF(ISNUMBER(E44),E44,0)+F44,F44)*G44*1000+F44,0),IF((J44&gt;0)*(IF(K44="",-1,K44)&gt;=1)*(IF(K44="",-1,K44)&lt;=3),IF(C44="peso_corporal",IF(ISNUMBER(E44),E44,0)+I44,I44)*J44*1000+I44,0),IF((M44&gt;0)*(IF(N44="",-1,N44)&gt;=1)*(IF(N44="",-1,N44)&lt;=3),IF(C44="peso_corporal",IF(ISNUMBER(E44),E44,0)+L44,L44)*M44*1000+L44,0),IF((P44&gt;0)*(IF(Q44="",-1,Q44)&gt;=1)*(IF(Q44="",-1,Q44)&lt;=3),IF(C44="peso_corporal",IF(ISNUMBER(E44),E44,0)+O44,O44)*P44*1000+O44,0),IF((S44&gt;0)*(IF(T44="",-1,T44)&gt;=1)*(IF(T44="",-1,T44)&lt;=3),IF(C44="peso_corporal",IF(ISNUMBER(E44),E44,0)+R44,R44)*S44*1000+R44,0))</f>
        <v>0</v>
      </c>
      <c r="X44" s="69">
        <f>IF(W44=0,0,IF(IF((S44&gt;0)*(IF(T44="",-1,T44)&gt;=1)*(IF(T44="",-1,T44)&lt;=3),IF(C44="peso_corporal",IF(ISNUMBER(E44),E44,0)+R44,R44)*S44*1000+R44,0)=W44,5,IF(IF((P44&gt;0)*(IF(Q44="",-1,Q44)&gt;=1)*(IF(Q44="",-1,Q44)&lt;=3),IF(C44="peso_corporal",IF(ISNUMBER(E44),E44,0)+O44,O44)*P44*1000+O44,0)=W44,4,IF(IF((M44&gt;0)*(IF(N44="",-1,N44)&gt;=1)*(IF(N44="",-1,N44)&lt;=3),IF(C44="peso_corporal",IF(ISNUMBER(E44),E44,0)+L44,L44)*M44*1000+L44,0)=W44,3,IF(IF((J44&gt;0)*(IF(K44="",-1,K44)&gt;=1)*(IF(K44="",-1,K44)&lt;=3),IF(C44="peso_corporal",IF(ISNUMBER(E44),E44,0)+I44,I44)*J44*1000+I44,0)=W44,2,IF(IF((G44&gt;0)*(IF(H44="",-1,H44)&gt;=1)*(IF(H44="",-1,H44)&lt;=3),IF(C44="peso_corporal",IF(ISNUMBER(E44),E44,0)+F44,F44)*G44*1000+F44,0)=W44,1,0))))))</f>
        <v>0</v>
      </c>
      <c r="Y44" s="69">
        <f>MAX(IF((G44&gt;0)*(IF(H44="",-1,H44)=0)*(1-(IF(H44="",-1,H44)&gt;=1)*(IF(H44="",-1,H44)&lt;=3)),IF(C44="peso_corporal",IF(ISNUMBER(E44),E44,0)+F44,F44)*G44*1000+F44,0),IF((J44&gt;0)*(IF(K44="",-1,K44)=0)*(1-(IF(K44="",-1,K44)&gt;=1)*(IF(K44="",-1,K44)&lt;=3)),IF(C44="peso_corporal",IF(ISNUMBER(E44),E44,0)+I44,I44)*J44*1000+I44,0),IF((M44&gt;0)*(IF(N44="",-1,N44)=0)*(1-(IF(N44="",-1,N44)&gt;=1)*(IF(N44="",-1,N44)&lt;=3)),IF(C44="peso_corporal",IF(ISNUMBER(E44),E44,0)+L44,L44)*M44*1000+L44,0),IF((P44&gt;0)*(IF(Q44="",-1,Q44)=0)*(1-(IF(Q44="",-1,Q44)&gt;=1)*(IF(Q44="",-1,Q44)&lt;=3)),IF(C44="peso_corporal",IF(ISNUMBER(E44),E44,0)+O44,O44)*P44*1000+O44,0),IF((S44&gt;0)*(IF(T44="",-1,T44)=0)*(1-(IF(T44="",-1,T44)&gt;=1)*(IF(T44="",-1,T44)&lt;=3)),IF(C44="peso_corporal",IF(ISNUMBER(E44),E44,0)+R44,R44)*S44*1000+R44,0))</f>
        <v>0</v>
      </c>
      <c r="Z44" s="69">
        <f>IF(Y44=0,0,IF(IF((S44&gt;0)*(IF(T44="",-1,T44)=0)*(1-(IF(T44="",-1,T44)&gt;=1)*(IF(T44="",-1,T44)&lt;=3)),IF(C44="peso_corporal",IF(ISNUMBER(E44),E44,0)+R44,R44)*S44*1000+R44,0)=Y44,5,IF(IF((P44&gt;0)*(IF(Q44="",-1,Q44)=0)*(1-(IF(Q44="",-1,Q44)&gt;=1)*(IF(Q44="",-1,Q44)&lt;=3)),IF(C44="peso_corporal",IF(ISNUMBER(E44),E44,0)+O44,O44)*P44*1000+O44,0)=Y44,4,IF(IF((M44&gt;0)*(IF(N44="",-1,N44)=0)*(1-(IF(N44="",-1,N44)&gt;=1)*(IF(N44="",-1,N44)&lt;=3)),IF(C44="peso_corporal",IF(ISNUMBER(E44),E44,0)+L44,L44)*M44*1000+L44,0)=Y44,3,IF(IF((J44&gt;0)*(IF(K44="",-1,K44)=0)*(1-(IF(K44="",-1,K44)&gt;=1)*(IF(K44="",-1,K44)&lt;=3)),IF(C44="peso_corporal",IF(ISNUMBER(E44),E44,0)+I44,I44)*J44*1000+I44,0)=Y44,2,IF(IF((G44&gt;0)*(IF(H44="",-1,H44)=0)*(1-(IF(H44="",-1,H44)&gt;=1)*(IF(H44="",-1,H44)&lt;=3)),IF(C44="peso_corporal",IF(ISNUMBER(E44),E44,0)+F44,F44)*G44*1000+F44,0)=Y44,1,0))))))</f>
        <v>0</v>
      </c>
      <c r="AA44" s="69">
        <f>MAX(IF((G44&gt;=6)*(1-(IF(H44="",-1,H44)&gt;=1)*(IF(H44="",-1,H44)&lt;=3))*(1-(IF(H44="",-1,H44)=0)),IF(C44="peso_corporal",IF(ISNUMBER(E44),E44,0)+F44,F44)*(30+G44)*100+F44,0),IF((J44&gt;=6)*(1-(IF(K44="",-1,K44)&gt;=1)*(IF(K44="",-1,K44)&lt;=3))*(1-(IF(K44="",-1,K44)=0)),IF(C44="peso_corporal",IF(ISNUMBER(E44),E44,0)+I44,I44)*(30+J44)*100+I44,0),IF((M44&gt;=6)*(1-(IF(N44="",-1,N44)&gt;=1)*(IF(N44="",-1,N44)&lt;=3))*(1-(IF(N44="",-1,N44)=0)),IF(C44="peso_corporal",IF(ISNUMBER(E44),E44,0)+L44,L44)*(30+M44)*100+L44,0),IF((P44&gt;=6)*(1-(IF(Q44="",-1,Q44)&gt;=1)*(IF(Q44="",-1,Q44)&lt;=3))*(1-(IF(Q44="",-1,Q44)=0)),IF(C44="peso_corporal",IF(ISNUMBER(E44),E44,0)+O44,O44)*(30+P44)*100+O44,0),IF((S44&gt;=6)*(1-(IF(T44="",-1,T44)&gt;=1)*(IF(T44="",-1,T44)&lt;=3))*(1-(IF(T44="",-1,T44)=0)),IF(C44="peso_corporal",IF(ISNUMBER(E44),E44,0)+R44,R44)*(30+S44)*100+R44,0))</f>
        <v>0</v>
      </c>
      <c r="AB44" s="69">
        <f>IF(AA44=0,0,IF(IF((S44&gt;=6)*(1-(IF(T44="",-1,T44)&gt;=1)*(IF(T44="",-1,T44)&lt;=3))*(1-(IF(T44="",-1,T44)=0)),IF(C44="peso_corporal",IF(ISNUMBER(E44),E44,0)+R44,R44)*(30+S44)*100+R44,0)=AA44,5,IF(IF((P44&gt;=6)*(1-(IF(Q44="",-1,Q44)&gt;=1)*(IF(Q44="",-1,Q44)&lt;=3))*(1-(IF(Q44="",-1,Q44)=0)),IF(C44="peso_corporal",IF(ISNUMBER(E44),E44,0)+O44,O44)*(30+P44)*100+O44,0)=AA44,4,IF(IF((M44&gt;=6)*(1-(IF(N44="",-1,N44)&gt;=1)*(IF(N44="",-1,N44)&lt;=3))*(1-(IF(N44="",-1,N44)=0)),IF(C44="peso_corporal",IF(ISNUMBER(E44),E44,0)+L44,L44)*(30+M44)*100+L44,0)=AA44,3,IF(IF((J44&gt;=6)*(1-(IF(K44="",-1,K44)&gt;=1)*(IF(K44="",-1,K44)&lt;=3))*(1-(IF(K44="",-1,K44)=0)),IF(C44="peso_corporal",IF(ISNUMBER(E44),E44,0)+I44,I44)*(30+J44)*100+I44,0)=AA44,2,IF(IF((G44&gt;=6)*(1-(IF(H44="",-1,H44)&gt;=1)*(IF(H44="",-1,H44)&lt;=3))*(1-(IF(H44="",-1,H44)=0)),IF(C44="peso_corporal",IF(ISNUMBER(E44),E44,0)+F44,F44)*(30+G44)*100+F44,0)=AA44,1,0))))))</f>
        <v>0</v>
      </c>
      <c r="AC44" s="69" t="str">
        <f>IF(X44&gt;0,"A"&amp;X44,IF(Z44&gt;0,"B"&amp;Z44,IF(AB44&gt;0,"C"&amp;AB44,"")))</f>
        <v/>
      </c>
    </row>
    <row r="45" spans="1:29" ht="15" customHeight="1">
      <c r="A45" s="90" t="s">
        <v>142</v>
      </c>
      <c r="B45" s="73"/>
      <c r="C45" s="73"/>
      <c r="D45" s="73"/>
      <c r="E45" s="73"/>
      <c r="F45" s="73"/>
      <c r="G45" s="73"/>
      <c r="H45" s="73"/>
      <c r="I45" s="73"/>
      <c r="J45" s="73"/>
      <c r="K45" s="73"/>
      <c r="L45" s="73"/>
      <c r="M45" s="73"/>
      <c r="N45" s="73"/>
      <c r="O45" s="73"/>
      <c r="P45" s="73"/>
      <c r="Q45" s="73"/>
      <c r="R45" s="73"/>
      <c r="S45" s="73"/>
      <c r="T45" s="73"/>
      <c r="U45" s="73"/>
      <c r="V45" s="73"/>
      <c r="W45" s="69"/>
      <c r="X45" s="69"/>
      <c r="Y45" s="69"/>
      <c r="Z45" s="69"/>
      <c r="AA45" s="69"/>
      <c r="AB45" s="69"/>
      <c r="AC45" s="69"/>
    </row>
    <row r="46" spans="1:29" ht="20.100000000000001" customHeight="1">
      <c r="A46" s="14" t="s">
        <v>24</v>
      </c>
      <c r="B46" s="15" t="s">
        <v>143</v>
      </c>
      <c r="C46" s="16" t="str">
        <f>IFERROR(INDEX(EJERCICIOS!$D$3:$D$75,MATCH(A46&amp;"|"&amp;B46,EJERCICIOS!$G$3:$G$75,0)),"--")</f>
        <v>peso_corporal</v>
      </c>
      <c r="D46" s="17">
        <v>3</v>
      </c>
      <c r="E46" s="18">
        <f>IFERROR(LOOKUP(2,1/(MEDIDAS_Y_PESO!$B$3:$B$4&lt;&gt;""),MEDIDAS_Y_PESO!$B$3:$B$4),"--")</f>
        <v>80</v>
      </c>
      <c r="F46" s="19"/>
      <c r="G46" s="20"/>
      <c r="H46" s="21"/>
      <c r="I46" s="19"/>
      <c r="J46" s="20"/>
      <c r="K46" s="21"/>
      <c r="L46" s="19"/>
      <c r="M46" s="20"/>
      <c r="N46" s="21"/>
      <c r="O46" s="19"/>
      <c r="P46" s="20"/>
      <c r="Q46" s="21"/>
      <c r="R46" s="19"/>
      <c r="S46" s="20"/>
      <c r="T46" s="21"/>
      <c r="U46" s="22" t="str">
        <f>IFERROR(IF(IF(X46&gt;0,X46,IF(Z46&gt;0,Z46,IF(AB46&gt;0,AB46,0)))=0,"--",ROUND(CHOOSE(IF(X46&gt;0,X46,IF(Z46&gt;0,Z46,IF(AB46&gt;0,AB46,0))),IF(C46="peso_corporal",IF(ISNUMBER(E46),E46,0)+F46,F46)*(1+G46/30),IF(C46="peso_corporal",IF(ISNUMBER(E46),E46,0)+I46,I46)*(1+J46/30),IF(C46="peso_corporal",IF(ISNUMBER(E46),E46,0)+L46,L46)*(1+M46/30),IF(C46="peso_corporal",IF(ISNUMBER(E46),E46,0)+O46,O46)*(1+P46/30),IF(C46="peso_corporal",IF(ISNUMBER(E46),E46,0)+R46,R46)*(1+S46/30)),1)),"--")</f>
        <v>--</v>
      </c>
      <c r="V46" s="23" t="str">
        <f>IF(SUGERENCIAS!N98="SIN","Sin datos anteriores",IF(SUGERENCIAS!N98="SUBIR_F","^ SUBIR FUERTE | Kg:"&amp;ROUND(SUGERENCIAS!K98,1)&amp;" R:"&amp;ROUND(SUGERENCIAS!L98,0)&amp;" RIR:"&amp;ROUND(SUGERENCIAS!M98,0),IF(SUGERENCIAS!N98="SUBIR_E","^ SUBIR (Est.) | Kg:"&amp;ROUND(SUGERENCIAS!K98,1)&amp;" R:"&amp;ROUND(SUGERENCIAS!L98,0)&amp;" RIR:"&amp;ROUND(SUGERENCIAS!M98,0),IF(SUGERENCIAS!N98="SUBIR","^ SUBIR | Kg:"&amp;ROUND(SUGERENCIAS!K98,1)&amp;" R:"&amp;ROUND(SUGERENCIAS!L98,0)&amp;" RIR:"&amp;ROUND(SUGERENCIAS!M98,0),IF(SUGERENCIAS!N98="BAJAR","v BAJAR | Kg:"&amp;ROUND(SUGERENCIAS!K98,1)&amp;" R:"&amp;ROUND(SUGERENCIAS!L98,0)&amp;" RIR:"&amp;ROUND(SUGERENCIAS!M98,0),"= MANT | Kg:"&amp;ROUND(SUGERENCIAS!K98,1)&amp;" R:"&amp;ROUND(SUGERENCIAS!L98,0)&amp;" RIR:"&amp;ROUND(SUGERENCIAS!M98,0))))))</f>
        <v>Sin datos anteriores</v>
      </c>
      <c r="W46" s="69">
        <f>MAX(IF((G46&gt;0)*(IF(H46="",-1,H46)&gt;=1)*(IF(H46="",-1,H46)&lt;=3),IF(C46="peso_corporal",IF(ISNUMBER(E46),E46,0)+F46,F46)*G46*1000+F46,0),IF((J46&gt;0)*(IF(K46="",-1,K46)&gt;=1)*(IF(K46="",-1,K46)&lt;=3),IF(C46="peso_corporal",IF(ISNUMBER(E46),E46,0)+I46,I46)*J46*1000+I46,0),IF((M46&gt;0)*(IF(N46="",-1,N46)&gt;=1)*(IF(N46="",-1,N46)&lt;=3),IF(C46="peso_corporal",IF(ISNUMBER(E46),E46,0)+L46,L46)*M46*1000+L46,0),IF((P46&gt;0)*(IF(Q46="",-1,Q46)&gt;=1)*(IF(Q46="",-1,Q46)&lt;=3),IF(C46="peso_corporal",IF(ISNUMBER(E46),E46,0)+O46,O46)*P46*1000+O46,0),IF((S46&gt;0)*(IF(T46="",-1,T46)&gt;=1)*(IF(T46="",-1,T46)&lt;=3),IF(C46="peso_corporal",IF(ISNUMBER(E46),E46,0)+R46,R46)*S46*1000+R46,0))</f>
        <v>0</v>
      </c>
      <c r="X46" s="69">
        <f>IF(W46=0,0,IF(IF((S46&gt;0)*(IF(T46="",-1,T46)&gt;=1)*(IF(T46="",-1,T46)&lt;=3),IF(C46="peso_corporal",IF(ISNUMBER(E46),E46,0)+R46,R46)*S46*1000+R46,0)=W46,5,IF(IF((P46&gt;0)*(IF(Q46="",-1,Q46)&gt;=1)*(IF(Q46="",-1,Q46)&lt;=3),IF(C46="peso_corporal",IF(ISNUMBER(E46),E46,0)+O46,O46)*P46*1000+O46,0)=W46,4,IF(IF((M46&gt;0)*(IF(N46="",-1,N46)&gt;=1)*(IF(N46="",-1,N46)&lt;=3),IF(C46="peso_corporal",IF(ISNUMBER(E46),E46,0)+L46,L46)*M46*1000+L46,0)=W46,3,IF(IF((J46&gt;0)*(IF(K46="",-1,K46)&gt;=1)*(IF(K46="",-1,K46)&lt;=3),IF(C46="peso_corporal",IF(ISNUMBER(E46),E46,0)+I46,I46)*J46*1000+I46,0)=W46,2,IF(IF((G46&gt;0)*(IF(H46="",-1,H46)&gt;=1)*(IF(H46="",-1,H46)&lt;=3),IF(C46="peso_corporal",IF(ISNUMBER(E46),E46,0)+F46,F46)*G46*1000+F46,0)=W46,1,0))))))</f>
        <v>0</v>
      </c>
      <c r="Y46" s="69">
        <f>MAX(IF((G46&gt;0)*(IF(H46="",-1,H46)=0)*(1-(IF(H46="",-1,H46)&gt;=1)*(IF(H46="",-1,H46)&lt;=3)),IF(C46="peso_corporal",IF(ISNUMBER(E46),E46,0)+F46,F46)*G46*1000+F46,0),IF((J46&gt;0)*(IF(K46="",-1,K46)=0)*(1-(IF(K46="",-1,K46)&gt;=1)*(IF(K46="",-1,K46)&lt;=3)),IF(C46="peso_corporal",IF(ISNUMBER(E46),E46,0)+I46,I46)*J46*1000+I46,0),IF((M46&gt;0)*(IF(N46="",-1,N46)=0)*(1-(IF(N46="",-1,N46)&gt;=1)*(IF(N46="",-1,N46)&lt;=3)),IF(C46="peso_corporal",IF(ISNUMBER(E46),E46,0)+L46,L46)*M46*1000+L46,0),IF((P46&gt;0)*(IF(Q46="",-1,Q46)=0)*(1-(IF(Q46="",-1,Q46)&gt;=1)*(IF(Q46="",-1,Q46)&lt;=3)),IF(C46="peso_corporal",IF(ISNUMBER(E46),E46,0)+O46,O46)*P46*1000+O46,0),IF((S46&gt;0)*(IF(T46="",-1,T46)=0)*(1-(IF(T46="",-1,T46)&gt;=1)*(IF(T46="",-1,T46)&lt;=3)),IF(C46="peso_corporal",IF(ISNUMBER(E46),E46,0)+R46,R46)*S46*1000+R46,0))</f>
        <v>0</v>
      </c>
      <c r="Z46" s="69">
        <f>IF(Y46=0,0,IF(IF((S46&gt;0)*(IF(T46="",-1,T46)=0)*(1-(IF(T46="",-1,T46)&gt;=1)*(IF(T46="",-1,T46)&lt;=3)),IF(C46="peso_corporal",IF(ISNUMBER(E46),E46,0)+R46,R46)*S46*1000+R46,0)=Y46,5,IF(IF((P46&gt;0)*(IF(Q46="",-1,Q46)=0)*(1-(IF(Q46="",-1,Q46)&gt;=1)*(IF(Q46="",-1,Q46)&lt;=3)),IF(C46="peso_corporal",IF(ISNUMBER(E46),E46,0)+O46,O46)*P46*1000+O46,0)=Y46,4,IF(IF((M46&gt;0)*(IF(N46="",-1,N46)=0)*(1-(IF(N46="",-1,N46)&gt;=1)*(IF(N46="",-1,N46)&lt;=3)),IF(C46="peso_corporal",IF(ISNUMBER(E46),E46,0)+L46,L46)*M46*1000+L46,0)=Y46,3,IF(IF((J46&gt;0)*(IF(K46="",-1,K46)=0)*(1-(IF(K46="",-1,K46)&gt;=1)*(IF(K46="",-1,K46)&lt;=3)),IF(C46="peso_corporal",IF(ISNUMBER(E46),E46,0)+I46,I46)*J46*1000+I46,0)=Y46,2,IF(IF((G46&gt;0)*(IF(H46="",-1,H46)=0)*(1-(IF(H46="",-1,H46)&gt;=1)*(IF(H46="",-1,H46)&lt;=3)),IF(C46="peso_corporal",IF(ISNUMBER(E46),E46,0)+F46,F46)*G46*1000+F46,0)=Y46,1,0))))))</f>
        <v>0</v>
      </c>
      <c r="AA46" s="69">
        <f>MAX(IF((G46&gt;=6)*(1-(IF(H46="",-1,H46)&gt;=1)*(IF(H46="",-1,H46)&lt;=3))*(1-(IF(H46="",-1,H46)=0)),IF(C46="peso_corporal",IF(ISNUMBER(E46),E46,0)+F46,F46)*(30+G46)*100+F46,0),IF((J46&gt;=6)*(1-(IF(K46="",-1,K46)&gt;=1)*(IF(K46="",-1,K46)&lt;=3))*(1-(IF(K46="",-1,K46)=0)),IF(C46="peso_corporal",IF(ISNUMBER(E46),E46,0)+I46,I46)*(30+J46)*100+I46,0),IF((M46&gt;=6)*(1-(IF(N46="",-1,N46)&gt;=1)*(IF(N46="",-1,N46)&lt;=3))*(1-(IF(N46="",-1,N46)=0)),IF(C46="peso_corporal",IF(ISNUMBER(E46),E46,0)+L46,L46)*(30+M46)*100+L46,0),IF((P46&gt;=6)*(1-(IF(Q46="",-1,Q46)&gt;=1)*(IF(Q46="",-1,Q46)&lt;=3))*(1-(IF(Q46="",-1,Q46)=0)),IF(C46="peso_corporal",IF(ISNUMBER(E46),E46,0)+O46,O46)*(30+P46)*100+O46,0),IF((S46&gt;=6)*(1-(IF(T46="",-1,T46)&gt;=1)*(IF(T46="",-1,T46)&lt;=3))*(1-(IF(T46="",-1,T46)=0)),IF(C46="peso_corporal",IF(ISNUMBER(E46),E46,0)+R46,R46)*(30+S46)*100+R46,0))</f>
        <v>0</v>
      </c>
      <c r="AB46" s="69">
        <f>IF(AA46=0,0,IF(IF((S46&gt;=6)*(1-(IF(T46="",-1,T46)&gt;=1)*(IF(T46="",-1,T46)&lt;=3))*(1-(IF(T46="",-1,T46)=0)),IF(C46="peso_corporal",IF(ISNUMBER(E46),E46,0)+R46,R46)*(30+S46)*100+R46,0)=AA46,5,IF(IF((P46&gt;=6)*(1-(IF(Q46="",-1,Q46)&gt;=1)*(IF(Q46="",-1,Q46)&lt;=3))*(1-(IF(Q46="",-1,Q46)=0)),IF(C46="peso_corporal",IF(ISNUMBER(E46),E46,0)+O46,O46)*(30+P46)*100+O46,0)=AA46,4,IF(IF((M46&gt;=6)*(1-(IF(N46="",-1,N46)&gt;=1)*(IF(N46="",-1,N46)&lt;=3))*(1-(IF(N46="",-1,N46)=0)),IF(C46="peso_corporal",IF(ISNUMBER(E46),E46,0)+L46,L46)*(30+M46)*100+L46,0)=AA46,3,IF(IF((J46&gt;=6)*(1-(IF(K46="",-1,K46)&gt;=1)*(IF(K46="",-1,K46)&lt;=3))*(1-(IF(K46="",-1,K46)=0)),IF(C46="peso_corporal",IF(ISNUMBER(E46),E46,0)+I46,I46)*(30+J46)*100+I46,0)=AA46,2,IF(IF((G46&gt;=6)*(1-(IF(H46="",-1,H46)&gt;=1)*(IF(H46="",-1,H46)&lt;=3))*(1-(IF(H46="",-1,H46)=0)),IF(C46="peso_corporal",IF(ISNUMBER(E46),E46,0)+F46,F46)*(30+G46)*100+F46,0)=AA46,1,0))))))</f>
        <v>0</v>
      </c>
      <c r="AC46" s="69" t="str">
        <f>IF(X46&gt;0,"A"&amp;X46,IF(Z46&gt;0,"B"&amp;Z46,IF(AB46&gt;0,"C"&amp;AB46,"")))</f>
        <v/>
      </c>
    </row>
    <row r="47" spans="1:29" ht="20.100000000000001" customHeight="1">
      <c r="A47" s="14" t="s">
        <v>144</v>
      </c>
      <c r="B47" s="15" t="s">
        <v>60</v>
      </c>
      <c r="C47" s="16" t="str">
        <f>IFERROR(INDEX(EJERCICIOS!$D$3:$D$75,MATCH(A47&amp;"|"&amp;B47,EJERCICIOS!$G$3:$G$75,0)),"--")</f>
        <v>disco</v>
      </c>
      <c r="D47" s="17">
        <v>3</v>
      </c>
      <c r="E47" s="18">
        <f>IFERROR(LOOKUP(2,1/(MEDIDAS_Y_PESO!$B$3:$B$4&lt;&gt;""),MEDIDAS_Y_PESO!$B$3:$B$4),"--")</f>
        <v>80</v>
      </c>
      <c r="F47" s="19"/>
      <c r="G47" s="20"/>
      <c r="H47" s="21"/>
      <c r="I47" s="19"/>
      <c r="J47" s="20"/>
      <c r="K47" s="21"/>
      <c r="L47" s="19"/>
      <c r="M47" s="20"/>
      <c r="N47" s="21"/>
      <c r="O47" s="19"/>
      <c r="P47" s="20"/>
      <c r="Q47" s="21"/>
      <c r="R47" s="19"/>
      <c r="S47" s="20"/>
      <c r="T47" s="21"/>
      <c r="U47" s="22" t="str">
        <f>IFERROR(IF(IF(X47&gt;0,X47,IF(Z47&gt;0,Z47,IF(AB47&gt;0,AB47,0)))=0,"--",ROUND(CHOOSE(IF(X47&gt;0,X47,IF(Z47&gt;0,Z47,IF(AB47&gt;0,AB47,0))),IF(C47="peso_corporal",IF(ISNUMBER(E47),E47,0)+F47,F47)*(1+G47/30),IF(C47="peso_corporal",IF(ISNUMBER(E47),E47,0)+I47,I47)*(1+J47/30),IF(C47="peso_corporal",IF(ISNUMBER(E47),E47,0)+L47,L47)*(1+M47/30),IF(C47="peso_corporal",IF(ISNUMBER(E47),E47,0)+O47,O47)*(1+P47/30),IF(C47="peso_corporal",IF(ISNUMBER(E47),E47,0)+R47,R47)*(1+S47/30)),1)),"--")</f>
        <v>--</v>
      </c>
      <c r="V47" s="23" t="str">
        <f>IF(SUGERENCIAS!N99="SIN","Sin datos anteriores",IF(SUGERENCIAS!N99="SUBIR_F","^ SUBIR FUERTE | Kg:"&amp;ROUND(SUGERENCIAS!K99,1)&amp;" R:"&amp;ROUND(SUGERENCIAS!L99,0)&amp;" RIR:"&amp;ROUND(SUGERENCIAS!M99,0),IF(SUGERENCIAS!N99="SUBIR_E","^ SUBIR (Est.) | Kg:"&amp;ROUND(SUGERENCIAS!K99,1)&amp;" R:"&amp;ROUND(SUGERENCIAS!L99,0)&amp;" RIR:"&amp;ROUND(SUGERENCIAS!M99,0),IF(SUGERENCIAS!N99="SUBIR","^ SUBIR | Kg:"&amp;ROUND(SUGERENCIAS!K99,1)&amp;" R:"&amp;ROUND(SUGERENCIAS!L99,0)&amp;" RIR:"&amp;ROUND(SUGERENCIAS!M99,0),IF(SUGERENCIAS!N99="BAJAR","v BAJAR | Kg:"&amp;ROUND(SUGERENCIAS!K99,1)&amp;" R:"&amp;ROUND(SUGERENCIAS!L99,0)&amp;" RIR:"&amp;ROUND(SUGERENCIAS!M99,0),"= MANT | Kg:"&amp;ROUND(SUGERENCIAS!K99,1)&amp;" R:"&amp;ROUND(SUGERENCIAS!L99,0)&amp;" RIR:"&amp;ROUND(SUGERENCIAS!M99,0))))))</f>
        <v>Sin datos anteriores</v>
      </c>
      <c r="W47" s="69">
        <f>MAX(IF((G47&gt;0)*(IF(H47="",-1,H47)&gt;=1)*(IF(H47="",-1,H47)&lt;=3),IF(C47="peso_corporal",IF(ISNUMBER(E47),E47,0)+F47,F47)*G47*1000+F47,0),IF((J47&gt;0)*(IF(K47="",-1,K47)&gt;=1)*(IF(K47="",-1,K47)&lt;=3),IF(C47="peso_corporal",IF(ISNUMBER(E47),E47,0)+I47,I47)*J47*1000+I47,0),IF((M47&gt;0)*(IF(N47="",-1,N47)&gt;=1)*(IF(N47="",-1,N47)&lt;=3),IF(C47="peso_corporal",IF(ISNUMBER(E47),E47,0)+L47,L47)*M47*1000+L47,0),IF((P47&gt;0)*(IF(Q47="",-1,Q47)&gt;=1)*(IF(Q47="",-1,Q47)&lt;=3),IF(C47="peso_corporal",IF(ISNUMBER(E47),E47,0)+O47,O47)*P47*1000+O47,0),IF((S47&gt;0)*(IF(T47="",-1,T47)&gt;=1)*(IF(T47="",-1,T47)&lt;=3),IF(C47="peso_corporal",IF(ISNUMBER(E47),E47,0)+R47,R47)*S47*1000+R47,0))</f>
        <v>0</v>
      </c>
      <c r="X47" s="69">
        <f>IF(W47=0,0,IF(IF((S47&gt;0)*(IF(T47="",-1,T47)&gt;=1)*(IF(T47="",-1,T47)&lt;=3),IF(C47="peso_corporal",IF(ISNUMBER(E47),E47,0)+R47,R47)*S47*1000+R47,0)=W47,5,IF(IF((P47&gt;0)*(IF(Q47="",-1,Q47)&gt;=1)*(IF(Q47="",-1,Q47)&lt;=3),IF(C47="peso_corporal",IF(ISNUMBER(E47),E47,0)+O47,O47)*P47*1000+O47,0)=W47,4,IF(IF((M47&gt;0)*(IF(N47="",-1,N47)&gt;=1)*(IF(N47="",-1,N47)&lt;=3),IF(C47="peso_corporal",IF(ISNUMBER(E47),E47,0)+L47,L47)*M47*1000+L47,0)=W47,3,IF(IF((J47&gt;0)*(IF(K47="",-1,K47)&gt;=1)*(IF(K47="",-1,K47)&lt;=3),IF(C47="peso_corporal",IF(ISNUMBER(E47),E47,0)+I47,I47)*J47*1000+I47,0)=W47,2,IF(IF((G47&gt;0)*(IF(H47="",-1,H47)&gt;=1)*(IF(H47="",-1,H47)&lt;=3),IF(C47="peso_corporal",IF(ISNUMBER(E47),E47,0)+F47,F47)*G47*1000+F47,0)=W47,1,0))))))</f>
        <v>0</v>
      </c>
      <c r="Y47" s="69">
        <f>MAX(IF((G47&gt;0)*(IF(H47="",-1,H47)=0)*(1-(IF(H47="",-1,H47)&gt;=1)*(IF(H47="",-1,H47)&lt;=3)),IF(C47="peso_corporal",IF(ISNUMBER(E47),E47,0)+F47,F47)*G47*1000+F47,0),IF((J47&gt;0)*(IF(K47="",-1,K47)=0)*(1-(IF(K47="",-1,K47)&gt;=1)*(IF(K47="",-1,K47)&lt;=3)),IF(C47="peso_corporal",IF(ISNUMBER(E47),E47,0)+I47,I47)*J47*1000+I47,0),IF((M47&gt;0)*(IF(N47="",-1,N47)=0)*(1-(IF(N47="",-1,N47)&gt;=1)*(IF(N47="",-1,N47)&lt;=3)),IF(C47="peso_corporal",IF(ISNUMBER(E47),E47,0)+L47,L47)*M47*1000+L47,0),IF((P47&gt;0)*(IF(Q47="",-1,Q47)=0)*(1-(IF(Q47="",-1,Q47)&gt;=1)*(IF(Q47="",-1,Q47)&lt;=3)),IF(C47="peso_corporal",IF(ISNUMBER(E47),E47,0)+O47,O47)*P47*1000+O47,0),IF((S47&gt;0)*(IF(T47="",-1,T47)=0)*(1-(IF(T47="",-1,T47)&gt;=1)*(IF(T47="",-1,T47)&lt;=3)),IF(C47="peso_corporal",IF(ISNUMBER(E47),E47,0)+R47,R47)*S47*1000+R47,0))</f>
        <v>0</v>
      </c>
      <c r="Z47" s="69">
        <f>IF(Y47=0,0,IF(IF((S47&gt;0)*(IF(T47="",-1,T47)=0)*(1-(IF(T47="",-1,T47)&gt;=1)*(IF(T47="",-1,T47)&lt;=3)),IF(C47="peso_corporal",IF(ISNUMBER(E47),E47,0)+R47,R47)*S47*1000+R47,0)=Y47,5,IF(IF((P47&gt;0)*(IF(Q47="",-1,Q47)=0)*(1-(IF(Q47="",-1,Q47)&gt;=1)*(IF(Q47="",-1,Q47)&lt;=3)),IF(C47="peso_corporal",IF(ISNUMBER(E47),E47,0)+O47,O47)*P47*1000+O47,0)=Y47,4,IF(IF((M47&gt;0)*(IF(N47="",-1,N47)=0)*(1-(IF(N47="",-1,N47)&gt;=1)*(IF(N47="",-1,N47)&lt;=3)),IF(C47="peso_corporal",IF(ISNUMBER(E47),E47,0)+L47,L47)*M47*1000+L47,0)=Y47,3,IF(IF((J47&gt;0)*(IF(K47="",-1,K47)=0)*(1-(IF(K47="",-1,K47)&gt;=1)*(IF(K47="",-1,K47)&lt;=3)),IF(C47="peso_corporal",IF(ISNUMBER(E47),E47,0)+I47,I47)*J47*1000+I47,0)=Y47,2,IF(IF((G47&gt;0)*(IF(H47="",-1,H47)=0)*(1-(IF(H47="",-1,H47)&gt;=1)*(IF(H47="",-1,H47)&lt;=3)),IF(C47="peso_corporal",IF(ISNUMBER(E47),E47,0)+F47,F47)*G47*1000+F47,0)=Y47,1,0))))))</f>
        <v>0</v>
      </c>
      <c r="AA47" s="69">
        <f>MAX(IF((G47&gt;=6)*(1-(IF(H47="",-1,H47)&gt;=1)*(IF(H47="",-1,H47)&lt;=3))*(1-(IF(H47="",-1,H47)=0)),IF(C47="peso_corporal",IF(ISNUMBER(E47),E47,0)+F47,F47)*(30+G47)*100+F47,0),IF((J47&gt;=6)*(1-(IF(K47="",-1,K47)&gt;=1)*(IF(K47="",-1,K47)&lt;=3))*(1-(IF(K47="",-1,K47)=0)),IF(C47="peso_corporal",IF(ISNUMBER(E47),E47,0)+I47,I47)*(30+J47)*100+I47,0),IF((M47&gt;=6)*(1-(IF(N47="",-1,N47)&gt;=1)*(IF(N47="",-1,N47)&lt;=3))*(1-(IF(N47="",-1,N47)=0)),IF(C47="peso_corporal",IF(ISNUMBER(E47),E47,0)+L47,L47)*(30+M47)*100+L47,0),IF((P47&gt;=6)*(1-(IF(Q47="",-1,Q47)&gt;=1)*(IF(Q47="",-1,Q47)&lt;=3))*(1-(IF(Q47="",-1,Q47)=0)),IF(C47="peso_corporal",IF(ISNUMBER(E47),E47,0)+O47,O47)*(30+P47)*100+O47,0),IF((S47&gt;=6)*(1-(IF(T47="",-1,T47)&gt;=1)*(IF(T47="",-1,T47)&lt;=3))*(1-(IF(T47="",-1,T47)=0)),IF(C47="peso_corporal",IF(ISNUMBER(E47),E47,0)+R47,R47)*(30+S47)*100+R47,0))</f>
        <v>0</v>
      </c>
      <c r="AB47" s="69">
        <f>IF(AA47=0,0,IF(IF((S47&gt;=6)*(1-(IF(T47="",-1,T47)&gt;=1)*(IF(T47="",-1,T47)&lt;=3))*(1-(IF(T47="",-1,T47)=0)),IF(C47="peso_corporal",IF(ISNUMBER(E47),E47,0)+R47,R47)*(30+S47)*100+R47,0)=AA47,5,IF(IF((P47&gt;=6)*(1-(IF(Q47="",-1,Q47)&gt;=1)*(IF(Q47="",-1,Q47)&lt;=3))*(1-(IF(Q47="",-1,Q47)=0)),IF(C47="peso_corporal",IF(ISNUMBER(E47),E47,0)+O47,O47)*(30+P47)*100+O47,0)=AA47,4,IF(IF((M47&gt;=6)*(1-(IF(N47="",-1,N47)&gt;=1)*(IF(N47="",-1,N47)&lt;=3))*(1-(IF(N47="",-1,N47)=0)),IF(C47="peso_corporal",IF(ISNUMBER(E47),E47,0)+L47,L47)*(30+M47)*100+L47,0)=AA47,3,IF(IF((J47&gt;=6)*(1-(IF(K47="",-1,K47)&gt;=1)*(IF(K47="",-1,K47)&lt;=3))*(1-(IF(K47="",-1,K47)=0)),IF(C47="peso_corporal",IF(ISNUMBER(E47),E47,0)+I47,I47)*(30+J47)*100+I47,0)=AA47,2,IF(IF((G47&gt;=6)*(1-(IF(H47="",-1,H47)&gt;=1)*(IF(H47="",-1,H47)&lt;=3))*(1-(IF(H47="",-1,H47)=0)),IF(C47="peso_corporal",IF(ISNUMBER(E47),E47,0)+F47,F47)*(30+G47)*100+F47,0)=AA47,1,0))))))</f>
        <v>0</v>
      </c>
      <c r="AC47" s="69" t="str">
        <f>IF(X47&gt;0,"A"&amp;X47,IF(Z47&gt;0,"B"&amp;Z47,IF(AB47&gt;0,"C"&amp;AB47,"")))</f>
        <v/>
      </c>
    </row>
    <row r="48" spans="1:29" ht="15" customHeight="1">
      <c r="A48" s="91" t="s">
        <v>145</v>
      </c>
      <c r="B48" s="73"/>
      <c r="C48" s="73"/>
      <c r="D48" s="73"/>
      <c r="E48" s="73"/>
      <c r="F48" s="73"/>
      <c r="G48" s="73"/>
      <c r="H48" s="73"/>
      <c r="I48" s="73"/>
      <c r="J48" s="73"/>
      <c r="K48" s="73"/>
      <c r="L48" s="73"/>
      <c r="M48" s="73"/>
      <c r="N48" s="73"/>
      <c r="O48" s="73"/>
      <c r="P48" s="73"/>
      <c r="Q48" s="73"/>
      <c r="R48" s="73"/>
      <c r="S48" s="73"/>
      <c r="T48" s="73"/>
      <c r="U48" s="73"/>
      <c r="V48" s="73"/>
      <c r="W48" s="69"/>
      <c r="X48" s="69"/>
      <c r="Y48" s="69"/>
      <c r="Z48" s="69"/>
      <c r="AA48" s="69"/>
      <c r="AB48" s="69"/>
      <c r="AC48" s="69"/>
    </row>
    <row r="49" spans="1:29" ht="20.100000000000001" customHeight="1">
      <c r="A49" s="14" t="s">
        <v>57</v>
      </c>
      <c r="B49" s="15" t="s">
        <v>58</v>
      </c>
      <c r="C49" s="16" t="str">
        <f>IFERROR(INDEX(EJERCICIOS!$D$3:$D$75,MATCH(A49&amp;"|"&amp;B49,EJERCICIOS!$G$3:$G$75,0)),"--")</f>
        <v>polea</v>
      </c>
      <c r="D49" s="17">
        <v>3</v>
      </c>
      <c r="E49" s="18">
        <f>IFERROR(LOOKUP(2,1/(MEDIDAS_Y_PESO!$B$3:$B$4&lt;&gt;""),MEDIDAS_Y_PESO!$B$3:$B$4),"--")</f>
        <v>80</v>
      </c>
      <c r="F49" s="19"/>
      <c r="G49" s="20"/>
      <c r="H49" s="21"/>
      <c r="I49" s="19"/>
      <c r="J49" s="20"/>
      <c r="K49" s="21"/>
      <c r="L49" s="19"/>
      <c r="M49" s="20"/>
      <c r="N49" s="21"/>
      <c r="O49" s="19"/>
      <c r="P49" s="20"/>
      <c r="Q49" s="21"/>
      <c r="R49" s="19"/>
      <c r="S49" s="20"/>
      <c r="T49" s="21"/>
      <c r="U49" s="22" t="str">
        <f>IFERROR(IF(IF(X49&gt;0,X49,IF(Z49&gt;0,Z49,IF(AB49&gt;0,AB49,0)))=0,"--",ROUND(CHOOSE(IF(X49&gt;0,X49,IF(Z49&gt;0,Z49,IF(AB49&gt;0,AB49,0))),IF(C49="peso_corporal",IF(ISNUMBER(E49),E49,0)+F49,F49)*(1+G49/30),IF(C49="peso_corporal",IF(ISNUMBER(E49),E49,0)+I49,I49)*(1+J49/30),IF(C49="peso_corporal",IF(ISNUMBER(E49),E49,0)+L49,L49)*(1+M49/30),IF(C49="peso_corporal",IF(ISNUMBER(E49),E49,0)+O49,O49)*(1+P49/30),IF(C49="peso_corporal",IF(ISNUMBER(E49),E49,0)+R49,R49)*(1+S49/30)),1)),"--")</f>
        <v>--</v>
      </c>
      <c r="V49" s="23" t="str">
        <f>IF(SUGERENCIAS!N100="SIN","Sin datos anteriores",IF(SUGERENCIAS!N100="SUBIR_F","^ SUBIR FUERTE | Kg:"&amp;ROUND(SUGERENCIAS!K100,1)&amp;" R:"&amp;ROUND(SUGERENCIAS!L100,0)&amp;" RIR:"&amp;ROUND(SUGERENCIAS!M100,0),IF(SUGERENCIAS!N100="SUBIR_E","^ SUBIR (Est.) | Kg:"&amp;ROUND(SUGERENCIAS!K100,1)&amp;" R:"&amp;ROUND(SUGERENCIAS!L100,0)&amp;" RIR:"&amp;ROUND(SUGERENCIAS!M100,0),IF(SUGERENCIAS!N100="SUBIR","^ SUBIR | Kg:"&amp;ROUND(SUGERENCIAS!K100,1)&amp;" R:"&amp;ROUND(SUGERENCIAS!L100,0)&amp;" RIR:"&amp;ROUND(SUGERENCIAS!M100,0),IF(SUGERENCIAS!N100="BAJAR","v BAJAR | Kg:"&amp;ROUND(SUGERENCIAS!K100,1)&amp;" R:"&amp;ROUND(SUGERENCIAS!L100,0)&amp;" RIR:"&amp;ROUND(SUGERENCIAS!M100,0),"= MANT | Kg:"&amp;ROUND(SUGERENCIAS!K100,1)&amp;" R:"&amp;ROUND(SUGERENCIAS!L100,0)&amp;" RIR:"&amp;ROUND(SUGERENCIAS!M100,0))))))</f>
        <v>Sin datos anteriores</v>
      </c>
      <c r="W49" s="69">
        <f>MAX(IF((G49&gt;0)*(IF(H49="",-1,H49)&gt;=1)*(IF(H49="",-1,H49)&lt;=3),IF(C49="peso_corporal",IF(ISNUMBER(E49),E49,0)+F49,F49)*G49*1000+F49,0),IF((J49&gt;0)*(IF(K49="",-1,K49)&gt;=1)*(IF(K49="",-1,K49)&lt;=3),IF(C49="peso_corporal",IF(ISNUMBER(E49),E49,0)+I49,I49)*J49*1000+I49,0),IF((M49&gt;0)*(IF(N49="",-1,N49)&gt;=1)*(IF(N49="",-1,N49)&lt;=3),IF(C49="peso_corporal",IF(ISNUMBER(E49),E49,0)+L49,L49)*M49*1000+L49,0),IF((P49&gt;0)*(IF(Q49="",-1,Q49)&gt;=1)*(IF(Q49="",-1,Q49)&lt;=3),IF(C49="peso_corporal",IF(ISNUMBER(E49),E49,0)+O49,O49)*P49*1000+O49,0),IF((S49&gt;0)*(IF(T49="",-1,T49)&gt;=1)*(IF(T49="",-1,T49)&lt;=3),IF(C49="peso_corporal",IF(ISNUMBER(E49),E49,0)+R49,R49)*S49*1000+R49,0))</f>
        <v>0</v>
      </c>
      <c r="X49" s="69">
        <f>IF(W49=0,0,IF(IF((S49&gt;0)*(IF(T49="",-1,T49)&gt;=1)*(IF(T49="",-1,T49)&lt;=3),IF(C49="peso_corporal",IF(ISNUMBER(E49),E49,0)+R49,R49)*S49*1000+R49,0)=W49,5,IF(IF((P49&gt;0)*(IF(Q49="",-1,Q49)&gt;=1)*(IF(Q49="",-1,Q49)&lt;=3),IF(C49="peso_corporal",IF(ISNUMBER(E49),E49,0)+O49,O49)*P49*1000+O49,0)=W49,4,IF(IF((M49&gt;0)*(IF(N49="",-1,N49)&gt;=1)*(IF(N49="",-1,N49)&lt;=3),IF(C49="peso_corporal",IF(ISNUMBER(E49),E49,0)+L49,L49)*M49*1000+L49,0)=W49,3,IF(IF((J49&gt;0)*(IF(K49="",-1,K49)&gt;=1)*(IF(K49="",-1,K49)&lt;=3),IF(C49="peso_corporal",IF(ISNUMBER(E49),E49,0)+I49,I49)*J49*1000+I49,0)=W49,2,IF(IF((G49&gt;0)*(IF(H49="",-1,H49)&gt;=1)*(IF(H49="",-1,H49)&lt;=3),IF(C49="peso_corporal",IF(ISNUMBER(E49),E49,0)+F49,F49)*G49*1000+F49,0)=W49,1,0))))))</f>
        <v>0</v>
      </c>
      <c r="Y49" s="69">
        <f>MAX(IF((G49&gt;0)*(IF(H49="",-1,H49)=0)*(1-(IF(H49="",-1,H49)&gt;=1)*(IF(H49="",-1,H49)&lt;=3)),IF(C49="peso_corporal",IF(ISNUMBER(E49),E49,0)+F49,F49)*G49*1000+F49,0),IF((J49&gt;0)*(IF(K49="",-1,K49)=0)*(1-(IF(K49="",-1,K49)&gt;=1)*(IF(K49="",-1,K49)&lt;=3)),IF(C49="peso_corporal",IF(ISNUMBER(E49),E49,0)+I49,I49)*J49*1000+I49,0),IF((M49&gt;0)*(IF(N49="",-1,N49)=0)*(1-(IF(N49="",-1,N49)&gt;=1)*(IF(N49="",-1,N49)&lt;=3)),IF(C49="peso_corporal",IF(ISNUMBER(E49),E49,0)+L49,L49)*M49*1000+L49,0),IF((P49&gt;0)*(IF(Q49="",-1,Q49)=0)*(1-(IF(Q49="",-1,Q49)&gt;=1)*(IF(Q49="",-1,Q49)&lt;=3)),IF(C49="peso_corporal",IF(ISNUMBER(E49),E49,0)+O49,O49)*P49*1000+O49,0),IF((S49&gt;0)*(IF(T49="",-1,T49)=0)*(1-(IF(T49="",-1,T49)&gt;=1)*(IF(T49="",-1,T49)&lt;=3)),IF(C49="peso_corporal",IF(ISNUMBER(E49),E49,0)+R49,R49)*S49*1000+R49,0))</f>
        <v>0</v>
      </c>
      <c r="Z49" s="69">
        <f>IF(Y49=0,0,IF(IF((S49&gt;0)*(IF(T49="",-1,T49)=0)*(1-(IF(T49="",-1,T49)&gt;=1)*(IF(T49="",-1,T49)&lt;=3)),IF(C49="peso_corporal",IF(ISNUMBER(E49),E49,0)+R49,R49)*S49*1000+R49,0)=Y49,5,IF(IF((P49&gt;0)*(IF(Q49="",-1,Q49)=0)*(1-(IF(Q49="",-1,Q49)&gt;=1)*(IF(Q49="",-1,Q49)&lt;=3)),IF(C49="peso_corporal",IF(ISNUMBER(E49),E49,0)+O49,O49)*P49*1000+O49,0)=Y49,4,IF(IF((M49&gt;0)*(IF(N49="",-1,N49)=0)*(1-(IF(N49="",-1,N49)&gt;=1)*(IF(N49="",-1,N49)&lt;=3)),IF(C49="peso_corporal",IF(ISNUMBER(E49),E49,0)+L49,L49)*M49*1000+L49,0)=Y49,3,IF(IF((J49&gt;0)*(IF(K49="",-1,K49)=0)*(1-(IF(K49="",-1,K49)&gt;=1)*(IF(K49="",-1,K49)&lt;=3)),IF(C49="peso_corporal",IF(ISNUMBER(E49),E49,0)+I49,I49)*J49*1000+I49,0)=Y49,2,IF(IF((G49&gt;0)*(IF(H49="",-1,H49)=0)*(1-(IF(H49="",-1,H49)&gt;=1)*(IF(H49="",-1,H49)&lt;=3)),IF(C49="peso_corporal",IF(ISNUMBER(E49),E49,0)+F49,F49)*G49*1000+F49,0)=Y49,1,0))))))</f>
        <v>0</v>
      </c>
      <c r="AA49" s="69">
        <f>MAX(IF((G49&gt;=6)*(1-(IF(H49="",-1,H49)&gt;=1)*(IF(H49="",-1,H49)&lt;=3))*(1-(IF(H49="",-1,H49)=0)),IF(C49="peso_corporal",IF(ISNUMBER(E49),E49,0)+F49,F49)*(30+G49)*100+F49,0),IF((J49&gt;=6)*(1-(IF(K49="",-1,K49)&gt;=1)*(IF(K49="",-1,K49)&lt;=3))*(1-(IF(K49="",-1,K49)=0)),IF(C49="peso_corporal",IF(ISNUMBER(E49),E49,0)+I49,I49)*(30+J49)*100+I49,0),IF((M49&gt;=6)*(1-(IF(N49="",-1,N49)&gt;=1)*(IF(N49="",-1,N49)&lt;=3))*(1-(IF(N49="",-1,N49)=0)),IF(C49="peso_corporal",IF(ISNUMBER(E49),E49,0)+L49,L49)*(30+M49)*100+L49,0),IF((P49&gt;=6)*(1-(IF(Q49="",-1,Q49)&gt;=1)*(IF(Q49="",-1,Q49)&lt;=3))*(1-(IF(Q49="",-1,Q49)=0)),IF(C49="peso_corporal",IF(ISNUMBER(E49),E49,0)+O49,O49)*(30+P49)*100+O49,0),IF((S49&gt;=6)*(1-(IF(T49="",-1,T49)&gt;=1)*(IF(T49="",-1,T49)&lt;=3))*(1-(IF(T49="",-1,T49)=0)),IF(C49="peso_corporal",IF(ISNUMBER(E49),E49,0)+R49,R49)*(30+S49)*100+R49,0))</f>
        <v>0</v>
      </c>
      <c r="AB49" s="69">
        <f>IF(AA49=0,0,IF(IF((S49&gt;=6)*(1-(IF(T49="",-1,T49)&gt;=1)*(IF(T49="",-1,T49)&lt;=3))*(1-(IF(T49="",-1,T49)=0)),IF(C49="peso_corporal",IF(ISNUMBER(E49),E49,0)+R49,R49)*(30+S49)*100+R49,0)=AA49,5,IF(IF((P49&gt;=6)*(1-(IF(Q49="",-1,Q49)&gt;=1)*(IF(Q49="",-1,Q49)&lt;=3))*(1-(IF(Q49="",-1,Q49)=0)),IF(C49="peso_corporal",IF(ISNUMBER(E49),E49,0)+O49,O49)*(30+P49)*100+O49,0)=AA49,4,IF(IF((M49&gt;=6)*(1-(IF(N49="",-1,N49)&gt;=1)*(IF(N49="",-1,N49)&lt;=3))*(1-(IF(N49="",-1,N49)=0)),IF(C49="peso_corporal",IF(ISNUMBER(E49),E49,0)+L49,L49)*(30+M49)*100+L49,0)=AA49,3,IF(IF((J49&gt;=6)*(1-(IF(K49="",-1,K49)&gt;=1)*(IF(K49="",-1,K49)&lt;=3))*(1-(IF(K49="",-1,K49)=0)),IF(C49="peso_corporal",IF(ISNUMBER(E49),E49,0)+I49,I49)*(30+J49)*100+I49,0)=AA49,2,IF(IF((G49&gt;=6)*(1-(IF(H49="",-1,H49)&gt;=1)*(IF(H49="",-1,H49)&lt;=3))*(1-(IF(H49="",-1,H49)=0)),IF(C49="peso_corporal",IF(ISNUMBER(E49),E49,0)+F49,F49)*(30+G49)*100+F49,0)=AA49,1,0))))))</f>
        <v>0</v>
      </c>
      <c r="AC49" s="69" t="str">
        <f>IF(X49&gt;0,"A"&amp;X49,IF(Z49&gt;0,"B"&amp;Z49,IF(AB49&gt;0,"C"&amp;AB49,"")))</f>
        <v/>
      </c>
    </row>
    <row r="50" spans="1:29" ht="20.100000000000001" customHeight="1">
      <c r="A50" s="14" t="s">
        <v>146</v>
      </c>
      <c r="B50" s="15" t="s">
        <v>152</v>
      </c>
      <c r="C50" s="16" t="str">
        <f>IFERROR(INDEX(EJERCICIOS!$D$3:$D$75,MATCH(A50&amp;"|"&amp;B50,EJERCICIOS!$G$3:$G$75,0)),"--")</f>
        <v>--</v>
      </c>
      <c r="D50" s="17">
        <v>3</v>
      </c>
      <c r="E50" s="18">
        <f>IFERROR(LOOKUP(2,1/(MEDIDAS_Y_PESO!$B$3:$B$4&lt;&gt;""),MEDIDAS_Y_PESO!$B$3:$B$4),"--")</f>
        <v>80</v>
      </c>
      <c r="F50" s="19"/>
      <c r="G50" s="20"/>
      <c r="H50" s="21"/>
      <c r="I50" s="19"/>
      <c r="J50" s="20"/>
      <c r="K50" s="21"/>
      <c r="L50" s="19"/>
      <c r="M50" s="20"/>
      <c r="N50" s="21"/>
      <c r="O50" s="19"/>
      <c r="P50" s="20"/>
      <c r="Q50" s="21"/>
      <c r="R50" s="19"/>
      <c r="S50" s="20"/>
      <c r="T50" s="21"/>
      <c r="U50" s="22" t="str">
        <f>IFERROR(IF(IF(X50&gt;0,X50,IF(Z50&gt;0,Z50,IF(AB50&gt;0,AB50,0)))=0,"--",ROUND(CHOOSE(IF(X50&gt;0,X50,IF(Z50&gt;0,Z50,IF(AB50&gt;0,AB50,0))),IF(C50="peso_corporal",IF(ISNUMBER(E50),E50,0)+F50,F50)*(1+G50/30),IF(C50="peso_corporal",IF(ISNUMBER(E50),E50,0)+I50,I50)*(1+J50/30),IF(C50="peso_corporal",IF(ISNUMBER(E50),E50,0)+L50,L50)*(1+M50/30),IF(C50="peso_corporal",IF(ISNUMBER(E50),E50,0)+O50,O50)*(1+P50/30),IF(C50="peso_corporal",IF(ISNUMBER(E50),E50,0)+R50,R50)*(1+S50/30)),1)),"--")</f>
        <v>--</v>
      </c>
      <c r="V50" s="23" t="str">
        <f>IF(SUGERENCIAS!N101="SIN","Sin datos anteriores",IF(SUGERENCIAS!N101="SUBIR_F","^ SUBIR FUERTE | Kg:"&amp;ROUND(SUGERENCIAS!K101,1)&amp;" R:"&amp;ROUND(SUGERENCIAS!L101,0)&amp;" RIR:"&amp;ROUND(SUGERENCIAS!M101,0),IF(SUGERENCIAS!N101="SUBIR_E","^ SUBIR (Est.) | Kg:"&amp;ROUND(SUGERENCIAS!K101,1)&amp;" R:"&amp;ROUND(SUGERENCIAS!L101,0)&amp;" RIR:"&amp;ROUND(SUGERENCIAS!M101,0),IF(SUGERENCIAS!N101="SUBIR","^ SUBIR | Kg:"&amp;ROUND(SUGERENCIAS!K101,1)&amp;" R:"&amp;ROUND(SUGERENCIAS!L101,0)&amp;" RIR:"&amp;ROUND(SUGERENCIAS!M101,0),IF(SUGERENCIAS!N101="BAJAR","v BAJAR | Kg:"&amp;ROUND(SUGERENCIAS!K101,1)&amp;" R:"&amp;ROUND(SUGERENCIAS!L101,0)&amp;" RIR:"&amp;ROUND(SUGERENCIAS!M101,0),"= MANT | Kg:"&amp;ROUND(SUGERENCIAS!K101,1)&amp;" R:"&amp;ROUND(SUGERENCIAS!L101,0)&amp;" RIR:"&amp;ROUND(SUGERENCIAS!M101,0))))))</f>
        <v>Sin datos anteriores</v>
      </c>
      <c r="W50" s="69">
        <f>MAX(IF((G50&gt;0)*(IF(H50="",-1,H50)&gt;=1)*(IF(H50="",-1,H50)&lt;=3),IF(C50="peso_corporal",IF(ISNUMBER(E50),E50,0)+F50,F50)*G50*1000+F50,0),IF((J50&gt;0)*(IF(K50="",-1,K50)&gt;=1)*(IF(K50="",-1,K50)&lt;=3),IF(C50="peso_corporal",IF(ISNUMBER(E50),E50,0)+I50,I50)*J50*1000+I50,0),IF((M50&gt;0)*(IF(N50="",-1,N50)&gt;=1)*(IF(N50="",-1,N50)&lt;=3),IF(C50="peso_corporal",IF(ISNUMBER(E50),E50,0)+L50,L50)*M50*1000+L50,0),IF((P50&gt;0)*(IF(Q50="",-1,Q50)&gt;=1)*(IF(Q50="",-1,Q50)&lt;=3),IF(C50="peso_corporal",IF(ISNUMBER(E50),E50,0)+O50,O50)*P50*1000+O50,0),IF((S50&gt;0)*(IF(T50="",-1,T50)&gt;=1)*(IF(T50="",-1,T50)&lt;=3),IF(C50="peso_corporal",IF(ISNUMBER(E50),E50,0)+R50,R50)*S50*1000+R50,0))</f>
        <v>0</v>
      </c>
      <c r="X50" s="69">
        <f>IF(W50=0,0,IF(IF((S50&gt;0)*(IF(T50="",-1,T50)&gt;=1)*(IF(T50="",-1,T50)&lt;=3),IF(C50="peso_corporal",IF(ISNUMBER(E50),E50,0)+R50,R50)*S50*1000+R50,0)=W50,5,IF(IF((P50&gt;0)*(IF(Q50="",-1,Q50)&gt;=1)*(IF(Q50="",-1,Q50)&lt;=3),IF(C50="peso_corporal",IF(ISNUMBER(E50),E50,0)+O50,O50)*P50*1000+O50,0)=W50,4,IF(IF((M50&gt;0)*(IF(N50="",-1,N50)&gt;=1)*(IF(N50="",-1,N50)&lt;=3),IF(C50="peso_corporal",IF(ISNUMBER(E50),E50,0)+L50,L50)*M50*1000+L50,0)=W50,3,IF(IF((J50&gt;0)*(IF(K50="",-1,K50)&gt;=1)*(IF(K50="",-1,K50)&lt;=3),IF(C50="peso_corporal",IF(ISNUMBER(E50),E50,0)+I50,I50)*J50*1000+I50,0)=W50,2,IF(IF((G50&gt;0)*(IF(H50="",-1,H50)&gt;=1)*(IF(H50="",-1,H50)&lt;=3),IF(C50="peso_corporal",IF(ISNUMBER(E50),E50,0)+F50,F50)*G50*1000+F50,0)=W50,1,0))))))</f>
        <v>0</v>
      </c>
      <c r="Y50" s="69">
        <f>MAX(IF((G50&gt;0)*(IF(H50="",-1,H50)=0)*(1-(IF(H50="",-1,H50)&gt;=1)*(IF(H50="",-1,H50)&lt;=3)),IF(C50="peso_corporal",IF(ISNUMBER(E50),E50,0)+F50,F50)*G50*1000+F50,0),IF((J50&gt;0)*(IF(K50="",-1,K50)=0)*(1-(IF(K50="",-1,K50)&gt;=1)*(IF(K50="",-1,K50)&lt;=3)),IF(C50="peso_corporal",IF(ISNUMBER(E50),E50,0)+I50,I50)*J50*1000+I50,0),IF((M50&gt;0)*(IF(N50="",-1,N50)=0)*(1-(IF(N50="",-1,N50)&gt;=1)*(IF(N50="",-1,N50)&lt;=3)),IF(C50="peso_corporal",IF(ISNUMBER(E50),E50,0)+L50,L50)*M50*1000+L50,0),IF((P50&gt;0)*(IF(Q50="",-1,Q50)=0)*(1-(IF(Q50="",-1,Q50)&gt;=1)*(IF(Q50="",-1,Q50)&lt;=3)),IF(C50="peso_corporal",IF(ISNUMBER(E50),E50,0)+O50,O50)*P50*1000+O50,0),IF((S50&gt;0)*(IF(T50="",-1,T50)=0)*(1-(IF(T50="",-1,T50)&gt;=1)*(IF(T50="",-1,T50)&lt;=3)),IF(C50="peso_corporal",IF(ISNUMBER(E50),E50,0)+R50,R50)*S50*1000+R50,0))</f>
        <v>0</v>
      </c>
      <c r="Z50" s="69">
        <f>IF(Y50=0,0,IF(IF((S50&gt;0)*(IF(T50="",-1,T50)=0)*(1-(IF(T50="",-1,T50)&gt;=1)*(IF(T50="",-1,T50)&lt;=3)),IF(C50="peso_corporal",IF(ISNUMBER(E50),E50,0)+R50,R50)*S50*1000+R50,0)=Y50,5,IF(IF((P50&gt;0)*(IF(Q50="",-1,Q50)=0)*(1-(IF(Q50="",-1,Q50)&gt;=1)*(IF(Q50="",-1,Q50)&lt;=3)),IF(C50="peso_corporal",IF(ISNUMBER(E50),E50,0)+O50,O50)*P50*1000+O50,0)=Y50,4,IF(IF((M50&gt;0)*(IF(N50="",-1,N50)=0)*(1-(IF(N50="",-1,N50)&gt;=1)*(IF(N50="",-1,N50)&lt;=3)),IF(C50="peso_corporal",IF(ISNUMBER(E50),E50,0)+L50,L50)*M50*1000+L50,0)=Y50,3,IF(IF((J50&gt;0)*(IF(K50="",-1,K50)=0)*(1-(IF(K50="",-1,K50)&gt;=1)*(IF(K50="",-1,K50)&lt;=3)),IF(C50="peso_corporal",IF(ISNUMBER(E50),E50,0)+I50,I50)*J50*1000+I50,0)=Y50,2,IF(IF((G50&gt;0)*(IF(H50="",-1,H50)=0)*(1-(IF(H50="",-1,H50)&gt;=1)*(IF(H50="",-1,H50)&lt;=3)),IF(C50="peso_corporal",IF(ISNUMBER(E50),E50,0)+F50,F50)*G50*1000+F50,0)=Y50,1,0))))))</f>
        <v>0</v>
      </c>
      <c r="AA50" s="69">
        <f>MAX(IF((G50&gt;=6)*(1-(IF(H50="",-1,H50)&gt;=1)*(IF(H50="",-1,H50)&lt;=3))*(1-(IF(H50="",-1,H50)=0)),IF(C50="peso_corporal",IF(ISNUMBER(E50),E50,0)+F50,F50)*(30+G50)*100+F50,0),IF((J50&gt;=6)*(1-(IF(K50="",-1,K50)&gt;=1)*(IF(K50="",-1,K50)&lt;=3))*(1-(IF(K50="",-1,K50)=0)),IF(C50="peso_corporal",IF(ISNUMBER(E50),E50,0)+I50,I50)*(30+J50)*100+I50,0),IF((M50&gt;=6)*(1-(IF(N50="",-1,N50)&gt;=1)*(IF(N50="",-1,N50)&lt;=3))*(1-(IF(N50="",-1,N50)=0)),IF(C50="peso_corporal",IF(ISNUMBER(E50),E50,0)+L50,L50)*(30+M50)*100+L50,0),IF((P50&gt;=6)*(1-(IF(Q50="",-1,Q50)&gt;=1)*(IF(Q50="",-1,Q50)&lt;=3))*(1-(IF(Q50="",-1,Q50)=0)),IF(C50="peso_corporal",IF(ISNUMBER(E50),E50,0)+O50,O50)*(30+P50)*100+O50,0),IF((S50&gt;=6)*(1-(IF(T50="",-1,T50)&gt;=1)*(IF(T50="",-1,T50)&lt;=3))*(1-(IF(T50="",-1,T50)=0)),IF(C50="peso_corporal",IF(ISNUMBER(E50),E50,0)+R50,R50)*(30+S50)*100+R50,0))</f>
        <v>0</v>
      </c>
      <c r="AB50" s="69">
        <f>IF(AA50=0,0,IF(IF((S50&gt;=6)*(1-(IF(T50="",-1,T50)&gt;=1)*(IF(T50="",-1,T50)&lt;=3))*(1-(IF(T50="",-1,T50)=0)),IF(C50="peso_corporal",IF(ISNUMBER(E50),E50,0)+R50,R50)*(30+S50)*100+R50,0)=AA50,5,IF(IF((P50&gt;=6)*(1-(IF(Q50="",-1,Q50)&gt;=1)*(IF(Q50="",-1,Q50)&lt;=3))*(1-(IF(Q50="",-1,Q50)=0)),IF(C50="peso_corporal",IF(ISNUMBER(E50),E50,0)+O50,O50)*(30+P50)*100+O50,0)=AA50,4,IF(IF((M50&gt;=6)*(1-(IF(N50="",-1,N50)&gt;=1)*(IF(N50="",-1,N50)&lt;=3))*(1-(IF(N50="",-1,N50)=0)),IF(C50="peso_corporal",IF(ISNUMBER(E50),E50,0)+L50,L50)*(30+M50)*100+L50,0)=AA50,3,IF(IF((J50&gt;=6)*(1-(IF(K50="",-1,K50)&gt;=1)*(IF(K50="",-1,K50)&lt;=3))*(1-(IF(K50="",-1,K50)=0)),IF(C50="peso_corporal",IF(ISNUMBER(E50),E50,0)+I50,I50)*(30+J50)*100+I50,0)=AA50,2,IF(IF((G50&gt;=6)*(1-(IF(H50="",-1,H50)&gt;=1)*(IF(H50="",-1,H50)&lt;=3))*(1-(IF(H50="",-1,H50)=0)),IF(C50="peso_corporal",IF(ISNUMBER(E50),E50,0)+F50,F50)*(30+G50)*100+F50,0)=AA50,1,0))))))</f>
        <v>0</v>
      </c>
      <c r="AC50" s="69" t="str">
        <f>IF(X50&gt;0,"A"&amp;X50,IF(Z50&gt;0,"B"&amp;Z50,IF(AB50&gt;0,"C"&amp;AB50,"")))</f>
        <v/>
      </c>
    </row>
    <row r="51" spans="1:29" ht="20.100000000000001" customHeight="1">
      <c r="A51" s="14" t="s">
        <v>148</v>
      </c>
      <c r="B51" s="15" t="s">
        <v>149</v>
      </c>
      <c r="C51" s="16" t="str">
        <f>IFERROR(INDEX(EJERCICIOS!$D$3:$D$75,MATCH(A51&amp;"|"&amp;B51,EJERCICIOS!$G$3:$G$75,0)),"--")</f>
        <v>--</v>
      </c>
      <c r="D51" s="17">
        <v>3</v>
      </c>
      <c r="E51" s="18">
        <f>IFERROR(LOOKUP(2,1/(MEDIDAS_Y_PESO!$B$3:$B$4&lt;&gt;""),MEDIDAS_Y_PESO!$B$3:$B$4),"--")</f>
        <v>80</v>
      </c>
      <c r="F51" s="19"/>
      <c r="G51" s="20"/>
      <c r="H51" s="21"/>
      <c r="I51" s="19"/>
      <c r="J51" s="20"/>
      <c r="K51" s="21"/>
      <c r="L51" s="19"/>
      <c r="M51" s="20"/>
      <c r="N51" s="21"/>
      <c r="O51" s="19"/>
      <c r="P51" s="20"/>
      <c r="Q51" s="21"/>
      <c r="R51" s="19"/>
      <c r="S51" s="20"/>
      <c r="T51" s="21"/>
      <c r="U51" s="22" t="str">
        <f>IFERROR(IF(IF(X51&gt;0,X51,IF(Z51&gt;0,Z51,IF(AB51&gt;0,AB51,0)))=0,"--",ROUND(CHOOSE(IF(X51&gt;0,X51,IF(Z51&gt;0,Z51,IF(AB51&gt;0,AB51,0))),IF(C51="peso_corporal",IF(ISNUMBER(E51),E51,0)+F51,F51)*(1+G51/30),IF(C51="peso_corporal",IF(ISNUMBER(E51),E51,0)+I51,I51)*(1+J51/30),IF(C51="peso_corporal",IF(ISNUMBER(E51),E51,0)+L51,L51)*(1+M51/30),IF(C51="peso_corporal",IF(ISNUMBER(E51),E51,0)+O51,O51)*(1+P51/30),IF(C51="peso_corporal",IF(ISNUMBER(E51),E51,0)+R51,R51)*(1+S51/30)),1)),"--")</f>
        <v>--</v>
      </c>
      <c r="V51" s="23" t="str">
        <f>IF(SUGERENCIAS!N102="SIN","Sin datos anteriores",IF(SUGERENCIAS!N102="SUBIR_F","^ SUBIR FUERTE | Kg:"&amp;ROUND(SUGERENCIAS!K102,1)&amp;" R:"&amp;ROUND(SUGERENCIAS!L102,0)&amp;" RIR:"&amp;ROUND(SUGERENCIAS!M102,0),IF(SUGERENCIAS!N102="SUBIR_E","^ SUBIR (Est.) | Kg:"&amp;ROUND(SUGERENCIAS!K102,1)&amp;" R:"&amp;ROUND(SUGERENCIAS!L102,0)&amp;" RIR:"&amp;ROUND(SUGERENCIAS!M102,0),IF(SUGERENCIAS!N102="SUBIR","^ SUBIR | Kg:"&amp;ROUND(SUGERENCIAS!K102,1)&amp;" R:"&amp;ROUND(SUGERENCIAS!L102,0)&amp;" RIR:"&amp;ROUND(SUGERENCIAS!M102,0),IF(SUGERENCIAS!N102="BAJAR","v BAJAR | Kg:"&amp;ROUND(SUGERENCIAS!K102,1)&amp;" R:"&amp;ROUND(SUGERENCIAS!L102,0)&amp;" RIR:"&amp;ROUND(SUGERENCIAS!M102,0),"= MANT | Kg:"&amp;ROUND(SUGERENCIAS!K102,1)&amp;" R:"&amp;ROUND(SUGERENCIAS!L102,0)&amp;" RIR:"&amp;ROUND(SUGERENCIAS!M102,0))))))</f>
        <v>Sin datos anteriores</v>
      </c>
      <c r="W51" s="69">
        <f>MAX(IF((G51&gt;0)*(IF(H51="",-1,H51)&gt;=1)*(IF(H51="",-1,H51)&lt;=3),IF(C51="peso_corporal",IF(ISNUMBER(E51),E51,0)+F51,F51)*G51*1000+F51,0),IF((J51&gt;0)*(IF(K51="",-1,K51)&gt;=1)*(IF(K51="",-1,K51)&lt;=3),IF(C51="peso_corporal",IF(ISNUMBER(E51),E51,0)+I51,I51)*J51*1000+I51,0),IF((M51&gt;0)*(IF(N51="",-1,N51)&gt;=1)*(IF(N51="",-1,N51)&lt;=3),IF(C51="peso_corporal",IF(ISNUMBER(E51),E51,0)+L51,L51)*M51*1000+L51,0),IF((P51&gt;0)*(IF(Q51="",-1,Q51)&gt;=1)*(IF(Q51="",-1,Q51)&lt;=3),IF(C51="peso_corporal",IF(ISNUMBER(E51),E51,0)+O51,O51)*P51*1000+O51,0),IF((S51&gt;0)*(IF(T51="",-1,T51)&gt;=1)*(IF(T51="",-1,T51)&lt;=3),IF(C51="peso_corporal",IF(ISNUMBER(E51),E51,0)+R51,R51)*S51*1000+R51,0))</f>
        <v>0</v>
      </c>
      <c r="X51" s="69">
        <f>IF(W51=0,0,IF(IF((S51&gt;0)*(IF(T51="",-1,T51)&gt;=1)*(IF(T51="",-1,T51)&lt;=3),IF(C51="peso_corporal",IF(ISNUMBER(E51),E51,0)+R51,R51)*S51*1000+R51,0)=W51,5,IF(IF((P51&gt;0)*(IF(Q51="",-1,Q51)&gt;=1)*(IF(Q51="",-1,Q51)&lt;=3),IF(C51="peso_corporal",IF(ISNUMBER(E51),E51,0)+O51,O51)*P51*1000+O51,0)=W51,4,IF(IF((M51&gt;0)*(IF(N51="",-1,N51)&gt;=1)*(IF(N51="",-1,N51)&lt;=3),IF(C51="peso_corporal",IF(ISNUMBER(E51),E51,0)+L51,L51)*M51*1000+L51,0)=W51,3,IF(IF((J51&gt;0)*(IF(K51="",-1,K51)&gt;=1)*(IF(K51="",-1,K51)&lt;=3),IF(C51="peso_corporal",IF(ISNUMBER(E51),E51,0)+I51,I51)*J51*1000+I51,0)=W51,2,IF(IF((G51&gt;0)*(IF(H51="",-1,H51)&gt;=1)*(IF(H51="",-1,H51)&lt;=3),IF(C51="peso_corporal",IF(ISNUMBER(E51),E51,0)+F51,F51)*G51*1000+F51,0)=W51,1,0))))))</f>
        <v>0</v>
      </c>
      <c r="Y51" s="69">
        <f>MAX(IF((G51&gt;0)*(IF(H51="",-1,H51)=0)*(1-(IF(H51="",-1,H51)&gt;=1)*(IF(H51="",-1,H51)&lt;=3)),IF(C51="peso_corporal",IF(ISNUMBER(E51),E51,0)+F51,F51)*G51*1000+F51,0),IF((J51&gt;0)*(IF(K51="",-1,K51)=0)*(1-(IF(K51="",-1,K51)&gt;=1)*(IF(K51="",-1,K51)&lt;=3)),IF(C51="peso_corporal",IF(ISNUMBER(E51),E51,0)+I51,I51)*J51*1000+I51,0),IF((M51&gt;0)*(IF(N51="",-1,N51)=0)*(1-(IF(N51="",-1,N51)&gt;=1)*(IF(N51="",-1,N51)&lt;=3)),IF(C51="peso_corporal",IF(ISNUMBER(E51),E51,0)+L51,L51)*M51*1000+L51,0),IF((P51&gt;0)*(IF(Q51="",-1,Q51)=0)*(1-(IF(Q51="",-1,Q51)&gt;=1)*(IF(Q51="",-1,Q51)&lt;=3)),IF(C51="peso_corporal",IF(ISNUMBER(E51),E51,0)+O51,O51)*P51*1000+O51,0),IF((S51&gt;0)*(IF(T51="",-1,T51)=0)*(1-(IF(T51="",-1,T51)&gt;=1)*(IF(T51="",-1,T51)&lt;=3)),IF(C51="peso_corporal",IF(ISNUMBER(E51),E51,0)+R51,R51)*S51*1000+R51,0))</f>
        <v>0</v>
      </c>
      <c r="Z51" s="69">
        <f>IF(Y51=0,0,IF(IF((S51&gt;0)*(IF(T51="",-1,T51)=0)*(1-(IF(T51="",-1,T51)&gt;=1)*(IF(T51="",-1,T51)&lt;=3)),IF(C51="peso_corporal",IF(ISNUMBER(E51),E51,0)+R51,R51)*S51*1000+R51,0)=Y51,5,IF(IF((P51&gt;0)*(IF(Q51="",-1,Q51)=0)*(1-(IF(Q51="",-1,Q51)&gt;=1)*(IF(Q51="",-1,Q51)&lt;=3)),IF(C51="peso_corporal",IF(ISNUMBER(E51),E51,0)+O51,O51)*P51*1000+O51,0)=Y51,4,IF(IF((M51&gt;0)*(IF(N51="",-1,N51)=0)*(1-(IF(N51="",-1,N51)&gt;=1)*(IF(N51="",-1,N51)&lt;=3)),IF(C51="peso_corporal",IF(ISNUMBER(E51),E51,0)+L51,L51)*M51*1000+L51,0)=Y51,3,IF(IF((J51&gt;0)*(IF(K51="",-1,K51)=0)*(1-(IF(K51="",-1,K51)&gt;=1)*(IF(K51="",-1,K51)&lt;=3)),IF(C51="peso_corporal",IF(ISNUMBER(E51),E51,0)+I51,I51)*J51*1000+I51,0)=Y51,2,IF(IF((G51&gt;0)*(IF(H51="",-1,H51)=0)*(1-(IF(H51="",-1,H51)&gt;=1)*(IF(H51="",-1,H51)&lt;=3)),IF(C51="peso_corporal",IF(ISNUMBER(E51),E51,0)+F51,F51)*G51*1000+F51,0)=Y51,1,0))))))</f>
        <v>0</v>
      </c>
      <c r="AA51" s="69">
        <f>MAX(IF((G51&gt;=6)*(1-(IF(H51="",-1,H51)&gt;=1)*(IF(H51="",-1,H51)&lt;=3))*(1-(IF(H51="",-1,H51)=0)),IF(C51="peso_corporal",IF(ISNUMBER(E51),E51,0)+F51,F51)*(30+G51)*100+F51,0),IF((J51&gt;=6)*(1-(IF(K51="",-1,K51)&gt;=1)*(IF(K51="",-1,K51)&lt;=3))*(1-(IF(K51="",-1,K51)=0)),IF(C51="peso_corporal",IF(ISNUMBER(E51),E51,0)+I51,I51)*(30+J51)*100+I51,0),IF((M51&gt;=6)*(1-(IF(N51="",-1,N51)&gt;=1)*(IF(N51="",-1,N51)&lt;=3))*(1-(IF(N51="",-1,N51)=0)),IF(C51="peso_corporal",IF(ISNUMBER(E51),E51,0)+L51,L51)*(30+M51)*100+L51,0),IF((P51&gt;=6)*(1-(IF(Q51="",-1,Q51)&gt;=1)*(IF(Q51="",-1,Q51)&lt;=3))*(1-(IF(Q51="",-1,Q51)=0)),IF(C51="peso_corporal",IF(ISNUMBER(E51),E51,0)+O51,O51)*(30+P51)*100+O51,0),IF((S51&gt;=6)*(1-(IF(T51="",-1,T51)&gt;=1)*(IF(T51="",-1,T51)&lt;=3))*(1-(IF(T51="",-1,T51)=0)),IF(C51="peso_corporal",IF(ISNUMBER(E51),E51,0)+R51,R51)*(30+S51)*100+R51,0))</f>
        <v>0</v>
      </c>
      <c r="AB51" s="69">
        <f>IF(AA51=0,0,IF(IF((S51&gt;=6)*(1-(IF(T51="",-1,T51)&gt;=1)*(IF(T51="",-1,T51)&lt;=3))*(1-(IF(T51="",-1,T51)=0)),IF(C51="peso_corporal",IF(ISNUMBER(E51),E51,0)+R51,R51)*(30+S51)*100+R51,0)=AA51,5,IF(IF((P51&gt;=6)*(1-(IF(Q51="",-1,Q51)&gt;=1)*(IF(Q51="",-1,Q51)&lt;=3))*(1-(IF(Q51="",-1,Q51)=0)),IF(C51="peso_corporal",IF(ISNUMBER(E51),E51,0)+O51,O51)*(30+P51)*100+O51,0)=AA51,4,IF(IF((M51&gt;=6)*(1-(IF(N51="",-1,N51)&gt;=1)*(IF(N51="",-1,N51)&lt;=3))*(1-(IF(N51="",-1,N51)=0)),IF(C51="peso_corporal",IF(ISNUMBER(E51),E51,0)+L51,L51)*(30+M51)*100+L51,0)=AA51,3,IF(IF((J51&gt;=6)*(1-(IF(K51="",-1,K51)&gt;=1)*(IF(K51="",-1,K51)&lt;=3))*(1-(IF(K51="",-1,K51)=0)),IF(C51="peso_corporal",IF(ISNUMBER(E51),E51,0)+I51,I51)*(30+J51)*100+I51,0)=AA51,2,IF(IF((G51&gt;=6)*(1-(IF(H51="",-1,H51)&gt;=1)*(IF(H51="",-1,H51)&lt;=3))*(1-(IF(H51="",-1,H51)=0)),IF(C51="peso_corporal",IF(ISNUMBER(E51),E51,0)+F51,F51)*(30+G51)*100+F51,0)=AA51,1,0))))))</f>
        <v>0</v>
      </c>
      <c r="AC51" s="69" t="str">
        <f>IF(X51&gt;0,"A"&amp;X51,IF(Z51&gt;0,"B"&amp;Z51,IF(AB51&gt;0,"C"&amp;AB51,"")))</f>
        <v/>
      </c>
    </row>
    <row r="52" spans="1:29" ht="20.100000000000001" customHeight="1">
      <c r="A52" s="14" t="s">
        <v>150</v>
      </c>
      <c r="B52" s="15" t="s">
        <v>151</v>
      </c>
      <c r="C52" s="16" t="str">
        <f>IFERROR(INDEX(EJERCICIOS!$D$3:$D$75,MATCH(A52&amp;"|"&amp;B52,EJERCICIOS!$G$3:$G$75,0)),"--")</f>
        <v>peso_corporal</v>
      </c>
      <c r="D52" s="17">
        <v>3</v>
      </c>
      <c r="E52" s="18">
        <f>IFERROR(LOOKUP(2,1/(MEDIDAS_Y_PESO!$B$3:$B$4&lt;&gt;""),MEDIDAS_Y_PESO!$B$3:$B$4),"--")</f>
        <v>80</v>
      </c>
      <c r="F52" s="19"/>
      <c r="G52" s="20"/>
      <c r="H52" s="21"/>
      <c r="I52" s="19"/>
      <c r="J52" s="20"/>
      <c r="K52" s="21"/>
      <c r="L52" s="19"/>
      <c r="M52" s="20"/>
      <c r="N52" s="21"/>
      <c r="O52" s="19"/>
      <c r="P52" s="20"/>
      <c r="Q52" s="21"/>
      <c r="R52" s="19"/>
      <c r="S52" s="20"/>
      <c r="T52" s="21"/>
      <c r="U52" s="22" t="str">
        <f>IFERROR(IF(IF(X52&gt;0,X52,IF(Z52&gt;0,Z52,IF(AB52&gt;0,AB52,0)))=0,"--",ROUND(CHOOSE(IF(X52&gt;0,X52,IF(Z52&gt;0,Z52,IF(AB52&gt;0,AB52,0))),IF(C52="peso_corporal",IF(ISNUMBER(E52),E52,0)+F52,F52)*(1+G52/30),IF(C52="peso_corporal",IF(ISNUMBER(E52),E52,0)+I52,I52)*(1+J52/30),IF(C52="peso_corporal",IF(ISNUMBER(E52),E52,0)+L52,L52)*(1+M52/30),IF(C52="peso_corporal",IF(ISNUMBER(E52),E52,0)+O52,O52)*(1+P52/30),IF(C52="peso_corporal",IF(ISNUMBER(E52),E52,0)+R52,R52)*(1+S52/30)),1)),"--")</f>
        <v>--</v>
      </c>
      <c r="V52" s="23" t="str">
        <f>IF(SUGERENCIAS!N103="SIN","Sin datos anteriores",IF(SUGERENCIAS!N103="SUBIR_F","^ SUBIR FUERTE | Kg:"&amp;ROUND(SUGERENCIAS!K103,1)&amp;" R:"&amp;ROUND(SUGERENCIAS!L103,0)&amp;" RIR:"&amp;ROUND(SUGERENCIAS!M103,0),IF(SUGERENCIAS!N103="SUBIR_E","^ SUBIR (Est.) | Kg:"&amp;ROUND(SUGERENCIAS!K103,1)&amp;" R:"&amp;ROUND(SUGERENCIAS!L103,0)&amp;" RIR:"&amp;ROUND(SUGERENCIAS!M103,0),IF(SUGERENCIAS!N103="SUBIR","^ SUBIR | Kg:"&amp;ROUND(SUGERENCIAS!K103,1)&amp;" R:"&amp;ROUND(SUGERENCIAS!L103,0)&amp;" RIR:"&amp;ROUND(SUGERENCIAS!M103,0),IF(SUGERENCIAS!N103="BAJAR","v BAJAR | Kg:"&amp;ROUND(SUGERENCIAS!K103,1)&amp;" R:"&amp;ROUND(SUGERENCIAS!L103,0)&amp;" RIR:"&amp;ROUND(SUGERENCIAS!M103,0),"= MANT | Kg:"&amp;ROUND(SUGERENCIAS!K103,1)&amp;" R:"&amp;ROUND(SUGERENCIAS!L103,0)&amp;" RIR:"&amp;ROUND(SUGERENCIAS!M103,0))))))</f>
        <v>Sin datos anteriores</v>
      </c>
      <c r="W52" s="69">
        <f>MAX(IF((G52&gt;0)*(IF(H52="",-1,H52)&gt;=1)*(IF(H52="",-1,H52)&lt;=3),IF(C52="peso_corporal",IF(ISNUMBER(E52),E52,0)+F52,F52)*G52*1000+F52,0),IF((J52&gt;0)*(IF(K52="",-1,K52)&gt;=1)*(IF(K52="",-1,K52)&lt;=3),IF(C52="peso_corporal",IF(ISNUMBER(E52),E52,0)+I52,I52)*J52*1000+I52,0),IF((M52&gt;0)*(IF(N52="",-1,N52)&gt;=1)*(IF(N52="",-1,N52)&lt;=3),IF(C52="peso_corporal",IF(ISNUMBER(E52),E52,0)+L52,L52)*M52*1000+L52,0),IF((P52&gt;0)*(IF(Q52="",-1,Q52)&gt;=1)*(IF(Q52="",-1,Q52)&lt;=3),IF(C52="peso_corporal",IF(ISNUMBER(E52),E52,0)+O52,O52)*P52*1000+O52,0),IF((S52&gt;0)*(IF(T52="",-1,T52)&gt;=1)*(IF(T52="",-1,T52)&lt;=3),IF(C52="peso_corporal",IF(ISNUMBER(E52),E52,0)+R52,R52)*S52*1000+R52,0))</f>
        <v>0</v>
      </c>
      <c r="X52" s="69">
        <f>IF(W52=0,0,IF(IF((S52&gt;0)*(IF(T52="",-1,T52)&gt;=1)*(IF(T52="",-1,T52)&lt;=3),IF(C52="peso_corporal",IF(ISNUMBER(E52),E52,0)+R52,R52)*S52*1000+R52,0)=W52,5,IF(IF((P52&gt;0)*(IF(Q52="",-1,Q52)&gt;=1)*(IF(Q52="",-1,Q52)&lt;=3),IF(C52="peso_corporal",IF(ISNUMBER(E52),E52,0)+O52,O52)*P52*1000+O52,0)=W52,4,IF(IF((M52&gt;0)*(IF(N52="",-1,N52)&gt;=1)*(IF(N52="",-1,N52)&lt;=3),IF(C52="peso_corporal",IF(ISNUMBER(E52),E52,0)+L52,L52)*M52*1000+L52,0)=W52,3,IF(IF((J52&gt;0)*(IF(K52="",-1,K52)&gt;=1)*(IF(K52="",-1,K52)&lt;=3),IF(C52="peso_corporal",IF(ISNUMBER(E52),E52,0)+I52,I52)*J52*1000+I52,0)=W52,2,IF(IF((G52&gt;0)*(IF(H52="",-1,H52)&gt;=1)*(IF(H52="",-1,H52)&lt;=3),IF(C52="peso_corporal",IF(ISNUMBER(E52),E52,0)+F52,F52)*G52*1000+F52,0)=W52,1,0))))))</f>
        <v>0</v>
      </c>
      <c r="Y52" s="69">
        <f>MAX(IF((G52&gt;0)*(IF(H52="",-1,H52)=0)*(1-(IF(H52="",-1,H52)&gt;=1)*(IF(H52="",-1,H52)&lt;=3)),IF(C52="peso_corporal",IF(ISNUMBER(E52),E52,0)+F52,F52)*G52*1000+F52,0),IF((J52&gt;0)*(IF(K52="",-1,K52)=0)*(1-(IF(K52="",-1,K52)&gt;=1)*(IF(K52="",-1,K52)&lt;=3)),IF(C52="peso_corporal",IF(ISNUMBER(E52),E52,0)+I52,I52)*J52*1000+I52,0),IF((M52&gt;0)*(IF(N52="",-1,N52)=0)*(1-(IF(N52="",-1,N52)&gt;=1)*(IF(N52="",-1,N52)&lt;=3)),IF(C52="peso_corporal",IF(ISNUMBER(E52),E52,0)+L52,L52)*M52*1000+L52,0),IF((P52&gt;0)*(IF(Q52="",-1,Q52)=0)*(1-(IF(Q52="",-1,Q52)&gt;=1)*(IF(Q52="",-1,Q52)&lt;=3)),IF(C52="peso_corporal",IF(ISNUMBER(E52),E52,0)+O52,O52)*P52*1000+O52,0),IF((S52&gt;0)*(IF(T52="",-1,T52)=0)*(1-(IF(T52="",-1,T52)&gt;=1)*(IF(T52="",-1,T52)&lt;=3)),IF(C52="peso_corporal",IF(ISNUMBER(E52),E52,0)+R52,R52)*S52*1000+R52,0))</f>
        <v>0</v>
      </c>
      <c r="Z52" s="69">
        <f>IF(Y52=0,0,IF(IF((S52&gt;0)*(IF(T52="",-1,T52)=0)*(1-(IF(T52="",-1,T52)&gt;=1)*(IF(T52="",-1,T52)&lt;=3)),IF(C52="peso_corporal",IF(ISNUMBER(E52),E52,0)+R52,R52)*S52*1000+R52,0)=Y52,5,IF(IF((P52&gt;0)*(IF(Q52="",-1,Q52)=0)*(1-(IF(Q52="",-1,Q52)&gt;=1)*(IF(Q52="",-1,Q52)&lt;=3)),IF(C52="peso_corporal",IF(ISNUMBER(E52),E52,0)+O52,O52)*P52*1000+O52,0)=Y52,4,IF(IF((M52&gt;0)*(IF(N52="",-1,N52)=0)*(1-(IF(N52="",-1,N52)&gt;=1)*(IF(N52="",-1,N52)&lt;=3)),IF(C52="peso_corporal",IF(ISNUMBER(E52),E52,0)+L52,L52)*M52*1000+L52,0)=Y52,3,IF(IF((J52&gt;0)*(IF(K52="",-1,K52)=0)*(1-(IF(K52="",-1,K52)&gt;=1)*(IF(K52="",-1,K52)&lt;=3)),IF(C52="peso_corporal",IF(ISNUMBER(E52),E52,0)+I52,I52)*J52*1000+I52,0)=Y52,2,IF(IF((G52&gt;0)*(IF(H52="",-1,H52)=0)*(1-(IF(H52="",-1,H52)&gt;=1)*(IF(H52="",-1,H52)&lt;=3)),IF(C52="peso_corporal",IF(ISNUMBER(E52),E52,0)+F52,F52)*G52*1000+F52,0)=Y52,1,0))))))</f>
        <v>0</v>
      </c>
      <c r="AA52" s="69">
        <f>MAX(IF((G52&gt;=6)*(1-(IF(H52="",-1,H52)&gt;=1)*(IF(H52="",-1,H52)&lt;=3))*(1-(IF(H52="",-1,H52)=0)),IF(C52="peso_corporal",IF(ISNUMBER(E52),E52,0)+F52,F52)*(30+G52)*100+F52,0),IF((J52&gt;=6)*(1-(IF(K52="",-1,K52)&gt;=1)*(IF(K52="",-1,K52)&lt;=3))*(1-(IF(K52="",-1,K52)=0)),IF(C52="peso_corporal",IF(ISNUMBER(E52),E52,0)+I52,I52)*(30+J52)*100+I52,0),IF((M52&gt;=6)*(1-(IF(N52="",-1,N52)&gt;=1)*(IF(N52="",-1,N52)&lt;=3))*(1-(IF(N52="",-1,N52)=0)),IF(C52="peso_corporal",IF(ISNUMBER(E52),E52,0)+L52,L52)*(30+M52)*100+L52,0),IF((P52&gt;=6)*(1-(IF(Q52="",-1,Q52)&gt;=1)*(IF(Q52="",-1,Q52)&lt;=3))*(1-(IF(Q52="",-1,Q52)=0)),IF(C52="peso_corporal",IF(ISNUMBER(E52),E52,0)+O52,O52)*(30+P52)*100+O52,0),IF((S52&gt;=6)*(1-(IF(T52="",-1,T52)&gt;=1)*(IF(T52="",-1,T52)&lt;=3))*(1-(IF(T52="",-1,T52)=0)),IF(C52="peso_corporal",IF(ISNUMBER(E52),E52,0)+R52,R52)*(30+S52)*100+R52,0))</f>
        <v>0</v>
      </c>
      <c r="AB52" s="69">
        <f>IF(AA52=0,0,IF(IF((S52&gt;=6)*(1-(IF(T52="",-1,T52)&gt;=1)*(IF(T52="",-1,T52)&lt;=3))*(1-(IF(T52="",-1,T52)=0)),IF(C52="peso_corporal",IF(ISNUMBER(E52),E52,0)+R52,R52)*(30+S52)*100+R52,0)=AA52,5,IF(IF((P52&gt;=6)*(1-(IF(Q52="",-1,Q52)&gt;=1)*(IF(Q52="",-1,Q52)&lt;=3))*(1-(IF(Q52="",-1,Q52)=0)),IF(C52="peso_corporal",IF(ISNUMBER(E52),E52,0)+O52,O52)*(30+P52)*100+O52,0)=AA52,4,IF(IF((M52&gt;=6)*(1-(IF(N52="",-1,N52)&gt;=1)*(IF(N52="",-1,N52)&lt;=3))*(1-(IF(N52="",-1,N52)=0)),IF(C52="peso_corporal",IF(ISNUMBER(E52),E52,0)+L52,L52)*(30+M52)*100+L52,0)=AA52,3,IF(IF((J52&gt;=6)*(1-(IF(K52="",-1,K52)&gt;=1)*(IF(K52="",-1,K52)&lt;=3))*(1-(IF(K52="",-1,K52)=0)),IF(C52="peso_corporal",IF(ISNUMBER(E52),E52,0)+I52,I52)*(30+J52)*100+I52,0)=AA52,2,IF(IF((G52&gt;=6)*(1-(IF(H52="",-1,H52)&gt;=1)*(IF(H52="",-1,H52)&lt;=3))*(1-(IF(H52="",-1,H52)=0)),IF(C52="peso_corporal",IF(ISNUMBER(E52),E52,0)+F52,F52)*(30+G52)*100+F52,0)=AA52,1,0))))))</f>
        <v>0</v>
      </c>
      <c r="AC52" s="69" t="str">
        <f>IF(X52&gt;0,"A"&amp;X52,IF(Z52&gt;0,"B"&amp;Z52,IF(AB52&gt;0,"C"&amp;AB52,"")))</f>
        <v/>
      </c>
    </row>
    <row r="53" spans="1:29" ht="6" customHeight="1">
      <c r="A53" s="13"/>
      <c r="B53" s="13"/>
      <c r="C53" s="13"/>
      <c r="D53" s="13"/>
      <c r="E53" s="13"/>
      <c r="F53" s="13"/>
      <c r="G53" s="13"/>
      <c r="H53" s="13"/>
      <c r="I53" s="13"/>
      <c r="J53" s="13"/>
      <c r="K53" s="13"/>
      <c r="L53" s="13"/>
      <c r="M53" s="13"/>
      <c r="N53" s="13"/>
      <c r="O53" s="13"/>
      <c r="P53" s="13"/>
      <c r="Q53" s="13"/>
      <c r="R53" s="13"/>
      <c r="S53" s="13"/>
      <c r="T53" s="13"/>
      <c r="U53" s="13"/>
      <c r="V53" s="13"/>
      <c r="W53" s="69"/>
      <c r="X53" s="69"/>
      <c r="Y53" s="69"/>
      <c r="Z53" s="69"/>
      <c r="AA53" s="69"/>
      <c r="AB53" s="69"/>
      <c r="AC53" s="69"/>
    </row>
    <row r="54" spans="1:29" ht="18" customHeight="1">
      <c r="A54" s="85" t="s">
        <v>68</v>
      </c>
      <c r="B54" s="73"/>
      <c r="C54" s="73"/>
      <c r="D54" s="73"/>
      <c r="E54" s="73"/>
      <c r="F54" s="73"/>
      <c r="G54" s="73"/>
      <c r="H54" s="73"/>
      <c r="I54" s="73"/>
      <c r="J54" s="73"/>
      <c r="K54" s="73"/>
      <c r="L54" s="73"/>
      <c r="M54" s="73"/>
      <c r="N54" s="73"/>
      <c r="O54" s="73"/>
      <c r="P54" s="73"/>
      <c r="Q54" s="73"/>
      <c r="R54" s="73"/>
      <c r="S54" s="73"/>
      <c r="T54" s="73"/>
      <c r="U54" s="73"/>
      <c r="V54" s="73"/>
      <c r="W54" s="69"/>
      <c r="X54" s="69"/>
      <c r="Y54" s="69"/>
      <c r="Z54" s="69"/>
      <c r="AA54" s="69"/>
      <c r="AB54" s="69"/>
      <c r="AC54" s="69"/>
    </row>
    <row r="55" spans="1:29" ht="15" customHeight="1">
      <c r="A55" s="88" t="s">
        <v>129</v>
      </c>
      <c r="B55" s="73"/>
      <c r="C55" s="73"/>
      <c r="D55" s="73"/>
      <c r="E55" s="73"/>
      <c r="F55" s="73"/>
      <c r="G55" s="73"/>
      <c r="H55" s="73"/>
      <c r="I55" s="73"/>
      <c r="J55" s="73"/>
      <c r="K55" s="73"/>
      <c r="L55" s="73"/>
      <c r="M55" s="73"/>
      <c r="N55" s="73"/>
      <c r="O55" s="73"/>
      <c r="P55" s="73"/>
      <c r="Q55" s="73"/>
      <c r="R55" s="73"/>
      <c r="S55" s="73"/>
      <c r="T55" s="73"/>
      <c r="U55" s="73"/>
      <c r="V55" s="73"/>
      <c r="W55" s="69"/>
      <c r="X55" s="69"/>
      <c r="Y55" s="69"/>
      <c r="Z55" s="69"/>
      <c r="AA55" s="69"/>
      <c r="AB55" s="69"/>
      <c r="AC55" s="69"/>
    </row>
    <row r="56" spans="1:29" ht="20.100000000000001" customHeight="1">
      <c r="A56" s="14" t="s">
        <v>130</v>
      </c>
      <c r="B56" s="15" t="s">
        <v>131</v>
      </c>
      <c r="C56" s="16" t="str">
        <f>IFERROR(INDEX(EJERCICIOS!$D$3:$D$75,MATCH(A56&amp;"|"&amp;B56,EJERCICIOS!$G$3:$G$75,0)),"--")</f>
        <v>polea</v>
      </c>
      <c r="D56" s="17">
        <v>3</v>
      </c>
      <c r="E56" s="18">
        <f>IFERROR(LOOKUP(2,1/(MEDIDAS_Y_PESO!$B$3:$B$5&lt;&gt;""),MEDIDAS_Y_PESO!$B$3:$B$5),"--")</f>
        <v>80</v>
      </c>
      <c r="F56" s="19"/>
      <c r="G56" s="20"/>
      <c r="H56" s="21"/>
      <c r="I56" s="19"/>
      <c r="J56" s="20"/>
      <c r="K56" s="21"/>
      <c r="L56" s="19"/>
      <c r="M56" s="20"/>
      <c r="N56" s="21"/>
      <c r="O56" s="19"/>
      <c r="P56" s="20"/>
      <c r="Q56" s="21"/>
      <c r="R56" s="19"/>
      <c r="S56" s="20"/>
      <c r="T56" s="21"/>
      <c r="U56" s="22" t="str">
        <f>IFERROR(IF(IF(X56&gt;0,X56,IF(Z56&gt;0,Z56,IF(AB56&gt;0,AB56,0)))=0,"--",ROUND(CHOOSE(IF(X56&gt;0,X56,IF(Z56&gt;0,Z56,IF(AB56&gt;0,AB56,0))),IF(C56="peso_corporal",IF(ISNUMBER(E56),E56,0)+F56,F56)*(1+G56/30),IF(C56="peso_corporal",IF(ISNUMBER(E56),E56,0)+I56,I56)*(1+J56/30),IF(C56="peso_corporal",IF(ISNUMBER(E56),E56,0)+L56,L56)*(1+M56/30),IF(C56="peso_corporal",IF(ISNUMBER(E56),E56,0)+O56,O56)*(1+P56/30),IF(C56="peso_corporal",IF(ISNUMBER(E56),E56,0)+R56,R56)*(1+S56/30)),1)),"--")</f>
        <v>--</v>
      </c>
      <c r="V56" s="23" t="str">
        <f>IF(SUGERENCIAS!N152="SIN","Sin datos anteriores",IF(SUGERENCIAS!N152="SUBIR_F","^ SUBIR FUERTE | Kg:"&amp;ROUND(SUGERENCIAS!K152,1)&amp;" R:"&amp;ROUND(SUGERENCIAS!L152,0)&amp;" RIR:"&amp;ROUND(SUGERENCIAS!M152,0),IF(SUGERENCIAS!N152="SUBIR_E","^ SUBIR (Est.) | Kg:"&amp;ROUND(SUGERENCIAS!K152,1)&amp;" R:"&amp;ROUND(SUGERENCIAS!L152,0)&amp;" RIR:"&amp;ROUND(SUGERENCIAS!M152,0),IF(SUGERENCIAS!N152="SUBIR","^ SUBIR | Kg:"&amp;ROUND(SUGERENCIAS!K152,1)&amp;" R:"&amp;ROUND(SUGERENCIAS!L152,0)&amp;" RIR:"&amp;ROUND(SUGERENCIAS!M152,0),IF(SUGERENCIAS!N152="BAJAR","v BAJAR | Kg:"&amp;ROUND(SUGERENCIAS!K152,1)&amp;" R:"&amp;ROUND(SUGERENCIAS!L152,0)&amp;" RIR:"&amp;ROUND(SUGERENCIAS!M152,0),"= MANT | Kg:"&amp;ROUND(SUGERENCIAS!K152,1)&amp;" R:"&amp;ROUND(SUGERENCIAS!L152,0)&amp;" RIR:"&amp;ROUND(SUGERENCIAS!M152,0))))))</f>
        <v>Sin datos anteriores</v>
      </c>
      <c r="W56" s="69">
        <f>MAX(IF((G56&gt;0)*(IF(H56="",-1,H56)&gt;=0)*(IF(H56="",-1,H56)&lt;=1),IF(C56="peso_corporal",IF(ISNUMBER(E56),E56,0)+F56,F56)*G56*1000+F56,0),IF((J56&gt;0)*(IF(K56="",-1,K56)&gt;=0)*(IF(K56="",-1,K56)&lt;=1),IF(C56="peso_corporal",IF(ISNUMBER(E56),E56,0)+I56,I56)*J56*1000+I56,0),IF((M56&gt;0)*(IF(N56="",-1,N56)&gt;=0)*(IF(N56="",-1,N56)&lt;=1),IF(C56="peso_corporal",IF(ISNUMBER(E56),E56,0)+L56,L56)*M56*1000+L56,0),IF((P56&gt;0)*(IF(Q56="",-1,Q56)&gt;=0)*(IF(Q56="",-1,Q56)&lt;=1),IF(C56="peso_corporal",IF(ISNUMBER(E56),E56,0)+O56,O56)*P56*1000+O56,0),IF((S56&gt;0)*(IF(T56="",-1,T56)&gt;=0)*(IF(T56="",-1,T56)&lt;=1),IF(C56="peso_corporal",IF(ISNUMBER(E56),E56,0)+R56,R56)*S56*1000+R56,0))</f>
        <v>0</v>
      </c>
      <c r="X56" s="69">
        <f>IF(W56=0,0,IF(IF((S56&gt;0)*(IF(T56="",-1,T56)&gt;=0)*(IF(T56="",-1,T56)&lt;=1),IF(C56="peso_corporal",IF(ISNUMBER(E56),E56,0)+R56,R56)*S56*1000+R56,0)=W56,5,IF(IF((P56&gt;0)*(IF(Q56="",-1,Q56)&gt;=0)*(IF(Q56="",-1,Q56)&lt;=1),IF(C56="peso_corporal",IF(ISNUMBER(E56),E56,0)+O56,O56)*P56*1000+O56,0)=W56,4,IF(IF((M56&gt;0)*(IF(N56="",-1,N56)&gt;=0)*(IF(N56="",-1,N56)&lt;=1),IF(C56="peso_corporal",IF(ISNUMBER(E56),E56,0)+L56,L56)*M56*1000+L56,0)=W56,3,IF(IF((J56&gt;0)*(IF(K56="",-1,K56)&gt;=0)*(IF(K56="",-1,K56)&lt;=1),IF(C56="peso_corporal",IF(ISNUMBER(E56),E56,0)+I56,I56)*J56*1000+I56,0)=W56,2,IF(IF((G56&gt;0)*(IF(H56="",-1,H56)&gt;=0)*(IF(H56="",-1,H56)&lt;=1),IF(C56="peso_corporal",IF(ISNUMBER(E56),E56,0)+F56,F56)*G56*1000+F56,0)=W56,1,0))))))</f>
        <v>0</v>
      </c>
      <c r="Y56" s="69">
        <f>MAX(IF((G56&gt;0)*(IF(H56="",-1,H56)=0)*(1-(IF(H56="",-1,H56)&gt;=0)*(IF(H56="",-1,H56)&lt;=1)),IF(C56="peso_corporal",IF(ISNUMBER(E56),E56,0)+F56,F56)*G56*1000+F56,0),IF((J56&gt;0)*(IF(K56="",-1,K56)=0)*(1-(IF(K56="",-1,K56)&gt;=0)*(IF(K56="",-1,K56)&lt;=1)),IF(C56="peso_corporal",IF(ISNUMBER(E56),E56,0)+I56,I56)*J56*1000+I56,0),IF((M56&gt;0)*(IF(N56="",-1,N56)=0)*(1-(IF(N56="",-1,N56)&gt;=0)*(IF(N56="",-1,N56)&lt;=1)),IF(C56="peso_corporal",IF(ISNUMBER(E56),E56,0)+L56,L56)*M56*1000+L56,0),IF((P56&gt;0)*(IF(Q56="",-1,Q56)=0)*(1-(IF(Q56="",-1,Q56)&gt;=0)*(IF(Q56="",-1,Q56)&lt;=1)),IF(C56="peso_corporal",IF(ISNUMBER(E56),E56,0)+O56,O56)*P56*1000+O56,0),IF((S56&gt;0)*(IF(T56="",-1,T56)=0)*(1-(IF(T56="",-1,T56)&gt;=0)*(IF(T56="",-1,T56)&lt;=1)),IF(C56="peso_corporal",IF(ISNUMBER(E56),E56,0)+R56,R56)*S56*1000+R56,0))</f>
        <v>0</v>
      </c>
      <c r="Z56" s="69">
        <f>IF(Y56=0,0,IF(IF((S56&gt;0)*(IF(T56="",-1,T56)=0)*(1-(IF(T56="",-1,T56)&gt;=0)*(IF(T56="",-1,T56)&lt;=1)),IF(C56="peso_corporal",IF(ISNUMBER(E56),E56,0)+R56,R56)*S56*1000+R56,0)=Y56,5,IF(IF((P56&gt;0)*(IF(Q56="",-1,Q56)=0)*(1-(IF(Q56="",-1,Q56)&gt;=0)*(IF(Q56="",-1,Q56)&lt;=1)),IF(C56="peso_corporal",IF(ISNUMBER(E56),E56,0)+O56,O56)*P56*1000+O56,0)=Y56,4,IF(IF((M56&gt;0)*(IF(N56="",-1,N56)=0)*(1-(IF(N56="",-1,N56)&gt;=0)*(IF(N56="",-1,N56)&lt;=1)),IF(C56="peso_corporal",IF(ISNUMBER(E56),E56,0)+L56,L56)*M56*1000+L56,0)=Y56,3,IF(IF((J56&gt;0)*(IF(K56="",-1,K56)=0)*(1-(IF(K56="",-1,K56)&gt;=0)*(IF(K56="",-1,K56)&lt;=1)),IF(C56="peso_corporal",IF(ISNUMBER(E56),E56,0)+I56,I56)*J56*1000+I56,0)=Y56,2,IF(IF((G56&gt;0)*(IF(H56="",-1,H56)=0)*(1-(IF(H56="",-1,H56)&gt;=0)*(IF(H56="",-1,H56)&lt;=1)),IF(C56="peso_corporal",IF(ISNUMBER(E56),E56,0)+F56,F56)*G56*1000+F56,0)=Y56,1,0))))))</f>
        <v>0</v>
      </c>
      <c r="AA56" s="69">
        <f>MAX(IF((G56&gt;=3)*(1-(IF(H56="",-1,H56)&gt;=0)*(IF(H56="",-1,H56)&lt;=1))*(1-(IF(H56="",-1,H56)=0)),IF(C56="peso_corporal",IF(ISNUMBER(E56),E56,0)+F56,F56)*(30+G56)*100+F56,0),IF((J56&gt;=3)*(1-(IF(K56="",-1,K56)&gt;=0)*(IF(K56="",-1,K56)&lt;=1))*(1-(IF(K56="",-1,K56)=0)),IF(C56="peso_corporal",IF(ISNUMBER(E56),E56,0)+I56,I56)*(30+J56)*100+I56,0),IF((M56&gt;=3)*(1-(IF(N56="",-1,N56)&gt;=0)*(IF(N56="",-1,N56)&lt;=1))*(1-(IF(N56="",-1,N56)=0)),IF(C56="peso_corporal",IF(ISNUMBER(E56),E56,0)+L56,L56)*(30+M56)*100+L56,0),IF((P56&gt;=3)*(1-(IF(Q56="",-1,Q56)&gt;=0)*(IF(Q56="",-1,Q56)&lt;=1))*(1-(IF(Q56="",-1,Q56)=0)),IF(C56="peso_corporal",IF(ISNUMBER(E56),E56,0)+O56,O56)*(30+P56)*100+O56,0),IF((S56&gt;=3)*(1-(IF(T56="",-1,T56)&gt;=0)*(IF(T56="",-1,T56)&lt;=1))*(1-(IF(T56="",-1,T56)=0)),IF(C56="peso_corporal",IF(ISNUMBER(E56),E56,0)+R56,R56)*(30+S56)*100+R56,0))</f>
        <v>0</v>
      </c>
      <c r="AB56" s="69">
        <f>IF(AA56=0,0,IF(IF((S56&gt;=3)*(1-(IF(T56="",-1,T56)&gt;=0)*(IF(T56="",-1,T56)&lt;=1))*(1-(IF(T56="",-1,T56)=0)),IF(C56="peso_corporal",IF(ISNUMBER(E56),E56,0)+R56,R56)*(30+S56)*100+R56,0)=AA56,5,IF(IF((P56&gt;=3)*(1-(IF(Q56="",-1,Q56)&gt;=0)*(IF(Q56="",-1,Q56)&lt;=1))*(1-(IF(Q56="",-1,Q56)=0)),IF(C56="peso_corporal",IF(ISNUMBER(E56),E56,0)+O56,O56)*(30+P56)*100+O56,0)=AA56,4,IF(IF((M56&gt;=3)*(1-(IF(N56="",-1,N56)&gt;=0)*(IF(N56="",-1,N56)&lt;=1))*(1-(IF(N56="",-1,N56)=0)),IF(C56="peso_corporal",IF(ISNUMBER(E56),E56,0)+L56,L56)*(30+M56)*100+L56,0)=AA56,3,IF(IF((J56&gt;=3)*(1-(IF(K56="",-1,K56)&gt;=0)*(IF(K56="",-1,K56)&lt;=1))*(1-(IF(K56="",-1,K56)=0)),IF(C56="peso_corporal",IF(ISNUMBER(E56),E56,0)+I56,I56)*(30+J56)*100+I56,0)=AA56,2,IF(IF((G56&gt;=3)*(1-(IF(H56="",-1,H56)&gt;=0)*(IF(H56="",-1,H56)&lt;=1))*(1-(IF(H56="",-1,H56)=0)),IF(C56="peso_corporal",IF(ISNUMBER(E56),E56,0)+F56,F56)*(30+G56)*100+F56,0)=AA56,1,0))))))</f>
        <v>0</v>
      </c>
      <c r="AC56" s="69" t="str">
        <f>IF(X56&gt;0,"A"&amp;X56,IF(Z56&gt;0,"B"&amp;Z56,IF(AB56&gt;0,"C"&amp;AB56,"")))</f>
        <v/>
      </c>
    </row>
    <row r="57" spans="1:29" ht="20.100000000000001" customHeight="1">
      <c r="A57" s="14" t="s">
        <v>130</v>
      </c>
      <c r="B57" s="15" t="s">
        <v>132</v>
      </c>
      <c r="C57" s="16" t="str">
        <f>IFERROR(INDEX(EJERCICIOS!$D$3:$D$75,MATCH(A57&amp;"|"&amp;B57,EJERCICIOS!$G$3:$G$75,0)),"--")</f>
        <v>polea</v>
      </c>
      <c r="D57" s="17">
        <v>3</v>
      </c>
      <c r="E57" s="18">
        <f>IFERROR(LOOKUP(2,1/(MEDIDAS_Y_PESO!$B$3:$B$5&lt;&gt;""),MEDIDAS_Y_PESO!$B$3:$B$5),"--")</f>
        <v>80</v>
      </c>
      <c r="F57" s="19"/>
      <c r="G57" s="20"/>
      <c r="H57" s="21"/>
      <c r="I57" s="19"/>
      <c r="J57" s="20"/>
      <c r="K57" s="21"/>
      <c r="L57" s="19"/>
      <c r="M57" s="20"/>
      <c r="N57" s="21"/>
      <c r="O57" s="19"/>
      <c r="P57" s="20"/>
      <c r="Q57" s="21"/>
      <c r="R57" s="19"/>
      <c r="S57" s="20"/>
      <c r="T57" s="21"/>
      <c r="U57" s="22" t="str">
        <f>IFERROR(IF(IF(X57&gt;0,X57,IF(Z57&gt;0,Z57,IF(AB57&gt;0,AB57,0)))=0,"--",ROUND(CHOOSE(IF(X57&gt;0,X57,IF(Z57&gt;0,Z57,IF(AB57&gt;0,AB57,0))),IF(C57="peso_corporal",IF(ISNUMBER(E57),E57,0)+F57,F57)*(1+G57/30),IF(C57="peso_corporal",IF(ISNUMBER(E57),E57,0)+I57,I57)*(1+J57/30),IF(C57="peso_corporal",IF(ISNUMBER(E57),E57,0)+L57,L57)*(1+M57/30),IF(C57="peso_corporal",IF(ISNUMBER(E57),E57,0)+O57,O57)*(1+P57/30),IF(C57="peso_corporal",IF(ISNUMBER(E57),E57,0)+R57,R57)*(1+S57/30)),1)),"--")</f>
        <v>--</v>
      </c>
      <c r="V57" s="23" t="str">
        <f>IF(SUGERENCIAS!N153="SIN","Sin datos anteriores",IF(SUGERENCIAS!N153="SUBIR_F","^ SUBIR FUERTE | Kg:"&amp;ROUND(SUGERENCIAS!K153,1)&amp;" R:"&amp;ROUND(SUGERENCIAS!L153,0)&amp;" RIR:"&amp;ROUND(SUGERENCIAS!M153,0),IF(SUGERENCIAS!N153="SUBIR_E","^ SUBIR (Est.) | Kg:"&amp;ROUND(SUGERENCIAS!K153,1)&amp;" R:"&amp;ROUND(SUGERENCIAS!L153,0)&amp;" RIR:"&amp;ROUND(SUGERENCIAS!M153,0),IF(SUGERENCIAS!N153="SUBIR","^ SUBIR | Kg:"&amp;ROUND(SUGERENCIAS!K153,1)&amp;" R:"&amp;ROUND(SUGERENCIAS!L153,0)&amp;" RIR:"&amp;ROUND(SUGERENCIAS!M153,0),IF(SUGERENCIAS!N153="BAJAR","v BAJAR | Kg:"&amp;ROUND(SUGERENCIAS!K153,1)&amp;" R:"&amp;ROUND(SUGERENCIAS!L153,0)&amp;" RIR:"&amp;ROUND(SUGERENCIAS!M153,0),"= MANT | Kg:"&amp;ROUND(SUGERENCIAS!K153,1)&amp;" R:"&amp;ROUND(SUGERENCIAS!L153,0)&amp;" RIR:"&amp;ROUND(SUGERENCIAS!M153,0))))))</f>
        <v>Sin datos anteriores</v>
      </c>
      <c r="W57" s="69">
        <f>MAX(IF((G57&gt;0)*(IF(H57="",-1,H57)&gt;=0)*(IF(H57="",-1,H57)&lt;=1),IF(C57="peso_corporal",IF(ISNUMBER(E57),E57,0)+F57,F57)*G57*1000+F57,0),IF((J57&gt;0)*(IF(K57="",-1,K57)&gt;=0)*(IF(K57="",-1,K57)&lt;=1),IF(C57="peso_corporal",IF(ISNUMBER(E57),E57,0)+I57,I57)*J57*1000+I57,0),IF((M57&gt;0)*(IF(N57="",-1,N57)&gt;=0)*(IF(N57="",-1,N57)&lt;=1),IF(C57="peso_corporal",IF(ISNUMBER(E57),E57,0)+L57,L57)*M57*1000+L57,0),IF((P57&gt;0)*(IF(Q57="",-1,Q57)&gt;=0)*(IF(Q57="",-1,Q57)&lt;=1),IF(C57="peso_corporal",IF(ISNUMBER(E57),E57,0)+O57,O57)*P57*1000+O57,0),IF((S57&gt;0)*(IF(T57="",-1,T57)&gt;=0)*(IF(T57="",-1,T57)&lt;=1),IF(C57="peso_corporal",IF(ISNUMBER(E57),E57,0)+R57,R57)*S57*1000+R57,0))</f>
        <v>0</v>
      </c>
      <c r="X57" s="69">
        <f>IF(W57=0,0,IF(IF((S57&gt;0)*(IF(T57="",-1,T57)&gt;=0)*(IF(T57="",-1,T57)&lt;=1),IF(C57="peso_corporal",IF(ISNUMBER(E57),E57,0)+R57,R57)*S57*1000+R57,0)=W57,5,IF(IF((P57&gt;0)*(IF(Q57="",-1,Q57)&gt;=0)*(IF(Q57="",-1,Q57)&lt;=1),IF(C57="peso_corporal",IF(ISNUMBER(E57),E57,0)+O57,O57)*P57*1000+O57,0)=W57,4,IF(IF((M57&gt;0)*(IF(N57="",-1,N57)&gt;=0)*(IF(N57="",-1,N57)&lt;=1),IF(C57="peso_corporal",IF(ISNUMBER(E57),E57,0)+L57,L57)*M57*1000+L57,0)=W57,3,IF(IF((J57&gt;0)*(IF(K57="",-1,K57)&gt;=0)*(IF(K57="",-1,K57)&lt;=1),IF(C57="peso_corporal",IF(ISNUMBER(E57),E57,0)+I57,I57)*J57*1000+I57,0)=W57,2,IF(IF((G57&gt;0)*(IF(H57="",-1,H57)&gt;=0)*(IF(H57="",-1,H57)&lt;=1),IF(C57="peso_corporal",IF(ISNUMBER(E57),E57,0)+F57,F57)*G57*1000+F57,0)=W57,1,0))))))</f>
        <v>0</v>
      </c>
      <c r="Y57" s="69">
        <f>MAX(IF((G57&gt;0)*(IF(H57="",-1,H57)=0)*(1-(IF(H57="",-1,H57)&gt;=0)*(IF(H57="",-1,H57)&lt;=1)),IF(C57="peso_corporal",IF(ISNUMBER(E57),E57,0)+F57,F57)*G57*1000+F57,0),IF((J57&gt;0)*(IF(K57="",-1,K57)=0)*(1-(IF(K57="",-1,K57)&gt;=0)*(IF(K57="",-1,K57)&lt;=1)),IF(C57="peso_corporal",IF(ISNUMBER(E57),E57,0)+I57,I57)*J57*1000+I57,0),IF((M57&gt;0)*(IF(N57="",-1,N57)=0)*(1-(IF(N57="",-1,N57)&gt;=0)*(IF(N57="",-1,N57)&lt;=1)),IF(C57="peso_corporal",IF(ISNUMBER(E57),E57,0)+L57,L57)*M57*1000+L57,0),IF((P57&gt;0)*(IF(Q57="",-1,Q57)=0)*(1-(IF(Q57="",-1,Q57)&gt;=0)*(IF(Q57="",-1,Q57)&lt;=1)),IF(C57="peso_corporal",IF(ISNUMBER(E57),E57,0)+O57,O57)*P57*1000+O57,0),IF((S57&gt;0)*(IF(T57="",-1,T57)=0)*(1-(IF(T57="",-1,T57)&gt;=0)*(IF(T57="",-1,T57)&lt;=1)),IF(C57="peso_corporal",IF(ISNUMBER(E57),E57,0)+R57,R57)*S57*1000+R57,0))</f>
        <v>0</v>
      </c>
      <c r="Z57" s="69">
        <f>IF(Y57=0,0,IF(IF((S57&gt;0)*(IF(T57="",-1,T57)=0)*(1-(IF(T57="",-1,T57)&gt;=0)*(IF(T57="",-1,T57)&lt;=1)),IF(C57="peso_corporal",IF(ISNUMBER(E57),E57,0)+R57,R57)*S57*1000+R57,0)=Y57,5,IF(IF((P57&gt;0)*(IF(Q57="",-1,Q57)=0)*(1-(IF(Q57="",-1,Q57)&gt;=0)*(IF(Q57="",-1,Q57)&lt;=1)),IF(C57="peso_corporal",IF(ISNUMBER(E57),E57,0)+O57,O57)*P57*1000+O57,0)=Y57,4,IF(IF((M57&gt;0)*(IF(N57="",-1,N57)=0)*(1-(IF(N57="",-1,N57)&gt;=0)*(IF(N57="",-1,N57)&lt;=1)),IF(C57="peso_corporal",IF(ISNUMBER(E57),E57,0)+L57,L57)*M57*1000+L57,0)=Y57,3,IF(IF((J57&gt;0)*(IF(K57="",-1,K57)=0)*(1-(IF(K57="",-1,K57)&gt;=0)*(IF(K57="",-1,K57)&lt;=1)),IF(C57="peso_corporal",IF(ISNUMBER(E57),E57,0)+I57,I57)*J57*1000+I57,0)=Y57,2,IF(IF((G57&gt;0)*(IF(H57="",-1,H57)=0)*(1-(IF(H57="",-1,H57)&gt;=0)*(IF(H57="",-1,H57)&lt;=1)),IF(C57="peso_corporal",IF(ISNUMBER(E57),E57,0)+F57,F57)*G57*1000+F57,0)=Y57,1,0))))))</f>
        <v>0</v>
      </c>
      <c r="AA57" s="69">
        <f>MAX(IF((G57&gt;=3)*(1-(IF(H57="",-1,H57)&gt;=0)*(IF(H57="",-1,H57)&lt;=1))*(1-(IF(H57="",-1,H57)=0)),IF(C57="peso_corporal",IF(ISNUMBER(E57),E57,0)+F57,F57)*(30+G57)*100+F57,0),IF((J57&gt;=3)*(1-(IF(K57="",-1,K57)&gt;=0)*(IF(K57="",-1,K57)&lt;=1))*(1-(IF(K57="",-1,K57)=0)),IF(C57="peso_corporal",IF(ISNUMBER(E57),E57,0)+I57,I57)*(30+J57)*100+I57,0),IF((M57&gt;=3)*(1-(IF(N57="",-1,N57)&gt;=0)*(IF(N57="",-1,N57)&lt;=1))*(1-(IF(N57="",-1,N57)=0)),IF(C57="peso_corporal",IF(ISNUMBER(E57),E57,0)+L57,L57)*(30+M57)*100+L57,0),IF((P57&gt;=3)*(1-(IF(Q57="",-1,Q57)&gt;=0)*(IF(Q57="",-1,Q57)&lt;=1))*(1-(IF(Q57="",-1,Q57)=0)),IF(C57="peso_corporal",IF(ISNUMBER(E57),E57,0)+O57,O57)*(30+P57)*100+O57,0),IF((S57&gt;=3)*(1-(IF(T57="",-1,T57)&gt;=0)*(IF(T57="",-1,T57)&lt;=1))*(1-(IF(T57="",-1,T57)=0)),IF(C57="peso_corporal",IF(ISNUMBER(E57),E57,0)+R57,R57)*(30+S57)*100+R57,0))</f>
        <v>0</v>
      </c>
      <c r="AB57" s="69">
        <f>IF(AA57=0,0,IF(IF((S57&gt;=3)*(1-(IF(T57="",-1,T57)&gt;=0)*(IF(T57="",-1,T57)&lt;=1))*(1-(IF(T57="",-1,T57)=0)),IF(C57="peso_corporal",IF(ISNUMBER(E57),E57,0)+R57,R57)*(30+S57)*100+R57,0)=AA57,5,IF(IF((P57&gt;=3)*(1-(IF(Q57="",-1,Q57)&gt;=0)*(IF(Q57="",-1,Q57)&lt;=1))*(1-(IF(Q57="",-1,Q57)=0)),IF(C57="peso_corporal",IF(ISNUMBER(E57),E57,0)+O57,O57)*(30+P57)*100+O57,0)=AA57,4,IF(IF((M57&gt;=3)*(1-(IF(N57="",-1,N57)&gt;=0)*(IF(N57="",-1,N57)&lt;=1))*(1-(IF(N57="",-1,N57)=0)),IF(C57="peso_corporal",IF(ISNUMBER(E57),E57,0)+L57,L57)*(30+M57)*100+L57,0)=AA57,3,IF(IF((J57&gt;=3)*(1-(IF(K57="",-1,K57)&gt;=0)*(IF(K57="",-1,K57)&lt;=1))*(1-(IF(K57="",-1,K57)=0)),IF(C57="peso_corporal",IF(ISNUMBER(E57),E57,0)+I57,I57)*(30+J57)*100+I57,0)=AA57,2,IF(IF((G57&gt;=3)*(1-(IF(H57="",-1,H57)&gt;=0)*(IF(H57="",-1,H57)&lt;=1))*(1-(IF(H57="",-1,H57)=0)),IF(C57="peso_corporal",IF(ISNUMBER(E57),E57,0)+F57,F57)*(30+G57)*100+F57,0)=AA57,1,0))))))</f>
        <v>0</v>
      </c>
      <c r="AC57" s="69" t="str">
        <f>IF(X57&gt;0,"A"&amp;X57,IF(Z57&gt;0,"B"&amp;Z57,IF(AB57&gt;0,"C"&amp;AB57,"")))</f>
        <v/>
      </c>
    </row>
    <row r="58" spans="1:29" ht="20.100000000000001" customHeight="1">
      <c r="A58" s="14" t="s">
        <v>133</v>
      </c>
      <c r="B58" s="15" t="s">
        <v>31</v>
      </c>
      <c r="C58" s="16" t="str">
        <f>IFERROR(INDEX(EJERCICIOS!$D$3:$D$75,MATCH(A58&amp;"|"&amp;B58,EJERCICIOS!$G$3:$G$75,0)),"--")</f>
        <v>mancuerna</v>
      </c>
      <c r="D58" s="17">
        <v>3</v>
      </c>
      <c r="E58" s="18">
        <f>IFERROR(LOOKUP(2,1/(MEDIDAS_Y_PESO!$B$3:$B$5&lt;&gt;""),MEDIDAS_Y_PESO!$B$3:$B$5),"--")</f>
        <v>80</v>
      </c>
      <c r="F58" s="19"/>
      <c r="G58" s="20"/>
      <c r="H58" s="21"/>
      <c r="I58" s="19"/>
      <c r="J58" s="20"/>
      <c r="K58" s="21"/>
      <c r="L58" s="19"/>
      <c r="M58" s="20"/>
      <c r="N58" s="21"/>
      <c r="O58" s="19"/>
      <c r="P58" s="20"/>
      <c r="Q58" s="21"/>
      <c r="R58" s="19"/>
      <c r="S58" s="20"/>
      <c r="T58" s="21"/>
      <c r="U58" s="22" t="str">
        <f>IFERROR(IF(IF(X58&gt;0,X58,IF(Z58&gt;0,Z58,IF(AB58&gt;0,AB58,0)))=0,"--",ROUND(CHOOSE(IF(X58&gt;0,X58,IF(Z58&gt;0,Z58,IF(AB58&gt;0,AB58,0))),IF(C58="peso_corporal",IF(ISNUMBER(E58),E58,0)+F58,F58)*(1+G58/30),IF(C58="peso_corporal",IF(ISNUMBER(E58),E58,0)+I58,I58)*(1+J58/30),IF(C58="peso_corporal",IF(ISNUMBER(E58),E58,0)+L58,L58)*(1+M58/30),IF(C58="peso_corporal",IF(ISNUMBER(E58),E58,0)+O58,O58)*(1+P58/30),IF(C58="peso_corporal",IF(ISNUMBER(E58),E58,0)+R58,R58)*(1+S58/30)),1)),"--")</f>
        <v>--</v>
      </c>
      <c r="V58" s="23" t="str">
        <f>IF(SUGERENCIAS!N154="SIN","Sin datos anteriores",IF(SUGERENCIAS!N154="SUBIR_F","^ SUBIR FUERTE | Kg:"&amp;ROUND(SUGERENCIAS!K154,1)&amp;" R:"&amp;ROUND(SUGERENCIAS!L154,0)&amp;" RIR:"&amp;ROUND(SUGERENCIAS!M154,0),IF(SUGERENCIAS!N154="SUBIR_E","^ SUBIR (Est.) | Kg:"&amp;ROUND(SUGERENCIAS!K154,1)&amp;" R:"&amp;ROUND(SUGERENCIAS!L154,0)&amp;" RIR:"&amp;ROUND(SUGERENCIAS!M154,0),IF(SUGERENCIAS!N154="SUBIR","^ SUBIR | Kg:"&amp;ROUND(SUGERENCIAS!K154,1)&amp;" R:"&amp;ROUND(SUGERENCIAS!L154,0)&amp;" RIR:"&amp;ROUND(SUGERENCIAS!M154,0),IF(SUGERENCIAS!N154="BAJAR","v BAJAR | Kg:"&amp;ROUND(SUGERENCIAS!K154,1)&amp;" R:"&amp;ROUND(SUGERENCIAS!L154,0)&amp;" RIR:"&amp;ROUND(SUGERENCIAS!M154,0),"= MANT | Kg:"&amp;ROUND(SUGERENCIAS!K154,1)&amp;" R:"&amp;ROUND(SUGERENCIAS!L154,0)&amp;" RIR:"&amp;ROUND(SUGERENCIAS!M154,0))))))</f>
        <v>Sin datos anteriores</v>
      </c>
      <c r="W58" s="69">
        <f>MAX(IF((G58&gt;0)*(IF(H58="",-1,H58)&gt;=0)*(IF(H58="",-1,H58)&lt;=1),IF(C58="peso_corporal",IF(ISNUMBER(E58),E58,0)+F58,F58)*G58*1000+F58,0),IF((J58&gt;0)*(IF(K58="",-1,K58)&gt;=0)*(IF(K58="",-1,K58)&lt;=1),IF(C58="peso_corporal",IF(ISNUMBER(E58),E58,0)+I58,I58)*J58*1000+I58,0),IF((M58&gt;0)*(IF(N58="",-1,N58)&gt;=0)*(IF(N58="",-1,N58)&lt;=1),IF(C58="peso_corporal",IF(ISNUMBER(E58),E58,0)+L58,L58)*M58*1000+L58,0),IF((P58&gt;0)*(IF(Q58="",-1,Q58)&gt;=0)*(IF(Q58="",-1,Q58)&lt;=1),IF(C58="peso_corporal",IF(ISNUMBER(E58),E58,0)+O58,O58)*P58*1000+O58,0),IF((S58&gt;0)*(IF(T58="",-1,T58)&gt;=0)*(IF(T58="",-1,T58)&lt;=1),IF(C58="peso_corporal",IF(ISNUMBER(E58),E58,0)+R58,R58)*S58*1000+R58,0))</f>
        <v>0</v>
      </c>
      <c r="X58" s="69">
        <f>IF(W58=0,0,IF(IF((S58&gt;0)*(IF(T58="",-1,T58)&gt;=0)*(IF(T58="",-1,T58)&lt;=1),IF(C58="peso_corporal",IF(ISNUMBER(E58),E58,0)+R58,R58)*S58*1000+R58,0)=W58,5,IF(IF((P58&gt;0)*(IF(Q58="",-1,Q58)&gt;=0)*(IF(Q58="",-1,Q58)&lt;=1),IF(C58="peso_corporal",IF(ISNUMBER(E58),E58,0)+O58,O58)*P58*1000+O58,0)=W58,4,IF(IF((M58&gt;0)*(IF(N58="",-1,N58)&gt;=0)*(IF(N58="",-1,N58)&lt;=1),IF(C58="peso_corporal",IF(ISNUMBER(E58),E58,0)+L58,L58)*M58*1000+L58,0)=W58,3,IF(IF((J58&gt;0)*(IF(K58="",-1,K58)&gt;=0)*(IF(K58="",-1,K58)&lt;=1),IF(C58="peso_corporal",IF(ISNUMBER(E58),E58,0)+I58,I58)*J58*1000+I58,0)=W58,2,IF(IF((G58&gt;0)*(IF(H58="",-1,H58)&gt;=0)*(IF(H58="",-1,H58)&lt;=1),IF(C58="peso_corporal",IF(ISNUMBER(E58),E58,0)+F58,F58)*G58*1000+F58,0)=W58,1,0))))))</f>
        <v>0</v>
      </c>
      <c r="Y58" s="69">
        <f>MAX(IF((G58&gt;0)*(IF(H58="",-1,H58)=0)*(1-(IF(H58="",-1,H58)&gt;=0)*(IF(H58="",-1,H58)&lt;=1)),IF(C58="peso_corporal",IF(ISNUMBER(E58),E58,0)+F58,F58)*G58*1000+F58,0),IF((J58&gt;0)*(IF(K58="",-1,K58)=0)*(1-(IF(K58="",-1,K58)&gt;=0)*(IF(K58="",-1,K58)&lt;=1)),IF(C58="peso_corporal",IF(ISNUMBER(E58),E58,0)+I58,I58)*J58*1000+I58,0),IF((M58&gt;0)*(IF(N58="",-1,N58)=0)*(1-(IF(N58="",-1,N58)&gt;=0)*(IF(N58="",-1,N58)&lt;=1)),IF(C58="peso_corporal",IF(ISNUMBER(E58),E58,0)+L58,L58)*M58*1000+L58,0),IF((P58&gt;0)*(IF(Q58="",-1,Q58)=0)*(1-(IF(Q58="",-1,Q58)&gt;=0)*(IF(Q58="",-1,Q58)&lt;=1)),IF(C58="peso_corporal",IF(ISNUMBER(E58),E58,0)+O58,O58)*P58*1000+O58,0),IF((S58&gt;0)*(IF(T58="",-1,T58)=0)*(1-(IF(T58="",-1,T58)&gt;=0)*(IF(T58="",-1,T58)&lt;=1)),IF(C58="peso_corporal",IF(ISNUMBER(E58),E58,0)+R58,R58)*S58*1000+R58,0))</f>
        <v>0</v>
      </c>
      <c r="Z58" s="69">
        <f>IF(Y58=0,0,IF(IF((S58&gt;0)*(IF(T58="",-1,T58)=0)*(1-(IF(T58="",-1,T58)&gt;=0)*(IF(T58="",-1,T58)&lt;=1)),IF(C58="peso_corporal",IF(ISNUMBER(E58),E58,0)+R58,R58)*S58*1000+R58,0)=Y58,5,IF(IF((P58&gt;0)*(IF(Q58="",-1,Q58)=0)*(1-(IF(Q58="",-1,Q58)&gt;=0)*(IF(Q58="",-1,Q58)&lt;=1)),IF(C58="peso_corporal",IF(ISNUMBER(E58),E58,0)+O58,O58)*P58*1000+O58,0)=Y58,4,IF(IF((M58&gt;0)*(IF(N58="",-1,N58)=0)*(1-(IF(N58="",-1,N58)&gt;=0)*(IF(N58="",-1,N58)&lt;=1)),IF(C58="peso_corporal",IF(ISNUMBER(E58),E58,0)+L58,L58)*M58*1000+L58,0)=Y58,3,IF(IF((J58&gt;0)*(IF(K58="",-1,K58)=0)*(1-(IF(K58="",-1,K58)&gt;=0)*(IF(K58="",-1,K58)&lt;=1)),IF(C58="peso_corporal",IF(ISNUMBER(E58),E58,0)+I58,I58)*J58*1000+I58,0)=Y58,2,IF(IF((G58&gt;0)*(IF(H58="",-1,H58)=0)*(1-(IF(H58="",-1,H58)&gt;=0)*(IF(H58="",-1,H58)&lt;=1)),IF(C58="peso_corporal",IF(ISNUMBER(E58),E58,0)+F58,F58)*G58*1000+F58,0)=Y58,1,0))))))</f>
        <v>0</v>
      </c>
      <c r="AA58" s="69">
        <f>MAX(IF((G58&gt;=3)*(1-(IF(H58="",-1,H58)&gt;=0)*(IF(H58="",-1,H58)&lt;=1))*(1-(IF(H58="",-1,H58)=0)),IF(C58="peso_corporal",IF(ISNUMBER(E58),E58,0)+F58,F58)*(30+G58)*100+F58,0),IF((J58&gt;=3)*(1-(IF(K58="",-1,K58)&gt;=0)*(IF(K58="",-1,K58)&lt;=1))*(1-(IF(K58="",-1,K58)=0)),IF(C58="peso_corporal",IF(ISNUMBER(E58),E58,0)+I58,I58)*(30+J58)*100+I58,0),IF((M58&gt;=3)*(1-(IF(N58="",-1,N58)&gt;=0)*(IF(N58="",-1,N58)&lt;=1))*(1-(IF(N58="",-1,N58)=0)),IF(C58="peso_corporal",IF(ISNUMBER(E58),E58,0)+L58,L58)*(30+M58)*100+L58,0),IF((P58&gt;=3)*(1-(IF(Q58="",-1,Q58)&gt;=0)*(IF(Q58="",-1,Q58)&lt;=1))*(1-(IF(Q58="",-1,Q58)=0)),IF(C58="peso_corporal",IF(ISNUMBER(E58),E58,0)+O58,O58)*(30+P58)*100+O58,0),IF((S58&gt;=3)*(1-(IF(T58="",-1,T58)&gt;=0)*(IF(T58="",-1,T58)&lt;=1))*(1-(IF(T58="",-1,T58)=0)),IF(C58="peso_corporal",IF(ISNUMBER(E58),E58,0)+R58,R58)*(30+S58)*100+R58,0))</f>
        <v>0</v>
      </c>
      <c r="AB58" s="69">
        <f>IF(AA58=0,0,IF(IF((S58&gt;=3)*(1-(IF(T58="",-1,T58)&gt;=0)*(IF(T58="",-1,T58)&lt;=1))*(1-(IF(T58="",-1,T58)=0)),IF(C58="peso_corporal",IF(ISNUMBER(E58),E58,0)+R58,R58)*(30+S58)*100+R58,0)=AA58,5,IF(IF((P58&gt;=3)*(1-(IF(Q58="",-1,Q58)&gt;=0)*(IF(Q58="",-1,Q58)&lt;=1))*(1-(IF(Q58="",-1,Q58)=0)),IF(C58="peso_corporal",IF(ISNUMBER(E58),E58,0)+O58,O58)*(30+P58)*100+O58,0)=AA58,4,IF(IF((M58&gt;=3)*(1-(IF(N58="",-1,N58)&gt;=0)*(IF(N58="",-1,N58)&lt;=1))*(1-(IF(N58="",-1,N58)=0)),IF(C58="peso_corporal",IF(ISNUMBER(E58),E58,0)+L58,L58)*(30+M58)*100+L58,0)=AA58,3,IF(IF((J58&gt;=3)*(1-(IF(K58="",-1,K58)&gt;=0)*(IF(K58="",-1,K58)&lt;=1))*(1-(IF(K58="",-1,K58)=0)),IF(C58="peso_corporal",IF(ISNUMBER(E58),E58,0)+I58,I58)*(30+J58)*100+I58,0)=AA58,2,IF(IF((G58&gt;=3)*(1-(IF(H58="",-1,H58)&gt;=0)*(IF(H58="",-1,H58)&lt;=1))*(1-(IF(H58="",-1,H58)=0)),IF(C58="peso_corporal",IF(ISNUMBER(E58),E58,0)+F58,F58)*(30+G58)*100+F58,0)=AA58,1,0))))))</f>
        <v>0</v>
      </c>
      <c r="AC58" s="69" t="str">
        <f>IF(X58&gt;0,"A"&amp;X58,IF(Z58&gt;0,"B"&amp;Z58,IF(AB58&gt;0,"C"&amp;AB58,"")))</f>
        <v/>
      </c>
    </row>
    <row r="59" spans="1:29" ht="15" customHeight="1">
      <c r="A59" s="88" t="s">
        <v>50</v>
      </c>
      <c r="B59" s="73"/>
      <c r="C59" s="73"/>
      <c r="D59" s="73"/>
      <c r="E59" s="73"/>
      <c r="F59" s="73"/>
      <c r="G59" s="73"/>
      <c r="H59" s="73"/>
      <c r="I59" s="73"/>
      <c r="J59" s="73"/>
      <c r="K59" s="73"/>
      <c r="L59" s="73"/>
      <c r="M59" s="73"/>
      <c r="N59" s="73"/>
      <c r="O59" s="73"/>
      <c r="P59" s="73"/>
      <c r="Q59" s="73"/>
      <c r="R59" s="73"/>
      <c r="S59" s="73"/>
      <c r="T59" s="73"/>
      <c r="U59" s="73"/>
      <c r="V59" s="73"/>
      <c r="W59" s="69"/>
      <c r="X59" s="69"/>
      <c r="Y59" s="69"/>
      <c r="Z59" s="69"/>
      <c r="AA59" s="69"/>
      <c r="AB59" s="69"/>
      <c r="AC59" s="69"/>
    </row>
    <row r="60" spans="1:29" ht="20.100000000000001" customHeight="1">
      <c r="A60" s="14" t="s">
        <v>51</v>
      </c>
      <c r="B60" s="15" t="s">
        <v>134</v>
      </c>
      <c r="C60" s="16" t="str">
        <f>IFERROR(INDEX(EJERCICIOS!$D$3:$D$75,MATCH(A60&amp;"|"&amp;B60,EJERCICIOS!$G$3:$G$75,0)),"--")</f>
        <v>--</v>
      </c>
      <c r="D60" s="17">
        <v>3</v>
      </c>
      <c r="E60" s="18">
        <f>IFERROR(LOOKUP(2,1/(MEDIDAS_Y_PESO!$B$3:$B$5&lt;&gt;""),MEDIDAS_Y_PESO!$B$3:$B$5),"--")</f>
        <v>80</v>
      </c>
      <c r="F60" s="19"/>
      <c r="G60" s="20"/>
      <c r="H60" s="21"/>
      <c r="I60" s="19"/>
      <c r="J60" s="20"/>
      <c r="K60" s="21"/>
      <c r="L60" s="19"/>
      <c r="M60" s="20"/>
      <c r="N60" s="21"/>
      <c r="O60" s="19"/>
      <c r="P60" s="20"/>
      <c r="Q60" s="21"/>
      <c r="R60" s="19"/>
      <c r="S60" s="20"/>
      <c r="T60" s="21"/>
      <c r="U60" s="22" t="str">
        <f>IFERROR(IF(IF(X60&gt;0,X60,IF(Z60&gt;0,Z60,IF(AB60&gt;0,AB60,0)))=0,"--",ROUND(CHOOSE(IF(X60&gt;0,X60,IF(Z60&gt;0,Z60,IF(AB60&gt;0,AB60,0))),IF(C60="peso_corporal",IF(ISNUMBER(E60),E60,0)+F60,F60)*(1+G60/30),IF(C60="peso_corporal",IF(ISNUMBER(E60),E60,0)+I60,I60)*(1+J60/30),IF(C60="peso_corporal",IF(ISNUMBER(E60),E60,0)+L60,L60)*(1+M60/30),IF(C60="peso_corporal",IF(ISNUMBER(E60),E60,0)+O60,O60)*(1+P60/30),IF(C60="peso_corporal",IF(ISNUMBER(E60),E60,0)+R60,R60)*(1+S60/30)),1)),"--")</f>
        <v>--</v>
      </c>
      <c r="V60" s="23" t="str">
        <f>IF(SUGERENCIAS!N155="SIN","Sin datos anteriores",IF(SUGERENCIAS!N155="SUBIR_F","^ SUBIR FUERTE | Kg:"&amp;ROUND(SUGERENCIAS!K155,1)&amp;" R:"&amp;ROUND(SUGERENCIAS!L155,0)&amp;" RIR:"&amp;ROUND(SUGERENCIAS!M155,0),IF(SUGERENCIAS!N155="SUBIR_E","^ SUBIR (Est.) | Kg:"&amp;ROUND(SUGERENCIAS!K155,1)&amp;" R:"&amp;ROUND(SUGERENCIAS!L155,0)&amp;" RIR:"&amp;ROUND(SUGERENCIAS!M155,0),IF(SUGERENCIAS!N155="SUBIR","^ SUBIR | Kg:"&amp;ROUND(SUGERENCIAS!K155,1)&amp;" R:"&amp;ROUND(SUGERENCIAS!L155,0)&amp;" RIR:"&amp;ROUND(SUGERENCIAS!M155,0),IF(SUGERENCIAS!N155="BAJAR","v BAJAR | Kg:"&amp;ROUND(SUGERENCIAS!K155,1)&amp;" R:"&amp;ROUND(SUGERENCIAS!L155,0)&amp;" RIR:"&amp;ROUND(SUGERENCIAS!M155,0),"= MANT | Kg:"&amp;ROUND(SUGERENCIAS!K155,1)&amp;" R:"&amp;ROUND(SUGERENCIAS!L155,0)&amp;" RIR:"&amp;ROUND(SUGERENCIAS!M155,0))))))</f>
        <v>Sin datos anteriores</v>
      </c>
      <c r="W60" s="69">
        <f>MAX(IF((G60&gt;0)*(IF(H60="",-1,H60)&gt;=0)*(IF(H60="",-1,H60)&lt;=1),IF(C60="peso_corporal",IF(ISNUMBER(E60),E60,0)+F60,F60)*G60*1000+F60,0),IF((J60&gt;0)*(IF(K60="",-1,K60)&gt;=0)*(IF(K60="",-1,K60)&lt;=1),IF(C60="peso_corporal",IF(ISNUMBER(E60),E60,0)+I60,I60)*J60*1000+I60,0),IF((M60&gt;0)*(IF(N60="",-1,N60)&gt;=0)*(IF(N60="",-1,N60)&lt;=1),IF(C60="peso_corporal",IF(ISNUMBER(E60),E60,0)+L60,L60)*M60*1000+L60,0),IF((P60&gt;0)*(IF(Q60="",-1,Q60)&gt;=0)*(IF(Q60="",-1,Q60)&lt;=1),IF(C60="peso_corporal",IF(ISNUMBER(E60),E60,0)+O60,O60)*P60*1000+O60,0),IF((S60&gt;0)*(IF(T60="",-1,T60)&gt;=0)*(IF(T60="",-1,T60)&lt;=1),IF(C60="peso_corporal",IF(ISNUMBER(E60),E60,0)+R60,R60)*S60*1000+R60,0))</f>
        <v>0</v>
      </c>
      <c r="X60" s="69">
        <f>IF(W60=0,0,IF(IF((S60&gt;0)*(IF(T60="",-1,T60)&gt;=0)*(IF(T60="",-1,T60)&lt;=1),IF(C60="peso_corporal",IF(ISNUMBER(E60),E60,0)+R60,R60)*S60*1000+R60,0)=W60,5,IF(IF((P60&gt;0)*(IF(Q60="",-1,Q60)&gt;=0)*(IF(Q60="",-1,Q60)&lt;=1),IF(C60="peso_corporal",IF(ISNUMBER(E60),E60,0)+O60,O60)*P60*1000+O60,0)=W60,4,IF(IF((M60&gt;0)*(IF(N60="",-1,N60)&gt;=0)*(IF(N60="",-1,N60)&lt;=1),IF(C60="peso_corporal",IF(ISNUMBER(E60),E60,0)+L60,L60)*M60*1000+L60,0)=W60,3,IF(IF((J60&gt;0)*(IF(K60="",-1,K60)&gt;=0)*(IF(K60="",-1,K60)&lt;=1),IF(C60="peso_corporal",IF(ISNUMBER(E60),E60,0)+I60,I60)*J60*1000+I60,0)=W60,2,IF(IF((G60&gt;0)*(IF(H60="",-1,H60)&gt;=0)*(IF(H60="",-1,H60)&lt;=1),IF(C60="peso_corporal",IF(ISNUMBER(E60),E60,0)+F60,F60)*G60*1000+F60,0)=W60,1,0))))))</f>
        <v>0</v>
      </c>
      <c r="Y60" s="69">
        <f>MAX(IF((G60&gt;0)*(IF(H60="",-1,H60)=0)*(1-(IF(H60="",-1,H60)&gt;=0)*(IF(H60="",-1,H60)&lt;=1)),IF(C60="peso_corporal",IF(ISNUMBER(E60),E60,0)+F60,F60)*G60*1000+F60,0),IF((J60&gt;0)*(IF(K60="",-1,K60)=0)*(1-(IF(K60="",-1,K60)&gt;=0)*(IF(K60="",-1,K60)&lt;=1)),IF(C60="peso_corporal",IF(ISNUMBER(E60),E60,0)+I60,I60)*J60*1000+I60,0),IF((M60&gt;0)*(IF(N60="",-1,N60)=0)*(1-(IF(N60="",-1,N60)&gt;=0)*(IF(N60="",-1,N60)&lt;=1)),IF(C60="peso_corporal",IF(ISNUMBER(E60),E60,0)+L60,L60)*M60*1000+L60,0),IF((P60&gt;0)*(IF(Q60="",-1,Q60)=0)*(1-(IF(Q60="",-1,Q60)&gt;=0)*(IF(Q60="",-1,Q60)&lt;=1)),IF(C60="peso_corporal",IF(ISNUMBER(E60),E60,0)+O60,O60)*P60*1000+O60,0),IF((S60&gt;0)*(IF(T60="",-1,T60)=0)*(1-(IF(T60="",-1,T60)&gt;=0)*(IF(T60="",-1,T60)&lt;=1)),IF(C60="peso_corporal",IF(ISNUMBER(E60),E60,0)+R60,R60)*S60*1000+R60,0))</f>
        <v>0</v>
      </c>
      <c r="Z60" s="69">
        <f>IF(Y60=0,0,IF(IF((S60&gt;0)*(IF(T60="",-1,T60)=0)*(1-(IF(T60="",-1,T60)&gt;=0)*(IF(T60="",-1,T60)&lt;=1)),IF(C60="peso_corporal",IF(ISNUMBER(E60),E60,0)+R60,R60)*S60*1000+R60,0)=Y60,5,IF(IF((P60&gt;0)*(IF(Q60="",-1,Q60)=0)*(1-(IF(Q60="",-1,Q60)&gt;=0)*(IF(Q60="",-1,Q60)&lt;=1)),IF(C60="peso_corporal",IF(ISNUMBER(E60),E60,0)+O60,O60)*P60*1000+O60,0)=Y60,4,IF(IF((M60&gt;0)*(IF(N60="",-1,N60)=0)*(1-(IF(N60="",-1,N60)&gt;=0)*(IF(N60="",-1,N60)&lt;=1)),IF(C60="peso_corporal",IF(ISNUMBER(E60),E60,0)+L60,L60)*M60*1000+L60,0)=Y60,3,IF(IF((J60&gt;0)*(IF(K60="",-1,K60)=0)*(1-(IF(K60="",-1,K60)&gt;=0)*(IF(K60="",-1,K60)&lt;=1)),IF(C60="peso_corporal",IF(ISNUMBER(E60),E60,0)+I60,I60)*J60*1000+I60,0)=Y60,2,IF(IF((G60&gt;0)*(IF(H60="",-1,H60)=0)*(1-(IF(H60="",-1,H60)&gt;=0)*(IF(H60="",-1,H60)&lt;=1)),IF(C60="peso_corporal",IF(ISNUMBER(E60),E60,0)+F60,F60)*G60*1000+F60,0)=Y60,1,0))))))</f>
        <v>0</v>
      </c>
      <c r="AA60" s="69">
        <f>MAX(IF((G60&gt;=3)*(1-(IF(H60="",-1,H60)&gt;=0)*(IF(H60="",-1,H60)&lt;=1))*(1-(IF(H60="",-1,H60)=0)),IF(C60="peso_corporal",IF(ISNUMBER(E60),E60,0)+F60,F60)*(30+G60)*100+F60,0),IF((J60&gt;=3)*(1-(IF(K60="",-1,K60)&gt;=0)*(IF(K60="",-1,K60)&lt;=1))*(1-(IF(K60="",-1,K60)=0)),IF(C60="peso_corporal",IF(ISNUMBER(E60),E60,0)+I60,I60)*(30+J60)*100+I60,0),IF((M60&gt;=3)*(1-(IF(N60="",-1,N60)&gt;=0)*(IF(N60="",-1,N60)&lt;=1))*(1-(IF(N60="",-1,N60)=0)),IF(C60="peso_corporal",IF(ISNUMBER(E60),E60,0)+L60,L60)*(30+M60)*100+L60,0),IF((P60&gt;=3)*(1-(IF(Q60="",-1,Q60)&gt;=0)*(IF(Q60="",-1,Q60)&lt;=1))*(1-(IF(Q60="",-1,Q60)=0)),IF(C60="peso_corporal",IF(ISNUMBER(E60),E60,0)+O60,O60)*(30+P60)*100+O60,0),IF((S60&gt;=3)*(1-(IF(T60="",-1,T60)&gt;=0)*(IF(T60="",-1,T60)&lt;=1))*(1-(IF(T60="",-1,T60)=0)),IF(C60="peso_corporal",IF(ISNUMBER(E60),E60,0)+R60,R60)*(30+S60)*100+R60,0))</f>
        <v>0</v>
      </c>
      <c r="AB60" s="69">
        <f>IF(AA60=0,0,IF(IF((S60&gt;=3)*(1-(IF(T60="",-1,T60)&gt;=0)*(IF(T60="",-1,T60)&lt;=1))*(1-(IF(T60="",-1,T60)=0)),IF(C60="peso_corporal",IF(ISNUMBER(E60),E60,0)+R60,R60)*(30+S60)*100+R60,0)=AA60,5,IF(IF((P60&gt;=3)*(1-(IF(Q60="",-1,Q60)&gt;=0)*(IF(Q60="",-1,Q60)&lt;=1))*(1-(IF(Q60="",-1,Q60)=0)),IF(C60="peso_corporal",IF(ISNUMBER(E60),E60,0)+O60,O60)*(30+P60)*100+O60,0)=AA60,4,IF(IF((M60&gt;=3)*(1-(IF(N60="",-1,N60)&gt;=0)*(IF(N60="",-1,N60)&lt;=1))*(1-(IF(N60="",-1,N60)=0)),IF(C60="peso_corporal",IF(ISNUMBER(E60),E60,0)+L60,L60)*(30+M60)*100+L60,0)=AA60,3,IF(IF((J60&gt;=3)*(1-(IF(K60="",-1,K60)&gt;=0)*(IF(K60="",-1,K60)&lt;=1))*(1-(IF(K60="",-1,K60)=0)),IF(C60="peso_corporal",IF(ISNUMBER(E60),E60,0)+I60,I60)*(30+J60)*100+I60,0)=AA60,2,IF(IF((G60&gt;=3)*(1-(IF(H60="",-1,H60)&gt;=0)*(IF(H60="",-1,H60)&lt;=1))*(1-(IF(H60="",-1,H60)=0)),IF(C60="peso_corporal",IF(ISNUMBER(E60),E60,0)+F60,F60)*(30+G60)*100+F60,0)=AA60,1,0))))))</f>
        <v>0</v>
      </c>
      <c r="AC60" s="69" t="str">
        <f>IF(X60&gt;0,"A"&amp;X60,IF(Z60&gt;0,"B"&amp;Z60,IF(AB60&gt;0,"C"&amp;AB60,"")))</f>
        <v/>
      </c>
    </row>
    <row r="61" spans="1:29" ht="20.100000000000001" customHeight="1">
      <c r="A61" s="14" t="s">
        <v>135</v>
      </c>
      <c r="B61" s="15" t="s">
        <v>136</v>
      </c>
      <c r="C61" s="16" t="str">
        <f>IFERROR(INDEX(EJERCICIOS!$D$3:$D$75,MATCH(A61&amp;"|"&amp;B61,EJERCICIOS!$G$3:$G$75,0)),"--")</f>
        <v>--</v>
      </c>
      <c r="D61" s="17">
        <v>3</v>
      </c>
      <c r="E61" s="18">
        <f>IFERROR(LOOKUP(2,1/(MEDIDAS_Y_PESO!$B$3:$B$5&lt;&gt;""),MEDIDAS_Y_PESO!$B$3:$B$5),"--")</f>
        <v>80</v>
      </c>
      <c r="F61" s="19"/>
      <c r="G61" s="20"/>
      <c r="H61" s="21"/>
      <c r="I61" s="19"/>
      <c r="J61" s="20"/>
      <c r="K61" s="21"/>
      <c r="L61" s="19"/>
      <c r="M61" s="20"/>
      <c r="N61" s="21"/>
      <c r="O61" s="19"/>
      <c r="P61" s="20"/>
      <c r="Q61" s="21"/>
      <c r="R61" s="19"/>
      <c r="S61" s="20"/>
      <c r="T61" s="21"/>
      <c r="U61" s="22" t="str">
        <f>IFERROR(IF(IF(X61&gt;0,X61,IF(Z61&gt;0,Z61,IF(AB61&gt;0,AB61,0)))=0,"--",ROUND(CHOOSE(IF(X61&gt;0,X61,IF(Z61&gt;0,Z61,IF(AB61&gt;0,AB61,0))),IF(C61="peso_corporal",IF(ISNUMBER(E61),E61,0)+F61,F61)*(1+G61/30),IF(C61="peso_corporal",IF(ISNUMBER(E61),E61,0)+I61,I61)*(1+J61/30),IF(C61="peso_corporal",IF(ISNUMBER(E61),E61,0)+L61,L61)*(1+M61/30),IF(C61="peso_corporal",IF(ISNUMBER(E61),E61,0)+O61,O61)*(1+P61/30),IF(C61="peso_corporal",IF(ISNUMBER(E61),E61,0)+R61,R61)*(1+S61/30)),1)),"--")</f>
        <v>--</v>
      </c>
      <c r="V61" s="23" t="str">
        <f>IF(SUGERENCIAS!N156="SIN","Sin datos anteriores",IF(SUGERENCIAS!N156="SUBIR_F","^ SUBIR FUERTE | Kg:"&amp;ROUND(SUGERENCIAS!K156,1)&amp;" R:"&amp;ROUND(SUGERENCIAS!L156,0)&amp;" RIR:"&amp;ROUND(SUGERENCIAS!M156,0),IF(SUGERENCIAS!N156="SUBIR_E","^ SUBIR (Est.) | Kg:"&amp;ROUND(SUGERENCIAS!K156,1)&amp;" R:"&amp;ROUND(SUGERENCIAS!L156,0)&amp;" RIR:"&amp;ROUND(SUGERENCIAS!M156,0),IF(SUGERENCIAS!N156="SUBIR","^ SUBIR | Kg:"&amp;ROUND(SUGERENCIAS!K156,1)&amp;" R:"&amp;ROUND(SUGERENCIAS!L156,0)&amp;" RIR:"&amp;ROUND(SUGERENCIAS!M156,0),IF(SUGERENCIAS!N156="BAJAR","v BAJAR | Kg:"&amp;ROUND(SUGERENCIAS!K156,1)&amp;" R:"&amp;ROUND(SUGERENCIAS!L156,0)&amp;" RIR:"&amp;ROUND(SUGERENCIAS!M156,0),"= MANT | Kg:"&amp;ROUND(SUGERENCIAS!K156,1)&amp;" R:"&amp;ROUND(SUGERENCIAS!L156,0)&amp;" RIR:"&amp;ROUND(SUGERENCIAS!M156,0))))))</f>
        <v>Sin datos anteriores</v>
      </c>
      <c r="W61" s="69">
        <f>MAX(IF((G61&gt;0)*(IF(H61="",-1,H61)&gt;=0)*(IF(H61="",-1,H61)&lt;=1),IF(C61="peso_corporal",IF(ISNUMBER(E61),E61,0)+F61,F61)*G61*1000+F61,0),IF((J61&gt;0)*(IF(K61="",-1,K61)&gt;=0)*(IF(K61="",-1,K61)&lt;=1),IF(C61="peso_corporal",IF(ISNUMBER(E61),E61,0)+I61,I61)*J61*1000+I61,0),IF((M61&gt;0)*(IF(N61="",-1,N61)&gt;=0)*(IF(N61="",-1,N61)&lt;=1),IF(C61="peso_corporal",IF(ISNUMBER(E61),E61,0)+L61,L61)*M61*1000+L61,0),IF((P61&gt;0)*(IF(Q61="",-1,Q61)&gt;=0)*(IF(Q61="",-1,Q61)&lt;=1),IF(C61="peso_corporal",IF(ISNUMBER(E61),E61,0)+O61,O61)*P61*1000+O61,0),IF((S61&gt;0)*(IF(T61="",-1,T61)&gt;=0)*(IF(T61="",-1,T61)&lt;=1),IF(C61="peso_corporal",IF(ISNUMBER(E61),E61,0)+R61,R61)*S61*1000+R61,0))</f>
        <v>0</v>
      </c>
      <c r="X61" s="69">
        <f>IF(W61=0,0,IF(IF((S61&gt;0)*(IF(T61="",-1,T61)&gt;=0)*(IF(T61="",-1,T61)&lt;=1),IF(C61="peso_corporal",IF(ISNUMBER(E61),E61,0)+R61,R61)*S61*1000+R61,0)=W61,5,IF(IF((P61&gt;0)*(IF(Q61="",-1,Q61)&gt;=0)*(IF(Q61="",-1,Q61)&lt;=1),IF(C61="peso_corporal",IF(ISNUMBER(E61),E61,0)+O61,O61)*P61*1000+O61,0)=W61,4,IF(IF((M61&gt;0)*(IF(N61="",-1,N61)&gt;=0)*(IF(N61="",-1,N61)&lt;=1),IF(C61="peso_corporal",IF(ISNUMBER(E61),E61,0)+L61,L61)*M61*1000+L61,0)=W61,3,IF(IF((J61&gt;0)*(IF(K61="",-1,K61)&gt;=0)*(IF(K61="",-1,K61)&lt;=1),IF(C61="peso_corporal",IF(ISNUMBER(E61),E61,0)+I61,I61)*J61*1000+I61,0)=W61,2,IF(IF((G61&gt;0)*(IF(H61="",-1,H61)&gt;=0)*(IF(H61="",-1,H61)&lt;=1),IF(C61="peso_corporal",IF(ISNUMBER(E61),E61,0)+F61,F61)*G61*1000+F61,0)=W61,1,0))))))</f>
        <v>0</v>
      </c>
      <c r="Y61" s="69">
        <f>MAX(IF((G61&gt;0)*(IF(H61="",-1,H61)=0)*(1-(IF(H61="",-1,H61)&gt;=0)*(IF(H61="",-1,H61)&lt;=1)),IF(C61="peso_corporal",IF(ISNUMBER(E61),E61,0)+F61,F61)*G61*1000+F61,0),IF((J61&gt;0)*(IF(K61="",-1,K61)=0)*(1-(IF(K61="",-1,K61)&gt;=0)*(IF(K61="",-1,K61)&lt;=1)),IF(C61="peso_corporal",IF(ISNUMBER(E61),E61,0)+I61,I61)*J61*1000+I61,0),IF((M61&gt;0)*(IF(N61="",-1,N61)=0)*(1-(IF(N61="",-1,N61)&gt;=0)*(IF(N61="",-1,N61)&lt;=1)),IF(C61="peso_corporal",IF(ISNUMBER(E61),E61,0)+L61,L61)*M61*1000+L61,0),IF((P61&gt;0)*(IF(Q61="",-1,Q61)=0)*(1-(IF(Q61="",-1,Q61)&gt;=0)*(IF(Q61="",-1,Q61)&lt;=1)),IF(C61="peso_corporal",IF(ISNUMBER(E61),E61,0)+O61,O61)*P61*1000+O61,0),IF((S61&gt;0)*(IF(T61="",-1,T61)=0)*(1-(IF(T61="",-1,T61)&gt;=0)*(IF(T61="",-1,T61)&lt;=1)),IF(C61="peso_corporal",IF(ISNUMBER(E61),E61,0)+R61,R61)*S61*1000+R61,0))</f>
        <v>0</v>
      </c>
      <c r="Z61" s="69">
        <f>IF(Y61=0,0,IF(IF((S61&gt;0)*(IF(T61="",-1,T61)=0)*(1-(IF(T61="",-1,T61)&gt;=0)*(IF(T61="",-1,T61)&lt;=1)),IF(C61="peso_corporal",IF(ISNUMBER(E61),E61,0)+R61,R61)*S61*1000+R61,0)=Y61,5,IF(IF((P61&gt;0)*(IF(Q61="",-1,Q61)=0)*(1-(IF(Q61="",-1,Q61)&gt;=0)*(IF(Q61="",-1,Q61)&lt;=1)),IF(C61="peso_corporal",IF(ISNUMBER(E61),E61,0)+O61,O61)*P61*1000+O61,0)=Y61,4,IF(IF((M61&gt;0)*(IF(N61="",-1,N61)=0)*(1-(IF(N61="",-1,N61)&gt;=0)*(IF(N61="",-1,N61)&lt;=1)),IF(C61="peso_corporal",IF(ISNUMBER(E61),E61,0)+L61,L61)*M61*1000+L61,0)=Y61,3,IF(IF((J61&gt;0)*(IF(K61="",-1,K61)=0)*(1-(IF(K61="",-1,K61)&gt;=0)*(IF(K61="",-1,K61)&lt;=1)),IF(C61="peso_corporal",IF(ISNUMBER(E61),E61,0)+I61,I61)*J61*1000+I61,0)=Y61,2,IF(IF((G61&gt;0)*(IF(H61="",-1,H61)=0)*(1-(IF(H61="",-1,H61)&gt;=0)*(IF(H61="",-1,H61)&lt;=1)),IF(C61="peso_corporal",IF(ISNUMBER(E61),E61,0)+F61,F61)*G61*1000+F61,0)=Y61,1,0))))))</f>
        <v>0</v>
      </c>
      <c r="AA61" s="69">
        <f>MAX(IF((G61&gt;=3)*(1-(IF(H61="",-1,H61)&gt;=0)*(IF(H61="",-1,H61)&lt;=1))*(1-(IF(H61="",-1,H61)=0)),IF(C61="peso_corporal",IF(ISNUMBER(E61),E61,0)+F61,F61)*(30+G61)*100+F61,0),IF((J61&gt;=3)*(1-(IF(K61="",-1,K61)&gt;=0)*(IF(K61="",-1,K61)&lt;=1))*(1-(IF(K61="",-1,K61)=0)),IF(C61="peso_corporal",IF(ISNUMBER(E61),E61,0)+I61,I61)*(30+J61)*100+I61,0),IF((M61&gt;=3)*(1-(IF(N61="",-1,N61)&gt;=0)*(IF(N61="",-1,N61)&lt;=1))*(1-(IF(N61="",-1,N61)=0)),IF(C61="peso_corporal",IF(ISNUMBER(E61),E61,0)+L61,L61)*(30+M61)*100+L61,0),IF((P61&gt;=3)*(1-(IF(Q61="",-1,Q61)&gt;=0)*(IF(Q61="",-1,Q61)&lt;=1))*(1-(IF(Q61="",-1,Q61)=0)),IF(C61="peso_corporal",IF(ISNUMBER(E61),E61,0)+O61,O61)*(30+P61)*100+O61,0),IF((S61&gt;=3)*(1-(IF(T61="",-1,T61)&gt;=0)*(IF(T61="",-1,T61)&lt;=1))*(1-(IF(T61="",-1,T61)=0)),IF(C61="peso_corporal",IF(ISNUMBER(E61),E61,0)+R61,R61)*(30+S61)*100+R61,0))</f>
        <v>0</v>
      </c>
      <c r="AB61" s="69">
        <f>IF(AA61=0,0,IF(IF((S61&gt;=3)*(1-(IF(T61="",-1,T61)&gt;=0)*(IF(T61="",-1,T61)&lt;=1))*(1-(IF(T61="",-1,T61)=0)),IF(C61="peso_corporal",IF(ISNUMBER(E61),E61,0)+R61,R61)*(30+S61)*100+R61,0)=AA61,5,IF(IF((P61&gt;=3)*(1-(IF(Q61="",-1,Q61)&gt;=0)*(IF(Q61="",-1,Q61)&lt;=1))*(1-(IF(Q61="",-1,Q61)=0)),IF(C61="peso_corporal",IF(ISNUMBER(E61),E61,0)+O61,O61)*(30+P61)*100+O61,0)=AA61,4,IF(IF((M61&gt;=3)*(1-(IF(N61="",-1,N61)&gt;=0)*(IF(N61="",-1,N61)&lt;=1))*(1-(IF(N61="",-1,N61)=0)),IF(C61="peso_corporal",IF(ISNUMBER(E61),E61,0)+L61,L61)*(30+M61)*100+L61,0)=AA61,3,IF(IF((J61&gt;=3)*(1-(IF(K61="",-1,K61)&gt;=0)*(IF(K61="",-1,K61)&lt;=1))*(1-(IF(K61="",-1,K61)=0)),IF(C61="peso_corporal",IF(ISNUMBER(E61),E61,0)+I61,I61)*(30+J61)*100+I61,0)=AA61,2,IF(IF((G61&gt;=3)*(1-(IF(H61="",-1,H61)&gt;=0)*(IF(H61="",-1,H61)&lt;=1))*(1-(IF(H61="",-1,H61)=0)),IF(C61="peso_corporal",IF(ISNUMBER(E61),E61,0)+F61,F61)*(30+G61)*100+F61,0)=AA61,1,0))))))</f>
        <v>0</v>
      </c>
      <c r="AC61" s="69" t="str">
        <f>IF(X61&gt;0,"A"&amp;X61,IF(Z61&gt;0,"B"&amp;Z61,IF(AB61&gt;0,"C"&amp;AB61,"")))</f>
        <v/>
      </c>
    </row>
    <row r="62" spans="1:29" ht="20.100000000000001" customHeight="1">
      <c r="A62" s="14" t="s">
        <v>65</v>
      </c>
      <c r="B62" s="15" t="s">
        <v>66</v>
      </c>
      <c r="C62" s="16" t="str">
        <f>IFERROR(INDEX(EJERCICIOS!$D$3:$D$75,MATCH(A62&amp;"|"&amp;B62,EJERCICIOS!$G$3:$G$75,0)),"--")</f>
        <v>--</v>
      </c>
      <c r="D62" s="17">
        <v>3</v>
      </c>
      <c r="E62" s="18">
        <f>IFERROR(LOOKUP(2,1/(MEDIDAS_Y_PESO!$B$3:$B$5&lt;&gt;""),MEDIDAS_Y_PESO!$B$3:$B$5),"--")</f>
        <v>80</v>
      </c>
      <c r="F62" s="19"/>
      <c r="G62" s="20"/>
      <c r="H62" s="21"/>
      <c r="I62" s="19"/>
      <c r="J62" s="20"/>
      <c r="K62" s="21"/>
      <c r="L62" s="19"/>
      <c r="M62" s="20"/>
      <c r="N62" s="21"/>
      <c r="O62" s="19"/>
      <c r="P62" s="20"/>
      <c r="Q62" s="21"/>
      <c r="R62" s="19"/>
      <c r="S62" s="20"/>
      <c r="T62" s="21"/>
      <c r="U62" s="22" t="str">
        <f>IFERROR(IF(IF(X62&gt;0,X62,IF(Z62&gt;0,Z62,IF(AB62&gt;0,AB62,0)))=0,"--",ROUND(CHOOSE(IF(X62&gt;0,X62,IF(Z62&gt;0,Z62,IF(AB62&gt;0,AB62,0))),IF(C62="peso_corporal",IF(ISNUMBER(E62),E62,0)+F62,F62)*(1+G62/30),IF(C62="peso_corporal",IF(ISNUMBER(E62),E62,0)+I62,I62)*(1+J62/30),IF(C62="peso_corporal",IF(ISNUMBER(E62),E62,0)+L62,L62)*(1+M62/30),IF(C62="peso_corporal",IF(ISNUMBER(E62),E62,0)+O62,O62)*(1+P62/30),IF(C62="peso_corporal",IF(ISNUMBER(E62),E62,0)+R62,R62)*(1+S62/30)),1)),"--")</f>
        <v>--</v>
      </c>
      <c r="V62" s="23" t="str">
        <f>IF(SUGERENCIAS!N157="SIN","Sin datos anteriores",IF(SUGERENCIAS!N157="SUBIR_F","^ SUBIR FUERTE | Kg:"&amp;ROUND(SUGERENCIAS!K157,1)&amp;" R:"&amp;ROUND(SUGERENCIAS!L157,0)&amp;" RIR:"&amp;ROUND(SUGERENCIAS!M157,0),IF(SUGERENCIAS!N157="SUBIR_E","^ SUBIR (Est.) | Kg:"&amp;ROUND(SUGERENCIAS!K157,1)&amp;" R:"&amp;ROUND(SUGERENCIAS!L157,0)&amp;" RIR:"&amp;ROUND(SUGERENCIAS!M157,0),IF(SUGERENCIAS!N157="SUBIR","^ SUBIR | Kg:"&amp;ROUND(SUGERENCIAS!K157,1)&amp;" R:"&amp;ROUND(SUGERENCIAS!L157,0)&amp;" RIR:"&amp;ROUND(SUGERENCIAS!M157,0),IF(SUGERENCIAS!N157="BAJAR","v BAJAR | Kg:"&amp;ROUND(SUGERENCIAS!K157,1)&amp;" R:"&amp;ROUND(SUGERENCIAS!L157,0)&amp;" RIR:"&amp;ROUND(SUGERENCIAS!M157,0),"= MANT | Kg:"&amp;ROUND(SUGERENCIAS!K157,1)&amp;" R:"&amp;ROUND(SUGERENCIAS!L157,0)&amp;" RIR:"&amp;ROUND(SUGERENCIAS!M157,0))))))</f>
        <v>Sin datos anteriores</v>
      </c>
      <c r="W62" s="69">
        <f>MAX(IF((G62&gt;0)*(IF(H62="",-1,H62)&gt;=0)*(IF(H62="",-1,H62)&lt;=1),IF(C62="peso_corporal",IF(ISNUMBER(E62),E62,0)+F62,F62)*G62*1000+F62,0),IF((J62&gt;0)*(IF(K62="",-1,K62)&gt;=0)*(IF(K62="",-1,K62)&lt;=1),IF(C62="peso_corporal",IF(ISNUMBER(E62),E62,0)+I62,I62)*J62*1000+I62,0),IF((M62&gt;0)*(IF(N62="",-1,N62)&gt;=0)*(IF(N62="",-1,N62)&lt;=1),IF(C62="peso_corporal",IF(ISNUMBER(E62),E62,0)+L62,L62)*M62*1000+L62,0),IF((P62&gt;0)*(IF(Q62="",-1,Q62)&gt;=0)*(IF(Q62="",-1,Q62)&lt;=1),IF(C62="peso_corporal",IF(ISNUMBER(E62),E62,0)+O62,O62)*P62*1000+O62,0),IF((S62&gt;0)*(IF(T62="",-1,T62)&gt;=0)*(IF(T62="",-1,T62)&lt;=1),IF(C62="peso_corporal",IF(ISNUMBER(E62),E62,0)+R62,R62)*S62*1000+R62,0))</f>
        <v>0</v>
      </c>
      <c r="X62" s="69">
        <f>IF(W62=0,0,IF(IF((S62&gt;0)*(IF(T62="",-1,T62)&gt;=0)*(IF(T62="",-1,T62)&lt;=1),IF(C62="peso_corporal",IF(ISNUMBER(E62),E62,0)+R62,R62)*S62*1000+R62,0)=W62,5,IF(IF((P62&gt;0)*(IF(Q62="",-1,Q62)&gt;=0)*(IF(Q62="",-1,Q62)&lt;=1),IF(C62="peso_corporal",IF(ISNUMBER(E62),E62,0)+O62,O62)*P62*1000+O62,0)=W62,4,IF(IF((M62&gt;0)*(IF(N62="",-1,N62)&gt;=0)*(IF(N62="",-1,N62)&lt;=1),IF(C62="peso_corporal",IF(ISNUMBER(E62),E62,0)+L62,L62)*M62*1000+L62,0)=W62,3,IF(IF((J62&gt;0)*(IF(K62="",-1,K62)&gt;=0)*(IF(K62="",-1,K62)&lt;=1),IF(C62="peso_corporal",IF(ISNUMBER(E62),E62,0)+I62,I62)*J62*1000+I62,0)=W62,2,IF(IF((G62&gt;0)*(IF(H62="",-1,H62)&gt;=0)*(IF(H62="",-1,H62)&lt;=1),IF(C62="peso_corporal",IF(ISNUMBER(E62),E62,0)+F62,F62)*G62*1000+F62,0)=W62,1,0))))))</f>
        <v>0</v>
      </c>
      <c r="Y62" s="69">
        <f>MAX(IF((G62&gt;0)*(IF(H62="",-1,H62)=0)*(1-(IF(H62="",-1,H62)&gt;=0)*(IF(H62="",-1,H62)&lt;=1)),IF(C62="peso_corporal",IF(ISNUMBER(E62),E62,0)+F62,F62)*G62*1000+F62,0),IF((J62&gt;0)*(IF(K62="",-1,K62)=0)*(1-(IF(K62="",-1,K62)&gt;=0)*(IF(K62="",-1,K62)&lt;=1)),IF(C62="peso_corporal",IF(ISNUMBER(E62),E62,0)+I62,I62)*J62*1000+I62,0),IF((M62&gt;0)*(IF(N62="",-1,N62)=0)*(1-(IF(N62="",-1,N62)&gt;=0)*(IF(N62="",-1,N62)&lt;=1)),IF(C62="peso_corporal",IF(ISNUMBER(E62),E62,0)+L62,L62)*M62*1000+L62,0),IF((P62&gt;0)*(IF(Q62="",-1,Q62)=0)*(1-(IF(Q62="",-1,Q62)&gt;=0)*(IF(Q62="",-1,Q62)&lt;=1)),IF(C62="peso_corporal",IF(ISNUMBER(E62),E62,0)+O62,O62)*P62*1000+O62,0),IF((S62&gt;0)*(IF(T62="",-1,T62)=0)*(1-(IF(T62="",-1,T62)&gt;=0)*(IF(T62="",-1,T62)&lt;=1)),IF(C62="peso_corporal",IF(ISNUMBER(E62),E62,0)+R62,R62)*S62*1000+R62,0))</f>
        <v>0</v>
      </c>
      <c r="Z62" s="69">
        <f>IF(Y62=0,0,IF(IF((S62&gt;0)*(IF(T62="",-1,T62)=0)*(1-(IF(T62="",-1,T62)&gt;=0)*(IF(T62="",-1,T62)&lt;=1)),IF(C62="peso_corporal",IF(ISNUMBER(E62),E62,0)+R62,R62)*S62*1000+R62,0)=Y62,5,IF(IF((P62&gt;0)*(IF(Q62="",-1,Q62)=0)*(1-(IF(Q62="",-1,Q62)&gt;=0)*(IF(Q62="",-1,Q62)&lt;=1)),IF(C62="peso_corporal",IF(ISNUMBER(E62),E62,0)+O62,O62)*P62*1000+O62,0)=Y62,4,IF(IF((M62&gt;0)*(IF(N62="",-1,N62)=0)*(1-(IF(N62="",-1,N62)&gt;=0)*(IF(N62="",-1,N62)&lt;=1)),IF(C62="peso_corporal",IF(ISNUMBER(E62),E62,0)+L62,L62)*M62*1000+L62,0)=Y62,3,IF(IF((J62&gt;0)*(IF(K62="",-1,K62)=0)*(1-(IF(K62="",-1,K62)&gt;=0)*(IF(K62="",-1,K62)&lt;=1)),IF(C62="peso_corporal",IF(ISNUMBER(E62),E62,0)+I62,I62)*J62*1000+I62,0)=Y62,2,IF(IF((G62&gt;0)*(IF(H62="",-1,H62)=0)*(1-(IF(H62="",-1,H62)&gt;=0)*(IF(H62="",-1,H62)&lt;=1)),IF(C62="peso_corporal",IF(ISNUMBER(E62),E62,0)+F62,F62)*G62*1000+F62,0)=Y62,1,0))))))</f>
        <v>0</v>
      </c>
      <c r="AA62" s="69">
        <f>MAX(IF((G62&gt;=3)*(1-(IF(H62="",-1,H62)&gt;=0)*(IF(H62="",-1,H62)&lt;=1))*(1-(IF(H62="",-1,H62)=0)),IF(C62="peso_corporal",IF(ISNUMBER(E62),E62,0)+F62,F62)*(30+G62)*100+F62,0),IF((J62&gt;=3)*(1-(IF(K62="",-1,K62)&gt;=0)*(IF(K62="",-1,K62)&lt;=1))*(1-(IF(K62="",-1,K62)=0)),IF(C62="peso_corporal",IF(ISNUMBER(E62),E62,0)+I62,I62)*(30+J62)*100+I62,0),IF((M62&gt;=3)*(1-(IF(N62="",-1,N62)&gt;=0)*(IF(N62="",-1,N62)&lt;=1))*(1-(IF(N62="",-1,N62)=0)),IF(C62="peso_corporal",IF(ISNUMBER(E62),E62,0)+L62,L62)*(30+M62)*100+L62,0),IF((P62&gt;=3)*(1-(IF(Q62="",-1,Q62)&gt;=0)*(IF(Q62="",-1,Q62)&lt;=1))*(1-(IF(Q62="",-1,Q62)=0)),IF(C62="peso_corporal",IF(ISNUMBER(E62),E62,0)+O62,O62)*(30+P62)*100+O62,0),IF((S62&gt;=3)*(1-(IF(T62="",-1,T62)&gt;=0)*(IF(T62="",-1,T62)&lt;=1))*(1-(IF(T62="",-1,T62)=0)),IF(C62="peso_corporal",IF(ISNUMBER(E62),E62,0)+R62,R62)*(30+S62)*100+R62,0))</f>
        <v>0</v>
      </c>
      <c r="AB62" s="69">
        <f>IF(AA62=0,0,IF(IF((S62&gt;=3)*(1-(IF(T62="",-1,T62)&gt;=0)*(IF(T62="",-1,T62)&lt;=1))*(1-(IF(T62="",-1,T62)=0)),IF(C62="peso_corporal",IF(ISNUMBER(E62),E62,0)+R62,R62)*(30+S62)*100+R62,0)=AA62,5,IF(IF((P62&gt;=3)*(1-(IF(Q62="",-1,Q62)&gt;=0)*(IF(Q62="",-1,Q62)&lt;=1))*(1-(IF(Q62="",-1,Q62)=0)),IF(C62="peso_corporal",IF(ISNUMBER(E62),E62,0)+O62,O62)*(30+P62)*100+O62,0)=AA62,4,IF(IF((M62&gt;=3)*(1-(IF(N62="",-1,N62)&gt;=0)*(IF(N62="",-1,N62)&lt;=1))*(1-(IF(N62="",-1,N62)=0)),IF(C62="peso_corporal",IF(ISNUMBER(E62),E62,0)+L62,L62)*(30+M62)*100+L62,0)=AA62,3,IF(IF((J62&gt;=3)*(1-(IF(K62="",-1,K62)&gt;=0)*(IF(K62="",-1,K62)&lt;=1))*(1-(IF(K62="",-1,K62)=0)),IF(C62="peso_corporal",IF(ISNUMBER(E62),E62,0)+I62,I62)*(30+J62)*100+I62,0)=AA62,2,IF(IF((G62&gt;=3)*(1-(IF(H62="",-1,H62)&gt;=0)*(IF(H62="",-1,H62)&lt;=1))*(1-(IF(H62="",-1,H62)=0)),IF(C62="peso_corporal",IF(ISNUMBER(E62),E62,0)+F62,F62)*(30+G62)*100+F62,0)=AA62,1,0))))))</f>
        <v>0</v>
      </c>
      <c r="AC62" s="69" t="str">
        <f>IF(X62&gt;0,"A"&amp;X62,IF(Z62&gt;0,"B"&amp;Z62,IF(AB62&gt;0,"C"&amp;AB62,"")))</f>
        <v/>
      </c>
    </row>
    <row r="63" spans="1:29" ht="20.100000000000001" customHeight="1">
      <c r="A63" s="14" t="s">
        <v>65</v>
      </c>
      <c r="B63" s="15" t="s">
        <v>137</v>
      </c>
      <c r="C63" s="16" t="str">
        <f>IFERROR(INDEX(EJERCICIOS!$D$3:$D$75,MATCH(A63&amp;"|"&amp;B63,EJERCICIOS!$G$3:$G$75,0)),"--")</f>
        <v>--</v>
      </c>
      <c r="D63" s="17">
        <v>3</v>
      </c>
      <c r="E63" s="18">
        <f>IFERROR(LOOKUP(2,1/(MEDIDAS_Y_PESO!$B$3:$B$5&lt;&gt;""),MEDIDAS_Y_PESO!$B$3:$B$5),"--")</f>
        <v>80</v>
      </c>
      <c r="F63" s="19"/>
      <c r="G63" s="20"/>
      <c r="H63" s="21"/>
      <c r="I63" s="19"/>
      <c r="J63" s="20"/>
      <c r="K63" s="21"/>
      <c r="L63" s="19"/>
      <c r="M63" s="20"/>
      <c r="N63" s="21"/>
      <c r="O63" s="19"/>
      <c r="P63" s="20"/>
      <c r="Q63" s="21"/>
      <c r="R63" s="19"/>
      <c r="S63" s="20"/>
      <c r="T63" s="21"/>
      <c r="U63" s="22" t="str">
        <f>IFERROR(IF(IF(X63&gt;0,X63,IF(Z63&gt;0,Z63,IF(AB63&gt;0,AB63,0)))=0,"--",ROUND(CHOOSE(IF(X63&gt;0,X63,IF(Z63&gt;0,Z63,IF(AB63&gt;0,AB63,0))),IF(C63="peso_corporal",IF(ISNUMBER(E63),E63,0)+F63,F63)*(1+G63/30),IF(C63="peso_corporal",IF(ISNUMBER(E63),E63,0)+I63,I63)*(1+J63/30),IF(C63="peso_corporal",IF(ISNUMBER(E63),E63,0)+L63,L63)*(1+M63/30),IF(C63="peso_corporal",IF(ISNUMBER(E63),E63,0)+O63,O63)*(1+P63/30),IF(C63="peso_corporal",IF(ISNUMBER(E63),E63,0)+R63,R63)*(1+S63/30)),1)),"--")</f>
        <v>--</v>
      </c>
      <c r="V63" s="23" t="str">
        <f>IF(SUGERENCIAS!N158="SIN","Sin datos anteriores",IF(SUGERENCIAS!N158="SUBIR_F","^ SUBIR FUERTE | Kg:"&amp;ROUND(SUGERENCIAS!K158,1)&amp;" R:"&amp;ROUND(SUGERENCIAS!L158,0)&amp;" RIR:"&amp;ROUND(SUGERENCIAS!M158,0),IF(SUGERENCIAS!N158="SUBIR_E","^ SUBIR (Est.) | Kg:"&amp;ROUND(SUGERENCIAS!K158,1)&amp;" R:"&amp;ROUND(SUGERENCIAS!L158,0)&amp;" RIR:"&amp;ROUND(SUGERENCIAS!M158,0),IF(SUGERENCIAS!N158="SUBIR","^ SUBIR | Kg:"&amp;ROUND(SUGERENCIAS!K158,1)&amp;" R:"&amp;ROUND(SUGERENCIAS!L158,0)&amp;" RIR:"&amp;ROUND(SUGERENCIAS!M158,0),IF(SUGERENCIAS!N158="BAJAR","v BAJAR | Kg:"&amp;ROUND(SUGERENCIAS!K158,1)&amp;" R:"&amp;ROUND(SUGERENCIAS!L158,0)&amp;" RIR:"&amp;ROUND(SUGERENCIAS!M158,0),"= MANT | Kg:"&amp;ROUND(SUGERENCIAS!K158,1)&amp;" R:"&amp;ROUND(SUGERENCIAS!L158,0)&amp;" RIR:"&amp;ROUND(SUGERENCIAS!M158,0))))))</f>
        <v>Sin datos anteriores</v>
      </c>
      <c r="W63" s="69">
        <f>MAX(IF((G63&gt;0)*(IF(H63="",-1,H63)&gt;=0)*(IF(H63="",-1,H63)&lt;=1),IF(C63="peso_corporal",IF(ISNUMBER(E63),E63,0)+F63,F63)*G63*1000+F63,0),IF((J63&gt;0)*(IF(K63="",-1,K63)&gt;=0)*(IF(K63="",-1,K63)&lt;=1),IF(C63="peso_corporal",IF(ISNUMBER(E63),E63,0)+I63,I63)*J63*1000+I63,0),IF((M63&gt;0)*(IF(N63="",-1,N63)&gt;=0)*(IF(N63="",-1,N63)&lt;=1),IF(C63="peso_corporal",IF(ISNUMBER(E63),E63,0)+L63,L63)*M63*1000+L63,0),IF((P63&gt;0)*(IF(Q63="",-1,Q63)&gt;=0)*(IF(Q63="",-1,Q63)&lt;=1),IF(C63="peso_corporal",IF(ISNUMBER(E63),E63,0)+O63,O63)*P63*1000+O63,0),IF((S63&gt;0)*(IF(T63="",-1,T63)&gt;=0)*(IF(T63="",-1,T63)&lt;=1),IF(C63="peso_corporal",IF(ISNUMBER(E63),E63,0)+R63,R63)*S63*1000+R63,0))</f>
        <v>0</v>
      </c>
      <c r="X63" s="69">
        <f>IF(W63=0,0,IF(IF((S63&gt;0)*(IF(T63="",-1,T63)&gt;=0)*(IF(T63="",-1,T63)&lt;=1),IF(C63="peso_corporal",IF(ISNUMBER(E63),E63,0)+R63,R63)*S63*1000+R63,0)=W63,5,IF(IF((P63&gt;0)*(IF(Q63="",-1,Q63)&gt;=0)*(IF(Q63="",-1,Q63)&lt;=1),IF(C63="peso_corporal",IF(ISNUMBER(E63),E63,0)+O63,O63)*P63*1000+O63,0)=W63,4,IF(IF((M63&gt;0)*(IF(N63="",-1,N63)&gt;=0)*(IF(N63="",-1,N63)&lt;=1),IF(C63="peso_corporal",IF(ISNUMBER(E63),E63,0)+L63,L63)*M63*1000+L63,0)=W63,3,IF(IF((J63&gt;0)*(IF(K63="",-1,K63)&gt;=0)*(IF(K63="",-1,K63)&lt;=1),IF(C63="peso_corporal",IF(ISNUMBER(E63),E63,0)+I63,I63)*J63*1000+I63,0)=W63,2,IF(IF((G63&gt;0)*(IF(H63="",-1,H63)&gt;=0)*(IF(H63="",-1,H63)&lt;=1),IF(C63="peso_corporal",IF(ISNUMBER(E63),E63,0)+F63,F63)*G63*1000+F63,0)=W63,1,0))))))</f>
        <v>0</v>
      </c>
      <c r="Y63" s="69">
        <f>MAX(IF((G63&gt;0)*(IF(H63="",-1,H63)=0)*(1-(IF(H63="",-1,H63)&gt;=0)*(IF(H63="",-1,H63)&lt;=1)),IF(C63="peso_corporal",IF(ISNUMBER(E63),E63,0)+F63,F63)*G63*1000+F63,0),IF((J63&gt;0)*(IF(K63="",-1,K63)=0)*(1-(IF(K63="",-1,K63)&gt;=0)*(IF(K63="",-1,K63)&lt;=1)),IF(C63="peso_corporal",IF(ISNUMBER(E63),E63,0)+I63,I63)*J63*1000+I63,0),IF((M63&gt;0)*(IF(N63="",-1,N63)=0)*(1-(IF(N63="",-1,N63)&gt;=0)*(IF(N63="",-1,N63)&lt;=1)),IF(C63="peso_corporal",IF(ISNUMBER(E63),E63,0)+L63,L63)*M63*1000+L63,0),IF((P63&gt;0)*(IF(Q63="",-1,Q63)=0)*(1-(IF(Q63="",-1,Q63)&gt;=0)*(IF(Q63="",-1,Q63)&lt;=1)),IF(C63="peso_corporal",IF(ISNUMBER(E63),E63,0)+O63,O63)*P63*1000+O63,0),IF((S63&gt;0)*(IF(T63="",-1,T63)=0)*(1-(IF(T63="",-1,T63)&gt;=0)*(IF(T63="",-1,T63)&lt;=1)),IF(C63="peso_corporal",IF(ISNUMBER(E63),E63,0)+R63,R63)*S63*1000+R63,0))</f>
        <v>0</v>
      </c>
      <c r="Z63" s="69">
        <f>IF(Y63=0,0,IF(IF((S63&gt;0)*(IF(T63="",-1,T63)=0)*(1-(IF(T63="",-1,T63)&gt;=0)*(IF(T63="",-1,T63)&lt;=1)),IF(C63="peso_corporal",IF(ISNUMBER(E63),E63,0)+R63,R63)*S63*1000+R63,0)=Y63,5,IF(IF((P63&gt;0)*(IF(Q63="",-1,Q63)=0)*(1-(IF(Q63="",-1,Q63)&gt;=0)*(IF(Q63="",-1,Q63)&lt;=1)),IF(C63="peso_corporal",IF(ISNUMBER(E63),E63,0)+O63,O63)*P63*1000+O63,0)=Y63,4,IF(IF((M63&gt;0)*(IF(N63="",-1,N63)=0)*(1-(IF(N63="",-1,N63)&gt;=0)*(IF(N63="",-1,N63)&lt;=1)),IF(C63="peso_corporal",IF(ISNUMBER(E63),E63,0)+L63,L63)*M63*1000+L63,0)=Y63,3,IF(IF((J63&gt;0)*(IF(K63="",-1,K63)=0)*(1-(IF(K63="",-1,K63)&gt;=0)*(IF(K63="",-1,K63)&lt;=1)),IF(C63="peso_corporal",IF(ISNUMBER(E63),E63,0)+I63,I63)*J63*1000+I63,0)=Y63,2,IF(IF((G63&gt;0)*(IF(H63="",-1,H63)=0)*(1-(IF(H63="",-1,H63)&gt;=0)*(IF(H63="",-1,H63)&lt;=1)),IF(C63="peso_corporal",IF(ISNUMBER(E63),E63,0)+F63,F63)*G63*1000+F63,0)=Y63,1,0))))))</f>
        <v>0</v>
      </c>
      <c r="AA63" s="69">
        <f>MAX(IF((G63&gt;=3)*(1-(IF(H63="",-1,H63)&gt;=0)*(IF(H63="",-1,H63)&lt;=1))*(1-(IF(H63="",-1,H63)=0)),IF(C63="peso_corporal",IF(ISNUMBER(E63),E63,0)+F63,F63)*(30+G63)*100+F63,0),IF((J63&gt;=3)*(1-(IF(K63="",-1,K63)&gt;=0)*(IF(K63="",-1,K63)&lt;=1))*(1-(IF(K63="",-1,K63)=0)),IF(C63="peso_corporal",IF(ISNUMBER(E63),E63,0)+I63,I63)*(30+J63)*100+I63,0),IF((M63&gt;=3)*(1-(IF(N63="",-1,N63)&gt;=0)*(IF(N63="",-1,N63)&lt;=1))*(1-(IF(N63="",-1,N63)=0)),IF(C63="peso_corporal",IF(ISNUMBER(E63),E63,0)+L63,L63)*(30+M63)*100+L63,0),IF((P63&gt;=3)*(1-(IF(Q63="",-1,Q63)&gt;=0)*(IF(Q63="",-1,Q63)&lt;=1))*(1-(IF(Q63="",-1,Q63)=0)),IF(C63="peso_corporal",IF(ISNUMBER(E63),E63,0)+O63,O63)*(30+P63)*100+O63,0),IF((S63&gt;=3)*(1-(IF(T63="",-1,T63)&gt;=0)*(IF(T63="",-1,T63)&lt;=1))*(1-(IF(T63="",-1,T63)=0)),IF(C63="peso_corporal",IF(ISNUMBER(E63),E63,0)+R63,R63)*(30+S63)*100+R63,0))</f>
        <v>0</v>
      </c>
      <c r="AB63" s="69">
        <f>IF(AA63=0,0,IF(IF((S63&gt;=3)*(1-(IF(T63="",-1,T63)&gt;=0)*(IF(T63="",-1,T63)&lt;=1))*(1-(IF(T63="",-1,T63)=0)),IF(C63="peso_corporal",IF(ISNUMBER(E63),E63,0)+R63,R63)*(30+S63)*100+R63,0)=AA63,5,IF(IF((P63&gt;=3)*(1-(IF(Q63="",-1,Q63)&gt;=0)*(IF(Q63="",-1,Q63)&lt;=1))*(1-(IF(Q63="",-1,Q63)=0)),IF(C63="peso_corporal",IF(ISNUMBER(E63),E63,0)+O63,O63)*(30+P63)*100+O63,0)=AA63,4,IF(IF((M63&gt;=3)*(1-(IF(N63="",-1,N63)&gt;=0)*(IF(N63="",-1,N63)&lt;=1))*(1-(IF(N63="",-1,N63)=0)),IF(C63="peso_corporal",IF(ISNUMBER(E63),E63,0)+L63,L63)*(30+M63)*100+L63,0)=AA63,3,IF(IF((J63&gt;=3)*(1-(IF(K63="",-1,K63)&gt;=0)*(IF(K63="",-1,K63)&lt;=1))*(1-(IF(K63="",-1,K63)=0)),IF(C63="peso_corporal",IF(ISNUMBER(E63),E63,0)+I63,I63)*(30+J63)*100+I63,0)=AA63,2,IF(IF((G63&gt;=3)*(1-(IF(H63="",-1,H63)&gt;=0)*(IF(H63="",-1,H63)&lt;=1))*(1-(IF(H63="",-1,H63)=0)),IF(C63="peso_corporal",IF(ISNUMBER(E63),E63,0)+F63,F63)*(30+G63)*100+F63,0)=AA63,1,0))))))</f>
        <v>0</v>
      </c>
      <c r="AC63" s="69" t="str">
        <f>IF(X63&gt;0,"A"&amp;X63,IF(Z63&gt;0,"B"&amp;Z63,IF(AB63&gt;0,"C"&amp;AB63,"")))</f>
        <v/>
      </c>
    </row>
    <row r="64" spans="1:29" ht="15" customHeight="1">
      <c r="A64" s="89" t="s">
        <v>138</v>
      </c>
      <c r="B64" s="73"/>
      <c r="C64" s="73"/>
      <c r="D64" s="73"/>
      <c r="E64" s="73"/>
      <c r="F64" s="73"/>
      <c r="G64" s="73"/>
      <c r="H64" s="73"/>
      <c r="I64" s="73"/>
      <c r="J64" s="73"/>
      <c r="K64" s="73"/>
      <c r="L64" s="73"/>
      <c r="M64" s="73"/>
      <c r="N64" s="73"/>
      <c r="O64" s="73"/>
      <c r="P64" s="73"/>
      <c r="Q64" s="73"/>
      <c r="R64" s="73"/>
      <c r="S64" s="73"/>
      <c r="T64" s="73"/>
      <c r="U64" s="73"/>
      <c r="V64" s="73"/>
      <c r="W64" s="69"/>
      <c r="X64" s="69"/>
      <c r="Y64" s="69"/>
      <c r="Z64" s="69"/>
      <c r="AA64" s="69"/>
      <c r="AB64" s="69"/>
      <c r="AC64" s="69"/>
    </row>
    <row r="65" spans="1:29" ht="20.100000000000001" customHeight="1">
      <c r="A65" s="14" t="s">
        <v>139</v>
      </c>
      <c r="B65" s="15" t="s">
        <v>140</v>
      </c>
      <c r="C65" s="16" t="str">
        <f>IFERROR(INDEX(EJERCICIOS!$D$3:$D$75,MATCH(A65&amp;"|"&amp;B65,EJERCICIOS!$G$3:$G$75,0)),"--")</f>
        <v>disco</v>
      </c>
      <c r="D65" s="17">
        <v>3</v>
      </c>
      <c r="E65" s="18">
        <f>IFERROR(LOOKUP(2,1/(MEDIDAS_Y_PESO!$B$3:$B$5&lt;&gt;""),MEDIDAS_Y_PESO!$B$3:$B$5),"--")</f>
        <v>80</v>
      </c>
      <c r="F65" s="19"/>
      <c r="G65" s="20"/>
      <c r="H65" s="21"/>
      <c r="I65" s="19"/>
      <c r="J65" s="20"/>
      <c r="K65" s="21"/>
      <c r="L65" s="19"/>
      <c r="M65" s="20"/>
      <c r="N65" s="21"/>
      <c r="O65" s="19"/>
      <c r="P65" s="20"/>
      <c r="Q65" s="21"/>
      <c r="R65" s="19"/>
      <c r="S65" s="20"/>
      <c r="T65" s="21"/>
      <c r="U65" s="22" t="str">
        <f>IFERROR(IF(IF(X65&gt;0,X65,IF(Z65&gt;0,Z65,IF(AB65&gt;0,AB65,0)))=0,"--",ROUND(CHOOSE(IF(X65&gt;0,X65,IF(Z65&gt;0,Z65,IF(AB65&gt;0,AB65,0))),IF(C65="peso_corporal",IF(ISNUMBER(E65),E65,0)+F65,F65)*(1+G65/30),IF(C65="peso_corporal",IF(ISNUMBER(E65),E65,0)+I65,I65)*(1+J65/30),IF(C65="peso_corporal",IF(ISNUMBER(E65),E65,0)+L65,L65)*(1+M65/30),IF(C65="peso_corporal",IF(ISNUMBER(E65),E65,0)+O65,O65)*(1+P65/30),IF(C65="peso_corporal",IF(ISNUMBER(E65),E65,0)+R65,R65)*(1+S65/30)),1)),"--")</f>
        <v>--</v>
      </c>
      <c r="V65" s="23" t="str">
        <f>IF(SUGERENCIAS!N159="SIN","Sin datos anteriores",IF(SUGERENCIAS!N159="SUBIR_F","^ SUBIR FUERTE | Kg:"&amp;ROUND(SUGERENCIAS!K159,1)&amp;" R:"&amp;ROUND(SUGERENCIAS!L159,0)&amp;" RIR:"&amp;ROUND(SUGERENCIAS!M159,0),IF(SUGERENCIAS!N159="SUBIR_E","^ SUBIR (Est.) | Kg:"&amp;ROUND(SUGERENCIAS!K159,1)&amp;" R:"&amp;ROUND(SUGERENCIAS!L159,0)&amp;" RIR:"&amp;ROUND(SUGERENCIAS!M159,0),IF(SUGERENCIAS!N159="SUBIR","^ SUBIR | Kg:"&amp;ROUND(SUGERENCIAS!K159,1)&amp;" R:"&amp;ROUND(SUGERENCIAS!L159,0)&amp;" RIR:"&amp;ROUND(SUGERENCIAS!M159,0),IF(SUGERENCIAS!N159="BAJAR","v BAJAR | Kg:"&amp;ROUND(SUGERENCIAS!K159,1)&amp;" R:"&amp;ROUND(SUGERENCIAS!L159,0)&amp;" RIR:"&amp;ROUND(SUGERENCIAS!M159,0),"= MANT | Kg:"&amp;ROUND(SUGERENCIAS!K159,1)&amp;" R:"&amp;ROUND(SUGERENCIAS!L159,0)&amp;" RIR:"&amp;ROUND(SUGERENCIAS!M159,0))))))</f>
        <v>Sin datos anteriores</v>
      </c>
      <c r="W65" s="69">
        <f>MAX(IF((G65&gt;0)*(IF(H65="",-1,H65)&gt;=0)*(IF(H65="",-1,H65)&lt;=1),IF(C65="peso_corporal",IF(ISNUMBER(E65),E65,0)+F65,F65)*G65*1000+F65,0),IF((J65&gt;0)*(IF(K65="",-1,K65)&gt;=0)*(IF(K65="",-1,K65)&lt;=1),IF(C65="peso_corporal",IF(ISNUMBER(E65),E65,0)+I65,I65)*J65*1000+I65,0),IF((M65&gt;0)*(IF(N65="",-1,N65)&gt;=0)*(IF(N65="",-1,N65)&lt;=1),IF(C65="peso_corporal",IF(ISNUMBER(E65),E65,0)+L65,L65)*M65*1000+L65,0),IF((P65&gt;0)*(IF(Q65="",-1,Q65)&gt;=0)*(IF(Q65="",-1,Q65)&lt;=1),IF(C65="peso_corporal",IF(ISNUMBER(E65),E65,0)+O65,O65)*P65*1000+O65,0),IF((S65&gt;0)*(IF(T65="",-1,T65)&gt;=0)*(IF(T65="",-1,T65)&lt;=1),IF(C65="peso_corporal",IF(ISNUMBER(E65),E65,0)+R65,R65)*S65*1000+R65,0))</f>
        <v>0</v>
      </c>
      <c r="X65" s="69">
        <f>IF(W65=0,0,IF(IF((S65&gt;0)*(IF(T65="",-1,T65)&gt;=0)*(IF(T65="",-1,T65)&lt;=1),IF(C65="peso_corporal",IF(ISNUMBER(E65),E65,0)+R65,R65)*S65*1000+R65,0)=W65,5,IF(IF((P65&gt;0)*(IF(Q65="",-1,Q65)&gt;=0)*(IF(Q65="",-1,Q65)&lt;=1),IF(C65="peso_corporal",IF(ISNUMBER(E65),E65,0)+O65,O65)*P65*1000+O65,0)=W65,4,IF(IF((M65&gt;0)*(IF(N65="",-1,N65)&gt;=0)*(IF(N65="",-1,N65)&lt;=1),IF(C65="peso_corporal",IF(ISNUMBER(E65),E65,0)+L65,L65)*M65*1000+L65,0)=W65,3,IF(IF((J65&gt;0)*(IF(K65="",-1,K65)&gt;=0)*(IF(K65="",-1,K65)&lt;=1),IF(C65="peso_corporal",IF(ISNUMBER(E65),E65,0)+I65,I65)*J65*1000+I65,0)=W65,2,IF(IF((G65&gt;0)*(IF(H65="",-1,H65)&gt;=0)*(IF(H65="",-1,H65)&lt;=1),IF(C65="peso_corporal",IF(ISNUMBER(E65),E65,0)+F65,F65)*G65*1000+F65,0)=W65,1,0))))))</f>
        <v>0</v>
      </c>
      <c r="Y65" s="69">
        <f>MAX(IF((G65&gt;0)*(IF(H65="",-1,H65)=0)*(1-(IF(H65="",-1,H65)&gt;=0)*(IF(H65="",-1,H65)&lt;=1)),IF(C65="peso_corporal",IF(ISNUMBER(E65),E65,0)+F65,F65)*G65*1000+F65,0),IF((J65&gt;0)*(IF(K65="",-1,K65)=0)*(1-(IF(K65="",-1,K65)&gt;=0)*(IF(K65="",-1,K65)&lt;=1)),IF(C65="peso_corporal",IF(ISNUMBER(E65),E65,0)+I65,I65)*J65*1000+I65,0),IF((M65&gt;0)*(IF(N65="",-1,N65)=0)*(1-(IF(N65="",-1,N65)&gt;=0)*(IF(N65="",-1,N65)&lt;=1)),IF(C65="peso_corporal",IF(ISNUMBER(E65),E65,0)+L65,L65)*M65*1000+L65,0),IF((P65&gt;0)*(IF(Q65="",-1,Q65)=0)*(1-(IF(Q65="",-1,Q65)&gt;=0)*(IF(Q65="",-1,Q65)&lt;=1)),IF(C65="peso_corporal",IF(ISNUMBER(E65),E65,0)+O65,O65)*P65*1000+O65,0),IF((S65&gt;0)*(IF(T65="",-1,T65)=0)*(1-(IF(T65="",-1,T65)&gt;=0)*(IF(T65="",-1,T65)&lt;=1)),IF(C65="peso_corporal",IF(ISNUMBER(E65),E65,0)+R65,R65)*S65*1000+R65,0))</f>
        <v>0</v>
      </c>
      <c r="Z65" s="69">
        <f>IF(Y65=0,0,IF(IF((S65&gt;0)*(IF(T65="",-1,T65)=0)*(1-(IF(T65="",-1,T65)&gt;=0)*(IF(T65="",-1,T65)&lt;=1)),IF(C65="peso_corporal",IF(ISNUMBER(E65),E65,0)+R65,R65)*S65*1000+R65,0)=Y65,5,IF(IF((P65&gt;0)*(IF(Q65="",-1,Q65)=0)*(1-(IF(Q65="",-1,Q65)&gt;=0)*(IF(Q65="",-1,Q65)&lt;=1)),IF(C65="peso_corporal",IF(ISNUMBER(E65),E65,0)+O65,O65)*P65*1000+O65,0)=Y65,4,IF(IF((M65&gt;0)*(IF(N65="",-1,N65)=0)*(1-(IF(N65="",-1,N65)&gt;=0)*(IF(N65="",-1,N65)&lt;=1)),IF(C65="peso_corporal",IF(ISNUMBER(E65),E65,0)+L65,L65)*M65*1000+L65,0)=Y65,3,IF(IF((J65&gt;0)*(IF(K65="",-1,K65)=0)*(1-(IF(K65="",-1,K65)&gt;=0)*(IF(K65="",-1,K65)&lt;=1)),IF(C65="peso_corporal",IF(ISNUMBER(E65),E65,0)+I65,I65)*J65*1000+I65,0)=Y65,2,IF(IF((G65&gt;0)*(IF(H65="",-1,H65)=0)*(1-(IF(H65="",-1,H65)&gt;=0)*(IF(H65="",-1,H65)&lt;=1)),IF(C65="peso_corporal",IF(ISNUMBER(E65),E65,0)+F65,F65)*G65*1000+F65,0)=Y65,1,0))))))</f>
        <v>0</v>
      </c>
      <c r="AA65" s="69">
        <f>MAX(IF((G65&gt;=3)*(1-(IF(H65="",-1,H65)&gt;=0)*(IF(H65="",-1,H65)&lt;=1))*(1-(IF(H65="",-1,H65)=0)),IF(C65="peso_corporal",IF(ISNUMBER(E65),E65,0)+F65,F65)*(30+G65)*100+F65,0),IF((J65&gt;=3)*(1-(IF(K65="",-1,K65)&gt;=0)*(IF(K65="",-1,K65)&lt;=1))*(1-(IF(K65="",-1,K65)=0)),IF(C65="peso_corporal",IF(ISNUMBER(E65),E65,0)+I65,I65)*(30+J65)*100+I65,0),IF((M65&gt;=3)*(1-(IF(N65="",-1,N65)&gt;=0)*(IF(N65="",-1,N65)&lt;=1))*(1-(IF(N65="",-1,N65)=0)),IF(C65="peso_corporal",IF(ISNUMBER(E65),E65,0)+L65,L65)*(30+M65)*100+L65,0),IF((P65&gt;=3)*(1-(IF(Q65="",-1,Q65)&gt;=0)*(IF(Q65="",-1,Q65)&lt;=1))*(1-(IF(Q65="",-1,Q65)=0)),IF(C65="peso_corporal",IF(ISNUMBER(E65),E65,0)+O65,O65)*(30+P65)*100+O65,0),IF((S65&gt;=3)*(1-(IF(T65="",-1,T65)&gt;=0)*(IF(T65="",-1,T65)&lt;=1))*(1-(IF(T65="",-1,T65)=0)),IF(C65="peso_corporal",IF(ISNUMBER(E65),E65,0)+R65,R65)*(30+S65)*100+R65,0))</f>
        <v>0</v>
      </c>
      <c r="AB65" s="69">
        <f>IF(AA65=0,0,IF(IF((S65&gt;=3)*(1-(IF(T65="",-1,T65)&gt;=0)*(IF(T65="",-1,T65)&lt;=1))*(1-(IF(T65="",-1,T65)=0)),IF(C65="peso_corporal",IF(ISNUMBER(E65),E65,0)+R65,R65)*(30+S65)*100+R65,0)=AA65,5,IF(IF((P65&gt;=3)*(1-(IF(Q65="",-1,Q65)&gt;=0)*(IF(Q65="",-1,Q65)&lt;=1))*(1-(IF(Q65="",-1,Q65)=0)),IF(C65="peso_corporal",IF(ISNUMBER(E65),E65,0)+O65,O65)*(30+P65)*100+O65,0)=AA65,4,IF(IF((M65&gt;=3)*(1-(IF(N65="",-1,N65)&gt;=0)*(IF(N65="",-1,N65)&lt;=1))*(1-(IF(N65="",-1,N65)=0)),IF(C65="peso_corporal",IF(ISNUMBER(E65),E65,0)+L65,L65)*(30+M65)*100+L65,0)=AA65,3,IF(IF((J65&gt;=3)*(1-(IF(K65="",-1,K65)&gt;=0)*(IF(K65="",-1,K65)&lt;=1))*(1-(IF(K65="",-1,K65)=0)),IF(C65="peso_corporal",IF(ISNUMBER(E65),E65,0)+I65,I65)*(30+J65)*100+I65,0)=AA65,2,IF(IF((G65&gt;=3)*(1-(IF(H65="",-1,H65)&gt;=0)*(IF(H65="",-1,H65)&lt;=1))*(1-(IF(H65="",-1,H65)=0)),IF(C65="peso_corporal",IF(ISNUMBER(E65),E65,0)+F65,F65)*(30+G65)*100+F65,0)=AA65,1,0))))))</f>
        <v>0</v>
      </c>
      <c r="AC65" s="69" t="str">
        <f>IF(X65&gt;0,"A"&amp;X65,IF(Z65&gt;0,"B"&amp;Z65,IF(AB65&gt;0,"C"&amp;AB65,"")))</f>
        <v/>
      </c>
    </row>
    <row r="66" spans="1:29" ht="20.100000000000001" customHeight="1">
      <c r="A66" s="14" t="s">
        <v>139</v>
      </c>
      <c r="B66" s="15" t="s">
        <v>141</v>
      </c>
      <c r="C66" s="16" t="str">
        <f>IFERROR(INDEX(EJERCICIOS!$D$3:$D$75,MATCH(A66&amp;"|"&amp;B66,EJERCICIOS!$G$3:$G$75,0)),"--")</f>
        <v>disco</v>
      </c>
      <c r="D66" s="17">
        <v>3</v>
      </c>
      <c r="E66" s="18">
        <f>IFERROR(LOOKUP(2,1/(MEDIDAS_Y_PESO!$B$3:$B$5&lt;&gt;""),MEDIDAS_Y_PESO!$B$3:$B$5),"--")</f>
        <v>80</v>
      </c>
      <c r="F66" s="19"/>
      <c r="G66" s="20"/>
      <c r="H66" s="21"/>
      <c r="I66" s="19"/>
      <c r="J66" s="20"/>
      <c r="K66" s="21"/>
      <c r="L66" s="19"/>
      <c r="M66" s="20"/>
      <c r="N66" s="21"/>
      <c r="O66" s="19"/>
      <c r="P66" s="20"/>
      <c r="Q66" s="21"/>
      <c r="R66" s="19"/>
      <c r="S66" s="20"/>
      <c r="T66" s="21"/>
      <c r="U66" s="22" t="str">
        <f>IFERROR(IF(IF(X66&gt;0,X66,IF(Z66&gt;0,Z66,IF(AB66&gt;0,AB66,0)))=0,"--",ROUND(CHOOSE(IF(X66&gt;0,X66,IF(Z66&gt;0,Z66,IF(AB66&gt;0,AB66,0))),IF(C66="peso_corporal",IF(ISNUMBER(E66),E66,0)+F66,F66)*(1+G66/30),IF(C66="peso_corporal",IF(ISNUMBER(E66),E66,0)+I66,I66)*(1+J66/30),IF(C66="peso_corporal",IF(ISNUMBER(E66),E66,0)+L66,L66)*(1+M66/30),IF(C66="peso_corporal",IF(ISNUMBER(E66),E66,0)+O66,O66)*(1+P66/30),IF(C66="peso_corporal",IF(ISNUMBER(E66),E66,0)+R66,R66)*(1+S66/30)),1)),"--")</f>
        <v>--</v>
      </c>
      <c r="V66" s="23" t="str">
        <f>IF(SUGERENCIAS!N160="SIN","Sin datos anteriores",IF(SUGERENCIAS!N160="SUBIR_F","^ SUBIR FUERTE | Kg:"&amp;ROUND(SUGERENCIAS!K160,1)&amp;" R:"&amp;ROUND(SUGERENCIAS!L160,0)&amp;" RIR:"&amp;ROUND(SUGERENCIAS!M160,0),IF(SUGERENCIAS!N160="SUBIR_E","^ SUBIR (Est.) | Kg:"&amp;ROUND(SUGERENCIAS!K160,1)&amp;" R:"&amp;ROUND(SUGERENCIAS!L160,0)&amp;" RIR:"&amp;ROUND(SUGERENCIAS!M160,0),IF(SUGERENCIAS!N160="SUBIR","^ SUBIR | Kg:"&amp;ROUND(SUGERENCIAS!K160,1)&amp;" R:"&amp;ROUND(SUGERENCIAS!L160,0)&amp;" RIR:"&amp;ROUND(SUGERENCIAS!M160,0),IF(SUGERENCIAS!N160="BAJAR","v BAJAR | Kg:"&amp;ROUND(SUGERENCIAS!K160,1)&amp;" R:"&amp;ROUND(SUGERENCIAS!L160,0)&amp;" RIR:"&amp;ROUND(SUGERENCIAS!M160,0),"= MANT | Kg:"&amp;ROUND(SUGERENCIAS!K160,1)&amp;" R:"&amp;ROUND(SUGERENCIAS!L160,0)&amp;" RIR:"&amp;ROUND(SUGERENCIAS!M160,0))))))</f>
        <v>Sin datos anteriores</v>
      </c>
      <c r="W66" s="69">
        <f>MAX(IF((G66&gt;0)*(IF(H66="",-1,H66)&gt;=0)*(IF(H66="",-1,H66)&lt;=1),IF(C66="peso_corporal",IF(ISNUMBER(E66),E66,0)+F66,F66)*G66*1000+F66,0),IF((J66&gt;0)*(IF(K66="",-1,K66)&gt;=0)*(IF(K66="",-1,K66)&lt;=1),IF(C66="peso_corporal",IF(ISNUMBER(E66),E66,0)+I66,I66)*J66*1000+I66,0),IF((M66&gt;0)*(IF(N66="",-1,N66)&gt;=0)*(IF(N66="",-1,N66)&lt;=1),IF(C66="peso_corporal",IF(ISNUMBER(E66),E66,0)+L66,L66)*M66*1000+L66,0),IF((P66&gt;0)*(IF(Q66="",-1,Q66)&gt;=0)*(IF(Q66="",-1,Q66)&lt;=1),IF(C66="peso_corporal",IF(ISNUMBER(E66),E66,0)+O66,O66)*P66*1000+O66,0),IF((S66&gt;0)*(IF(T66="",-1,T66)&gt;=0)*(IF(T66="",-1,T66)&lt;=1),IF(C66="peso_corporal",IF(ISNUMBER(E66),E66,0)+R66,R66)*S66*1000+R66,0))</f>
        <v>0</v>
      </c>
      <c r="X66" s="69">
        <f>IF(W66=0,0,IF(IF((S66&gt;0)*(IF(T66="",-1,T66)&gt;=0)*(IF(T66="",-1,T66)&lt;=1),IF(C66="peso_corporal",IF(ISNUMBER(E66),E66,0)+R66,R66)*S66*1000+R66,0)=W66,5,IF(IF((P66&gt;0)*(IF(Q66="",-1,Q66)&gt;=0)*(IF(Q66="",-1,Q66)&lt;=1),IF(C66="peso_corporal",IF(ISNUMBER(E66),E66,0)+O66,O66)*P66*1000+O66,0)=W66,4,IF(IF((M66&gt;0)*(IF(N66="",-1,N66)&gt;=0)*(IF(N66="",-1,N66)&lt;=1),IF(C66="peso_corporal",IF(ISNUMBER(E66),E66,0)+L66,L66)*M66*1000+L66,0)=W66,3,IF(IF((J66&gt;0)*(IF(K66="",-1,K66)&gt;=0)*(IF(K66="",-1,K66)&lt;=1),IF(C66="peso_corporal",IF(ISNUMBER(E66),E66,0)+I66,I66)*J66*1000+I66,0)=W66,2,IF(IF((G66&gt;0)*(IF(H66="",-1,H66)&gt;=0)*(IF(H66="",-1,H66)&lt;=1),IF(C66="peso_corporal",IF(ISNUMBER(E66),E66,0)+F66,F66)*G66*1000+F66,0)=W66,1,0))))))</f>
        <v>0</v>
      </c>
      <c r="Y66" s="69">
        <f>MAX(IF((G66&gt;0)*(IF(H66="",-1,H66)=0)*(1-(IF(H66="",-1,H66)&gt;=0)*(IF(H66="",-1,H66)&lt;=1)),IF(C66="peso_corporal",IF(ISNUMBER(E66),E66,0)+F66,F66)*G66*1000+F66,0),IF((J66&gt;0)*(IF(K66="",-1,K66)=0)*(1-(IF(K66="",-1,K66)&gt;=0)*(IF(K66="",-1,K66)&lt;=1)),IF(C66="peso_corporal",IF(ISNUMBER(E66),E66,0)+I66,I66)*J66*1000+I66,0),IF((M66&gt;0)*(IF(N66="",-1,N66)=0)*(1-(IF(N66="",-1,N66)&gt;=0)*(IF(N66="",-1,N66)&lt;=1)),IF(C66="peso_corporal",IF(ISNUMBER(E66),E66,0)+L66,L66)*M66*1000+L66,0),IF((P66&gt;0)*(IF(Q66="",-1,Q66)=0)*(1-(IF(Q66="",-1,Q66)&gt;=0)*(IF(Q66="",-1,Q66)&lt;=1)),IF(C66="peso_corporal",IF(ISNUMBER(E66),E66,0)+O66,O66)*P66*1000+O66,0),IF((S66&gt;0)*(IF(T66="",-1,T66)=0)*(1-(IF(T66="",-1,T66)&gt;=0)*(IF(T66="",-1,T66)&lt;=1)),IF(C66="peso_corporal",IF(ISNUMBER(E66),E66,0)+R66,R66)*S66*1000+R66,0))</f>
        <v>0</v>
      </c>
      <c r="Z66" s="69">
        <f>IF(Y66=0,0,IF(IF((S66&gt;0)*(IF(T66="",-1,T66)=0)*(1-(IF(T66="",-1,T66)&gt;=0)*(IF(T66="",-1,T66)&lt;=1)),IF(C66="peso_corporal",IF(ISNUMBER(E66),E66,0)+R66,R66)*S66*1000+R66,0)=Y66,5,IF(IF((P66&gt;0)*(IF(Q66="",-1,Q66)=0)*(1-(IF(Q66="",-1,Q66)&gt;=0)*(IF(Q66="",-1,Q66)&lt;=1)),IF(C66="peso_corporal",IF(ISNUMBER(E66),E66,0)+O66,O66)*P66*1000+O66,0)=Y66,4,IF(IF((M66&gt;0)*(IF(N66="",-1,N66)=0)*(1-(IF(N66="",-1,N66)&gt;=0)*(IF(N66="",-1,N66)&lt;=1)),IF(C66="peso_corporal",IF(ISNUMBER(E66),E66,0)+L66,L66)*M66*1000+L66,0)=Y66,3,IF(IF((J66&gt;0)*(IF(K66="",-1,K66)=0)*(1-(IF(K66="",-1,K66)&gt;=0)*(IF(K66="",-1,K66)&lt;=1)),IF(C66="peso_corporal",IF(ISNUMBER(E66),E66,0)+I66,I66)*J66*1000+I66,0)=Y66,2,IF(IF((G66&gt;0)*(IF(H66="",-1,H66)=0)*(1-(IF(H66="",-1,H66)&gt;=0)*(IF(H66="",-1,H66)&lt;=1)),IF(C66="peso_corporal",IF(ISNUMBER(E66),E66,0)+F66,F66)*G66*1000+F66,0)=Y66,1,0))))))</f>
        <v>0</v>
      </c>
      <c r="AA66" s="69">
        <f>MAX(IF((G66&gt;=3)*(1-(IF(H66="",-1,H66)&gt;=0)*(IF(H66="",-1,H66)&lt;=1))*(1-(IF(H66="",-1,H66)=0)),IF(C66="peso_corporal",IF(ISNUMBER(E66),E66,0)+F66,F66)*(30+G66)*100+F66,0),IF((J66&gt;=3)*(1-(IF(K66="",-1,K66)&gt;=0)*(IF(K66="",-1,K66)&lt;=1))*(1-(IF(K66="",-1,K66)=0)),IF(C66="peso_corporal",IF(ISNUMBER(E66),E66,0)+I66,I66)*(30+J66)*100+I66,0),IF((M66&gt;=3)*(1-(IF(N66="",-1,N66)&gt;=0)*(IF(N66="",-1,N66)&lt;=1))*(1-(IF(N66="",-1,N66)=0)),IF(C66="peso_corporal",IF(ISNUMBER(E66),E66,0)+L66,L66)*(30+M66)*100+L66,0),IF((P66&gt;=3)*(1-(IF(Q66="",-1,Q66)&gt;=0)*(IF(Q66="",-1,Q66)&lt;=1))*(1-(IF(Q66="",-1,Q66)=0)),IF(C66="peso_corporal",IF(ISNUMBER(E66),E66,0)+O66,O66)*(30+P66)*100+O66,0),IF((S66&gt;=3)*(1-(IF(T66="",-1,T66)&gt;=0)*(IF(T66="",-1,T66)&lt;=1))*(1-(IF(T66="",-1,T66)=0)),IF(C66="peso_corporal",IF(ISNUMBER(E66),E66,0)+R66,R66)*(30+S66)*100+R66,0))</f>
        <v>0</v>
      </c>
      <c r="AB66" s="69">
        <f>IF(AA66=0,0,IF(IF((S66&gt;=3)*(1-(IF(T66="",-1,T66)&gt;=0)*(IF(T66="",-1,T66)&lt;=1))*(1-(IF(T66="",-1,T66)=0)),IF(C66="peso_corporal",IF(ISNUMBER(E66),E66,0)+R66,R66)*(30+S66)*100+R66,0)=AA66,5,IF(IF((P66&gt;=3)*(1-(IF(Q66="",-1,Q66)&gt;=0)*(IF(Q66="",-1,Q66)&lt;=1))*(1-(IF(Q66="",-1,Q66)=0)),IF(C66="peso_corporal",IF(ISNUMBER(E66),E66,0)+O66,O66)*(30+P66)*100+O66,0)=AA66,4,IF(IF((M66&gt;=3)*(1-(IF(N66="",-1,N66)&gt;=0)*(IF(N66="",-1,N66)&lt;=1))*(1-(IF(N66="",-1,N66)=0)),IF(C66="peso_corporal",IF(ISNUMBER(E66),E66,0)+L66,L66)*(30+M66)*100+L66,0)=AA66,3,IF(IF((J66&gt;=3)*(1-(IF(K66="",-1,K66)&gt;=0)*(IF(K66="",-1,K66)&lt;=1))*(1-(IF(K66="",-1,K66)=0)),IF(C66="peso_corporal",IF(ISNUMBER(E66),E66,0)+I66,I66)*(30+J66)*100+I66,0)=AA66,2,IF(IF((G66&gt;=3)*(1-(IF(H66="",-1,H66)&gt;=0)*(IF(H66="",-1,H66)&lt;=1))*(1-(IF(H66="",-1,H66)=0)),IF(C66="peso_corporal",IF(ISNUMBER(E66),E66,0)+F66,F66)*(30+G66)*100+F66,0)=AA66,1,0))))))</f>
        <v>0</v>
      </c>
      <c r="AC66" s="69" t="str">
        <f>IF(X66&gt;0,"A"&amp;X66,IF(Z66&gt;0,"B"&amp;Z66,IF(AB66&gt;0,"C"&amp;AB66,"")))</f>
        <v/>
      </c>
    </row>
    <row r="67" spans="1:29" ht="15" customHeight="1">
      <c r="A67" s="90" t="s">
        <v>142</v>
      </c>
      <c r="B67" s="73"/>
      <c r="C67" s="73"/>
      <c r="D67" s="73"/>
      <c r="E67" s="73"/>
      <c r="F67" s="73"/>
      <c r="G67" s="73"/>
      <c r="H67" s="73"/>
      <c r="I67" s="73"/>
      <c r="J67" s="73"/>
      <c r="K67" s="73"/>
      <c r="L67" s="73"/>
      <c r="M67" s="73"/>
      <c r="N67" s="73"/>
      <c r="O67" s="73"/>
      <c r="P67" s="73"/>
      <c r="Q67" s="73"/>
      <c r="R67" s="73"/>
      <c r="S67" s="73"/>
      <c r="T67" s="73"/>
      <c r="U67" s="73"/>
      <c r="V67" s="73"/>
      <c r="W67" s="69"/>
      <c r="X67" s="69"/>
      <c r="Y67" s="69"/>
      <c r="Z67" s="69"/>
      <c r="AA67" s="69"/>
      <c r="AB67" s="69"/>
      <c r="AC67" s="69"/>
    </row>
    <row r="68" spans="1:29" ht="20.100000000000001" customHeight="1">
      <c r="A68" s="14" t="s">
        <v>24</v>
      </c>
      <c r="B68" s="15" t="s">
        <v>143</v>
      </c>
      <c r="C68" s="16" t="str">
        <f>IFERROR(INDEX(EJERCICIOS!$D$3:$D$75,MATCH(A68&amp;"|"&amp;B68,EJERCICIOS!$G$3:$G$75,0)),"--")</f>
        <v>peso_corporal</v>
      </c>
      <c r="D68" s="17">
        <v>3</v>
      </c>
      <c r="E68" s="18">
        <f>IFERROR(LOOKUP(2,1/(MEDIDAS_Y_PESO!$B$3:$B$5&lt;&gt;""),MEDIDAS_Y_PESO!$B$3:$B$5),"--")</f>
        <v>80</v>
      </c>
      <c r="F68" s="19"/>
      <c r="G68" s="20"/>
      <c r="H68" s="21"/>
      <c r="I68" s="19"/>
      <c r="J68" s="20"/>
      <c r="K68" s="21"/>
      <c r="L68" s="19"/>
      <c r="M68" s="20"/>
      <c r="N68" s="21"/>
      <c r="O68" s="19"/>
      <c r="P68" s="20"/>
      <c r="Q68" s="21"/>
      <c r="R68" s="19"/>
      <c r="S68" s="20"/>
      <c r="T68" s="21"/>
      <c r="U68" s="22" t="str">
        <f>IFERROR(IF(IF(X68&gt;0,X68,IF(Z68&gt;0,Z68,IF(AB68&gt;0,AB68,0)))=0,"--",ROUND(CHOOSE(IF(X68&gt;0,X68,IF(Z68&gt;0,Z68,IF(AB68&gt;0,AB68,0))),IF(C68="peso_corporal",IF(ISNUMBER(E68),E68,0)+F68,F68)*(1+G68/30),IF(C68="peso_corporal",IF(ISNUMBER(E68),E68,0)+I68,I68)*(1+J68/30),IF(C68="peso_corporal",IF(ISNUMBER(E68),E68,0)+L68,L68)*(1+M68/30),IF(C68="peso_corporal",IF(ISNUMBER(E68),E68,0)+O68,O68)*(1+P68/30),IF(C68="peso_corporal",IF(ISNUMBER(E68),E68,0)+R68,R68)*(1+S68/30)),1)),"--")</f>
        <v>--</v>
      </c>
      <c r="V68" s="23" t="str">
        <f>IF(SUGERENCIAS!N161="SIN","Sin datos anteriores",IF(SUGERENCIAS!N161="SUBIR_F","^ SUBIR FUERTE | Kg:"&amp;ROUND(SUGERENCIAS!K161,1)&amp;" R:"&amp;ROUND(SUGERENCIAS!L161,0)&amp;" RIR:"&amp;ROUND(SUGERENCIAS!M161,0),IF(SUGERENCIAS!N161="SUBIR_E","^ SUBIR (Est.) | Kg:"&amp;ROUND(SUGERENCIAS!K161,1)&amp;" R:"&amp;ROUND(SUGERENCIAS!L161,0)&amp;" RIR:"&amp;ROUND(SUGERENCIAS!M161,0),IF(SUGERENCIAS!N161="SUBIR","^ SUBIR | Kg:"&amp;ROUND(SUGERENCIAS!K161,1)&amp;" R:"&amp;ROUND(SUGERENCIAS!L161,0)&amp;" RIR:"&amp;ROUND(SUGERENCIAS!M161,0),IF(SUGERENCIAS!N161="BAJAR","v BAJAR | Kg:"&amp;ROUND(SUGERENCIAS!K161,1)&amp;" R:"&amp;ROUND(SUGERENCIAS!L161,0)&amp;" RIR:"&amp;ROUND(SUGERENCIAS!M161,0),"= MANT | Kg:"&amp;ROUND(SUGERENCIAS!K161,1)&amp;" R:"&amp;ROUND(SUGERENCIAS!L161,0)&amp;" RIR:"&amp;ROUND(SUGERENCIAS!M161,0))))))</f>
        <v>Sin datos anteriores</v>
      </c>
      <c r="W68" s="69">
        <f>MAX(IF((G68&gt;0)*(IF(H68="",-1,H68)&gt;=0)*(IF(H68="",-1,H68)&lt;=1),IF(C68="peso_corporal",IF(ISNUMBER(E68),E68,0)+F68,F68)*G68*1000+F68,0),IF((J68&gt;0)*(IF(K68="",-1,K68)&gt;=0)*(IF(K68="",-1,K68)&lt;=1),IF(C68="peso_corporal",IF(ISNUMBER(E68),E68,0)+I68,I68)*J68*1000+I68,0),IF((M68&gt;0)*(IF(N68="",-1,N68)&gt;=0)*(IF(N68="",-1,N68)&lt;=1),IF(C68="peso_corporal",IF(ISNUMBER(E68),E68,0)+L68,L68)*M68*1000+L68,0),IF((P68&gt;0)*(IF(Q68="",-1,Q68)&gt;=0)*(IF(Q68="",-1,Q68)&lt;=1),IF(C68="peso_corporal",IF(ISNUMBER(E68),E68,0)+O68,O68)*P68*1000+O68,0),IF((S68&gt;0)*(IF(T68="",-1,T68)&gt;=0)*(IF(T68="",-1,T68)&lt;=1),IF(C68="peso_corporal",IF(ISNUMBER(E68),E68,0)+R68,R68)*S68*1000+R68,0))</f>
        <v>0</v>
      </c>
      <c r="X68" s="69">
        <f>IF(W68=0,0,IF(IF((S68&gt;0)*(IF(T68="",-1,T68)&gt;=0)*(IF(T68="",-1,T68)&lt;=1),IF(C68="peso_corporal",IF(ISNUMBER(E68),E68,0)+R68,R68)*S68*1000+R68,0)=W68,5,IF(IF((P68&gt;0)*(IF(Q68="",-1,Q68)&gt;=0)*(IF(Q68="",-1,Q68)&lt;=1),IF(C68="peso_corporal",IF(ISNUMBER(E68),E68,0)+O68,O68)*P68*1000+O68,0)=W68,4,IF(IF((M68&gt;0)*(IF(N68="",-1,N68)&gt;=0)*(IF(N68="",-1,N68)&lt;=1),IF(C68="peso_corporal",IF(ISNUMBER(E68),E68,0)+L68,L68)*M68*1000+L68,0)=W68,3,IF(IF((J68&gt;0)*(IF(K68="",-1,K68)&gt;=0)*(IF(K68="",-1,K68)&lt;=1),IF(C68="peso_corporal",IF(ISNUMBER(E68),E68,0)+I68,I68)*J68*1000+I68,0)=W68,2,IF(IF((G68&gt;0)*(IF(H68="",-1,H68)&gt;=0)*(IF(H68="",-1,H68)&lt;=1),IF(C68="peso_corporal",IF(ISNUMBER(E68),E68,0)+F68,F68)*G68*1000+F68,0)=W68,1,0))))))</f>
        <v>0</v>
      </c>
      <c r="Y68" s="69">
        <f>MAX(IF((G68&gt;0)*(IF(H68="",-1,H68)=0)*(1-(IF(H68="",-1,H68)&gt;=0)*(IF(H68="",-1,H68)&lt;=1)),IF(C68="peso_corporal",IF(ISNUMBER(E68),E68,0)+F68,F68)*G68*1000+F68,0),IF((J68&gt;0)*(IF(K68="",-1,K68)=0)*(1-(IF(K68="",-1,K68)&gt;=0)*(IF(K68="",-1,K68)&lt;=1)),IF(C68="peso_corporal",IF(ISNUMBER(E68),E68,0)+I68,I68)*J68*1000+I68,0),IF((M68&gt;0)*(IF(N68="",-1,N68)=0)*(1-(IF(N68="",-1,N68)&gt;=0)*(IF(N68="",-1,N68)&lt;=1)),IF(C68="peso_corporal",IF(ISNUMBER(E68),E68,0)+L68,L68)*M68*1000+L68,0),IF((P68&gt;0)*(IF(Q68="",-1,Q68)=0)*(1-(IF(Q68="",-1,Q68)&gt;=0)*(IF(Q68="",-1,Q68)&lt;=1)),IF(C68="peso_corporal",IF(ISNUMBER(E68),E68,0)+O68,O68)*P68*1000+O68,0),IF((S68&gt;0)*(IF(T68="",-1,T68)=0)*(1-(IF(T68="",-1,T68)&gt;=0)*(IF(T68="",-1,T68)&lt;=1)),IF(C68="peso_corporal",IF(ISNUMBER(E68),E68,0)+R68,R68)*S68*1000+R68,0))</f>
        <v>0</v>
      </c>
      <c r="Z68" s="69">
        <f>IF(Y68=0,0,IF(IF((S68&gt;0)*(IF(T68="",-1,T68)=0)*(1-(IF(T68="",-1,T68)&gt;=0)*(IF(T68="",-1,T68)&lt;=1)),IF(C68="peso_corporal",IF(ISNUMBER(E68),E68,0)+R68,R68)*S68*1000+R68,0)=Y68,5,IF(IF((P68&gt;0)*(IF(Q68="",-1,Q68)=0)*(1-(IF(Q68="",-1,Q68)&gt;=0)*(IF(Q68="",-1,Q68)&lt;=1)),IF(C68="peso_corporal",IF(ISNUMBER(E68),E68,0)+O68,O68)*P68*1000+O68,0)=Y68,4,IF(IF((M68&gt;0)*(IF(N68="",-1,N68)=0)*(1-(IF(N68="",-1,N68)&gt;=0)*(IF(N68="",-1,N68)&lt;=1)),IF(C68="peso_corporal",IF(ISNUMBER(E68),E68,0)+L68,L68)*M68*1000+L68,0)=Y68,3,IF(IF((J68&gt;0)*(IF(K68="",-1,K68)=0)*(1-(IF(K68="",-1,K68)&gt;=0)*(IF(K68="",-1,K68)&lt;=1)),IF(C68="peso_corporal",IF(ISNUMBER(E68),E68,0)+I68,I68)*J68*1000+I68,0)=Y68,2,IF(IF((G68&gt;0)*(IF(H68="",-1,H68)=0)*(1-(IF(H68="",-1,H68)&gt;=0)*(IF(H68="",-1,H68)&lt;=1)),IF(C68="peso_corporal",IF(ISNUMBER(E68),E68,0)+F68,F68)*G68*1000+F68,0)=Y68,1,0))))))</f>
        <v>0</v>
      </c>
      <c r="AA68" s="69">
        <f>MAX(IF((G68&gt;=3)*(1-(IF(H68="",-1,H68)&gt;=0)*(IF(H68="",-1,H68)&lt;=1))*(1-(IF(H68="",-1,H68)=0)),IF(C68="peso_corporal",IF(ISNUMBER(E68),E68,0)+F68,F68)*(30+G68)*100+F68,0),IF((J68&gt;=3)*(1-(IF(K68="",-1,K68)&gt;=0)*(IF(K68="",-1,K68)&lt;=1))*(1-(IF(K68="",-1,K68)=0)),IF(C68="peso_corporal",IF(ISNUMBER(E68),E68,0)+I68,I68)*(30+J68)*100+I68,0),IF((M68&gt;=3)*(1-(IF(N68="",-1,N68)&gt;=0)*(IF(N68="",-1,N68)&lt;=1))*(1-(IF(N68="",-1,N68)=0)),IF(C68="peso_corporal",IF(ISNUMBER(E68),E68,0)+L68,L68)*(30+M68)*100+L68,0),IF((P68&gt;=3)*(1-(IF(Q68="",-1,Q68)&gt;=0)*(IF(Q68="",-1,Q68)&lt;=1))*(1-(IF(Q68="",-1,Q68)=0)),IF(C68="peso_corporal",IF(ISNUMBER(E68),E68,0)+O68,O68)*(30+P68)*100+O68,0),IF((S68&gt;=3)*(1-(IF(T68="",-1,T68)&gt;=0)*(IF(T68="",-1,T68)&lt;=1))*(1-(IF(T68="",-1,T68)=0)),IF(C68="peso_corporal",IF(ISNUMBER(E68),E68,0)+R68,R68)*(30+S68)*100+R68,0))</f>
        <v>0</v>
      </c>
      <c r="AB68" s="69">
        <f>IF(AA68=0,0,IF(IF((S68&gt;=3)*(1-(IF(T68="",-1,T68)&gt;=0)*(IF(T68="",-1,T68)&lt;=1))*(1-(IF(T68="",-1,T68)=0)),IF(C68="peso_corporal",IF(ISNUMBER(E68),E68,0)+R68,R68)*(30+S68)*100+R68,0)=AA68,5,IF(IF((P68&gt;=3)*(1-(IF(Q68="",-1,Q68)&gt;=0)*(IF(Q68="",-1,Q68)&lt;=1))*(1-(IF(Q68="",-1,Q68)=0)),IF(C68="peso_corporal",IF(ISNUMBER(E68),E68,0)+O68,O68)*(30+P68)*100+O68,0)=AA68,4,IF(IF((M68&gt;=3)*(1-(IF(N68="",-1,N68)&gt;=0)*(IF(N68="",-1,N68)&lt;=1))*(1-(IF(N68="",-1,N68)=0)),IF(C68="peso_corporal",IF(ISNUMBER(E68),E68,0)+L68,L68)*(30+M68)*100+L68,0)=AA68,3,IF(IF((J68&gt;=3)*(1-(IF(K68="",-1,K68)&gt;=0)*(IF(K68="",-1,K68)&lt;=1))*(1-(IF(K68="",-1,K68)=0)),IF(C68="peso_corporal",IF(ISNUMBER(E68),E68,0)+I68,I68)*(30+J68)*100+I68,0)=AA68,2,IF(IF((G68&gt;=3)*(1-(IF(H68="",-1,H68)&gt;=0)*(IF(H68="",-1,H68)&lt;=1))*(1-(IF(H68="",-1,H68)=0)),IF(C68="peso_corporal",IF(ISNUMBER(E68),E68,0)+F68,F68)*(30+G68)*100+F68,0)=AA68,1,0))))))</f>
        <v>0</v>
      </c>
      <c r="AC68" s="69" t="str">
        <f>IF(X68&gt;0,"A"&amp;X68,IF(Z68&gt;0,"B"&amp;Z68,IF(AB68&gt;0,"C"&amp;AB68,"")))</f>
        <v/>
      </c>
    </row>
    <row r="69" spans="1:29" ht="20.100000000000001" customHeight="1">
      <c r="A69" s="14" t="s">
        <v>144</v>
      </c>
      <c r="B69" s="15" t="s">
        <v>60</v>
      </c>
      <c r="C69" s="16" t="str">
        <f>IFERROR(INDEX(EJERCICIOS!$D$3:$D$75,MATCH(A69&amp;"|"&amp;B69,EJERCICIOS!$G$3:$G$75,0)),"--")</f>
        <v>disco</v>
      </c>
      <c r="D69" s="17">
        <v>3</v>
      </c>
      <c r="E69" s="18">
        <f>IFERROR(LOOKUP(2,1/(MEDIDAS_Y_PESO!$B$3:$B$5&lt;&gt;""),MEDIDAS_Y_PESO!$B$3:$B$5),"--")</f>
        <v>80</v>
      </c>
      <c r="F69" s="19"/>
      <c r="G69" s="20"/>
      <c r="H69" s="21"/>
      <c r="I69" s="19"/>
      <c r="J69" s="20"/>
      <c r="K69" s="21"/>
      <c r="L69" s="19"/>
      <c r="M69" s="20"/>
      <c r="N69" s="21"/>
      <c r="O69" s="19"/>
      <c r="P69" s="20"/>
      <c r="Q69" s="21"/>
      <c r="R69" s="19"/>
      <c r="S69" s="20"/>
      <c r="T69" s="21"/>
      <c r="U69" s="22" t="str">
        <f>IFERROR(IF(IF(X69&gt;0,X69,IF(Z69&gt;0,Z69,IF(AB69&gt;0,AB69,0)))=0,"--",ROUND(CHOOSE(IF(X69&gt;0,X69,IF(Z69&gt;0,Z69,IF(AB69&gt;0,AB69,0))),IF(C69="peso_corporal",IF(ISNUMBER(E69),E69,0)+F69,F69)*(1+G69/30),IF(C69="peso_corporal",IF(ISNUMBER(E69),E69,0)+I69,I69)*(1+J69/30),IF(C69="peso_corporal",IF(ISNUMBER(E69),E69,0)+L69,L69)*(1+M69/30),IF(C69="peso_corporal",IF(ISNUMBER(E69),E69,0)+O69,O69)*(1+P69/30),IF(C69="peso_corporal",IF(ISNUMBER(E69),E69,0)+R69,R69)*(1+S69/30)),1)),"--")</f>
        <v>--</v>
      </c>
      <c r="V69" s="23" t="str">
        <f>IF(SUGERENCIAS!N162="SIN","Sin datos anteriores",IF(SUGERENCIAS!N162="SUBIR_F","^ SUBIR FUERTE | Kg:"&amp;ROUND(SUGERENCIAS!K162,1)&amp;" R:"&amp;ROUND(SUGERENCIAS!L162,0)&amp;" RIR:"&amp;ROUND(SUGERENCIAS!M162,0),IF(SUGERENCIAS!N162="SUBIR_E","^ SUBIR (Est.) | Kg:"&amp;ROUND(SUGERENCIAS!K162,1)&amp;" R:"&amp;ROUND(SUGERENCIAS!L162,0)&amp;" RIR:"&amp;ROUND(SUGERENCIAS!M162,0),IF(SUGERENCIAS!N162="SUBIR","^ SUBIR | Kg:"&amp;ROUND(SUGERENCIAS!K162,1)&amp;" R:"&amp;ROUND(SUGERENCIAS!L162,0)&amp;" RIR:"&amp;ROUND(SUGERENCIAS!M162,0),IF(SUGERENCIAS!N162="BAJAR","v BAJAR | Kg:"&amp;ROUND(SUGERENCIAS!K162,1)&amp;" R:"&amp;ROUND(SUGERENCIAS!L162,0)&amp;" RIR:"&amp;ROUND(SUGERENCIAS!M162,0),"= MANT | Kg:"&amp;ROUND(SUGERENCIAS!K162,1)&amp;" R:"&amp;ROUND(SUGERENCIAS!L162,0)&amp;" RIR:"&amp;ROUND(SUGERENCIAS!M162,0))))))</f>
        <v>Sin datos anteriores</v>
      </c>
      <c r="W69" s="69">
        <f>MAX(IF((G69&gt;0)*(IF(H69="",-1,H69)&gt;=0)*(IF(H69="",-1,H69)&lt;=1),IF(C69="peso_corporal",IF(ISNUMBER(E69),E69,0)+F69,F69)*G69*1000+F69,0),IF((J69&gt;0)*(IF(K69="",-1,K69)&gt;=0)*(IF(K69="",-1,K69)&lt;=1),IF(C69="peso_corporal",IF(ISNUMBER(E69),E69,0)+I69,I69)*J69*1000+I69,0),IF((M69&gt;0)*(IF(N69="",-1,N69)&gt;=0)*(IF(N69="",-1,N69)&lt;=1),IF(C69="peso_corporal",IF(ISNUMBER(E69),E69,0)+L69,L69)*M69*1000+L69,0),IF((P69&gt;0)*(IF(Q69="",-1,Q69)&gt;=0)*(IF(Q69="",-1,Q69)&lt;=1),IF(C69="peso_corporal",IF(ISNUMBER(E69),E69,0)+O69,O69)*P69*1000+O69,0),IF((S69&gt;0)*(IF(T69="",-1,T69)&gt;=0)*(IF(T69="",-1,T69)&lt;=1),IF(C69="peso_corporal",IF(ISNUMBER(E69),E69,0)+R69,R69)*S69*1000+R69,0))</f>
        <v>0</v>
      </c>
      <c r="X69" s="69">
        <f>IF(W69=0,0,IF(IF((S69&gt;0)*(IF(T69="",-1,T69)&gt;=0)*(IF(T69="",-1,T69)&lt;=1),IF(C69="peso_corporal",IF(ISNUMBER(E69),E69,0)+R69,R69)*S69*1000+R69,0)=W69,5,IF(IF((P69&gt;0)*(IF(Q69="",-1,Q69)&gt;=0)*(IF(Q69="",-1,Q69)&lt;=1),IF(C69="peso_corporal",IF(ISNUMBER(E69),E69,0)+O69,O69)*P69*1000+O69,0)=W69,4,IF(IF((M69&gt;0)*(IF(N69="",-1,N69)&gt;=0)*(IF(N69="",-1,N69)&lt;=1),IF(C69="peso_corporal",IF(ISNUMBER(E69),E69,0)+L69,L69)*M69*1000+L69,0)=W69,3,IF(IF((J69&gt;0)*(IF(K69="",-1,K69)&gt;=0)*(IF(K69="",-1,K69)&lt;=1),IF(C69="peso_corporal",IF(ISNUMBER(E69),E69,0)+I69,I69)*J69*1000+I69,0)=W69,2,IF(IF((G69&gt;0)*(IF(H69="",-1,H69)&gt;=0)*(IF(H69="",-1,H69)&lt;=1),IF(C69="peso_corporal",IF(ISNUMBER(E69),E69,0)+F69,F69)*G69*1000+F69,0)=W69,1,0))))))</f>
        <v>0</v>
      </c>
      <c r="Y69" s="69">
        <f>MAX(IF((G69&gt;0)*(IF(H69="",-1,H69)=0)*(1-(IF(H69="",-1,H69)&gt;=0)*(IF(H69="",-1,H69)&lt;=1)),IF(C69="peso_corporal",IF(ISNUMBER(E69),E69,0)+F69,F69)*G69*1000+F69,0),IF((J69&gt;0)*(IF(K69="",-1,K69)=0)*(1-(IF(K69="",-1,K69)&gt;=0)*(IF(K69="",-1,K69)&lt;=1)),IF(C69="peso_corporal",IF(ISNUMBER(E69),E69,0)+I69,I69)*J69*1000+I69,0),IF((M69&gt;0)*(IF(N69="",-1,N69)=0)*(1-(IF(N69="",-1,N69)&gt;=0)*(IF(N69="",-1,N69)&lt;=1)),IF(C69="peso_corporal",IF(ISNUMBER(E69),E69,0)+L69,L69)*M69*1000+L69,0),IF((P69&gt;0)*(IF(Q69="",-1,Q69)=0)*(1-(IF(Q69="",-1,Q69)&gt;=0)*(IF(Q69="",-1,Q69)&lt;=1)),IF(C69="peso_corporal",IF(ISNUMBER(E69),E69,0)+O69,O69)*P69*1000+O69,0),IF((S69&gt;0)*(IF(T69="",-1,T69)=0)*(1-(IF(T69="",-1,T69)&gt;=0)*(IF(T69="",-1,T69)&lt;=1)),IF(C69="peso_corporal",IF(ISNUMBER(E69),E69,0)+R69,R69)*S69*1000+R69,0))</f>
        <v>0</v>
      </c>
      <c r="Z69" s="69">
        <f>IF(Y69=0,0,IF(IF((S69&gt;0)*(IF(T69="",-1,T69)=0)*(1-(IF(T69="",-1,T69)&gt;=0)*(IF(T69="",-1,T69)&lt;=1)),IF(C69="peso_corporal",IF(ISNUMBER(E69),E69,0)+R69,R69)*S69*1000+R69,0)=Y69,5,IF(IF((P69&gt;0)*(IF(Q69="",-1,Q69)=0)*(1-(IF(Q69="",-1,Q69)&gt;=0)*(IF(Q69="",-1,Q69)&lt;=1)),IF(C69="peso_corporal",IF(ISNUMBER(E69),E69,0)+O69,O69)*P69*1000+O69,0)=Y69,4,IF(IF((M69&gt;0)*(IF(N69="",-1,N69)=0)*(1-(IF(N69="",-1,N69)&gt;=0)*(IF(N69="",-1,N69)&lt;=1)),IF(C69="peso_corporal",IF(ISNUMBER(E69),E69,0)+L69,L69)*M69*1000+L69,0)=Y69,3,IF(IF((J69&gt;0)*(IF(K69="",-1,K69)=0)*(1-(IF(K69="",-1,K69)&gt;=0)*(IF(K69="",-1,K69)&lt;=1)),IF(C69="peso_corporal",IF(ISNUMBER(E69),E69,0)+I69,I69)*J69*1000+I69,0)=Y69,2,IF(IF((G69&gt;0)*(IF(H69="",-1,H69)=0)*(1-(IF(H69="",-1,H69)&gt;=0)*(IF(H69="",-1,H69)&lt;=1)),IF(C69="peso_corporal",IF(ISNUMBER(E69),E69,0)+F69,F69)*G69*1000+F69,0)=Y69,1,0))))))</f>
        <v>0</v>
      </c>
      <c r="AA69" s="69">
        <f>MAX(IF((G69&gt;=3)*(1-(IF(H69="",-1,H69)&gt;=0)*(IF(H69="",-1,H69)&lt;=1))*(1-(IF(H69="",-1,H69)=0)),IF(C69="peso_corporal",IF(ISNUMBER(E69),E69,0)+F69,F69)*(30+G69)*100+F69,0),IF((J69&gt;=3)*(1-(IF(K69="",-1,K69)&gt;=0)*(IF(K69="",-1,K69)&lt;=1))*(1-(IF(K69="",-1,K69)=0)),IF(C69="peso_corporal",IF(ISNUMBER(E69),E69,0)+I69,I69)*(30+J69)*100+I69,0),IF((M69&gt;=3)*(1-(IF(N69="",-1,N69)&gt;=0)*(IF(N69="",-1,N69)&lt;=1))*(1-(IF(N69="",-1,N69)=0)),IF(C69="peso_corporal",IF(ISNUMBER(E69),E69,0)+L69,L69)*(30+M69)*100+L69,0),IF((P69&gt;=3)*(1-(IF(Q69="",-1,Q69)&gt;=0)*(IF(Q69="",-1,Q69)&lt;=1))*(1-(IF(Q69="",-1,Q69)=0)),IF(C69="peso_corporal",IF(ISNUMBER(E69),E69,0)+O69,O69)*(30+P69)*100+O69,0),IF((S69&gt;=3)*(1-(IF(T69="",-1,T69)&gt;=0)*(IF(T69="",-1,T69)&lt;=1))*(1-(IF(T69="",-1,T69)=0)),IF(C69="peso_corporal",IF(ISNUMBER(E69),E69,0)+R69,R69)*(30+S69)*100+R69,0))</f>
        <v>0</v>
      </c>
      <c r="AB69" s="69">
        <f>IF(AA69=0,0,IF(IF((S69&gt;=3)*(1-(IF(T69="",-1,T69)&gt;=0)*(IF(T69="",-1,T69)&lt;=1))*(1-(IF(T69="",-1,T69)=0)),IF(C69="peso_corporal",IF(ISNUMBER(E69),E69,0)+R69,R69)*(30+S69)*100+R69,0)=AA69,5,IF(IF((P69&gt;=3)*(1-(IF(Q69="",-1,Q69)&gt;=0)*(IF(Q69="",-1,Q69)&lt;=1))*(1-(IF(Q69="",-1,Q69)=0)),IF(C69="peso_corporal",IF(ISNUMBER(E69),E69,0)+O69,O69)*(30+P69)*100+O69,0)=AA69,4,IF(IF((M69&gt;=3)*(1-(IF(N69="",-1,N69)&gt;=0)*(IF(N69="",-1,N69)&lt;=1))*(1-(IF(N69="",-1,N69)=0)),IF(C69="peso_corporal",IF(ISNUMBER(E69),E69,0)+L69,L69)*(30+M69)*100+L69,0)=AA69,3,IF(IF((J69&gt;=3)*(1-(IF(K69="",-1,K69)&gt;=0)*(IF(K69="",-1,K69)&lt;=1))*(1-(IF(K69="",-1,K69)=0)),IF(C69="peso_corporal",IF(ISNUMBER(E69),E69,0)+I69,I69)*(30+J69)*100+I69,0)=AA69,2,IF(IF((G69&gt;=3)*(1-(IF(H69="",-1,H69)&gt;=0)*(IF(H69="",-1,H69)&lt;=1))*(1-(IF(H69="",-1,H69)=0)),IF(C69="peso_corporal",IF(ISNUMBER(E69),E69,0)+F69,F69)*(30+G69)*100+F69,0)=AA69,1,0))))))</f>
        <v>0</v>
      </c>
      <c r="AC69" s="69" t="str">
        <f>IF(X69&gt;0,"A"&amp;X69,IF(Z69&gt;0,"B"&amp;Z69,IF(AB69&gt;0,"C"&amp;AB69,"")))</f>
        <v/>
      </c>
    </row>
    <row r="70" spans="1:29" ht="15" customHeight="1">
      <c r="A70" s="91" t="s">
        <v>145</v>
      </c>
      <c r="B70" s="73"/>
      <c r="C70" s="73"/>
      <c r="D70" s="73"/>
      <c r="E70" s="73"/>
      <c r="F70" s="73"/>
      <c r="G70" s="73"/>
      <c r="H70" s="73"/>
      <c r="I70" s="73"/>
      <c r="J70" s="73"/>
      <c r="K70" s="73"/>
      <c r="L70" s="73"/>
      <c r="M70" s="73"/>
      <c r="N70" s="73"/>
      <c r="O70" s="73"/>
      <c r="P70" s="73"/>
      <c r="Q70" s="73"/>
      <c r="R70" s="73"/>
      <c r="S70" s="73"/>
      <c r="T70" s="73"/>
      <c r="U70" s="73"/>
      <c r="V70" s="73"/>
      <c r="W70" s="69"/>
      <c r="X70" s="69"/>
      <c r="Y70" s="69"/>
      <c r="Z70" s="69"/>
      <c r="AA70" s="69"/>
      <c r="AB70" s="69"/>
      <c r="AC70" s="69"/>
    </row>
    <row r="71" spans="1:29" ht="20.100000000000001" customHeight="1">
      <c r="A71" s="14" t="s">
        <v>57</v>
      </c>
      <c r="B71" s="15" t="s">
        <v>58</v>
      </c>
      <c r="C71" s="16" t="str">
        <f>IFERROR(INDEX(EJERCICIOS!$D$3:$D$75,MATCH(A71&amp;"|"&amp;B71,EJERCICIOS!$G$3:$G$75,0)),"--")</f>
        <v>polea</v>
      </c>
      <c r="D71" s="17">
        <v>3</v>
      </c>
      <c r="E71" s="18">
        <f>IFERROR(LOOKUP(2,1/(MEDIDAS_Y_PESO!$B$3:$B$5&lt;&gt;""),MEDIDAS_Y_PESO!$B$3:$B$5),"--")</f>
        <v>80</v>
      </c>
      <c r="F71" s="19"/>
      <c r="G71" s="20"/>
      <c r="H71" s="21"/>
      <c r="I71" s="19"/>
      <c r="J71" s="20"/>
      <c r="K71" s="21"/>
      <c r="L71" s="19"/>
      <c r="M71" s="20"/>
      <c r="N71" s="21"/>
      <c r="O71" s="19"/>
      <c r="P71" s="20"/>
      <c r="Q71" s="21"/>
      <c r="R71" s="19"/>
      <c r="S71" s="20"/>
      <c r="T71" s="21"/>
      <c r="U71" s="22" t="str">
        <f>IFERROR(IF(IF(X71&gt;0,X71,IF(Z71&gt;0,Z71,IF(AB71&gt;0,AB71,0)))=0,"--",ROUND(CHOOSE(IF(X71&gt;0,X71,IF(Z71&gt;0,Z71,IF(AB71&gt;0,AB71,0))),IF(C71="peso_corporal",IF(ISNUMBER(E71),E71,0)+F71,F71)*(1+G71/30),IF(C71="peso_corporal",IF(ISNUMBER(E71),E71,0)+I71,I71)*(1+J71/30),IF(C71="peso_corporal",IF(ISNUMBER(E71),E71,0)+L71,L71)*(1+M71/30),IF(C71="peso_corporal",IF(ISNUMBER(E71),E71,0)+O71,O71)*(1+P71/30),IF(C71="peso_corporal",IF(ISNUMBER(E71),E71,0)+R71,R71)*(1+S71/30)),1)),"--")</f>
        <v>--</v>
      </c>
      <c r="V71" s="23" t="str">
        <f>IF(SUGERENCIAS!N163="SIN","Sin datos anteriores",IF(SUGERENCIAS!N163="SUBIR_F","^ SUBIR FUERTE | Kg:"&amp;ROUND(SUGERENCIAS!K163,1)&amp;" R:"&amp;ROUND(SUGERENCIAS!L163,0)&amp;" RIR:"&amp;ROUND(SUGERENCIAS!M163,0),IF(SUGERENCIAS!N163="SUBIR_E","^ SUBIR (Est.) | Kg:"&amp;ROUND(SUGERENCIAS!K163,1)&amp;" R:"&amp;ROUND(SUGERENCIAS!L163,0)&amp;" RIR:"&amp;ROUND(SUGERENCIAS!M163,0),IF(SUGERENCIAS!N163="SUBIR","^ SUBIR | Kg:"&amp;ROUND(SUGERENCIAS!K163,1)&amp;" R:"&amp;ROUND(SUGERENCIAS!L163,0)&amp;" RIR:"&amp;ROUND(SUGERENCIAS!M163,0),IF(SUGERENCIAS!N163="BAJAR","v BAJAR | Kg:"&amp;ROUND(SUGERENCIAS!K163,1)&amp;" R:"&amp;ROUND(SUGERENCIAS!L163,0)&amp;" RIR:"&amp;ROUND(SUGERENCIAS!M163,0),"= MANT | Kg:"&amp;ROUND(SUGERENCIAS!K163,1)&amp;" R:"&amp;ROUND(SUGERENCIAS!L163,0)&amp;" RIR:"&amp;ROUND(SUGERENCIAS!M163,0))))))</f>
        <v>Sin datos anteriores</v>
      </c>
      <c r="W71" s="69">
        <f>MAX(IF((G71&gt;0)*(IF(H71="",-1,H71)&gt;=0)*(IF(H71="",-1,H71)&lt;=1),IF(C71="peso_corporal",IF(ISNUMBER(E71),E71,0)+F71,F71)*G71*1000+F71,0),IF((J71&gt;0)*(IF(K71="",-1,K71)&gt;=0)*(IF(K71="",-1,K71)&lt;=1),IF(C71="peso_corporal",IF(ISNUMBER(E71),E71,0)+I71,I71)*J71*1000+I71,0),IF((M71&gt;0)*(IF(N71="",-1,N71)&gt;=0)*(IF(N71="",-1,N71)&lt;=1),IF(C71="peso_corporal",IF(ISNUMBER(E71),E71,0)+L71,L71)*M71*1000+L71,0),IF((P71&gt;0)*(IF(Q71="",-1,Q71)&gt;=0)*(IF(Q71="",-1,Q71)&lt;=1),IF(C71="peso_corporal",IF(ISNUMBER(E71),E71,0)+O71,O71)*P71*1000+O71,0),IF((S71&gt;0)*(IF(T71="",-1,T71)&gt;=0)*(IF(T71="",-1,T71)&lt;=1),IF(C71="peso_corporal",IF(ISNUMBER(E71),E71,0)+R71,R71)*S71*1000+R71,0))</f>
        <v>0</v>
      </c>
      <c r="X71" s="69">
        <f>IF(W71=0,0,IF(IF((S71&gt;0)*(IF(T71="",-1,T71)&gt;=0)*(IF(T71="",-1,T71)&lt;=1),IF(C71="peso_corporal",IF(ISNUMBER(E71),E71,0)+R71,R71)*S71*1000+R71,0)=W71,5,IF(IF((P71&gt;0)*(IF(Q71="",-1,Q71)&gt;=0)*(IF(Q71="",-1,Q71)&lt;=1),IF(C71="peso_corporal",IF(ISNUMBER(E71),E71,0)+O71,O71)*P71*1000+O71,0)=W71,4,IF(IF((M71&gt;0)*(IF(N71="",-1,N71)&gt;=0)*(IF(N71="",-1,N71)&lt;=1),IF(C71="peso_corporal",IF(ISNUMBER(E71),E71,0)+L71,L71)*M71*1000+L71,0)=W71,3,IF(IF((J71&gt;0)*(IF(K71="",-1,K71)&gt;=0)*(IF(K71="",-1,K71)&lt;=1),IF(C71="peso_corporal",IF(ISNUMBER(E71),E71,0)+I71,I71)*J71*1000+I71,0)=W71,2,IF(IF((G71&gt;0)*(IF(H71="",-1,H71)&gt;=0)*(IF(H71="",-1,H71)&lt;=1),IF(C71="peso_corporal",IF(ISNUMBER(E71),E71,0)+F71,F71)*G71*1000+F71,0)=W71,1,0))))))</f>
        <v>0</v>
      </c>
      <c r="Y71" s="69">
        <f>MAX(IF((G71&gt;0)*(IF(H71="",-1,H71)=0)*(1-(IF(H71="",-1,H71)&gt;=0)*(IF(H71="",-1,H71)&lt;=1)),IF(C71="peso_corporal",IF(ISNUMBER(E71),E71,0)+F71,F71)*G71*1000+F71,0),IF((J71&gt;0)*(IF(K71="",-1,K71)=0)*(1-(IF(K71="",-1,K71)&gt;=0)*(IF(K71="",-1,K71)&lt;=1)),IF(C71="peso_corporal",IF(ISNUMBER(E71),E71,0)+I71,I71)*J71*1000+I71,0),IF((M71&gt;0)*(IF(N71="",-1,N71)=0)*(1-(IF(N71="",-1,N71)&gt;=0)*(IF(N71="",-1,N71)&lt;=1)),IF(C71="peso_corporal",IF(ISNUMBER(E71),E71,0)+L71,L71)*M71*1000+L71,0),IF((P71&gt;0)*(IF(Q71="",-1,Q71)=0)*(1-(IF(Q71="",-1,Q71)&gt;=0)*(IF(Q71="",-1,Q71)&lt;=1)),IF(C71="peso_corporal",IF(ISNUMBER(E71),E71,0)+O71,O71)*P71*1000+O71,0),IF((S71&gt;0)*(IF(T71="",-1,T71)=0)*(1-(IF(T71="",-1,T71)&gt;=0)*(IF(T71="",-1,T71)&lt;=1)),IF(C71="peso_corporal",IF(ISNUMBER(E71),E71,0)+R71,R71)*S71*1000+R71,0))</f>
        <v>0</v>
      </c>
      <c r="Z71" s="69">
        <f>IF(Y71=0,0,IF(IF((S71&gt;0)*(IF(T71="",-1,T71)=0)*(1-(IF(T71="",-1,T71)&gt;=0)*(IF(T71="",-1,T71)&lt;=1)),IF(C71="peso_corporal",IF(ISNUMBER(E71),E71,0)+R71,R71)*S71*1000+R71,0)=Y71,5,IF(IF((P71&gt;0)*(IF(Q71="",-1,Q71)=0)*(1-(IF(Q71="",-1,Q71)&gt;=0)*(IF(Q71="",-1,Q71)&lt;=1)),IF(C71="peso_corporal",IF(ISNUMBER(E71),E71,0)+O71,O71)*P71*1000+O71,0)=Y71,4,IF(IF((M71&gt;0)*(IF(N71="",-1,N71)=0)*(1-(IF(N71="",-1,N71)&gt;=0)*(IF(N71="",-1,N71)&lt;=1)),IF(C71="peso_corporal",IF(ISNUMBER(E71),E71,0)+L71,L71)*M71*1000+L71,0)=Y71,3,IF(IF((J71&gt;0)*(IF(K71="",-1,K71)=0)*(1-(IF(K71="",-1,K71)&gt;=0)*(IF(K71="",-1,K71)&lt;=1)),IF(C71="peso_corporal",IF(ISNUMBER(E71),E71,0)+I71,I71)*J71*1000+I71,0)=Y71,2,IF(IF((G71&gt;0)*(IF(H71="",-1,H71)=0)*(1-(IF(H71="",-1,H71)&gt;=0)*(IF(H71="",-1,H71)&lt;=1)),IF(C71="peso_corporal",IF(ISNUMBER(E71),E71,0)+F71,F71)*G71*1000+F71,0)=Y71,1,0))))))</f>
        <v>0</v>
      </c>
      <c r="AA71" s="69">
        <f>MAX(IF((G71&gt;=3)*(1-(IF(H71="",-1,H71)&gt;=0)*(IF(H71="",-1,H71)&lt;=1))*(1-(IF(H71="",-1,H71)=0)),IF(C71="peso_corporal",IF(ISNUMBER(E71),E71,0)+F71,F71)*(30+G71)*100+F71,0),IF((J71&gt;=3)*(1-(IF(K71="",-1,K71)&gt;=0)*(IF(K71="",-1,K71)&lt;=1))*(1-(IF(K71="",-1,K71)=0)),IF(C71="peso_corporal",IF(ISNUMBER(E71),E71,0)+I71,I71)*(30+J71)*100+I71,0),IF((M71&gt;=3)*(1-(IF(N71="",-1,N71)&gt;=0)*(IF(N71="",-1,N71)&lt;=1))*(1-(IF(N71="",-1,N71)=0)),IF(C71="peso_corporal",IF(ISNUMBER(E71),E71,0)+L71,L71)*(30+M71)*100+L71,0),IF((P71&gt;=3)*(1-(IF(Q71="",-1,Q71)&gt;=0)*(IF(Q71="",-1,Q71)&lt;=1))*(1-(IF(Q71="",-1,Q71)=0)),IF(C71="peso_corporal",IF(ISNUMBER(E71),E71,0)+O71,O71)*(30+P71)*100+O71,0),IF((S71&gt;=3)*(1-(IF(T71="",-1,T71)&gt;=0)*(IF(T71="",-1,T71)&lt;=1))*(1-(IF(T71="",-1,T71)=0)),IF(C71="peso_corporal",IF(ISNUMBER(E71),E71,0)+R71,R71)*(30+S71)*100+R71,0))</f>
        <v>0</v>
      </c>
      <c r="AB71" s="69">
        <f>IF(AA71=0,0,IF(IF((S71&gt;=3)*(1-(IF(T71="",-1,T71)&gt;=0)*(IF(T71="",-1,T71)&lt;=1))*(1-(IF(T71="",-1,T71)=0)),IF(C71="peso_corporal",IF(ISNUMBER(E71),E71,0)+R71,R71)*(30+S71)*100+R71,0)=AA71,5,IF(IF((P71&gt;=3)*(1-(IF(Q71="",-1,Q71)&gt;=0)*(IF(Q71="",-1,Q71)&lt;=1))*(1-(IF(Q71="",-1,Q71)=0)),IF(C71="peso_corporal",IF(ISNUMBER(E71),E71,0)+O71,O71)*(30+P71)*100+O71,0)=AA71,4,IF(IF((M71&gt;=3)*(1-(IF(N71="",-1,N71)&gt;=0)*(IF(N71="",-1,N71)&lt;=1))*(1-(IF(N71="",-1,N71)=0)),IF(C71="peso_corporal",IF(ISNUMBER(E71),E71,0)+L71,L71)*(30+M71)*100+L71,0)=AA71,3,IF(IF((J71&gt;=3)*(1-(IF(K71="",-1,K71)&gt;=0)*(IF(K71="",-1,K71)&lt;=1))*(1-(IF(K71="",-1,K71)=0)),IF(C71="peso_corporal",IF(ISNUMBER(E71),E71,0)+I71,I71)*(30+J71)*100+I71,0)=AA71,2,IF(IF((G71&gt;=3)*(1-(IF(H71="",-1,H71)&gt;=0)*(IF(H71="",-1,H71)&lt;=1))*(1-(IF(H71="",-1,H71)=0)),IF(C71="peso_corporal",IF(ISNUMBER(E71),E71,0)+F71,F71)*(30+G71)*100+F71,0)=AA71,1,0))))))</f>
        <v>0</v>
      </c>
      <c r="AC71" s="69" t="str">
        <f>IF(X71&gt;0,"A"&amp;X71,IF(Z71&gt;0,"B"&amp;Z71,IF(AB71&gt;0,"C"&amp;AB71,"")))</f>
        <v/>
      </c>
    </row>
    <row r="72" spans="1:29" ht="20.100000000000001" customHeight="1">
      <c r="A72" s="14" t="s">
        <v>146</v>
      </c>
      <c r="B72" s="15" t="s">
        <v>152</v>
      </c>
      <c r="C72" s="16" t="str">
        <f>IFERROR(INDEX(EJERCICIOS!$D$3:$D$75,MATCH(A72&amp;"|"&amp;B72,EJERCICIOS!$G$3:$G$75,0)),"--")</f>
        <v>--</v>
      </c>
      <c r="D72" s="17">
        <v>3</v>
      </c>
      <c r="E72" s="18">
        <f>IFERROR(LOOKUP(2,1/(MEDIDAS_Y_PESO!$B$3:$B$5&lt;&gt;""),MEDIDAS_Y_PESO!$B$3:$B$5),"--")</f>
        <v>80</v>
      </c>
      <c r="F72" s="19"/>
      <c r="G72" s="20"/>
      <c r="H72" s="21"/>
      <c r="I72" s="19"/>
      <c r="J72" s="20"/>
      <c r="K72" s="21"/>
      <c r="L72" s="19"/>
      <c r="M72" s="20"/>
      <c r="N72" s="21"/>
      <c r="O72" s="19"/>
      <c r="P72" s="20"/>
      <c r="Q72" s="21"/>
      <c r="R72" s="19"/>
      <c r="S72" s="20"/>
      <c r="T72" s="21"/>
      <c r="U72" s="22" t="str">
        <f>IFERROR(IF(IF(X72&gt;0,X72,IF(Z72&gt;0,Z72,IF(AB72&gt;0,AB72,0)))=0,"--",ROUND(CHOOSE(IF(X72&gt;0,X72,IF(Z72&gt;0,Z72,IF(AB72&gt;0,AB72,0))),IF(C72="peso_corporal",IF(ISNUMBER(E72),E72,0)+F72,F72)*(1+G72/30),IF(C72="peso_corporal",IF(ISNUMBER(E72),E72,0)+I72,I72)*(1+J72/30),IF(C72="peso_corporal",IF(ISNUMBER(E72),E72,0)+L72,L72)*(1+M72/30),IF(C72="peso_corporal",IF(ISNUMBER(E72),E72,0)+O72,O72)*(1+P72/30),IF(C72="peso_corporal",IF(ISNUMBER(E72),E72,0)+R72,R72)*(1+S72/30)),1)),"--")</f>
        <v>--</v>
      </c>
      <c r="V72" s="23" t="str">
        <f>IF(SUGERENCIAS!N164="SIN","Sin datos anteriores",IF(SUGERENCIAS!N164="SUBIR_F","^ SUBIR FUERTE | Kg:"&amp;ROUND(SUGERENCIAS!K164,1)&amp;" R:"&amp;ROUND(SUGERENCIAS!L164,0)&amp;" RIR:"&amp;ROUND(SUGERENCIAS!M164,0),IF(SUGERENCIAS!N164="SUBIR_E","^ SUBIR (Est.) | Kg:"&amp;ROUND(SUGERENCIAS!K164,1)&amp;" R:"&amp;ROUND(SUGERENCIAS!L164,0)&amp;" RIR:"&amp;ROUND(SUGERENCIAS!M164,0),IF(SUGERENCIAS!N164="SUBIR","^ SUBIR | Kg:"&amp;ROUND(SUGERENCIAS!K164,1)&amp;" R:"&amp;ROUND(SUGERENCIAS!L164,0)&amp;" RIR:"&amp;ROUND(SUGERENCIAS!M164,0),IF(SUGERENCIAS!N164="BAJAR","v BAJAR | Kg:"&amp;ROUND(SUGERENCIAS!K164,1)&amp;" R:"&amp;ROUND(SUGERENCIAS!L164,0)&amp;" RIR:"&amp;ROUND(SUGERENCIAS!M164,0),"= MANT | Kg:"&amp;ROUND(SUGERENCIAS!K164,1)&amp;" R:"&amp;ROUND(SUGERENCIAS!L164,0)&amp;" RIR:"&amp;ROUND(SUGERENCIAS!M164,0))))))</f>
        <v>Sin datos anteriores</v>
      </c>
      <c r="W72" s="69">
        <f>MAX(IF((G72&gt;0)*(IF(H72="",-1,H72)&gt;=0)*(IF(H72="",-1,H72)&lt;=1),IF(C72="peso_corporal",IF(ISNUMBER(E72),E72,0)+F72,F72)*G72*1000+F72,0),IF((J72&gt;0)*(IF(K72="",-1,K72)&gt;=0)*(IF(K72="",-1,K72)&lt;=1),IF(C72="peso_corporal",IF(ISNUMBER(E72),E72,0)+I72,I72)*J72*1000+I72,0),IF((M72&gt;0)*(IF(N72="",-1,N72)&gt;=0)*(IF(N72="",-1,N72)&lt;=1),IF(C72="peso_corporal",IF(ISNUMBER(E72),E72,0)+L72,L72)*M72*1000+L72,0),IF((P72&gt;0)*(IF(Q72="",-1,Q72)&gt;=0)*(IF(Q72="",-1,Q72)&lt;=1),IF(C72="peso_corporal",IF(ISNUMBER(E72),E72,0)+O72,O72)*P72*1000+O72,0),IF((S72&gt;0)*(IF(T72="",-1,T72)&gt;=0)*(IF(T72="",-1,T72)&lt;=1),IF(C72="peso_corporal",IF(ISNUMBER(E72),E72,0)+R72,R72)*S72*1000+R72,0))</f>
        <v>0</v>
      </c>
      <c r="X72" s="69">
        <f>IF(W72=0,0,IF(IF((S72&gt;0)*(IF(T72="",-1,T72)&gt;=0)*(IF(T72="",-1,T72)&lt;=1),IF(C72="peso_corporal",IF(ISNUMBER(E72),E72,0)+R72,R72)*S72*1000+R72,0)=W72,5,IF(IF((P72&gt;0)*(IF(Q72="",-1,Q72)&gt;=0)*(IF(Q72="",-1,Q72)&lt;=1),IF(C72="peso_corporal",IF(ISNUMBER(E72),E72,0)+O72,O72)*P72*1000+O72,0)=W72,4,IF(IF((M72&gt;0)*(IF(N72="",-1,N72)&gt;=0)*(IF(N72="",-1,N72)&lt;=1),IF(C72="peso_corporal",IF(ISNUMBER(E72),E72,0)+L72,L72)*M72*1000+L72,0)=W72,3,IF(IF((J72&gt;0)*(IF(K72="",-1,K72)&gt;=0)*(IF(K72="",-1,K72)&lt;=1),IF(C72="peso_corporal",IF(ISNUMBER(E72),E72,0)+I72,I72)*J72*1000+I72,0)=W72,2,IF(IF((G72&gt;0)*(IF(H72="",-1,H72)&gt;=0)*(IF(H72="",-1,H72)&lt;=1),IF(C72="peso_corporal",IF(ISNUMBER(E72),E72,0)+F72,F72)*G72*1000+F72,0)=W72,1,0))))))</f>
        <v>0</v>
      </c>
      <c r="Y72" s="69">
        <f>MAX(IF((G72&gt;0)*(IF(H72="",-1,H72)=0)*(1-(IF(H72="",-1,H72)&gt;=0)*(IF(H72="",-1,H72)&lt;=1)),IF(C72="peso_corporal",IF(ISNUMBER(E72),E72,0)+F72,F72)*G72*1000+F72,0),IF((J72&gt;0)*(IF(K72="",-1,K72)=0)*(1-(IF(K72="",-1,K72)&gt;=0)*(IF(K72="",-1,K72)&lt;=1)),IF(C72="peso_corporal",IF(ISNUMBER(E72),E72,0)+I72,I72)*J72*1000+I72,0),IF((M72&gt;0)*(IF(N72="",-1,N72)=0)*(1-(IF(N72="",-1,N72)&gt;=0)*(IF(N72="",-1,N72)&lt;=1)),IF(C72="peso_corporal",IF(ISNUMBER(E72),E72,0)+L72,L72)*M72*1000+L72,0),IF((P72&gt;0)*(IF(Q72="",-1,Q72)=0)*(1-(IF(Q72="",-1,Q72)&gt;=0)*(IF(Q72="",-1,Q72)&lt;=1)),IF(C72="peso_corporal",IF(ISNUMBER(E72),E72,0)+O72,O72)*P72*1000+O72,0),IF((S72&gt;0)*(IF(T72="",-1,T72)=0)*(1-(IF(T72="",-1,T72)&gt;=0)*(IF(T72="",-1,T72)&lt;=1)),IF(C72="peso_corporal",IF(ISNUMBER(E72),E72,0)+R72,R72)*S72*1000+R72,0))</f>
        <v>0</v>
      </c>
      <c r="Z72" s="69">
        <f>IF(Y72=0,0,IF(IF((S72&gt;0)*(IF(T72="",-1,T72)=0)*(1-(IF(T72="",-1,T72)&gt;=0)*(IF(T72="",-1,T72)&lt;=1)),IF(C72="peso_corporal",IF(ISNUMBER(E72),E72,0)+R72,R72)*S72*1000+R72,0)=Y72,5,IF(IF((P72&gt;0)*(IF(Q72="",-1,Q72)=0)*(1-(IF(Q72="",-1,Q72)&gt;=0)*(IF(Q72="",-1,Q72)&lt;=1)),IF(C72="peso_corporal",IF(ISNUMBER(E72),E72,0)+O72,O72)*P72*1000+O72,0)=Y72,4,IF(IF((M72&gt;0)*(IF(N72="",-1,N72)=0)*(1-(IF(N72="",-1,N72)&gt;=0)*(IF(N72="",-1,N72)&lt;=1)),IF(C72="peso_corporal",IF(ISNUMBER(E72),E72,0)+L72,L72)*M72*1000+L72,0)=Y72,3,IF(IF((J72&gt;0)*(IF(K72="",-1,K72)=0)*(1-(IF(K72="",-1,K72)&gt;=0)*(IF(K72="",-1,K72)&lt;=1)),IF(C72="peso_corporal",IF(ISNUMBER(E72),E72,0)+I72,I72)*J72*1000+I72,0)=Y72,2,IF(IF((G72&gt;0)*(IF(H72="",-1,H72)=0)*(1-(IF(H72="",-1,H72)&gt;=0)*(IF(H72="",-1,H72)&lt;=1)),IF(C72="peso_corporal",IF(ISNUMBER(E72),E72,0)+F72,F72)*G72*1000+F72,0)=Y72,1,0))))))</f>
        <v>0</v>
      </c>
      <c r="AA72" s="69">
        <f>MAX(IF((G72&gt;=3)*(1-(IF(H72="",-1,H72)&gt;=0)*(IF(H72="",-1,H72)&lt;=1))*(1-(IF(H72="",-1,H72)=0)),IF(C72="peso_corporal",IF(ISNUMBER(E72),E72,0)+F72,F72)*(30+G72)*100+F72,0),IF((J72&gt;=3)*(1-(IF(K72="",-1,K72)&gt;=0)*(IF(K72="",-1,K72)&lt;=1))*(1-(IF(K72="",-1,K72)=0)),IF(C72="peso_corporal",IF(ISNUMBER(E72),E72,0)+I72,I72)*(30+J72)*100+I72,0),IF((M72&gt;=3)*(1-(IF(N72="",-1,N72)&gt;=0)*(IF(N72="",-1,N72)&lt;=1))*(1-(IF(N72="",-1,N72)=0)),IF(C72="peso_corporal",IF(ISNUMBER(E72),E72,0)+L72,L72)*(30+M72)*100+L72,0),IF((P72&gt;=3)*(1-(IF(Q72="",-1,Q72)&gt;=0)*(IF(Q72="",-1,Q72)&lt;=1))*(1-(IF(Q72="",-1,Q72)=0)),IF(C72="peso_corporal",IF(ISNUMBER(E72),E72,0)+O72,O72)*(30+P72)*100+O72,0),IF((S72&gt;=3)*(1-(IF(T72="",-1,T72)&gt;=0)*(IF(T72="",-1,T72)&lt;=1))*(1-(IF(T72="",-1,T72)=0)),IF(C72="peso_corporal",IF(ISNUMBER(E72),E72,0)+R72,R72)*(30+S72)*100+R72,0))</f>
        <v>0</v>
      </c>
      <c r="AB72" s="69">
        <f>IF(AA72=0,0,IF(IF((S72&gt;=3)*(1-(IF(T72="",-1,T72)&gt;=0)*(IF(T72="",-1,T72)&lt;=1))*(1-(IF(T72="",-1,T72)=0)),IF(C72="peso_corporal",IF(ISNUMBER(E72),E72,0)+R72,R72)*(30+S72)*100+R72,0)=AA72,5,IF(IF((P72&gt;=3)*(1-(IF(Q72="",-1,Q72)&gt;=0)*(IF(Q72="",-1,Q72)&lt;=1))*(1-(IF(Q72="",-1,Q72)=0)),IF(C72="peso_corporal",IF(ISNUMBER(E72),E72,0)+O72,O72)*(30+P72)*100+O72,0)=AA72,4,IF(IF((M72&gt;=3)*(1-(IF(N72="",-1,N72)&gt;=0)*(IF(N72="",-1,N72)&lt;=1))*(1-(IF(N72="",-1,N72)=0)),IF(C72="peso_corporal",IF(ISNUMBER(E72),E72,0)+L72,L72)*(30+M72)*100+L72,0)=AA72,3,IF(IF((J72&gt;=3)*(1-(IF(K72="",-1,K72)&gt;=0)*(IF(K72="",-1,K72)&lt;=1))*(1-(IF(K72="",-1,K72)=0)),IF(C72="peso_corporal",IF(ISNUMBER(E72),E72,0)+I72,I72)*(30+J72)*100+I72,0)=AA72,2,IF(IF((G72&gt;=3)*(1-(IF(H72="",-1,H72)&gt;=0)*(IF(H72="",-1,H72)&lt;=1))*(1-(IF(H72="",-1,H72)=0)),IF(C72="peso_corporal",IF(ISNUMBER(E72),E72,0)+F72,F72)*(30+G72)*100+F72,0)=AA72,1,0))))))</f>
        <v>0</v>
      </c>
      <c r="AC72" s="69" t="str">
        <f>IF(X72&gt;0,"A"&amp;X72,IF(Z72&gt;0,"B"&amp;Z72,IF(AB72&gt;0,"C"&amp;AB72,"")))</f>
        <v/>
      </c>
    </row>
    <row r="73" spans="1:29" ht="20.100000000000001" customHeight="1">
      <c r="A73" s="14" t="s">
        <v>148</v>
      </c>
      <c r="B73" s="15" t="s">
        <v>149</v>
      </c>
      <c r="C73" s="16" t="str">
        <f>IFERROR(INDEX(EJERCICIOS!$D$3:$D$75,MATCH(A73&amp;"|"&amp;B73,EJERCICIOS!$G$3:$G$75,0)),"--")</f>
        <v>--</v>
      </c>
      <c r="D73" s="17">
        <v>3</v>
      </c>
      <c r="E73" s="18">
        <f>IFERROR(LOOKUP(2,1/(MEDIDAS_Y_PESO!$B$3:$B$5&lt;&gt;""),MEDIDAS_Y_PESO!$B$3:$B$5),"--")</f>
        <v>80</v>
      </c>
      <c r="F73" s="19"/>
      <c r="G73" s="20"/>
      <c r="H73" s="21"/>
      <c r="I73" s="19"/>
      <c r="J73" s="20"/>
      <c r="K73" s="21"/>
      <c r="L73" s="19"/>
      <c r="M73" s="20"/>
      <c r="N73" s="21"/>
      <c r="O73" s="19"/>
      <c r="P73" s="20"/>
      <c r="Q73" s="21"/>
      <c r="R73" s="19"/>
      <c r="S73" s="20"/>
      <c r="T73" s="21"/>
      <c r="U73" s="22" t="str">
        <f>IFERROR(IF(IF(X73&gt;0,X73,IF(Z73&gt;0,Z73,IF(AB73&gt;0,AB73,0)))=0,"--",ROUND(CHOOSE(IF(X73&gt;0,X73,IF(Z73&gt;0,Z73,IF(AB73&gt;0,AB73,0))),IF(C73="peso_corporal",IF(ISNUMBER(E73),E73,0)+F73,F73)*(1+G73/30),IF(C73="peso_corporal",IF(ISNUMBER(E73),E73,0)+I73,I73)*(1+J73/30),IF(C73="peso_corporal",IF(ISNUMBER(E73),E73,0)+L73,L73)*(1+M73/30),IF(C73="peso_corporal",IF(ISNUMBER(E73),E73,0)+O73,O73)*(1+P73/30),IF(C73="peso_corporal",IF(ISNUMBER(E73),E73,0)+R73,R73)*(1+S73/30)),1)),"--")</f>
        <v>--</v>
      </c>
      <c r="V73" s="23" t="str">
        <f>IF(SUGERENCIAS!N165="SIN","Sin datos anteriores",IF(SUGERENCIAS!N165="SUBIR_F","^ SUBIR FUERTE | Kg:"&amp;ROUND(SUGERENCIAS!K165,1)&amp;" R:"&amp;ROUND(SUGERENCIAS!L165,0)&amp;" RIR:"&amp;ROUND(SUGERENCIAS!M165,0),IF(SUGERENCIAS!N165="SUBIR_E","^ SUBIR (Est.) | Kg:"&amp;ROUND(SUGERENCIAS!K165,1)&amp;" R:"&amp;ROUND(SUGERENCIAS!L165,0)&amp;" RIR:"&amp;ROUND(SUGERENCIAS!M165,0),IF(SUGERENCIAS!N165="SUBIR","^ SUBIR | Kg:"&amp;ROUND(SUGERENCIAS!K165,1)&amp;" R:"&amp;ROUND(SUGERENCIAS!L165,0)&amp;" RIR:"&amp;ROUND(SUGERENCIAS!M165,0),IF(SUGERENCIAS!N165="BAJAR","v BAJAR | Kg:"&amp;ROUND(SUGERENCIAS!K165,1)&amp;" R:"&amp;ROUND(SUGERENCIAS!L165,0)&amp;" RIR:"&amp;ROUND(SUGERENCIAS!M165,0),"= MANT | Kg:"&amp;ROUND(SUGERENCIAS!K165,1)&amp;" R:"&amp;ROUND(SUGERENCIAS!L165,0)&amp;" RIR:"&amp;ROUND(SUGERENCIAS!M165,0))))))</f>
        <v>Sin datos anteriores</v>
      </c>
      <c r="W73" s="69">
        <f>MAX(IF((G73&gt;0)*(IF(H73="",-1,H73)&gt;=0)*(IF(H73="",-1,H73)&lt;=1),IF(C73="peso_corporal",IF(ISNUMBER(E73),E73,0)+F73,F73)*G73*1000+F73,0),IF((J73&gt;0)*(IF(K73="",-1,K73)&gt;=0)*(IF(K73="",-1,K73)&lt;=1),IF(C73="peso_corporal",IF(ISNUMBER(E73),E73,0)+I73,I73)*J73*1000+I73,0),IF((M73&gt;0)*(IF(N73="",-1,N73)&gt;=0)*(IF(N73="",-1,N73)&lt;=1),IF(C73="peso_corporal",IF(ISNUMBER(E73),E73,0)+L73,L73)*M73*1000+L73,0),IF((P73&gt;0)*(IF(Q73="",-1,Q73)&gt;=0)*(IF(Q73="",-1,Q73)&lt;=1),IF(C73="peso_corporal",IF(ISNUMBER(E73),E73,0)+O73,O73)*P73*1000+O73,0),IF((S73&gt;0)*(IF(T73="",-1,T73)&gt;=0)*(IF(T73="",-1,T73)&lt;=1),IF(C73="peso_corporal",IF(ISNUMBER(E73),E73,0)+R73,R73)*S73*1000+R73,0))</f>
        <v>0</v>
      </c>
      <c r="X73" s="69">
        <f>IF(W73=0,0,IF(IF((S73&gt;0)*(IF(T73="",-1,T73)&gt;=0)*(IF(T73="",-1,T73)&lt;=1),IF(C73="peso_corporal",IF(ISNUMBER(E73),E73,0)+R73,R73)*S73*1000+R73,0)=W73,5,IF(IF((P73&gt;0)*(IF(Q73="",-1,Q73)&gt;=0)*(IF(Q73="",-1,Q73)&lt;=1),IF(C73="peso_corporal",IF(ISNUMBER(E73),E73,0)+O73,O73)*P73*1000+O73,0)=W73,4,IF(IF((M73&gt;0)*(IF(N73="",-1,N73)&gt;=0)*(IF(N73="",-1,N73)&lt;=1),IF(C73="peso_corporal",IF(ISNUMBER(E73),E73,0)+L73,L73)*M73*1000+L73,0)=W73,3,IF(IF((J73&gt;0)*(IF(K73="",-1,K73)&gt;=0)*(IF(K73="",-1,K73)&lt;=1),IF(C73="peso_corporal",IF(ISNUMBER(E73),E73,0)+I73,I73)*J73*1000+I73,0)=W73,2,IF(IF((G73&gt;0)*(IF(H73="",-1,H73)&gt;=0)*(IF(H73="",-1,H73)&lt;=1),IF(C73="peso_corporal",IF(ISNUMBER(E73),E73,0)+F73,F73)*G73*1000+F73,0)=W73,1,0))))))</f>
        <v>0</v>
      </c>
      <c r="Y73" s="69">
        <f>MAX(IF((G73&gt;0)*(IF(H73="",-1,H73)=0)*(1-(IF(H73="",-1,H73)&gt;=0)*(IF(H73="",-1,H73)&lt;=1)),IF(C73="peso_corporal",IF(ISNUMBER(E73),E73,0)+F73,F73)*G73*1000+F73,0),IF((J73&gt;0)*(IF(K73="",-1,K73)=0)*(1-(IF(K73="",-1,K73)&gt;=0)*(IF(K73="",-1,K73)&lt;=1)),IF(C73="peso_corporal",IF(ISNUMBER(E73),E73,0)+I73,I73)*J73*1000+I73,0),IF((M73&gt;0)*(IF(N73="",-1,N73)=0)*(1-(IF(N73="",-1,N73)&gt;=0)*(IF(N73="",-1,N73)&lt;=1)),IF(C73="peso_corporal",IF(ISNUMBER(E73),E73,0)+L73,L73)*M73*1000+L73,0),IF((P73&gt;0)*(IF(Q73="",-1,Q73)=0)*(1-(IF(Q73="",-1,Q73)&gt;=0)*(IF(Q73="",-1,Q73)&lt;=1)),IF(C73="peso_corporal",IF(ISNUMBER(E73),E73,0)+O73,O73)*P73*1000+O73,0),IF((S73&gt;0)*(IF(T73="",-1,T73)=0)*(1-(IF(T73="",-1,T73)&gt;=0)*(IF(T73="",-1,T73)&lt;=1)),IF(C73="peso_corporal",IF(ISNUMBER(E73),E73,0)+R73,R73)*S73*1000+R73,0))</f>
        <v>0</v>
      </c>
      <c r="Z73" s="69">
        <f>IF(Y73=0,0,IF(IF((S73&gt;0)*(IF(T73="",-1,T73)=0)*(1-(IF(T73="",-1,T73)&gt;=0)*(IF(T73="",-1,T73)&lt;=1)),IF(C73="peso_corporal",IF(ISNUMBER(E73),E73,0)+R73,R73)*S73*1000+R73,0)=Y73,5,IF(IF((P73&gt;0)*(IF(Q73="",-1,Q73)=0)*(1-(IF(Q73="",-1,Q73)&gt;=0)*(IF(Q73="",-1,Q73)&lt;=1)),IF(C73="peso_corporal",IF(ISNUMBER(E73),E73,0)+O73,O73)*P73*1000+O73,0)=Y73,4,IF(IF((M73&gt;0)*(IF(N73="",-1,N73)=0)*(1-(IF(N73="",-1,N73)&gt;=0)*(IF(N73="",-1,N73)&lt;=1)),IF(C73="peso_corporal",IF(ISNUMBER(E73),E73,0)+L73,L73)*M73*1000+L73,0)=Y73,3,IF(IF((J73&gt;0)*(IF(K73="",-1,K73)=0)*(1-(IF(K73="",-1,K73)&gt;=0)*(IF(K73="",-1,K73)&lt;=1)),IF(C73="peso_corporal",IF(ISNUMBER(E73),E73,0)+I73,I73)*J73*1000+I73,0)=Y73,2,IF(IF((G73&gt;0)*(IF(H73="",-1,H73)=0)*(1-(IF(H73="",-1,H73)&gt;=0)*(IF(H73="",-1,H73)&lt;=1)),IF(C73="peso_corporal",IF(ISNUMBER(E73),E73,0)+F73,F73)*G73*1000+F73,0)=Y73,1,0))))))</f>
        <v>0</v>
      </c>
      <c r="AA73" s="69">
        <f>MAX(IF((G73&gt;=3)*(1-(IF(H73="",-1,H73)&gt;=0)*(IF(H73="",-1,H73)&lt;=1))*(1-(IF(H73="",-1,H73)=0)),IF(C73="peso_corporal",IF(ISNUMBER(E73),E73,0)+F73,F73)*(30+G73)*100+F73,0),IF((J73&gt;=3)*(1-(IF(K73="",-1,K73)&gt;=0)*(IF(K73="",-1,K73)&lt;=1))*(1-(IF(K73="",-1,K73)=0)),IF(C73="peso_corporal",IF(ISNUMBER(E73),E73,0)+I73,I73)*(30+J73)*100+I73,0),IF((M73&gt;=3)*(1-(IF(N73="",-1,N73)&gt;=0)*(IF(N73="",-1,N73)&lt;=1))*(1-(IF(N73="",-1,N73)=0)),IF(C73="peso_corporal",IF(ISNUMBER(E73),E73,0)+L73,L73)*(30+M73)*100+L73,0),IF((P73&gt;=3)*(1-(IF(Q73="",-1,Q73)&gt;=0)*(IF(Q73="",-1,Q73)&lt;=1))*(1-(IF(Q73="",-1,Q73)=0)),IF(C73="peso_corporal",IF(ISNUMBER(E73),E73,0)+O73,O73)*(30+P73)*100+O73,0),IF((S73&gt;=3)*(1-(IF(T73="",-1,T73)&gt;=0)*(IF(T73="",-1,T73)&lt;=1))*(1-(IF(T73="",-1,T73)=0)),IF(C73="peso_corporal",IF(ISNUMBER(E73),E73,0)+R73,R73)*(30+S73)*100+R73,0))</f>
        <v>0</v>
      </c>
      <c r="AB73" s="69">
        <f>IF(AA73=0,0,IF(IF((S73&gt;=3)*(1-(IF(T73="",-1,T73)&gt;=0)*(IF(T73="",-1,T73)&lt;=1))*(1-(IF(T73="",-1,T73)=0)),IF(C73="peso_corporal",IF(ISNUMBER(E73),E73,0)+R73,R73)*(30+S73)*100+R73,0)=AA73,5,IF(IF((P73&gt;=3)*(1-(IF(Q73="",-1,Q73)&gt;=0)*(IF(Q73="",-1,Q73)&lt;=1))*(1-(IF(Q73="",-1,Q73)=0)),IF(C73="peso_corporal",IF(ISNUMBER(E73),E73,0)+O73,O73)*(30+P73)*100+O73,0)=AA73,4,IF(IF((M73&gt;=3)*(1-(IF(N73="",-1,N73)&gt;=0)*(IF(N73="",-1,N73)&lt;=1))*(1-(IF(N73="",-1,N73)=0)),IF(C73="peso_corporal",IF(ISNUMBER(E73),E73,0)+L73,L73)*(30+M73)*100+L73,0)=AA73,3,IF(IF((J73&gt;=3)*(1-(IF(K73="",-1,K73)&gt;=0)*(IF(K73="",-1,K73)&lt;=1))*(1-(IF(K73="",-1,K73)=0)),IF(C73="peso_corporal",IF(ISNUMBER(E73),E73,0)+I73,I73)*(30+J73)*100+I73,0)=AA73,2,IF(IF((G73&gt;=3)*(1-(IF(H73="",-1,H73)&gt;=0)*(IF(H73="",-1,H73)&lt;=1))*(1-(IF(H73="",-1,H73)=0)),IF(C73="peso_corporal",IF(ISNUMBER(E73),E73,0)+F73,F73)*(30+G73)*100+F73,0)=AA73,1,0))))))</f>
        <v>0</v>
      </c>
      <c r="AC73" s="69" t="str">
        <f>IF(X73&gt;0,"A"&amp;X73,IF(Z73&gt;0,"B"&amp;Z73,IF(AB73&gt;0,"C"&amp;AB73,"")))</f>
        <v/>
      </c>
    </row>
    <row r="74" spans="1:29" ht="20.100000000000001" customHeight="1">
      <c r="A74" s="14" t="s">
        <v>150</v>
      </c>
      <c r="B74" s="15" t="s">
        <v>151</v>
      </c>
      <c r="C74" s="16" t="str">
        <f>IFERROR(INDEX(EJERCICIOS!$D$3:$D$75,MATCH(A74&amp;"|"&amp;B74,EJERCICIOS!$G$3:$G$75,0)),"--")</f>
        <v>peso_corporal</v>
      </c>
      <c r="D74" s="17">
        <v>3</v>
      </c>
      <c r="E74" s="18">
        <f>IFERROR(LOOKUP(2,1/(MEDIDAS_Y_PESO!$B$3:$B$5&lt;&gt;""),MEDIDAS_Y_PESO!$B$3:$B$5),"--")</f>
        <v>80</v>
      </c>
      <c r="F74" s="19"/>
      <c r="G74" s="20"/>
      <c r="H74" s="21"/>
      <c r="I74" s="19"/>
      <c r="J74" s="20"/>
      <c r="K74" s="21"/>
      <c r="L74" s="19"/>
      <c r="M74" s="20"/>
      <c r="N74" s="21"/>
      <c r="O74" s="19"/>
      <c r="P74" s="20"/>
      <c r="Q74" s="21"/>
      <c r="R74" s="19"/>
      <c r="S74" s="20"/>
      <c r="T74" s="21"/>
      <c r="U74" s="22" t="str">
        <f>IFERROR(IF(IF(X74&gt;0,X74,IF(Z74&gt;0,Z74,IF(AB74&gt;0,AB74,0)))=0,"--",ROUND(CHOOSE(IF(X74&gt;0,X74,IF(Z74&gt;0,Z74,IF(AB74&gt;0,AB74,0))),IF(C74="peso_corporal",IF(ISNUMBER(E74),E74,0)+F74,F74)*(1+G74/30),IF(C74="peso_corporal",IF(ISNUMBER(E74),E74,0)+I74,I74)*(1+J74/30),IF(C74="peso_corporal",IF(ISNUMBER(E74),E74,0)+L74,L74)*(1+M74/30),IF(C74="peso_corporal",IF(ISNUMBER(E74),E74,0)+O74,O74)*(1+P74/30),IF(C74="peso_corporal",IF(ISNUMBER(E74),E74,0)+R74,R74)*(1+S74/30)),1)),"--")</f>
        <v>--</v>
      </c>
      <c r="V74" s="23" t="str">
        <f>IF(SUGERENCIAS!N166="SIN","Sin datos anteriores",IF(SUGERENCIAS!N166="SUBIR_F","^ SUBIR FUERTE | Kg:"&amp;ROUND(SUGERENCIAS!K166,1)&amp;" R:"&amp;ROUND(SUGERENCIAS!L166,0)&amp;" RIR:"&amp;ROUND(SUGERENCIAS!M166,0),IF(SUGERENCIAS!N166="SUBIR_E","^ SUBIR (Est.) | Kg:"&amp;ROUND(SUGERENCIAS!K166,1)&amp;" R:"&amp;ROUND(SUGERENCIAS!L166,0)&amp;" RIR:"&amp;ROUND(SUGERENCIAS!M166,0),IF(SUGERENCIAS!N166="SUBIR","^ SUBIR | Kg:"&amp;ROUND(SUGERENCIAS!K166,1)&amp;" R:"&amp;ROUND(SUGERENCIAS!L166,0)&amp;" RIR:"&amp;ROUND(SUGERENCIAS!M166,0),IF(SUGERENCIAS!N166="BAJAR","v BAJAR | Kg:"&amp;ROUND(SUGERENCIAS!K166,1)&amp;" R:"&amp;ROUND(SUGERENCIAS!L166,0)&amp;" RIR:"&amp;ROUND(SUGERENCIAS!M166,0),"= MANT | Kg:"&amp;ROUND(SUGERENCIAS!K166,1)&amp;" R:"&amp;ROUND(SUGERENCIAS!L166,0)&amp;" RIR:"&amp;ROUND(SUGERENCIAS!M166,0))))))</f>
        <v>Sin datos anteriores</v>
      </c>
      <c r="W74" s="69">
        <f>MAX(IF((G74&gt;0)*(IF(H74="",-1,H74)&gt;=0)*(IF(H74="",-1,H74)&lt;=1),IF(C74="peso_corporal",IF(ISNUMBER(E74),E74,0)+F74,F74)*G74*1000+F74,0),IF((J74&gt;0)*(IF(K74="",-1,K74)&gt;=0)*(IF(K74="",-1,K74)&lt;=1),IF(C74="peso_corporal",IF(ISNUMBER(E74),E74,0)+I74,I74)*J74*1000+I74,0),IF((M74&gt;0)*(IF(N74="",-1,N74)&gt;=0)*(IF(N74="",-1,N74)&lt;=1),IF(C74="peso_corporal",IF(ISNUMBER(E74),E74,0)+L74,L74)*M74*1000+L74,0),IF((P74&gt;0)*(IF(Q74="",-1,Q74)&gt;=0)*(IF(Q74="",-1,Q74)&lt;=1),IF(C74="peso_corporal",IF(ISNUMBER(E74),E74,0)+O74,O74)*P74*1000+O74,0),IF((S74&gt;0)*(IF(T74="",-1,T74)&gt;=0)*(IF(T74="",-1,T74)&lt;=1),IF(C74="peso_corporal",IF(ISNUMBER(E74),E74,0)+R74,R74)*S74*1000+R74,0))</f>
        <v>0</v>
      </c>
      <c r="X74" s="69">
        <f>IF(W74=0,0,IF(IF((S74&gt;0)*(IF(T74="",-1,T74)&gt;=0)*(IF(T74="",-1,T74)&lt;=1),IF(C74="peso_corporal",IF(ISNUMBER(E74),E74,0)+R74,R74)*S74*1000+R74,0)=W74,5,IF(IF((P74&gt;0)*(IF(Q74="",-1,Q74)&gt;=0)*(IF(Q74="",-1,Q74)&lt;=1),IF(C74="peso_corporal",IF(ISNUMBER(E74),E74,0)+O74,O74)*P74*1000+O74,0)=W74,4,IF(IF((M74&gt;0)*(IF(N74="",-1,N74)&gt;=0)*(IF(N74="",-1,N74)&lt;=1),IF(C74="peso_corporal",IF(ISNUMBER(E74),E74,0)+L74,L74)*M74*1000+L74,0)=W74,3,IF(IF((J74&gt;0)*(IF(K74="",-1,K74)&gt;=0)*(IF(K74="",-1,K74)&lt;=1),IF(C74="peso_corporal",IF(ISNUMBER(E74),E74,0)+I74,I74)*J74*1000+I74,0)=W74,2,IF(IF((G74&gt;0)*(IF(H74="",-1,H74)&gt;=0)*(IF(H74="",-1,H74)&lt;=1),IF(C74="peso_corporal",IF(ISNUMBER(E74),E74,0)+F74,F74)*G74*1000+F74,0)=W74,1,0))))))</f>
        <v>0</v>
      </c>
      <c r="Y74" s="69">
        <f>MAX(IF((G74&gt;0)*(IF(H74="",-1,H74)=0)*(1-(IF(H74="",-1,H74)&gt;=0)*(IF(H74="",-1,H74)&lt;=1)),IF(C74="peso_corporal",IF(ISNUMBER(E74),E74,0)+F74,F74)*G74*1000+F74,0),IF((J74&gt;0)*(IF(K74="",-1,K74)=0)*(1-(IF(K74="",-1,K74)&gt;=0)*(IF(K74="",-1,K74)&lt;=1)),IF(C74="peso_corporal",IF(ISNUMBER(E74),E74,0)+I74,I74)*J74*1000+I74,0),IF((M74&gt;0)*(IF(N74="",-1,N74)=0)*(1-(IF(N74="",-1,N74)&gt;=0)*(IF(N74="",-1,N74)&lt;=1)),IF(C74="peso_corporal",IF(ISNUMBER(E74),E74,0)+L74,L74)*M74*1000+L74,0),IF((P74&gt;0)*(IF(Q74="",-1,Q74)=0)*(1-(IF(Q74="",-1,Q74)&gt;=0)*(IF(Q74="",-1,Q74)&lt;=1)),IF(C74="peso_corporal",IF(ISNUMBER(E74),E74,0)+O74,O74)*P74*1000+O74,0),IF((S74&gt;0)*(IF(T74="",-1,T74)=0)*(1-(IF(T74="",-1,T74)&gt;=0)*(IF(T74="",-1,T74)&lt;=1)),IF(C74="peso_corporal",IF(ISNUMBER(E74),E74,0)+R74,R74)*S74*1000+R74,0))</f>
        <v>0</v>
      </c>
      <c r="Z74" s="69">
        <f>IF(Y74=0,0,IF(IF((S74&gt;0)*(IF(T74="",-1,T74)=0)*(1-(IF(T74="",-1,T74)&gt;=0)*(IF(T74="",-1,T74)&lt;=1)),IF(C74="peso_corporal",IF(ISNUMBER(E74),E74,0)+R74,R74)*S74*1000+R74,0)=Y74,5,IF(IF((P74&gt;0)*(IF(Q74="",-1,Q74)=0)*(1-(IF(Q74="",-1,Q74)&gt;=0)*(IF(Q74="",-1,Q74)&lt;=1)),IF(C74="peso_corporal",IF(ISNUMBER(E74),E74,0)+O74,O74)*P74*1000+O74,0)=Y74,4,IF(IF((M74&gt;0)*(IF(N74="",-1,N74)=0)*(1-(IF(N74="",-1,N74)&gt;=0)*(IF(N74="",-1,N74)&lt;=1)),IF(C74="peso_corporal",IF(ISNUMBER(E74),E74,0)+L74,L74)*M74*1000+L74,0)=Y74,3,IF(IF((J74&gt;0)*(IF(K74="",-1,K74)=0)*(1-(IF(K74="",-1,K74)&gt;=0)*(IF(K74="",-1,K74)&lt;=1)),IF(C74="peso_corporal",IF(ISNUMBER(E74),E74,0)+I74,I74)*J74*1000+I74,0)=Y74,2,IF(IF((G74&gt;0)*(IF(H74="",-1,H74)=0)*(1-(IF(H74="",-1,H74)&gt;=0)*(IF(H74="",-1,H74)&lt;=1)),IF(C74="peso_corporal",IF(ISNUMBER(E74),E74,0)+F74,F74)*G74*1000+F74,0)=Y74,1,0))))))</f>
        <v>0</v>
      </c>
      <c r="AA74" s="69">
        <f>MAX(IF((G74&gt;=3)*(1-(IF(H74="",-1,H74)&gt;=0)*(IF(H74="",-1,H74)&lt;=1))*(1-(IF(H74="",-1,H74)=0)),IF(C74="peso_corporal",IF(ISNUMBER(E74),E74,0)+F74,F74)*(30+G74)*100+F74,0),IF((J74&gt;=3)*(1-(IF(K74="",-1,K74)&gt;=0)*(IF(K74="",-1,K74)&lt;=1))*(1-(IF(K74="",-1,K74)=0)),IF(C74="peso_corporal",IF(ISNUMBER(E74),E74,0)+I74,I74)*(30+J74)*100+I74,0),IF((M74&gt;=3)*(1-(IF(N74="",-1,N74)&gt;=0)*(IF(N74="",-1,N74)&lt;=1))*(1-(IF(N74="",-1,N74)=0)),IF(C74="peso_corporal",IF(ISNUMBER(E74),E74,0)+L74,L74)*(30+M74)*100+L74,0),IF((P74&gt;=3)*(1-(IF(Q74="",-1,Q74)&gt;=0)*(IF(Q74="",-1,Q74)&lt;=1))*(1-(IF(Q74="",-1,Q74)=0)),IF(C74="peso_corporal",IF(ISNUMBER(E74),E74,0)+O74,O74)*(30+P74)*100+O74,0),IF((S74&gt;=3)*(1-(IF(T74="",-1,T74)&gt;=0)*(IF(T74="",-1,T74)&lt;=1))*(1-(IF(T74="",-1,T74)=0)),IF(C74="peso_corporal",IF(ISNUMBER(E74),E74,0)+R74,R74)*(30+S74)*100+R74,0))</f>
        <v>0</v>
      </c>
      <c r="AB74" s="69">
        <f>IF(AA74=0,0,IF(IF((S74&gt;=3)*(1-(IF(T74="",-1,T74)&gt;=0)*(IF(T74="",-1,T74)&lt;=1))*(1-(IF(T74="",-1,T74)=0)),IF(C74="peso_corporal",IF(ISNUMBER(E74),E74,0)+R74,R74)*(30+S74)*100+R74,0)=AA74,5,IF(IF((P74&gt;=3)*(1-(IF(Q74="",-1,Q74)&gt;=0)*(IF(Q74="",-1,Q74)&lt;=1))*(1-(IF(Q74="",-1,Q74)=0)),IF(C74="peso_corporal",IF(ISNUMBER(E74),E74,0)+O74,O74)*(30+P74)*100+O74,0)=AA74,4,IF(IF((M74&gt;=3)*(1-(IF(N74="",-1,N74)&gt;=0)*(IF(N74="",-1,N74)&lt;=1))*(1-(IF(N74="",-1,N74)=0)),IF(C74="peso_corporal",IF(ISNUMBER(E74),E74,0)+L74,L74)*(30+M74)*100+L74,0)=AA74,3,IF(IF((J74&gt;=3)*(1-(IF(K74="",-1,K74)&gt;=0)*(IF(K74="",-1,K74)&lt;=1))*(1-(IF(K74="",-1,K74)=0)),IF(C74="peso_corporal",IF(ISNUMBER(E74),E74,0)+I74,I74)*(30+J74)*100+I74,0)=AA74,2,IF(IF((G74&gt;=3)*(1-(IF(H74="",-1,H74)&gt;=0)*(IF(H74="",-1,H74)&lt;=1))*(1-(IF(H74="",-1,H74)=0)),IF(C74="peso_corporal",IF(ISNUMBER(E74),E74,0)+F74,F74)*(30+G74)*100+F74,0)=AA74,1,0))))))</f>
        <v>0</v>
      </c>
      <c r="AC74" s="69" t="str">
        <f>IF(X74&gt;0,"A"&amp;X74,IF(Z74&gt;0,"B"&amp;Z74,IF(AB74&gt;0,"C"&amp;AB74,"")))</f>
        <v/>
      </c>
    </row>
    <row r="75" spans="1:29" ht="6" customHeight="1">
      <c r="A75" s="13"/>
      <c r="B75" s="13"/>
      <c r="C75" s="13"/>
      <c r="D75" s="13"/>
      <c r="E75" s="13"/>
      <c r="F75" s="13"/>
      <c r="G75" s="13"/>
      <c r="H75" s="13"/>
      <c r="I75" s="13"/>
      <c r="J75" s="13"/>
      <c r="K75" s="13"/>
      <c r="L75" s="13"/>
      <c r="M75" s="13"/>
      <c r="N75" s="13"/>
      <c r="O75" s="13"/>
      <c r="P75" s="13"/>
      <c r="Q75" s="13"/>
      <c r="R75" s="13"/>
      <c r="S75" s="13"/>
      <c r="T75" s="13"/>
      <c r="U75" s="13"/>
      <c r="V75" s="13"/>
      <c r="W75" s="69"/>
      <c r="X75" s="69"/>
      <c r="Y75" s="69"/>
      <c r="Z75" s="69"/>
      <c r="AA75" s="69"/>
      <c r="AB75" s="69"/>
      <c r="AC75" s="69"/>
    </row>
    <row r="76" spans="1:29" ht="18" customHeight="1">
      <c r="A76" s="85" t="s">
        <v>69</v>
      </c>
      <c r="B76" s="73"/>
      <c r="C76" s="73"/>
      <c r="D76" s="73"/>
      <c r="E76" s="73"/>
      <c r="F76" s="73"/>
      <c r="G76" s="73"/>
      <c r="H76" s="73"/>
      <c r="I76" s="73"/>
      <c r="J76" s="73"/>
      <c r="K76" s="73"/>
      <c r="L76" s="73"/>
      <c r="M76" s="73"/>
      <c r="N76" s="73"/>
      <c r="O76" s="73"/>
      <c r="P76" s="73"/>
      <c r="Q76" s="73"/>
      <c r="R76" s="73"/>
      <c r="S76" s="73"/>
      <c r="T76" s="73"/>
      <c r="U76" s="73"/>
      <c r="V76" s="73"/>
      <c r="W76" s="69"/>
      <c r="X76" s="69"/>
      <c r="Y76" s="69"/>
      <c r="Z76" s="69"/>
      <c r="AA76" s="69"/>
      <c r="AB76" s="69"/>
      <c r="AC76" s="69"/>
    </row>
    <row r="77" spans="1:29" ht="15" customHeight="1">
      <c r="A77" s="88" t="s">
        <v>129</v>
      </c>
      <c r="B77" s="73"/>
      <c r="C77" s="73"/>
      <c r="D77" s="73"/>
      <c r="E77" s="73"/>
      <c r="F77" s="73"/>
      <c r="G77" s="73"/>
      <c r="H77" s="73"/>
      <c r="I77" s="73"/>
      <c r="J77" s="73"/>
      <c r="K77" s="73"/>
      <c r="L77" s="73"/>
      <c r="M77" s="73"/>
      <c r="N77" s="73"/>
      <c r="O77" s="73"/>
      <c r="P77" s="73"/>
      <c r="Q77" s="73"/>
      <c r="R77" s="73"/>
      <c r="S77" s="73"/>
      <c r="T77" s="73"/>
      <c r="U77" s="73"/>
      <c r="V77" s="73"/>
      <c r="W77" s="69"/>
      <c r="X77" s="69"/>
      <c r="Y77" s="69"/>
      <c r="Z77" s="69"/>
      <c r="AA77" s="69"/>
      <c r="AB77" s="69"/>
      <c r="AC77" s="69"/>
    </row>
    <row r="78" spans="1:29" ht="20.100000000000001" customHeight="1">
      <c r="A78" s="14" t="s">
        <v>130</v>
      </c>
      <c r="B78" s="15" t="s">
        <v>131</v>
      </c>
      <c r="C78" s="16" t="str">
        <f>IFERROR(INDEX(EJERCICIOS!$D$3:$D$75,MATCH(A78&amp;"|"&amp;B78,EJERCICIOS!$G$3:$G$75,0)),"--")</f>
        <v>polea</v>
      </c>
      <c r="D78" s="17">
        <v>3</v>
      </c>
      <c r="E78" s="18">
        <f>IFERROR(LOOKUP(2,1/(MEDIDAS_Y_PESO!$B$3:$B$6&lt;&gt;""),MEDIDAS_Y_PESO!$B$3:$B$6),"--")</f>
        <v>80</v>
      </c>
      <c r="F78" s="19"/>
      <c r="G78" s="20"/>
      <c r="H78" s="21"/>
      <c r="I78" s="19"/>
      <c r="J78" s="20"/>
      <c r="K78" s="21"/>
      <c r="L78" s="19"/>
      <c r="M78" s="20"/>
      <c r="N78" s="21"/>
      <c r="O78" s="19"/>
      <c r="P78" s="20"/>
      <c r="Q78" s="21"/>
      <c r="R78" s="19"/>
      <c r="S78" s="20"/>
      <c r="T78" s="21"/>
      <c r="U78" s="22" t="str">
        <f>IFERROR(IF(IF(X78&gt;0,X78,IF(Z78&gt;0,Z78,IF(AB78&gt;0,AB78,0)))=0,"--",ROUND(CHOOSE(IF(X78&gt;0,X78,IF(Z78&gt;0,Z78,IF(AB78&gt;0,AB78,0))),IF(C78="peso_corporal",IF(ISNUMBER(E78),E78,0)+F78,F78)*(1+G78/30),IF(C78="peso_corporal",IF(ISNUMBER(E78),E78,0)+I78,I78)*(1+J78/30),IF(C78="peso_corporal",IF(ISNUMBER(E78),E78,0)+L78,L78)*(1+M78/30),IF(C78="peso_corporal",IF(ISNUMBER(E78),E78,0)+O78,O78)*(1+P78/30),IF(C78="peso_corporal",IF(ISNUMBER(E78),E78,0)+R78,R78)*(1+S78/30)),1)),"--")</f>
        <v>--</v>
      </c>
      <c r="V78" s="23" t="str">
        <f>IF(SUGERENCIAS!N215="SIN","Sin datos anteriores",IF(SUGERENCIAS!N215="SUBIR_F","^ SUBIR FUERTE | Kg:"&amp;ROUND(SUGERENCIAS!K215,1)&amp;" R:"&amp;ROUND(SUGERENCIAS!L215,0)&amp;" RIR:"&amp;ROUND(SUGERENCIAS!M215,0),IF(SUGERENCIAS!N215="SUBIR_E","^ SUBIR (Est.) | Kg:"&amp;ROUND(SUGERENCIAS!K215,1)&amp;" R:"&amp;ROUND(SUGERENCIAS!L215,0)&amp;" RIR:"&amp;ROUND(SUGERENCIAS!M215,0),IF(SUGERENCIAS!N215="SUBIR","^ SUBIR | Kg:"&amp;ROUND(SUGERENCIAS!K215,1)&amp;" R:"&amp;ROUND(SUGERENCIAS!L215,0)&amp;" RIR:"&amp;ROUND(SUGERENCIAS!M215,0),IF(SUGERENCIAS!N215="BAJAR","v BAJAR | Kg:"&amp;ROUND(SUGERENCIAS!K215,1)&amp;" R:"&amp;ROUND(SUGERENCIAS!L215,0)&amp;" RIR:"&amp;ROUND(SUGERENCIAS!M215,0),"= MANT | Kg:"&amp;ROUND(SUGERENCIAS!K215,1)&amp;" R:"&amp;ROUND(SUGERENCIAS!L215,0)&amp;" RIR:"&amp;ROUND(SUGERENCIAS!M215,0))))))</f>
        <v>Sin datos anteriores</v>
      </c>
      <c r="W78" s="69">
        <f>MAX(IF((G78&gt;0)*(IF(H78="",-1,H78)&gt;=1)*(IF(H78="",-1,H78)&lt;=3),IF(C78="peso_corporal",IF(ISNUMBER(E78),E78,0)+F78,F78)*G78*1000+F78,0),IF((J78&gt;0)*(IF(K78="",-1,K78)&gt;=1)*(IF(K78="",-1,K78)&lt;=3),IF(C78="peso_corporal",IF(ISNUMBER(E78),E78,0)+I78,I78)*J78*1000+I78,0),IF((M78&gt;0)*(IF(N78="",-1,N78)&gt;=1)*(IF(N78="",-1,N78)&lt;=3),IF(C78="peso_corporal",IF(ISNUMBER(E78),E78,0)+L78,L78)*M78*1000+L78,0),IF((P78&gt;0)*(IF(Q78="",-1,Q78)&gt;=1)*(IF(Q78="",-1,Q78)&lt;=3),IF(C78="peso_corporal",IF(ISNUMBER(E78),E78,0)+O78,O78)*P78*1000+O78,0),IF((S78&gt;0)*(IF(T78="",-1,T78)&gt;=1)*(IF(T78="",-1,T78)&lt;=3),IF(C78="peso_corporal",IF(ISNUMBER(E78),E78,0)+R78,R78)*S78*1000+R78,0))</f>
        <v>0</v>
      </c>
      <c r="X78" s="69">
        <f>IF(W78=0,0,IF(IF((S78&gt;0)*(IF(T78="",-1,T78)&gt;=1)*(IF(T78="",-1,T78)&lt;=3),IF(C78="peso_corporal",IF(ISNUMBER(E78),E78,0)+R78,R78)*S78*1000+R78,0)=W78,5,IF(IF((P78&gt;0)*(IF(Q78="",-1,Q78)&gt;=1)*(IF(Q78="",-1,Q78)&lt;=3),IF(C78="peso_corporal",IF(ISNUMBER(E78),E78,0)+O78,O78)*P78*1000+O78,0)=W78,4,IF(IF((M78&gt;0)*(IF(N78="",-1,N78)&gt;=1)*(IF(N78="",-1,N78)&lt;=3),IF(C78="peso_corporal",IF(ISNUMBER(E78),E78,0)+L78,L78)*M78*1000+L78,0)=W78,3,IF(IF((J78&gt;0)*(IF(K78="",-1,K78)&gt;=1)*(IF(K78="",-1,K78)&lt;=3),IF(C78="peso_corporal",IF(ISNUMBER(E78),E78,0)+I78,I78)*J78*1000+I78,0)=W78,2,IF(IF((G78&gt;0)*(IF(H78="",-1,H78)&gt;=1)*(IF(H78="",-1,H78)&lt;=3),IF(C78="peso_corporal",IF(ISNUMBER(E78),E78,0)+F78,F78)*G78*1000+F78,0)=W78,1,0))))))</f>
        <v>0</v>
      </c>
      <c r="Y78" s="69">
        <f>MAX(IF((G78&gt;0)*(IF(H78="",-1,H78)=0)*(1-(IF(H78="",-1,H78)&gt;=1)*(IF(H78="",-1,H78)&lt;=3)),IF(C78="peso_corporal",IF(ISNUMBER(E78),E78,0)+F78,F78)*G78*1000+F78,0),IF((J78&gt;0)*(IF(K78="",-1,K78)=0)*(1-(IF(K78="",-1,K78)&gt;=1)*(IF(K78="",-1,K78)&lt;=3)),IF(C78="peso_corporal",IF(ISNUMBER(E78),E78,0)+I78,I78)*J78*1000+I78,0),IF((M78&gt;0)*(IF(N78="",-1,N78)=0)*(1-(IF(N78="",-1,N78)&gt;=1)*(IF(N78="",-1,N78)&lt;=3)),IF(C78="peso_corporal",IF(ISNUMBER(E78),E78,0)+L78,L78)*M78*1000+L78,0),IF((P78&gt;0)*(IF(Q78="",-1,Q78)=0)*(1-(IF(Q78="",-1,Q78)&gt;=1)*(IF(Q78="",-1,Q78)&lt;=3)),IF(C78="peso_corporal",IF(ISNUMBER(E78),E78,0)+O78,O78)*P78*1000+O78,0),IF((S78&gt;0)*(IF(T78="",-1,T78)=0)*(1-(IF(T78="",-1,T78)&gt;=1)*(IF(T78="",-1,T78)&lt;=3)),IF(C78="peso_corporal",IF(ISNUMBER(E78),E78,0)+R78,R78)*S78*1000+R78,0))</f>
        <v>0</v>
      </c>
      <c r="Z78" s="69">
        <f>IF(Y78=0,0,IF(IF((S78&gt;0)*(IF(T78="",-1,T78)=0)*(1-(IF(T78="",-1,T78)&gt;=1)*(IF(T78="",-1,T78)&lt;=3)),IF(C78="peso_corporal",IF(ISNUMBER(E78),E78,0)+R78,R78)*S78*1000+R78,0)=Y78,5,IF(IF((P78&gt;0)*(IF(Q78="",-1,Q78)=0)*(1-(IF(Q78="",-1,Q78)&gt;=1)*(IF(Q78="",-1,Q78)&lt;=3)),IF(C78="peso_corporal",IF(ISNUMBER(E78),E78,0)+O78,O78)*P78*1000+O78,0)=Y78,4,IF(IF((M78&gt;0)*(IF(N78="",-1,N78)=0)*(1-(IF(N78="",-1,N78)&gt;=1)*(IF(N78="",-1,N78)&lt;=3)),IF(C78="peso_corporal",IF(ISNUMBER(E78),E78,0)+L78,L78)*M78*1000+L78,0)=Y78,3,IF(IF((J78&gt;0)*(IF(K78="",-1,K78)=0)*(1-(IF(K78="",-1,K78)&gt;=1)*(IF(K78="",-1,K78)&lt;=3)),IF(C78="peso_corporal",IF(ISNUMBER(E78),E78,0)+I78,I78)*J78*1000+I78,0)=Y78,2,IF(IF((G78&gt;0)*(IF(H78="",-1,H78)=0)*(1-(IF(H78="",-1,H78)&gt;=1)*(IF(H78="",-1,H78)&lt;=3)),IF(C78="peso_corporal",IF(ISNUMBER(E78),E78,0)+F78,F78)*G78*1000+F78,0)=Y78,1,0))))))</f>
        <v>0</v>
      </c>
      <c r="AA78" s="69">
        <f>MAX(IF((G78&gt;=6)*(1-(IF(H78="",-1,H78)&gt;=1)*(IF(H78="",-1,H78)&lt;=3))*(1-(IF(H78="",-1,H78)=0)),IF(C78="peso_corporal",IF(ISNUMBER(E78),E78,0)+F78,F78)*(30+G78)*100+F78,0),IF((J78&gt;=6)*(1-(IF(K78="",-1,K78)&gt;=1)*(IF(K78="",-1,K78)&lt;=3))*(1-(IF(K78="",-1,K78)=0)),IF(C78="peso_corporal",IF(ISNUMBER(E78),E78,0)+I78,I78)*(30+J78)*100+I78,0),IF((M78&gt;=6)*(1-(IF(N78="",-1,N78)&gt;=1)*(IF(N78="",-1,N78)&lt;=3))*(1-(IF(N78="",-1,N78)=0)),IF(C78="peso_corporal",IF(ISNUMBER(E78),E78,0)+L78,L78)*(30+M78)*100+L78,0),IF((P78&gt;=6)*(1-(IF(Q78="",-1,Q78)&gt;=1)*(IF(Q78="",-1,Q78)&lt;=3))*(1-(IF(Q78="",-1,Q78)=0)),IF(C78="peso_corporal",IF(ISNUMBER(E78),E78,0)+O78,O78)*(30+P78)*100+O78,0),IF((S78&gt;=6)*(1-(IF(T78="",-1,T78)&gt;=1)*(IF(T78="",-1,T78)&lt;=3))*(1-(IF(T78="",-1,T78)=0)),IF(C78="peso_corporal",IF(ISNUMBER(E78),E78,0)+R78,R78)*(30+S78)*100+R78,0))</f>
        <v>0</v>
      </c>
      <c r="AB78" s="69">
        <f>IF(AA78=0,0,IF(IF((S78&gt;=6)*(1-(IF(T78="",-1,T78)&gt;=1)*(IF(T78="",-1,T78)&lt;=3))*(1-(IF(T78="",-1,T78)=0)),IF(C78="peso_corporal",IF(ISNUMBER(E78),E78,0)+R78,R78)*(30+S78)*100+R78,0)=AA78,5,IF(IF((P78&gt;=6)*(1-(IF(Q78="",-1,Q78)&gt;=1)*(IF(Q78="",-1,Q78)&lt;=3))*(1-(IF(Q78="",-1,Q78)=0)),IF(C78="peso_corporal",IF(ISNUMBER(E78),E78,0)+O78,O78)*(30+P78)*100+O78,0)=AA78,4,IF(IF((M78&gt;=6)*(1-(IF(N78="",-1,N78)&gt;=1)*(IF(N78="",-1,N78)&lt;=3))*(1-(IF(N78="",-1,N78)=0)),IF(C78="peso_corporal",IF(ISNUMBER(E78),E78,0)+L78,L78)*(30+M78)*100+L78,0)=AA78,3,IF(IF((J78&gt;=6)*(1-(IF(K78="",-1,K78)&gt;=1)*(IF(K78="",-1,K78)&lt;=3))*(1-(IF(K78="",-1,K78)=0)),IF(C78="peso_corporal",IF(ISNUMBER(E78),E78,0)+I78,I78)*(30+J78)*100+I78,0)=AA78,2,IF(IF((G78&gt;=6)*(1-(IF(H78="",-1,H78)&gt;=1)*(IF(H78="",-1,H78)&lt;=3))*(1-(IF(H78="",-1,H78)=0)),IF(C78="peso_corporal",IF(ISNUMBER(E78),E78,0)+F78,F78)*(30+G78)*100+F78,0)=AA78,1,0))))))</f>
        <v>0</v>
      </c>
      <c r="AC78" s="69" t="str">
        <f>IF(X78&gt;0,"A"&amp;X78,IF(Z78&gt;0,"B"&amp;Z78,IF(AB78&gt;0,"C"&amp;AB78,"")))</f>
        <v/>
      </c>
    </row>
    <row r="79" spans="1:29" ht="20.100000000000001" customHeight="1">
      <c r="A79" s="14" t="s">
        <v>130</v>
      </c>
      <c r="B79" s="15" t="s">
        <v>132</v>
      </c>
      <c r="C79" s="16" t="str">
        <f>IFERROR(INDEX(EJERCICIOS!$D$3:$D$75,MATCH(A79&amp;"|"&amp;B79,EJERCICIOS!$G$3:$G$75,0)),"--")</f>
        <v>polea</v>
      </c>
      <c r="D79" s="17">
        <v>3</v>
      </c>
      <c r="E79" s="18">
        <f>IFERROR(LOOKUP(2,1/(MEDIDAS_Y_PESO!$B$3:$B$6&lt;&gt;""),MEDIDAS_Y_PESO!$B$3:$B$6),"--")</f>
        <v>80</v>
      </c>
      <c r="F79" s="19"/>
      <c r="G79" s="20"/>
      <c r="H79" s="21"/>
      <c r="I79" s="19"/>
      <c r="J79" s="20"/>
      <c r="K79" s="21"/>
      <c r="L79" s="19"/>
      <c r="M79" s="20"/>
      <c r="N79" s="21"/>
      <c r="O79" s="19"/>
      <c r="P79" s="20"/>
      <c r="Q79" s="21"/>
      <c r="R79" s="19"/>
      <c r="S79" s="20"/>
      <c r="T79" s="21"/>
      <c r="U79" s="22" t="str">
        <f>IFERROR(IF(IF(X79&gt;0,X79,IF(Z79&gt;0,Z79,IF(AB79&gt;0,AB79,0)))=0,"--",ROUND(CHOOSE(IF(X79&gt;0,X79,IF(Z79&gt;0,Z79,IF(AB79&gt;0,AB79,0))),IF(C79="peso_corporal",IF(ISNUMBER(E79),E79,0)+F79,F79)*(1+G79/30),IF(C79="peso_corporal",IF(ISNUMBER(E79),E79,0)+I79,I79)*(1+J79/30),IF(C79="peso_corporal",IF(ISNUMBER(E79),E79,0)+L79,L79)*(1+M79/30),IF(C79="peso_corporal",IF(ISNUMBER(E79),E79,0)+O79,O79)*(1+P79/30),IF(C79="peso_corporal",IF(ISNUMBER(E79),E79,0)+R79,R79)*(1+S79/30)),1)),"--")</f>
        <v>--</v>
      </c>
      <c r="V79" s="23" t="str">
        <f>IF(SUGERENCIAS!N216="SIN","Sin datos anteriores",IF(SUGERENCIAS!N216="SUBIR_F","^ SUBIR FUERTE | Kg:"&amp;ROUND(SUGERENCIAS!K216,1)&amp;" R:"&amp;ROUND(SUGERENCIAS!L216,0)&amp;" RIR:"&amp;ROUND(SUGERENCIAS!M216,0),IF(SUGERENCIAS!N216="SUBIR_E","^ SUBIR (Est.) | Kg:"&amp;ROUND(SUGERENCIAS!K216,1)&amp;" R:"&amp;ROUND(SUGERENCIAS!L216,0)&amp;" RIR:"&amp;ROUND(SUGERENCIAS!M216,0),IF(SUGERENCIAS!N216="SUBIR","^ SUBIR | Kg:"&amp;ROUND(SUGERENCIAS!K216,1)&amp;" R:"&amp;ROUND(SUGERENCIAS!L216,0)&amp;" RIR:"&amp;ROUND(SUGERENCIAS!M216,0),IF(SUGERENCIAS!N216="BAJAR","v BAJAR | Kg:"&amp;ROUND(SUGERENCIAS!K216,1)&amp;" R:"&amp;ROUND(SUGERENCIAS!L216,0)&amp;" RIR:"&amp;ROUND(SUGERENCIAS!M216,0),"= MANT | Kg:"&amp;ROUND(SUGERENCIAS!K216,1)&amp;" R:"&amp;ROUND(SUGERENCIAS!L216,0)&amp;" RIR:"&amp;ROUND(SUGERENCIAS!M216,0))))))</f>
        <v>Sin datos anteriores</v>
      </c>
      <c r="W79" s="69">
        <f>MAX(IF((G79&gt;0)*(IF(H79="",-1,H79)&gt;=1)*(IF(H79="",-1,H79)&lt;=3),IF(C79="peso_corporal",IF(ISNUMBER(E79),E79,0)+F79,F79)*G79*1000+F79,0),IF((J79&gt;0)*(IF(K79="",-1,K79)&gt;=1)*(IF(K79="",-1,K79)&lt;=3),IF(C79="peso_corporal",IF(ISNUMBER(E79),E79,0)+I79,I79)*J79*1000+I79,0),IF((M79&gt;0)*(IF(N79="",-1,N79)&gt;=1)*(IF(N79="",-1,N79)&lt;=3),IF(C79="peso_corporal",IF(ISNUMBER(E79),E79,0)+L79,L79)*M79*1000+L79,0),IF((P79&gt;0)*(IF(Q79="",-1,Q79)&gt;=1)*(IF(Q79="",-1,Q79)&lt;=3),IF(C79="peso_corporal",IF(ISNUMBER(E79),E79,0)+O79,O79)*P79*1000+O79,0),IF((S79&gt;0)*(IF(T79="",-1,T79)&gt;=1)*(IF(T79="",-1,T79)&lt;=3),IF(C79="peso_corporal",IF(ISNUMBER(E79),E79,0)+R79,R79)*S79*1000+R79,0))</f>
        <v>0</v>
      </c>
      <c r="X79" s="69">
        <f>IF(W79=0,0,IF(IF((S79&gt;0)*(IF(T79="",-1,T79)&gt;=1)*(IF(T79="",-1,T79)&lt;=3),IF(C79="peso_corporal",IF(ISNUMBER(E79),E79,0)+R79,R79)*S79*1000+R79,0)=W79,5,IF(IF((P79&gt;0)*(IF(Q79="",-1,Q79)&gt;=1)*(IF(Q79="",-1,Q79)&lt;=3),IF(C79="peso_corporal",IF(ISNUMBER(E79),E79,0)+O79,O79)*P79*1000+O79,0)=W79,4,IF(IF((M79&gt;0)*(IF(N79="",-1,N79)&gt;=1)*(IF(N79="",-1,N79)&lt;=3),IF(C79="peso_corporal",IF(ISNUMBER(E79),E79,0)+L79,L79)*M79*1000+L79,0)=W79,3,IF(IF((J79&gt;0)*(IF(K79="",-1,K79)&gt;=1)*(IF(K79="",-1,K79)&lt;=3),IF(C79="peso_corporal",IF(ISNUMBER(E79),E79,0)+I79,I79)*J79*1000+I79,0)=W79,2,IF(IF((G79&gt;0)*(IF(H79="",-1,H79)&gt;=1)*(IF(H79="",-1,H79)&lt;=3),IF(C79="peso_corporal",IF(ISNUMBER(E79),E79,0)+F79,F79)*G79*1000+F79,0)=W79,1,0))))))</f>
        <v>0</v>
      </c>
      <c r="Y79" s="69">
        <f>MAX(IF((G79&gt;0)*(IF(H79="",-1,H79)=0)*(1-(IF(H79="",-1,H79)&gt;=1)*(IF(H79="",-1,H79)&lt;=3)),IF(C79="peso_corporal",IF(ISNUMBER(E79),E79,0)+F79,F79)*G79*1000+F79,0),IF((J79&gt;0)*(IF(K79="",-1,K79)=0)*(1-(IF(K79="",-1,K79)&gt;=1)*(IF(K79="",-1,K79)&lt;=3)),IF(C79="peso_corporal",IF(ISNUMBER(E79),E79,0)+I79,I79)*J79*1000+I79,0),IF((M79&gt;0)*(IF(N79="",-1,N79)=0)*(1-(IF(N79="",-1,N79)&gt;=1)*(IF(N79="",-1,N79)&lt;=3)),IF(C79="peso_corporal",IF(ISNUMBER(E79),E79,0)+L79,L79)*M79*1000+L79,0),IF((P79&gt;0)*(IF(Q79="",-1,Q79)=0)*(1-(IF(Q79="",-1,Q79)&gt;=1)*(IF(Q79="",-1,Q79)&lt;=3)),IF(C79="peso_corporal",IF(ISNUMBER(E79),E79,0)+O79,O79)*P79*1000+O79,0),IF((S79&gt;0)*(IF(T79="",-1,T79)=0)*(1-(IF(T79="",-1,T79)&gt;=1)*(IF(T79="",-1,T79)&lt;=3)),IF(C79="peso_corporal",IF(ISNUMBER(E79),E79,0)+R79,R79)*S79*1000+R79,0))</f>
        <v>0</v>
      </c>
      <c r="Z79" s="69">
        <f>IF(Y79=0,0,IF(IF((S79&gt;0)*(IF(T79="",-1,T79)=0)*(1-(IF(T79="",-1,T79)&gt;=1)*(IF(T79="",-1,T79)&lt;=3)),IF(C79="peso_corporal",IF(ISNUMBER(E79),E79,0)+R79,R79)*S79*1000+R79,0)=Y79,5,IF(IF((P79&gt;0)*(IF(Q79="",-1,Q79)=0)*(1-(IF(Q79="",-1,Q79)&gt;=1)*(IF(Q79="",-1,Q79)&lt;=3)),IF(C79="peso_corporal",IF(ISNUMBER(E79),E79,0)+O79,O79)*P79*1000+O79,0)=Y79,4,IF(IF((M79&gt;0)*(IF(N79="",-1,N79)=0)*(1-(IF(N79="",-1,N79)&gt;=1)*(IF(N79="",-1,N79)&lt;=3)),IF(C79="peso_corporal",IF(ISNUMBER(E79),E79,0)+L79,L79)*M79*1000+L79,0)=Y79,3,IF(IF((J79&gt;0)*(IF(K79="",-1,K79)=0)*(1-(IF(K79="",-1,K79)&gt;=1)*(IF(K79="",-1,K79)&lt;=3)),IF(C79="peso_corporal",IF(ISNUMBER(E79),E79,0)+I79,I79)*J79*1000+I79,0)=Y79,2,IF(IF((G79&gt;0)*(IF(H79="",-1,H79)=0)*(1-(IF(H79="",-1,H79)&gt;=1)*(IF(H79="",-1,H79)&lt;=3)),IF(C79="peso_corporal",IF(ISNUMBER(E79),E79,0)+F79,F79)*G79*1000+F79,0)=Y79,1,0))))))</f>
        <v>0</v>
      </c>
      <c r="AA79" s="69">
        <f>MAX(IF((G79&gt;=6)*(1-(IF(H79="",-1,H79)&gt;=1)*(IF(H79="",-1,H79)&lt;=3))*(1-(IF(H79="",-1,H79)=0)),IF(C79="peso_corporal",IF(ISNUMBER(E79),E79,0)+F79,F79)*(30+G79)*100+F79,0),IF((J79&gt;=6)*(1-(IF(K79="",-1,K79)&gt;=1)*(IF(K79="",-1,K79)&lt;=3))*(1-(IF(K79="",-1,K79)=0)),IF(C79="peso_corporal",IF(ISNUMBER(E79),E79,0)+I79,I79)*(30+J79)*100+I79,0),IF((M79&gt;=6)*(1-(IF(N79="",-1,N79)&gt;=1)*(IF(N79="",-1,N79)&lt;=3))*(1-(IF(N79="",-1,N79)=0)),IF(C79="peso_corporal",IF(ISNUMBER(E79),E79,0)+L79,L79)*(30+M79)*100+L79,0),IF((P79&gt;=6)*(1-(IF(Q79="",-1,Q79)&gt;=1)*(IF(Q79="",-1,Q79)&lt;=3))*(1-(IF(Q79="",-1,Q79)=0)),IF(C79="peso_corporal",IF(ISNUMBER(E79),E79,0)+O79,O79)*(30+P79)*100+O79,0),IF((S79&gt;=6)*(1-(IF(T79="",-1,T79)&gt;=1)*(IF(T79="",-1,T79)&lt;=3))*(1-(IF(T79="",-1,T79)=0)),IF(C79="peso_corporal",IF(ISNUMBER(E79),E79,0)+R79,R79)*(30+S79)*100+R79,0))</f>
        <v>0</v>
      </c>
      <c r="AB79" s="69">
        <f>IF(AA79=0,0,IF(IF((S79&gt;=6)*(1-(IF(T79="",-1,T79)&gt;=1)*(IF(T79="",-1,T79)&lt;=3))*(1-(IF(T79="",-1,T79)=0)),IF(C79="peso_corporal",IF(ISNUMBER(E79),E79,0)+R79,R79)*(30+S79)*100+R79,0)=AA79,5,IF(IF((P79&gt;=6)*(1-(IF(Q79="",-1,Q79)&gt;=1)*(IF(Q79="",-1,Q79)&lt;=3))*(1-(IF(Q79="",-1,Q79)=0)),IF(C79="peso_corporal",IF(ISNUMBER(E79),E79,0)+O79,O79)*(30+P79)*100+O79,0)=AA79,4,IF(IF((M79&gt;=6)*(1-(IF(N79="",-1,N79)&gt;=1)*(IF(N79="",-1,N79)&lt;=3))*(1-(IF(N79="",-1,N79)=0)),IF(C79="peso_corporal",IF(ISNUMBER(E79),E79,0)+L79,L79)*(30+M79)*100+L79,0)=AA79,3,IF(IF((J79&gt;=6)*(1-(IF(K79="",-1,K79)&gt;=1)*(IF(K79="",-1,K79)&lt;=3))*(1-(IF(K79="",-1,K79)=0)),IF(C79="peso_corporal",IF(ISNUMBER(E79),E79,0)+I79,I79)*(30+J79)*100+I79,0)=AA79,2,IF(IF((G79&gt;=6)*(1-(IF(H79="",-1,H79)&gt;=1)*(IF(H79="",-1,H79)&lt;=3))*(1-(IF(H79="",-1,H79)=0)),IF(C79="peso_corporal",IF(ISNUMBER(E79),E79,0)+F79,F79)*(30+G79)*100+F79,0)=AA79,1,0))))))</f>
        <v>0</v>
      </c>
      <c r="AC79" s="69" t="str">
        <f>IF(X79&gt;0,"A"&amp;X79,IF(Z79&gt;0,"B"&amp;Z79,IF(AB79&gt;0,"C"&amp;AB79,"")))</f>
        <v/>
      </c>
    </row>
    <row r="80" spans="1:29" ht="20.100000000000001" customHeight="1">
      <c r="A80" s="14" t="s">
        <v>133</v>
      </c>
      <c r="B80" s="15" t="s">
        <v>31</v>
      </c>
      <c r="C80" s="16" t="str">
        <f>IFERROR(INDEX(EJERCICIOS!$D$3:$D$75,MATCH(A80&amp;"|"&amp;B80,EJERCICIOS!$G$3:$G$75,0)),"--")</f>
        <v>mancuerna</v>
      </c>
      <c r="D80" s="17">
        <v>3</v>
      </c>
      <c r="E80" s="18">
        <f>IFERROR(LOOKUP(2,1/(MEDIDAS_Y_PESO!$B$3:$B$6&lt;&gt;""),MEDIDAS_Y_PESO!$B$3:$B$6),"--")</f>
        <v>80</v>
      </c>
      <c r="F80" s="19"/>
      <c r="G80" s="20"/>
      <c r="H80" s="21"/>
      <c r="I80" s="19"/>
      <c r="J80" s="20"/>
      <c r="K80" s="21"/>
      <c r="L80" s="19"/>
      <c r="M80" s="20"/>
      <c r="N80" s="21"/>
      <c r="O80" s="19"/>
      <c r="P80" s="20"/>
      <c r="Q80" s="21"/>
      <c r="R80" s="19"/>
      <c r="S80" s="20"/>
      <c r="T80" s="21"/>
      <c r="U80" s="22" t="str">
        <f>IFERROR(IF(IF(X80&gt;0,X80,IF(Z80&gt;0,Z80,IF(AB80&gt;0,AB80,0)))=0,"--",ROUND(CHOOSE(IF(X80&gt;0,X80,IF(Z80&gt;0,Z80,IF(AB80&gt;0,AB80,0))),IF(C80="peso_corporal",IF(ISNUMBER(E80),E80,0)+F80,F80)*(1+G80/30),IF(C80="peso_corporal",IF(ISNUMBER(E80),E80,0)+I80,I80)*(1+J80/30),IF(C80="peso_corporal",IF(ISNUMBER(E80),E80,0)+L80,L80)*(1+M80/30),IF(C80="peso_corporal",IF(ISNUMBER(E80),E80,0)+O80,O80)*(1+P80/30),IF(C80="peso_corporal",IF(ISNUMBER(E80),E80,0)+R80,R80)*(1+S80/30)),1)),"--")</f>
        <v>--</v>
      </c>
      <c r="V80" s="23" t="str">
        <f>IF(SUGERENCIAS!N217="SIN","Sin datos anteriores",IF(SUGERENCIAS!N217="SUBIR_F","^ SUBIR FUERTE | Kg:"&amp;ROUND(SUGERENCIAS!K217,1)&amp;" R:"&amp;ROUND(SUGERENCIAS!L217,0)&amp;" RIR:"&amp;ROUND(SUGERENCIAS!M217,0),IF(SUGERENCIAS!N217="SUBIR_E","^ SUBIR (Est.) | Kg:"&amp;ROUND(SUGERENCIAS!K217,1)&amp;" R:"&amp;ROUND(SUGERENCIAS!L217,0)&amp;" RIR:"&amp;ROUND(SUGERENCIAS!M217,0),IF(SUGERENCIAS!N217="SUBIR","^ SUBIR | Kg:"&amp;ROUND(SUGERENCIAS!K217,1)&amp;" R:"&amp;ROUND(SUGERENCIAS!L217,0)&amp;" RIR:"&amp;ROUND(SUGERENCIAS!M217,0),IF(SUGERENCIAS!N217="BAJAR","v BAJAR | Kg:"&amp;ROUND(SUGERENCIAS!K217,1)&amp;" R:"&amp;ROUND(SUGERENCIAS!L217,0)&amp;" RIR:"&amp;ROUND(SUGERENCIAS!M217,0),"= MANT | Kg:"&amp;ROUND(SUGERENCIAS!K217,1)&amp;" R:"&amp;ROUND(SUGERENCIAS!L217,0)&amp;" RIR:"&amp;ROUND(SUGERENCIAS!M217,0))))))</f>
        <v>Sin datos anteriores</v>
      </c>
      <c r="W80" s="69">
        <f>MAX(IF((G80&gt;0)*(IF(H80="",-1,H80)&gt;=1)*(IF(H80="",-1,H80)&lt;=3),IF(C80="peso_corporal",IF(ISNUMBER(E80),E80,0)+F80,F80)*G80*1000+F80,0),IF((J80&gt;0)*(IF(K80="",-1,K80)&gt;=1)*(IF(K80="",-1,K80)&lt;=3),IF(C80="peso_corporal",IF(ISNUMBER(E80),E80,0)+I80,I80)*J80*1000+I80,0),IF((M80&gt;0)*(IF(N80="",-1,N80)&gt;=1)*(IF(N80="",-1,N80)&lt;=3),IF(C80="peso_corporal",IF(ISNUMBER(E80),E80,0)+L80,L80)*M80*1000+L80,0),IF((P80&gt;0)*(IF(Q80="",-1,Q80)&gt;=1)*(IF(Q80="",-1,Q80)&lt;=3),IF(C80="peso_corporal",IF(ISNUMBER(E80),E80,0)+O80,O80)*P80*1000+O80,0),IF((S80&gt;0)*(IF(T80="",-1,T80)&gt;=1)*(IF(T80="",-1,T80)&lt;=3),IF(C80="peso_corporal",IF(ISNUMBER(E80),E80,0)+R80,R80)*S80*1000+R80,0))</f>
        <v>0</v>
      </c>
      <c r="X80" s="69">
        <f>IF(W80=0,0,IF(IF((S80&gt;0)*(IF(T80="",-1,T80)&gt;=1)*(IF(T80="",-1,T80)&lt;=3),IF(C80="peso_corporal",IF(ISNUMBER(E80),E80,0)+R80,R80)*S80*1000+R80,0)=W80,5,IF(IF((P80&gt;0)*(IF(Q80="",-1,Q80)&gt;=1)*(IF(Q80="",-1,Q80)&lt;=3),IF(C80="peso_corporal",IF(ISNUMBER(E80),E80,0)+O80,O80)*P80*1000+O80,0)=W80,4,IF(IF((M80&gt;0)*(IF(N80="",-1,N80)&gt;=1)*(IF(N80="",-1,N80)&lt;=3),IF(C80="peso_corporal",IF(ISNUMBER(E80),E80,0)+L80,L80)*M80*1000+L80,0)=W80,3,IF(IF((J80&gt;0)*(IF(K80="",-1,K80)&gt;=1)*(IF(K80="",-1,K80)&lt;=3),IF(C80="peso_corporal",IF(ISNUMBER(E80),E80,0)+I80,I80)*J80*1000+I80,0)=W80,2,IF(IF((G80&gt;0)*(IF(H80="",-1,H80)&gt;=1)*(IF(H80="",-1,H80)&lt;=3),IF(C80="peso_corporal",IF(ISNUMBER(E80),E80,0)+F80,F80)*G80*1000+F80,0)=W80,1,0))))))</f>
        <v>0</v>
      </c>
      <c r="Y80" s="69">
        <f>MAX(IF((G80&gt;0)*(IF(H80="",-1,H80)=0)*(1-(IF(H80="",-1,H80)&gt;=1)*(IF(H80="",-1,H80)&lt;=3)),IF(C80="peso_corporal",IF(ISNUMBER(E80),E80,0)+F80,F80)*G80*1000+F80,0),IF((J80&gt;0)*(IF(K80="",-1,K80)=0)*(1-(IF(K80="",-1,K80)&gt;=1)*(IF(K80="",-1,K80)&lt;=3)),IF(C80="peso_corporal",IF(ISNUMBER(E80),E80,0)+I80,I80)*J80*1000+I80,0),IF((M80&gt;0)*(IF(N80="",-1,N80)=0)*(1-(IF(N80="",-1,N80)&gt;=1)*(IF(N80="",-1,N80)&lt;=3)),IF(C80="peso_corporal",IF(ISNUMBER(E80),E80,0)+L80,L80)*M80*1000+L80,0),IF((P80&gt;0)*(IF(Q80="",-1,Q80)=0)*(1-(IF(Q80="",-1,Q80)&gt;=1)*(IF(Q80="",-1,Q80)&lt;=3)),IF(C80="peso_corporal",IF(ISNUMBER(E80),E80,0)+O80,O80)*P80*1000+O80,0),IF((S80&gt;0)*(IF(T80="",-1,T80)=0)*(1-(IF(T80="",-1,T80)&gt;=1)*(IF(T80="",-1,T80)&lt;=3)),IF(C80="peso_corporal",IF(ISNUMBER(E80),E80,0)+R80,R80)*S80*1000+R80,0))</f>
        <v>0</v>
      </c>
      <c r="Z80" s="69">
        <f>IF(Y80=0,0,IF(IF((S80&gt;0)*(IF(T80="",-1,T80)=0)*(1-(IF(T80="",-1,T80)&gt;=1)*(IF(T80="",-1,T80)&lt;=3)),IF(C80="peso_corporal",IF(ISNUMBER(E80),E80,0)+R80,R80)*S80*1000+R80,0)=Y80,5,IF(IF((P80&gt;0)*(IF(Q80="",-1,Q80)=0)*(1-(IF(Q80="",-1,Q80)&gt;=1)*(IF(Q80="",-1,Q80)&lt;=3)),IF(C80="peso_corporal",IF(ISNUMBER(E80),E80,0)+O80,O80)*P80*1000+O80,0)=Y80,4,IF(IF((M80&gt;0)*(IF(N80="",-1,N80)=0)*(1-(IF(N80="",-1,N80)&gt;=1)*(IF(N80="",-1,N80)&lt;=3)),IF(C80="peso_corporal",IF(ISNUMBER(E80),E80,0)+L80,L80)*M80*1000+L80,0)=Y80,3,IF(IF((J80&gt;0)*(IF(K80="",-1,K80)=0)*(1-(IF(K80="",-1,K80)&gt;=1)*(IF(K80="",-1,K80)&lt;=3)),IF(C80="peso_corporal",IF(ISNUMBER(E80),E80,0)+I80,I80)*J80*1000+I80,0)=Y80,2,IF(IF((G80&gt;0)*(IF(H80="",-1,H80)=0)*(1-(IF(H80="",-1,H80)&gt;=1)*(IF(H80="",-1,H80)&lt;=3)),IF(C80="peso_corporal",IF(ISNUMBER(E80),E80,0)+F80,F80)*G80*1000+F80,0)=Y80,1,0))))))</f>
        <v>0</v>
      </c>
      <c r="AA80" s="69">
        <f>MAX(IF((G80&gt;=6)*(1-(IF(H80="",-1,H80)&gt;=1)*(IF(H80="",-1,H80)&lt;=3))*(1-(IF(H80="",-1,H80)=0)),IF(C80="peso_corporal",IF(ISNUMBER(E80),E80,0)+F80,F80)*(30+G80)*100+F80,0),IF((J80&gt;=6)*(1-(IF(K80="",-1,K80)&gt;=1)*(IF(K80="",-1,K80)&lt;=3))*(1-(IF(K80="",-1,K80)=0)),IF(C80="peso_corporal",IF(ISNUMBER(E80),E80,0)+I80,I80)*(30+J80)*100+I80,0),IF((M80&gt;=6)*(1-(IF(N80="",-1,N80)&gt;=1)*(IF(N80="",-1,N80)&lt;=3))*(1-(IF(N80="",-1,N80)=0)),IF(C80="peso_corporal",IF(ISNUMBER(E80),E80,0)+L80,L80)*(30+M80)*100+L80,0),IF((P80&gt;=6)*(1-(IF(Q80="",-1,Q80)&gt;=1)*(IF(Q80="",-1,Q80)&lt;=3))*(1-(IF(Q80="",-1,Q80)=0)),IF(C80="peso_corporal",IF(ISNUMBER(E80),E80,0)+O80,O80)*(30+P80)*100+O80,0),IF((S80&gt;=6)*(1-(IF(T80="",-1,T80)&gt;=1)*(IF(T80="",-1,T80)&lt;=3))*(1-(IF(T80="",-1,T80)=0)),IF(C80="peso_corporal",IF(ISNUMBER(E80),E80,0)+R80,R80)*(30+S80)*100+R80,0))</f>
        <v>0</v>
      </c>
      <c r="AB80" s="69">
        <f>IF(AA80=0,0,IF(IF((S80&gt;=6)*(1-(IF(T80="",-1,T80)&gt;=1)*(IF(T80="",-1,T80)&lt;=3))*(1-(IF(T80="",-1,T80)=0)),IF(C80="peso_corporal",IF(ISNUMBER(E80),E80,0)+R80,R80)*(30+S80)*100+R80,0)=AA80,5,IF(IF((P80&gt;=6)*(1-(IF(Q80="",-1,Q80)&gt;=1)*(IF(Q80="",-1,Q80)&lt;=3))*(1-(IF(Q80="",-1,Q80)=0)),IF(C80="peso_corporal",IF(ISNUMBER(E80),E80,0)+O80,O80)*(30+P80)*100+O80,0)=AA80,4,IF(IF((M80&gt;=6)*(1-(IF(N80="",-1,N80)&gt;=1)*(IF(N80="",-1,N80)&lt;=3))*(1-(IF(N80="",-1,N80)=0)),IF(C80="peso_corporal",IF(ISNUMBER(E80),E80,0)+L80,L80)*(30+M80)*100+L80,0)=AA80,3,IF(IF((J80&gt;=6)*(1-(IF(K80="",-1,K80)&gt;=1)*(IF(K80="",-1,K80)&lt;=3))*(1-(IF(K80="",-1,K80)=0)),IF(C80="peso_corporal",IF(ISNUMBER(E80),E80,0)+I80,I80)*(30+J80)*100+I80,0)=AA80,2,IF(IF((G80&gt;=6)*(1-(IF(H80="",-1,H80)&gt;=1)*(IF(H80="",-1,H80)&lt;=3))*(1-(IF(H80="",-1,H80)=0)),IF(C80="peso_corporal",IF(ISNUMBER(E80),E80,0)+F80,F80)*(30+G80)*100+F80,0)=AA80,1,0))))))</f>
        <v>0</v>
      </c>
      <c r="AC80" s="69" t="str">
        <f>IF(X80&gt;0,"A"&amp;X80,IF(Z80&gt;0,"B"&amp;Z80,IF(AB80&gt;0,"C"&amp;AB80,"")))</f>
        <v/>
      </c>
    </row>
    <row r="81" spans="1:29" ht="15" customHeight="1">
      <c r="A81" s="88" t="s">
        <v>50</v>
      </c>
      <c r="B81" s="73"/>
      <c r="C81" s="73"/>
      <c r="D81" s="73"/>
      <c r="E81" s="73"/>
      <c r="F81" s="73"/>
      <c r="G81" s="73"/>
      <c r="H81" s="73"/>
      <c r="I81" s="73"/>
      <c r="J81" s="73"/>
      <c r="K81" s="73"/>
      <c r="L81" s="73"/>
      <c r="M81" s="73"/>
      <c r="N81" s="73"/>
      <c r="O81" s="73"/>
      <c r="P81" s="73"/>
      <c r="Q81" s="73"/>
      <c r="R81" s="73"/>
      <c r="S81" s="73"/>
      <c r="T81" s="73"/>
      <c r="U81" s="73"/>
      <c r="V81" s="73"/>
      <c r="W81" s="69"/>
      <c r="X81" s="69"/>
      <c r="Y81" s="69"/>
      <c r="Z81" s="69"/>
      <c r="AA81" s="69"/>
      <c r="AB81" s="69"/>
      <c r="AC81" s="69"/>
    </row>
    <row r="82" spans="1:29" ht="20.100000000000001" customHeight="1">
      <c r="A82" s="14" t="s">
        <v>51</v>
      </c>
      <c r="B82" s="15" t="s">
        <v>134</v>
      </c>
      <c r="C82" s="16" t="str">
        <f>IFERROR(INDEX(EJERCICIOS!$D$3:$D$75,MATCH(A82&amp;"|"&amp;B82,EJERCICIOS!$G$3:$G$75,0)),"--")</f>
        <v>--</v>
      </c>
      <c r="D82" s="17">
        <v>3</v>
      </c>
      <c r="E82" s="18">
        <f>IFERROR(LOOKUP(2,1/(MEDIDAS_Y_PESO!$B$3:$B$6&lt;&gt;""),MEDIDAS_Y_PESO!$B$3:$B$6),"--")</f>
        <v>80</v>
      </c>
      <c r="F82" s="19"/>
      <c r="G82" s="20"/>
      <c r="H82" s="21"/>
      <c r="I82" s="19"/>
      <c r="J82" s="20"/>
      <c r="K82" s="21"/>
      <c r="L82" s="19"/>
      <c r="M82" s="20"/>
      <c r="N82" s="21"/>
      <c r="O82" s="19"/>
      <c r="P82" s="20"/>
      <c r="Q82" s="21"/>
      <c r="R82" s="19"/>
      <c r="S82" s="20"/>
      <c r="T82" s="21"/>
      <c r="U82" s="22" t="str">
        <f>IFERROR(IF(IF(X82&gt;0,X82,IF(Z82&gt;0,Z82,IF(AB82&gt;0,AB82,0)))=0,"--",ROUND(CHOOSE(IF(X82&gt;0,X82,IF(Z82&gt;0,Z82,IF(AB82&gt;0,AB82,0))),IF(C82="peso_corporal",IF(ISNUMBER(E82),E82,0)+F82,F82)*(1+G82/30),IF(C82="peso_corporal",IF(ISNUMBER(E82),E82,0)+I82,I82)*(1+J82/30),IF(C82="peso_corporal",IF(ISNUMBER(E82),E82,0)+L82,L82)*(1+M82/30),IF(C82="peso_corporal",IF(ISNUMBER(E82),E82,0)+O82,O82)*(1+P82/30),IF(C82="peso_corporal",IF(ISNUMBER(E82),E82,0)+R82,R82)*(1+S82/30)),1)),"--")</f>
        <v>--</v>
      </c>
      <c r="V82" s="23" t="str">
        <f>IF(SUGERENCIAS!N218="SIN","Sin datos anteriores",IF(SUGERENCIAS!N218="SUBIR_F","^ SUBIR FUERTE | Kg:"&amp;ROUND(SUGERENCIAS!K218,1)&amp;" R:"&amp;ROUND(SUGERENCIAS!L218,0)&amp;" RIR:"&amp;ROUND(SUGERENCIAS!M218,0),IF(SUGERENCIAS!N218="SUBIR_E","^ SUBIR (Est.) | Kg:"&amp;ROUND(SUGERENCIAS!K218,1)&amp;" R:"&amp;ROUND(SUGERENCIAS!L218,0)&amp;" RIR:"&amp;ROUND(SUGERENCIAS!M218,0),IF(SUGERENCIAS!N218="SUBIR","^ SUBIR | Kg:"&amp;ROUND(SUGERENCIAS!K218,1)&amp;" R:"&amp;ROUND(SUGERENCIAS!L218,0)&amp;" RIR:"&amp;ROUND(SUGERENCIAS!M218,0),IF(SUGERENCIAS!N218="BAJAR","v BAJAR | Kg:"&amp;ROUND(SUGERENCIAS!K218,1)&amp;" R:"&amp;ROUND(SUGERENCIAS!L218,0)&amp;" RIR:"&amp;ROUND(SUGERENCIAS!M218,0),"= MANT | Kg:"&amp;ROUND(SUGERENCIAS!K218,1)&amp;" R:"&amp;ROUND(SUGERENCIAS!L218,0)&amp;" RIR:"&amp;ROUND(SUGERENCIAS!M218,0))))))</f>
        <v>Sin datos anteriores</v>
      </c>
      <c r="W82" s="69">
        <f>MAX(IF((G82&gt;0)*(IF(H82="",-1,H82)&gt;=1)*(IF(H82="",-1,H82)&lt;=3),IF(C82="peso_corporal",IF(ISNUMBER(E82),E82,0)+F82,F82)*G82*1000+F82,0),IF((J82&gt;0)*(IF(K82="",-1,K82)&gt;=1)*(IF(K82="",-1,K82)&lt;=3),IF(C82="peso_corporal",IF(ISNUMBER(E82),E82,0)+I82,I82)*J82*1000+I82,0),IF((M82&gt;0)*(IF(N82="",-1,N82)&gt;=1)*(IF(N82="",-1,N82)&lt;=3),IF(C82="peso_corporal",IF(ISNUMBER(E82),E82,0)+L82,L82)*M82*1000+L82,0),IF((P82&gt;0)*(IF(Q82="",-1,Q82)&gt;=1)*(IF(Q82="",-1,Q82)&lt;=3),IF(C82="peso_corporal",IF(ISNUMBER(E82),E82,0)+O82,O82)*P82*1000+O82,0),IF((S82&gt;0)*(IF(T82="",-1,T82)&gt;=1)*(IF(T82="",-1,T82)&lt;=3),IF(C82="peso_corporal",IF(ISNUMBER(E82),E82,0)+R82,R82)*S82*1000+R82,0))</f>
        <v>0</v>
      </c>
      <c r="X82" s="69">
        <f>IF(W82=0,0,IF(IF((S82&gt;0)*(IF(T82="",-1,T82)&gt;=1)*(IF(T82="",-1,T82)&lt;=3),IF(C82="peso_corporal",IF(ISNUMBER(E82),E82,0)+R82,R82)*S82*1000+R82,0)=W82,5,IF(IF((P82&gt;0)*(IF(Q82="",-1,Q82)&gt;=1)*(IF(Q82="",-1,Q82)&lt;=3),IF(C82="peso_corporal",IF(ISNUMBER(E82),E82,0)+O82,O82)*P82*1000+O82,0)=W82,4,IF(IF((M82&gt;0)*(IF(N82="",-1,N82)&gt;=1)*(IF(N82="",-1,N82)&lt;=3),IF(C82="peso_corporal",IF(ISNUMBER(E82),E82,0)+L82,L82)*M82*1000+L82,0)=W82,3,IF(IF((J82&gt;0)*(IF(K82="",-1,K82)&gt;=1)*(IF(K82="",-1,K82)&lt;=3),IF(C82="peso_corporal",IF(ISNUMBER(E82),E82,0)+I82,I82)*J82*1000+I82,0)=W82,2,IF(IF((G82&gt;0)*(IF(H82="",-1,H82)&gt;=1)*(IF(H82="",-1,H82)&lt;=3),IF(C82="peso_corporal",IF(ISNUMBER(E82),E82,0)+F82,F82)*G82*1000+F82,0)=W82,1,0))))))</f>
        <v>0</v>
      </c>
      <c r="Y82" s="69">
        <f>MAX(IF((G82&gt;0)*(IF(H82="",-1,H82)=0)*(1-(IF(H82="",-1,H82)&gt;=1)*(IF(H82="",-1,H82)&lt;=3)),IF(C82="peso_corporal",IF(ISNUMBER(E82),E82,0)+F82,F82)*G82*1000+F82,0),IF((J82&gt;0)*(IF(K82="",-1,K82)=0)*(1-(IF(K82="",-1,K82)&gt;=1)*(IF(K82="",-1,K82)&lt;=3)),IF(C82="peso_corporal",IF(ISNUMBER(E82),E82,0)+I82,I82)*J82*1000+I82,0),IF((M82&gt;0)*(IF(N82="",-1,N82)=0)*(1-(IF(N82="",-1,N82)&gt;=1)*(IF(N82="",-1,N82)&lt;=3)),IF(C82="peso_corporal",IF(ISNUMBER(E82),E82,0)+L82,L82)*M82*1000+L82,0),IF((P82&gt;0)*(IF(Q82="",-1,Q82)=0)*(1-(IF(Q82="",-1,Q82)&gt;=1)*(IF(Q82="",-1,Q82)&lt;=3)),IF(C82="peso_corporal",IF(ISNUMBER(E82),E82,0)+O82,O82)*P82*1000+O82,0),IF((S82&gt;0)*(IF(T82="",-1,T82)=0)*(1-(IF(T82="",-1,T82)&gt;=1)*(IF(T82="",-1,T82)&lt;=3)),IF(C82="peso_corporal",IF(ISNUMBER(E82),E82,0)+R82,R82)*S82*1000+R82,0))</f>
        <v>0</v>
      </c>
      <c r="Z82" s="69">
        <f>IF(Y82=0,0,IF(IF((S82&gt;0)*(IF(T82="",-1,T82)=0)*(1-(IF(T82="",-1,T82)&gt;=1)*(IF(T82="",-1,T82)&lt;=3)),IF(C82="peso_corporal",IF(ISNUMBER(E82),E82,0)+R82,R82)*S82*1000+R82,0)=Y82,5,IF(IF((P82&gt;0)*(IF(Q82="",-1,Q82)=0)*(1-(IF(Q82="",-1,Q82)&gt;=1)*(IF(Q82="",-1,Q82)&lt;=3)),IF(C82="peso_corporal",IF(ISNUMBER(E82),E82,0)+O82,O82)*P82*1000+O82,0)=Y82,4,IF(IF((M82&gt;0)*(IF(N82="",-1,N82)=0)*(1-(IF(N82="",-1,N82)&gt;=1)*(IF(N82="",-1,N82)&lt;=3)),IF(C82="peso_corporal",IF(ISNUMBER(E82),E82,0)+L82,L82)*M82*1000+L82,0)=Y82,3,IF(IF((J82&gt;0)*(IF(K82="",-1,K82)=0)*(1-(IF(K82="",-1,K82)&gt;=1)*(IF(K82="",-1,K82)&lt;=3)),IF(C82="peso_corporal",IF(ISNUMBER(E82),E82,0)+I82,I82)*J82*1000+I82,0)=Y82,2,IF(IF((G82&gt;0)*(IF(H82="",-1,H82)=0)*(1-(IF(H82="",-1,H82)&gt;=1)*(IF(H82="",-1,H82)&lt;=3)),IF(C82="peso_corporal",IF(ISNUMBER(E82),E82,0)+F82,F82)*G82*1000+F82,0)=Y82,1,0))))))</f>
        <v>0</v>
      </c>
      <c r="AA82" s="69">
        <f>MAX(IF((G82&gt;=6)*(1-(IF(H82="",-1,H82)&gt;=1)*(IF(H82="",-1,H82)&lt;=3))*(1-(IF(H82="",-1,H82)=0)),IF(C82="peso_corporal",IF(ISNUMBER(E82),E82,0)+F82,F82)*(30+G82)*100+F82,0),IF((J82&gt;=6)*(1-(IF(K82="",-1,K82)&gt;=1)*(IF(K82="",-1,K82)&lt;=3))*(1-(IF(K82="",-1,K82)=0)),IF(C82="peso_corporal",IF(ISNUMBER(E82),E82,0)+I82,I82)*(30+J82)*100+I82,0),IF((M82&gt;=6)*(1-(IF(N82="",-1,N82)&gt;=1)*(IF(N82="",-1,N82)&lt;=3))*(1-(IF(N82="",-1,N82)=0)),IF(C82="peso_corporal",IF(ISNUMBER(E82),E82,0)+L82,L82)*(30+M82)*100+L82,0),IF((P82&gt;=6)*(1-(IF(Q82="",-1,Q82)&gt;=1)*(IF(Q82="",-1,Q82)&lt;=3))*(1-(IF(Q82="",-1,Q82)=0)),IF(C82="peso_corporal",IF(ISNUMBER(E82),E82,0)+O82,O82)*(30+P82)*100+O82,0),IF((S82&gt;=6)*(1-(IF(T82="",-1,T82)&gt;=1)*(IF(T82="",-1,T82)&lt;=3))*(1-(IF(T82="",-1,T82)=0)),IF(C82="peso_corporal",IF(ISNUMBER(E82),E82,0)+R82,R82)*(30+S82)*100+R82,0))</f>
        <v>0</v>
      </c>
      <c r="AB82" s="69">
        <f>IF(AA82=0,0,IF(IF((S82&gt;=6)*(1-(IF(T82="",-1,T82)&gt;=1)*(IF(T82="",-1,T82)&lt;=3))*(1-(IF(T82="",-1,T82)=0)),IF(C82="peso_corporal",IF(ISNUMBER(E82),E82,0)+R82,R82)*(30+S82)*100+R82,0)=AA82,5,IF(IF((P82&gt;=6)*(1-(IF(Q82="",-1,Q82)&gt;=1)*(IF(Q82="",-1,Q82)&lt;=3))*(1-(IF(Q82="",-1,Q82)=0)),IF(C82="peso_corporal",IF(ISNUMBER(E82),E82,0)+O82,O82)*(30+P82)*100+O82,0)=AA82,4,IF(IF((M82&gt;=6)*(1-(IF(N82="",-1,N82)&gt;=1)*(IF(N82="",-1,N82)&lt;=3))*(1-(IF(N82="",-1,N82)=0)),IF(C82="peso_corporal",IF(ISNUMBER(E82),E82,0)+L82,L82)*(30+M82)*100+L82,0)=AA82,3,IF(IF((J82&gt;=6)*(1-(IF(K82="",-1,K82)&gt;=1)*(IF(K82="",-1,K82)&lt;=3))*(1-(IF(K82="",-1,K82)=0)),IF(C82="peso_corporal",IF(ISNUMBER(E82),E82,0)+I82,I82)*(30+J82)*100+I82,0)=AA82,2,IF(IF((G82&gt;=6)*(1-(IF(H82="",-1,H82)&gt;=1)*(IF(H82="",-1,H82)&lt;=3))*(1-(IF(H82="",-1,H82)=0)),IF(C82="peso_corporal",IF(ISNUMBER(E82),E82,0)+F82,F82)*(30+G82)*100+F82,0)=AA82,1,0))))))</f>
        <v>0</v>
      </c>
      <c r="AC82" s="69" t="str">
        <f>IF(X82&gt;0,"A"&amp;X82,IF(Z82&gt;0,"B"&amp;Z82,IF(AB82&gt;0,"C"&amp;AB82,"")))</f>
        <v/>
      </c>
    </row>
    <row r="83" spans="1:29" ht="20.100000000000001" customHeight="1">
      <c r="A83" s="14" t="s">
        <v>135</v>
      </c>
      <c r="B83" s="15" t="s">
        <v>136</v>
      </c>
      <c r="C83" s="16" t="str">
        <f>IFERROR(INDEX(EJERCICIOS!$D$3:$D$75,MATCH(A83&amp;"|"&amp;B83,EJERCICIOS!$G$3:$G$75,0)),"--")</f>
        <v>--</v>
      </c>
      <c r="D83" s="17">
        <v>3</v>
      </c>
      <c r="E83" s="18">
        <f>IFERROR(LOOKUP(2,1/(MEDIDAS_Y_PESO!$B$3:$B$6&lt;&gt;""),MEDIDAS_Y_PESO!$B$3:$B$6),"--")</f>
        <v>80</v>
      </c>
      <c r="F83" s="19"/>
      <c r="G83" s="20"/>
      <c r="H83" s="21"/>
      <c r="I83" s="19"/>
      <c r="J83" s="20"/>
      <c r="K83" s="21"/>
      <c r="L83" s="19"/>
      <c r="M83" s="20"/>
      <c r="N83" s="21"/>
      <c r="O83" s="19"/>
      <c r="P83" s="20"/>
      <c r="Q83" s="21"/>
      <c r="R83" s="19"/>
      <c r="S83" s="20"/>
      <c r="T83" s="21"/>
      <c r="U83" s="22" t="str">
        <f>IFERROR(IF(IF(X83&gt;0,X83,IF(Z83&gt;0,Z83,IF(AB83&gt;0,AB83,0)))=0,"--",ROUND(CHOOSE(IF(X83&gt;0,X83,IF(Z83&gt;0,Z83,IF(AB83&gt;0,AB83,0))),IF(C83="peso_corporal",IF(ISNUMBER(E83),E83,0)+F83,F83)*(1+G83/30),IF(C83="peso_corporal",IF(ISNUMBER(E83),E83,0)+I83,I83)*(1+J83/30),IF(C83="peso_corporal",IF(ISNUMBER(E83),E83,0)+L83,L83)*(1+M83/30),IF(C83="peso_corporal",IF(ISNUMBER(E83),E83,0)+O83,O83)*(1+P83/30),IF(C83="peso_corporal",IF(ISNUMBER(E83),E83,0)+R83,R83)*(1+S83/30)),1)),"--")</f>
        <v>--</v>
      </c>
      <c r="V83" s="23" t="str">
        <f>IF(SUGERENCIAS!N219="SIN","Sin datos anteriores",IF(SUGERENCIAS!N219="SUBIR_F","^ SUBIR FUERTE | Kg:"&amp;ROUND(SUGERENCIAS!K219,1)&amp;" R:"&amp;ROUND(SUGERENCIAS!L219,0)&amp;" RIR:"&amp;ROUND(SUGERENCIAS!M219,0),IF(SUGERENCIAS!N219="SUBIR_E","^ SUBIR (Est.) | Kg:"&amp;ROUND(SUGERENCIAS!K219,1)&amp;" R:"&amp;ROUND(SUGERENCIAS!L219,0)&amp;" RIR:"&amp;ROUND(SUGERENCIAS!M219,0),IF(SUGERENCIAS!N219="SUBIR","^ SUBIR | Kg:"&amp;ROUND(SUGERENCIAS!K219,1)&amp;" R:"&amp;ROUND(SUGERENCIAS!L219,0)&amp;" RIR:"&amp;ROUND(SUGERENCIAS!M219,0),IF(SUGERENCIAS!N219="BAJAR","v BAJAR | Kg:"&amp;ROUND(SUGERENCIAS!K219,1)&amp;" R:"&amp;ROUND(SUGERENCIAS!L219,0)&amp;" RIR:"&amp;ROUND(SUGERENCIAS!M219,0),"= MANT | Kg:"&amp;ROUND(SUGERENCIAS!K219,1)&amp;" R:"&amp;ROUND(SUGERENCIAS!L219,0)&amp;" RIR:"&amp;ROUND(SUGERENCIAS!M219,0))))))</f>
        <v>Sin datos anteriores</v>
      </c>
      <c r="W83" s="69">
        <f>MAX(IF((G83&gt;0)*(IF(H83="",-1,H83)&gt;=1)*(IF(H83="",-1,H83)&lt;=3),IF(C83="peso_corporal",IF(ISNUMBER(E83),E83,0)+F83,F83)*G83*1000+F83,0),IF((J83&gt;0)*(IF(K83="",-1,K83)&gt;=1)*(IF(K83="",-1,K83)&lt;=3),IF(C83="peso_corporal",IF(ISNUMBER(E83),E83,0)+I83,I83)*J83*1000+I83,0),IF((M83&gt;0)*(IF(N83="",-1,N83)&gt;=1)*(IF(N83="",-1,N83)&lt;=3),IF(C83="peso_corporal",IF(ISNUMBER(E83),E83,0)+L83,L83)*M83*1000+L83,0),IF((P83&gt;0)*(IF(Q83="",-1,Q83)&gt;=1)*(IF(Q83="",-1,Q83)&lt;=3),IF(C83="peso_corporal",IF(ISNUMBER(E83),E83,0)+O83,O83)*P83*1000+O83,0),IF((S83&gt;0)*(IF(T83="",-1,T83)&gt;=1)*(IF(T83="",-1,T83)&lt;=3),IF(C83="peso_corporal",IF(ISNUMBER(E83),E83,0)+R83,R83)*S83*1000+R83,0))</f>
        <v>0</v>
      </c>
      <c r="X83" s="69">
        <f>IF(W83=0,0,IF(IF((S83&gt;0)*(IF(T83="",-1,T83)&gt;=1)*(IF(T83="",-1,T83)&lt;=3),IF(C83="peso_corporal",IF(ISNUMBER(E83),E83,0)+R83,R83)*S83*1000+R83,0)=W83,5,IF(IF((P83&gt;0)*(IF(Q83="",-1,Q83)&gt;=1)*(IF(Q83="",-1,Q83)&lt;=3),IF(C83="peso_corporal",IF(ISNUMBER(E83),E83,0)+O83,O83)*P83*1000+O83,0)=W83,4,IF(IF((M83&gt;0)*(IF(N83="",-1,N83)&gt;=1)*(IF(N83="",-1,N83)&lt;=3),IF(C83="peso_corporal",IF(ISNUMBER(E83),E83,0)+L83,L83)*M83*1000+L83,0)=W83,3,IF(IF((J83&gt;0)*(IF(K83="",-1,K83)&gt;=1)*(IF(K83="",-1,K83)&lt;=3),IF(C83="peso_corporal",IF(ISNUMBER(E83),E83,0)+I83,I83)*J83*1000+I83,0)=W83,2,IF(IF((G83&gt;0)*(IF(H83="",-1,H83)&gt;=1)*(IF(H83="",-1,H83)&lt;=3),IF(C83="peso_corporal",IF(ISNUMBER(E83),E83,0)+F83,F83)*G83*1000+F83,0)=W83,1,0))))))</f>
        <v>0</v>
      </c>
      <c r="Y83" s="69">
        <f>MAX(IF((G83&gt;0)*(IF(H83="",-1,H83)=0)*(1-(IF(H83="",-1,H83)&gt;=1)*(IF(H83="",-1,H83)&lt;=3)),IF(C83="peso_corporal",IF(ISNUMBER(E83),E83,0)+F83,F83)*G83*1000+F83,0),IF((J83&gt;0)*(IF(K83="",-1,K83)=0)*(1-(IF(K83="",-1,K83)&gt;=1)*(IF(K83="",-1,K83)&lt;=3)),IF(C83="peso_corporal",IF(ISNUMBER(E83),E83,0)+I83,I83)*J83*1000+I83,0),IF((M83&gt;0)*(IF(N83="",-1,N83)=0)*(1-(IF(N83="",-1,N83)&gt;=1)*(IF(N83="",-1,N83)&lt;=3)),IF(C83="peso_corporal",IF(ISNUMBER(E83),E83,0)+L83,L83)*M83*1000+L83,0),IF((P83&gt;0)*(IF(Q83="",-1,Q83)=0)*(1-(IF(Q83="",-1,Q83)&gt;=1)*(IF(Q83="",-1,Q83)&lt;=3)),IF(C83="peso_corporal",IF(ISNUMBER(E83),E83,0)+O83,O83)*P83*1000+O83,0),IF((S83&gt;0)*(IF(T83="",-1,T83)=0)*(1-(IF(T83="",-1,T83)&gt;=1)*(IF(T83="",-1,T83)&lt;=3)),IF(C83="peso_corporal",IF(ISNUMBER(E83),E83,0)+R83,R83)*S83*1000+R83,0))</f>
        <v>0</v>
      </c>
      <c r="Z83" s="69">
        <f>IF(Y83=0,0,IF(IF((S83&gt;0)*(IF(T83="",-1,T83)=0)*(1-(IF(T83="",-1,T83)&gt;=1)*(IF(T83="",-1,T83)&lt;=3)),IF(C83="peso_corporal",IF(ISNUMBER(E83),E83,0)+R83,R83)*S83*1000+R83,0)=Y83,5,IF(IF((P83&gt;0)*(IF(Q83="",-1,Q83)=0)*(1-(IF(Q83="",-1,Q83)&gt;=1)*(IF(Q83="",-1,Q83)&lt;=3)),IF(C83="peso_corporal",IF(ISNUMBER(E83),E83,0)+O83,O83)*P83*1000+O83,0)=Y83,4,IF(IF((M83&gt;0)*(IF(N83="",-1,N83)=0)*(1-(IF(N83="",-1,N83)&gt;=1)*(IF(N83="",-1,N83)&lt;=3)),IF(C83="peso_corporal",IF(ISNUMBER(E83),E83,0)+L83,L83)*M83*1000+L83,0)=Y83,3,IF(IF((J83&gt;0)*(IF(K83="",-1,K83)=0)*(1-(IF(K83="",-1,K83)&gt;=1)*(IF(K83="",-1,K83)&lt;=3)),IF(C83="peso_corporal",IF(ISNUMBER(E83),E83,0)+I83,I83)*J83*1000+I83,0)=Y83,2,IF(IF((G83&gt;0)*(IF(H83="",-1,H83)=0)*(1-(IF(H83="",-1,H83)&gt;=1)*(IF(H83="",-1,H83)&lt;=3)),IF(C83="peso_corporal",IF(ISNUMBER(E83),E83,0)+F83,F83)*G83*1000+F83,0)=Y83,1,0))))))</f>
        <v>0</v>
      </c>
      <c r="AA83" s="69">
        <f>MAX(IF((G83&gt;=6)*(1-(IF(H83="",-1,H83)&gt;=1)*(IF(H83="",-1,H83)&lt;=3))*(1-(IF(H83="",-1,H83)=0)),IF(C83="peso_corporal",IF(ISNUMBER(E83),E83,0)+F83,F83)*(30+G83)*100+F83,0),IF((J83&gt;=6)*(1-(IF(K83="",-1,K83)&gt;=1)*(IF(K83="",-1,K83)&lt;=3))*(1-(IF(K83="",-1,K83)=0)),IF(C83="peso_corporal",IF(ISNUMBER(E83),E83,0)+I83,I83)*(30+J83)*100+I83,0),IF((M83&gt;=6)*(1-(IF(N83="",-1,N83)&gt;=1)*(IF(N83="",-1,N83)&lt;=3))*(1-(IF(N83="",-1,N83)=0)),IF(C83="peso_corporal",IF(ISNUMBER(E83),E83,0)+L83,L83)*(30+M83)*100+L83,0),IF((P83&gt;=6)*(1-(IF(Q83="",-1,Q83)&gt;=1)*(IF(Q83="",-1,Q83)&lt;=3))*(1-(IF(Q83="",-1,Q83)=0)),IF(C83="peso_corporal",IF(ISNUMBER(E83),E83,0)+O83,O83)*(30+P83)*100+O83,0),IF((S83&gt;=6)*(1-(IF(T83="",-1,T83)&gt;=1)*(IF(T83="",-1,T83)&lt;=3))*(1-(IF(T83="",-1,T83)=0)),IF(C83="peso_corporal",IF(ISNUMBER(E83),E83,0)+R83,R83)*(30+S83)*100+R83,0))</f>
        <v>0</v>
      </c>
      <c r="AB83" s="69">
        <f>IF(AA83=0,0,IF(IF((S83&gt;=6)*(1-(IF(T83="",-1,T83)&gt;=1)*(IF(T83="",-1,T83)&lt;=3))*(1-(IF(T83="",-1,T83)=0)),IF(C83="peso_corporal",IF(ISNUMBER(E83),E83,0)+R83,R83)*(30+S83)*100+R83,0)=AA83,5,IF(IF((P83&gt;=6)*(1-(IF(Q83="",-1,Q83)&gt;=1)*(IF(Q83="",-1,Q83)&lt;=3))*(1-(IF(Q83="",-1,Q83)=0)),IF(C83="peso_corporal",IF(ISNUMBER(E83),E83,0)+O83,O83)*(30+P83)*100+O83,0)=AA83,4,IF(IF((M83&gt;=6)*(1-(IF(N83="",-1,N83)&gt;=1)*(IF(N83="",-1,N83)&lt;=3))*(1-(IF(N83="",-1,N83)=0)),IF(C83="peso_corporal",IF(ISNUMBER(E83),E83,0)+L83,L83)*(30+M83)*100+L83,0)=AA83,3,IF(IF((J83&gt;=6)*(1-(IF(K83="",-1,K83)&gt;=1)*(IF(K83="",-1,K83)&lt;=3))*(1-(IF(K83="",-1,K83)=0)),IF(C83="peso_corporal",IF(ISNUMBER(E83),E83,0)+I83,I83)*(30+J83)*100+I83,0)=AA83,2,IF(IF((G83&gt;=6)*(1-(IF(H83="",-1,H83)&gt;=1)*(IF(H83="",-1,H83)&lt;=3))*(1-(IF(H83="",-1,H83)=0)),IF(C83="peso_corporal",IF(ISNUMBER(E83),E83,0)+F83,F83)*(30+G83)*100+F83,0)=AA83,1,0))))))</f>
        <v>0</v>
      </c>
      <c r="AC83" s="69" t="str">
        <f>IF(X83&gt;0,"A"&amp;X83,IF(Z83&gt;0,"B"&amp;Z83,IF(AB83&gt;0,"C"&amp;AB83,"")))</f>
        <v/>
      </c>
    </row>
    <row r="84" spans="1:29" ht="20.100000000000001" customHeight="1">
      <c r="A84" s="14" t="s">
        <v>65</v>
      </c>
      <c r="B84" s="15" t="s">
        <v>66</v>
      </c>
      <c r="C84" s="16" t="str">
        <f>IFERROR(INDEX(EJERCICIOS!$D$3:$D$75,MATCH(A84&amp;"|"&amp;B84,EJERCICIOS!$G$3:$G$75,0)),"--")</f>
        <v>--</v>
      </c>
      <c r="D84" s="17">
        <v>3</v>
      </c>
      <c r="E84" s="18">
        <f>IFERROR(LOOKUP(2,1/(MEDIDAS_Y_PESO!$B$3:$B$6&lt;&gt;""),MEDIDAS_Y_PESO!$B$3:$B$6),"--")</f>
        <v>80</v>
      </c>
      <c r="F84" s="19"/>
      <c r="G84" s="20"/>
      <c r="H84" s="21"/>
      <c r="I84" s="19"/>
      <c r="J84" s="20"/>
      <c r="K84" s="21"/>
      <c r="L84" s="19"/>
      <c r="M84" s="20"/>
      <c r="N84" s="21"/>
      <c r="O84" s="19"/>
      <c r="P84" s="20"/>
      <c r="Q84" s="21"/>
      <c r="R84" s="19"/>
      <c r="S84" s="20"/>
      <c r="T84" s="21"/>
      <c r="U84" s="22" t="str">
        <f>IFERROR(IF(IF(X84&gt;0,X84,IF(Z84&gt;0,Z84,IF(AB84&gt;0,AB84,0)))=0,"--",ROUND(CHOOSE(IF(X84&gt;0,X84,IF(Z84&gt;0,Z84,IF(AB84&gt;0,AB84,0))),IF(C84="peso_corporal",IF(ISNUMBER(E84),E84,0)+F84,F84)*(1+G84/30),IF(C84="peso_corporal",IF(ISNUMBER(E84),E84,0)+I84,I84)*(1+J84/30),IF(C84="peso_corporal",IF(ISNUMBER(E84),E84,0)+L84,L84)*(1+M84/30),IF(C84="peso_corporal",IF(ISNUMBER(E84),E84,0)+O84,O84)*(1+P84/30),IF(C84="peso_corporal",IF(ISNUMBER(E84),E84,0)+R84,R84)*(1+S84/30)),1)),"--")</f>
        <v>--</v>
      </c>
      <c r="V84" s="23" t="str">
        <f>IF(SUGERENCIAS!N220="SIN","Sin datos anteriores",IF(SUGERENCIAS!N220="SUBIR_F","^ SUBIR FUERTE | Kg:"&amp;ROUND(SUGERENCIAS!K220,1)&amp;" R:"&amp;ROUND(SUGERENCIAS!L220,0)&amp;" RIR:"&amp;ROUND(SUGERENCIAS!M220,0),IF(SUGERENCIAS!N220="SUBIR_E","^ SUBIR (Est.) | Kg:"&amp;ROUND(SUGERENCIAS!K220,1)&amp;" R:"&amp;ROUND(SUGERENCIAS!L220,0)&amp;" RIR:"&amp;ROUND(SUGERENCIAS!M220,0),IF(SUGERENCIAS!N220="SUBIR","^ SUBIR | Kg:"&amp;ROUND(SUGERENCIAS!K220,1)&amp;" R:"&amp;ROUND(SUGERENCIAS!L220,0)&amp;" RIR:"&amp;ROUND(SUGERENCIAS!M220,0),IF(SUGERENCIAS!N220="BAJAR","v BAJAR | Kg:"&amp;ROUND(SUGERENCIAS!K220,1)&amp;" R:"&amp;ROUND(SUGERENCIAS!L220,0)&amp;" RIR:"&amp;ROUND(SUGERENCIAS!M220,0),"= MANT | Kg:"&amp;ROUND(SUGERENCIAS!K220,1)&amp;" R:"&amp;ROUND(SUGERENCIAS!L220,0)&amp;" RIR:"&amp;ROUND(SUGERENCIAS!M220,0))))))</f>
        <v>Sin datos anteriores</v>
      </c>
      <c r="W84" s="69">
        <f>MAX(IF((G84&gt;0)*(IF(H84="",-1,H84)&gt;=1)*(IF(H84="",-1,H84)&lt;=3),IF(C84="peso_corporal",IF(ISNUMBER(E84),E84,0)+F84,F84)*G84*1000+F84,0),IF((J84&gt;0)*(IF(K84="",-1,K84)&gt;=1)*(IF(K84="",-1,K84)&lt;=3),IF(C84="peso_corporal",IF(ISNUMBER(E84),E84,0)+I84,I84)*J84*1000+I84,0),IF((M84&gt;0)*(IF(N84="",-1,N84)&gt;=1)*(IF(N84="",-1,N84)&lt;=3),IF(C84="peso_corporal",IF(ISNUMBER(E84),E84,0)+L84,L84)*M84*1000+L84,0),IF((P84&gt;0)*(IF(Q84="",-1,Q84)&gt;=1)*(IF(Q84="",-1,Q84)&lt;=3),IF(C84="peso_corporal",IF(ISNUMBER(E84),E84,0)+O84,O84)*P84*1000+O84,0),IF((S84&gt;0)*(IF(T84="",-1,T84)&gt;=1)*(IF(T84="",-1,T84)&lt;=3),IF(C84="peso_corporal",IF(ISNUMBER(E84),E84,0)+R84,R84)*S84*1000+R84,0))</f>
        <v>0</v>
      </c>
      <c r="X84" s="69">
        <f>IF(W84=0,0,IF(IF((S84&gt;0)*(IF(T84="",-1,T84)&gt;=1)*(IF(T84="",-1,T84)&lt;=3),IF(C84="peso_corporal",IF(ISNUMBER(E84),E84,0)+R84,R84)*S84*1000+R84,0)=W84,5,IF(IF((P84&gt;0)*(IF(Q84="",-1,Q84)&gt;=1)*(IF(Q84="",-1,Q84)&lt;=3),IF(C84="peso_corporal",IF(ISNUMBER(E84),E84,0)+O84,O84)*P84*1000+O84,0)=W84,4,IF(IF((M84&gt;0)*(IF(N84="",-1,N84)&gt;=1)*(IF(N84="",-1,N84)&lt;=3),IF(C84="peso_corporal",IF(ISNUMBER(E84),E84,0)+L84,L84)*M84*1000+L84,0)=W84,3,IF(IF((J84&gt;0)*(IF(K84="",-1,K84)&gt;=1)*(IF(K84="",-1,K84)&lt;=3),IF(C84="peso_corporal",IF(ISNUMBER(E84),E84,0)+I84,I84)*J84*1000+I84,0)=W84,2,IF(IF((G84&gt;0)*(IF(H84="",-1,H84)&gt;=1)*(IF(H84="",-1,H84)&lt;=3),IF(C84="peso_corporal",IF(ISNUMBER(E84),E84,0)+F84,F84)*G84*1000+F84,0)=W84,1,0))))))</f>
        <v>0</v>
      </c>
      <c r="Y84" s="69">
        <f>MAX(IF((G84&gt;0)*(IF(H84="",-1,H84)=0)*(1-(IF(H84="",-1,H84)&gt;=1)*(IF(H84="",-1,H84)&lt;=3)),IF(C84="peso_corporal",IF(ISNUMBER(E84),E84,0)+F84,F84)*G84*1000+F84,0),IF((J84&gt;0)*(IF(K84="",-1,K84)=0)*(1-(IF(K84="",-1,K84)&gt;=1)*(IF(K84="",-1,K84)&lt;=3)),IF(C84="peso_corporal",IF(ISNUMBER(E84),E84,0)+I84,I84)*J84*1000+I84,0),IF((M84&gt;0)*(IF(N84="",-1,N84)=0)*(1-(IF(N84="",-1,N84)&gt;=1)*(IF(N84="",-1,N84)&lt;=3)),IF(C84="peso_corporal",IF(ISNUMBER(E84),E84,0)+L84,L84)*M84*1000+L84,0),IF((P84&gt;0)*(IF(Q84="",-1,Q84)=0)*(1-(IF(Q84="",-1,Q84)&gt;=1)*(IF(Q84="",-1,Q84)&lt;=3)),IF(C84="peso_corporal",IF(ISNUMBER(E84),E84,0)+O84,O84)*P84*1000+O84,0),IF((S84&gt;0)*(IF(T84="",-1,T84)=0)*(1-(IF(T84="",-1,T84)&gt;=1)*(IF(T84="",-1,T84)&lt;=3)),IF(C84="peso_corporal",IF(ISNUMBER(E84),E84,0)+R84,R84)*S84*1000+R84,0))</f>
        <v>0</v>
      </c>
      <c r="Z84" s="69">
        <f>IF(Y84=0,0,IF(IF((S84&gt;0)*(IF(T84="",-1,T84)=0)*(1-(IF(T84="",-1,T84)&gt;=1)*(IF(T84="",-1,T84)&lt;=3)),IF(C84="peso_corporal",IF(ISNUMBER(E84),E84,0)+R84,R84)*S84*1000+R84,0)=Y84,5,IF(IF((P84&gt;0)*(IF(Q84="",-1,Q84)=0)*(1-(IF(Q84="",-1,Q84)&gt;=1)*(IF(Q84="",-1,Q84)&lt;=3)),IF(C84="peso_corporal",IF(ISNUMBER(E84),E84,0)+O84,O84)*P84*1000+O84,0)=Y84,4,IF(IF((M84&gt;0)*(IF(N84="",-1,N84)=0)*(1-(IF(N84="",-1,N84)&gt;=1)*(IF(N84="",-1,N84)&lt;=3)),IF(C84="peso_corporal",IF(ISNUMBER(E84),E84,0)+L84,L84)*M84*1000+L84,0)=Y84,3,IF(IF((J84&gt;0)*(IF(K84="",-1,K84)=0)*(1-(IF(K84="",-1,K84)&gt;=1)*(IF(K84="",-1,K84)&lt;=3)),IF(C84="peso_corporal",IF(ISNUMBER(E84),E84,0)+I84,I84)*J84*1000+I84,0)=Y84,2,IF(IF((G84&gt;0)*(IF(H84="",-1,H84)=0)*(1-(IF(H84="",-1,H84)&gt;=1)*(IF(H84="",-1,H84)&lt;=3)),IF(C84="peso_corporal",IF(ISNUMBER(E84),E84,0)+F84,F84)*G84*1000+F84,0)=Y84,1,0))))))</f>
        <v>0</v>
      </c>
      <c r="AA84" s="69">
        <f>MAX(IF((G84&gt;=6)*(1-(IF(H84="",-1,H84)&gt;=1)*(IF(H84="",-1,H84)&lt;=3))*(1-(IF(H84="",-1,H84)=0)),IF(C84="peso_corporal",IF(ISNUMBER(E84),E84,0)+F84,F84)*(30+G84)*100+F84,0),IF((J84&gt;=6)*(1-(IF(K84="",-1,K84)&gt;=1)*(IF(K84="",-1,K84)&lt;=3))*(1-(IF(K84="",-1,K84)=0)),IF(C84="peso_corporal",IF(ISNUMBER(E84),E84,0)+I84,I84)*(30+J84)*100+I84,0),IF((M84&gt;=6)*(1-(IF(N84="",-1,N84)&gt;=1)*(IF(N84="",-1,N84)&lt;=3))*(1-(IF(N84="",-1,N84)=0)),IF(C84="peso_corporal",IF(ISNUMBER(E84),E84,0)+L84,L84)*(30+M84)*100+L84,0),IF((P84&gt;=6)*(1-(IF(Q84="",-1,Q84)&gt;=1)*(IF(Q84="",-1,Q84)&lt;=3))*(1-(IF(Q84="",-1,Q84)=0)),IF(C84="peso_corporal",IF(ISNUMBER(E84),E84,0)+O84,O84)*(30+P84)*100+O84,0),IF((S84&gt;=6)*(1-(IF(T84="",-1,T84)&gt;=1)*(IF(T84="",-1,T84)&lt;=3))*(1-(IF(T84="",-1,T84)=0)),IF(C84="peso_corporal",IF(ISNUMBER(E84),E84,0)+R84,R84)*(30+S84)*100+R84,0))</f>
        <v>0</v>
      </c>
      <c r="AB84" s="69">
        <f>IF(AA84=0,0,IF(IF((S84&gt;=6)*(1-(IF(T84="",-1,T84)&gt;=1)*(IF(T84="",-1,T84)&lt;=3))*(1-(IF(T84="",-1,T84)=0)),IF(C84="peso_corporal",IF(ISNUMBER(E84),E84,0)+R84,R84)*(30+S84)*100+R84,0)=AA84,5,IF(IF((P84&gt;=6)*(1-(IF(Q84="",-1,Q84)&gt;=1)*(IF(Q84="",-1,Q84)&lt;=3))*(1-(IF(Q84="",-1,Q84)=0)),IF(C84="peso_corporal",IF(ISNUMBER(E84),E84,0)+O84,O84)*(30+P84)*100+O84,0)=AA84,4,IF(IF((M84&gt;=6)*(1-(IF(N84="",-1,N84)&gt;=1)*(IF(N84="",-1,N84)&lt;=3))*(1-(IF(N84="",-1,N84)=0)),IF(C84="peso_corporal",IF(ISNUMBER(E84),E84,0)+L84,L84)*(30+M84)*100+L84,0)=AA84,3,IF(IF((J84&gt;=6)*(1-(IF(K84="",-1,K84)&gt;=1)*(IF(K84="",-1,K84)&lt;=3))*(1-(IF(K84="",-1,K84)=0)),IF(C84="peso_corporal",IF(ISNUMBER(E84),E84,0)+I84,I84)*(30+J84)*100+I84,0)=AA84,2,IF(IF((G84&gt;=6)*(1-(IF(H84="",-1,H84)&gt;=1)*(IF(H84="",-1,H84)&lt;=3))*(1-(IF(H84="",-1,H84)=0)),IF(C84="peso_corporal",IF(ISNUMBER(E84),E84,0)+F84,F84)*(30+G84)*100+F84,0)=AA84,1,0))))))</f>
        <v>0</v>
      </c>
      <c r="AC84" s="69" t="str">
        <f>IF(X84&gt;0,"A"&amp;X84,IF(Z84&gt;0,"B"&amp;Z84,IF(AB84&gt;0,"C"&amp;AB84,"")))</f>
        <v/>
      </c>
    </row>
    <row r="85" spans="1:29" ht="20.100000000000001" customHeight="1">
      <c r="A85" s="14" t="s">
        <v>65</v>
      </c>
      <c r="B85" s="15" t="s">
        <v>137</v>
      </c>
      <c r="C85" s="16" t="str">
        <f>IFERROR(INDEX(EJERCICIOS!$D$3:$D$75,MATCH(A85&amp;"|"&amp;B85,EJERCICIOS!$G$3:$G$75,0)),"--")</f>
        <v>--</v>
      </c>
      <c r="D85" s="17">
        <v>3</v>
      </c>
      <c r="E85" s="18">
        <f>IFERROR(LOOKUP(2,1/(MEDIDAS_Y_PESO!$B$3:$B$6&lt;&gt;""),MEDIDAS_Y_PESO!$B$3:$B$6),"--")</f>
        <v>80</v>
      </c>
      <c r="F85" s="19"/>
      <c r="G85" s="20"/>
      <c r="H85" s="21"/>
      <c r="I85" s="19"/>
      <c r="J85" s="20"/>
      <c r="K85" s="21"/>
      <c r="L85" s="19"/>
      <c r="M85" s="20"/>
      <c r="N85" s="21"/>
      <c r="O85" s="19"/>
      <c r="P85" s="20"/>
      <c r="Q85" s="21"/>
      <c r="R85" s="19"/>
      <c r="S85" s="20"/>
      <c r="T85" s="21"/>
      <c r="U85" s="22" t="str">
        <f>IFERROR(IF(IF(X85&gt;0,X85,IF(Z85&gt;0,Z85,IF(AB85&gt;0,AB85,0)))=0,"--",ROUND(CHOOSE(IF(X85&gt;0,X85,IF(Z85&gt;0,Z85,IF(AB85&gt;0,AB85,0))),IF(C85="peso_corporal",IF(ISNUMBER(E85),E85,0)+F85,F85)*(1+G85/30),IF(C85="peso_corporal",IF(ISNUMBER(E85),E85,0)+I85,I85)*(1+J85/30),IF(C85="peso_corporal",IF(ISNUMBER(E85),E85,0)+L85,L85)*(1+M85/30),IF(C85="peso_corporal",IF(ISNUMBER(E85),E85,0)+O85,O85)*(1+P85/30),IF(C85="peso_corporal",IF(ISNUMBER(E85),E85,0)+R85,R85)*(1+S85/30)),1)),"--")</f>
        <v>--</v>
      </c>
      <c r="V85" s="23" t="str">
        <f>IF(SUGERENCIAS!N221="SIN","Sin datos anteriores",IF(SUGERENCIAS!N221="SUBIR_F","^ SUBIR FUERTE | Kg:"&amp;ROUND(SUGERENCIAS!K221,1)&amp;" R:"&amp;ROUND(SUGERENCIAS!L221,0)&amp;" RIR:"&amp;ROUND(SUGERENCIAS!M221,0),IF(SUGERENCIAS!N221="SUBIR_E","^ SUBIR (Est.) | Kg:"&amp;ROUND(SUGERENCIAS!K221,1)&amp;" R:"&amp;ROUND(SUGERENCIAS!L221,0)&amp;" RIR:"&amp;ROUND(SUGERENCIAS!M221,0),IF(SUGERENCIAS!N221="SUBIR","^ SUBIR | Kg:"&amp;ROUND(SUGERENCIAS!K221,1)&amp;" R:"&amp;ROUND(SUGERENCIAS!L221,0)&amp;" RIR:"&amp;ROUND(SUGERENCIAS!M221,0),IF(SUGERENCIAS!N221="BAJAR","v BAJAR | Kg:"&amp;ROUND(SUGERENCIAS!K221,1)&amp;" R:"&amp;ROUND(SUGERENCIAS!L221,0)&amp;" RIR:"&amp;ROUND(SUGERENCIAS!M221,0),"= MANT | Kg:"&amp;ROUND(SUGERENCIAS!K221,1)&amp;" R:"&amp;ROUND(SUGERENCIAS!L221,0)&amp;" RIR:"&amp;ROUND(SUGERENCIAS!M221,0))))))</f>
        <v>Sin datos anteriores</v>
      </c>
      <c r="W85" s="69">
        <f>MAX(IF((G85&gt;0)*(IF(H85="",-1,H85)&gt;=1)*(IF(H85="",-1,H85)&lt;=3),IF(C85="peso_corporal",IF(ISNUMBER(E85),E85,0)+F85,F85)*G85*1000+F85,0),IF((J85&gt;0)*(IF(K85="",-1,K85)&gt;=1)*(IF(K85="",-1,K85)&lt;=3),IF(C85="peso_corporal",IF(ISNUMBER(E85),E85,0)+I85,I85)*J85*1000+I85,0),IF((M85&gt;0)*(IF(N85="",-1,N85)&gt;=1)*(IF(N85="",-1,N85)&lt;=3),IF(C85="peso_corporal",IF(ISNUMBER(E85),E85,0)+L85,L85)*M85*1000+L85,0),IF((P85&gt;0)*(IF(Q85="",-1,Q85)&gt;=1)*(IF(Q85="",-1,Q85)&lt;=3),IF(C85="peso_corporal",IF(ISNUMBER(E85),E85,0)+O85,O85)*P85*1000+O85,0),IF((S85&gt;0)*(IF(T85="",-1,T85)&gt;=1)*(IF(T85="",-1,T85)&lt;=3),IF(C85="peso_corporal",IF(ISNUMBER(E85),E85,0)+R85,R85)*S85*1000+R85,0))</f>
        <v>0</v>
      </c>
      <c r="X85" s="69">
        <f>IF(W85=0,0,IF(IF((S85&gt;0)*(IF(T85="",-1,T85)&gt;=1)*(IF(T85="",-1,T85)&lt;=3),IF(C85="peso_corporal",IF(ISNUMBER(E85),E85,0)+R85,R85)*S85*1000+R85,0)=W85,5,IF(IF((P85&gt;0)*(IF(Q85="",-1,Q85)&gt;=1)*(IF(Q85="",-1,Q85)&lt;=3),IF(C85="peso_corporal",IF(ISNUMBER(E85),E85,0)+O85,O85)*P85*1000+O85,0)=W85,4,IF(IF((M85&gt;0)*(IF(N85="",-1,N85)&gt;=1)*(IF(N85="",-1,N85)&lt;=3),IF(C85="peso_corporal",IF(ISNUMBER(E85),E85,0)+L85,L85)*M85*1000+L85,0)=W85,3,IF(IF((J85&gt;0)*(IF(K85="",-1,K85)&gt;=1)*(IF(K85="",-1,K85)&lt;=3),IF(C85="peso_corporal",IF(ISNUMBER(E85),E85,0)+I85,I85)*J85*1000+I85,0)=W85,2,IF(IF((G85&gt;0)*(IF(H85="",-1,H85)&gt;=1)*(IF(H85="",-1,H85)&lt;=3),IF(C85="peso_corporal",IF(ISNUMBER(E85),E85,0)+F85,F85)*G85*1000+F85,0)=W85,1,0))))))</f>
        <v>0</v>
      </c>
      <c r="Y85" s="69">
        <f>MAX(IF((G85&gt;0)*(IF(H85="",-1,H85)=0)*(1-(IF(H85="",-1,H85)&gt;=1)*(IF(H85="",-1,H85)&lt;=3)),IF(C85="peso_corporal",IF(ISNUMBER(E85),E85,0)+F85,F85)*G85*1000+F85,0),IF((J85&gt;0)*(IF(K85="",-1,K85)=0)*(1-(IF(K85="",-1,K85)&gt;=1)*(IF(K85="",-1,K85)&lt;=3)),IF(C85="peso_corporal",IF(ISNUMBER(E85),E85,0)+I85,I85)*J85*1000+I85,0),IF((M85&gt;0)*(IF(N85="",-1,N85)=0)*(1-(IF(N85="",-1,N85)&gt;=1)*(IF(N85="",-1,N85)&lt;=3)),IF(C85="peso_corporal",IF(ISNUMBER(E85),E85,0)+L85,L85)*M85*1000+L85,0),IF((P85&gt;0)*(IF(Q85="",-1,Q85)=0)*(1-(IF(Q85="",-1,Q85)&gt;=1)*(IF(Q85="",-1,Q85)&lt;=3)),IF(C85="peso_corporal",IF(ISNUMBER(E85),E85,0)+O85,O85)*P85*1000+O85,0),IF((S85&gt;0)*(IF(T85="",-1,T85)=0)*(1-(IF(T85="",-1,T85)&gt;=1)*(IF(T85="",-1,T85)&lt;=3)),IF(C85="peso_corporal",IF(ISNUMBER(E85),E85,0)+R85,R85)*S85*1000+R85,0))</f>
        <v>0</v>
      </c>
      <c r="Z85" s="69">
        <f>IF(Y85=0,0,IF(IF((S85&gt;0)*(IF(T85="",-1,T85)=0)*(1-(IF(T85="",-1,T85)&gt;=1)*(IF(T85="",-1,T85)&lt;=3)),IF(C85="peso_corporal",IF(ISNUMBER(E85),E85,0)+R85,R85)*S85*1000+R85,0)=Y85,5,IF(IF((P85&gt;0)*(IF(Q85="",-1,Q85)=0)*(1-(IF(Q85="",-1,Q85)&gt;=1)*(IF(Q85="",-1,Q85)&lt;=3)),IF(C85="peso_corporal",IF(ISNUMBER(E85),E85,0)+O85,O85)*P85*1000+O85,0)=Y85,4,IF(IF((M85&gt;0)*(IF(N85="",-1,N85)=0)*(1-(IF(N85="",-1,N85)&gt;=1)*(IF(N85="",-1,N85)&lt;=3)),IF(C85="peso_corporal",IF(ISNUMBER(E85),E85,0)+L85,L85)*M85*1000+L85,0)=Y85,3,IF(IF((J85&gt;0)*(IF(K85="",-1,K85)=0)*(1-(IF(K85="",-1,K85)&gt;=1)*(IF(K85="",-1,K85)&lt;=3)),IF(C85="peso_corporal",IF(ISNUMBER(E85),E85,0)+I85,I85)*J85*1000+I85,0)=Y85,2,IF(IF((G85&gt;0)*(IF(H85="",-1,H85)=0)*(1-(IF(H85="",-1,H85)&gt;=1)*(IF(H85="",-1,H85)&lt;=3)),IF(C85="peso_corporal",IF(ISNUMBER(E85),E85,0)+F85,F85)*G85*1000+F85,0)=Y85,1,0))))))</f>
        <v>0</v>
      </c>
      <c r="AA85" s="69">
        <f>MAX(IF((G85&gt;=6)*(1-(IF(H85="",-1,H85)&gt;=1)*(IF(H85="",-1,H85)&lt;=3))*(1-(IF(H85="",-1,H85)=0)),IF(C85="peso_corporal",IF(ISNUMBER(E85),E85,0)+F85,F85)*(30+G85)*100+F85,0),IF((J85&gt;=6)*(1-(IF(K85="",-1,K85)&gt;=1)*(IF(K85="",-1,K85)&lt;=3))*(1-(IF(K85="",-1,K85)=0)),IF(C85="peso_corporal",IF(ISNUMBER(E85),E85,0)+I85,I85)*(30+J85)*100+I85,0),IF((M85&gt;=6)*(1-(IF(N85="",-1,N85)&gt;=1)*(IF(N85="",-1,N85)&lt;=3))*(1-(IF(N85="",-1,N85)=0)),IF(C85="peso_corporal",IF(ISNUMBER(E85),E85,0)+L85,L85)*(30+M85)*100+L85,0),IF((P85&gt;=6)*(1-(IF(Q85="",-1,Q85)&gt;=1)*(IF(Q85="",-1,Q85)&lt;=3))*(1-(IF(Q85="",-1,Q85)=0)),IF(C85="peso_corporal",IF(ISNUMBER(E85),E85,0)+O85,O85)*(30+P85)*100+O85,0),IF((S85&gt;=6)*(1-(IF(T85="",-1,T85)&gt;=1)*(IF(T85="",-1,T85)&lt;=3))*(1-(IF(T85="",-1,T85)=0)),IF(C85="peso_corporal",IF(ISNUMBER(E85),E85,0)+R85,R85)*(30+S85)*100+R85,0))</f>
        <v>0</v>
      </c>
      <c r="AB85" s="69">
        <f>IF(AA85=0,0,IF(IF((S85&gt;=6)*(1-(IF(T85="",-1,T85)&gt;=1)*(IF(T85="",-1,T85)&lt;=3))*(1-(IF(T85="",-1,T85)=0)),IF(C85="peso_corporal",IF(ISNUMBER(E85),E85,0)+R85,R85)*(30+S85)*100+R85,0)=AA85,5,IF(IF((P85&gt;=6)*(1-(IF(Q85="",-1,Q85)&gt;=1)*(IF(Q85="",-1,Q85)&lt;=3))*(1-(IF(Q85="",-1,Q85)=0)),IF(C85="peso_corporal",IF(ISNUMBER(E85),E85,0)+O85,O85)*(30+P85)*100+O85,0)=AA85,4,IF(IF((M85&gt;=6)*(1-(IF(N85="",-1,N85)&gt;=1)*(IF(N85="",-1,N85)&lt;=3))*(1-(IF(N85="",-1,N85)=0)),IF(C85="peso_corporal",IF(ISNUMBER(E85),E85,0)+L85,L85)*(30+M85)*100+L85,0)=AA85,3,IF(IF((J85&gt;=6)*(1-(IF(K85="",-1,K85)&gt;=1)*(IF(K85="",-1,K85)&lt;=3))*(1-(IF(K85="",-1,K85)=0)),IF(C85="peso_corporal",IF(ISNUMBER(E85),E85,0)+I85,I85)*(30+J85)*100+I85,0)=AA85,2,IF(IF((G85&gt;=6)*(1-(IF(H85="",-1,H85)&gt;=1)*(IF(H85="",-1,H85)&lt;=3))*(1-(IF(H85="",-1,H85)=0)),IF(C85="peso_corporal",IF(ISNUMBER(E85),E85,0)+F85,F85)*(30+G85)*100+F85,0)=AA85,1,0))))))</f>
        <v>0</v>
      </c>
      <c r="AC85" s="69" t="str">
        <f>IF(X85&gt;0,"A"&amp;X85,IF(Z85&gt;0,"B"&amp;Z85,IF(AB85&gt;0,"C"&amp;AB85,"")))</f>
        <v/>
      </c>
    </row>
    <row r="86" spans="1:29" ht="15" customHeight="1">
      <c r="A86" s="89" t="s">
        <v>138</v>
      </c>
      <c r="B86" s="73"/>
      <c r="C86" s="73"/>
      <c r="D86" s="73"/>
      <c r="E86" s="73"/>
      <c r="F86" s="73"/>
      <c r="G86" s="73"/>
      <c r="H86" s="73"/>
      <c r="I86" s="73"/>
      <c r="J86" s="73"/>
      <c r="K86" s="73"/>
      <c r="L86" s="73"/>
      <c r="M86" s="73"/>
      <c r="N86" s="73"/>
      <c r="O86" s="73"/>
      <c r="P86" s="73"/>
      <c r="Q86" s="73"/>
      <c r="R86" s="73"/>
      <c r="S86" s="73"/>
      <c r="T86" s="73"/>
      <c r="U86" s="73"/>
      <c r="V86" s="73"/>
      <c r="W86" s="69"/>
      <c r="X86" s="69"/>
      <c r="Y86" s="69"/>
      <c r="Z86" s="69"/>
      <c r="AA86" s="69"/>
      <c r="AB86" s="69"/>
      <c r="AC86" s="69"/>
    </row>
    <row r="87" spans="1:29" ht="20.100000000000001" customHeight="1">
      <c r="A87" s="14" t="s">
        <v>139</v>
      </c>
      <c r="B87" s="15" t="s">
        <v>140</v>
      </c>
      <c r="C87" s="16" t="str">
        <f>IFERROR(INDEX(EJERCICIOS!$D$3:$D$75,MATCH(A87&amp;"|"&amp;B87,EJERCICIOS!$G$3:$G$75,0)),"--")</f>
        <v>disco</v>
      </c>
      <c r="D87" s="17">
        <v>3</v>
      </c>
      <c r="E87" s="18">
        <f>IFERROR(LOOKUP(2,1/(MEDIDAS_Y_PESO!$B$3:$B$6&lt;&gt;""),MEDIDAS_Y_PESO!$B$3:$B$6),"--")</f>
        <v>80</v>
      </c>
      <c r="F87" s="19"/>
      <c r="G87" s="20"/>
      <c r="H87" s="21"/>
      <c r="I87" s="19"/>
      <c r="J87" s="20"/>
      <c r="K87" s="21"/>
      <c r="L87" s="19"/>
      <c r="M87" s="20"/>
      <c r="N87" s="21"/>
      <c r="O87" s="19"/>
      <c r="P87" s="20"/>
      <c r="Q87" s="21"/>
      <c r="R87" s="19"/>
      <c r="S87" s="20"/>
      <c r="T87" s="21"/>
      <c r="U87" s="22" t="str">
        <f>IFERROR(IF(IF(X87&gt;0,X87,IF(Z87&gt;0,Z87,IF(AB87&gt;0,AB87,0)))=0,"--",ROUND(CHOOSE(IF(X87&gt;0,X87,IF(Z87&gt;0,Z87,IF(AB87&gt;0,AB87,0))),IF(C87="peso_corporal",IF(ISNUMBER(E87),E87,0)+F87,F87)*(1+G87/30),IF(C87="peso_corporal",IF(ISNUMBER(E87),E87,0)+I87,I87)*(1+J87/30),IF(C87="peso_corporal",IF(ISNUMBER(E87),E87,0)+L87,L87)*(1+M87/30),IF(C87="peso_corporal",IF(ISNUMBER(E87),E87,0)+O87,O87)*(1+P87/30),IF(C87="peso_corporal",IF(ISNUMBER(E87),E87,0)+R87,R87)*(1+S87/30)),1)),"--")</f>
        <v>--</v>
      </c>
      <c r="V87" s="23" t="str">
        <f>IF(SUGERENCIAS!N222="SIN","Sin datos anteriores",IF(SUGERENCIAS!N222="SUBIR_F","^ SUBIR FUERTE | Kg:"&amp;ROUND(SUGERENCIAS!K222,1)&amp;" R:"&amp;ROUND(SUGERENCIAS!L222,0)&amp;" RIR:"&amp;ROUND(SUGERENCIAS!M222,0),IF(SUGERENCIAS!N222="SUBIR_E","^ SUBIR (Est.) | Kg:"&amp;ROUND(SUGERENCIAS!K222,1)&amp;" R:"&amp;ROUND(SUGERENCIAS!L222,0)&amp;" RIR:"&amp;ROUND(SUGERENCIAS!M222,0),IF(SUGERENCIAS!N222="SUBIR","^ SUBIR | Kg:"&amp;ROUND(SUGERENCIAS!K222,1)&amp;" R:"&amp;ROUND(SUGERENCIAS!L222,0)&amp;" RIR:"&amp;ROUND(SUGERENCIAS!M222,0),IF(SUGERENCIAS!N222="BAJAR","v BAJAR | Kg:"&amp;ROUND(SUGERENCIAS!K222,1)&amp;" R:"&amp;ROUND(SUGERENCIAS!L222,0)&amp;" RIR:"&amp;ROUND(SUGERENCIAS!M222,0),"= MANT | Kg:"&amp;ROUND(SUGERENCIAS!K222,1)&amp;" R:"&amp;ROUND(SUGERENCIAS!L222,0)&amp;" RIR:"&amp;ROUND(SUGERENCIAS!M222,0))))))</f>
        <v>Sin datos anteriores</v>
      </c>
      <c r="W87" s="69">
        <f>MAX(IF((G87&gt;0)*(IF(H87="",-1,H87)&gt;=1)*(IF(H87="",-1,H87)&lt;=3),IF(C87="peso_corporal",IF(ISNUMBER(E87),E87,0)+F87,F87)*G87*1000+F87,0),IF((J87&gt;0)*(IF(K87="",-1,K87)&gt;=1)*(IF(K87="",-1,K87)&lt;=3),IF(C87="peso_corporal",IF(ISNUMBER(E87),E87,0)+I87,I87)*J87*1000+I87,0),IF((M87&gt;0)*(IF(N87="",-1,N87)&gt;=1)*(IF(N87="",-1,N87)&lt;=3),IF(C87="peso_corporal",IF(ISNUMBER(E87),E87,0)+L87,L87)*M87*1000+L87,0),IF((P87&gt;0)*(IF(Q87="",-1,Q87)&gt;=1)*(IF(Q87="",-1,Q87)&lt;=3),IF(C87="peso_corporal",IF(ISNUMBER(E87),E87,0)+O87,O87)*P87*1000+O87,0),IF((S87&gt;0)*(IF(T87="",-1,T87)&gt;=1)*(IF(T87="",-1,T87)&lt;=3),IF(C87="peso_corporal",IF(ISNUMBER(E87),E87,0)+R87,R87)*S87*1000+R87,0))</f>
        <v>0</v>
      </c>
      <c r="X87" s="69">
        <f>IF(W87=0,0,IF(IF((S87&gt;0)*(IF(T87="",-1,T87)&gt;=1)*(IF(T87="",-1,T87)&lt;=3),IF(C87="peso_corporal",IF(ISNUMBER(E87),E87,0)+R87,R87)*S87*1000+R87,0)=W87,5,IF(IF((P87&gt;0)*(IF(Q87="",-1,Q87)&gt;=1)*(IF(Q87="",-1,Q87)&lt;=3),IF(C87="peso_corporal",IF(ISNUMBER(E87),E87,0)+O87,O87)*P87*1000+O87,0)=W87,4,IF(IF((M87&gt;0)*(IF(N87="",-1,N87)&gt;=1)*(IF(N87="",-1,N87)&lt;=3),IF(C87="peso_corporal",IF(ISNUMBER(E87),E87,0)+L87,L87)*M87*1000+L87,0)=W87,3,IF(IF((J87&gt;0)*(IF(K87="",-1,K87)&gt;=1)*(IF(K87="",-1,K87)&lt;=3),IF(C87="peso_corporal",IF(ISNUMBER(E87),E87,0)+I87,I87)*J87*1000+I87,0)=W87,2,IF(IF((G87&gt;0)*(IF(H87="",-1,H87)&gt;=1)*(IF(H87="",-1,H87)&lt;=3),IF(C87="peso_corporal",IF(ISNUMBER(E87),E87,0)+F87,F87)*G87*1000+F87,0)=W87,1,0))))))</f>
        <v>0</v>
      </c>
      <c r="Y87" s="69">
        <f>MAX(IF((G87&gt;0)*(IF(H87="",-1,H87)=0)*(1-(IF(H87="",-1,H87)&gt;=1)*(IF(H87="",-1,H87)&lt;=3)),IF(C87="peso_corporal",IF(ISNUMBER(E87),E87,0)+F87,F87)*G87*1000+F87,0),IF((J87&gt;0)*(IF(K87="",-1,K87)=0)*(1-(IF(K87="",-1,K87)&gt;=1)*(IF(K87="",-1,K87)&lt;=3)),IF(C87="peso_corporal",IF(ISNUMBER(E87),E87,0)+I87,I87)*J87*1000+I87,0),IF((M87&gt;0)*(IF(N87="",-1,N87)=0)*(1-(IF(N87="",-1,N87)&gt;=1)*(IF(N87="",-1,N87)&lt;=3)),IF(C87="peso_corporal",IF(ISNUMBER(E87),E87,0)+L87,L87)*M87*1000+L87,0),IF((P87&gt;0)*(IF(Q87="",-1,Q87)=0)*(1-(IF(Q87="",-1,Q87)&gt;=1)*(IF(Q87="",-1,Q87)&lt;=3)),IF(C87="peso_corporal",IF(ISNUMBER(E87),E87,0)+O87,O87)*P87*1000+O87,0),IF((S87&gt;0)*(IF(T87="",-1,T87)=0)*(1-(IF(T87="",-1,T87)&gt;=1)*(IF(T87="",-1,T87)&lt;=3)),IF(C87="peso_corporal",IF(ISNUMBER(E87),E87,0)+R87,R87)*S87*1000+R87,0))</f>
        <v>0</v>
      </c>
      <c r="Z87" s="69">
        <f>IF(Y87=0,0,IF(IF((S87&gt;0)*(IF(T87="",-1,T87)=0)*(1-(IF(T87="",-1,T87)&gt;=1)*(IF(T87="",-1,T87)&lt;=3)),IF(C87="peso_corporal",IF(ISNUMBER(E87),E87,0)+R87,R87)*S87*1000+R87,0)=Y87,5,IF(IF((P87&gt;0)*(IF(Q87="",-1,Q87)=0)*(1-(IF(Q87="",-1,Q87)&gt;=1)*(IF(Q87="",-1,Q87)&lt;=3)),IF(C87="peso_corporal",IF(ISNUMBER(E87),E87,0)+O87,O87)*P87*1000+O87,0)=Y87,4,IF(IF((M87&gt;0)*(IF(N87="",-1,N87)=0)*(1-(IF(N87="",-1,N87)&gt;=1)*(IF(N87="",-1,N87)&lt;=3)),IF(C87="peso_corporal",IF(ISNUMBER(E87),E87,0)+L87,L87)*M87*1000+L87,0)=Y87,3,IF(IF((J87&gt;0)*(IF(K87="",-1,K87)=0)*(1-(IF(K87="",-1,K87)&gt;=1)*(IF(K87="",-1,K87)&lt;=3)),IF(C87="peso_corporal",IF(ISNUMBER(E87),E87,0)+I87,I87)*J87*1000+I87,0)=Y87,2,IF(IF((G87&gt;0)*(IF(H87="",-1,H87)=0)*(1-(IF(H87="",-1,H87)&gt;=1)*(IF(H87="",-1,H87)&lt;=3)),IF(C87="peso_corporal",IF(ISNUMBER(E87),E87,0)+F87,F87)*G87*1000+F87,0)=Y87,1,0))))))</f>
        <v>0</v>
      </c>
      <c r="AA87" s="69">
        <f>MAX(IF((G87&gt;=6)*(1-(IF(H87="",-1,H87)&gt;=1)*(IF(H87="",-1,H87)&lt;=3))*(1-(IF(H87="",-1,H87)=0)),IF(C87="peso_corporal",IF(ISNUMBER(E87),E87,0)+F87,F87)*(30+G87)*100+F87,0),IF((J87&gt;=6)*(1-(IF(K87="",-1,K87)&gt;=1)*(IF(K87="",-1,K87)&lt;=3))*(1-(IF(K87="",-1,K87)=0)),IF(C87="peso_corporal",IF(ISNUMBER(E87),E87,0)+I87,I87)*(30+J87)*100+I87,0),IF((M87&gt;=6)*(1-(IF(N87="",-1,N87)&gt;=1)*(IF(N87="",-1,N87)&lt;=3))*(1-(IF(N87="",-1,N87)=0)),IF(C87="peso_corporal",IF(ISNUMBER(E87),E87,0)+L87,L87)*(30+M87)*100+L87,0),IF((P87&gt;=6)*(1-(IF(Q87="",-1,Q87)&gt;=1)*(IF(Q87="",-1,Q87)&lt;=3))*(1-(IF(Q87="",-1,Q87)=0)),IF(C87="peso_corporal",IF(ISNUMBER(E87),E87,0)+O87,O87)*(30+P87)*100+O87,0),IF((S87&gt;=6)*(1-(IF(T87="",-1,T87)&gt;=1)*(IF(T87="",-1,T87)&lt;=3))*(1-(IF(T87="",-1,T87)=0)),IF(C87="peso_corporal",IF(ISNUMBER(E87),E87,0)+R87,R87)*(30+S87)*100+R87,0))</f>
        <v>0</v>
      </c>
      <c r="AB87" s="69">
        <f>IF(AA87=0,0,IF(IF((S87&gt;=6)*(1-(IF(T87="",-1,T87)&gt;=1)*(IF(T87="",-1,T87)&lt;=3))*(1-(IF(T87="",-1,T87)=0)),IF(C87="peso_corporal",IF(ISNUMBER(E87),E87,0)+R87,R87)*(30+S87)*100+R87,0)=AA87,5,IF(IF((P87&gt;=6)*(1-(IF(Q87="",-1,Q87)&gt;=1)*(IF(Q87="",-1,Q87)&lt;=3))*(1-(IF(Q87="",-1,Q87)=0)),IF(C87="peso_corporal",IF(ISNUMBER(E87),E87,0)+O87,O87)*(30+P87)*100+O87,0)=AA87,4,IF(IF((M87&gt;=6)*(1-(IF(N87="",-1,N87)&gt;=1)*(IF(N87="",-1,N87)&lt;=3))*(1-(IF(N87="",-1,N87)=0)),IF(C87="peso_corporal",IF(ISNUMBER(E87),E87,0)+L87,L87)*(30+M87)*100+L87,0)=AA87,3,IF(IF((J87&gt;=6)*(1-(IF(K87="",-1,K87)&gt;=1)*(IF(K87="",-1,K87)&lt;=3))*(1-(IF(K87="",-1,K87)=0)),IF(C87="peso_corporal",IF(ISNUMBER(E87),E87,0)+I87,I87)*(30+J87)*100+I87,0)=AA87,2,IF(IF((G87&gt;=6)*(1-(IF(H87="",-1,H87)&gt;=1)*(IF(H87="",-1,H87)&lt;=3))*(1-(IF(H87="",-1,H87)=0)),IF(C87="peso_corporal",IF(ISNUMBER(E87),E87,0)+F87,F87)*(30+G87)*100+F87,0)=AA87,1,0))))))</f>
        <v>0</v>
      </c>
      <c r="AC87" s="69" t="str">
        <f>IF(X87&gt;0,"A"&amp;X87,IF(Z87&gt;0,"B"&amp;Z87,IF(AB87&gt;0,"C"&amp;AB87,"")))</f>
        <v/>
      </c>
    </row>
    <row r="88" spans="1:29" ht="20.100000000000001" customHeight="1">
      <c r="A88" s="14" t="s">
        <v>139</v>
      </c>
      <c r="B88" s="15" t="s">
        <v>141</v>
      </c>
      <c r="C88" s="16" t="str">
        <f>IFERROR(INDEX(EJERCICIOS!$D$3:$D$75,MATCH(A88&amp;"|"&amp;B88,EJERCICIOS!$G$3:$G$75,0)),"--")</f>
        <v>disco</v>
      </c>
      <c r="D88" s="17">
        <v>3</v>
      </c>
      <c r="E88" s="18">
        <f>IFERROR(LOOKUP(2,1/(MEDIDAS_Y_PESO!$B$3:$B$6&lt;&gt;""),MEDIDAS_Y_PESO!$B$3:$B$6),"--")</f>
        <v>80</v>
      </c>
      <c r="F88" s="19"/>
      <c r="G88" s="20"/>
      <c r="H88" s="21"/>
      <c r="I88" s="19"/>
      <c r="J88" s="20"/>
      <c r="K88" s="21"/>
      <c r="L88" s="19"/>
      <c r="M88" s="20"/>
      <c r="N88" s="21"/>
      <c r="O88" s="19"/>
      <c r="P88" s="20"/>
      <c r="Q88" s="21"/>
      <c r="R88" s="19"/>
      <c r="S88" s="20"/>
      <c r="T88" s="21"/>
      <c r="U88" s="22" t="str">
        <f>IFERROR(IF(IF(X88&gt;0,X88,IF(Z88&gt;0,Z88,IF(AB88&gt;0,AB88,0)))=0,"--",ROUND(CHOOSE(IF(X88&gt;0,X88,IF(Z88&gt;0,Z88,IF(AB88&gt;0,AB88,0))),IF(C88="peso_corporal",IF(ISNUMBER(E88),E88,0)+F88,F88)*(1+G88/30),IF(C88="peso_corporal",IF(ISNUMBER(E88),E88,0)+I88,I88)*(1+J88/30),IF(C88="peso_corporal",IF(ISNUMBER(E88),E88,0)+L88,L88)*(1+M88/30),IF(C88="peso_corporal",IF(ISNUMBER(E88),E88,0)+O88,O88)*(1+P88/30),IF(C88="peso_corporal",IF(ISNUMBER(E88),E88,0)+R88,R88)*(1+S88/30)),1)),"--")</f>
        <v>--</v>
      </c>
      <c r="V88" s="23" t="str">
        <f>IF(SUGERENCIAS!N223="SIN","Sin datos anteriores",IF(SUGERENCIAS!N223="SUBIR_F","^ SUBIR FUERTE | Kg:"&amp;ROUND(SUGERENCIAS!K223,1)&amp;" R:"&amp;ROUND(SUGERENCIAS!L223,0)&amp;" RIR:"&amp;ROUND(SUGERENCIAS!M223,0),IF(SUGERENCIAS!N223="SUBIR_E","^ SUBIR (Est.) | Kg:"&amp;ROUND(SUGERENCIAS!K223,1)&amp;" R:"&amp;ROUND(SUGERENCIAS!L223,0)&amp;" RIR:"&amp;ROUND(SUGERENCIAS!M223,0),IF(SUGERENCIAS!N223="SUBIR","^ SUBIR | Kg:"&amp;ROUND(SUGERENCIAS!K223,1)&amp;" R:"&amp;ROUND(SUGERENCIAS!L223,0)&amp;" RIR:"&amp;ROUND(SUGERENCIAS!M223,0),IF(SUGERENCIAS!N223="BAJAR","v BAJAR | Kg:"&amp;ROUND(SUGERENCIAS!K223,1)&amp;" R:"&amp;ROUND(SUGERENCIAS!L223,0)&amp;" RIR:"&amp;ROUND(SUGERENCIAS!M223,0),"= MANT | Kg:"&amp;ROUND(SUGERENCIAS!K223,1)&amp;" R:"&amp;ROUND(SUGERENCIAS!L223,0)&amp;" RIR:"&amp;ROUND(SUGERENCIAS!M223,0))))))</f>
        <v>Sin datos anteriores</v>
      </c>
      <c r="W88" s="69">
        <f>MAX(IF((G88&gt;0)*(IF(H88="",-1,H88)&gt;=1)*(IF(H88="",-1,H88)&lt;=3),IF(C88="peso_corporal",IF(ISNUMBER(E88),E88,0)+F88,F88)*G88*1000+F88,0),IF((J88&gt;0)*(IF(K88="",-1,K88)&gt;=1)*(IF(K88="",-1,K88)&lt;=3),IF(C88="peso_corporal",IF(ISNUMBER(E88),E88,0)+I88,I88)*J88*1000+I88,0),IF((M88&gt;0)*(IF(N88="",-1,N88)&gt;=1)*(IF(N88="",-1,N88)&lt;=3),IF(C88="peso_corporal",IF(ISNUMBER(E88),E88,0)+L88,L88)*M88*1000+L88,0),IF((P88&gt;0)*(IF(Q88="",-1,Q88)&gt;=1)*(IF(Q88="",-1,Q88)&lt;=3),IF(C88="peso_corporal",IF(ISNUMBER(E88),E88,0)+O88,O88)*P88*1000+O88,0),IF((S88&gt;0)*(IF(T88="",-1,T88)&gt;=1)*(IF(T88="",-1,T88)&lt;=3),IF(C88="peso_corporal",IF(ISNUMBER(E88),E88,0)+R88,R88)*S88*1000+R88,0))</f>
        <v>0</v>
      </c>
      <c r="X88" s="69">
        <f>IF(W88=0,0,IF(IF((S88&gt;0)*(IF(T88="",-1,T88)&gt;=1)*(IF(T88="",-1,T88)&lt;=3),IF(C88="peso_corporal",IF(ISNUMBER(E88),E88,0)+R88,R88)*S88*1000+R88,0)=W88,5,IF(IF((P88&gt;0)*(IF(Q88="",-1,Q88)&gt;=1)*(IF(Q88="",-1,Q88)&lt;=3),IF(C88="peso_corporal",IF(ISNUMBER(E88),E88,0)+O88,O88)*P88*1000+O88,0)=W88,4,IF(IF((M88&gt;0)*(IF(N88="",-1,N88)&gt;=1)*(IF(N88="",-1,N88)&lt;=3),IF(C88="peso_corporal",IF(ISNUMBER(E88),E88,0)+L88,L88)*M88*1000+L88,0)=W88,3,IF(IF((J88&gt;0)*(IF(K88="",-1,K88)&gt;=1)*(IF(K88="",-1,K88)&lt;=3),IF(C88="peso_corporal",IF(ISNUMBER(E88),E88,0)+I88,I88)*J88*1000+I88,0)=W88,2,IF(IF((G88&gt;0)*(IF(H88="",-1,H88)&gt;=1)*(IF(H88="",-1,H88)&lt;=3),IF(C88="peso_corporal",IF(ISNUMBER(E88),E88,0)+F88,F88)*G88*1000+F88,0)=W88,1,0))))))</f>
        <v>0</v>
      </c>
      <c r="Y88" s="69">
        <f>MAX(IF((G88&gt;0)*(IF(H88="",-1,H88)=0)*(1-(IF(H88="",-1,H88)&gt;=1)*(IF(H88="",-1,H88)&lt;=3)),IF(C88="peso_corporal",IF(ISNUMBER(E88),E88,0)+F88,F88)*G88*1000+F88,0),IF((J88&gt;0)*(IF(K88="",-1,K88)=0)*(1-(IF(K88="",-1,K88)&gt;=1)*(IF(K88="",-1,K88)&lt;=3)),IF(C88="peso_corporal",IF(ISNUMBER(E88),E88,0)+I88,I88)*J88*1000+I88,0),IF((M88&gt;0)*(IF(N88="",-1,N88)=0)*(1-(IF(N88="",-1,N88)&gt;=1)*(IF(N88="",-1,N88)&lt;=3)),IF(C88="peso_corporal",IF(ISNUMBER(E88),E88,0)+L88,L88)*M88*1000+L88,0),IF((P88&gt;0)*(IF(Q88="",-1,Q88)=0)*(1-(IF(Q88="",-1,Q88)&gt;=1)*(IF(Q88="",-1,Q88)&lt;=3)),IF(C88="peso_corporal",IF(ISNUMBER(E88),E88,0)+O88,O88)*P88*1000+O88,0),IF((S88&gt;0)*(IF(T88="",-1,T88)=0)*(1-(IF(T88="",-1,T88)&gt;=1)*(IF(T88="",-1,T88)&lt;=3)),IF(C88="peso_corporal",IF(ISNUMBER(E88),E88,0)+R88,R88)*S88*1000+R88,0))</f>
        <v>0</v>
      </c>
      <c r="Z88" s="69">
        <f>IF(Y88=0,0,IF(IF((S88&gt;0)*(IF(T88="",-1,T88)=0)*(1-(IF(T88="",-1,T88)&gt;=1)*(IF(T88="",-1,T88)&lt;=3)),IF(C88="peso_corporal",IF(ISNUMBER(E88),E88,0)+R88,R88)*S88*1000+R88,0)=Y88,5,IF(IF((P88&gt;0)*(IF(Q88="",-1,Q88)=0)*(1-(IF(Q88="",-1,Q88)&gt;=1)*(IF(Q88="",-1,Q88)&lt;=3)),IF(C88="peso_corporal",IF(ISNUMBER(E88),E88,0)+O88,O88)*P88*1000+O88,0)=Y88,4,IF(IF((M88&gt;0)*(IF(N88="",-1,N88)=0)*(1-(IF(N88="",-1,N88)&gt;=1)*(IF(N88="",-1,N88)&lt;=3)),IF(C88="peso_corporal",IF(ISNUMBER(E88),E88,0)+L88,L88)*M88*1000+L88,0)=Y88,3,IF(IF((J88&gt;0)*(IF(K88="",-1,K88)=0)*(1-(IF(K88="",-1,K88)&gt;=1)*(IF(K88="",-1,K88)&lt;=3)),IF(C88="peso_corporal",IF(ISNUMBER(E88),E88,0)+I88,I88)*J88*1000+I88,0)=Y88,2,IF(IF((G88&gt;0)*(IF(H88="",-1,H88)=0)*(1-(IF(H88="",-1,H88)&gt;=1)*(IF(H88="",-1,H88)&lt;=3)),IF(C88="peso_corporal",IF(ISNUMBER(E88),E88,0)+F88,F88)*G88*1000+F88,0)=Y88,1,0))))))</f>
        <v>0</v>
      </c>
      <c r="AA88" s="69">
        <f>MAX(IF((G88&gt;=6)*(1-(IF(H88="",-1,H88)&gt;=1)*(IF(H88="",-1,H88)&lt;=3))*(1-(IF(H88="",-1,H88)=0)),IF(C88="peso_corporal",IF(ISNUMBER(E88),E88,0)+F88,F88)*(30+G88)*100+F88,0),IF((J88&gt;=6)*(1-(IF(K88="",-1,K88)&gt;=1)*(IF(K88="",-1,K88)&lt;=3))*(1-(IF(K88="",-1,K88)=0)),IF(C88="peso_corporal",IF(ISNUMBER(E88),E88,0)+I88,I88)*(30+J88)*100+I88,0),IF((M88&gt;=6)*(1-(IF(N88="",-1,N88)&gt;=1)*(IF(N88="",-1,N88)&lt;=3))*(1-(IF(N88="",-1,N88)=0)),IF(C88="peso_corporal",IF(ISNUMBER(E88),E88,0)+L88,L88)*(30+M88)*100+L88,0),IF((P88&gt;=6)*(1-(IF(Q88="",-1,Q88)&gt;=1)*(IF(Q88="",-1,Q88)&lt;=3))*(1-(IF(Q88="",-1,Q88)=0)),IF(C88="peso_corporal",IF(ISNUMBER(E88),E88,0)+O88,O88)*(30+P88)*100+O88,0),IF((S88&gt;=6)*(1-(IF(T88="",-1,T88)&gt;=1)*(IF(T88="",-1,T88)&lt;=3))*(1-(IF(T88="",-1,T88)=0)),IF(C88="peso_corporal",IF(ISNUMBER(E88),E88,0)+R88,R88)*(30+S88)*100+R88,0))</f>
        <v>0</v>
      </c>
      <c r="AB88" s="69">
        <f>IF(AA88=0,0,IF(IF((S88&gt;=6)*(1-(IF(T88="",-1,T88)&gt;=1)*(IF(T88="",-1,T88)&lt;=3))*(1-(IF(T88="",-1,T88)=0)),IF(C88="peso_corporal",IF(ISNUMBER(E88),E88,0)+R88,R88)*(30+S88)*100+R88,0)=AA88,5,IF(IF((P88&gt;=6)*(1-(IF(Q88="",-1,Q88)&gt;=1)*(IF(Q88="",-1,Q88)&lt;=3))*(1-(IF(Q88="",-1,Q88)=0)),IF(C88="peso_corporal",IF(ISNUMBER(E88),E88,0)+O88,O88)*(30+P88)*100+O88,0)=AA88,4,IF(IF((M88&gt;=6)*(1-(IF(N88="",-1,N88)&gt;=1)*(IF(N88="",-1,N88)&lt;=3))*(1-(IF(N88="",-1,N88)=0)),IF(C88="peso_corporal",IF(ISNUMBER(E88),E88,0)+L88,L88)*(30+M88)*100+L88,0)=AA88,3,IF(IF((J88&gt;=6)*(1-(IF(K88="",-1,K88)&gt;=1)*(IF(K88="",-1,K88)&lt;=3))*(1-(IF(K88="",-1,K88)=0)),IF(C88="peso_corporal",IF(ISNUMBER(E88),E88,0)+I88,I88)*(30+J88)*100+I88,0)=AA88,2,IF(IF((G88&gt;=6)*(1-(IF(H88="",-1,H88)&gt;=1)*(IF(H88="",-1,H88)&lt;=3))*(1-(IF(H88="",-1,H88)=0)),IF(C88="peso_corporal",IF(ISNUMBER(E88),E88,0)+F88,F88)*(30+G88)*100+F88,0)=AA88,1,0))))))</f>
        <v>0</v>
      </c>
      <c r="AC88" s="69" t="str">
        <f>IF(X88&gt;0,"A"&amp;X88,IF(Z88&gt;0,"B"&amp;Z88,IF(AB88&gt;0,"C"&amp;AB88,"")))</f>
        <v/>
      </c>
    </row>
    <row r="89" spans="1:29" ht="15" customHeight="1">
      <c r="A89" s="90" t="s">
        <v>142</v>
      </c>
      <c r="B89" s="73"/>
      <c r="C89" s="73"/>
      <c r="D89" s="73"/>
      <c r="E89" s="73"/>
      <c r="F89" s="73"/>
      <c r="G89" s="73"/>
      <c r="H89" s="73"/>
      <c r="I89" s="73"/>
      <c r="J89" s="73"/>
      <c r="K89" s="73"/>
      <c r="L89" s="73"/>
      <c r="M89" s="73"/>
      <c r="N89" s="73"/>
      <c r="O89" s="73"/>
      <c r="P89" s="73"/>
      <c r="Q89" s="73"/>
      <c r="R89" s="73"/>
      <c r="S89" s="73"/>
      <c r="T89" s="73"/>
      <c r="U89" s="73"/>
      <c r="V89" s="73"/>
      <c r="W89" s="69"/>
      <c r="X89" s="69"/>
      <c r="Y89" s="69"/>
      <c r="Z89" s="69"/>
      <c r="AA89" s="69"/>
      <c r="AB89" s="69"/>
      <c r="AC89" s="69"/>
    </row>
    <row r="90" spans="1:29" ht="20.100000000000001" customHeight="1">
      <c r="A90" s="14" t="s">
        <v>24</v>
      </c>
      <c r="B90" s="15" t="s">
        <v>143</v>
      </c>
      <c r="C90" s="16" t="str">
        <f>IFERROR(INDEX(EJERCICIOS!$D$3:$D$75,MATCH(A90&amp;"|"&amp;B90,EJERCICIOS!$G$3:$G$75,0)),"--")</f>
        <v>peso_corporal</v>
      </c>
      <c r="D90" s="17">
        <v>3</v>
      </c>
      <c r="E90" s="18">
        <f>IFERROR(LOOKUP(2,1/(MEDIDAS_Y_PESO!$B$3:$B$6&lt;&gt;""),MEDIDAS_Y_PESO!$B$3:$B$6),"--")</f>
        <v>80</v>
      </c>
      <c r="F90" s="19"/>
      <c r="G90" s="20"/>
      <c r="H90" s="21"/>
      <c r="I90" s="19"/>
      <c r="J90" s="20"/>
      <c r="K90" s="21"/>
      <c r="L90" s="19"/>
      <c r="M90" s="20"/>
      <c r="N90" s="21"/>
      <c r="O90" s="19"/>
      <c r="P90" s="20"/>
      <c r="Q90" s="21"/>
      <c r="R90" s="19"/>
      <c r="S90" s="20"/>
      <c r="T90" s="21"/>
      <c r="U90" s="22" t="str">
        <f>IFERROR(IF(IF(X90&gt;0,X90,IF(Z90&gt;0,Z90,IF(AB90&gt;0,AB90,0)))=0,"--",ROUND(CHOOSE(IF(X90&gt;0,X90,IF(Z90&gt;0,Z90,IF(AB90&gt;0,AB90,0))),IF(C90="peso_corporal",IF(ISNUMBER(E90),E90,0)+F90,F90)*(1+G90/30),IF(C90="peso_corporal",IF(ISNUMBER(E90),E90,0)+I90,I90)*(1+J90/30),IF(C90="peso_corporal",IF(ISNUMBER(E90),E90,0)+L90,L90)*(1+M90/30),IF(C90="peso_corporal",IF(ISNUMBER(E90),E90,0)+O90,O90)*(1+P90/30),IF(C90="peso_corporal",IF(ISNUMBER(E90),E90,0)+R90,R90)*(1+S90/30)),1)),"--")</f>
        <v>--</v>
      </c>
      <c r="V90" s="23" t="str">
        <f>IF(SUGERENCIAS!N224="SIN","Sin datos anteriores",IF(SUGERENCIAS!N224="SUBIR_F","^ SUBIR FUERTE | Kg:"&amp;ROUND(SUGERENCIAS!K224,1)&amp;" R:"&amp;ROUND(SUGERENCIAS!L224,0)&amp;" RIR:"&amp;ROUND(SUGERENCIAS!M224,0),IF(SUGERENCIAS!N224="SUBIR_E","^ SUBIR (Est.) | Kg:"&amp;ROUND(SUGERENCIAS!K224,1)&amp;" R:"&amp;ROUND(SUGERENCIAS!L224,0)&amp;" RIR:"&amp;ROUND(SUGERENCIAS!M224,0),IF(SUGERENCIAS!N224="SUBIR","^ SUBIR | Kg:"&amp;ROUND(SUGERENCIAS!K224,1)&amp;" R:"&amp;ROUND(SUGERENCIAS!L224,0)&amp;" RIR:"&amp;ROUND(SUGERENCIAS!M224,0),IF(SUGERENCIAS!N224="BAJAR","v BAJAR | Kg:"&amp;ROUND(SUGERENCIAS!K224,1)&amp;" R:"&amp;ROUND(SUGERENCIAS!L224,0)&amp;" RIR:"&amp;ROUND(SUGERENCIAS!M224,0),"= MANT | Kg:"&amp;ROUND(SUGERENCIAS!K224,1)&amp;" R:"&amp;ROUND(SUGERENCIAS!L224,0)&amp;" RIR:"&amp;ROUND(SUGERENCIAS!M224,0))))))</f>
        <v>Sin datos anteriores</v>
      </c>
      <c r="W90" s="69">
        <f>MAX(IF((G90&gt;0)*(IF(H90="",-1,H90)&gt;=1)*(IF(H90="",-1,H90)&lt;=3),IF(C90="peso_corporal",IF(ISNUMBER(E90),E90,0)+F90,F90)*G90*1000+F90,0),IF((J90&gt;0)*(IF(K90="",-1,K90)&gt;=1)*(IF(K90="",-1,K90)&lt;=3),IF(C90="peso_corporal",IF(ISNUMBER(E90),E90,0)+I90,I90)*J90*1000+I90,0),IF((M90&gt;0)*(IF(N90="",-1,N90)&gt;=1)*(IF(N90="",-1,N90)&lt;=3),IF(C90="peso_corporal",IF(ISNUMBER(E90),E90,0)+L90,L90)*M90*1000+L90,0),IF((P90&gt;0)*(IF(Q90="",-1,Q90)&gt;=1)*(IF(Q90="",-1,Q90)&lt;=3),IF(C90="peso_corporal",IF(ISNUMBER(E90),E90,0)+O90,O90)*P90*1000+O90,0),IF((S90&gt;0)*(IF(T90="",-1,T90)&gt;=1)*(IF(T90="",-1,T90)&lt;=3),IF(C90="peso_corporal",IF(ISNUMBER(E90),E90,0)+R90,R90)*S90*1000+R90,0))</f>
        <v>0</v>
      </c>
      <c r="X90" s="69">
        <f>IF(W90=0,0,IF(IF((S90&gt;0)*(IF(T90="",-1,T90)&gt;=1)*(IF(T90="",-1,T90)&lt;=3),IF(C90="peso_corporal",IF(ISNUMBER(E90),E90,0)+R90,R90)*S90*1000+R90,0)=W90,5,IF(IF((P90&gt;0)*(IF(Q90="",-1,Q90)&gt;=1)*(IF(Q90="",-1,Q90)&lt;=3),IF(C90="peso_corporal",IF(ISNUMBER(E90),E90,0)+O90,O90)*P90*1000+O90,0)=W90,4,IF(IF((M90&gt;0)*(IF(N90="",-1,N90)&gt;=1)*(IF(N90="",-1,N90)&lt;=3),IF(C90="peso_corporal",IF(ISNUMBER(E90),E90,0)+L90,L90)*M90*1000+L90,0)=W90,3,IF(IF((J90&gt;0)*(IF(K90="",-1,K90)&gt;=1)*(IF(K90="",-1,K90)&lt;=3),IF(C90="peso_corporal",IF(ISNUMBER(E90),E90,0)+I90,I90)*J90*1000+I90,0)=W90,2,IF(IF((G90&gt;0)*(IF(H90="",-1,H90)&gt;=1)*(IF(H90="",-1,H90)&lt;=3),IF(C90="peso_corporal",IF(ISNUMBER(E90),E90,0)+F90,F90)*G90*1000+F90,0)=W90,1,0))))))</f>
        <v>0</v>
      </c>
      <c r="Y90" s="69">
        <f>MAX(IF((G90&gt;0)*(IF(H90="",-1,H90)=0)*(1-(IF(H90="",-1,H90)&gt;=1)*(IF(H90="",-1,H90)&lt;=3)),IF(C90="peso_corporal",IF(ISNUMBER(E90),E90,0)+F90,F90)*G90*1000+F90,0),IF((J90&gt;0)*(IF(K90="",-1,K90)=0)*(1-(IF(K90="",-1,K90)&gt;=1)*(IF(K90="",-1,K90)&lt;=3)),IF(C90="peso_corporal",IF(ISNUMBER(E90),E90,0)+I90,I90)*J90*1000+I90,0),IF((M90&gt;0)*(IF(N90="",-1,N90)=0)*(1-(IF(N90="",-1,N90)&gt;=1)*(IF(N90="",-1,N90)&lt;=3)),IF(C90="peso_corporal",IF(ISNUMBER(E90),E90,0)+L90,L90)*M90*1000+L90,0),IF((P90&gt;0)*(IF(Q90="",-1,Q90)=0)*(1-(IF(Q90="",-1,Q90)&gt;=1)*(IF(Q90="",-1,Q90)&lt;=3)),IF(C90="peso_corporal",IF(ISNUMBER(E90),E90,0)+O90,O90)*P90*1000+O90,0),IF((S90&gt;0)*(IF(T90="",-1,T90)=0)*(1-(IF(T90="",-1,T90)&gt;=1)*(IF(T90="",-1,T90)&lt;=3)),IF(C90="peso_corporal",IF(ISNUMBER(E90),E90,0)+R90,R90)*S90*1000+R90,0))</f>
        <v>0</v>
      </c>
      <c r="Z90" s="69">
        <f>IF(Y90=0,0,IF(IF((S90&gt;0)*(IF(T90="",-1,T90)=0)*(1-(IF(T90="",-1,T90)&gt;=1)*(IF(T90="",-1,T90)&lt;=3)),IF(C90="peso_corporal",IF(ISNUMBER(E90),E90,0)+R90,R90)*S90*1000+R90,0)=Y90,5,IF(IF((P90&gt;0)*(IF(Q90="",-1,Q90)=0)*(1-(IF(Q90="",-1,Q90)&gt;=1)*(IF(Q90="",-1,Q90)&lt;=3)),IF(C90="peso_corporal",IF(ISNUMBER(E90),E90,0)+O90,O90)*P90*1000+O90,0)=Y90,4,IF(IF((M90&gt;0)*(IF(N90="",-1,N90)=0)*(1-(IF(N90="",-1,N90)&gt;=1)*(IF(N90="",-1,N90)&lt;=3)),IF(C90="peso_corporal",IF(ISNUMBER(E90),E90,0)+L90,L90)*M90*1000+L90,0)=Y90,3,IF(IF((J90&gt;0)*(IF(K90="",-1,K90)=0)*(1-(IF(K90="",-1,K90)&gt;=1)*(IF(K90="",-1,K90)&lt;=3)),IF(C90="peso_corporal",IF(ISNUMBER(E90),E90,0)+I90,I90)*J90*1000+I90,0)=Y90,2,IF(IF((G90&gt;0)*(IF(H90="",-1,H90)=0)*(1-(IF(H90="",-1,H90)&gt;=1)*(IF(H90="",-1,H90)&lt;=3)),IF(C90="peso_corporal",IF(ISNUMBER(E90),E90,0)+F90,F90)*G90*1000+F90,0)=Y90,1,0))))))</f>
        <v>0</v>
      </c>
      <c r="AA90" s="69">
        <f>MAX(IF((G90&gt;=6)*(1-(IF(H90="",-1,H90)&gt;=1)*(IF(H90="",-1,H90)&lt;=3))*(1-(IF(H90="",-1,H90)=0)),IF(C90="peso_corporal",IF(ISNUMBER(E90),E90,0)+F90,F90)*(30+G90)*100+F90,0),IF((J90&gt;=6)*(1-(IF(K90="",-1,K90)&gt;=1)*(IF(K90="",-1,K90)&lt;=3))*(1-(IF(K90="",-1,K90)=0)),IF(C90="peso_corporal",IF(ISNUMBER(E90),E90,0)+I90,I90)*(30+J90)*100+I90,0),IF((M90&gt;=6)*(1-(IF(N90="",-1,N90)&gt;=1)*(IF(N90="",-1,N90)&lt;=3))*(1-(IF(N90="",-1,N90)=0)),IF(C90="peso_corporal",IF(ISNUMBER(E90),E90,0)+L90,L90)*(30+M90)*100+L90,0),IF((P90&gt;=6)*(1-(IF(Q90="",-1,Q90)&gt;=1)*(IF(Q90="",-1,Q90)&lt;=3))*(1-(IF(Q90="",-1,Q90)=0)),IF(C90="peso_corporal",IF(ISNUMBER(E90),E90,0)+O90,O90)*(30+P90)*100+O90,0),IF((S90&gt;=6)*(1-(IF(T90="",-1,T90)&gt;=1)*(IF(T90="",-1,T90)&lt;=3))*(1-(IF(T90="",-1,T90)=0)),IF(C90="peso_corporal",IF(ISNUMBER(E90),E90,0)+R90,R90)*(30+S90)*100+R90,0))</f>
        <v>0</v>
      </c>
      <c r="AB90" s="69">
        <f>IF(AA90=0,0,IF(IF((S90&gt;=6)*(1-(IF(T90="",-1,T90)&gt;=1)*(IF(T90="",-1,T90)&lt;=3))*(1-(IF(T90="",-1,T90)=0)),IF(C90="peso_corporal",IF(ISNUMBER(E90),E90,0)+R90,R90)*(30+S90)*100+R90,0)=AA90,5,IF(IF((P90&gt;=6)*(1-(IF(Q90="",-1,Q90)&gt;=1)*(IF(Q90="",-1,Q90)&lt;=3))*(1-(IF(Q90="",-1,Q90)=0)),IF(C90="peso_corporal",IF(ISNUMBER(E90),E90,0)+O90,O90)*(30+P90)*100+O90,0)=AA90,4,IF(IF((M90&gt;=6)*(1-(IF(N90="",-1,N90)&gt;=1)*(IF(N90="",-1,N90)&lt;=3))*(1-(IF(N90="",-1,N90)=0)),IF(C90="peso_corporal",IF(ISNUMBER(E90),E90,0)+L90,L90)*(30+M90)*100+L90,0)=AA90,3,IF(IF((J90&gt;=6)*(1-(IF(K90="",-1,K90)&gt;=1)*(IF(K90="",-1,K90)&lt;=3))*(1-(IF(K90="",-1,K90)=0)),IF(C90="peso_corporal",IF(ISNUMBER(E90),E90,0)+I90,I90)*(30+J90)*100+I90,0)=AA90,2,IF(IF((G90&gt;=6)*(1-(IF(H90="",-1,H90)&gt;=1)*(IF(H90="",-1,H90)&lt;=3))*(1-(IF(H90="",-1,H90)=0)),IF(C90="peso_corporal",IF(ISNUMBER(E90),E90,0)+F90,F90)*(30+G90)*100+F90,0)=AA90,1,0))))))</f>
        <v>0</v>
      </c>
      <c r="AC90" s="69" t="str">
        <f>IF(X90&gt;0,"A"&amp;X90,IF(Z90&gt;0,"B"&amp;Z90,IF(AB90&gt;0,"C"&amp;AB90,"")))</f>
        <v/>
      </c>
    </row>
    <row r="91" spans="1:29" ht="20.100000000000001" customHeight="1">
      <c r="A91" s="14" t="s">
        <v>144</v>
      </c>
      <c r="B91" s="15" t="s">
        <v>60</v>
      </c>
      <c r="C91" s="16" t="str">
        <f>IFERROR(INDEX(EJERCICIOS!$D$3:$D$75,MATCH(A91&amp;"|"&amp;B91,EJERCICIOS!$G$3:$G$75,0)),"--")</f>
        <v>disco</v>
      </c>
      <c r="D91" s="17">
        <v>3</v>
      </c>
      <c r="E91" s="18">
        <f>IFERROR(LOOKUP(2,1/(MEDIDAS_Y_PESO!$B$3:$B$6&lt;&gt;""),MEDIDAS_Y_PESO!$B$3:$B$6),"--")</f>
        <v>80</v>
      </c>
      <c r="F91" s="19"/>
      <c r="G91" s="20"/>
      <c r="H91" s="21"/>
      <c r="I91" s="19"/>
      <c r="J91" s="20"/>
      <c r="K91" s="21"/>
      <c r="L91" s="19"/>
      <c r="M91" s="20"/>
      <c r="N91" s="21"/>
      <c r="O91" s="19"/>
      <c r="P91" s="20"/>
      <c r="Q91" s="21"/>
      <c r="R91" s="19"/>
      <c r="S91" s="20"/>
      <c r="T91" s="21"/>
      <c r="U91" s="22" t="str">
        <f>IFERROR(IF(IF(X91&gt;0,X91,IF(Z91&gt;0,Z91,IF(AB91&gt;0,AB91,0)))=0,"--",ROUND(CHOOSE(IF(X91&gt;0,X91,IF(Z91&gt;0,Z91,IF(AB91&gt;0,AB91,0))),IF(C91="peso_corporal",IF(ISNUMBER(E91),E91,0)+F91,F91)*(1+G91/30),IF(C91="peso_corporal",IF(ISNUMBER(E91),E91,0)+I91,I91)*(1+J91/30),IF(C91="peso_corporal",IF(ISNUMBER(E91),E91,0)+L91,L91)*(1+M91/30),IF(C91="peso_corporal",IF(ISNUMBER(E91),E91,0)+O91,O91)*(1+P91/30),IF(C91="peso_corporal",IF(ISNUMBER(E91),E91,0)+R91,R91)*(1+S91/30)),1)),"--")</f>
        <v>--</v>
      </c>
      <c r="V91" s="23" t="str">
        <f>IF(SUGERENCIAS!N225="SIN","Sin datos anteriores",IF(SUGERENCIAS!N225="SUBIR_F","^ SUBIR FUERTE | Kg:"&amp;ROUND(SUGERENCIAS!K225,1)&amp;" R:"&amp;ROUND(SUGERENCIAS!L225,0)&amp;" RIR:"&amp;ROUND(SUGERENCIAS!M225,0),IF(SUGERENCIAS!N225="SUBIR_E","^ SUBIR (Est.) | Kg:"&amp;ROUND(SUGERENCIAS!K225,1)&amp;" R:"&amp;ROUND(SUGERENCIAS!L225,0)&amp;" RIR:"&amp;ROUND(SUGERENCIAS!M225,0),IF(SUGERENCIAS!N225="SUBIR","^ SUBIR | Kg:"&amp;ROUND(SUGERENCIAS!K225,1)&amp;" R:"&amp;ROUND(SUGERENCIAS!L225,0)&amp;" RIR:"&amp;ROUND(SUGERENCIAS!M225,0),IF(SUGERENCIAS!N225="BAJAR","v BAJAR | Kg:"&amp;ROUND(SUGERENCIAS!K225,1)&amp;" R:"&amp;ROUND(SUGERENCIAS!L225,0)&amp;" RIR:"&amp;ROUND(SUGERENCIAS!M225,0),"= MANT | Kg:"&amp;ROUND(SUGERENCIAS!K225,1)&amp;" R:"&amp;ROUND(SUGERENCIAS!L225,0)&amp;" RIR:"&amp;ROUND(SUGERENCIAS!M225,0))))))</f>
        <v>Sin datos anteriores</v>
      </c>
      <c r="W91" s="69">
        <f>MAX(IF((G91&gt;0)*(IF(H91="",-1,H91)&gt;=1)*(IF(H91="",-1,H91)&lt;=3),IF(C91="peso_corporal",IF(ISNUMBER(E91),E91,0)+F91,F91)*G91*1000+F91,0),IF((J91&gt;0)*(IF(K91="",-1,K91)&gt;=1)*(IF(K91="",-1,K91)&lt;=3),IF(C91="peso_corporal",IF(ISNUMBER(E91),E91,0)+I91,I91)*J91*1000+I91,0),IF((M91&gt;0)*(IF(N91="",-1,N91)&gt;=1)*(IF(N91="",-1,N91)&lt;=3),IF(C91="peso_corporal",IF(ISNUMBER(E91),E91,0)+L91,L91)*M91*1000+L91,0),IF((P91&gt;0)*(IF(Q91="",-1,Q91)&gt;=1)*(IF(Q91="",-1,Q91)&lt;=3),IF(C91="peso_corporal",IF(ISNUMBER(E91),E91,0)+O91,O91)*P91*1000+O91,0),IF((S91&gt;0)*(IF(T91="",-1,T91)&gt;=1)*(IF(T91="",-1,T91)&lt;=3),IF(C91="peso_corporal",IF(ISNUMBER(E91),E91,0)+R91,R91)*S91*1000+R91,0))</f>
        <v>0</v>
      </c>
      <c r="X91" s="69">
        <f>IF(W91=0,0,IF(IF((S91&gt;0)*(IF(T91="",-1,T91)&gt;=1)*(IF(T91="",-1,T91)&lt;=3),IF(C91="peso_corporal",IF(ISNUMBER(E91),E91,0)+R91,R91)*S91*1000+R91,0)=W91,5,IF(IF((P91&gt;0)*(IF(Q91="",-1,Q91)&gt;=1)*(IF(Q91="",-1,Q91)&lt;=3),IF(C91="peso_corporal",IF(ISNUMBER(E91),E91,0)+O91,O91)*P91*1000+O91,0)=W91,4,IF(IF((M91&gt;0)*(IF(N91="",-1,N91)&gt;=1)*(IF(N91="",-1,N91)&lt;=3),IF(C91="peso_corporal",IF(ISNUMBER(E91),E91,0)+L91,L91)*M91*1000+L91,0)=W91,3,IF(IF((J91&gt;0)*(IF(K91="",-1,K91)&gt;=1)*(IF(K91="",-1,K91)&lt;=3),IF(C91="peso_corporal",IF(ISNUMBER(E91),E91,0)+I91,I91)*J91*1000+I91,0)=W91,2,IF(IF((G91&gt;0)*(IF(H91="",-1,H91)&gt;=1)*(IF(H91="",-1,H91)&lt;=3),IF(C91="peso_corporal",IF(ISNUMBER(E91),E91,0)+F91,F91)*G91*1000+F91,0)=W91,1,0))))))</f>
        <v>0</v>
      </c>
      <c r="Y91" s="69">
        <f>MAX(IF((G91&gt;0)*(IF(H91="",-1,H91)=0)*(1-(IF(H91="",-1,H91)&gt;=1)*(IF(H91="",-1,H91)&lt;=3)),IF(C91="peso_corporal",IF(ISNUMBER(E91),E91,0)+F91,F91)*G91*1000+F91,0),IF((J91&gt;0)*(IF(K91="",-1,K91)=0)*(1-(IF(K91="",-1,K91)&gt;=1)*(IF(K91="",-1,K91)&lt;=3)),IF(C91="peso_corporal",IF(ISNUMBER(E91),E91,0)+I91,I91)*J91*1000+I91,0),IF((M91&gt;0)*(IF(N91="",-1,N91)=0)*(1-(IF(N91="",-1,N91)&gt;=1)*(IF(N91="",-1,N91)&lt;=3)),IF(C91="peso_corporal",IF(ISNUMBER(E91),E91,0)+L91,L91)*M91*1000+L91,0),IF((P91&gt;0)*(IF(Q91="",-1,Q91)=0)*(1-(IF(Q91="",-1,Q91)&gt;=1)*(IF(Q91="",-1,Q91)&lt;=3)),IF(C91="peso_corporal",IF(ISNUMBER(E91),E91,0)+O91,O91)*P91*1000+O91,0),IF((S91&gt;0)*(IF(T91="",-1,T91)=0)*(1-(IF(T91="",-1,T91)&gt;=1)*(IF(T91="",-1,T91)&lt;=3)),IF(C91="peso_corporal",IF(ISNUMBER(E91),E91,0)+R91,R91)*S91*1000+R91,0))</f>
        <v>0</v>
      </c>
      <c r="Z91" s="69">
        <f>IF(Y91=0,0,IF(IF((S91&gt;0)*(IF(T91="",-1,T91)=0)*(1-(IF(T91="",-1,T91)&gt;=1)*(IF(T91="",-1,T91)&lt;=3)),IF(C91="peso_corporal",IF(ISNUMBER(E91),E91,0)+R91,R91)*S91*1000+R91,0)=Y91,5,IF(IF((P91&gt;0)*(IF(Q91="",-1,Q91)=0)*(1-(IF(Q91="",-1,Q91)&gt;=1)*(IF(Q91="",-1,Q91)&lt;=3)),IF(C91="peso_corporal",IF(ISNUMBER(E91),E91,0)+O91,O91)*P91*1000+O91,0)=Y91,4,IF(IF((M91&gt;0)*(IF(N91="",-1,N91)=0)*(1-(IF(N91="",-1,N91)&gt;=1)*(IF(N91="",-1,N91)&lt;=3)),IF(C91="peso_corporal",IF(ISNUMBER(E91),E91,0)+L91,L91)*M91*1000+L91,0)=Y91,3,IF(IF((J91&gt;0)*(IF(K91="",-1,K91)=0)*(1-(IF(K91="",-1,K91)&gt;=1)*(IF(K91="",-1,K91)&lt;=3)),IF(C91="peso_corporal",IF(ISNUMBER(E91),E91,0)+I91,I91)*J91*1000+I91,0)=Y91,2,IF(IF((G91&gt;0)*(IF(H91="",-1,H91)=0)*(1-(IF(H91="",-1,H91)&gt;=1)*(IF(H91="",-1,H91)&lt;=3)),IF(C91="peso_corporal",IF(ISNUMBER(E91),E91,0)+F91,F91)*G91*1000+F91,0)=Y91,1,0))))))</f>
        <v>0</v>
      </c>
      <c r="AA91" s="69">
        <f>MAX(IF((G91&gt;=6)*(1-(IF(H91="",-1,H91)&gt;=1)*(IF(H91="",-1,H91)&lt;=3))*(1-(IF(H91="",-1,H91)=0)),IF(C91="peso_corporal",IF(ISNUMBER(E91),E91,0)+F91,F91)*(30+G91)*100+F91,0),IF((J91&gt;=6)*(1-(IF(K91="",-1,K91)&gt;=1)*(IF(K91="",-1,K91)&lt;=3))*(1-(IF(K91="",-1,K91)=0)),IF(C91="peso_corporal",IF(ISNUMBER(E91),E91,0)+I91,I91)*(30+J91)*100+I91,0),IF((M91&gt;=6)*(1-(IF(N91="",-1,N91)&gt;=1)*(IF(N91="",-1,N91)&lt;=3))*(1-(IF(N91="",-1,N91)=0)),IF(C91="peso_corporal",IF(ISNUMBER(E91),E91,0)+L91,L91)*(30+M91)*100+L91,0),IF((P91&gt;=6)*(1-(IF(Q91="",-1,Q91)&gt;=1)*(IF(Q91="",-1,Q91)&lt;=3))*(1-(IF(Q91="",-1,Q91)=0)),IF(C91="peso_corporal",IF(ISNUMBER(E91),E91,0)+O91,O91)*(30+P91)*100+O91,0),IF((S91&gt;=6)*(1-(IF(T91="",-1,T91)&gt;=1)*(IF(T91="",-1,T91)&lt;=3))*(1-(IF(T91="",-1,T91)=0)),IF(C91="peso_corporal",IF(ISNUMBER(E91),E91,0)+R91,R91)*(30+S91)*100+R91,0))</f>
        <v>0</v>
      </c>
      <c r="AB91" s="69">
        <f>IF(AA91=0,0,IF(IF((S91&gt;=6)*(1-(IF(T91="",-1,T91)&gt;=1)*(IF(T91="",-1,T91)&lt;=3))*(1-(IF(T91="",-1,T91)=0)),IF(C91="peso_corporal",IF(ISNUMBER(E91),E91,0)+R91,R91)*(30+S91)*100+R91,0)=AA91,5,IF(IF((P91&gt;=6)*(1-(IF(Q91="",-1,Q91)&gt;=1)*(IF(Q91="",-1,Q91)&lt;=3))*(1-(IF(Q91="",-1,Q91)=0)),IF(C91="peso_corporal",IF(ISNUMBER(E91),E91,0)+O91,O91)*(30+P91)*100+O91,0)=AA91,4,IF(IF((M91&gt;=6)*(1-(IF(N91="",-1,N91)&gt;=1)*(IF(N91="",-1,N91)&lt;=3))*(1-(IF(N91="",-1,N91)=0)),IF(C91="peso_corporal",IF(ISNUMBER(E91),E91,0)+L91,L91)*(30+M91)*100+L91,0)=AA91,3,IF(IF((J91&gt;=6)*(1-(IF(K91="",-1,K91)&gt;=1)*(IF(K91="",-1,K91)&lt;=3))*(1-(IF(K91="",-1,K91)=0)),IF(C91="peso_corporal",IF(ISNUMBER(E91),E91,0)+I91,I91)*(30+J91)*100+I91,0)=AA91,2,IF(IF((G91&gt;=6)*(1-(IF(H91="",-1,H91)&gt;=1)*(IF(H91="",-1,H91)&lt;=3))*(1-(IF(H91="",-1,H91)=0)),IF(C91="peso_corporal",IF(ISNUMBER(E91),E91,0)+F91,F91)*(30+G91)*100+F91,0)=AA91,1,0))))))</f>
        <v>0</v>
      </c>
      <c r="AC91" s="69" t="str">
        <f>IF(X91&gt;0,"A"&amp;X91,IF(Z91&gt;0,"B"&amp;Z91,IF(AB91&gt;0,"C"&amp;AB91,"")))</f>
        <v/>
      </c>
    </row>
    <row r="92" spans="1:29" ht="15" customHeight="1">
      <c r="A92" s="91" t="s">
        <v>145</v>
      </c>
      <c r="B92" s="73"/>
      <c r="C92" s="73"/>
      <c r="D92" s="73"/>
      <c r="E92" s="73"/>
      <c r="F92" s="73"/>
      <c r="G92" s="73"/>
      <c r="H92" s="73"/>
      <c r="I92" s="73"/>
      <c r="J92" s="73"/>
      <c r="K92" s="73"/>
      <c r="L92" s="73"/>
      <c r="M92" s="73"/>
      <c r="N92" s="73"/>
      <c r="O92" s="73"/>
      <c r="P92" s="73"/>
      <c r="Q92" s="73"/>
      <c r="R92" s="73"/>
      <c r="S92" s="73"/>
      <c r="T92" s="73"/>
      <c r="U92" s="73"/>
      <c r="V92" s="73"/>
      <c r="W92" s="69"/>
      <c r="X92" s="69"/>
      <c r="Y92" s="69"/>
      <c r="Z92" s="69"/>
      <c r="AA92" s="69"/>
      <c r="AB92" s="69"/>
      <c r="AC92" s="69"/>
    </row>
    <row r="93" spans="1:29" ht="20.100000000000001" customHeight="1">
      <c r="A93" s="14" t="s">
        <v>57</v>
      </c>
      <c r="B93" s="15" t="s">
        <v>58</v>
      </c>
      <c r="C93" s="16" t="str">
        <f>IFERROR(INDEX(EJERCICIOS!$D$3:$D$75,MATCH(A93&amp;"|"&amp;B93,EJERCICIOS!$G$3:$G$75,0)),"--")</f>
        <v>polea</v>
      </c>
      <c r="D93" s="17">
        <v>3</v>
      </c>
      <c r="E93" s="18">
        <f>IFERROR(LOOKUP(2,1/(MEDIDAS_Y_PESO!$B$3:$B$6&lt;&gt;""),MEDIDAS_Y_PESO!$B$3:$B$6),"--")</f>
        <v>80</v>
      </c>
      <c r="F93" s="19"/>
      <c r="G93" s="20"/>
      <c r="H93" s="21"/>
      <c r="I93" s="19"/>
      <c r="J93" s="20"/>
      <c r="K93" s="21"/>
      <c r="L93" s="19"/>
      <c r="M93" s="20"/>
      <c r="N93" s="21"/>
      <c r="O93" s="19"/>
      <c r="P93" s="20"/>
      <c r="Q93" s="21"/>
      <c r="R93" s="19"/>
      <c r="S93" s="20"/>
      <c r="T93" s="21"/>
      <c r="U93" s="22" t="str">
        <f>IFERROR(IF(IF(X93&gt;0,X93,IF(Z93&gt;0,Z93,IF(AB93&gt;0,AB93,0)))=0,"--",ROUND(CHOOSE(IF(X93&gt;0,X93,IF(Z93&gt;0,Z93,IF(AB93&gt;0,AB93,0))),IF(C93="peso_corporal",IF(ISNUMBER(E93),E93,0)+F93,F93)*(1+G93/30),IF(C93="peso_corporal",IF(ISNUMBER(E93),E93,0)+I93,I93)*(1+J93/30),IF(C93="peso_corporal",IF(ISNUMBER(E93),E93,0)+L93,L93)*(1+M93/30),IF(C93="peso_corporal",IF(ISNUMBER(E93),E93,0)+O93,O93)*(1+P93/30),IF(C93="peso_corporal",IF(ISNUMBER(E93),E93,0)+R93,R93)*(1+S93/30)),1)),"--")</f>
        <v>--</v>
      </c>
      <c r="V93" s="23" t="str">
        <f>IF(SUGERENCIAS!N226="SIN","Sin datos anteriores",IF(SUGERENCIAS!N226="SUBIR_F","^ SUBIR FUERTE | Kg:"&amp;ROUND(SUGERENCIAS!K226,1)&amp;" R:"&amp;ROUND(SUGERENCIAS!L226,0)&amp;" RIR:"&amp;ROUND(SUGERENCIAS!M226,0),IF(SUGERENCIAS!N226="SUBIR_E","^ SUBIR (Est.) | Kg:"&amp;ROUND(SUGERENCIAS!K226,1)&amp;" R:"&amp;ROUND(SUGERENCIAS!L226,0)&amp;" RIR:"&amp;ROUND(SUGERENCIAS!M226,0),IF(SUGERENCIAS!N226="SUBIR","^ SUBIR | Kg:"&amp;ROUND(SUGERENCIAS!K226,1)&amp;" R:"&amp;ROUND(SUGERENCIAS!L226,0)&amp;" RIR:"&amp;ROUND(SUGERENCIAS!M226,0),IF(SUGERENCIAS!N226="BAJAR","v BAJAR | Kg:"&amp;ROUND(SUGERENCIAS!K226,1)&amp;" R:"&amp;ROUND(SUGERENCIAS!L226,0)&amp;" RIR:"&amp;ROUND(SUGERENCIAS!M226,0),"= MANT | Kg:"&amp;ROUND(SUGERENCIAS!K226,1)&amp;" R:"&amp;ROUND(SUGERENCIAS!L226,0)&amp;" RIR:"&amp;ROUND(SUGERENCIAS!M226,0))))))</f>
        <v>Sin datos anteriores</v>
      </c>
      <c r="W93" s="69">
        <f>MAX(IF((G93&gt;0)*(IF(H93="",-1,H93)&gt;=1)*(IF(H93="",-1,H93)&lt;=3),IF(C93="peso_corporal",IF(ISNUMBER(E93),E93,0)+F93,F93)*G93*1000+F93,0),IF((J93&gt;0)*(IF(K93="",-1,K93)&gt;=1)*(IF(K93="",-1,K93)&lt;=3),IF(C93="peso_corporal",IF(ISNUMBER(E93),E93,0)+I93,I93)*J93*1000+I93,0),IF((M93&gt;0)*(IF(N93="",-1,N93)&gt;=1)*(IF(N93="",-1,N93)&lt;=3),IF(C93="peso_corporal",IF(ISNUMBER(E93),E93,0)+L93,L93)*M93*1000+L93,0),IF((P93&gt;0)*(IF(Q93="",-1,Q93)&gt;=1)*(IF(Q93="",-1,Q93)&lt;=3),IF(C93="peso_corporal",IF(ISNUMBER(E93),E93,0)+O93,O93)*P93*1000+O93,0),IF((S93&gt;0)*(IF(T93="",-1,T93)&gt;=1)*(IF(T93="",-1,T93)&lt;=3),IF(C93="peso_corporal",IF(ISNUMBER(E93),E93,0)+R93,R93)*S93*1000+R93,0))</f>
        <v>0</v>
      </c>
      <c r="X93" s="69">
        <f>IF(W93=0,0,IF(IF((S93&gt;0)*(IF(T93="",-1,T93)&gt;=1)*(IF(T93="",-1,T93)&lt;=3),IF(C93="peso_corporal",IF(ISNUMBER(E93),E93,0)+R93,R93)*S93*1000+R93,0)=W93,5,IF(IF((P93&gt;0)*(IF(Q93="",-1,Q93)&gt;=1)*(IF(Q93="",-1,Q93)&lt;=3),IF(C93="peso_corporal",IF(ISNUMBER(E93),E93,0)+O93,O93)*P93*1000+O93,0)=W93,4,IF(IF((M93&gt;0)*(IF(N93="",-1,N93)&gt;=1)*(IF(N93="",-1,N93)&lt;=3),IF(C93="peso_corporal",IF(ISNUMBER(E93),E93,0)+L93,L93)*M93*1000+L93,0)=W93,3,IF(IF((J93&gt;0)*(IF(K93="",-1,K93)&gt;=1)*(IF(K93="",-1,K93)&lt;=3),IF(C93="peso_corporal",IF(ISNUMBER(E93),E93,0)+I93,I93)*J93*1000+I93,0)=W93,2,IF(IF((G93&gt;0)*(IF(H93="",-1,H93)&gt;=1)*(IF(H93="",-1,H93)&lt;=3),IF(C93="peso_corporal",IF(ISNUMBER(E93),E93,0)+F93,F93)*G93*1000+F93,0)=W93,1,0))))))</f>
        <v>0</v>
      </c>
      <c r="Y93" s="69">
        <f>MAX(IF((G93&gt;0)*(IF(H93="",-1,H93)=0)*(1-(IF(H93="",-1,H93)&gt;=1)*(IF(H93="",-1,H93)&lt;=3)),IF(C93="peso_corporal",IF(ISNUMBER(E93),E93,0)+F93,F93)*G93*1000+F93,0),IF((J93&gt;0)*(IF(K93="",-1,K93)=0)*(1-(IF(K93="",-1,K93)&gt;=1)*(IF(K93="",-1,K93)&lt;=3)),IF(C93="peso_corporal",IF(ISNUMBER(E93),E93,0)+I93,I93)*J93*1000+I93,0),IF((M93&gt;0)*(IF(N93="",-1,N93)=0)*(1-(IF(N93="",-1,N93)&gt;=1)*(IF(N93="",-1,N93)&lt;=3)),IF(C93="peso_corporal",IF(ISNUMBER(E93),E93,0)+L93,L93)*M93*1000+L93,0),IF((P93&gt;0)*(IF(Q93="",-1,Q93)=0)*(1-(IF(Q93="",-1,Q93)&gt;=1)*(IF(Q93="",-1,Q93)&lt;=3)),IF(C93="peso_corporal",IF(ISNUMBER(E93),E93,0)+O93,O93)*P93*1000+O93,0),IF((S93&gt;0)*(IF(T93="",-1,T93)=0)*(1-(IF(T93="",-1,T93)&gt;=1)*(IF(T93="",-1,T93)&lt;=3)),IF(C93="peso_corporal",IF(ISNUMBER(E93),E93,0)+R93,R93)*S93*1000+R93,0))</f>
        <v>0</v>
      </c>
      <c r="Z93" s="69">
        <f>IF(Y93=0,0,IF(IF((S93&gt;0)*(IF(T93="",-1,T93)=0)*(1-(IF(T93="",-1,T93)&gt;=1)*(IF(T93="",-1,T93)&lt;=3)),IF(C93="peso_corporal",IF(ISNUMBER(E93),E93,0)+R93,R93)*S93*1000+R93,0)=Y93,5,IF(IF((P93&gt;0)*(IF(Q93="",-1,Q93)=0)*(1-(IF(Q93="",-1,Q93)&gt;=1)*(IF(Q93="",-1,Q93)&lt;=3)),IF(C93="peso_corporal",IF(ISNUMBER(E93),E93,0)+O93,O93)*P93*1000+O93,0)=Y93,4,IF(IF((M93&gt;0)*(IF(N93="",-1,N93)=0)*(1-(IF(N93="",-1,N93)&gt;=1)*(IF(N93="",-1,N93)&lt;=3)),IF(C93="peso_corporal",IF(ISNUMBER(E93),E93,0)+L93,L93)*M93*1000+L93,0)=Y93,3,IF(IF((J93&gt;0)*(IF(K93="",-1,K93)=0)*(1-(IF(K93="",-1,K93)&gt;=1)*(IF(K93="",-1,K93)&lt;=3)),IF(C93="peso_corporal",IF(ISNUMBER(E93),E93,0)+I93,I93)*J93*1000+I93,0)=Y93,2,IF(IF((G93&gt;0)*(IF(H93="",-1,H93)=0)*(1-(IF(H93="",-1,H93)&gt;=1)*(IF(H93="",-1,H93)&lt;=3)),IF(C93="peso_corporal",IF(ISNUMBER(E93),E93,0)+F93,F93)*G93*1000+F93,0)=Y93,1,0))))))</f>
        <v>0</v>
      </c>
      <c r="AA93" s="69">
        <f>MAX(IF((G93&gt;=6)*(1-(IF(H93="",-1,H93)&gt;=1)*(IF(H93="",-1,H93)&lt;=3))*(1-(IF(H93="",-1,H93)=0)),IF(C93="peso_corporal",IF(ISNUMBER(E93),E93,0)+F93,F93)*(30+G93)*100+F93,0),IF((J93&gt;=6)*(1-(IF(K93="",-1,K93)&gt;=1)*(IF(K93="",-1,K93)&lt;=3))*(1-(IF(K93="",-1,K93)=0)),IF(C93="peso_corporal",IF(ISNUMBER(E93),E93,0)+I93,I93)*(30+J93)*100+I93,0),IF((M93&gt;=6)*(1-(IF(N93="",-1,N93)&gt;=1)*(IF(N93="",-1,N93)&lt;=3))*(1-(IF(N93="",-1,N93)=0)),IF(C93="peso_corporal",IF(ISNUMBER(E93),E93,0)+L93,L93)*(30+M93)*100+L93,0),IF((P93&gt;=6)*(1-(IF(Q93="",-1,Q93)&gt;=1)*(IF(Q93="",-1,Q93)&lt;=3))*(1-(IF(Q93="",-1,Q93)=0)),IF(C93="peso_corporal",IF(ISNUMBER(E93),E93,0)+O93,O93)*(30+P93)*100+O93,0),IF((S93&gt;=6)*(1-(IF(T93="",-1,T93)&gt;=1)*(IF(T93="",-1,T93)&lt;=3))*(1-(IF(T93="",-1,T93)=0)),IF(C93="peso_corporal",IF(ISNUMBER(E93),E93,0)+R93,R93)*(30+S93)*100+R93,0))</f>
        <v>0</v>
      </c>
      <c r="AB93" s="69">
        <f>IF(AA93=0,0,IF(IF((S93&gt;=6)*(1-(IF(T93="",-1,T93)&gt;=1)*(IF(T93="",-1,T93)&lt;=3))*(1-(IF(T93="",-1,T93)=0)),IF(C93="peso_corporal",IF(ISNUMBER(E93),E93,0)+R93,R93)*(30+S93)*100+R93,0)=AA93,5,IF(IF((P93&gt;=6)*(1-(IF(Q93="",-1,Q93)&gt;=1)*(IF(Q93="",-1,Q93)&lt;=3))*(1-(IF(Q93="",-1,Q93)=0)),IF(C93="peso_corporal",IF(ISNUMBER(E93),E93,0)+O93,O93)*(30+P93)*100+O93,0)=AA93,4,IF(IF((M93&gt;=6)*(1-(IF(N93="",-1,N93)&gt;=1)*(IF(N93="",-1,N93)&lt;=3))*(1-(IF(N93="",-1,N93)=0)),IF(C93="peso_corporal",IF(ISNUMBER(E93),E93,0)+L93,L93)*(30+M93)*100+L93,0)=AA93,3,IF(IF((J93&gt;=6)*(1-(IF(K93="",-1,K93)&gt;=1)*(IF(K93="",-1,K93)&lt;=3))*(1-(IF(K93="",-1,K93)=0)),IF(C93="peso_corporal",IF(ISNUMBER(E93),E93,0)+I93,I93)*(30+J93)*100+I93,0)=AA93,2,IF(IF((G93&gt;=6)*(1-(IF(H93="",-1,H93)&gt;=1)*(IF(H93="",-1,H93)&lt;=3))*(1-(IF(H93="",-1,H93)=0)),IF(C93="peso_corporal",IF(ISNUMBER(E93),E93,0)+F93,F93)*(30+G93)*100+F93,0)=AA93,1,0))))))</f>
        <v>0</v>
      </c>
      <c r="AC93" s="69" t="str">
        <f>IF(X93&gt;0,"A"&amp;X93,IF(Z93&gt;0,"B"&amp;Z93,IF(AB93&gt;0,"C"&amp;AB93,"")))</f>
        <v/>
      </c>
    </row>
    <row r="94" spans="1:29" ht="20.100000000000001" customHeight="1">
      <c r="A94" s="14" t="s">
        <v>146</v>
      </c>
      <c r="B94" s="15" t="s">
        <v>152</v>
      </c>
      <c r="C94" s="16" t="str">
        <f>IFERROR(INDEX(EJERCICIOS!$D$3:$D$75,MATCH(A94&amp;"|"&amp;B94,EJERCICIOS!$G$3:$G$75,0)),"--")</f>
        <v>--</v>
      </c>
      <c r="D94" s="17">
        <v>3</v>
      </c>
      <c r="E94" s="18">
        <f>IFERROR(LOOKUP(2,1/(MEDIDAS_Y_PESO!$B$3:$B$6&lt;&gt;""),MEDIDAS_Y_PESO!$B$3:$B$6),"--")</f>
        <v>80</v>
      </c>
      <c r="F94" s="19"/>
      <c r="G94" s="20"/>
      <c r="H94" s="21"/>
      <c r="I94" s="19"/>
      <c r="J94" s="20"/>
      <c r="K94" s="21"/>
      <c r="L94" s="19"/>
      <c r="M94" s="20"/>
      <c r="N94" s="21"/>
      <c r="O94" s="19"/>
      <c r="P94" s="20"/>
      <c r="Q94" s="21"/>
      <c r="R94" s="19"/>
      <c r="S94" s="20"/>
      <c r="T94" s="21"/>
      <c r="U94" s="22" t="str">
        <f>IFERROR(IF(IF(X94&gt;0,X94,IF(Z94&gt;0,Z94,IF(AB94&gt;0,AB94,0)))=0,"--",ROUND(CHOOSE(IF(X94&gt;0,X94,IF(Z94&gt;0,Z94,IF(AB94&gt;0,AB94,0))),IF(C94="peso_corporal",IF(ISNUMBER(E94),E94,0)+F94,F94)*(1+G94/30),IF(C94="peso_corporal",IF(ISNUMBER(E94),E94,0)+I94,I94)*(1+J94/30),IF(C94="peso_corporal",IF(ISNUMBER(E94),E94,0)+L94,L94)*(1+M94/30),IF(C94="peso_corporal",IF(ISNUMBER(E94),E94,0)+O94,O94)*(1+P94/30),IF(C94="peso_corporal",IF(ISNUMBER(E94),E94,0)+R94,R94)*(1+S94/30)),1)),"--")</f>
        <v>--</v>
      </c>
      <c r="V94" s="23" t="str">
        <f>IF(SUGERENCIAS!N227="SIN","Sin datos anteriores",IF(SUGERENCIAS!N227="SUBIR_F","^ SUBIR FUERTE | Kg:"&amp;ROUND(SUGERENCIAS!K227,1)&amp;" R:"&amp;ROUND(SUGERENCIAS!L227,0)&amp;" RIR:"&amp;ROUND(SUGERENCIAS!M227,0),IF(SUGERENCIAS!N227="SUBIR_E","^ SUBIR (Est.) | Kg:"&amp;ROUND(SUGERENCIAS!K227,1)&amp;" R:"&amp;ROUND(SUGERENCIAS!L227,0)&amp;" RIR:"&amp;ROUND(SUGERENCIAS!M227,0),IF(SUGERENCIAS!N227="SUBIR","^ SUBIR | Kg:"&amp;ROUND(SUGERENCIAS!K227,1)&amp;" R:"&amp;ROUND(SUGERENCIAS!L227,0)&amp;" RIR:"&amp;ROUND(SUGERENCIAS!M227,0),IF(SUGERENCIAS!N227="BAJAR","v BAJAR | Kg:"&amp;ROUND(SUGERENCIAS!K227,1)&amp;" R:"&amp;ROUND(SUGERENCIAS!L227,0)&amp;" RIR:"&amp;ROUND(SUGERENCIAS!M227,0),"= MANT | Kg:"&amp;ROUND(SUGERENCIAS!K227,1)&amp;" R:"&amp;ROUND(SUGERENCIAS!L227,0)&amp;" RIR:"&amp;ROUND(SUGERENCIAS!M227,0))))))</f>
        <v>Sin datos anteriores</v>
      </c>
      <c r="W94" s="69">
        <f>MAX(IF((G94&gt;0)*(IF(H94="",-1,H94)&gt;=1)*(IF(H94="",-1,H94)&lt;=3),IF(C94="peso_corporal",IF(ISNUMBER(E94),E94,0)+F94,F94)*G94*1000+F94,0),IF((J94&gt;0)*(IF(K94="",-1,K94)&gt;=1)*(IF(K94="",-1,K94)&lt;=3),IF(C94="peso_corporal",IF(ISNUMBER(E94),E94,0)+I94,I94)*J94*1000+I94,0),IF((M94&gt;0)*(IF(N94="",-1,N94)&gt;=1)*(IF(N94="",-1,N94)&lt;=3),IF(C94="peso_corporal",IF(ISNUMBER(E94),E94,0)+L94,L94)*M94*1000+L94,0),IF((P94&gt;0)*(IF(Q94="",-1,Q94)&gt;=1)*(IF(Q94="",-1,Q94)&lt;=3),IF(C94="peso_corporal",IF(ISNUMBER(E94),E94,0)+O94,O94)*P94*1000+O94,0),IF((S94&gt;0)*(IF(T94="",-1,T94)&gt;=1)*(IF(T94="",-1,T94)&lt;=3),IF(C94="peso_corporal",IF(ISNUMBER(E94),E94,0)+R94,R94)*S94*1000+R94,0))</f>
        <v>0</v>
      </c>
      <c r="X94" s="69">
        <f>IF(W94=0,0,IF(IF((S94&gt;0)*(IF(T94="",-1,T94)&gt;=1)*(IF(T94="",-1,T94)&lt;=3),IF(C94="peso_corporal",IF(ISNUMBER(E94),E94,0)+R94,R94)*S94*1000+R94,0)=W94,5,IF(IF((P94&gt;0)*(IF(Q94="",-1,Q94)&gt;=1)*(IF(Q94="",-1,Q94)&lt;=3),IF(C94="peso_corporal",IF(ISNUMBER(E94),E94,0)+O94,O94)*P94*1000+O94,0)=W94,4,IF(IF((M94&gt;0)*(IF(N94="",-1,N94)&gt;=1)*(IF(N94="",-1,N94)&lt;=3),IF(C94="peso_corporal",IF(ISNUMBER(E94),E94,0)+L94,L94)*M94*1000+L94,0)=W94,3,IF(IF((J94&gt;0)*(IF(K94="",-1,K94)&gt;=1)*(IF(K94="",-1,K94)&lt;=3),IF(C94="peso_corporal",IF(ISNUMBER(E94),E94,0)+I94,I94)*J94*1000+I94,0)=W94,2,IF(IF((G94&gt;0)*(IF(H94="",-1,H94)&gt;=1)*(IF(H94="",-1,H94)&lt;=3),IF(C94="peso_corporal",IF(ISNUMBER(E94),E94,0)+F94,F94)*G94*1000+F94,0)=W94,1,0))))))</f>
        <v>0</v>
      </c>
      <c r="Y94" s="69">
        <f>MAX(IF((G94&gt;0)*(IF(H94="",-1,H94)=0)*(1-(IF(H94="",-1,H94)&gt;=1)*(IF(H94="",-1,H94)&lt;=3)),IF(C94="peso_corporal",IF(ISNUMBER(E94),E94,0)+F94,F94)*G94*1000+F94,0),IF((J94&gt;0)*(IF(K94="",-1,K94)=0)*(1-(IF(K94="",-1,K94)&gt;=1)*(IF(K94="",-1,K94)&lt;=3)),IF(C94="peso_corporal",IF(ISNUMBER(E94),E94,0)+I94,I94)*J94*1000+I94,0),IF((M94&gt;0)*(IF(N94="",-1,N94)=0)*(1-(IF(N94="",-1,N94)&gt;=1)*(IF(N94="",-1,N94)&lt;=3)),IF(C94="peso_corporal",IF(ISNUMBER(E94),E94,0)+L94,L94)*M94*1000+L94,0),IF((P94&gt;0)*(IF(Q94="",-1,Q94)=0)*(1-(IF(Q94="",-1,Q94)&gt;=1)*(IF(Q94="",-1,Q94)&lt;=3)),IF(C94="peso_corporal",IF(ISNUMBER(E94),E94,0)+O94,O94)*P94*1000+O94,0),IF((S94&gt;0)*(IF(T94="",-1,T94)=0)*(1-(IF(T94="",-1,T94)&gt;=1)*(IF(T94="",-1,T94)&lt;=3)),IF(C94="peso_corporal",IF(ISNUMBER(E94),E94,0)+R94,R94)*S94*1000+R94,0))</f>
        <v>0</v>
      </c>
      <c r="Z94" s="69">
        <f>IF(Y94=0,0,IF(IF((S94&gt;0)*(IF(T94="",-1,T94)=0)*(1-(IF(T94="",-1,T94)&gt;=1)*(IF(T94="",-1,T94)&lt;=3)),IF(C94="peso_corporal",IF(ISNUMBER(E94),E94,0)+R94,R94)*S94*1000+R94,0)=Y94,5,IF(IF((P94&gt;0)*(IF(Q94="",-1,Q94)=0)*(1-(IF(Q94="",-1,Q94)&gt;=1)*(IF(Q94="",-1,Q94)&lt;=3)),IF(C94="peso_corporal",IF(ISNUMBER(E94),E94,0)+O94,O94)*P94*1000+O94,0)=Y94,4,IF(IF((M94&gt;0)*(IF(N94="",-1,N94)=0)*(1-(IF(N94="",-1,N94)&gt;=1)*(IF(N94="",-1,N94)&lt;=3)),IF(C94="peso_corporal",IF(ISNUMBER(E94),E94,0)+L94,L94)*M94*1000+L94,0)=Y94,3,IF(IF((J94&gt;0)*(IF(K94="",-1,K94)=0)*(1-(IF(K94="",-1,K94)&gt;=1)*(IF(K94="",-1,K94)&lt;=3)),IF(C94="peso_corporal",IF(ISNUMBER(E94),E94,0)+I94,I94)*J94*1000+I94,0)=Y94,2,IF(IF((G94&gt;0)*(IF(H94="",-1,H94)=0)*(1-(IF(H94="",-1,H94)&gt;=1)*(IF(H94="",-1,H94)&lt;=3)),IF(C94="peso_corporal",IF(ISNUMBER(E94),E94,0)+F94,F94)*G94*1000+F94,0)=Y94,1,0))))))</f>
        <v>0</v>
      </c>
      <c r="AA94" s="69">
        <f>MAX(IF((G94&gt;=6)*(1-(IF(H94="",-1,H94)&gt;=1)*(IF(H94="",-1,H94)&lt;=3))*(1-(IF(H94="",-1,H94)=0)),IF(C94="peso_corporal",IF(ISNUMBER(E94),E94,0)+F94,F94)*(30+G94)*100+F94,0),IF((J94&gt;=6)*(1-(IF(K94="",-1,K94)&gt;=1)*(IF(K94="",-1,K94)&lt;=3))*(1-(IF(K94="",-1,K94)=0)),IF(C94="peso_corporal",IF(ISNUMBER(E94),E94,0)+I94,I94)*(30+J94)*100+I94,0),IF((M94&gt;=6)*(1-(IF(N94="",-1,N94)&gt;=1)*(IF(N94="",-1,N94)&lt;=3))*(1-(IF(N94="",-1,N94)=0)),IF(C94="peso_corporal",IF(ISNUMBER(E94),E94,0)+L94,L94)*(30+M94)*100+L94,0),IF((P94&gt;=6)*(1-(IF(Q94="",-1,Q94)&gt;=1)*(IF(Q94="",-1,Q94)&lt;=3))*(1-(IF(Q94="",-1,Q94)=0)),IF(C94="peso_corporal",IF(ISNUMBER(E94),E94,0)+O94,O94)*(30+P94)*100+O94,0),IF((S94&gt;=6)*(1-(IF(T94="",-1,T94)&gt;=1)*(IF(T94="",-1,T94)&lt;=3))*(1-(IF(T94="",-1,T94)=0)),IF(C94="peso_corporal",IF(ISNUMBER(E94),E94,0)+R94,R94)*(30+S94)*100+R94,0))</f>
        <v>0</v>
      </c>
      <c r="AB94" s="69">
        <f>IF(AA94=0,0,IF(IF((S94&gt;=6)*(1-(IF(T94="",-1,T94)&gt;=1)*(IF(T94="",-1,T94)&lt;=3))*(1-(IF(T94="",-1,T94)=0)),IF(C94="peso_corporal",IF(ISNUMBER(E94),E94,0)+R94,R94)*(30+S94)*100+R94,0)=AA94,5,IF(IF((P94&gt;=6)*(1-(IF(Q94="",-1,Q94)&gt;=1)*(IF(Q94="",-1,Q94)&lt;=3))*(1-(IF(Q94="",-1,Q94)=0)),IF(C94="peso_corporal",IF(ISNUMBER(E94),E94,0)+O94,O94)*(30+P94)*100+O94,0)=AA94,4,IF(IF((M94&gt;=6)*(1-(IF(N94="",-1,N94)&gt;=1)*(IF(N94="",-1,N94)&lt;=3))*(1-(IF(N94="",-1,N94)=0)),IF(C94="peso_corporal",IF(ISNUMBER(E94),E94,0)+L94,L94)*(30+M94)*100+L94,0)=AA94,3,IF(IF((J94&gt;=6)*(1-(IF(K94="",-1,K94)&gt;=1)*(IF(K94="",-1,K94)&lt;=3))*(1-(IF(K94="",-1,K94)=0)),IF(C94="peso_corporal",IF(ISNUMBER(E94),E94,0)+I94,I94)*(30+J94)*100+I94,0)=AA94,2,IF(IF((G94&gt;=6)*(1-(IF(H94="",-1,H94)&gt;=1)*(IF(H94="",-1,H94)&lt;=3))*(1-(IF(H94="",-1,H94)=0)),IF(C94="peso_corporal",IF(ISNUMBER(E94),E94,0)+F94,F94)*(30+G94)*100+F94,0)=AA94,1,0))))))</f>
        <v>0</v>
      </c>
      <c r="AC94" s="69" t="str">
        <f>IF(X94&gt;0,"A"&amp;X94,IF(Z94&gt;0,"B"&amp;Z94,IF(AB94&gt;0,"C"&amp;AB94,"")))</f>
        <v/>
      </c>
    </row>
    <row r="95" spans="1:29" ht="20.100000000000001" customHeight="1">
      <c r="A95" s="14" t="s">
        <v>148</v>
      </c>
      <c r="B95" s="15" t="s">
        <v>149</v>
      </c>
      <c r="C95" s="16" t="str">
        <f>IFERROR(INDEX(EJERCICIOS!$D$3:$D$75,MATCH(A95&amp;"|"&amp;B95,EJERCICIOS!$G$3:$G$75,0)),"--")</f>
        <v>--</v>
      </c>
      <c r="D95" s="17">
        <v>3</v>
      </c>
      <c r="E95" s="18">
        <f>IFERROR(LOOKUP(2,1/(MEDIDAS_Y_PESO!$B$3:$B$6&lt;&gt;""),MEDIDAS_Y_PESO!$B$3:$B$6),"--")</f>
        <v>80</v>
      </c>
      <c r="F95" s="19"/>
      <c r="G95" s="20"/>
      <c r="H95" s="21"/>
      <c r="I95" s="19"/>
      <c r="J95" s="20"/>
      <c r="K95" s="21"/>
      <c r="L95" s="19"/>
      <c r="M95" s="20"/>
      <c r="N95" s="21"/>
      <c r="O95" s="19"/>
      <c r="P95" s="20"/>
      <c r="Q95" s="21"/>
      <c r="R95" s="19"/>
      <c r="S95" s="20"/>
      <c r="T95" s="21"/>
      <c r="U95" s="22" t="str">
        <f>IFERROR(IF(IF(X95&gt;0,X95,IF(Z95&gt;0,Z95,IF(AB95&gt;0,AB95,0)))=0,"--",ROUND(CHOOSE(IF(X95&gt;0,X95,IF(Z95&gt;0,Z95,IF(AB95&gt;0,AB95,0))),IF(C95="peso_corporal",IF(ISNUMBER(E95),E95,0)+F95,F95)*(1+G95/30),IF(C95="peso_corporal",IF(ISNUMBER(E95),E95,0)+I95,I95)*(1+J95/30),IF(C95="peso_corporal",IF(ISNUMBER(E95),E95,0)+L95,L95)*(1+M95/30),IF(C95="peso_corporal",IF(ISNUMBER(E95),E95,0)+O95,O95)*(1+P95/30),IF(C95="peso_corporal",IF(ISNUMBER(E95),E95,0)+R95,R95)*(1+S95/30)),1)),"--")</f>
        <v>--</v>
      </c>
      <c r="V95" s="23" t="str">
        <f>IF(SUGERENCIAS!N228="SIN","Sin datos anteriores",IF(SUGERENCIAS!N228="SUBIR_F","^ SUBIR FUERTE | Kg:"&amp;ROUND(SUGERENCIAS!K228,1)&amp;" R:"&amp;ROUND(SUGERENCIAS!L228,0)&amp;" RIR:"&amp;ROUND(SUGERENCIAS!M228,0),IF(SUGERENCIAS!N228="SUBIR_E","^ SUBIR (Est.) | Kg:"&amp;ROUND(SUGERENCIAS!K228,1)&amp;" R:"&amp;ROUND(SUGERENCIAS!L228,0)&amp;" RIR:"&amp;ROUND(SUGERENCIAS!M228,0),IF(SUGERENCIAS!N228="SUBIR","^ SUBIR | Kg:"&amp;ROUND(SUGERENCIAS!K228,1)&amp;" R:"&amp;ROUND(SUGERENCIAS!L228,0)&amp;" RIR:"&amp;ROUND(SUGERENCIAS!M228,0),IF(SUGERENCIAS!N228="BAJAR","v BAJAR | Kg:"&amp;ROUND(SUGERENCIAS!K228,1)&amp;" R:"&amp;ROUND(SUGERENCIAS!L228,0)&amp;" RIR:"&amp;ROUND(SUGERENCIAS!M228,0),"= MANT | Kg:"&amp;ROUND(SUGERENCIAS!K228,1)&amp;" R:"&amp;ROUND(SUGERENCIAS!L228,0)&amp;" RIR:"&amp;ROUND(SUGERENCIAS!M228,0))))))</f>
        <v>Sin datos anteriores</v>
      </c>
      <c r="W95" s="69">
        <f>MAX(IF((G95&gt;0)*(IF(H95="",-1,H95)&gt;=1)*(IF(H95="",-1,H95)&lt;=3),IF(C95="peso_corporal",IF(ISNUMBER(E95),E95,0)+F95,F95)*G95*1000+F95,0),IF((J95&gt;0)*(IF(K95="",-1,K95)&gt;=1)*(IF(K95="",-1,K95)&lt;=3),IF(C95="peso_corporal",IF(ISNUMBER(E95),E95,0)+I95,I95)*J95*1000+I95,0),IF((M95&gt;0)*(IF(N95="",-1,N95)&gt;=1)*(IF(N95="",-1,N95)&lt;=3),IF(C95="peso_corporal",IF(ISNUMBER(E95),E95,0)+L95,L95)*M95*1000+L95,0),IF((P95&gt;0)*(IF(Q95="",-1,Q95)&gt;=1)*(IF(Q95="",-1,Q95)&lt;=3),IF(C95="peso_corporal",IF(ISNUMBER(E95),E95,0)+O95,O95)*P95*1000+O95,0),IF((S95&gt;0)*(IF(T95="",-1,T95)&gt;=1)*(IF(T95="",-1,T95)&lt;=3),IF(C95="peso_corporal",IF(ISNUMBER(E95),E95,0)+R95,R95)*S95*1000+R95,0))</f>
        <v>0</v>
      </c>
      <c r="X95" s="69">
        <f>IF(W95=0,0,IF(IF((S95&gt;0)*(IF(T95="",-1,T95)&gt;=1)*(IF(T95="",-1,T95)&lt;=3),IF(C95="peso_corporal",IF(ISNUMBER(E95),E95,0)+R95,R95)*S95*1000+R95,0)=W95,5,IF(IF((P95&gt;0)*(IF(Q95="",-1,Q95)&gt;=1)*(IF(Q95="",-1,Q95)&lt;=3),IF(C95="peso_corporal",IF(ISNUMBER(E95),E95,0)+O95,O95)*P95*1000+O95,0)=W95,4,IF(IF((M95&gt;0)*(IF(N95="",-1,N95)&gt;=1)*(IF(N95="",-1,N95)&lt;=3),IF(C95="peso_corporal",IF(ISNUMBER(E95),E95,0)+L95,L95)*M95*1000+L95,0)=W95,3,IF(IF((J95&gt;0)*(IF(K95="",-1,K95)&gt;=1)*(IF(K95="",-1,K95)&lt;=3),IF(C95="peso_corporal",IF(ISNUMBER(E95),E95,0)+I95,I95)*J95*1000+I95,0)=W95,2,IF(IF((G95&gt;0)*(IF(H95="",-1,H95)&gt;=1)*(IF(H95="",-1,H95)&lt;=3),IF(C95="peso_corporal",IF(ISNUMBER(E95),E95,0)+F95,F95)*G95*1000+F95,0)=W95,1,0))))))</f>
        <v>0</v>
      </c>
      <c r="Y95" s="69">
        <f>MAX(IF((G95&gt;0)*(IF(H95="",-1,H95)=0)*(1-(IF(H95="",-1,H95)&gt;=1)*(IF(H95="",-1,H95)&lt;=3)),IF(C95="peso_corporal",IF(ISNUMBER(E95),E95,0)+F95,F95)*G95*1000+F95,0),IF((J95&gt;0)*(IF(K95="",-1,K95)=0)*(1-(IF(K95="",-1,K95)&gt;=1)*(IF(K95="",-1,K95)&lt;=3)),IF(C95="peso_corporal",IF(ISNUMBER(E95),E95,0)+I95,I95)*J95*1000+I95,0),IF((M95&gt;0)*(IF(N95="",-1,N95)=0)*(1-(IF(N95="",-1,N95)&gt;=1)*(IF(N95="",-1,N95)&lt;=3)),IF(C95="peso_corporal",IF(ISNUMBER(E95),E95,0)+L95,L95)*M95*1000+L95,0),IF((P95&gt;0)*(IF(Q95="",-1,Q95)=0)*(1-(IF(Q95="",-1,Q95)&gt;=1)*(IF(Q95="",-1,Q95)&lt;=3)),IF(C95="peso_corporal",IF(ISNUMBER(E95),E95,0)+O95,O95)*P95*1000+O95,0),IF((S95&gt;0)*(IF(T95="",-1,T95)=0)*(1-(IF(T95="",-1,T95)&gt;=1)*(IF(T95="",-1,T95)&lt;=3)),IF(C95="peso_corporal",IF(ISNUMBER(E95),E95,0)+R95,R95)*S95*1000+R95,0))</f>
        <v>0</v>
      </c>
      <c r="Z95" s="69">
        <f>IF(Y95=0,0,IF(IF((S95&gt;0)*(IF(T95="",-1,T95)=0)*(1-(IF(T95="",-1,T95)&gt;=1)*(IF(T95="",-1,T95)&lt;=3)),IF(C95="peso_corporal",IF(ISNUMBER(E95),E95,0)+R95,R95)*S95*1000+R95,0)=Y95,5,IF(IF((P95&gt;0)*(IF(Q95="",-1,Q95)=0)*(1-(IF(Q95="",-1,Q95)&gt;=1)*(IF(Q95="",-1,Q95)&lt;=3)),IF(C95="peso_corporal",IF(ISNUMBER(E95),E95,0)+O95,O95)*P95*1000+O95,0)=Y95,4,IF(IF((M95&gt;0)*(IF(N95="",-1,N95)=0)*(1-(IF(N95="",-1,N95)&gt;=1)*(IF(N95="",-1,N95)&lt;=3)),IF(C95="peso_corporal",IF(ISNUMBER(E95),E95,0)+L95,L95)*M95*1000+L95,0)=Y95,3,IF(IF((J95&gt;0)*(IF(K95="",-1,K95)=0)*(1-(IF(K95="",-1,K95)&gt;=1)*(IF(K95="",-1,K95)&lt;=3)),IF(C95="peso_corporal",IF(ISNUMBER(E95),E95,0)+I95,I95)*J95*1000+I95,0)=Y95,2,IF(IF((G95&gt;0)*(IF(H95="",-1,H95)=0)*(1-(IF(H95="",-1,H95)&gt;=1)*(IF(H95="",-1,H95)&lt;=3)),IF(C95="peso_corporal",IF(ISNUMBER(E95),E95,0)+F95,F95)*G95*1000+F95,0)=Y95,1,0))))))</f>
        <v>0</v>
      </c>
      <c r="AA95" s="69">
        <f>MAX(IF((G95&gt;=6)*(1-(IF(H95="",-1,H95)&gt;=1)*(IF(H95="",-1,H95)&lt;=3))*(1-(IF(H95="",-1,H95)=0)),IF(C95="peso_corporal",IF(ISNUMBER(E95),E95,0)+F95,F95)*(30+G95)*100+F95,0),IF((J95&gt;=6)*(1-(IF(K95="",-1,K95)&gt;=1)*(IF(K95="",-1,K95)&lt;=3))*(1-(IF(K95="",-1,K95)=0)),IF(C95="peso_corporal",IF(ISNUMBER(E95),E95,0)+I95,I95)*(30+J95)*100+I95,0),IF((M95&gt;=6)*(1-(IF(N95="",-1,N95)&gt;=1)*(IF(N95="",-1,N95)&lt;=3))*(1-(IF(N95="",-1,N95)=0)),IF(C95="peso_corporal",IF(ISNUMBER(E95),E95,0)+L95,L95)*(30+M95)*100+L95,0),IF((P95&gt;=6)*(1-(IF(Q95="",-1,Q95)&gt;=1)*(IF(Q95="",-1,Q95)&lt;=3))*(1-(IF(Q95="",-1,Q95)=0)),IF(C95="peso_corporal",IF(ISNUMBER(E95),E95,0)+O95,O95)*(30+P95)*100+O95,0),IF((S95&gt;=6)*(1-(IF(T95="",-1,T95)&gt;=1)*(IF(T95="",-1,T95)&lt;=3))*(1-(IF(T95="",-1,T95)=0)),IF(C95="peso_corporal",IF(ISNUMBER(E95),E95,0)+R95,R95)*(30+S95)*100+R95,0))</f>
        <v>0</v>
      </c>
      <c r="AB95" s="69">
        <f>IF(AA95=0,0,IF(IF((S95&gt;=6)*(1-(IF(T95="",-1,T95)&gt;=1)*(IF(T95="",-1,T95)&lt;=3))*(1-(IF(T95="",-1,T95)=0)),IF(C95="peso_corporal",IF(ISNUMBER(E95),E95,0)+R95,R95)*(30+S95)*100+R95,0)=AA95,5,IF(IF((P95&gt;=6)*(1-(IF(Q95="",-1,Q95)&gt;=1)*(IF(Q95="",-1,Q95)&lt;=3))*(1-(IF(Q95="",-1,Q95)=0)),IF(C95="peso_corporal",IF(ISNUMBER(E95),E95,0)+O95,O95)*(30+P95)*100+O95,0)=AA95,4,IF(IF((M95&gt;=6)*(1-(IF(N95="",-1,N95)&gt;=1)*(IF(N95="",-1,N95)&lt;=3))*(1-(IF(N95="",-1,N95)=0)),IF(C95="peso_corporal",IF(ISNUMBER(E95),E95,0)+L95,L95)*(30+M95)*100+L95,0)=AA95,3,IF(IF((J95&gt;=6)*(1-(IF(K95="",-1,K95)&gt;=1)*(IF(K95="",-1,K95)&lt;=3))*(1-(IF(K95="",-1,K95)=0)),IF(C95="peso_corporal",IF(ISNUMBER(E95),E95,0)+I95,I95)*(30+J95)*100+I95,0)=AA95,2,IF(IF((G95&gt;=6)*(1-(IF(H95="",-1,H95)&gt;=1)*(IF(H95="",-1,H95)&lt;=3))*(1-(IF(H95="",-1,H95)=0)),IF(C95="peso_corporal",IF(ISNUMBER(E95),E95,0)+F95,F95)*(30+G95)*100+F95,0)=AA95,1,0))))))</f>
        <v>0</v>
      </c>
      <c r="AC95" s="69" t="str">
        <f>IF(X95&gt;0,"A"&amp;X95,IF(Z95&gt;0,"B"&amp;Z95,IF(AB95&gt;0,"C"&amp;AB95,"")))</f>
        <v/>
      </c>
    </row>
    <row r="96" spans="1:29" ht="20.100000000000001" customHeight="1">
      <c r="A96" s="14" t="s">
        <v>150</v>
      </c>
      <c r="B96" s="15" t="s">
        <v>151</v>
      </c>
      <c r="C96" s="16" t="str">
        <f>IFERROR(INDEX(EJERCICIOS!$D$3:$D$75,MATCH(A96&amp;"|"&amp;B96,EJERCICIOS!$G$3:$G$75,0)),"--")</f>
        <v>peso_corporal</v>
      </c>
      <c r="D96" s="17">
        <v>3</v>
      </c>
      <c r="E96" s="18">
        <f>IFERROR(LOOKUP(2,1/(MEDIDAS_Y_PESO!$B$3:$B$6&lt;&gt;""),MEDIDAS_Y_PESO!$B$3:$B$6),"--")</f>
        <v>80</v>
      </c>
      <c r="F96" s="19"/>
      <c r="G96" s="20"/>
      <c r="H96" s="21"/>
      <c r="I96" s="19"/>
      <c r="J96" s="20"/>
      <c r="K96" s="21"/>
      <c r="L96" s="19"/>
      <c r="M96" s="20"/>
      <c r="N96" s="21"/>
      <c r="O96" s="19"/>
      <c r="P96" s="20"/>
      <c r="Q96" s="21"/>
      <c r="R96" s="19"/>
      <c r="S96" s="20"/>
      <c r="T96" s="21"/>
      <c r="U96" s="22" t="str">
        <f>IFERROR(IF(IF(X96&gt;0,X96,IF(Z96&gt;0,Z96,IF(AB96&gt;0,AB96,0)))=0,"--",ROUND(CHOOSE(IF(X96&gt;0,X96,IF(Z96&gt;0,Z96,IF(AB96&gt;0,AB96,0))),IF(C96="peso_corporal",IF(ISNUMBER(E96),E96,0)+F96,F96)*(1+G96/30),IF(C96="peso_corporal",IF(ISNUMBER(E96),E96,0)+I96,I96)*(1+J96/30),IF(C96="peso_corporal",IF(ISNUMBER(E96),E96,0)+L96,L96)*(1+M96/30),IF(C96="peso_corporal",IF(ISNUMBER(E96),E96,0)+O96,O96)*(1+P96/30),IF(C96="peso_corporal",IF(ISNUMBER(E96),E96,0)+R96,R96)*(1+S96/30)),1)),"--")</f>
        <v>--</v>
      </c>
      <c r="V96" s="23" t="str">
        <f>IF(SUGERENCIAS!N229="SIN","Sin datos anteriores",IF(SUGERENCIAS!N229="SUBIR_F","^ SUBIR FUERTE | Kg:"&amp;ROUND(SUGERENCIAS!K229,1)&amp;" R:"&amp;ROUND(SUGERENCIAS!L229,0)&amp;" RIR:"&amp;ROUND(SUGERENCIAS!M229,0),IF(SUGERENCIAS!N229="SUBIR_E","^ SUBIR (Est.) | Kg:"&amp;ROUND(SUGERENCIAS!K229,1)&amp;" R:"&amp;ROUND(SUGERENCIAS!L229,0)&amp;" RIR:"&amp;ROUND(SUGERENCIAS!M229,0),IF(SUGERENCIAS!N229="SUBIR","^ SUBIR | Kg:"&amp;ROUND(SUGERENCIAS!K229,1)&amp;" R:"&amp;ROUND(SUGERENCIAS!L229,0)&amp;" RIR:"&amp;ROUND(SUGERENCIAS!M229,0),IF(SUGERENCIAS!N229="BAJAR","v BAJAR | Kg:"&amp;ROUND(SUGERENCIAS!K229,1)&amp;" R:"&amp;ROUND(SUGERENCIAS!L229,0)&amp;" RIR:"&amp;ROUND(SUGERENCIAS!M229,0),"= MANT | Kg:"&amp;ROUND(SUGERENCIAS!K229,1)&amp;" R:"&amp;ROUND(SUGERENCIAS!L229,0)&amp;" RIR:"&amp;ROUND(SUGERENCIAS!M229,0))))))</f>
        <v>Sin datos anteriores</v>
      </c>
      <c r="W96" s="69">
        <f>MAX(IF((G96&gt;0)*(IF(H96="",-1,H96)&gt;=1)*(IF(H96="",-1,H96)&lt;=3),IF(C96="peso_corporal",IF(ISNUMBER(E96),E96,0)+F96,F96)*G96*1000+F96,0),IF((J96&gt;0)*(IF(K96="",-1,K96)&gt;=1)*(IF(K96="",-1,K96)&lt;=3),IF(C96="peso_corporal",IF(ISNUMBER(E96),E96,0)+I96,I96)*J96*1000+I96,0),IF((M96&gt;0)*(IF(N96="",-1,N96)&gt;=1)*(IF(N96="",-1,N96)&lt;=3),IF(C96="peso_corporal",IF(ISNUMBER(E96),E96,0)+L96,L96)*M96*1000+L96,0),IF((P96&gt;0)*(IF(Q96="",-1,Q96)&gt;=1)*(IF(Q96="",-1,Q96)&lt;=3),IF(C96="peso_corporal",IF(ISNUMBER(E96),E96,0)+O96,O96)*P96*1000+O96,0),IF((S96&gt;0)*(IF(T96="",-1,T96)&gt;=1)*(IF(T96="",-1,T96)&lt;=3),IF(C96="peso_corporal",IF(ISNUMBER(E96),E96,0)+R96,R96)*S96*1000+R96,0))</f>
        <v>0</v>
      </c>
      <c r="X96" s="69">
        <f>IF(W96=0,0,IF(IF((S96&gt;0)*(IF(T96="",-1,T96)&gt;=1)*(IF(T96="",-1,T96)&lt;=3),IF(C96="peso_corporal",IF(ISNUMBER(E96),E96,0)+R96,R96)*S96*1000+R96,0)=W96,5,IF(IF((P96&gt;0)*(IF(Q96="",-1,Q96)&gt;=1)*(IF(Q96="",-1,Q96)&lt;=3),IF(C96="peso_corporal",IF(ISNUMBER(E96),E96,0)+O96,O96)*P96*1000+O96,0)=W96,4,IF(IF((M96&gt;0)*(IF(N96="",-1,N96)&gt;=1)*(IF(N96="",-1,N96)&lt;=3),IF(C96="peso_corporal",IF(ISNUMBER(E96),E96,0)+L96,L96)*M96*1000+L96,0)=W96,3,IF(IF((J96&gt;0)*(IF(K96="",-1,K96)&gt;=1)*(IF(K96="",-1,K96)&lt;=3),IF(C96="peso_corporal",IF(ISNUMBER(E96),E96,0)+I96,I96)*J96*1000+I96,0)=W96,2,IF(IF((G96&gt;0)*(IF(H96="",-1,H96)&gt;=1)*(IF(H96="",-1,H96)&lt;=3),IF(C96="peso_corporal",IF(ISNUMBER(E96),E96,0)+F96,F96)*G96*1000+F96,0)=W96,1,0))))))</f>
        <v>0</v>
      </c>
      <c r="Y96" s="69">
        <f>MAX(IF((G96&gt;0)*(IF(H96="",-1,H96)=0)*(1-(IF(H96="",-1,H96)&gt;=1)*(IF(H96="",-1,H96)&lt;=3)),IF(C96="peso_corporal",IF(ISNUMBER(E96),E96,0)+F96,F96)*G96*1000+F96,0),IF((J96&gt;0)*(IF(K96="",-1,K96)=0)*(1-(IF(K96="",-1,K96)&gt;=1)*(IF(K96="",-1,K96)&lt;=3)),IF(C96="peso_corporal",IF(ISNUMBER(E96),E96,0)+I96,I96)*J96*1000+I96,0),IF((M96&gt;0)*(IF(N96="",-1,N96)=0)*(1-(IF(N96="",-1,N96)&gt;=1)*(IF(N96="",-1,N96)&lt;=3)),IF(C96="peso_corporal",IF(ISNUMBER(E96),E96,0)+L96,L96)*M96*1000+L96,0),IF((P96&gt;0)*(IF(Q96="",-1,Q96)=0)*(1-(IF(Q96="",-1,Q96)&gt;=1)*(IF(Q96="",-1,Q96)&lt;=3)),IF(C96="peso_corporal",IF(ISNUMBER(E96),E96,0)+O96,O96)*P96*1000+O96,0),IF((S96&gt;0)*(IF(T96="",-1,T96)=0)*(1-(IF(T96="",-1,T96)&gt;=1)*(IF(T96="",-1,T96)&lt;=3)),IF(C96="peso_corporal",IF(ISNUMBER(E96),E96,0)+R96,R96)*S96*1000+R96,0))</f>
        <v>0</v>
      </c>
      <c r="Z96" s="69">
        <f>IF(Y96=0,0,IF(IF((S96&gt;0)*(IF(T96="",-1,T96)=0)*(1-(IF(T96="",-1,T96)&gt;=1)*(IF(T96="",-1,T96)&lt;=3)),IF(C96="peso_corporal",IF(ISNUMBER(E96),E96,0)+R96,R96)*S96*1000+R96,0)=Y96,5,IF(IF((P96&gt;0)*(IF(Q96="",-1,Q96)=0)*(1-(IF(Q96="",-1,Q96)&gt;=1)*(IF(Q96="",-1,Q96)&lt;=3)),IF(C96="peso_corporal",IF(ISNUMBER(E96),E96,0)+O96,O96)*P96*1000+O96,0)=Y96,4,IF(IF((M96&gt;0)*(IF(N96="",-1,N96)=0)*(1-(IF(N96="",-1,N96)&gt;=1)*(IF(N96="",-1,N96)&lt;=3)),IF(C96="peso_corporal",IF(ISNUMBER(E96),E96,0)+L96,L96)*M96*1000+L96,0)=Y96,3,IF(IF((J96&gt;0)*(IF(K96="",-1,K96)=0)*(1-(IF(K96="",-1,K96)&gt;=1)*(IF(K96="",-1,K96)&lt;=3)),IF(C96="peso_corporal",IF(ISNUMBER(E96),E96,0)+I96,I96)*J96*1000+I96,0)=Y96,2,IF(IF((G96&gt;0)*(IF(H96="",-1,H96)=0)*(1-(IF(H96="",-1,H96)&gt;=1)*(IF(H96="",-1,H96)&lt;=3)),IF(C96="peso_corporal",IF(ISNUMBER(E96),E96,0)+F96,F96)*G96*1000+F96,0)=Y96,1,0))))))</f>
        <v>0</v>
      </c>
      <c r="AA96" s="69">
        <f>MAX(IF((G96&gt;=6)*(1-(IF(H96="",-1,H96)&gt;=1)*(IF(H96="",-1,H96)&lt;=3))*(1-(IF(H96="",-1,H96)=0)),IF(C96="peso_corporal",IF(ISNUMBER(E96),E96,0)+F96,F96)*(30+G96)*100+F96,0),IF((J96&gt;=6)*(1-(IF(K96="",-1,K96)&gt;=1)*(IF(K96="",-1,K96)&lt;=3))*(1-(IF(K96="",-1,K96)=0)),IF(C96="peso_corporal",IF(ISNUMBER(E96),E96,0)+I96,I96)*(30+J96)*100+I96,0),IF((M96&gt;=6)*(1-(IF(N96="",-1,N96)&gt;=1)*(IF(N96="",-1,N96)&lt;=3))*(1-(IF(N96="",-1,N96)=0)),IF(C96="peso_corporal",IF(ISNUMBER(E96),E96,0)+L96,L96)*(30+M96)*100+L96,0),IF((P96&gt;=6)*(1-(IF(Q96="",-1,Q96)&gt;=1)*(IF(Q96="",-1,Q96)&lt;=3))*(1-(IF(Q96="",-1,Q96)=0)),IF(C96="peso_corporal",IF(ISNUMBER(E96),E96,0)+O96,O96)*(30+P96)*100+O96,0),IF((S96&gt;=6)*(1-(IF(T96="",-1,T96)&gt;=1)*(IF(T96="",-1,T96)&lt;=3))*(1-(IF(T96="",-1,T96)=0)),IF(C96="peso_corporal",IF(ISNUMBER(E96),E96,0)+R96,R96)*(30+S96)*100+R96,0))</f>
        <v>0</v>
      </c>
      <c r="AB96" s="69">
        <f>IF(AA96=0,0,IF(IF((S96&gt;=6)*(1-(IF(T96="",-1,T96)&gt;=1)*(IF(T96="",-1,T96)&lt;=3))*(1-(IF(T96="",-1,T96)=0)),IF(C96="peso_corporal",IF(ISNUMBER(E96),E96,0)+R96,R96)*(30+S96)*100+R96,0)=AA96,5,IF(IF((P96&gt;=6)*(1-(IF(Q96="",-1,Q96)&gt;=1)*(IF(Q96="",-1,Q96)&lt;=3))*(1-(IF(Q96="",-1,Q96)=0)),IF(C96="peso_corporal",IF(ISNUMBER(E96),E96,0)+O96,O96)*(30+P96)*100+O96,0)=AA96,4,IF(IF((M96&gt;=6)*(1-(IF(N96="",-1,N96)&gt;=1)*(IF(N96="",-1,N96)&lt;=3))*(1-(IF(N96="",-1,N96)=0)),IF(C96="peso_corporal",IF(ISNUMBER(E96),E96,0)+L96,L96)*(30+M96)*100+L96,0)=AA96,3,IF(IF((J96&gt;=6)*(1-(IF(K96="",-1,K96)&gt;=1)*(IF(K96="",-1,K96)&lt;=3))*(1-(IF(K96="",-1,K96)=0)),IF(C96="peso_corporal",IF(ISNUMBER(E96),E96,0)+I96,I96)*(30+J96)*100+I96,0)=AA96,2,IF(IF((G96&gt;=6)*(1-(IF(H96="",-1,H96)&gt;=1)*(IF(H96="",-1,H96)&lt;=3))*(1-(IF(H96="",-1,H96)=0)),IF(C96="peso_corporal",IF(ISNUMBER(E96),E96,0)+F96,F96)*(30+G96)*100+F96,0)=AA96,1,0))))))</f>
        <v>0</v>
      </c>
      <c r="AC96" s="69" t="str">
        <f>IF(X96&gt;0,"A"&amp;X96,IF(Z96&gt;0,"B"&amp;Z96,IF(AB96&gt;0,"C"&amp;AB96,"")))</f>
        <v/>
      </c>
    </row>
    <row r="97" spans="1:29" ht="6" customHeight="1">
      <c r="A97" s="13"/>
      <c r="B97" s="13"/>
      <c r="C97" s="13"/>
      <c r="D97" s="13"/>
      <c r="E97" s="13"/>
      <c r="F97" s="13"/>
      <c r="G97" s="13"/>
      <c r="H97" s="13"/>
      <c r="I97" s="13"/>
      <c r="J97" s="13"/>
      <c r="K97" s="13"/>
      <c r="L97" s="13"/>
      <c r="M97" s="13"/>
      <c r="N97" s="13"/>
      <c r="O97" s="13"/>
      <c r="P97" s="13"/>
      <c r="Q97" s="13"/>
      <c r="R97" s="13"/>
      <c r="S97" s="13"/>
      <c r="T97" s="13"/>
      <c r="U97" s="13"/>
      <c r="V97" s="13"/>
      <c r="W97" s="69"/>
      <c r="X97" s="69"/>
      <c r="Y97" s="69"/>
      <c r="Z97" s="69"/>
      <c r="AA97" s="69"/>
      <c r="AB97" s="69"/>
      <c r="AC97" s="69"/>
    </row>
    <row r="98" spans="1:29" ht="18" customHeight="1">
      <c r="A98" s="85" t="s">
        <v>70</v>
      </c>
      <c r="B98" s="73"/>
      <c r="C98" s="73"/>
      <c r="D98" s="73"/>
      <c r="E98" s="73"/>
      <c r="F98" s="73"/>
      <c r="G98" s="73"/>
      <c r="H98" s="73"/>
      <c r="I98" s="73"/>
      <c r="J98" s="73"/>
      <c r="K98" s="73"/>
      <c r="L98" s="73"/>
      <c r="M98" s="73"/>
      <c r="N98" s="73"/>
      <c r="O98" s="73"/>
      <c r="P98" s="73"/>
      <c r="Q98" s="73"/>
      <c r="R98" s="73"/>
      <c r="S98" s="73"/>
      <c r="T98" s="73"/>
      <c r="U98" s="73"/>
      <c r="V98" s="73"/>
      <c r="W98" s="69"/>
      <c r="X98" s="69"/>
      <c r="Y98" s="69"/>
      <c r="Z98" s="69"/>
      <c r="AA98" s="69"/>
      <c r="AB98" s="69"/>
      <c r="AC98" s="69"/>
    </row>
    <row r="99" spans="1:29" ht="15" customHeight="1">
      <c r="A99" s="88" t="s">
        <v>129</v>
      </c>
      <c r="B99" s="73"/>
      <c r="C99" s="73"/>
      <c r="D99" s="73"/>
      <c r="E99" s="73"/>
      <c r="F99" s="73"/>
      <c r="G99" s="73"/>
      <c r="H99" s="73"/>
      <c r="I99" s="73"/>
      <c r="J99" s="73"/>
      <c r="K99" s="73"/>
      <c r="L99" s="73"/>
      <c r="M99" s="73"/>
      <c r="N99" s="73"/>
      <c r="O99" s="73"/>
      <c r="P99" s="73"/>
      <c r="Q99" s="73"/>
      <c r="R99" s="73"/>
      <c r="S99" s="73"/>
      <c r="T99" s="73"/>
      <c r="U99" s="73"/>
      <c r="V99" s="73"/>
      <c r="W99" s="69"/>
      <c r="X99" s="69"/>
      <c r="Y99" s="69"/>
      <c r="Z99" s="69"/>
      <c r="AA99" s="69"/>
      <c r="AB99" s="69"/>
      <c r="AC99" s="69"/>
    </row>
    <row r="100" spans="1:29" ht="20.100000000000001" customHeight="1">
      <c r="A100" s="14" t="s">
        <v>130</v>
      </c>
      <c r="B100" s="15" t="s">
        <v>131</v>
      </c>
      <c r="C100" s="16" t="str">
        <f>IFERROR(INDEX(EJERCICIOS!$D$3:$D$75,MATCH(A100&amp;"|"&amp;B100,EJERCICIOS!$G$3:$G$75,0)),"--")</f>
        <v>polea</v>
      </c>
      <c r="D100" s="17">
        <v>3</v>
      </c>
      <c r="E100" s="18">
        <f>IFERROR(LOOKUP(2,1/(MEDIDAS_Y_PESO!$B$3:$B$7&lt;&gt;""),MEDIDAS_Y_PESO!$B$3:$B$7),"--")</f>
        <v>80</v>
      </c>
      <c r="F100" s="19"/>
      <c r="G100" s="20"/>
      <c r="H100" s="21"/>
      <c r="I100" s="19"/>
      <c r="J100" s="20"/>
      <c r="K100" s="21"/>
      <c r="L100" s="19"/>
      <c r="M100" s="20"/>
      <c r="N100" s="21"/>
      <c r="O100" s="19"/>
      <c r="P100" s="20"/>
      <c r="Q100" s="21"/>
      <c r="R100" s="19"/>
      <c r="S100" s="20"/>
      <c r="T100" s="21"/>
      <c r="U100" s="22" t="str">
        <f>IFERROR(IF(IF(X100&gt;0,X100,IF(Z100&gt;0,Z100,IF(AB100&gt;0,AB100,0)))=0,"--",ROUND(CHOOSE(IF(X100&gt;0,X100,IF(Z100&gt;0,Z100,IF(AB100&gt;0,AB100,0))),IF(C100="peso_corporal",IF(ISNUMBER(E100),E100,0)+F100,F100)*(1+G100/30),IF(C100="peso_corporal",IF(ISNUMBER(E100),E100,0)+I100,I100)*(1+J100/30),IF(C100="peso_corporal",IF(ISNUMBER(E100),E100,0)+L100,L100)*(1+M100/30),IF(C100="peso_corporal",IF(ISNUMBER(E100),E100,0)+O100,O100)*(1+P100/30),IF(C100="peso_corporal",IF(ISNUMBER(E100),E100,0)+R100,R100)*(1+S100/30)),1)),"--")</f>
        <v>--</v>
      </c>
      <c r="V100" s="23" t="str">
        <f>IF(SUGERENCIAS!N278="SIN","Sin datos anteriores",IF(SUGERENCIAS!N278="SUBIR_F","^ SUBIR FUERTE | Kg:"&amp;ROUND(SUGERENCIAS!K278,1)&amp;" R:"&amp;ROUND(SUGERENCIAS!L278,0)&amp;" RIR:"&amp;ROUND(SUGERENCIAS!M278,0),IF(SUGERENCIAS!N278="SUBIR_E","^ SUBIR (Est.) | Kg:"&amp;ROUND(SUGERENCIAS!K278,1)&amp;" R:"&amp;ROUND(SUGERENCIAS!L278,0)&amp;" RIR:"&amp;ROUND(SUGERENCIAS!M278,0),IF(SUGERENCIAS!N278="SUBIR","^ SUBIR | Kg:"&amp;ROUND(SUGERENCIAS!K278,1)&amp;" R:"&amp;ROUND(SUGERENCIAS!L278,0)&amp;" RIR:"&amp;ROUND(SUGERENCIAS!M278,0),IF(SUGERENCIAS!N278="BAJAR","v BAJAR | Kg:"&amp;ROUND(SUGERENCIAS!K278,1)&amp;" R:"&amp;ROUND(SUGERENCIAS!L278,0)&amp;" RIR:"&amp;ROUND(SUGERENCIAS!M278,0),"= MANT | Kg:"&amp;ROUND(SUGERENCIAS!K278,1)&amp;" R:"&amp;ROUND(SUGERENCIAS!L278,0)&amp;" RIR:"&amp;ROUND(SUGERENCIAS!M278,0))))))</f>
        <v>Sin datos anteriores</v>
      </c>
      <c r="W100" s="69">
        <f>MAX(IF((G100&gt;0)*(IF(H100="",-1,H100)&gt;=1)*(IF(H100="",-1,H100)&lt;=3),IF(C100="peso_corporal",IF(ISNUMBER(E100),E100,0)+F100,F100)*G100*1000+F100,0),IF((J100&gt;0)*(IF(K100="",-1,K100)&gt;=1)*(IF(K100="",-1,K100)&lt;=3),IF(C100="peso_corporal",IF(ISNUMBER(E100),E100,0)+I100,I100)*J100*1000+I100,0),IF((M100&gt;0)*(IF(N100="",-1,N100)&gt;=1)*(IF(N100="",-1,N100)&lt;=3),IF(C100="peso_corporal",IF(ISNUMBER(E100),E100,0)+L100,L100)*M100*1000+L100,0),IF((P100&gt;0)*(IF(Q100="",-1,Q100)&gt;=1)*(IF(Q100="",-1,Q100)&lt;=3),IF(C100="peso_corporal",IF(ISNUMBER(E100),E100,0)+O100,O100)*P100*1000+O100,0),IF((S100&gt;0)*(IF(T100="",-1,T100)&gt;=1)*(IF(T100="",-1,T100)&lt;=3),IF(C100="peso_corporal",IF(ISNUMBER(E100),E100,0)+R100,R100)*S100*1000+R100,0))</f>
        <v>0</v>
      </c>
      <c r="X100" s="69">
        <f>IF(W100=0,0,IF(IF((S100&gt;0)*(IF(T100="",-1,T100)&gt;=1)*(IF(T100="",-1,T100)&lt;=3),IF(C100="peso_corporal",IF(ISNUMBER(E100),E100,0)+R100,R100)*S100*1000+R100,0)=W100,5,IF(IF((P100&gt;0)*(IF(Q100="",-1,Q100)&gt;=1)*(IF(Q100="",-1,Q100)&lt;=3),IF(C100="peso_corporal",IF(ISNUMBER(E100),E100,0)+O100,O100)*P100*1000+O100,0)=W100,4,IF(IF((M100&gt;0)*(IF(N100="",-1,N100)&gt;=1)*(IF(N100="",-1,N100)&lt;=3),IF(C100="peso_corporal",IF(ISNUMBER(E100),E100,0)+L100,L100)*M100*1000+L100,0)=W100,3,IF(IF((J100&gt;0)*(IF(K100="",-1,K100)&gt;=1)*(IF(K100="",-1,K100)&lt;=3),IF(C100="peso_corporal",IF(ISNUMBER(E100),E100,0)+I100,I100)*J100*1000+I100,0)=W100,2,IF(IF((G100&gt;0)*(IF(H100="",-1,H100)&gt;=1)*(IF(H100="",-1,H100)&lt;=3),IF(C100="peso_corporal",IF(ISNUMBER(E100),E100,0)+F100,F100)*G100*1000+F100,0)=W100,1,0))))))</f>
        <v>0</v>
      </c>
      <c r="Y100" s="69">
        <f>MAX(IF((G100&gt;0)*(IF(H100="",-1,H100)=0)*(1-(IF(H100="",-1,H100)&gt;=1)*(IF(H100="",-1,H100)&lt;=3)),IF(C100="peso_corporal",IF(ISNUMBER(E100),E100,0)+F100,F100)*G100*1000+F100,0),IF((J100&gt;0)*(IF(K100="",-1,K100)=0)*(1-(IF(K100="",-1,K100)&gt;=1)*(IF(K100="",-1,K100)&lt;=3)),IF(C100="peso_corporal",IF(ISNUMBER(E100),E100,0)+I100,I100)*J100*1000+I100,0),IF((M100&gt;0)*(IF(N100="",-1,N100)=0)*(1-(IF(N100="",-1,N100)&gt;=1)*(IF(N100="",-1,N100)&lt;=3)),IF(C100="peso_corporal",IF(ISNUMBER(E100),E100,0)+L100,L100)*M100*1000+L100,0),IF((P100&gt;0)*(IF(Q100="",-1,Q100)=0)*(1-(IF(Q100="",-1,Q100)&gt;=1)*(IF(Q100="",-1,Q100)&lt;=3)),IF(C100="peso_corporal",IF(ISNUMBER(E100),E100,0)+O100,O100)*P100*1000+O100,0),IF((S100&gt;0)*(IF(T100="",-1,T100)=0)*(1-(IF(T100="",-1,T100)&gt;=1)*(IF(T100="",-1,T100)&lt;=3)),IF(C100="peso_corporal",IF(ISNUMBER(E100),E100,0)+R100,R100)*S100*1000+R100,0))</f>
        <v>0</v>
      </c>
      <c r="Z100" s="69">
        <f>IF(Y100=0,0,IF(IF((S100&gt;0)*(IF(T100="",-1,T100)=0)*(1-(IF(T100="",-1,T100)&gt;=1)*(IF(T100="",-1,T100)&lt;=3)),IF(C100="peso_corporal",IF(ISNUMBER(E100),E100,0)+R100,R100)*S100*1000+R100,0)=Y100,5,IF(IF((P100&gt;0)*(IF(Q100="",-1,Q100)=0)*(1-(IF(Q100="",-1,Q100)&gt;=1)*(IF(Q100="",-1,Q100)&lt;=3)),IF(C100="peso_corporal",IF(ISNUMBER(E100),E100,0)+O100,O100)*P100*1000+O100,0)=Y100,4,IF(IF((M100&gt;0)*(IF(N100="",-1,N100)=0)*(1-(IF(N100="",-1,N100)&gt;=1)*(IF(N100="",-1,N100)&lt;=3)),IF(C100="peso_corporal",IF(ISNUMBER(E100),E100,0)+L100,L100)*M100*1000+L100,0)=Y100,3,IF(IF((J100&gt;0)*(IF(K100="",-1,K100)=0)*(1-(IF(K100="",-1,K100)&gt;=1)*(IF(K100="",-1,K100)&lt;=3)),IF(C100="peso_corporal",IF(ISNUMBER(E100),E100,0)+I100,I100)*J100*1000+I100,0)=Y100,2,IF(IF((G100&gt;0)*(IF(H100="",-1,H100)=0)*(1-(IF(H100="",-1,H100)&gt;=1)*(IF(H100="",-1,H100)&lt;=3)),IF(C100="peso_corporal",IF(ISNUMBER(E100),E100,0)+F100,F100)*G100*1000+F100,0)=Y100,1,0))))))</f>
        <v>0</v>
      </c>
      <c r="AA100" s="69">
        <f>MAX(IF((G100&gt;=6)*(1-(IF(H100="",-1,H100)&gt;=1)*(IF(H100="",-1,H100)&lt;=3))*(1-(IF(H100="",-1,H100)=0)),IF(C100="peso_corporal",IF(ISNUMBER(E100),E100,0)+F100,F100)*(30+G100)*100+F100,0),IF((J100&gt;=6)*(1-(IF(K100="",-1,K100)&gt;=1)*(IF(K100="",-1,K100)&lt;=3))*(1-(IF(K100="",-1,K100)=0)),IF(C100="peso_corporal",IF(ISNUMBER(E100),E100,0)+I100,I100)*(30+J100)*100+I100,0),IF((M100&gt;=6)*(1-(IF(N100="",-1,N100)&gt;=1)*(IF(N100="",-1,N100)&lt;=3))*(1-(IF(N100="",-1,N100)=0)),IF(C100="peso_corporal",IF(ISNUMBER(E100),E100,0)+L100,L100)*(30+M100)*100+L100,0),IF((P100&gt;=6)*(1-(IF(Q100="",-1,Q100)&gt;=1)*(IF(Q100="",-1,Q100)&lt;=3))*(1-(IF(Q100="",-1,Q100)=0)),IF(C100="peso_corporal",IF(ISNUMBER(E100),E100,0)+O100,O100)*(30+P100)*100+O100,0),IF((S100&gt;=6)*(1-(IF(T100="",-1,T100)&gt;=1)*(IF(T100="",-1,T100)&lt;=3))*(1-(IF(T100="",-1,T100)=0)),IF(C100="peso_corporal",IF(ISNUMBER(E100),E100,0)+R100,R100)*(30+S100)*100+R100,0))</f>
        <v>0</v>
      </c>
      <c r="AB100" s="69">
        <f>IF(AA100=0,0,IF(IF((S100&gt;=6)*(1-(IF(T100="",-1,T100)&gt;=1)*(IF(T100="",-1,T100)&lt;=3))*(1-(IF(T100="",-1,T100)=0)),IF(C100="peso_corporal",IF(ISNUMBER(E100),E100,0)+R100,R100)*(30+S100)*100+R100,0)=AA100,5,IF(IF((P100&gt;=6)*(1-(IF(Q100="",-1,Q100)&gt;=1)*(IF(Q100="",-1,Q100)&lt;=3))*(1-(IF(Q100="",-1,Q100)=0)),IF(C100="peso_corporal",IF(ISNUMBER(E100),E100,0)+O100,O100)*(30+P100)*100+O100,0)=AA100,4,IF(IF((M100&gt;=6)*(1-(IF(N100="",-1,N100)&gt;=1)*(IF(N100="",-1,N100)&lt;=3))*(1-(IF(N100="",-1,N100)=0)),IF(C100="peso_corporal",IF(ISNUMBER(E100),E100,0)+L100,L100)*(30+M100)*100+L100,0)=AA100,3,IF(IF((J100&gt;=6)*(1-(IF(K100="",-1,K100)&gt;=1)*(IF(K100="",-1,K100)&lt;=3))*(1-(IF(K100="",-1,K100)=0)),IF(C100="peso_corporal",IF(ISNUMBER(E100),E100,0)+I100,I100)*(30+J100)*100+I100,0)=AA100,2,IF(IF((G100&gt;=6)*(1-(IF(H100="",-1,H100)&gt;=1)*(IF(H100="",-1,H100)&lt;=3))*(1-(IF(H100="",-1,H100)=0)),IF(C100="peso_corporal",IF(ISNUMBER(E100),E100,0)+F100,F100)*(30+G100)*100+F100,0)=AA100,1,0))))))</f>
        <v>0</v>
      </c>
      <c r="AC100" s="69" t="str">
        <f>IF(X100&gt;0,"A"&amp;X100,IF(Z100&gt;0,"B"&amp;Z100,IF(AB100&gt;0,"C"&amp;AB100,"")))</f>
        <v/>
      </c>
    </row>
    <row r="101" spans="1:29" ht="20.100000000000001" customHeight="1">
      <c r="A101" s="14" t="s">
        <v>130</v>
      </c>
      <c r="B101" s="15" t="s">
        <v>132</v>
      </c>
      <c r="C101" s="16" t="str">
        <f>IFERROR(INDEX(EJERCICIOS!$D$3:$D$75,MATCH(A101&amp;"|"&amp;B101,EJERCICIOS!$G$3:$G$75,0)),"--")</f>
        <v>polea</v>
      </c>
      <c r="D101" s="17">
        <v>3</v>
      </c>
      <c r="E101" s="18">
        <f>IFERROR(LOOKUP(2,1/(MEDIDAS_Y_PESO!$B$3:$B$7&lt;&gt;""),MEDIDAS_Y_PESO!$B$3:$B$7),"--")</f>
        <v>80</v>
      </c>
      <c r="F101" s="19"/>
      <c r="G101" s="20"/>
      <c r="H101" s="21"/>
      <c r="I101" s="19"/>
      <c r="J101" s="20"/>
      <c r="K101" s="21"/>
      <c r="L101" s="19"/>
      <c r="M101" s="20"/>
      <c r="N101" s="21"/>
      <c r="O101" s="19"/>
      <c r="P101" s="20"/>
      <c r="Q101" s="21"/>
      <c r="R101" s="19"/>
      <c r="S101" s="20"/>
      <c r="T101" s="21"/>
      <c r="U101" s="22" t="str">
        <f>IFERROR(IF(IF(X101&gt;0,X101,IF(Z101&gt;0,Z101,IF(AB101&gt;0,AB101,0)))=0,"--",ROUND(CHOOSE(IF(X101&gt;0,X101,IF(Z101&gt;0,Z101,IF(AB101&gt;0,AB101,0))),IF(C101="peso_corporal",IF(ISNUMBER(E101),E101,0)+F101,F101)*(1+G101/30),IF(C101="peso_corporal",IF(ISNUMBER(E101),E101,0)+I101,I101)*(1+J101/30),IF(C101="peso_corporal",IF(ISNUMBER(E101),E101,0)+L101,L101)*(1+M101/30),IF(C101="peso_corporal",IF(ISNUMBER(E101),E101,0)+O101,O101)*(1+P101/30),IF(C101="peso_corporal",IF(ISNUMBER(E101),E101,0)+R101,R101)*(1+S101/30)),1)),"--")</f>
        <v>--</v>
      </c>
      <c r="V101" s="23" t="str">
        <f>IF(SUGERENCIAS!N279="SIN","Sin datos anteriores",IF(SUGERENCIAS!N279="SUBIR_F","^ SUBIR FUERTE | Kg:"&amp;ROUND(SUGERENCIAS!K279,1)&amp;" R:"&amp;ROUND(SUGERENCIAS!L279,0)&amp;" RIR:"&amp;ROUND(SUGERENCIAS!M279,0),IF(SUGERENCIAS!N279="SUBIR_E","^ SUBIR (Est.) | Kg:"&amp;ROUND(SUGERENCIAS!K279,1)&amp;" R:"&amp;ROUND(SUGERENCIAS!L279,0)&amp;" RIR:"&amp;ROUND(SUGERENCIAS!M279,0),IF(SUGERENCIAS!N279="SUBIR","^ SUBIR | Kg:"&amp;ROUND(SUGERENCIAS!K279,1)&amp;" R:"&amp;ROUND(SUGERENCIAS!L279,0)&amp;" RIR:"&amp;ROUND(SUGERENCIAS!M279,0),IF(SUGERENCIAS!N279="BAJAR","v BAJAR | Kg:"&amp;ROUND(SUGERENCIAS!K279,1)&amp;" R:"&amp;ROUND(SUGERENCIAS!L279,0)&amp;" RIR:"&amp;ROUND(SUGERENCIAS!M279,0),"= MANT | Kg:"&amp;ROUND(SUGERENCIAS!K279,1)&amp;" R:"&amp;ROUND(SUGERENCIAS!L279,0)&amp;" RIR:"&amp;ROUND(SUGERENCIAS!M279,0))))))</f>
        <v>Sin datos anteriores</v>
      </c>
      <c r="W101" s="69">
        <f>MAX(IF((G101&gt;0)*(IF(H101="",-1,H101)&gt;=1)*(IF(H101="",-1,H101)&lt;=3),IF(C101="peso_corporal",IF(ISNUMBER(E101),E101,0)+F101,F101)*G101*1000+F101,0),IF((J101&gt;0)*(IF(K101="",-1,K101)&gt;=1)*(IF(K101="",-1,K101)&lt;=3),IF(C101="peso_corporal",IF(ISNUMBER(E101),E101,0)+I101,I101)*J101*1000+I101,0),IF((M101&gt;0)*(IF(N101="",-1,N101)&gt;=1)*(IF(N101="",-1,N101)&lt;=3),IF(C101="peso_corporal",IF(ISNUMBER(E101),E101,0)+L101,L101)*M101*1000+L101,0),IF((P101&gt;0)*(IF(Q101="",-1,Q101)&gt;=1)*(IF(Q101="",-1,Q101)&lt;=3),IF(C101="peso_corporal",IF(ISNUMBER(E101),E101,0)+O101,O101)*P101*1000+O101,0),IF((S101&gt;0)*(IF(T101="",-1,T101)&gt;=1)*(IF(T101="",-1,T101)&lt;=3),IF(C101="peso_corporal",IF(ISNUMBER(E101),E101,0)+R101,R101)*S101*1000+R101,0))</f>
        <v>0</v>
      </c>
      <c r="X101" s="69">
        <f>IF(W101=0,0,IF(IF((S101&gt;0)*(IF(T101="",-1,T101)&gt;=1)*(IF(T101="",-1,T101)&lt;=3),IF(C101="peso_corporal",IF(ISNUMBER(E101),E101,0)+R101,R101)*S101*1000+R101,0)=W101,5,IF(IF((P101&gt;0)*(IF(Q101="",-1,Q101)&gt;=1)*(IF(Q101="",-1,Q101)&lt;=3),IF(C101="peso_corporal",IF(ISNUMBER(E101),E101,0)+O101,O101)*P101*1000+O101,0)=W101,4,IF(IF((M101&gt;0)*(IF(N101="",-1,N101)&gt;=1)*(IF(N101="",-1,N101)&lt;=3),IF(C101="peso_corporal",IF(ISNUMBER(E101),E101,0)+L101,L101)*M101*1000+L101,0)=W101,3,IF(IF((J101&gt;0)*(IF(K101="",-1,K101)&gt;=1)*(IF(K101="",-1,K101)&lt;=3),IF(C101="peso_corporal",IF(ISNUMBER(E101),E101,0)+I101,I101)*J101*1000+I101,0)=W101,2,IF(IF((G101&gt;0)*(IF(H101="",-1,H101)&gt;=1)*(IF(H101="",-1,H101)&lt;=3),IF(C101="peso_corporal",IF(ISNUMBER(E101),E101,0)+F101,F101)*G101*1000+F101,0)=W101,1,0))))))</f>
        <v>0</v>
      </c>
      <c r="Y101" s="69">
        <f>MAX(IF((G101&gt;0)*(IF(H101="",-1,H101)=0)*(1-(IF(H101="",-1,H101)&gt;=1)*(IF(H101="",-1,H101)&lt;=3)),IF(C101="peso_corporal",IF(ISNUMBER(E101),E101,0)+F101,F101)*G101*1000+F101,0),IF((J101&gt;0)*(IF(K101="",-1,K101)=0)*(1-(IF(K101="",-1,K101)&gt;=1)*(IF(K101="",-1,K101)&lt;=3)),IF(C101="peso_corporal",IF(ISNUMBER(E101),E101,0)+I101,I101)*J101*1000+I101,0),IF((M101&gt;0)*(IF(N101="",-1,N101)=0)*(1-(IF(N101="",-1,N101)&gt;=1)*(IF(N101="",-1,N101)&lt;=3)),IF(C101="peso_corporal",IF(ISNUMBER(E101),E101,0)+L101,L101)*M101*1000+L101,0),IF((P101&gt;0)*(IF(Q101="",-1,Q101)=0)*(1-(IF(Q101="",-1,Q101)&gt;=1)*(IF(Q101="",-1,Q101)&lt;=3)),IF(C101="peso_corporal",IF(ISNUMBER(E101),E101,0)+O101,O101)*P101*1000+O101,0),IF((S101&gt;0)*(IF(T101="",-1,T101)=0)*(1-(IF(T101="",-1,T101)&gt;=1)*(IF(T101="",-1,T101)&lt;=3)),IF(C101="peso_corporal",IF(ISNUMBER(E101),E101,0)+R101,R101)*S101*1000+R101,0))</f>
        <v>0</v>
      </c>
      <c r="Z101" s="69">
        <f>IF(Y101=0,0,IF(IF((S101&gt;0)*(IF(T101="",-1,T101)=0)*(1-(IF(T101="",-1,T101)&gt;=1)*(IF(T101="",-1,T101)&lt;=3)),IF(C101="peso_corporal",IF(ISNUMBER(E101),E101,0)+R101,R101)*S101*1000+R101,0)=Y101,5,IF(IF((P101&gt;0)*(IF(Q101="",-1,Q101)=0)*(1-(IF(Q101="",-1,Q101)&gt;=1)*(IF(Q101="",-1,Q101)&lt;=3)),IF(C101="peso_corporal",IF(ISNUMBER(E101),E101,0)+O101,O101)*P101*1000+O101,0)=Y101,4,IF(IF((M101&gt;0)*(IF(N101="",-1,N101)=0)*(1-(IF(N101="",-1,N101)&gt;=1)*(IF(N101="",-1,N101)&lt;=3)),IF(C101="peso_corporal",IF(ISNUMBER(E101),E101,0)+L101,L101)*M101*1000+L101,0)=Y101,3,IF(IF((J101&gt;0)*(IF(K101="",-1,K101)=0)*(1-(IF(K101="",-1,K101)&gt;=1)*(IF(K101="",-1,K101)&lt;=3)),IF(C101="peso_corporal",IF(ISNUMBER(E101),E101,0)+I101,I101)*J101*1000+I101,0)=Y101,2,IF(IF((G101&gt;0)*(IF(H101="",-1,H101)=0)*(1-(IF(H101="",-1,H101)&gt;=1)*(IF(H101="",-1,H101)&lt;=3)),IF(C101="peso_corporal",IF(ISNUMBER(E101),E101,0)+F101,F101)*G101*1000+F101,0)=Y101,1,0))))))</f>
        <v>0</v>
      </c>
      <c r="AA101" s="69">
        <f>MAX(IF((G101&gt;=6)*(1-(IF(H101="",-1,H101)&gt;=1)*(IF(H101="",-1,H101)&lt;=3))*(1-(IF(H101="",-1,H101)=0)),IF(C101="peso_corporal",IF(ISNUMBER(E101),E101,0)+F101,F101)*(30+G101)*100+F101,0),IF((J101&gt;=6)*(1-(IF(K101="",-1,K101)&gt;=1)*(IF(K101="",-1,K101)&lt;=3))*(1-(IF(K101="",-1,K101)=0)),IF(C101="peso_corporal",IF(ISNUMBER(E101),E101,0)+I101,I101)*(30+J101)*100+I101,0),IF((M101&gt;=6)*(1-(IF(N101="",-1,N101)&gt;=1)*(IF(N101="",-1,N101)&lt;=3))*(1-(IF(N101="",-1,N101)=0)),IF(C101="peso_corporal",IF(ISNUMBER(E101),E101,0)+L101,L101)*(30+M101)*100+L101,0),IF((P101&gt;=6)*(1-(IF(Q101="",-1,Q101)&gt;=1)*(IF(Q101="",-1,Q101)&lt;=3))*(1-(IF(Q101="",-1,Q101)=0)),IF(C101="peso_corporal",IF(ISNUMBER(E101),E101,0)+O101,O101)*(30+P101)*100+O101,0),IF((S101&gt;=6)*(1-(IF(T101="",-1,T101)&gt;=1)*(IF(T101="",-1,T101)&lt;=3))*(1-(IF(T101="",-1,T101)=0)),IF(C101="peso_corporal",IF(ISNUMBER(E101),E101,0)+R101,R101)*(30+S101)*100+R101,0))</f>
        <v>0</v>
      </c>
      <c r="AB101" s="69">
        <f>IF(AA101=0,0,IF(IF((S101&gt;=6)*(1-(IF(T101="",-1,T101)&gt;=1)*(IF(T101="",-1,T101)&lt;=3))*(1-(IF(T101="",-1,T101)=0)),IF(C101="peso_corporal",IF(ISNUMBER(E101),E101,0)+R101,R101)*(30+S101)*100+R101,0)=AA101,5,IF(IF((P101&gt;=6)*(1-(IF(Q101="",-1,Q101)&gt;=1)*(IF(Q101="",-1,Q101)&lt;=3))*(1-(IF(Q101="",-1,Q101)=0)),IF(C101="peso_corporal",IF(ISNUMBER(E101),E101,0)+O101,O101)*(30+P101)*100+O101,0)=AA101,4,IF(IF((M101&gt;=6)*(1-(IF(N101="",-1,N101)&gt;=1)*(IF(N101="",-1,N101)&lt;=3))*(1-(IF(N101="",-1,N101)=0)),IF(C101="peso_corporal",IF(ISNUMBER(E101),E101,0)+L101,L101)*(30+M101)*100+L101,0)=AA101,3,IF(IF((J101&gt;=6)*(1-(IF(K101="",-1,K101)&gt;=1)*(IF(K101="",-1,K101)&lt;=3))*(1-(IF(K101="",-1,K101)=0)),IF(C101="peso_corporal",IF(ISNUMBER(E101),E101,0)+I101,I101)*(30+J101)*100+I101,0)=AA101,2,IF(IF((G101&gt;=6)*(1-(IF(H101="",-1,H101)&gt;=1)*(IF(H101="",-1,H101)&lt;=3))*(1-(IF(H101="",-1,H101)=0)),IF(C101="peso_corporal",IF(ISNUMBER(E101),E101,0)+F101,F101)*(30+G101)*100+F101,0)=AA101,1,0))))))</f>
        <v>0</v>
      </c>
      <c r="AC101" s="69" t="str">
        <f>IF(X101&gt;0,"A"&amp;X101,IF(Z101&gt;0,"B"&amp;Z101,IF(AB101&gt;0,"C"&amp;AB101,"")))</f>
        <v/>
      </c>
    </row>
    <row r="102" spans="1:29" ht="20.100000000000001" customHeight="1">
      <c r="A102" s="14" t="s">
        <v>133</v>
      </c>
      <c r="B102" s="15" t="s">
        <v>31</v>
      </c>
      <c r="C102" s="16" t="str">
        <f>IFERROR(INDEX(EJERCICIOS!$D$3:$D$75,MATCH(A102&amp;"|"&amp;B102,EJERCICIOS!$G$3:$G$75,0)),"--")</f>
        <v>mancuerna</v>
      </c>
      <c r="D102" s="17">
        <v>3</v>
      </c>
      <c r="E102" s="18">
        <f>IFERROR(LOOKUP(2,1/(MEDIDAS_Y_PESO!$B$3:$B$7&lt;&gt;""),MEDIDAS_Y_PESO!$B$3:$B$7),"--")</f>
        <v>80</v>
      </c>
      <c r="F102" s="19"/>
      <c r="G102" s="20"/>
      <c r="H102" s="21"/>
      <c r="I102" s="19"/>
      <c r="J102" s="20"/>
      <c r="K102" s="21"/>
      <c r="L102" s="19"/>
      <c r="M102" s="20"/>
      <c r="N102" s="21"/>
      <c r="O102" s="19"/>
      <c r="P102" s="20"/>
      <c r="Q102" s="21"/>
      <c r="R102" s="19"/>
      <c r="S102" s="20"/>
      <c r="T102" s="21"/>
      <c r="U102" s="22" t="str">
        <f>IFERROR(IF(IF(X102&gt;0,X102,IF(Z102&gt;0,Z102,IF(AB102&gt;0,AB102,0)))=0,"--",ROUND(CHOOSE(IF(X102&gt;0,X102,IF(Z102&gt;0,Z102,IF(AB102&gt;0,AB102,0))),IF(C102="peso_corporal",IF(ISNUMBER(E102),E102,0)+F102,F102)*(1+G102/30),IF(C102="peso_corporal",IF(ISNUMBER(E102),E102,0)+I102,I102)*(1+J102/30),IF(C102="peso_corporal",IF(ISNUMBER(E102),E102,0)+L102,L102)*(1+M102/30),IF(C102="peso_corporal",IF(ISNUMBER(E102),E102,0)+O102,O102)*(1+P102/30),IF(C102="peso_corporal",IF(ISNUMBER(E102),E102,0)+R102,R102)*(1+S102/30)),1)),"--")</f>
        <v>--</v>
      </c>
      <c r="V102" s="23" t="str">
        <f>IF(SUGERENCIAS!N280="SIN","Sin datos anteriores",IF(SUGERENCIAS!N280="SUBIR_F","^ SUBIR FUERTE | Kg:"&amp;ROUND(SUGERENCIAS!K280,1)&amp;" R:"&amp;ROUND(SUGERENCIAS!L280,0)&amp;" RIR:"&amp;ROUND(SUGERENCIAS!M280,0),IF(SUGERENCIAS!N280="SUBIR_E","^ SUBIR (Est.) | Kg:"&amp;ROUND(SUGERENCIAS!K280,1)&amp;" R:"&amp;ROUND(SUGERENCIAS!L280,0)&amp;" RIR:"&amp;ROUND(SUGERENCIAS!M280,0),IF(SUGERENCIAS!N280="SUBIR","^ SUBIR | Kg:"&amp;ROUND(SUGERENCIAS!K280,1)&amp;" R:"&amp;ROUND(SUGERENCIAS!L280,0)&amp;" RIR:"&amp;ROUND(SUGERENCIAS!M280,0),IF(SUGERENCIAS!N280="BAJAR","v BAJAR | Kg:"&amp;ROUND(SUGERENCIAS!K280,1)&amp;" R:"&amp;ROUND(SUGERENCIAS!L280,0)&amp;" RIR:"&amp;ROUND(SUGERENCIAS!M280,0),"= MANT | Kg:"&amp;ROUND(SUGERENCIAS!K280,1)&amp;" R:"&amp;ROUND(SUGERENCIAS!L280,0)&amp;" RIR:"&amp;ROUND(SUGERENCIAS!M280,0))))))</f>
        <v>Sin datos anteriores</v>
      </c>
      <c r="W102" s="69">
        <f>MAX(IF((G102&gt;0)*(IF(H102="",-1,H102)&gt;=1)*(IF(H102="",-1,H102)&lt;=3),IF(C102="peso_corporal",IF(ISNUMBER(E102),E102,0)+F102,F102)*G102*1000+F102,0),IF((J102&gt;0)*(IF(K102="",-1,K102)&gt;=1)*(IF(K102="",-1,K102)&lt;=3),IF(C102="peso_corporal",IF(ISNUMBER(E102),E102,0)+I102,I102)*J102*1000+I102,0),IF((M102&gt;0)*(IF(N102="",-1,N102)&gt;=1)*(IF(N102="",-1,N102)&lt;=3),IF(C102="peso_corporal",IF(ISNUMBER(E102),E102,0)+L102,L102)*M102*1000+L102,0),IF((P102&gt;0)*(IF(Q102="",-1,Q102)&gt;=1)*(IF(Q102="",-1,Q102)&lt;=3),IF(C102="peso_corporal",IF(ISNUMBER(E102),E102,0)+O102,O102)*P102*1000+O102,0),IF((S102&gt;0)*(IF(T102="",-1,T102)&gt;=1)*(IF(T102="",-1,T102)&lt;=3),IF(C102="peso_corporal",IF(ISNUMBER(E102),E102,0)+R102,R102)*S102*1000+R102,0))</f>
        <v>0</v>
      </c>
      <c r="X102" s="69">
        <f>IF(W102=0,0,IF(IF((S102&gt;0)*(IF(T102="",-1,T102)&gt;=1)*(IF(T102="",-1,T102)&lt;=3),IF(C102="peso_corporal",IF(ISNUMBER(E102),E102,0)+R102,R102)*S102*1000+R102,0)=W102,5,IF(IF((P102&gt;0)*(IF(Q102="",-1,Q102)&gt;=1)*(IF(Q102="",-1,Q102)&lt;=3),IF(C102="peso_corporal",IF(ISNUMBER(E102),E102,0)+O102,O102)*P102*1000+O102,0)=W102,4,IF(IF((M102&gt;0)*(IF(N102="",-1,N102)&gt;=1)*(IF(N102="",-1,N102)&lt;=3),IF(C102="peso_corporal",IF(ISNUMBER(E102),E102,0)+L102,L102)*M102*1000+L102,0)=W102,3,IF(IF((J102&gt;0)*(IF(K102="",-1,K102)&gt;=1)*(IF(K102="",-1,K102)&lt;=3),IF(C102="peso_corporal",IF(ISNUMBER(E102),E102,0)+I102,I102)*J102*1000+I102,0)=W102,2,IF(IF((G102&gt;0)*(IF(H102="",-1,H102)&gt;=1)*(IF(H102="",-1,H102)&lt;=3),IF(C102="peso_corporal",IF(ISNUMBER(E102),E102,0)+F102,F102)*G102*1000+F102,0)=W102,1,0))))))</f>
        <v>0</v>
      </c>
      <c r="Y102" s="69">
        <f>MAX(IF((G102&gt;0)*(IF(H102="",-1,H102)=0)*(1-(IF(H102="",-1,H102)&gt;=1)*(IF(H102="",-1,H102)&lt;=3)),IF(C102="peso_corporal",IF(ISNUMBER(E102),E102,0)+F102,F102)*G102*1000+F102,0),IF((J102&gt;0)*(IF(K102="",-1,K102)=0)*(1-(IF(K102="",-1,K102)&gt;=1)*(IF(K102="",-1,K102)&lt;=3)),IF(C102="peso_corporal",IF(ISNUMBER(E102),E102,0)+I102,I102)*J102*1000+I102,0),IF((M102&gt;0)*(IF(N102="",-1,N102)=0)*(1-(IF(N102="",-1,N102)&gt;=1)*(IF(N102="",-1,N102)&lt;=3)),IF(C102="peso_corporal",IF(ISNUMBER(E102),E102,0)+L102,L102)*M102*1000+L102,0),IF((P102&gt;0)*(IF(Q102="",-1,Q102)=0)*(1-(IF(Q102="",-1,Q102)&gt;=1)*(IF(Q102="",-1,Q102)&lt;=3)),IF(C102="peso_corporal",IF(ISNUMBER(E102),E102,0)+O102,O102)*P102*1000+O102,0),IF((S102&gt;0)*(IF(T102="",-1,T102)=0)*(1-(IF(T102="",-1,T102)&gt;=1)*(IF(T102="",-1,T102)&lt;=3)),IF(C102="peso_corporal",IF(ISNUMBER(E102),E102,0)+R102,R102)*S102*1000+R102,0))</f>
        <v>0</v>
      </c>
      <c r="Z102" s="69">
        <f>IF(Y102=0,0,IF(IF((S102&gt;0)*(IF(T102="",-1,T102)=0)*(1-(IF(T102="",-1,T102)&gt;=1)*(IF(T102="",-1,T102)&lt;=3)),IF(C102="peso_corporal",IF(ISNUMBER(E102),E102,0)+R102,R102)*S102*1000+R102,0)=Y102,5,IF(IF((P102&gt;0)*(IF(Q102="",-1,Q102)=0)*(1-(IF(Q102="",-1,Q102)&gt;=1)*(IF(Q102="",-1,Q102)&lt;=3)),IF(C102="peso_corporal",IF(ISNUMBER(E102),E102,0)+O102,O102)*P102*1000+O102,0)=Y102,4,IF(IF((M102&gt;0)*(IF(N102="",-1,N102)=0)*(1-(IF(N102="",-1,N102)&gt;=1)*(IF(N102="",-1,N102)&lt;=3)),IF(C102="peso_corporal",IF(ISNUMBER(E102),E102,0)+L102,L102)*M102*1000+L102,0)=Y102,3,IF(IF((J102&gt;0)*(IF(K102="",-1,K102)=0)*(1-(IF(K102="",-1,K102)&gt;=1)*(IF(K102="",-1,K102)&lt;=3)),IF(C102="peso_corporal",IF(ISNUMBER(E102),E102,0)+I102,I102)*J102*1000+I102,0)=Y102,2,IF(IF((G102&gt;0)*(IF(H102="",-1,H102)=0)*(1-(IF(H102="",-1,H102)&gt;=1)*(IF(H102="",-1,H102)&lt;=3)),IF(C102="peso_corporal",IF(ISNUMBER(E102),E102,0)+F102,F102)*G102*1000+F102,0)=Y102,1,0))))))</f>
        <v>0</v>
      </c>
      <c r="AA102" s="69">
        <f>MAX(IF((G102&gt;=6)*(1-(IF(H102="",-1,H102)&gt;=1)*(IF(H102="",-1,H102)&lt;=3))*(1-(IF(H102="",-1,H102)=0)),IF(C102="peso_corporal",IF(ISNUMBER(E102),E102,0)+F102,F102)*(30+G102)*100+F102,0),IF((J102&gt;=6)*(1-(IF(K102="",-1,K102)&gt;=1)*(IF(K102="",-1,K102)&lt;=3))*(1-(IF(K102="",-1,K102)=0)),IF(C102="peso_corporal",IF(ISNUMBER(E102),E102,0)+I102,I102)*(30+J102)*100+I102,0),IF((M102&gt;=6)*(1-(IF(N102="",-1,N102)&gt;=1)*(IF(N102="",-1,N102)&lt;=3))*(1-(IF(N102="",-1,N102)=0)),IF(C102="peso_corporal",IF(ISNUMBER(E102),E102,0)+L102,L102)*(30+M102)*100+L102,0),IF((P102&gt;=6)*(1-(IF(Q102="",-1,Q102)&gt;=1)*(IF(Q102="",-1,Q102)&lt;=3))*(1-(IF(Q102="",-1,Q102)=0)),IF(C102="peso_corporal",IF(ISNUMBER(E102),E102,0)+O102,O102)*(30+P102)*100+O102,0),IF((S102&gt;=6)*(1-(IF(T102="",-1,T102)&gt;=1)*(IF(T102="",-1,T102)&lt;=3))*(1-(IF(T102="",-1,T102)=0)),IF(C102="peso_corporal",IF(ISNUMBER(E102),E102,0)+R102,R102)*(30+S102)*100+R102,0))</f>
        <v>0</v>
      </c>
      <c r="AB102" s="69">
        <f>IF(AA102=0,0,IF(IF((S102&gt;=6)*(1-(IF(T102="",-1,T102)&gt;=1)*(IF(T102="",-1,T102)&lt;=3))*(1-(IF(T102="",-1,T102)=0)),IF(C102="peso_corporal",IF(ISNUMBER(E102),E102,0)+R102,R102)*(30+S102)*100+R102,0)=AA102,5,IF(IF((P102&gt;=6)*(1-(IF(Q102="",-1,Q102)&gt;=1)*(IF(Q102="",-1,Q102)&lt;=3))*(1-(IF(Q102="",-1,Q102)=0)),IF(C102="peso_corporal",IF(ISNUMBER(E102),E102,0)+O102,O102)*(30+P102)*100+O102,0)=AA102,4,IF(IF((M102&gt;=6)*(1-(IF(N102="",-1,N102)&gt;=1)*(IF(N102="",-1,N102)&lt;=3))*(1-(IF(N102="",-1,N102)=0)),IF(C102="peso_corporal",IF(ISNUMBER(E102),E102,0)+L102,L102)*(30+M102)*100+L102,0)=AA102,3,IF(IF((J102&gt;=6)*(1-(IF(K102="",-1,K102)&gt;=1)*(IF(K102="",-1,K102)&lt;=3))*(1-(IF(K102="",-1,K102)=0)),IF(C102="peso_corporal",IF(ISNUMBER(E102),E102,0)+I102,I102)*(30+J102)*100+I102,0)=AA102,2,IF(IF((G102&gt;=6)*(1-(IF(H102="",-1,H102)&gt;=1)*(IF(H102="",-1,H102)&lt;=3))*(1-(IF(H102="",-1,H102)=0)),IF(C102="peso_corporal",IF(ISNUMBER(E102),E102,0)+F102,F102)*(30+G102)*100+F102,0)=AA102,1,0))))))</f>
        <v>0</v>
      </c>
      <c r="AC102" s="69" t="str">
        <f>IF(X102&gt;0,"A"&amp;X102,IF(Z102&gt;0,"B"&amp;Z102,IF(AB102&gt;0,"C"&amp;AB102,"")))</f>
        <v/>
      </c>
    </row>
    <row r="103" spans="1:29" ht="15" customHeight="1">
      <c r="A103" s="88" t="s">
        <v>50</v>
      </c>
      <c r="B103" s="73"/>
      <c r="C103" s="73"/>
      <c r="D103" s="73"/>
      <c r="E103" s="73"/>
      <c r="F103" s="73"/>
      <c r="G103" s="73"/>
      <c r="H103" s="73"/>
      <c r="I103" s="73"/>
      <c r="J103" s="73"/>
      <c r="K103" s="73"/>
      <c r="L103" s="73"/>
      <c r="M103" s="73"/>
      <c r="N103" s="73"/>
      <c r="O103" s="73"/>
      <c r="P103" s="73"/>
      <c r="Q103" s="73"/>
      <c r="R103" s="73"/>
      <c r="S103" s="73"/>
      <c r="T103" s="73"/>
      <c r="U103" s="73"/>
      <c r="V103" s="73"/>
      <c r="W103" s="69"/>
      <c r="X103" s="69"/>
      <c r="Y103" s="69"/>
      <c r="Z103" s="69"/>
      <c r="AA103" s="69"/>
      <c r="AB103" s="69"/>
      <c r="AC103" s="69"/>
    </row>
    <row r="104" spans="1:29" ht="20.100000000000001" customHeight="1">
      <c r="A104" s="14" t="s">
        <v>51</v>
      </c>
      <c r="B104" s="15" t="s">
        <v>134</v>
      </c>
      <c r="C104" s="16" t="str">
        <f>IFERROR(INDEX(EJERCICIOS!$D$3:$D$75,MATCH(A104&amp;"|"&amp;B104,EJERCICIOS!$G$3:$G$75,0)),"--")</f>
        <v>--</v>
      </c>
      <c r="D104" s="17">
        <v>3</v>
      </c>
      <c r="E104" s="18">
        <f>IFERROR(LOOKUP(2,1/(MEDIDAS_Y_PESO!$B$3:$B$7&lt;&gt;""),MEDIDAS_Y_PESO!$B$3:$B$7),"--")</f>
        <v>80</v>
      </c>
      <c r="F104" s="19"/>
      <c r="G104" s="20"/>
      <c r="H104" s="21"/>
      <c r="I104" s="19"/>
      <c r="J104" s="20"/>
      <c r="K104" s="21"/>
      <c r="L104" s="19"/>
      <c r="M104" s="20"/>
      <c r="N104" s="21"/>
      <c r="O104" s="19"/>
      <c r="P104" s="20"/>
      <c r="Q104" s="21"/>
      <c r="R104" s="19"/>
      <c r="S104" s="20"/>
      <c r="T104" s="21"/>
      <c r="U104" s="22" t="str">
        <f>IFERROR(IF(IF(X104&gt;0,X104,IF(Z104&gt;0,Z104,IF(AB104&gt;0,AB104,0)))=0,"--",ROUND(CHOOSE(IF(X104&gt;0,X104,IF(Z104&gt;0,Z104,IF(AB104&gt;0,AB104,0))),IF(C104="peso_corporal",IF(ISNUMBER(E104),E104,0)+F104,F104)*(1+G104/30),IF(C104="peso_corporal",IF(ISNUMBER(E104),E104,0)+I104,I104)*(1+J104/30),IF(C104="peso_corporal",IF(ISNUMBER(E104),E104,0)+L104,L104)*(1+M104/30),IF(C104="peso_corporal",IF(ISNUMBER(E104),E104,0)+O104,O104)*(1+P104/30),IF(C104="peso_corporal",IF(ISNUMBER(E104),E104,0)+R104,R104)*(1+S104/30)),1)),"--")</f>
        <v>--</v>
      </c>
      <c r="V104" s="23" t="str">
        <f>IF(SUGERENCIAS!N281="SIN","Sin datos anteriores",IF(SUGERENCIAS!N281="SUBIR_F","^ SUBIR FUERTE | Kg:"&amp;ROUND(SUGERENCIAS!K281,1)&amp;" R:"&amp;ROUND(SUGERENCIAS!L281,0)&amp;" RIR:"&amp;ROUND(SUGERENCIAS!M281,0),IF(SUGERENCIAS!N281="SUBIR_E","^ SUBIR (Est.) | Kg:"&amp;ROUND(SUGERENCIAS!K281,1)&amp;" R:"&amp;ROUND(SUGERENCIAS!L281,0)&amp;" RIR:"&amp;ROUND(SUGERENCIAS!M281,0),IF(SUGERENCIAS!N281="SUBIR","^ SUBIR | Kg:"&amp;ROUND(SUGERENCIAS!K281,1)&amp;" R:"&amp;ROUND(SUGERENCIAS!L281,0)&amp;" RIR:"&amp;ROUND(SUGERENCIAS!M281,0),IF(SUGERENCIAS!N281="BAJAR","v BAJAR | Kg:"&amp;ROUND(SUGERENCIAS!K281,1)&amp;" R:"&amp;ROUND(SUGERENCIAS!L281,0)&amp;" RIR:"&amp;ROUND(SUGERENCIAS!M281,0),"= MANT | Kg:"&amp;ROUND(SUGERENCIAS!K281,1)&amp;" R:"&amp;ROUND(SUGERENCIAS!L281,0)&amp;" RIR:"&amp;ROUND(SUGERENCIAS!M281,0))))))</f>
        <v>Sin datos anteriores</v>
      </c>
      <c r="W104" s="69">
        <f>MAX(IF((G104&gt;0)*(IF(H104="",-1,H104)&gt;=1)*(IF(H104="",-1,H104)&lt;=3),IF(C104="peso_corporal",IF(ISNUMBER(E104),E104,0)+F104,F104)*G104*1000+F104,0),IF((J104&gt;0)*(IF(K104="",-1,K104)&gt;=1)*(IF(K104="",-1,K104)&lt;=3),IF(C104="peso_corporal",IF(ISNUMBER(E104),E104,0)+I104,I104)*J104*1000+I104,0),IF((M104&gt;0)*(IF(N104="",-1,N104)&gt;=1)*(IF(N104="",-1,N104)&lt;=3),IF(C104="peso_corporal",IF(ISNUMBER(E104),E104,0)+L104,L104)*M104*1000+L104,0),IF((P104&gt;0)*(IF(Q104="",-1,Q104)&gt;=1)*(IF(Q104="",-1,Q104)&lt;=3),IF(C104="peso_corporal",IF(ISNUMBER(E104),E104,0)+O104,O104)*P104*1000+O104,0),IF((S104&gt;0)*(IF(T104="",-1,T104)&gt;=1)*(IF(T104="",-1,T104)&lt;=3),IF(C104="peso_corporal",IF(ISNUMBER(E104),E104,0)+R104,R104)*S104*1000+R104,0))</f>
        <v>0</v>
      </c>
      <c r="X104" s="69">
        <f>IF(W104=0,0,IF(IF((S104&gt;0)*(IF(T104="",-1,T104)&gt;=1)*(IF(T104="",-1,T104)&lt;=3),IF(C104="peso_corporal",IF(ISNUMBER(E104),E104,0)+R104,R104)*S104*1000+R104,0)=W104,5,IF(IF((P104&gt;0)*(IF(Q104="",-1,Q104)&gt;=1)*(IF(Q104="",-1,Q104)&lt;=3),IF(C104="peso_corporal",IF(ISNUMBER(E104),E104,0)+O104,O104)*P104*1000+O104,0)=W104,4,IF(IF((M104&gt;0)*(IF(N104="",-1,N104)&gt;=1)*(IF(N104="",-1,N104)&lt;=3),IF(C104="peso_corporal",IF(ISNUMBER(E104),E104,0)+L104,L104)*M104*1000+L104,0)=W104,3,IF(IF((J104&gt;0)*(IF(K104="",-1,K104)&gt;=1)*(IF(K104="",-1,K104)&lt;=3),IF(C104="peso_corporal",IF(ISNUMBER(E104),E104,0)+I104,I104)*J104*1000+I104,0)=W104,2,IF(IF((G104&gt;0)*(IF(H104="",-1,H104)&gt;=1)*(IF(H104="",-1,H104)&lt;=3),IF(C104="peso_corporal",IF(ISNUMBER(E104),E104,0)+F104,F104)*G104*1000+F104,0)=W104,1,0))))))</f>
        <v>0</v>
      </c>
      <c r="Y104" s="69">
        <f>MAX(IF((G104&gt;0)*(IF(H104="",-1,H104)=0)*(1-(IF(H104="",-1,H104)&gt;=1)*(IF(H104="",-1,H104)&lt;=3)),IF(C104="peso_corporal",IF(ISNUMBER(E104),E104,0)+F104,F104)*G104*1000+F104,0),IF((J104&gt;0)*(IF(K104="",-1,K104)=0)*(1-(IF(K104="",-1,K104)&gt;=1)*(IF(K104="",-1,K104)&lt;=3)),IF(C104="peso_corporal",IF(ISNUMBER(E104),E104,0)+I104,I104)*J104*1000+I104,0),IF((M104&gt;0)*(IF(N104="",-1,N104)=0)*(1-(IF(N104="",-1,N104)&gt;=1)*(IF(N104="",-1,N104)&lt;=3)),IF(C104="peso_corporal",IF(ISNUMBER(E104),E104,0)+L104,L104)*M104*1000+L104,0),IF((P104&gt;0)*(IF(Q104="",-1,Q104)=0)*(1-(IF(Q104="",-1,Q104)&gt;=1)*(IF(Q104="",-1,Q104)&lt;=3)),IF(C104="peso_corporal",IF(ISNUMBER(E104),E104,0)+O104,O104)*P104*1000+O104,0),IF((S104&gt;0)*(IF(T104="",-1,T104)=0)*(1-(IF(T104="",-1,T104)&gt;=1)*(IF(T104="",-1,T104)&lt;=3)),IF(C104="peso_corporal",IF(ISNUMBER(E104),E104,0)+R104,R104)*S104*1000+R104,0))</f>
        <v>0</v>
      </c>
      <c r="Z104" s="69">
        <f>IF(Y104=0,0,IF(IF((S104&gt;0)*(IF(T104="",-1,T104)=0)*(1-(IF(T104="",-1,T104)&gt;=1)*(IF(T104="",-1,T104)&lt;=3)),IF(C104="peso_corporal",IF(ISNUMBER(E104),E104,0)+R104,R104)*S104*1000+R104,0)=Y104,5,IF(IF((P104&gt;0)*(IF(Q104="",-1,Q104)=0)*(1-(IF(Q104="",-1,Q104)&gt;=1)*(IF(Q104="",-1,Q104)&lt;=3)),IF(C104="peso_corporal",IF(ISNUMBER(E104),E104,0)+O104,O104)*P104*1000+O104,0)=Y104,4,IF(IF((M104&gt;0)*(IF(N104="",-1,N104)=0)*(1-(IF(N104="",-1,N104)&gt;=1)*(IF(N104="",-1,N104)&lt;=3)),IF(C104="peso_corporal",IF(ISNUMBER(E104),E104,0)+L104,L104)*M104*1000+L104,0)=Y104,3,IF(IF((J104&gt;0)*(IF(K104="",-1,K104)=0)*(1-(IF(K104="",-1,K104)&gt;=1)*(IF(K104="",-1,K104)&lt;=3)),IF(C104="peso_corporal",IF(ISNUMBER(E104),E104,0)+I104,I104)*J104*1000+I104,0)=Y104,2,IF(IF((G104&gt;0)*(IF(H104="",-1,H104)=0)*(1-(IF(H104="",-1,H104)&gt;=1)*(IF(H104="",-1,H104)&lt;=3)),IF(C104="peso_corporal",IF(ISNUMBER(E104),E104,0)+F104,F104)*G104*1000+F104,0)=Y104,1,0))))))</f>
        <v>0</v>
      </c>
      <c r="AA104" s="69">
        <f>MAX(IF((G104&gt;=6)*(1-(IF(H104="",-1,H104)&gt;=1)*(IF(H104="",-1,H104)&lt;=3))*(1-(IF(H104="",-1,H104)=0)),IF(C104="peso_corporal",IF(ISNUMBER(E104),E104,0)+F104,F104)*(30+G104)*100+F104,0),IF((J104&gt;=6)*(1-(IF(K104="",-1,K104)&gt;=1)*(IF(K104="",-1,K104)&lt;=3))*(1-(IF(K104="",-1,K104)=0)),IF(C104="peso_corporal",IF(ISNUMBER(E104),E104,0)+I104,I104)*(30+J104)*100+I104,0),IF((M104&gt;=6)*(1-(IF(N104="",-1,N104)&gt;=1)*(IF(N104="",-1,N104)&lt;=3))*(1-(IF(N104="",-1,N104)=0)),IF(C104="peso_corporal",IF(ISNUMBER(E104),E104,0)+L104,L104)*(30+M104)*100+L104,0),IF((P104&gt;=6)*(1-(IF(Q104="",-1,Q104)&gt;=1)*(IF(Q104="",-1,Q104)&lt;=3))*(1-(IF(Q104="",-1,Q104)=0)),IF(C104="peso_corporal",IF(ISNUMBER(E104),E104,0)+O104,O104)*(30+P104)*100+O104,0),IF((S104&gt;=6)*(1-(IF(T104="",-1,T104)&gt;=1)*(IF(T104="",-1,T104)&lt;=3))*(1-(IF(T104="",-1,T104)=0)),IF(C104="peso_corporal",IF(ISNUMBER(E104),E104,0)+R104,R104)*(30+S104)*100+R104,0))</f>
        <v>0</v>
      </c>
      <c r="AB104" s="69">
        <f>IF(AA104=0,0,IF(IF((S104&gt;=6)*(1-(IF(T104="",-1,T104)&gt;=1)*(IF(T104="",-1,T104)&lt;=3))*(1-(IF(T104="",-1,T104)=0)),IF(C104="peso_corporal",IF(ISNUMBER(E104),E104,0)+R104,R104)*(30+S104)*100+R104,0)=AA104,5,IF(IF((P104&gt;=6)*(1-(IF(Q104="",-1,Q104)&gt;=1)*(IF(Q104="",-1,Q104)&lt;=3))*(1-(IF(Q104="",-1,Q104)=0)),IF(C104="peso_corporal",IF(ISNUMBER(E104),E104,0)+O104,O104)*(30+P104)*100+O104,0)=AA104,4,IF(IF((M104&gt;=6)*(1-(IF(N104="",-1,N104)&gt;=1)*(IF(N104="",-1,N104)&lt;=3))*(1-(IF(N104="",-1,N104)=0)),IF(C104="peso_corporal",IF(ISNUMBER(E104),E104,0)+L104,L104)*(30+M104)*100+L104,0)=AA104,3,IF(IF((J104&gt;=6)*(1-(IF(K104="",-1,K104)&gt;=1)*(IF(K104="",-1,K104)&lt;=3))*(1-(IF(K104="",-1,K104)=0)),IF(C104="peso_corporal",IF(ISNUMBER(E104),E104,0)+I104,I104)*(30+J104)*100+I104,0)=AA104,2,IF(IF((G104&gt;=6)*(1-(IF(H104="",-1,H104)&gt;=1)*(IF(H104="",-1,H104)&lt;=3))*(1-(IF(H104="",-1,H104)=0)),IF(C104="peso_corporal",IF(ISNUMBER(E104),E104,0)+F104,F104)*(30+G104)*100+F104,0)=AA104,1,0))))))</f>
        <v>0</v>
      </c>
      <c r="AC104" s="69" t="str">
        <f>IF(X104&gt;0,"A"&amp;X104,IF(Z104&gt;0,"B"&amp;Z104,IF(AB104&gt;0,"C"&amp;AB104,"")))</f>
        <v/>
      </c>
    </row>
    <row r="105" spans="1:29" ht="20.100000000000001" customHeight="1">
      <c r="A105" s="14" t="s">
        <v>135</v>
      </c>
      <c r="B105" s="15" t="s">
        <v>136</v>
      </c>
      <c r="C105" s="16" t="str">
        <f>IFERROR(INDEX(EJERCICIOS!$D$3:$D$75,MATCH(A105&amp;"|"&amp;B105,EJERCICIOS!$G$3:$G$75,0)),"--")</f>
        <v>--</v>
      </c>
      <c r="D105" s="17">
        <v>3</v>
      </c>
      <c r="E105" s="18">
        <f>IFERROR(LOOKUP(2,1/(MEDIDAS_Y_PESO!$B$3:$B$7&lt;&gt;""),MEDIDAS_Y_PESO!$B$3:$B$7),"--")</f>
        <v>80</v>
      </c>
      <c r="F105" s="19"/>
      <c r="G105" s="20"/>
      <c r="H105" s="21"/>
      <c r="I105" s="19"/>
      <c r="J105" s="20"/>
      <c r="K105" s="21"/>
      <c r="L105" s="19"/>
      <c r="M105" s="20"/>
      <c r="N105" s="21"/>
      <c r="O105" s="19"/>
      <c r="P105" s="20"/>
      <c r="Q105" s="21"/>
      <c r="R105" s="19"/>
      <c r="S105" s="20"/>
      <c r="T105" s="21"/>
      <c r="U105" s="22" t="str">
        <f>IFERROR(IF(IF(X105&gt;0,X105,IF(Z105&gt;0,Z105,IF(AB105&gt;0,AB105,0)))=0,"--",ROUND(CHOOSE(IF(X105&gt;0,X105,IF(Z105&gt;0,Z105,IF(AB105&gt;0,AB105,0))),IF(C105="peso_corporal",IF(ISNUMBER(E105),E105,0)+F105,F105)*(1+G105/30),IF(C105="peso_corporal",IF(ISNUMBER(E105),E105,0)+I105,I105)*(1+J105/30),IF(C105="peso_corporal",IF(ISNUMBER(E105),E105,0)+L105,L105)*(1+M105/30),IF(C105="peso_corporal",IF(ISNUMBER(E105),E105,0)+O105,O105)*(1+P105/30),IF(C105="peso_corporal",IF(ISNUMBER(E105),E105,0)+R105,R105)*(1+S105/30)),1)),"--")</f>
        <v>--</v>
      </c>
      <c r="V105" s="23" t="str">
        <f>IF(SUGERENCIAS!N282="SIN","Sin datos anteriores",IF(SUGERENCIAS!N282="SUBIR_F","^ SUBIR FUERTE | Kg:"&amp;ROUND(SUGERENCIAS!K282,1)&amp;" R:"&amp;ROUND(SUGERENCIAS!L282,0)&amp;" RIR:"&amp;ROUND(SUGERENCIAS!M282,0),IF(SUGERENCIAS!N282="SUBIR_E","^ SUBIR (Est.) | Kg:"&amp;ROUND(SUGERENCIAS!K282,1)&amp;" R:"&amp;ROUND(SUGERENCIAS!L282,0)&amp;" RIR:"&amp;ROUND(SUGERENCIAS!M282,0),IF(SUGERENCIAS!N282="SUBIR","^ SUBIR | Kg:"&amp;ROUND(SUGERENCIAS!K282,1)&amp;" R:"&amp;ROUND(SUGERENCIAS!L282,0)&amp;" RIR:"&amp;ROUND(SUGERENCIAS!M282,0),IF(SUGERENCIAS!N282="BAJAR","v BAJAR | Kg:"&amp;ROUND(SUGERENCIAS!K282,1)&amp;" R:"&amp;ROUND(SUGERENCIAS!L282,0)&amp;" RIR:"&amp;ROUND(SUGERENCIAS!M282,0),"= MANT | Kg:"&amp;ROUND(SUGERENCIAS!K282,1)&amp;" R:"&amp;ROUND(SUGERENCIAS!L282,0)&amp;" RIR:"&amp;ROUND(SUGERENCIAS!M282,0))))))</f>
        <v>Sin datos anteriores</v>
      </c>
      <c r="W105" s="69">
        <f>MAX(IF((G105&gt;0)*(IF(H105="",-1,H105)&gt;=1)*(IF(H105="",-1,H105)&lt;=3),IF(C105="peso_corporal",IF(ISNUMBER(E105),E105,0)+F105,F105)*G105*1000+F105,0),IF((J105&gt;0)*(IF(K105="",-1,K105)&gt;=1)*(IF(K105="",-1,K105)&lt;=3),IF(C105="peso_corporal",IF(ISNUMBER(E105),E105,0)+I105,I105)*J105*1000+I105,0),IF((M105&gt;0)*(IF(N105="",-1,N105)&gt;=1)*(IF(N105="",-1,N105)&lt;=3),IF(C105="peso_corporal",IF(ISNUMBER(E105),E105,0)+L105,L105)*M105*1000+L105,0),IF((P105&gt;0)*(IF(Q105="",-1,Q105)&gt;=1)*(IF(Q105="",-1,Q105)&lt;=3),IF(C105="peso_corporal",IF(ISNUMBER(E105),E105,0)+O105,O105)*P105*1000+O105,0),IF((S105&gt;0)*(IF(T105="",-1,T105)&gt;=1)*(IF(T105="",-1,T105)&lt;=3),IF(C105="peso_corporal",IF(ISNUMBER(E105),E105,0)+R105,R105)*S105*1000+R105,0))</f>
        <v>0</v>
      </c>
      <c r="X105" s="69">
        <f>IF(W105=0,0,IF(IF((S105&gt;0)*(IF(T105="",-1,T105)&gt;=1)*(IF(T105="",-1,T105)&lt;=3),IF(C105="peso_corporal",IF(ISNUMBER(E105),E105,0)+R105,R105)*S105*1000+R105,0)=W105,5,IF(IF((P105&gt;0)*(IF(Q105="",-1,Q105)&gt;=1)*(IF(Q105="",-1,Q105)&lt;=3),IF(C105="peso_corporal",IF(ISNUMBER(E105),E105,0)+O105,O105)*P105*1000+O105,0)=W105,4,IF(IF((M105&gt;0)*(IF(N105="",-1,N105)&gt;=1)*(IF(N105="",-1,N105)&lt;=3),IF(C105="peso_corporal",IF(ISNUMBER(E105),E105,0)+L105,L105)*M105*1000+L105,0)=W105,3,IF(IF((J105&gt;0)*(IF(K105="",-1,K105)&gt;=1)*(IF(K105="",-1,K105)&lt;=3),IF(C105="peso_corporal",IF(ISNUMBER(E105),E105,0)+I105,I105)*J105*1000+I105,0)=W105,2,IF(IF((G105&gt;0)*(IF(H105="",-1,H105)&gt;=1)*(IF(H105="",-1,H105)&lt;=3),IF(C105="peso_corporal",IF(ISNUMBER(E105),E105,0)+F105,F105)*G105*1000+F105,0)=W105,1,0))))))</f>
        <v>0</v>
      </c>
      <c r="Y105" s="69">
        <f>MAX(IF((G105&gt;0)*(IF(H105="",-1,H105)=0)*(1-(IF(H105="",-1,H105)&gt;=1)*(IF(H105="",-1,H105)&lt;=3)),IF(C105="peso_corporal",IF(ISNUMBER(E105),E105,0)+F105,F105)*G105*1000+F105,0),IF((J105&gt;0)*(IF(K105="",-1,K105)=0)*(1-(IF(K105="",-1,K105)&gt;=1)*(IF(K105="",-1,K105)&lt;=3)),IF(C105="peso_corporal",IF(ISNUMBER(E105),E105,0)+I105,I105)*J105*1000+I105,0),IF((M105&gt;0)*(IF(N105="",-1,N105)=0)*(1-(IF(N105="",-1,N105)&gt;=1)*(IF(N105="",-1,N105)&lt;=3)),IF(C105="peso_corporal",IF(ISNUMBER(E105),E105,0)+L105,L105)*M105*1000+L105,0),IF((P105&gt;0)*(IF(Q105="",-1,Q105)=0)*(1-(IF(Q105="",-1,Q105)&gt;=1)*(IF(Q105="",-1,Q105)&lt;=3)),IF(C105="peso_corporal",IF(ISNUMBER(E105),E105,0)+O105,O105)*P105*1000+O105,0),IF((S105&gt;0)*(IF(T105="",-1,T105)=0)*(1-(IF(T105="",-1,T105)&gt;=1)*(IF(T105="",-1,T105)&lt;=3)),IF(C105="peso_corporal",IF(ISNUMBER(E105),E105,0)+R105,R105)*S105*1000+R105,0))</f>
        <v>0</v>
      </c>
      <c r="Z105" s="69">
        <f>IF(Y105=0,0,IF(IF((S105&gt;0)*(IF(T105="",-1,T105)=0)*(1-(IF(T105="",-1,T105)&gt;=1)*(IF(T105="",-1,T105)&lt;=3)),IF(C105="peso_corporal",IF(ISNUMBER(E105),E105,0)+R105,R105)*S105*1000+R105,0)=Y105,5,IF(IF((P105&gt;0)*(IF(Q105="",-1,Q105)=0)*(1-(IF(Q105="",-1,Q105)&gt;=1)*(IF(Q105="",-1,Q105)&lt;=3)),IF(C105="peso_corporal",IF(ISNUMBER(E105),E105,0)+O105,O105)*P105*1000+O105,0)=Y105,4,IF(IF((M105&gt;0)*(IF(N105="",-1,N105)=0)*(1-(IF(N105="",-1,N105)&gt;=1)*(IF(N105="",-1,N105)&lt;=3)),IF(C105="peso_corporal",IF(ISNUMBER(E105),E105,0)+L105,L105)*M105*1000+L105,0)=Y105,3,IF(IF((J105&gt;0)*(IF(K105="",-1,K105)=0)*(1-(IF(K105="",-1,K105)&gt;=1)*(IF(K105="",-1,K105)&lt;=3)),IF(C105="peso_corporal",IF(ISNUMBER(E105),E105,0)+I105,I105)*J105*1000+I105,0)=Y105,2,IF(IF((G105&gt;0)*(IF(H105="",-1,H105)=0)*(1-(IF(H105="",-1,H105)&gt;=1)*(IF(H105="",-1,H105)&lt;=3)),IF(C105="peso_corporal",IF(ISNUMBER(E105),E105,0)+F105,F105)*G105*1000+F105,0)=Y105,1,0))))))</f>
        <v>0</v>
      </c>
      <c r="AA105" s="69">
        <f>MAX(IF((G105&gt;=6)*(1-(IF(H105="",-1,H105)&gt;=1)*(IF(H105="",-1,H105)&lt;=3))*(1-(IF(H105="",-1,H105)=0)),IF(C105="peso_corporal",IF(ISNUMBER(E105),E105,0)+F105,F105)*(30+G105)*100+F105,0),IF((J105&gt;=6)*(1-(IF(K105="",-1,K105)&gt;=1)*(IF(K105="",-1,K105)&lt;=3))*(1-(IF(K105="",-1,K105)=0)),IF(C105="peso_corporal",IF(ISNUMBER(E105),E105,0)+I105,I105)*(30+J105)*100+I105,0),IF((M105&gt;=6)*(1-(IF(N105="",-1,N105)&gt;=1)*(IF(N105="",-1,N105)&lt;=3))*(1-(IF(N105="",-1,N105)=0)),IF(C105="peso_corporal",IF(ISNUMBER(E105),E105,0)+L105,L105)*(30+M105)*100+L105,0),IF((P105&gt;=6)*(1-(IF(Q105="",-1,Q105)&gt;=1)*(IF(Q105="",-1,Q105)&lt;=3))*(1-(IF(Q105="",-1,Q105)=0)),IF(C105="peso_corporal",IF(ISNUMBER(E105),E105,0)+O105,O105)*(30+P105)*100+O105,0),IF((S105&gt;=6)*(1-(IF(T105="",-1,T105)&gt;=1)*(IF(T105="",-1,T105)&lt;=3))*(1-(IF(T105="",-1,T105)=0)),IF(C105="peso_corporal",IF(ISNUMBER(E105),E105,0)+R105,R105)*(30+S105)*100+R105,0))</f>
        <v>0</v>
      </c>
      <c r="AB105" s="69">
        <f>IF(AA105=0,0,IF(IF((S105&gt;=6)*(1-(IF(T105="",-1,T105)&gt;=1)*(IF(T105="",-1,T105)&lt;=3))*(1-(IF(T105="",-1,T105)=0)),IF(C105="peso_corporal",IF(ISNUMBER(E105),E105,0)+R105,R105)*(30+S105)*100+R105,0)=AA105,5,IF(IF((P105&gt;=6)*(1-(IF(Q105="",-1,Q105)&gt;=1)*(IF(Q105="",-1,Q105)&lt;=3))*(1-(IF(Q105="",-1,Q105)=0)),IF(C105="peso_corporal",IF(ISNUMBER(E105),E105,0)+O105,O105)*(30+P105)*100+O105,0)=AA105,4,IF(IF((M105&gt;=6)*(1-(IF(N105="",-1,N105)&gt;=1)*(IF(N105="",-1,N105)&lt;=3))*(1-(IF(N105="",-1,N105)=0)),IF(C105="peso_corporal",IF(ISNUMBER(E105),E105,0)+L105,L105)*(30+M105)*100+L105,0)=AA105,3,IF(IF((J105&gt;=6)*(1-(IF(K105="",-1,K105)&gt;=1)*(IF(K105="",-1,K105)&lt;=3))*(1-(IF(K105="",-1,K105)=0)),IF(C105="peso_corporal",IF(ISNUMBER(E105),E105,0)+I105,I105)*(30+J105)*100+I105,0)=AA105,2,IF(IF((G105&gt;=6)*(1-(IF(H105="",-1,H105)&gt;=1)*(IF(H105="",-1,H105)&lt;=3))*(1-(IF(H105="",-1,H105)=0)),IF(C105="peso_corporal",IF(ISNUMBER(E105),E105,0)+F105,F105)*(30+G105)*100+F105,0)=AA105,1,0))))))</f>
        <v>0</v>
      </c>
      <c r="AC105" s="69" t="str">
        <f>IF(X105&gt;0,"A"&amp;X105,IF(Z105&gt;0,"B"&amp;Z105,IF(AB105&gt;0,"C"&amp;AB105,"")))</f>
        <v/>
      </c>
    </row>
    <row r="106" spans="1:29" ht="20.100000000000001" customHeight="1">
      <c r="A106" s="14" t="s">
        <v>65</v>
      </c>
      <c r="B106" s="15" t="s">
        <v>66</v>
      </c>
      <c r="C106" s="16" t="str">
        <f>IFERROR(INDEX(EJERCICIOS!$D$3:$D$75,MATCH(A106&amp;"|"&amp;B106,EJERCICIOS!$G$3:$G$75,0)),"--")</f>
        <v>--</v>
      </c>
      <c r="D106" s="17">
        <v>3</v>
      </c>
      <c r="E106" s="18">
        <f>IFERROR(LOOKUP(2,1/(MEDIDAS_Y_PESO!$B$3:$B$7&lt;&gt;""),MEDIDAS_Y_PESO!$B$3:$B$7),"--")</f>
        <v>80</v>
      </c>
      <c r="F106" s="19"/>
      <c r="G106" s="20"/>
      <c r="H106" s="21"/>
      <c r="I106" s="19"/>
      <c r="J106" s="20"/>
      <c r="K106" s="21"/>
      <c r="L106" s="19"/>
      <c r="M106" s="20"/>
      <c r="N106" s="21"/>
      <c r="O106" s="19"/>
      <c r="P106" s="20"/>
      <c r="Q106" s="21"/>
      <c r="R106" s="19"/>
      <c r="S106" s="20"/>
      <c r="T106" s="21"/>
      <c r="U106" s="22" t="str">
        <f>IFERROR(IF(IF(X106&gt;0,X106,IF(Z106&gt;0,Z106,IF(AB106&gt;0,AB106,0)))=0,"--",ROUND(CHOOSE(IF(X106&gt;0,X106,IF(Z106&gt;0,Z106,IF(AB106&gt;0,AB106,0))),IF(C106="peso_corporal",IF(ISNUMBER(E106),E106,0)+F106,F106)*(1+G106/30),IF(C106="peso_corporal",IF(ISNUMBER(E106),E106,0)+I106,I106)*(1+J106/30),IF(C106="peso_corporal",IF(ISNUMBER(E106),E106,0)+L106,L106)*(1+M106/30),IF(C106="peso_corporal",IF(ISNUMBER(E106),E106,0)+O106,O106)*(1+P106/30),IF(C106="peso_corporal",IF(ISNUMBER(E106),E106,0)+R106,R106)*(1+S106/30)),1)),"--")</f>
        <v>--</v>
      </c>
      <c r="V106" s="23" t="str">
        <f>IF(SUGERENCIAS!N283="SIN","Sin datos anteriores",IF(SUGERENCIAS!N283="SUBIR_F","^ SUBIR FUERTE | Kg:"&amp;ROUND(SUGERENCIAS!K283,1)&amp;" R:"&amp;ROUND(SUGERENCIAS!L283,0)&amp;" RIR:"&amp;ROUND(SUGERENCIAS!M283,0),IF(SUGERENCIAS!N283="SUBIR_E","^ SUBIR (Est.) | Kg:"&amp;ROUND(SUGERENCIAS!K283,1)&amp;" R:"&amp;ROUND(SUGERENCIAS!L283,0)&amp;" RIR:"&amp;ROUND(SUGERENCIAS!M283,0),IF(SUGERENCIAS!N283="SUBIR","^ SUBIR | Kg:"&amp;ROUND(SUGERENCIAS!K283,1)&amp;" R:"&amp;ROUND(SUGERENCIAS!L283,0)&amp;" RIR:"&amp;ROUND(SUGERENCIAS!M283,0),IF(SUGERENCIAS!N283="BAJAR","v BAJAR | Kg:"&amp;ROUND(SUGERENCIAS!K283,1)&amp;" R:"&amp;ROUND(SUGERENCIAS!L283,0)&amp;" RIR:"&amp;ROUND(SUGERENCIAS!M283,0),"= MANT | Kg:"&amp;ROUND(SUGERENCIAS!K283,1)&amp;" R:"&amp;ROUND(SUGERENCIAS!L283,0)&amp;" RIR:"&amp;ROUND(SUGERENCIAS!M283,0))))))</f>
        <v>Sin datos anteriores</v>
      </c>
      <c r="W106" s="69">
        <f>MAX(IF((G106&gt;0)*(IF(H106="",-1,H106)&gt;=1)*(IF(H106="",-1,H106)&lt;=3),IF(C106="peso_corporal",IF(ISNUMBER(E106),E106,0)+F106,F106)*G106*1000+F106,0),IF((J106&gt;0)*(IF(K106="",-1,K106)&gt;=1)*(IF(K106="",-1,K106)&lt;=3),IF(C106="peso_corporal",IF(ISNUMBER(E106),E106,0)+I106,I106)*J106*1000+I106,0),IF((M106&gt;0)*(IF(N106="",-1,N106)&gt;=1)*(IF(N106="",-1,N106)&lt;=3),IF(C106="peso_corporal",IF(ISNUMBER(E106),E106,0)+L106,L106)*M106*1000+L106,0),IF((P106&gt;0)*(IF(Q106="",-1,Q106)&gt;=1)*(IF(Q106="",-1,Q106)&lt;=3),IF(C106="peso_corporal",IF(ISNUMBER(E106),E106,0)+O106,O106)*P106*1000+O106,0),IF((S106&gt;0)*(IF(T106="",-1,T106)&gt;=1)*(IF(T106="",-1,T106)&lt;=3),IF(C106="peso_corporal",IF(ISNUMBER(E106),E106,0)+R106,R106)*S106*1000+R106,0))</f>
        <v>0</v>
      </c>
      <c r="X106" s="69">
        <f>IF(W106=0,0,IF(IF((S106&gt;0)*(IF(T106="",-1,T106)&gt;=1)*(IF(T106="",-1,T106)&lt;=3),IF(C106="peso_corporal",IF(ISNUMBER(E106),E106,0)+R106,R106)*S106*1000+R106,0)=W106,5,IF(IF((P106&gt;0)*(IF(Q106="",-1,Q106)&gt;=1)*(IF(Q106="",-1,Q106)&lt;=3),IF(C106="peso_corporal",IF(ISNUMBER(E106),E106,0)+O106,O106)*P106*1000+O106,0)=W106,4,IF(IF((M106&gt;0)*(IF(N106="",-1,N106)&gt;=1)*(IF(N106="",-1,N106)&lt;=3),IF(C106="peso_corporal",IF(ISNUMBER(E106),E106,0)+L106,L106)*M106*1000+L106,0)=W106,3,IF(IF((J106&gt;0)*(IF(K106="",-1,K106)&gt;=1)*(IF(K106="",-1,K106)&lt;=3),IF(C106="peso_corporal",IF(ISNUMBER(E106),E106,0)+I106,I106)*J106*1000+I106,0)=W106,2,IF(IF((G106&gt;0)*(IF(H106="",-1,H106)&gt;=1)*(IF(H106="",-1,H106)&lt;=3),IF(C106="peso_corporal",IF(ISNUMBER(E106),E106,0)+F106,F106)*G106*1000+F106,0)=W106,1,0))))))</f>
        <v>0</v>
      </c>
      <c r="Y106" s="69">
        <f>MAX(IF((G106&gt;0)*(IF(H106="",-1,H106)=0)*(1-(IF(H106="",-1,H106)&gt;=1)*(IF(H106="",-1,H106)&lt;=3)),IF(C106="peso_corporal",IF(ISNUMBER(E106),E106,0)+F106,F106)*G106*1000+F106,0),IF((J106&gt;0)*(IF(K106="",-1,K106)=0)*(1-(IF(K106="",-1,K106)&gt;=1)*(IF(K106="",-1,K106)&lt;=3)),IF(C106="peso_corporal",IF(ISNUMBER(E106),E106,0)+I106,I106)*J106*1000+I106,0),IF((M106&gt;0)*(IF(N106="",-1,N106)=0)*(1-(IF(N106="",-1,N106)&gt;=1)*(IF(N106="",-1,N106)&lt;=3)),IF(C106="peso_corporal",IF(ISNUMBER(E106),E106,0)+L106,L106)*M106*1000+L106,0),IF((P106&gt;0)*(IF(Q106="",-1,Q106)=0)*(1-(IF(Q106="",-1,Q106)&gt;=1)*(IF(Q106="",-1,Q106)&lt;=3)),IF(C106="peso_corporal",IF(ISNUMBER(E106),E106,0)+O106,O106)*P106*1000+O106,0),IF((S106&gt;0)*(IF(T106="",-1,T106)=0)*(1-(IF(T106="",-1,T106)&gt;=1)*(IF(T106="",-1,T106)&lt;=3)),IF(C106="peso_corporal",IF(ISNUMBER(E106),E106,0)+R106,R106)*S106*1000+R106,0))</f>
        <v>0</v>
      </c>
      <c r="Z106" s="69">
        <f>IF(Y106=0,0,IF(IF((S106&gt;0)*(IF(T106="",-1,T106)=0)*(1-(IF(T106="",-1,T106)&gt;=1)*(IF(T106="",-1,T106)&lt;=3)),IF(C106="peso_corporal",IF(ISNUMBER(E106),E106,0)+R106,R106)*S106*1000+R106,0)=Y106,5,IF(IF((P106&gt;0)*(IF(Q106="",-1,Q106)=0)*(1-(IF(Q106="",-1,Q106)&gt;=1)*(IF(Q106="",-1,Q106)&lt;=3)),IF(C106="peso_corporal",IF(ISNUMBER(E106),E106,0)+O106,O106)*P106*1000+O106,0)=Y106,4,IF(IF((M106&gt;0)*(IF(N106="",-1,N106)=0)*(1-(IF(N106="",-1,N106)&gt;=1)*(IF(N106="",-1,N106)&lt;=3)),IF(C106="peso_corporal",IF(ISNUMBER(E106),E106,0)+L106,L106)*M106*1000+L106,0)=Y106,3,IF(IF((J106&gt;0)*(IF(K106="",-1,K106)=0)*(1-(IF(K106="",-1,K106)&gt;=1)*(IF(K106="",-1,K106)&lt;=3)),IF(C106="peso_corporal",IF(ISNUMBER(E106),E106,0)+I106,I106)*J106*1000+I106,0)=Y106,2,IF(IF((G106&gt;0)*(IF(H106="",-1,H106)=0)*(1-(IF(H106="",-1,H106)&gt;=1)*(IF(H106="",-1,H106)&lt;=3)),IF(C106="peso_corporal",IF(ISNUMBER(E106),E106,0)+F106,F106)*G106*1000+F106,0)=Y106,1,0))))))</f>
        <v>0</v>
      </c>
      <c r="AA106" s="69">
        <f>MAX(IF((G106&gt;=6)*(1-(IF(H106="",-1,H106)&gt;=1)*(IF(H106="",-1,H106)&lt;=3))*(1-(IF(H106="",-1,H106)=0)),IF(C106="peso_corporal",IF(ISNUMBER(E106),E106,0)+F106,F106)*(30+G106)*100+F106,0),IF((J106&gt;=6)*(1-(IF(K106="",-1,K106)&gt;=1)*(IF(K106="",-1,K106)&lt;=3))*(1-(IF(K106="",-1,K106)=0)),IF(C106="peso_corporal",IF(ISNUMBER(E106),E106,0)+I106,I106)*(30+J106)*100+I106,0),IF((M106&gt;=6)*(1-(IF(N106="",-1,N106)&gt;=1)*(IF(N106="",-1,N106)&lt;=3))*(1-(IF(N106="",-1,N106)=0)),IF(C106="peso_corporal",IF(ISNUMBER(E106),E106,0)+L106,L106)*(30+M106)*100+L106,0),IF((P106&gt;=6)*(1-(IF(Q106="",-1,Q106)&gt;=1)*(IF(Q106="",-1,Q106)&lt;=3))*(1-(IF(Q106="",-1,Q106)=0)),IF(C106="peso_corporal",IF(ISNUMBER(E106),E106,0)+O106,O106)*(30+P106)*100+O106,0),IF((S106&gt;=6)*(1-(IF(T106="",-1,T106)&gt;=1)*(IF(T106="",-1,T106)&lt;=3))*(1-(IF(T106="",-1,T106)=0)),IF(C106="peso_corporal",IF(ISNUMBER(E106),E106,0)+R106,R106)*(30+S106)*100+R106,0))</f>
        <v>0</v>
      </c>
      <c r="AB106" s="69">
        <f>IF(AA106=0,0,IF(IF((S106&gt;=6)*(1-(IF(T106="",-1,T106)&gt;=1)*(IF(T106="",-1,T106)&lt;=3))*(1-(IF(T106="",-1,T106)=0)),IF(C106="peso_corporal",IF(ISNUMBER(E106),E106,0)+R106,R106)*(30+S106)*100+R106,0)=AA106,5,IF(IF((P106&gt;=6)*(1-(IF(Q106="",-1,Q106)&gt;=1)*(IF(Q106="",-1,Q106)&lt;=3))*(1-(IF(Q106="",-1,Q106)=0)),IF(C106="peso_corporal",IF(ISNUMBER(E106),E106,0)+O106,O106)*(30+P106)*100+O106,0)=AA106,4,IF(IF((M106&gt;=6)*(1-(IF(N106="",-1,N106)&gt;=1)*(IF(N106="",-1,N106)&lt;=3))*(1-(IF(N106="",-1,N106)=0)),IF(C106="peso_corporal",IF(ISNUMBER(E106),E106,0)+L106,L106)*(30+M106)*100+L106,0)=AA106,3,IF(IF((J106&gt;=6)*(1-(IF(K106="",-1,K106)&gt;=1)*(IF(K106="",-1,K106)&lt;=3))*(1-(IF(K106="",-1,K106)=0)),IF(C106="peso_corporal",IF(ISNUMBER(E106),E106,0)+I106,I106)*(30+J106)*100+I106,0)=AA106,2,IF(IF((G106&gt;=6)*(1-(IF(H106="",-1,H106)&gt;=1)*(IF(H106="",-1,H106)&lt;=3))*(1-(IF(H106="",-1,H106)=0)),IF(C106="peso_corporal",IF(ISNUMBER(E106),E106,0)+F106,F106)*(30+G106)*100+F106,0)=AA106,1,0))))))</f>
        <v>0</v>
      </c>
      <c r="AC106" s="69" t="str">
        <f>IF(X106&gt;0,"A"&amp;X106,IF(Z106&gt;0,"B"&amp;Z106,IF(AB106&gt;0,"C"&amp;AB106,"")))</f>
        <v/>
      </c>
    </row>
    <row r="107" spans="1:29" ht="20.100000000000001" customHeight="1">
      <c r="A107" s="14" t="s">
        <v>65</v>
      </c>
      <c r="B107" s="15" t="s">
        <v>137</v>
      </c>
      <c r="C107" s="16" t="str">
        <f>IFERROR(INDEX(EJERCICIOS!$D$3:$D$75,MATCH(A107&amp;"|"&amp;B107,EJERCICIOS!$G$3:$G$75,0)),"--")</f>
        <v>--</v>
      </c>
      <c r="D107" s="17">
        <v>3</v>
      </c>
      <c r="E107" s="18">
        <f>IFERROR(LOOKUP(2,1/(MEDIDAS_Y_PESO!$B$3:$B$7&lt;&gt;""),MEDIDAS_Y_PESO!$B$3:$B$7),"--")</f>
        <v>80</v>
      </c>
      <c r="F107" s="19"/>
      <c r="G107" s="20"/>
      <c r="H107" s="21"/>
      <c r="I107" s="19"/>
      <c r="J107" s="20"/>
      <c r="K107" s="21"/>
      <c r="L107" s="19"/>
      <c r="M107" s="20"/>
      <c r="N107" s="21"/>
      <c r="O107" s="19"/>
      <c r="P107" s="20"/>
      <c r="Q107" s="21"/>
      <c r="R107" s="19"/>
      <c r="S107" s="20"/>
      <c r="T107" s="21"/>
      <c r="U107" s="22" t="str">
        <f>IFERROR(IF(IF(X107&gt;0,X107,IF(Z107&gt;0,Z107,IF(AB107&gt;0,AB107,0)))=0,"--",ROUND(CHOOSE(IF(X107&gt;0,X107,IF(Z107&gt;0,Z107,IF(AB107&gt;0,AB107,0))),IF(C107="peso_corporal",IF(ISNUMBER(E107),E107,0)+F107,F107)*(1+G107/30),IF(C107="peso_corporal",IF(ISNUMBER(E107),E107,0)+I107,I107)*(1+J107/30),IF(C107="peso_corporal",IF(ISNUMBER(E107),E107,0)+L107,L107)*(1+M107/30),IF(C107="peso_corporal",IF(ISNUMBER(E107),E107,0)+O107,O107)*(1+P107/30),IF(C107="peso_corporal",IF(ISNUMBER(E107),E107,0)+R107,R107)*(1+S107/30)),1)),"--")</f>
        <v>--</v>
      </c>
      <c r="V107" s="23" t="str">
        <f>IF(SUGERENCIAS!N284="SIN","Sin datos anteriores",IF(SUGERENCIAS!N284="SUBIR_F","^ SUBIR FUERTE | Kg:"&amp;ROUND(SUGERENCIAS!K284,1)&amp;" R:"&amp;ROUND(SUGERENCIAS!L284,0)&amp;" RIR:"&amp;ROUND(SUGERENCIAS!M284,0),IF(SUGERENCIAS!N284="SUBIR_E","^ SUBIR (Est.) | Kg:"&amp;ROUND(SUGERENCIAS!K284,1)&amp;" R:"&amp;ROUND(SUGERENCIAS!L284,0)&amp;" RIR:"&amp;ROUND(SUGERENCIAS!M284,0),IF(SUGERENCIAS!N284="SUBIR","^ SUBIR | Kg:"&amp;ROUND(SUGERENCIAS!K284,1)&amp;" R:"&amp;ROUND(SUGERENCIAS!L284,0)&amp;" RIR:"&amp;ROUND(SUGERENCIAS!M284,0),IF(SUGERENCIAS!N284="BAJAR","v BAJAR | Kg:"&amp;ROUND(SUGERENCIAS!K284,1)&amp;" R:"&amp;ROUND(SUGERENCIAS!L284,0)&amp;" RIR:"&amp;ROUND(SUGERENCIAS!M284,0),"= MANT | Kg:"&amp;ROUND(SUGERENCIAS!K284,1)&amp;" R:"&amp;ROUND(SUGERENCIAS!L284,0)&amp;" RIR:"&amp;ROUND(SUGERENCIAS!M284,0))))))</f>
        <v>Sin datos anteriores</v>
      </c>
      <c r="W107" s="69">
        <f>MAX(IF((G107&gt;0)*(IF(H107="",-1,H107)&gt;=1)*(IF(H107="",-1,H107)&lt;=3),IF(C107="peso_corporal",IF(ISNUMBER(E107),E107,0)+F107,F107)*G107*1000+F107,0),IF((J107&gt;0)*(IF(K107="",-1,K107)&gt;=1)*(IF(K107="",-1,K107)&lt;=3),IF(C107="peso_corporal",IF(ISNUMBER(E107),E107,0)+I107,I107)*J107*1000+I107,0),IF((M107&gt;0)*(IF(N107="",-1,N107)&gt;=1)*(IF(N107="",-1,N107)&lt;=3),IF(C107="peso_corporal",IF(ISNUMBER(E107),E107,0)+L107,L107)*M107*1000+L107,0),IF((P107&gt;0)*(IF(Q107="",-1,Q107)&gt;=1)*(IF(Q107="",-1,Q107)&lt;=3),IF(C107="peso_corporal",IF(ISNUMBER(E107),E107,0)+O107,O107)*P107*1000+O107,0),IF((S107&gt;0)*(IF(T107="",-1,T107)&gt;=1)*(IF(T107="",-1,T107)&lt;=3),IF(C107="peso_corporal",IF(ISNUMBER(E107),E107,0)+R107,R107)*S107*1000+R107,0))</f>
        <v>0</v>
      </c>
      <c r="X107" s="69">
        <f>IF(W107=0,0,IF(IF((S107&gt;0)*(IF(T107="",-1,T107)&gt;=1)*(IF(T107="",-1,T107)&lt;=3),IF(C107="peso_corporal",IF(ISNUMBER(E107),E107,0)+R107,R107)*S107*1000+R107,0)=W107,5,IF(IF((P107&gt;0)*(IF(Q107="",-1,Q107)&gt;=1)*(IF(Q107="",-1,Q107)&lt;=3),IF(C107="peso_corporal",IF(ISNUMBER(E107),E107,0)+O107,O107)*P107*1000+O107,0)=W107,4,IF(IF((M107&gt;0)*(IF(N107="",-1,N107)&gt;=1)*(IF(N107="",-1,N107)&lt;=3),IF(C107="peso_corporal",IF(ISNUMBER(E107),E107,0)+L107,L107)*M107*1000+L107,0)=W107,3,IF(IF((J107&gt;0)*(IF(K107="",-1,K107)&gt;=1)*(IF(K107="",-1,K107)&lt;=3),IF(C107="peso_corporal",IF(ISNUMBER(E107),E107,0)+I107,I107)*J107*1000+I107,0)=W107,2,IF(IF((G107&gt;0)*(IF(H107="",-1,H107)&gt;=1)*(IF(H107="",-1,H107)&lt;=3),IF(C107="peso_corporal",IF(ISNUMBER(E107),E107,0)+F107,F107)*G107*1000+F107,0)=W107,1,0))))))</f>
        <v>0</v>
      </c>
      <c r="Y107" s="69">
        <f>MAX(IF((G107&gt;0)*(IF(H107="",-1,H107)=0)*(1-(IF(H107="",-1,H107)&gt;=1)*(IF(H107="",-1,H107)&lt;=3)),IF(C107="peso_corporal",IF(ISNUMBER(E107),E107,0)+F107,F107)*G107*1000+F107,0),IF((J107&gt;0)*(IF(K107="",-1,K107)=0)*(1-(IF(K107="",-1,K107)&gt;=1)*(IF(K107="",-1,K107)&lt;=3)),IF(C107="peso_corporal",IF(ISNUMBER(E107),E107,0)+I107,I107)*J107*1000+I107,0),IF((M107&gt;0)*(IF(N107="",-1,N107)=0)*(1-(IF(N107="",-1,N107)&gt;=1)*(IF(N107="",-1,N107)&lt;=3)),IF(C107="peso_corporal",IF(ISNUMBER(E107),E107,0)+L107,L107)*M107*1000+L107,0),IF((P107&gt;0)*(IF(Q107="",-1,Q107)=0)*(1-(IF(Q107="",-1,Q107)&gt;=1)*(IF(Q107="",-1,Q107)&lt;=3)),IF(C107="peso_corporal",IF(ISNUMBER(E107),E107,0)+O107,O107)*P107*1000+O107,0),IF((S107&gt;0)*(IF(T107="",-1,T107)=0)*(1-(IF(T107="",-1,T107)&gt;=1)*(IF(T107="",-1,T107)&lt;=3)),IF(C107="peso_corporal",IF(ISNUMBER(E107),E107,0)+R107,R107)*S107*1000+R107,0))</f>
        <v>0</v>
      </c>
      <c r="Z107" s="69">
        <f>IF(Y107=0,0,IF(IF((S107&gt;0)*(IF(T107="",-1,T107)=0)*(1-(IF(T107="",-1,T107)&gt;=1)*(IF(T107="",-1,T107)&lt;=3)),IF(C107="peso_corporal",IF(ISNUMBER(E107),E107,0)+R107,R107)*S107*1000+R107,0)=Y107,5,IF(IF((P107&gt;0)*(IF(Q107="",-1,Q107)=0)*(1-(IF(Q107="",-1,Q107)&gt;=1)*(IF(Q107="",-1,Q107)&lt;=3)),IF(C107="peso_corporal",IF(ISNUMBER(E107),E107,0)+O107,O107)*P107*1000+O107,0)=Y107,4,IF(IF((M107&gt;0)*(IF(N107="",-1,N107)=0)*(1-(IF(N107="",-1,N107)&gt;=1)*(IF(N107="",-1,N107)&lt;=3)),IF(C107="peso_corporal",IF(ISNUMBER(E107),E107,0)+L107,L107)*M107*1000+L107,0)=Y107,3,IF(IF((J107&gt;0)*(IF(K107="",-1,K107)=0)*(1-(IF(K107="",-1,K107)&gt;=1)*(IF(K107="",-1,K107)&lt;=3)),IF(C107="peso_corporal",IF(ISNUMBER(E107),E107,0)+I107,I107)*J107*1000+I107,0)=Y107,2,IF(IF((G107&gt;0)*(IF(H107="",-1,H107)=0)*(1-(IF(H107="",-1,H107)&gt;=1)*(IF(H107="",-1,H107)&lt;=3)),IF(C107="peso_corporal",IF(ISNUMBER(E107),E107,0)+F107,F107)*G107*1000+F107,0)=Y107,1,0))))))</f>
        <v>0</v>
      </c>
      <c r="AA107" s="69">
        <f>MAX(IF((G107&gt;=6)*(1-(IF(H107="",-1,H107)&gt;=1)*(IF(H107="",-1,H107)&lt;=3))*(1-(IF(H107="",-1,H107)=0)),IF(C107="peso_corporal",IF(ISNUMBER(E107),E107,0)+F107,F107)*(30+G107)*100+F107,0),IF((J107&gt;=6)*(1-(IF(K107="",-1,K107)&gt;=1)*(IF(K107="",-1,K107)&lt;=3))*(1-(IF(K107="",-1,K107)=0)),IF(C107="peso_corporal",IF(ISNUMBER(E107),E107,0)+I107,I107)*(30+J107)*100+I107,0),IF((M107&gt;=6)*(1-(IF(N107="",-1,N107)&gt;=1)*(IF(N107="",-1,N107)&lt;=3))*(1-(IF(N107="",-1,N107)=0)),IF(C107="peso_corporal",IF(ISNUMBER(E107),E107,0)+L107,L107)*(30+M107)*100+L107,0),IF((P107&gt;=6)*(1-(IF(Q107="",-1,Q107)&gt;=1)*(IF(Q107="",-1,Q107)&lt;=3))*(1-(IF(Q107="",-1,Q107)=0)),IF(C107="peso_corporal",IF(ISNUMBER(E107),E107,0)+O107,O107)*(30+P107)*100+O107,0),IF((S107&gt;=6)*(1-(IF(T107="",-1,T107)&gt;=1)*(IF(T107="",-1,T107)&lt;=3))*(1-(IF(T107="",-1,T107)=0)),IF(C107="peso_corporal",IF(ISNUMBER(E107),E107,0)+R107,R107)*(30+S107)*100+R107,0))</f>
        <v>0</v>
      </c>
      <c r="AB107" s="69">
        <f>IF(AA107=0,0,IF(IF((S107&gt;=6)*(1-(IF(T107="",-1,T107)&gt;=1)*(IF(T107="",-1,T107)&lt;=3))*(1-(IF(T107="",-1,T107)=0)),IF(C107="peso_corporal",IF(ISNUMBER(E107),E107,0)+R107,R107)*(30+S107)*100+R107,0)=AA107,5,IF(IF((P107&gt;=6)*(1-(IF(Q107="",-1,Q107)&gt;=1)*(IF(Q107="",-1,Q107)&lt;=3))*(1-(IF(Q107="",-1,Q107)=0)),IF(C107="peso_corporal",IF(ISNUMBER(E107),E107,0)+O107,O107)*(30+P107)*100+O107,0)=AA107,4,IF(IF((M107&gt;=6)*(1-(IF(N107="",-1,N107)&gt;=1)*(IF(N107="",-1,N107)&lt;=3))*(1-(IF(N107="",-1,N107)=0)),IF(C107="peso_corporal",IF(ISNUMBER(E107),E107,0)+L107,L107)*(30+M107)*100+L107,0)=AA107,3,IF(IF((J107&gt;=6)*(1-(IF(K107="",-1,K107)&gt;=1)*(IF(K107="",-1,K107)&lt;=3))*(1-(IF(K107="",-1,K107)=0)),IF(C107="peso_corporal",IF(ISNUMBER(E107),E107,0)+I107,I107)*(30+J107)*100+I107,0)=AA107,2,IF(IF((G107&gt;=6)*(1-(IF(H107="",-1,H107)&gt;=1)*(IF(H107="",-1,H107)&lt;=3))*(1-(IF(H107="",-1,H107)=0)),IF(C107="peso_corporal",IF(ISNUMBER(E107),E107,0)+F107,F107)*(30+G107)*100+F107,0)=AA107,1,0))))))</f>
        <v>0</v>
      </c>
      <c r="AC107" s="69" t="str">
        <f>IF(X107&gt;0,"A"&amp;X107,IF(Z107&gt;0,"B"&amp;Z107,IF(AB107&gt;0,"C"&amp;AB107,"")))</f>
        <v/>
      </c>
    </row>
    <row r="108" spans="1:29" ht="15" customHeight="1">
      <c r="A108" s="89" t="s">
        <v>138</v>
      </c>
      <c r="B108" s="73"/>
      <c r="C108" s="73"/>
      <c r="D108" s="73"/>
      <c r="E108" s="73"/>
      <c r="F108" s="73"/>
      <c r="G108" s="73"/>
      <c r="H108" s="73"/>
      <c r="I108" s="73"/>
      <c r="J108" s="73"/>
      <c r="K108" s="73"/>
      <c r="L108" s="73"/>
      <c r="M108" s="73"/>
      <c r="N108" s="73"/>
      <c r="O108" s="73"/>
      <c r="P108" s="73"/>
      <c r="Q108" s="73"/>
      <c r="R108" s="73"/>
      <c r="S108" s="73"/>
      <c r="T108" s="73"/>
      <c r="U108" s="73"/>
      <c r="V108" s="73"/>
      <c r="W108" s="69"/>
      <c r="X108" s="69"/>
      <c r="Y108" s="69"/>
      <c r="Z108" s="69"/>
      <c r="AA108" s="69"/>
      <c r="AB108" s="69"/>
      <c r="AC108" s="69"/>
    </row>
    <row r="109" spans="1:29" ht="20.100000000000001" customHeight="1">
      <c r="A109" s="14" t="s">
        <v>139</v>
      </c>
      <c r="B109" s="15" t="s">
        <v>140</v>
      </c>
      <c r="C109" s="16" t="str">
        <f>IFERROR(INDEX(EJERCICIOS!$D$3:$D$75,MATCH(A109&amp;"|"&amp;B109,EJERCICIOS!$G$3:$G$75,0)),"--")</f>
        <v>disco</v>
      </c>
      <c r="D109" s="17">
        <v>3</v>
      </c>
      <c r="E109" s="18">
        <f>IFERROR(LOOKUP(2,1/(MEDIDAS_Y_PESO!$B$3:$B$7&lt;&gt;""),MEDIDAS_Y_PESO!$B$3:$B$7),"--")</f>
        <v>80</v>
      </c>
      <c r="F109" s="19"/>
      <c r="G109" s="20"/>
      <c r="H109" s="21"/>
      <c r="I109" s="19"/>
      <c r="J109" s="20"/>
      <c r="K109" s="21"/>
      <c r="L109" s="19"/>
      <c r="M109" s="20"/>
      <c r="N109" s="21"/>
      <c r="O109" s="19"/>
      <c r="P109" s="20"/>
      <c r="Q109" s="21"/>
      <c r="R109" s="19"/>
      <c r="S109" s="20"/>
      <c r="T109" s="21"/>
      <c r="U109" s="22" t="str">
        <f>IFERROR(IF(IF(X109&gt;0,X109,IF(Z109&gt;0,Z109,IF(AB109&gt;0,AB109,0)))=0,"--",ROUND(CHOOSE(IF(X109&gt;0,X109,IF(Z109&gt;0,Z109,IF(AB109&gt;0,AB109,0))),IF(C109="peso_corporal",IF(ISNUMBER(E109),E109,0)+F109,F109)*(1+G109/30),IF(C109="peso_corporal",IF(ISNUMBER(E109),E109,0)+I109,I109)*(1+J109/30),IF(C109="peso_corporal",IF(ISNUMBER(E109),E109,0)+L109,L109)*(1+M109/30),IF(C109="peso_corporal",IF(ISNUMBER(E109),E109,0)+O109,O109)*(1+P109/30),IF(C109="peso_corporal",IF(ISNUMBER(E109),E109,0)+R109,R109)*(1+S109/30)),1)),"--")</f>
        <v>--</v>
      </c>
      <c r="V109" s="23" t="str">
        <f>IF(SUGERENCIAS!N285="SIN","Sin datos anteriores",IF(SUGERENCIAS!N285="SUBIR_F","^ SUBIR FUERTE | Kg:"&amp;ROUND(SUGERENCIAS!K285,1)&amp;" R:"&amp;ROUND(SUGERENCIAS!L285,0)&amp;" RIR:"&amp;ROUND(SUGERENCIAS!M285,0),IF(SUGERENCIAS!N285="SUBIR_E","^ SUBIR (Est.) | Kg:"&amp;ROUND(SUGERENCIAS!K285,1)&amp;" R:"&amp;ROUND(SUGERENCIAS!L285,0)&amp;" RIR:"&amp;ROUND(SUGERENCIAS!M285,0),IF(SUGERENCIAS!N285="SUBIR","^ SUBIR | Kg:"&amp;ROUND(SUGERENCIAS!K285,1)&amp;" R:"&amp;ROUND(SUGERENCIAS!L285,0)&amp;" RIR:"&amp;ROUND(SUGERENCIAS!M285,0),IF(SUGERENCIAS!N285="BAJAR","v BAJAR | Kg:"&amp;ROUND(SUGERENCIAS!K285,1)&amp;" R:"&amp;ROUND(SUGERENCIAS!L285,0)&amp;" RIR:"&amp;ROUND(SUGERENCIAS!M285,0),"= MANT | Kg:"&amp;ROUND(SUGERENCIAS!K285,1)&amp;" R:"&amp;ROUND(SUGERENCIAS!L285,0)&amp;" RIR:"&amp;ROUND(SUGERENCIAS!M285,0))))))</f>
        <v>Sin datos anteriores</v>
      </c>
      <c r="W109" s="69">
        <f>MAX(IF((G109&gt;0)*(IF(H109="",-1,H109)&gt;=1)*(IF(H109="",-1,H109)&lt;=3),IF(C109="peso_corporal",IF(ISNUMBER(E109),E109,0)+F109,F109)*G109*1000+F109,0),IF((J109&gt;0)*(IF(K109="",-1,K109)&gt;=1)*(IF(K109="",-1,K109)&lt;=3),IF(C109="peso_corporal",IF(ISNUMBER(E109),E109,0)+I109,I109)*J109*1000+I109,0),IF((M109&gt;0)*(IF(N109="",-1,N109)&gt;=1)*(IF(N109="",-1,N109)&lt;=3),IF(C109="peso_corporal",IF(ISNUMBER(E109),E109,0)+L109,L109)*M109*1000+L109,0),IF((P109&gt;0)*(IF(Q109="",-1,Q109)&gt;=1)*(IF(Q109="",-1,Q109)&lt;=3),IF(C109="peso_corporal",IF(ISNUMBER(E109),E109,0)+O109,O109)*P109*1000+O109,0),IF((S109&gt;0)*(IF(T109="",-1,T109)&gt;=1)*(IF(T109="",-1,T109)&lt;=3),IF(C109="peso_corporal",IF(ISNUMBER(E109),E109,0)+R109,R109)*S109*1000+R109,0))</f>
        <v>0</v>
      </c>
      <c r="X109" s="69">
        <f>IF(W109=0,0,IF(IF((S109&gt;0)*(IF(T109="",-1,T109)&gt;=1)*(IF(T109="",-1,T109)&lt;=3),IF(C109="peso_corporal",IF(ISNUMBER(E109),E109,0)+R109,R109)*S109*1000+R109,0)=W109,5,IF(IF((P109&gt;0)*(IF(Q109="",-1,Q109)&gt;=1)*(IF(Q109="",-1,Q109)&lt;=3),IF(C109="peso_corporal",IF(ISNUMBER(E109),E109,0)+O109,O109)*P109*1000+O109,0)=W109,4,IF(IF((M109&gt;0)*(IF(N109="",-1,N109)&gt;=1)*(IF(N109="",-1,N109)&lt;=3),IF(C109="peso_corporal",IF(ISNUMBER(E109),E109,0)+L109,L109)*M109*1000+L109,0)=W109,3,IF(IF((J109&gt;0)*(IF(K109="",-1,K109)&gt;=1)*(IF(K109="",-1,K109)&lt;=3),IF(C109="peso_corporal",IF(ISNUMBER(E109),E109,0)+I109,I109)*J109*1000+I109,0)=W109,2,IF(IF((G109&gt;0)*(IF(H109="",-1,H109)&gt;=1)*(IF(H109="",-1,H109)&lt;=3),IF(C109="peso_corporal",IF(ISNUMBER(E109),E109,0)+F109,F109)*G109*1000+F109,0)=W109,1,0))))))</f>
        <v>0</v>
      </c>
      <c r="Y109" s="69">
        <f>MAX(IF((G109&gt;0)*(IF(H109="",-1,H109)=0)*(1-(IF(H109="",-1,H109)&gt;=1)*(IF(H109="",-1,H109)&lt;=3)),IF(C109="peso_corporal",IF(ISNUMBER(E109),E109,0)+F109,F109)*G109*1000+F109,0),IF((J109&gt;0)*(IF(K109="",-1,K109)=0)*(1-(IF(K109="",-1,K109)&gt;=1)*(IF(K109="",-1,K109)&lt;=3)),IF(C109="peso_corporal",IF(ISNUMBER(E109),E109,0)+I109,I109)*J109*1000+I109,0),IF((M109&gt;0)*(IF(N109="",-1,N109)=0)*(1-(IF(N109="",-1,N109)&gt;=1)*(IF(N109="",-1,N109)&lt;=3)),IF(C109="peso_corporal",IF(ISNUMBER(E109),E109,0)+L109,L109)*M109*1000+L109,0),IF((P109&gt;0)*(IF(Q109="",-1,Q109)=0)*(1-(IF(Q109="",-1,Q109)&gt;=1)*(IF(Q109="",-1,Q109)&lt;=3)),IF(C109="peso_corporal",IF(ISNUMBER(E109),E109,0)+O109,O109)*P109*1000+O109,0),IF((S109&gt;0)*(IF(T109="",-1,T109)=0)*(1-(IF(T109="",-1,T109)&gt;=1)*(IF(T109="",-1,T109)&lt;=3)),IF(C109="peso_corporal",IF(ISNUMBER(E109),E109,0)+R109,R109)*S109*1000+R109,0))</f>
        <v>0</v>
      </c>
      <c r="Z109" s="69">
        <f>IF(Y109=0,0,IF(IF((S109&gt;0)*(IF(T109="",-1,T109)=0)*(1-(IF(T109="",-1,T109)&gt;=1)*(IF(T109="",-1,T109)&lt;=3)),IF(C109="peso_corporal",IF(ISNUMBER(E109),E109,0)+R109,R109)*S109*1000+R109,0)=Y109,5,IF(IF((P109&gt;0)*(IF(Q109="",-1,Q109)=0)*(1-(IF(Q109="",-1,Q109)&gt;=1)*(IF(Q109="",-1,Q109)&lt;=3)),IF(C109="peso_corporal",IF(ISNUMBER(E109),E109,0)+O109,O109)*P109*1000+O109,0)=Y109,4,IF(IF((M109&gt;0)*(IF(N109="",-1,N109)=0)*(1-(IF(N109="",-1,N109)&gt;=1)*(IF(N109="",-1,N109)&lt;=3)),IF(C109="peso_corporal",IF(ISNUMBER(E109),E109,0)+L109,L109)*M109*1000+L109,0)=Y109,3,IF(IF((J109&gt;0)*(IF(K109="",-1,K109)=0)*(1-(IF(K109="",-1,K109)&gt;=1)*(IF(K109="",-1,K109)&lt;=3)),IF(C109="peso_corporal",IF(ISNUMBER(E109),E109,0)+I109,I109)*J109*1000+I109,0)=Y109,2,IF(IF((G109&gt;0)*(IF(H109="",-1,H109)=0)*(1-(IF(H109="",-1,H109)&gt;=1)*(IF(H109="",-1,H109)&lt;=3)),IF(C109="peso_corporal",IF(ISNUMBER(E109),E109,0)+F109,F109)*G109*1000+F109,0)=Y109,1,0))))))</f>
        <v>0</v>
      </c>
      <c r="AA109" s="69">
        <f>MAX(IF((G109&gt;=6)*(1-(IF(H109="",-1,H109)&gt;=1)*(IF(H109="",-1,H109)&lt;=3))*(1-(IF(H109="",-1,H109)=0)),IF(C109="peso_corporal",IF(ISNUMBER(E109),E109,0)+F109,F109)*(30+G109)*100+F109,0),IF((J109&gt;=6)*(1-(IF(K109="",-1,K109)&gt;=1)*(IF(K109="",-1,K109)&lt;=3))*(1-(IF(K109="",-1,K109)=0)),IF(C109="peso_corporal",IF(ISNUMBER(E109),E109,0)+I109,I109)*(30+J109)*100+I109,0),IF((M109&gt;=6)*(1-(IF(N109="",-1,N109)&gt;=1)*(IF(N109="",-1,N109)&lt;=3))*(1-(IF(N109="",-1,N109)=0)),IF(C109="peso_corporal",IF(ISNUMBER(E109),E109,0)+L109,L109)*(30+M109)*100+L109,0),IF((P109&gt;=6)*(1-(IF(Q109="",-1,Q109)&gt;=1)*(IF(Q109="",-1,Q109)&lt;=3))*(1-(IF(Q109="",-1,Q109)=0)),IF(C109="peso_corporal",IF(ISNUMBER(E109),E109,0)+O109,O109)*(30+P109)*100+O109,0),IF((S109&gt;=6)*(1-(IF(T109="",-1,T109)&gt;=1)*(IF(T109="",-1,T109)&lt;=3))*(1-(IF(T109="",-1,T109)=0)),IF(C109="peso_corporal",IF(ISNUMBER(E109),E109,0)+R109,R109)*(30+S109)*100+R109,0))</f>
        <v>0</v>
      </c>
      <c r="AB109" s="69">
        <f>IF(AA109=0,0,IF(IF((S109&gt;=6)*(1-(IF(T109="",-1,T109)&gt;=1)*(IF(T109="",-1,T109)&lt;=3))*(1-(IF(T109="",-1,T109)=0)),IF(C109="peso_corporal",IF(ISNUMBER(E109),E109,0)+R109,R109)*(30+S109)*100+R109,0)=AA109,5,IF(IF((P109&gt;=6)*(1-(IF(Q109="",-1,Q109)&gt;=1)*(IF(Q109="",-1,Q109)&lt;=3))*(1-(IF(Q109="",-1,Q109)=0)),IF(C109="peso_corporal",IF(ISNUMBER(E109),E109,0)+O109,O109)*(30+P109)*100+O109,0)=AA109,4,IF(IF((M109&gt;=6)*(1-(IF(N109="",-1,N109)&gt;=1)*(IF(N109="",-1,N109)&lt;=3))*(1-(IF(N109="",-1,N109)=0)),IF(C109="peso_corporal",IF(ISNUMBER(E109),E109,0)+L109,L109)*(30+M109)*100+L109,0)=AA109,3,IF(IF((J109&gt;=6)*(1-(IF(K109="",-1,K109)&gt;=1)*(IF(K109="",-1,K109)&lt;=3))*(1-(IF(K109="",-1,K109)=0)),IF(C109="peso_corporal",IF(ISNUMBER(E109),E109,0)+I109,I109)*(30+J109)*100+I109,0)=AA109,2,IF(IF((G109&gt;=6)*(1-(IF(H109="",-1,H109)&gt;=1)*(IF(H109="",-1,H109)&lt;=3))*(1-(IF(H109="",-1,H109)=0)),IF(C109="peso_corporal",IF(ISNUMBER(E109),E109,0)+F109,F109)*(30+G109)*100+F109,0)=AA109,1,0))))))</f>
        <v>0</v>
      </c>
      <c r="AC109" s="69" t="str">
        <f>IF(X109&gt;0,"A"&amp;X109,IF(Z109&gt;0,"B"&amp;Z109,IF(AB109&gt;0,"C"&amp;AB109,"")))</f>
        <v/>
      </c>
    </row>
    <row r="110" spans="1:29" ht="20.100000000000001" customHeight="1">
      <c r="A110" s="14" t="s">
        <v>139</v>
      </c>
      <c r="B110" s="15" t="s">
        <v>141</v>
      </c>
      <c r="C110" s="16" t="str">
        <f>IFERROR(INDEX(EJERCICIOS!$D$3:$D$75,MATCH(A110&amp;"|"&amp;B110,EJERCICIOS!$G$3:$G$75,0)),"--")</f>
        <v>disco</v>
      </c>
      <c r="D110" s="17">
        <v>3</v>
      </c>
      <c r="E110" s="18">
        <f>IFERROR(LOOKUP(2,1/(MEDIDAS_Y_PESO!$B$3:$B$7&lt;&gt;""),MEDIDAS_Y_PESO!$B$3:$B$7),"--")</f>
        <v>80</v>
      </c>
      <c r="F110" s="19"/>
      <c r="G110" s="20"/>
      <c r="H110" s="21"/>
      <c r="I110" s="19"/>
      <c r="J110" s="20"/>
      <c r="K110" s="21"/>
      <c r="L110" s="19"/>
      <c r="M110" s="20"/>
      <c r="N110" s="21"/>
      <c r="O110" s="19"/>
      <c r="P110" s="20"/>
      <c r="Q110" s="21"/>
      <c r="R110" s="19"/>
      <c r="S110" s="20"/>
      <c r="T110" s="21"/>
      <c r="U110" s="22" t="str">
        <f>IFERROR(IF(IF(X110&gt;0,X110,IF(Z110&gt;0,Z110,IF(AB110&gt;0,AB110,0)))=0,"--",ROUND(CHOOSE(IF(X110&gt;0,X110,IF(Z110&gt;0,Z110,IF(AB110&gt;0,AB110,0))),IF(C110="peso_corporal",IF(ISNUMBER(E110),E110,0)+F110,F110)*(1+G110/30),IF(C110="peso_corporal",IF(ISNUMBER(E110),E110,0)+I110,I110)*(1+J110/30),IF(C110="peso_corporal",IF(ISNUMBER(E110),E110,0)+L110,L110)*(1+M110/30),IF(C110="peso_corporal",IF(ISNUMBER(E110),E110,0)+O110,O110)*(1+P110/30),IF(C110="peso_corporal",IF(ISNUMBER(E110),E110,0)+R110,R110)*(1+S110/30)),1)),"--")</f>
        <v>--</v>
      </c>
      <c r="V110" s="23" t="str">
        <f>IF(SUGERENCIAS!N286="SIN","Sin datos anteriores",IF(SUGERENCIAS!N286="SUBIR_F","^ SUBIR FUERTE | Kg:"&amp;ROUND(SUGERENCIAS!K286,1)&amp;" R:"&amp;ROUND(SUGERENCIAS!L286,0)&amp;" RIR:"&amp;ROUND(SUGERENCIAS!M286,0),IF(SUGERENCIAS!N286="SUBIR_E","^ SUBIR (Est.) | Kg:"&amp;ROUND(SUGERENCIAS!K286,1)&amp;" R:"&amp;ROUND(SUGERENCIAS!L286,0)&amp;" RIR:"&amp;ROUND(SUGERENCIAS!M286,0),IF(SUGERENCIAS!N286="SUBIR","^ SUBIR | Kg:"&amp;ROUND(SUGERENCIAS!K286,1)&amp;" R:"&amp;ROUND(SUGERENCIAS!L286,0)&amp;" RIR:"&amp;ROUND(SUGERENCIAS!M286,0),IF(SUGERENCIAS!N286="BAJAR","v BAJAR | Kg:"&amp;ROUND(SUGERENCIAS!K286,1)&amp;" R:"&amp;ROUND(SUGERENCIAS!L286,0)&amp;" RIR:"&amp;ROUND(SUGERENCIAS!M286,0),"= MANT | Kg:"&amp;ROUND(SUGERENCIAS!K286,1)&amp;" R:"&amp;ROUND(SUGERENCIAS!L286,0)&amp;" RIR:"&amp;ROUND(SUGERENCIAS!M286,0))))))</f>
        <v>Sin datos anteriores</v>
      </c>
      <c r="W110" s="69">
        <f>MAX(IF((G110&gt;0)*(IF(H110="",-1,H110)&gt;=1)*(IF(H110="",-1,H110)&lt;=3),IF(C110="peso_corporal",IF(ISNUMBER(E110),E110,0)+F110,F110)*G110*1000+F110,0),IF((J110&gt;0)*(IF(K110="",-1,K110)&gt;=1)*(IF(K110="",-1,K110)&lt;=3),IF(C110="peso_corporal",IF(ISNUMBER(E110),E110,0)+I110,I110)*J110*1000+I110,0),IF((M110&gt;0)*(IF(N110="",-1,N110)&gt;=1)*(IF(N110="",-1,N110)&lt;=3),IF(C110="peso_corporal",IF(ISNUMBER(E110),E110,0)+L110,L110)*M110*1000+L110,0),IF((P110&gt;0)*(IF(Q110="",-1,Q110)&gt;=1)*(IF(Q110="",-1,Q110)&lt;=3),IF(C110="peso_corporal",IF(ISNUMBER(E110),E110,0)+O110,O110)*P110*1000+O110,0),IF((S110&gt;0)*(IF(T110="",-1,T110)&gt;=1)*(IF(T110="",-1,T110)&lt;=3),IF(C110="peso_corporal",IF(ISNUMBER(E110),E110,0)+R110,R110)*S110*1000+R110,0))</f>
        <v>0</v>
      </c>
      <c r="X110" s="69">
        <f>IF(W110=0,0,IF(IF((S110&gt;0)*(IF(T110="",-1,T110)&gt;=1)*(IF(T110="",-1,T110)&lt;=3),IF(C110="peso_corporal",IF(ISNUMBER(E110),E110,0)+R110,R110)*S110*1000+R110,0)=W110,5,IF(IF((P110&gt;0)*(IF(Q110="",-1,Q110)&gt;=1)*(IF(Q110="",-1,Q110)&lt;=3),IF(C110="peso_corporal",IF(ISNUMBER(E110),E110,0)+O110,O110)*P110*1000+O110,0)=W110,4,IF(IF((M110&gt;0)*(IF(N110="",-1,N110)&gt;=1)*(IF(N110="",-1,N110)&lt;=3),IF(C110="peso_corporal",IF(ISNUMBER(E110),E110,0)+L110,L110)*M110*1000+L110,0)=W110,3,IF(IF((J110&gt;0)*(IF(K110="",-1,K110)&gt;=1)*(IF(K110="",-1,K110)&lt;=3),IF(C110="peso_corporal",IF(ISNUMBER(E110),E110,0)+I110,I110)*J110*1000+I110,0)=W110,2,IF(IF((G110&gt;0)*(IF(H110="",-1,H110)&gt;=1)*(IF(H110="",-1,H110)&lt;=3),IF(C110="peso_corporal",IF(ISNUMBER(E110),E110,0)+F110,F110)*G110*1000+F110,0)=W110,1,0))))))</f>
        <v>0</v>
      </c>
      <c r="Y110" s="69">
        <f>MAX(IF((G110&gt;0)*(IF(H110="",-1,H110)=0)*(1-(IF(H110="",-1,H110)&gt;=1)*(IF(H110="",-1,H110)&lt;=3)),IF(C110="peso_corporal",IF(ISNUMBER(E110),E110,0)+F110,F110)*G110*1000+F110,0),IF((J110&gt;0)*(IF(K110="",-1,K110)=0)*(1-(IF(K110="",-1,K110)&gt;=1)*(IF(K110="",-1,K110)&lt;=3)),IF(C110="peso_corporal",IF(ISNUMBER(E110),E110,0)+I110,I110)*J110*1000+I110,0),IF((M110&gt;0)*(IF(N110="",-1,N110)=0)*(1-(IF(N110="",-1,N110)&gt;=1)*(IF(N110="",-1,N110)&lt;=3)),IF(C110="peso_corporal",IF(ISNUMBER(E110),E110,0)+L110,L110)*M110*1000+L110,0),IF((P110&gt;0)*(IF(Q110="",-1,Q110)=0)*(1-(IF(Q110="",-1,Q110)&gt;=1)*(IF(Q110="",-1,Q110)&lt;=3)),IF(C110="peso_corporal",IF(ISNUMBER(E110),E110,0)+O110,O110)*P110*1000+O110,0),IF((S110&gt;0)*(IF(T110="",-1,T110)=0)*(1-(IF(T110="",-1,T110)&gt;=1)*(IF(T110="",-1,T110)&lt;=3)),IF(C110="peso_corporal",IF(ISNUMBER(E110),E110,0)+R110,R110)*S110*1000+R110,0))</f>
        <v>0</v>
      </c>
      <c r="Z110" s="69">
        <f>IF(Y110=0,0,IF(IF((S110&gt;0)*(IF(T110="",-1,T110)=0)*(1-(IF(T110="",-1,T110)&gt;=1)*(IF(T110="",-1,T110)&lt;=3)),IF(C110="peso_corporal",IF(ISNUMBER(E110),E110,0)+R110,R110)*S110*1000+R110,0)=Y110,5,IF(IF((P110&gt;0)*(IF(Q110="",-1,Q110)=0)*(1-(IF(Q110="",-1,Q110)&gt;=1)*(IF(Q110="",-1,Q110)&lt;=3)),IF(C110="peso_corporal",IF(ISNUMBER(E110),E110,0)+O110,O110)*P110*1000+O110,0)=Y110,4,IF(IF((M110&gt;0)*(IF(N110="",-1,N110)=0)*(1-(IF(N110="",-1,N110)&gt;=1)*(IF(N110="",-1,N110)&lt;=3)),IF(C110="peso_corporal",IF(ISNUMBER(E110),E110,0)+L110,L110)*M110*1000+L110,0)=Y110,3,IF(IF((J110&gt;0)*(IF(K110="",-1,K110)=0)*(1-(IF(K110="",-1,K110)&gt;=1)*(IF(K110="",-1,K110)&lt;=3)),IF(C110="peso_corporal",IF(ISNUMBER(E110),E110,0)+I110,I110)*J110*1000+I110,0)=Y110,2,IF(IF((G110&gt;0)*(IF(H110="",-1,H110)=0)*(1-(IF(H110="",-1,H110)&gt;=1)*(IF(H110="",-1,H110)&lt;=3)),IF(C110="peso_corporal",IF(ISNUMBER(E110),E110,0)+F110,F110)*G110*1000+F110,0)=Y110,1,0))))))</f>
        <v>0</v>
      </c>
      <c r="AA110" s="69">
        <f>MAX(IF((G110&gt;=6)*(1-(IF(H110="",-1,H110)&gt;=1)*(IF(H110="",-1,H110)&lt;=3))*(1-(IF(H110="",-1,H110)=0)),IF(C110="peso_corporal",IF(ISNUMBER(E110),E110,0)+F110,F110)*(30+G110)*100+F110,0),IF((J110&gt;=6)*(1-(IF(K110="",-1,K110)&gt;=1)*(IF(K110="",-1,K110)&lt;=3))*(1-(IF(K110="",-1,K110)=0)),IF(C110="peso_corporal",IF(ISNUMBER(E110),E110,0)+I110,I110)*(30+J110)*100+I110,0),IF((M110&gt;=6)*(1-(IF(N110="",-1,N110)&gt;=1)*(IF(N110="",-1,N110)&lt;=3))*(1-(IF(N110="",-1,N110)=0)),IF(C110="peso_corporal",IF(ISNUMBER(E110),E110,0)+L110,L110)*(30+M110)*100+L110,0),IF((P110&gt;=6)*(1-(IF(Q110="",-1,Q110)&gt;=1)*(IF(Q110="",-1,Q110)&lt;=3))*(1-(IF(Q110="",-1,Q110)=0)),IF(C110="peso_corporal",IF(ISNUMBER(E110),E110,0)+O110,O110)*(30+P110)*100+O110,0),IF((S110&gt;=6)*(1-(IF(T110="",-1,T110)&gt;=1)*(IF(T110="",-1,T110)&lt;=3))*(1-(IF(T110="",-1,T110)=0)),IF(C110="peso_corporal",IF(ISNUMBER(E110),E110,0)+R110,R110)*(30+S110)*100+R110,0))</f>
        <v>0</v>
      </c>
      <c r="AB110" s="69">
        <f>IF(AA110=0,0,IF(IF((S110&gt;=6)*(1-(IF(T110="",-1,T110)&gt;=1)*(IF(T110="",-1,T110)&lt;=3))*(1-(IF(T110="",-1,T110)=0)),IF(C110="peso_corporal",IF(ISNUMBER(E110),E110,0)+R110,R110)*(30+S110)*100+R110,0)=AA110,5,IF(IF((P110&gt;=6)*(1-(IF(Q110="",-1,Q110)&gt;=1)*(IF(Q110="",-1,Q110)&lt;=3))*(1-(IF(Q110="",-1,Q110)=0)),IF(C110="peso_corporal",IF(ISNUMBER(E110),E110,0)+O110,O110)*(30+P110)*100+O110,0)=AA110,4,IF(IF((M110&gt;=6)*(1-(IF(N110="",-1,N110)&gt;=1)*(IF(N110="",-1,N110)&lt;=3))*(1-(IF(N110="",-1,N110)=0)),IF(C110="peso_corporal",IF(ISNUMBER(E110),E110,0)+L110,L110)*(30+M110)*100+L110,0)=AA110,3,IF(IF((J110&gt;=6)*(1-(IF(K110="",-1,K110)&gt;=1)*(IF(K110="",-1,K110)&lt;=3))*(1-(IF(K110="",-1,K110)=0)),IF(C110="peso_corporal",IF(ISNUMBER(E110),E110,0)+I110,I110)*(30+J110)*100+I110,0)=AA110,2,IF(IF((G110&gt;=6)*(1-(IF(H110="",-1,H110)&gt;=1)*(IF(H110="",-1,H110)&lt;=3))*(1-(IF(H110="",-1,H110)=0)),IF(C110="peso_corporal",IF(ISNUMBER(E110),E110,0)+F110,F110)*(30+G110)*100+F110,0)=AA110,1,0))))))</f>
        <v>0</v>
      </c>
      <c r="AC110" s="69" t="str">
        <f>IF(X110&gt;0,"A"&amp;X110,IF(Z110&gt;0,"B"&amp;Z110,IF(AB110&gt;0,"C"&amp;AB110,"")))</f>
        <v/>
      </c>
    </row>
    <row r="111" spans="1:29" ht="15" customHeight="1">
      <c r="A111" s="90" t="s">
        <v>142</v>
      </c>
      <c r="B111" s="73"/>
      <c r="C111" s="73"/>
      <c r="D111" s="73"/>
      <c r="E111" s="73"/>
      <c r="F111" s="73"/>
      <c r="G111" s="73"/>
      <c r="H111" s="73"/>
      <c r="I111" s="73"/>
      <c r="J111" s="73"/>
      <c r="K111" s="73"/>
      <c r="L111" s="73"/>
      <c r="M111" s="73"/>
      <c r="N111" s="73"/>
      <c r="O111" s="73"/>
      <c r="P111" s="73"/>
      <c r="Q111" s="73"/>
      <c r="R111" s="73"/>
      <c r="S111" s="73"/>
      <c r="T111" s="73"/>
      <c r="U111" s="73"/>
      <c r="V111" s="73"/>
      <c r="W111" s="69"/>
      <c r="X111" s="69"/>
      <c r="Y111" s="69"/>
      <c r="Z111" s="69"/>
      <c r="AA111" s="69"/>
      <c r="AB111" s="69"/>
      <c r="AC111" s="69"/>
    </row>
    <row r="112" spans="1:29" ht="20.100000000000001" customHeight="1">
      <c r="A112" s="14" t="s">
        <v>24</v>
      </c>
      <c r="B112" s="15" t="s">
        <v>143</v>
      </c>
      <c r="C112" s="16" t="str">
        <f>IFERROR(INDEX(EJERCICIOS!$D$3:$D$75,MATCH(A112&amp;"|"&amp;B112,EJERCICIOS!$G$3:$G$75,0)),"--")</f>
        <v>peso_corporal</v>
      </c>
      <c r="D112" s="17">
        <v>3</v>
      </c>
      <c r="E112" s="18">
        <f>IFERROR(LOOKUP(2,1/(MEDIDAS_Y_PESO!$B$3:$B$7&lt;&gt;""),MEDIDAS_Y_PESO!$B$3:$B$7),"--")</f>
        <v>80</v>
      </c>
      <c r="F112" s="19"/>
      <c r="G112" s="20"/>
      <c r="H112" s="21"/>
      <c r="I112" s="19"/>
      <c r="J112" s="20"/>
      <c r="K112" s="21"/>
      <c r="L112" s="19"/>
      <c r="M112" s="20"/>
      <c r="N112" s="21"/>
      <c r="O112" s="19"/>
      <c r="P112" s="20"/>
      <c r="Q112" s="21"/>
      <c r="R112" s="19"/>
      <c r="S112" s="20"/>
      <c r="T112" s="21"/>
      <c r="U112" s="22" t="str">
        <f>IFERROR(IF(IF(X112&gt;0,X112,IF(Z112&gt;0,Z112,IF(AB112&gt;0,AB112,0)))=0,"--",ROUND(CHOOSE(IF(X112&gt;0,X112,IF(Z112&gt;0,Z112,IF(AB112&gt;0,AB112,0))),IF(C112="peso_corporal",IF(ISNUMBER(E112),E112,0)+F112,F112)*(1+G112/30),IF(C112="peso_corporal",IF(ISNUMBER(E112),E112,0)+I112,I112)*(1+J112/30),IF(C112="peso_corporal",IF(ISNUMBER(E112),E112,0)+L112,L112)*(1+M112/30),IF(C112="peso_corporal",IF(ISNUMBER(E112),E112,0)+O112,O112)*(1+P112/30),IF(C112="peso_corporal",IF(ISNUMBER(E112),E112,0)+R112,R112)*(1+S112/30)),1)),"--")</f>
        <v>--</v>
      </c>
      <c r="V112" s="23" t="str">
        <f>IF(SUGERENCIAS!N287="SIN","Sin datos anteriores",IF(SUGERENCIAS!N287="SUBIR_F","^ SUBIR FUERTE | Kg:"&amp;ROUND(SUGERENCIAS!K287,1)&amp;" R:"&amp;ROUND(SUGERENCIAS!L287,0)&amp;" RIR:"&amp;ROUND(SUGERENCIAS!M287,0),IF(SUGERENCIAS!N287="SUBIR_E","^ SUBIR (Est.) | Kg:"&amp;ROUND(SUGERENCIAS!K287,1)&amp;" R:"&amp;ROUND(SUGERENCIAS!L287,0)&amp;" RIR:"&amp;ROUND(SUGERENCIAS!M287,0),IF(SUGERENCIAS!N287="SUBIR","^ SUBIR | Kg:"&amp;ROUND(SUGERENCIAS!K287,1)&amp;" R:"&amp;ROUND(SUGERENCIAS!L287,0)&amp;" RIR:"&amp;ROUND(SUGERENCIAS!M287,0),IF(SUGERENCIAS!N287="BAJAR","v BAJAR | Kg:"&amp;ROUND(SUGERENCIAS!K287,1)&amp;" R:"&amp;ROUND(SUGERENCIAS!L287,0)&amp;" RIR:"&amp;ROUND(SUGERENCIAS!M287,0),"= MANT | Kg:"&amp;ROUND(SUGERENCIAS!K287,1)&amp;" R:"&amp;ROUND(SUGERENCIAS!L287,0)&amp;" RIR:"&amp;ROUND(SUGERENCIAS!M287,0))))))</f>
        <v>Sin datos anteriores</v>
      </c>
      <c r="W112" s="69">
        <f>MAX(IF((G112&gt;0)*(IF(H112="",-1,H112)&gt;=1)*(IF(H112="",-1,H112)&lt;=3),IF(C112="peso_corporal",IF(ISNUMBER(E112),E112,0)+F112,F112)*G112*1000+F112,0),IF((J112&gt;0)*(IF(K112="",-1,K112)&gt;=1)*(IF(K112="",-1,K112)&lt;=3),IF(C112="peso_corporal",IF(ISNUMBER(E112),E112,0)+I112,I112)*J112*1000+I112,0),IF((M112&gt;0)*(IF(N112="",-1,N112)&gt;=1)*(IF(N112="",-1,N112)&lt;=3),IF(C112="peso_corporal",IF(ISNUMBER(E112),E112,0)+L112,L112)*M112*1000+L112,0),IF((P112&gt;0)*(IF(Q112="",-1,Q112)&gt;=1)*(IF(Q112="",-1,Q112)&lt;=3),IF(C112="peso_corporal",IF(ISNUMBER(E112),E112,0)+O112,O112)*P112*1000+O112,0),IF((S112&gt;0)*(IF(T112="",-1,T112)&gt;=1)*(IF(T112="",-1,T112)&lt;=3),IF(C112="peso_corporal",IF(ISNUMBER(E112),E112,0)+R112,R112)*S112*1000+R112,0))</f>
        <v>0</v>
      </c>
      <c r="X112" s="69">
        <f>IF(W112=0,0,IF(IF((S112&gt;0)*(IF(T112="",-1,T112)&gt;=1)*(IF(T112="",-1,T112)&lt;=3),IF(C112="peso_corporal",IF(ISNUMBER(E112),E112,0)+R112,R112)*S112*1000+R112,0)=W112,5,IF(IF((P112&gt;0)*(IF(Q112="",-1,Q112)&gt;=1)*(IF(Q112="",-1,Q112)&lt;=3),IF(C112="peso_corporal",IF(ISNUMBER(E112),E112,0)+O112,O112)*P112*1000+O112,0)=W112,4,IF(IF((M112&gt;0)*(IF(N112="",-1,N112)&gt;=1)*(IF(N112="",-1,N112)&lt;=3),IF(C112="peso_corporal",IF(ISNUMBER(E112),E112,0)+L112,L112)*M112*1000+L112,0)=W112,3,IF(IF((J112&gt;0)*(IF(K112="",-1,K112)&gt;=1)*(IF(K112="",-1,K112)&lt;=3),IF(C112="peso_corporal",IF(ISNUMBER(E112),E112,0)+I112,I112)*J112*1000+I112,0)=W112,2,IF(IF((G112&gt;0)*(IF(H112="",-1,H112)&gt;=1)*(IF(H112="",-1,H112)&lt;=3),IF(C112="peso_corporal",IF(ISNUMBER(E112),E112,0)+F112,F112)*G112*1000+F112,0)=W112,1,0))))))</f>
        <v>0</v>
      </c>
      <c r="Y112" s="69">
        <f>MAX(IF((G112&gt;0)*(IF(H112="",-1,H112)=0)*(1-(IF(H112="",-1,H112)&gt;=1)*(IF(H112="",-1,H112)&lt;=3)),IF(C112="peso_corporal",IF(ISNUMBER(E112),E112,0)+F112,F112)*G112*1000+F112,0),IF((J112&gt;0)*(IF(K112="",-1,K112)=0)*(1-(IF(K112="",-1,K112)&gt;=1)*(IF(K112="",-1,K112)&lt;=3)),IF(C112="peso_corporal",IF(ISNUMBER(E112),E112,0)+I112,I112)*J112*1000+I112,0),IF((M112&gt;0)*(IF(N112="",-1,N112)=0)*(1-(IF(N112="",-1,N112)&gt;=1)*(IF(N112="",-1,N112)&lt;=3)),IF(C112="peso_corporal",IF(ISNUMBER(E112),E112,0)+L112,L112)*M112*1000+L112,0),IF((P112&gt;0)*(IF(Q112="",-1,Q112)=0)*(1-(IF(Q112="",-1,Q112)&gt;=1)*(IF(Q112="",-1,Q112)&lt;=3)),IF(C112="peso_corporal",IF(ISNUMBER(E112),E112,0)+O112,O112)*P112*1000+O112,0),IF((S112&gt;0)*(IF(T112="",-1,T112)=0)*(1-(IF(T112="",-1,T112)&gt;=1)*(IF(T112="",-1,T112)&lt;=3)),IF(C112="peso_corporal",IF(ISNUMBER(E112),E112,0)+R112,R112)*S112*1000+R112,0))</f>
        <v>0</v>
      </c>
      <c r="Z112" s="69">
        <f>IF(Y112=0,0,IF(IF((S112&gt;0)*(IF(T112="",-1,T112)=0)*(1-(IF(T112="",-1,T112)&gt;=1)*(IF(T112="",-1,T112)&lt;=3)),IF(C112="peso_corporal",IF(ISNUMBER(E112),E112,0)+R112,R112)*S112*1000+R112,0)=Y112,5,IF(IF((P112&gt;0)*(IF(Q112="",-1,Q112)=0)*(1-(IF(Q112="",-1,Q112)&gt;=1)*(IF(Q112="",-1,Q112)&lt;=3)),IF(C112="peso_corporal",IF(ISNUMBER(E112),E112,0)+O112,O112)*P112*1000+O112,0)=Y112,4,IF(IF((M112&gt;0)*(IF(N112="",-1,N112)=0)*(1-(IF(N112="",-1,N112)&gt;=1)*(IF(N112="",-1,N112)&lt;=3)),IF(C112="peso_corporal",IF(ISNUMBER(E112),E112,0)+L112,L112)*M112*1000+L112,0)=Y112,3,IF(IF((J112&gt;0)*(IF(K112="",-1,K112)=0)*(1-(IF(K112="",-1,K112)&gt;=1)*(IF(K112="",-1,K112)&lt;=3)),IF(C112="peso_corporal",IF(ISNUMBER(E112),E112,0)+I112,I112)*J112*1000+I112,0)=Y112,2,IF(IF((G112&gt;0)*(IF(H112="",-1,H112)=0)*(1-(IF(H112="",-1,H112)&gt;=1)*(IF(H112="",-1,H112)&lt;=3)),IF(C112="peso_corporal",IF(ISNUMBER(E112),E112,0)+F112,F112)*G112*1000+F112,0)=Y112,1,0))))))</f>
        <v>0</v>
      </c>
      <c r="AA112" s="69">
        <f>MAX(IF((G112&gt;=6)*(1-(IF(H112="",-1,H112)&gt;=1)*(IF(H112="",-1,H112)&lt;=3))*(1-(IF(H112="",-1,H112)=0)),IF(C112="peso_corporal",IF(ISNUMBER(E112),E112,0)+F112,F112)*(30+G112)*100+F112,0),IF((J112&gt;=6)*(1-(IF(K112="",-1,K112)&gt;=1)*(IF(K112="",-1,K112)&lt;=3))*(1-(IF(K112="",-1,K112)=0)),IF(C112="peso_corporal",IF(ISNUMBER(E112),E112,0)+I112,I112)*(30+J112)*100+I112,0),IF((M112&gt;=6)*(1-(IF(N112="",-1,N112)&gt;=1)*(IF(N112="",-1,N112)&lt;=3))*(1-(IF(N112="",-1,N112)=0)),IF(C112="peso_corporal",IF(ISNUMBER(E112),E112,0)+L112,L112)*(30+M112)*100+L112,0),IF((P112&gt;=6)*(1-(IF(Q112="",-1,Q112)&gt;=1)*(IF(Q112="",-1,Q112)&lt;=3))*(1-(IF(Q112="",-1,Q112)=0)),IF(C112="peso_corporal",IF(ISNUMBER(E112),E112,0)+O112,O112)*(30+P112)*100+O112,0),IF((S112&gt;=6)*(1-(IF(T112="",-1,T112)&gt;=1)*(IF(T112="",-1,T112)&lt;=3))*(1-(IF(T112="",-1,T112)=0)),IF(C112="peso_corporal",IF(ISNUMBER(E112),E112,0)+R112,R112)*(30+S112)*100+R112,0))</f>
        <v>0</v>
      </c>
      <c r="AB112" s="69">
        <f>IF(AA112=0,0,IF(IF((S112&gt;=6)*(1-(IF(T112="",-1,T112)&gt;=1)*(IF(T112="",-1,T112)&lt;=3))*(1-(IF(T112="",-1,T112)=0)),IF(C112="peso_corporal",IF(ISNUMBER(E112),E112,0)+R112,R112)*(30+S112)*100+R112,0)=AA112,5,IF(IF((P112&gt;=6)*(1-(IF(Q112="",-1,Q112)&gt;=1)*(IF(Q112="",-1,Q112)&lt;=3))*(1-(IF(Q112="",-1,Q112)=0)),IF(C112="peso_corporal",IF(ISNUMBER(E112),E112,0)+O112,O112)*(30+P112)*100+O112,0)=AA112,4,IF(IF((M112&gt;=6)*(1-(IF(N112="",-1,N112)&gt;=1)*(IF(N112="",-1,N112)&lt;=3))*(1-(IF(N112="",-1,N112)=0)),IF(C112="peso_corporal",IF(ISNUMBER(E112),E112,0)+L112,L112)*(30+M112)*100+L112,0)=AA112,3,IF(IF((J112&gt;=6)*(1-(IF(K112="",-1,K112)&gt;=1)*(IF(K112="",-1,K112)&lt;=3))*(1-(IF(K112="",-1,K112)=0)),IF(C112="peso_corporal",IF(ISNUMBER(E112),E112,0)+I112,I112)*(30+J112)*100+I112,0)=AA112,2,IF(IF((G112&gt;=6)*(1-(IF(H112="",-1,H112)&gt;=1)*(IF(H112="",-1,H112)&lt;=3))*(1-(IF(H112="",-1,H112)=0)),IF(C112="peso_corporal",IF(ISNUMBER(E112),E112,0)+F112,F112)*(30+G112)*100+F112,0)=AA112,1,0))))))</f>
        <v>0</v>
      </c>
      <c r="AC112" s="69" t="str">
        <f>IF(X112&gt;0,"A"&amp;X112,IF(Z112&gt;0,"B"&amp;Z112,IF(AB112&gt;0,"C"&amp;AB112,"")))</f>
        <v/>
      </c>
    </row>
    <row r="113" spans="1:29" ht="20.100000000000001" customHeight="1">
      <c r="A113" s="14" t="s">
        <v>144</v>
      </c>
      <c r="B113" s="15" t="s">
        <v>60</v>
      </c>
      <c r="C113" s="16" t="str">
        <f>IFERROR(INDEX(EJERCICIOS!$D$3:$D$75,MATCH(A113&amp;"|"&amp;B113,EJERCICIOS!$G$3:$G$75,0)),"--")</f>
        <v>disco</v>
      </c>
      <c r="D113" s="17">
        <v>3</v>
      </c>
      <c r="E113" s="18">
        <f>IFERROR(LOOKUP(2,1/(MEDIDAS_Y_PESO!$B$3:$B$7&lt;&gt;""),MEDIDAS_Y_PESO!$B$3:$B$7),"--")</f>
        <v>80</v>
      </c>
      <c r="F113" s="19"/>
      <c r="G113" s="20"/>
      <c r="H113" s="21"/>
      <c r="I113" s="19"/>
      <c r="J113" s="20"/>
      <c r="K113" s="21"/>
      <c r="L113" s="19"/>
      <c r="M113" s="20"/>
      <c r="N113" s="21"/>
      <c r="O113" s="19"/>
      <c r="P113" s="20"/>
      <c r="Q113" s="21"/>
      <c r="R113" s="19"/>
      <c r="S113" s="20"/>
      <c r="T113" s="21"/>
      <c r="U113" s="22" t="str">
        <f>IFERROR(IF(IF(X113&gt;0,X113,IF(Z113&gt;0,Z113,IF(AB113&gt;0,AB113,0)))=0,"--",ROUND(CHOOSE(IF(X113&gt;0,X113,IF(Z113&gt;0,Z113,IF(AB113&gt;0,AB113,0))),IF(C113="peso_corporal",IF(ISNUMBER(E113),E113,0)+F113,F113)*(1+G113/30),IF(C113="peso_corporal",IF(ISNUMBER(E113),E113,0)+I113,I113)*(1+J113/30),IF(C113="peso_corporal",IF(ISNUMBER(E113),E113,0)+L113,L113)*(1+M113/30),IF(C113="peso_corporal",IF(ISNUMBER(E113),E113,0)+O113,O113)*(1+P113/30),IF(C113="peso_corporal",IF(ISNUMBER(E113),E113,0)+R113,R113)*(1+S113/30)),1)),"--")</f>
        <v>--</v>
      </c>
      <c r="V113" s="23" t="str">
        <f>IF(SUGERENCIAS!N288="SIN","Sin datos anteriores",IF(SUGERENCIAS!N288="SUBIR_F","^ SUBIR FUERTE | Kg:"&amp;ROUND(SUGERENCIAS!K288,1)&amp;" R:"&amp;ROUND(SUGERENCIAS!L288,0)&amp;" RIR:"&amp;ROUND(SUGERENCIAS!M288,0),IF(SUGERENCIAS!N288="SUBIR_E","^ SUBIR (Est.) | Kg:"&amp;ROUND(SUGERENCIAS!K288,1)&amp;" R:"&amp;ROUND(SUGERENCIAS!L288,0)&amp;" RIR:"&amp;ROUND(SUGERENCIAS!M288,0),IF(SUGERENCIAS!N288="SUBIR","^ SUBIR | Kg:"&amp;ROUND(SUGERENCIAS!K288,1)&amp;" R:"&amp;ROUND(SUGERENCIAS!L288,0)&amp;" RIR:"&amp;ROUND(SUGERENCIAS!M288,0),IF(SUGERENCIAS!N288="BAJAR","v BAJAR | Kg:"&amp;ROUND(SUGERENCIAS!K288,1)&amp;" R:"&amp;ROUND(SUGERENCIAS!L288,0)&amp;" RIR:"&amp;ROUND(SUGERENCIAS!M288,0),"= MANT | Kg:"&amp;ROUND(SUGERENCIAS!K288,1)&amp;" R:"&amp;ROUND(SUGERENCIAS!L288,0)&amp;" RIR:"&amp;ROUND(SUGERENCIAS!M288,0))))))</f>
        <v>Sin datos anteriores</v>
      </c>
      <c r="W113" s="69">
        <f>MAX(IF((G113&gt;0)*(IF(H113="",-1,H113)&gt;=1)*(IF(H113="",-1,H113)&lt;=3),IF(C113="peso_corporal",IF(ISNUMBER(E113),E113,0)+F113,F113)*G113*1000+F113,0),IF((J113&gt;0)*(IF(K113="",-1,K113)&gt;=1)*(IF(K113="",-1,K113)&lt;=3),IF(C113="peso_corporal",IF(ISNUMBER(E113),E113,0)+I113,I113)*J113*1000+I113,0),IF((M113&gt;0)*(IF(N113="",-1,N113)&gt;=1)*(IF(N113="",-1,N113)&lt;=3),IF(C113="peso_corporal",IF(ISNUMBER(E113),E113,0)+L113,L113)*M113*1000+L113,0),IF((P113&gt;0)*(IF(Q113="",-1,Q113)&gt;=1)*(IF(Q113="",-1,Q113)&lt;=3),IF(C113="peso_corporal",IF(ISNUMBER(E113),E113,0)+O113,O113)*P113*1000+O113,0),IF((S113&gt;0)*(IF(T113="",-1,T113)&gt;=1)*(IF(T113="",-1,T113)&lt;=3),IF(C113="peso_corporal",IF(ISNUMBER(E113),E113,0)+R113,R113)*S113*1000+R113,0))</f>
        <v>0</v>
      </c>
      <c r="X113" s="69">
        <f>IF(W113=0,0,IF(IF((S113&gt;0)*(IF(T113="",-1,T113)&gt;=1)*(IF(T113="",-1,T113)&lt;=3),IF(C113="peso_corporal",IF(ISNUMBER(E113),E113,0)+R113,R113)*S113*1000+R113,0)=W113,5,IF(IF((P113&gt;0)*(IF(Q113="",-1,Q113)&gt;=1)*(IF(Q113="",-1,Q113)&lt;=3),IF(C113="peso_corporal",IF(ISNUMBER(E113),E113,0)+O113,O113)*P113*1000+O113,0)=W113,4,IF(IF((M113&gt;0)*(IF(N113="",-1,N113)&gt;=1)*(IF(N113="",-1,N113)&lt;=3),IF(C113="peso_corporal",IF(ISNUMBER(E113),E113,0)+L113,L113)*M113*1000+L113,0)=W113,3,IF(IF((J113&gt;0)*(IF(K113="",-1,K113)&gt;=1)*(IF(K113="",-1,K113)&lt;=3),IF(C113="peso_corporal",IF(ISNUMBER(E113),E113,0)+I113,I113)*J113*1000+I113,0)=W113,2,IF(IF((G113&gt;0)*(IF(H113="",-1,H113)&gt;=1)*(IF(H113="",-1,H113)&lt;=3),IF(C113="peso_corporal",IF(ISNUMBER(E113),E113,0)+F113,F113)*G113*1000+F113,0)=W113,1,0))))))</f>
        <v>0</v>
      </c>
      <c r="Y113" s="69">
        <f>MAX(IF((G113&gt;0)*(IF(H113="",-1,H113)=0)*(1-(IF(H113="",-1,H113)&gt;=1)*(IF(H113="",-1,H113)&lt;=3)),IF(C113="peso_corporal",IF(ISNUMBER(E113),E113,0)+F113,F113)*G113*1000+F113,0),IF((J113&gt;0)*(IF(K113="",-1,K113)=0)*(1-(IF(K113="",-1,K113)&gt;=1)*(IF(K113="",-1,K113)&lt;=3)),IF(C113="peso_corporal",IF(ISNUMBER(E113),E113,0)+I113,I113)*J113*1000+I113,0),IF((M113&gt;0)*(IF(N113="",-1,N113)=0)*(1-(IF(N113="",-1,N113)&gt;=1)*(IF(N113="",-1,N113)&lt;=3)),IF(C113="peso_corporal",IF(ISNUMBER(E113),E113,0)+L113,L113)*M113*1000+L113,0),IF((P113&gt;0)*(IF(Q113="",-1,Q113)=0)*(1-(IF(Q113="",-1,Q113)&gt;=1)*(IF(Q113="",-1,Q113)&lt;=3)),IF(C113="peso_corporal",IF(ISNUMBER(E113),E113,0)+O113,O113)*P113*1000+O113,0),IF((S113&gt;0)*(IF(T113="",-1,T113)=0)*(1-(IF(T113="",-1,T113)&gt;=1)*(IF(T113="",-1,T113)&lt;=3)),IF(C113="peso_corporal",IF(ISNUMBER(E113),E113,0)+R113,R113)*S113*1000+R113,0))</f>
        <v>0</v>
      </c>
      <c r="Z113" s="69">
        <f>IF(Y113=0,0,IF(IF((S113&gt;0)*(IF(T113="",-1,T113)=0)*(1-(IF(T113="",-1,T113)&gt;=1)*(IF(T113="",-1,T113)&lt;=3)),IF(C113="peso_corporal",IF(ISNUMBER(E113),E113,0)+R113,R113)*S113*1000+R113,0)=Y113,5,IF(IF((P113&gt;0)*(IF(Q113="",-1,Q113)=0)*(1-(IF(Q113="",-1,Q113)&gt;=1)*(IF(Q113="",-1,Q113)&lt;=3)),IF(C113="peso_corporal",IF(ISNUMBER(E113),E113,0)+O113,O113)*P113*1000+O113,0)=Y113,4,IF(IF((M113&gt;0)*(IF(N113="",-1,N113)=0)*(1-(IF(N113="",-1,N113)&gt;=1)*(IF(N113="",-1,N113)&lt;=3)),IF(C113="peso_corporal",IF(ISNUMBER(E113),E113,0)+L113,L113)*M113*1000+L113,0)=Y113,3,IF(IF((J113&gt;0)*(IF(K113="",-1,K113)=0)*(1-(IF(K113="",-1,K113)&gt;=1)*(IF(K113="",-1,K113)&lt;=3)),IF(C113="peso_corporal",IF(ISNUMBER(E113),E113,0)+I113,I113)*J113*1000+I113,0)=Y113,2,IF(IF((G113&gt;0)*(IF(H113="",-1,H113)=0)*(1-(IF(H113="",-1,H113)&gt;=1)*(IF(H113="",-1,H113)&lt;=3)),IF(C113="peso_corporal",IF(ISNUMBER(E113),E113,0)+F113,F113)*G113*1000+F113,0)=Y113,1,0))))))</f>
        <v>0</v>
      </c>
      <c r="AA113" s="69">
        <f>MAX(IF((G113&gt;=6)*(1-(IF(H113="",-1,H113)&gt;=1)*(IF(H113="",-1,H113)&lt;=3))*(1-(IF(H113="",-1,H113)=0)),IF(C113="peso_corporal",IF(ISNUMBER(E113),E113,0)+F113,F113)*(30+G113)*100+F113,0),IF((J113&gt;=6)*(1-(IF(K113="",-1,K113)&gt;=1)*(IF(K113="",-1,K113)&lt;=3))*(1-(IF(K113="",-1,K113)=0)),IF(C113="peso_corporal",IF(ISNUMBER(E113),E113,0)+I113,I113)*(30+J113)*100+I113,0),IF((M113&gt;=6)*(1-(IF(N113="",-1,N113)&gt;=1)*(IF(N113="",-1,N113)&lt;=3))*(1-(IF(N113="",-1,N113)=0)),IF(C113="peso_corporal",IF(ISNUMBER(E113),E113,0)+L113,L113)*(30+M113)*100+L113,0),IF((P113&gt;=6)*(1-(IF(Q113="",-1,Q113)&gt;=1)*(IF(Q113="",-1,Q113)&lt;=3))*(1-(IF(Q113="",-1,Q113)=0)),IF(C113="peso_corporal",IF(ISNUMBER(E113),E113,0)+O113,O113)*(30+P113)*100+O113,0),IF((S113&gt;=6)*(1-(IF(T113="",-1,T113)&gt;=1)*(IF(T113="",-1,T113)&lt;=3))*(1-(IF(T113="",-1,T113)=0)),IF(C113="peso_corporal",IF(ISNUMBER(E113),E113,0)+R113,R113)*(30+S113)*100+R113,0))</f>
        <v>0</v>
      </c>
      <c r="AB113" s="69">
        <f>IF(AA113=0,0,IF(IF((S113&gt;=6)*(1-(IF(T113="",-1,T113)&gt;=1)*(IF(T113="",-1,T113)&lt;=3))*(1-(IF(T113="",-1,T113)=0)),IF(C113="peso_corporal",IF(ISNUMBER(E113),E113,0)+R113,R113)*(30+S113)*100+R113,0)=AA113,5,IF(IF((P113&gt;=6)*(1-(IF(Q113="",-1,Q113)&gt;=1)*(IF(Q113="",-1,Q113)&lt;=3))*(1-(IF(Q113="",-1,Q113)=0)),IF(C113="peso_corporal",IF(ISNUMBER(E113),E113,0)+O113,O113)*(30+P113)*100+O113,0)=AA113,4,IF(IF((M113&gt;=6)*(1-(IF(N113="",-1,N113)&gt;=1)*(IF(N113="",-1,N113)&lt;=3))*(1-(IF(N113="",-1,N113)=0)),IF(C113="peso_corporal",IF(ISNUMBER(E113),E113,0)+L113,L113)*(30+M113)*100+L113,0)=AA113,3,IF(IF((J113&gt;=6)*(1-(IF(K113="",-1,K113)&gt;=1)*(IF(K113="",-1,K113)&lt;=3))*(1-(IF(K113="",-1,K113)=0)),IF(C113="peso_corporal",IF(ISNUMBER(E113),E113,0)+I113,I113)*(30+J113)*100+I113,0)=AA113,2,IF(IF((G113&gt;=6)*(1-(IF(H113="",-1,H113)&gt;=1)*(IF(H113="",-1,H113)&lt;=3))*(1-(IF(H113="",-1,H113)=0)),IF(C113="peso_corporal",IF(ISNUMBER(E113),E113,0)+F113,F113)*(30+G113)*100+F113,0)=AA113,1,0))))))</f>
        <v>0</v>
      </c>
      <c r="AC113" s="69" t="str">
        <f>IF(X113&gt;0,"A"&amp;X113,IF(Z113&gt;0,"B"&amp;Z113,IF(AB113&gt;0,"C"&amp;AB113,"")))</f>
        <v/>
      </c>
    </row>
    <row r="114" spans="1:29" ht="15" customHeight="1">
      <c r="A114" s="91" t="s">
        <v>145</v>
      </c>
      <c r="B114" s="73"/>
      <c r="C114" s="73"/>
      <c r="D114" s="73"/>
      <c r="E114" s="73"/>
      <c r="F114" s="73"/>
      <c r="G114" s="73"/>
      <c r="H114" s="73"/>
      <c r="I114" s="73"/>
      <c r="J114" s="73"/>
      <c r="K114" s="73"/>
      <c r="L114" s="73"/>
      <c r="M114" s="73"/>
      <c r="N114" s="73"/>
      <c r="O114" s="73"/>
      <c r="P114" s="73"/>
      <c r="Q114" s="73"/>
      <c r="R114" s="73"/>
      <c r="S114" s="73"/>
      <c r="T114" s="73"/>
      <c r="U114" s="73"/>
      <c r="V114" s="73"/>
      <c r="W114" s="69"/>
      <c r="X114" s="69"/>
      <c r="Y114" s="69"/>
      <c r="Z114" s="69"/>
      <c r="AA114" s="69"/>
      <c r="AB114" s="69"/>
      <c r="AC114" s="69"/>
    </row>
    <row r="115" spans="1:29" ht="20.100000000000001" customHeight="1">
      <c r="A115" s="14" t="s">
        <v>57</v>
      </c>
      <c r="B115" s="15" t="s">
        <v>58</v>
      </c>
      <c r="C115" s="16" t="str">
        <f>IFERROR(INDEX(EJERCICIOS!$D$3:$D$75,MATCH(A115&amp;"|"&amp;B115,EJERCICIOS!$G$3:$G$75,0)),"--")</f>
        <v>polea</v>
      </c>
      <c r="D115" s="17">
        <v>3</v>
      </c>
      <c r="E115" s="18">
        <f>IFERROR(LOOKUP(2,1/(MEDIDAS_Y_PESO!$B$3:$B$7&lt;&gt;""),MEDIDAS_Y_PESO!$B$3:$B$7),"--")</f>
        <v>80</v>
      </c>
      <c r="F115" s="19"/>
      <c r="G115" s="20"/>
      <c r="H115" s="21"/>
      <c r="I115" s="19"/>
      <c r="J115" s="20"/>
      <c r="K115" s="21"/>
      <c r="L115" s="19"/>
      <c r="M115" s="20"/>
      <c r="N115" s="21"/>
      <c r="O115" s="19"/>
      <c r="P115" s="20"/>
      <c r="Q115" s="21"/>
      <c r="R115" s="19"/>
      <c r="S115" s="20"/>
      <c r="T115" s="21"/>
      <c r="U115" s="22" t="str">
        <f>IFERROR(IF(IF(X115&gt;0,X115,IF(Z115&gt;0,Z115,IF(AB115&gt;0,AB115,0)))=0,"--",ROUND(CHOOSE(IF(X115&gt;0,X115,IF(Z115&gt;0,Z115,IF(AB115&gt;0,AB115,0))),IF(C115="peso_corporal",IF(ISNUMBER(E115),E115,0)+F115,F115)*(1+G115/30),IF(C115="peso_corporal",IF(ISNUMBER(E115),E115,0)+I115,I115)*(1+J115/30),IF(C115="peso_corporal",IF(ISNUMBER(E115),E115,0)+L115,L115)*(1+M115/30),IF(C115="peso_corporal",IF(ISNUMBER(E115),E115,0)+O115,O115)*(1+P115/30),IF(C115="peso_corporal",IF(ISNUMBER(E115),E115,0)+R115,R115)*(1+S115/30)),1)),"--")</f>
        <v>--</v>
      </c>
      <c r="V115" s="23" t="str">
        <f>IF(SUGERENCIAS!N289="SIN","Sin datos anteriores",IF(SUGERENCIAS!N289="SUBIR_F","^ SUBIR FUERTE | Kg:"&amp;ROUND(SUGERENCIAS!K289,1)&amp;" R:"&amp;ROUND(SUGERENCIAS!L289,0)&amp;" RIR:"&amp;ROUND(SUGERENCIAS!M289,0),IF(SUGERENCIAS!N289="SUBIR_E","^ SUBIR (Est.) | Kg:"&amp;ROUND(SUGERENCIAS!K289,1)&amp;" R:"&amp;ROUND(SUGERENCIAS!L289,0)&amp;" RIR:"&amp;ROUND(SUGERENCIAS!M289,0),IF(SUGERENCIAS!N289="SUBIR","^ SUBIR | Kg:"&amp;ROUND(SUGERENCIAS!K289,1)&amp;" R:"&amp;ROUND(SUGERENCIAS!L289,0)&amp;" RIR:"&amp;ROUND(SUGERENCIAS!M289,0),IF(SUGERENCIAS!N289="BAJAR","v BAJAR | Kg:"&amp;ROUND(SUGERENCIAS!K289,1)&amp;" R:"&amp;ROUND(SUGERENCIAS!L289,0)&amp;" RIR:"&amp;ROUND(SUGERENCIAS!M289,0),"= MANT | Kg:"&amp;ROUND(SUGERENCIAS!K289,1)&amp;" R:"&amp;ROUND(SUGERENCIAS!L289,0)&amp;" RIR:"&amp;ROUND(SUGERENCIAS!M289,0))))))</f>
        <v>Sin datos anteriores</v>
      </c>
      <c r="W115" s="69">
        <f>MAX(IF((G115&gt;0)*(IF(H115="",-1,H115)&gt;=1)*(IF(H115="",-1,H115)&lt;=3),IF(C115="peso_corporal",IF(ISNUMBER(E115),E115,0)+F115,F115)*G115*1000+F115,0),IF((J115&gt;0)*(IF(K115="",-1,K115)&gt;=1)*(IF(K115="",-1,K115)&lt;=3),IF(C115="peso_corporal",IF(ISNUMBER(E115),E115,0)+I115,I115)*J115*1000+I115,0),IF((M115&gt;0)*(IF(N115="",-1,N115)&gt;=1)*(IF(N115="",-1,N115)&lt;=3),IF(C115="peso_corporal",IF(ISNUMBER(E115),E115,0)+L115,L115)*M115*1000+L115,0),IF((P115&gt;0)*(IF(Q115="",-1,Q115)&gt;=1)*(IF(Q115="",-1,Q115)&lt;=3),IF(C115="peso_corporal",IF(ISNUMBER(E115),E115,0)+O115,O115)*P115*1000+O115,0),IF((S115&gt;0)*(IF(T115="",-1,T115)&gt;=1)*(IF(T115="",-1,T115)&lt;=3),IF(C115="peso_corporal",IF(ISNUMBER(E115),E115,0)+R115,R115)*S115*1000+R115,0))</f>
        <v>0</v>
      </c>
      <c r="X115" s="69">
        <f>IF(W115=0,0,IF(IF((S115&gt;0)*(IF(T115="",-1,T115)&gt;=1)*(IF(T115="",-1,T115)&lt;=3),IF(C115="peso_corporal",IF(ISNUMBER(E115),E115,0)+R115,R115)*S115*1000+R115,0)=W115,5,IF(IF((P115&gt;0)*(IF(Q115="",-1,Q115)&gt;=1)*(IF(Q115="",-1,Q115)&lt;=3),IF(C115="peso_corporal",IF(ISNUMBER(E115),E115,0)+O115,O115)*P115*1000+O115,0)=W115,4,IF(IF((M115&gt;0)*(IF(N115="",-1,N115)&gt;=1)*(IF(N115="",-1,N115)&lt;=3),IF(C115="peso_corporal",IF(ISNUMBER(E115),E115,0)+L115,L115)*M115*1000+L115,0)=W115,3,IF(IF((J115&gt;0)*(IF(K115="",-1,K115)&gt;=1)*(IF(K115="",-1,K115)&lt;=3),IF(C115="peso_corporal",IF(ISNUMBER(E115),E115,0)+I115,I115)*J115*1000+I115,0)=W115,2,IF(IF((G115&gt;0)*(IF(H115="",-1,H115)&gt;=1)*(IF(H115="",-1,H115)&lt;=3),IF(C115="peso_corporal",IF(ISNUMBER(E115),E115,0)+F115,F115)*G115*1000+F115,0)=W115,1,0))))))</f>
        <v>0</v>
      </c>
      <c r="Y115" s="69">
        <f>MAX(IF((G115&gt;0)*(IF(H115="",-1,H115)=0)*(1-(IF(H115="",-1,H115)&gt;=1)*(IF(H115="",-1,H115)&lt;=3)),IF(C115="peso_corporal",IF(ISNUMBER(E115),E115,0)+F115,F115)*G115*1000+F115,0),IF((J115&gt;0)*(IF(K115="",-1,K115)=0)*(1-(IF(K115="",-1,K115)&gt;=1)*(IF(K115="",-1,K115)&lt;=3)),IF(C115="peso_corporal",IF(ISNUMBER(E115),E115,0)+I115,I115)*J115*1000+I115,0),IF((M115&gt;0)*(IF(N115="",-1,N115)=0)*(1-(IF(N115="",-1,N115)&gt;=1)*(IF(N115="",-1,N115)&lt;=3)),IF(C115="peso_corporal",IF(ISNUMBER(E115),E115,0)+L115,L115)*M115*1000+L115,0),IF((P115&gt;0)*(IF(Q115="",-1,Q115)=0)*(1-(IF(Q115="",-1,Q115)&gt;=1)*(IF(Q115="",-1,Q115)&lt;=3)),IF(C115="peso_corporal",IF(ISNUMBER(E115),E115,0)+O115,O115)*P115*1000+O115,0),IF((S115&gt;0)*(IF(T115="",-1,T115)=0)*(1-(IF(T115="",-1,T115)&gt;=1)*(IF(T115="",-1,T115)&lt;=3)),IF(C115="peso_corporal",IF(ISNUMBER(E115),E115,0)+R115,R115)*S115*1000+R115,0))</f>
        <v>0</v>
      </c>
      <c r="Z115" s="69">
        <f>IF(Y115=0,0,IF(IF((S115&gt;0)*(IF(T115="",-1,T115)=0)*(1-(IF(T115="",-1,T115)&gt;=1)*(IF(T115="",-1,T115)&lt;=3)),IF(C115="peso_corporal",IF(ISNUMBER(E115),E115,0)+R115,R115)*S115*1000+R115,0)=Y115,5,IF(IF((P115&gt;0)*(IF(Q115="",-1,Q115)=0)*(1-(IF(Q115="",-1,Q115)&gt;=1)*(IF(Q115="",-1,Q115)&lt;=3)),IF(C115="peso_corporal",IF(ISNUMBER(E115),E115,0)+O115,O115)*P115*1000+O115,0)=Y115,4,IF(IF((M115&gt;0)*(IF(N115="",-1,N115)=0)*(1-(IF(N115="",-1,N115)&gt;=1)*(IF(N115="",-1,N115)&lt;=3)),IF(C115="peso_corporal",IF(ISNUMBER(E115),E115,0)+L115,L115)*M115*1000+L115,0)=Y115,3,IF(IF((J115&gt;0)*(IF(K115="",-1,K115)=0)*(1-(IF(K115="",-1,K115)&gt;=1)*(IF(K115="",-1,K115)&lt;=3)),IF(C115="peso_corporal",IF(ISNUMBER(E115),E115,0)+I115,I115)*J115*1000+I115,0)=Y115,2,IF(IF((G115&gt;0)*(IF(H115="",-1,H115)=0)*(1-(IF(H115="",-1,H115)&gt;=1)*(IF(H115="",-1,H115)&lt;=3)),IF(C115="peso_corporal",IF(ISNUMBER(E115),E115,0)+F115,F115)*G115*1000+F115,0)=Y115,1,0))))))</f>
        <v>0</v>
      </c>
      <c r="AA115" s="69">
        <f>MAX(IF((G115&gt;=6)*(1-(IF(H115="",-1,H115)&gt;=1)*(IF(H115="",-1,H115)&lt;=3))*(1-(IF(H115="",-1,H115)=0)),IF(C115="peso_corporal",IF(ISNUMBER(E115),E115,0)+F115,F115)*(30+G115)*100+F115,0),IF((J115&gt;=6)*(1-(IF(K115="",-1,K115)&gt;=1)*(IF(K115="",-1,K115)&lt;=3))*(1-(IF(K115="",-1,K115)=0)),IF(C115="peso_corporal",IF(ISNUMBER(E115),E115,0)+I115,I115)*(30+J115)*100+I115,0),IF((M115&gt;=6)*(1-(IF(N115="",-1,N115)&gt;=1)*(IF(N115="",-1,N115)&lt;=3))*(1-(IF(N115="",-1,N115)=0)),IF(C115="peso_corporal",IF(ISNUMBER(E115),E115,0)+L115,L115)*(30+M115)*100+L115,0),IF((P115&gt;=6)*(1-(IF(Q115="",-1,Q115)&gt;=1)*(IF(Q115="",-1,Q115)&lt;=3))*(1-(IF(Q115="",-1,Q115)=0)),IF(C115="peso_corporal",IF(ISNUMBER(E115),E115,0)+O115,O115)*(30+P115)*100+O115,0),IF((S115&gt;=6)*(1-(IF(T115="",-1,T115)&gt;=1)*(IF(T115="",-1,T115)&lt;=3))*(1-(IF(T115="",-1,T115)=0)),IF(C115="peso_corporal",IF(ISNUMBER(E115),E115,0)+R115,R115)*(30+S115)*100+R115,0))</f>
        <v>0</v>
      </c>
      <c r="AB115" s="69">
        <f>IF(AA115=0,0,IF(IF((S115&gt;=6)*(1-(IF(T115="",-1,T115)&gt;=1)*(IF(T115="",-1,T115)&lt;=3))*(1-(IF(T115="",-1,T115)=0)),IF(C115="peso_corporal",IF(ISNUMBER(E115),E115,0)+R115,R115)*(30+S115)*100+R115,0)=AA115,5,IF(IF((P115&gt;=6)*(1-(IF(Q115="",-1,Q115)&gt;=1)*(IF(Q115="",-1,Q115)&lt;=3))*(1-(IF(Q115="",-1,Q115)=0)),IF(C115="peso_corporal",IF(ISNUMBER(E115),E115,0)+O115,O115)*(30+P115)*100+O115,0)=AA115,4,IF(IF((M115&gt;=6)*(1-(IF(N115="",-1,N115)&gt;=1)*(IF(N115="",-1,N115)&lt;=3))*(1-(IF(N115="",-1,N115)=0)),IF(C115="peso_corporal",IF(ISNUMBER(E115),E115,0)+L115,L115)*(30+M115)*100+L115,0)=AA115,3,IF(IF((J115&gt;=6)*(1-(IF(K115="",-1,K115)&gt;=1)*(IF(K115="",-1,K115)&lt;=3))*(1-(IF(K115="",-1,K115)=0)),IF(C115="peso_corporal",IF(ISNUMBER(E115),E115,0)+I115,I115)*(30+J115)*100+I115,0)=AA115,2,IF(IF((G115&gt;=6)*(1-(IF(H115="",-1,H115)&gt;=1)*(IF(H115="",-1,H115)&lt;=3))*(1-(IF(H115="",-1,H115)=0)),IF(C115="peso_corporal",IF(ISNUMBER(E115),E115,0)+F115,F115)*(30+G115)*100+F115,0)=AA115,1,0))))))</f>
        <v>0</v>
      </c>
      <c r="AC115" s="69" t="str">
        <f>IF(X115&gt;0,"A"&amp;X115,IF(Z115&gt;0,"B"&amp;Z115,IF(AB115&gt;0,"C"&amp;AB115,"")))</f>
        <v/>
      </c>
    </row>
    <row r="116" spans="1:29" ht="20.100000000000001" customHeight="1">
      <c r="A116" s="14" t="s">
        <v>146</v>
      </c>
      <c r="B116" s="15" t="s">
        <v>152</v>
      </c>
      <c r="C116" s="16" t="str">
        <f>IFERROR(INDEX(EJERCICIOS!$D$3:$D$75,MATCH(A116&amp;"|"&amp;B116,EJERCICIOS!$G$3:$G$75,0)),"--")</f>
        <v>--</v>
      </c>
      <c r="D116" s="17">
        <v>3</v>
      </c>
      <c r="E116" s="18">
        <f>IFERROR(LOOKUP(2,1/(MEDIDAS_Y_PESO!$B$3:$B$7&lt;&gt;""),MEDIDAS_Y_PESO!$B$3:$B$7),"--")</f>
        <v>80</v>
      </c>
      <c r="F116" s="19"/>
      <c r="G116" s="20"/>
      <c r="H116" s="21"/>
      <c r="I116" s="19"/>
      <c r="J116" s="20"/>
      <c r="K116" s="21"/>
      <c r="L116" s="19"/>
      <c r="M116" s="20"/>
      <c r="N116" s="21"/>
      <c r="O116" s="19"/>
      <c r="P116" s="20"/>
      <c r="Q116" s="21"/>
      <c r="R116" s="19"/>
      <c r="S116" s="20"/>
      <c r="T116" s="21"/>
      <c r="U116" s="22" t="str">
        <f>IFERROR(IF(IF(X116&gt;0,X116,IF(Z116&gt;0,Z116,IF(AB116&gt;0,AB116,0)))=0,"--",ROUND(CHOOSE(IF(X116&gt;0,X116,IF(Z116&gt;0,Z116,IF(AB116&gt;0,AB116,0))),IF(C116="peso_corporal",IF(ISNUMBER(E116),E116,0)+F116,F116)*(1+G116/30),IF(C116="peso_corporal",IF(ISNUMBER(E116),E116,0)+I116,I116)*(1+J116/30),IF(C116="peso_corporal",IF(ISNUMBER(E116),E116,0)+L116,L116)*(1+M116/30),IF(C116="peso_corporal",IF(ISNUMBER(E116),E116,0)+O116,O116)*(1+P116/30),IF(C116="peso_corporal",IF(ISNUMBER(E116),E116,0)+R116,R116)*(1+S116/30)),1)),"--")</f>
        <v>--</v>
      </c>
      <c r="V116" s="23" t="str">
        <f>IF(SUGERENCIAS!N290="SIN","Sin datos anteriores",IF(SUGERENCIAS!N290="SUBIR_F","^ SUBIR FUERTE | Kg:"&amp;ROUND(SUGERENCIAS!K290,1)&amp;" R:"&amp;ROUND(SUGERENCIAS!L290,0)&amp;" RIR:"&amp;ROUND(SUGERENCIAS!M290,0),IF(SUGERENCIAS!N290="SUBIR_E","^ SUBIR (Est.) | Kg:"&amp;ROUND(SUGERENCIAS!K290,1)&amp;" R:"&amp;ROUND(SUGERENCIAS!L290,0)&amp;" RIR:"&amp;ROUND(SUGERENCIAS!M290,0),IF(SUGERENCIAS!N290="SUBIR","^ SUBIR | Kg:"&amp;ROUND(SUGERENCIAS!K290,1)&amp;" R:"&amp;ROUND(SUGERENCIAS!L290,0)&amp;" RIR:"&amp;ROUND(SUGERENCIAS!M290,0),IF(SUGERENCIAS!N290="BAJAR","v BAJAR | Kg:"&amp;ROUND(SUGERENCIAS!K290,1)&amp;" R:"&amp;ROUND(SUGERENCIAS!L290,0)&amp;" RIR:"&amp;ROUND(SUGERENCIAS!M290,0),"= MANT | Kg:"&amp;ROUND(SUGERENCIAS!K290,1)&amp;" R:"&amp;ROUND(SUGERENCIAS!L290,0)&amp;" RIR:"&amp;ROUND(SUGERENCIAS!M290,0))))))</f>
        <v>Sin datos anteriores</v>
      </c>
      <c r="W116" s="69">
        <f>MAX(IF((G116&gt;0)*(IF(H116="",-1,H116)&gt;=1)*(IF(H116="",-1,H116)&lt;=3),IF(C116="peso_corporal",IF(ISNUMBER(E116),E116,0)+F116,F116)*G116*1000+F116,0),IF((J116&gt;0)*(IF(K116="",-1,K116)&gt;=1)*(IF(K116="",-1,K116)&lt;=3),IF(C116="peso_corporal",IF(ISNUMBER(E116),E116,0)+I116,I116)*J116*1000+I116,0),IF((M116&gt;0)*(IF(N116="",-1,N116)&gt;=1)*(IF(N116="",-1,N116)&lt;=3),IF(C116="peso_corporal",IF(ISNUMBER(E116),E116,0)+L116,L116)*M116*1000+L116,0),IF((P116&gt;0)*(IF(Q116="",-1,Q116)&gt;=1)*(IF(Q116="",-1,Q116)&lt;=3),IF(C116="peso_corporal",IF(ISNUMBER(E116),E116,0)+O116,O116)*P116*1000+O116,0),IF((S116&gt;0)*(IF(T116="",-1,T116)&gt;=1)*(IF(T116="",-1,T116)&lt;=3),IF(C116="peso_corporal",IF(ISNUMBER(E116),E116,0)+R116,R116)*S116*1000+R116,0))</f>
        <v>0</v>
      </c>
      <c r="X116" s="69">
        <f>IF(W116=0,0,IF(IF((S116&gt;0)*(IF(T116="",-1,T116)&gt;=1)*(IF(T116="",-1,T116)&lt;=3),IF(C116="peso_corporal",IF(ISNUMBER(E116),E116,0)+R116,R116)*S116*1000+R116,0)=W116,5,IF(IF((P116&gt;0)*(IF(Q116="",-1,Q116)&gt;=1)*(IF(Q116="",-1,Q116)&lt;=3),IF(C116="peso_corporal",IF(ISNUMBER(E116),E116,0)+O116,O116)*P116*1000+O116,0)=W116,4,IF(IF((M116&gt;0)*(IF(N116="",-1,N116)&gt;=1)*(IF(N116="",-1,N116)&lt;=3),IF(C116="peso_corporal",IF(ISNUMBER(E116),E116,0)+L116,L116)*M116*1000+L116,0)=W116,3,IF(IF((J116&gt;0)*(IF(K116="",-1,K116)&gt;=1)*(IF(K116="",-1,K116)&lt;=3),IF(C116="peso_corporal",IF(ISNUMBER(E116),E116,0)+I116,I116)*J116*1000+I116,0)=W116,2,IF(IF((G116&gt;0)*(IF(H116="",-1,H116)&gt;=1)*(IF(H116="",-1,H116)&lt;=3),IF(C116="peso_corporal",IF(ISNUMBER(E116),E116,0)+F116,F116)*G116*1000+F116,0)=W116,1,0))))))</f>
        <v>0</v>
      </c>
      <c r="Y116" s="69">
        <f>MAX(IF((G116&gt;0)*(IF(H116="",-1,H116)=0)*(1-(IF(H116="",-1,H116)&gt;=1)*(IF(H116="",-1,H116)&lt;=3)),IF(C116="peso_corporal",IF(ISNUMBER(E116),E116,0)+F116,F116)*G116*1000+F116,0),IF((J116&gt;0)*(IF(K116="",-1,K116)=0)*(1-(IF(K116="",-1,K116)&gt;=1)*(IF(K116="",-1,K116)&lt;=3)),IF(C116="peso_corporal",IF(ISNUMBER(E116),E116,0)+I116,I116)*J116*1000+I116,0),IF((M116&gt;0)*(IF(N116="",-1,N116)=0)*(1-(IF(N116="",-1,N116)&gt;=1)*(IF(N116="",-1,N116)&lt;=3)),IF(C116="peso_corporal",IF(ISNUMBER(E116),E116,0)+L116,L116)*M116*1000+L116,0),IF((P116&gt;0)*(IF(Q116="",-1,Q116)=0)*(1-(IF(Q116="",-1,Q116)&gt;=1)*(IF(Q116="",-1,Q116)&lt;=3)),IF(C116="peso_corporal",IF(ISNUMBER(E116),E116,0)+O116,O116)*P116*1000+O116,0),IF((S116&gt;0)*(IF(T116="",-1,T116)=0)*(1-(IF(T116="",-1,T116)&gt;=1)*(IF(T116="",-1,T116)&lt;=3)),IF(C116="peso_corporal",IF(ISNUMBER(E116),E116,0)+R116,R116)*S116*1000+R116,0))</f>
        <v>0</v>
      </c>
      <c r="Z116" s="69">
        <f>IF(Y116=0,0,IF(IF((S116&gt;0)*(IF(T116="",-1,T116)=0)*(1-(IF(T116="",-1,T116)&gt;=1)*(IF(T116="",-1,T116)&lt;=3)),IF(C116="peso_corporal",IF(ISNUMBER(E116),E116,0)+R116,R116)*S116*1000+R116,0)=Y116,5,IF(IF((P116&gt;0)*(IF(Q116="",-1,Q116)=0)*(1-(IF(Q116="",-1,Q116)&gt;=1)*(IF(Q116="",-1,Q116)&lt;=3)),IF(C116="peso_corporal",IF(ISNUMBER(E116),E116,0)+O116,O116)*P116*1000+O116,0)=Y116,4,IF(IF((M116&gt;0)*(IF(N116="",-1,N116)=0)*(1-(IF(N116="",-1,N116)&gt;=1)*(IF(N116="",-1,N116)&lt;=3)),IF(C116="peso_corporal",IF(ISNUMBER(E116),E116,0)+L116,L116)*M116*1000+L116,0)=Y116,3,IF(IF((J116&gt;0)*(IF(K116="",-1,K116)=0)*(1-(IF(K116="",-1,K116)&gt;=1)*(IF(K116="",-1,K116)&lt;=3)),IF(C116="peso_corporal",IF(ISNUMBER(E116),E116,0)+I116,I116)*J116*1000+I116,0)=Y116,2,IF(IF((G116&gt;0)*(IF(H116="",-1,H116)=0)*(1-(IF(H116="",-1,H116)&gt;=1)*(IF(H116="",-1,H116)&lt;=3)),IF(C116="peso_corporal",IF(ISNUMBER(E116),E116,0)+F116,F116)*G116*1000+F116,0)=Y116,1,0))))))</f>
        <v>0</v>
      </c>
      <c r="AA116" s="69">
        <f>MAX(IF((G116&gt;=6)*(1-(IF(H116="",-1,H116)&gt;=1)*(IF(H116="",-1,H116)&lt;=3))*(1-(IF(H116="",-1,H116)=0)),IF(C116="peso_corporal",IF(ISNUMBER(E116),E116,0)+F116,F116)*(30+G116)*100+F116,0),IF((J116&gt;=6)*(1-(IF(K116="",-1,K116)&gt;=1)*(IF(K116="",-1,K116)&lt;=3))*(1-(IF(K116="",-1,K116)=0)),IF(C116="peso_corporal",IF(ISNUMBER(E116),E116,0)+I116,I116)*(30+J116)*100+I116,0),IF((M116&gt;=6)*(1-(IF(N116="",-1,N116)&gt;=1)*(IF(N116="",-1,N116)&lt;=3))*(1-(IF(N116="",-1,N116)=0)),IF(C116="peso_corporal",IF(ISNUMBER(E116),E116,0)+L116,L116)*(30+M116)*100+L116,0),IF((P116&gt;=6)*(1-(IF(Q116="",-1,Q116)&gt;=1)*(IF(Q116="",-1,Q116)&lt;=3))*(1-(IF(Q116="",-1,Q116)=0)),IF(C116="peso_corporal",IF(ISNUMBER(E116),E116,0)+O116,O116)*(30+P116)*100+O116,0),IF((S116&gt;=6)*(1-(IF(T116="",-1,T116)&gt;=1)*(IF(T116="",-1,T116)&lt;=3))*(1-(IF(T116="",-1,T116)=0)),IF(C116="peso_corporal",IF(ISNUMBER(E116),E116,0)+R116,R116)*(30+S116)*100+R116,0))</f>
        <v>0</v>
      </c>
      <c r="AB116" s="69">
        <f>IF(AA116=0,0,IF(IF((S116&gt;=6)*(1-(IF(T116="",-1,T116)&gt;=1)*(IF(T116="",-1,T116)&lt;=3))*(1-(IF(T116="",-1,T116)=0)),IF(C116="peso_corporal",IF(ISNUMBER(E116),E116,0)+R116,R116)*(30+S116)*100+R116,0)=AA116,5,IF(IF((P116&gt;=6)*(1-(IF(Q116="",-1,Q116)&gt;=1)*(IF(Q116="",-1,Q116)&lt;=3))*(1-(IF(Q116="",-1,Q116)=0)),IF(C116="peso_corporal",IF(ISNUMBER(E116),E116,0)+O116,O116)*(30+P116)*100+O116,0)=AA116,4,IF(IF((M116&gt;=6)*(1-(IF(N116="",-1,N116)&gt;=1)*(IF(N116="",-1,N116)&lt;=3))*(1-(IF(N116="",-1,N116)=0)),IF(C116="peso_corporal",IF(ISNUMBER(E116),E116,0)+L116,L116)*(30+M116)*100+L116,0)=AA116,3,IF(IF((J116&gt;=6)*(1-(IF(K116="",-1,K116)&gt;=1)*(IF(K116="",-1,K116)&lt;=3))*(1-(IF(K116="",-1,K116)=0)),IF(C116="peso_corporal",IF(ISNUMBER(E116),E116,0)+I116,I116)*(30+J116)*100+I116,0)=AA116,2,IF(IF((G116&gt;=6)*(1-(IF(H116="",-1,H116)&gt;=1)*(IF(H116="",-1,H116)&lt;=3))*(1-(IF(H116="",-1,H116)=0)),IF(C116="peso_corporal",IF(ISNUMBER(E116),E116,0)+F116,F116)*(30+G116)*100+F116,0)=AA116,1,0))))))</f>
        <v>0</v>
      </c>
      <c r="AC116" s="69" t="str">
        <f>IF(X116&gt;0,"A"&amp;X116,IF(Z116&gt;0,"B"&amp;Z116,IF(AB116&gt;0,"C"&amp;AB116,"")))</f>
        <v/>
      </c>
    </row>
    <row r="117" spans="1:29" ht="20.100000000000001" customHeight="1">
      <c r="A117" s="14" t="s">
        <v>148</v>
      </c>
      <c r="B117" s="15" t="s">
        <v>149</v>
      </c>
      <c r="C117" s="16" t="str">
        <f>IFERROR(INDEX(EJERCICIOS!$D$3:$D$75,MATCH(A117&amp;"|"&amp;B117,EJERCICIOS!$G$3:$G$75,0)),"--")</f>
        <v>--</v>
      </c>
      <c r="D117" s="17">
        <v>3</v>
      </c>
      <c r="E117" s="18">
        <f>IFERROR(LOOKUP(2,1/(MEDIDAS_Y_PESO!$B$3:$B$7&lt;&gt;""),MEDIDAS_Y_PESO!$B$3:$B$7),"--")</f>
        <v>80</v>
      </c>
      <c r="F117" s="19"/>
      <c r="G117" s="20"/>
      <c r="H117" s="21"/>
      <c r="I117" s="19"/>
      <c r="J117" s="20"/>
      <c r="K117" s="21"/>
      <c r="L117" s="19"/>
      <c r="M117" s="20"/>
      <c r="N117" s="21"/>
      <c r="O117" s="19"/>
      <c r="P117" s="20"/>
      <c r="Q117" s="21"/>
      <c r="R117" s="19"/>
      <c r="S117" s="20"/>
      <c r="T117" s="21"/>
      <c r="U117" s="22" t="str">
        <f>IFERROR(IF(IF(X117&gt;0,X117,IF(Z117&gt;0,Z117,IF(AB117&gt;0,AB117,0)))=0,"--",ROUND(CHOOSE(IF(X117&gt;0,X117,IF(Z117&gt;0,Z117,IF(AB117&gt;0,AB117,0))),IF(C117="peso_corporal",IF(ISNUMBER(E117),E117,0)+F117,F117)*(1+G117/30),IF(C117="peso_corporal",IF(ISNUMBER(E117),E117,0)+I117,I117)*(1+J117/30),IF(C117="peso_corporal",IF(ISNUMBER(E117),E117,0)+L117,L117)*(1+M117/30),IF(C117="peso_corporal",IF(ISNUMBER(E117),E117,0)+O117,O117)*(1+P117/30),IF(C117="peso_corporal",IF(ISNUMBER(E117),E117,0)+R117,R117)*(1+S117/30)),1)),"--")</f>
        <v>--</v>
      </c>
      <c r="V117" s="23" t="str">
        <f>IF(SUGERENCIAS!N291="SIN","Sin datos anteriores",IF(SUGERENCIAS!N291="SUBIR_F","^ SUBIR FUERTE | Kg:"&amp;ROUND(SUGERENCIAS!K291,1)&amp;" R:"&amp;ROUND(SUGERENCIAS!L291,0)&amp;" RIR:"&amp;ROUND(SUGERENCIAS!M291,0),IF(SUGERENCIAS!N291="SUBIR_E","^ SUBIR (Est.) | Kg:"&amp;ROUND(SUGERENCIAS!K291,1)&amp;" R:"&amp;ROUND(SUGERENCIAS!L291,0)&amp;" RIR:"&amp;ROUND(SUGERENCIAS!M291,0),IF(SUGERENCIAS!N291="SUBIR","^ SUBIR | Kg:"&amp;ROUND(SUGERENCIAS!K291,1)&amp;" R:"&amp;ROUND(SUGERENCIAS!L291,0)&amp;" RIR:"&amp;ROUND(SUGERENCIAS!M291,0),IF(SUGERENCIAS!N291="BAJAR","v BAJAR | Kg:"&amp;ROUND(SUGERENCIAS!K291,1)&amp;" R:"&amp;ROUND(SUGERENCIAS!L291,0)&amp;" RIR:"&amp;ROUND(SUGERENCIAS!M291,0),"= MANT | Kg:"&amp;ROUND(SUGERENCIAS!K291,1)&amp;" R:"&amp;ROUND(SUGERENCIAS!L291,0)&amp;" RIR:"&amp;ROUND(SUGERENCIAS!M291,0))))))</f>
        <v>Sin datos anteriores</v>
      </c>
      <c r="W117" s="69">
        <f>MAX(IF((G117&gt;0)*(IF(H117="",-1,H117)&gt;=1)*(IF(H117="",-1,H117)&lt;=3),IF(C117="peso_corporal",IF(ISNUMBER(E117),E117,0)+F117,F117)*G117*1000+F117,0),IF((J117&gt;0)*(IF(K117="",-1,K117)&gt;=1)*(IF(K117="",-1,K117)&lt;=3),IF(C117="peso_corporal",IF(ISNUMBER(E117),E117,0)+I117,I117)*J117*1000+I117,0),IF((M117&gt;0)*(IF(N117="",-1,N117)&gt;=1)*(IF(N117="",-1,N117)&lt;=3),IF(C117="peso_corporal",IF(ISNUMBER(E117),E117,0)+L117,L117)*M117*1000+L117,0),IF((P117&gt;0)*(IF(Q117="",-1,Q117)&gt;=1)*(IF(Q117="",-1,Q117)&lt;=3),IF(C117="peso_corporal",IF(ISNUMBER(E117),E117,0)+O117,O117)*P117*1000+O117,0),IF((S117&gt;0)*(IF(T117="",-1,T117)&gt;=1)*(IF(T117="",-1,T117)&lt;=3),IF(C117="peso_corporal",IF(ISNUMBER(E117),E117,0)+R117,R117)*S117*1000+R117,0))</f>
        <v>0</v>
      </c>
      <c r="X117" s="69">
        <f>IF(W117=0,0,IF(IF((S117&gt;0)*(IF(T117="",-1,T117)&gt;=1)*(IF(T117="",-1,T117)&lt;=3),IF(C117="peso_corporal",IF(ISNUMBER(E117),E117,0)+R117,R117)*S117*1000+R117,0)=W117,5,IF(IF((P117&gt;0)*(IF(Q117="",-1,Q117)&gt;=1)*(IF(Q117="",-1,Q117)&lt;=3),IF(C117="peso_corporal",IF(ISNUMBER(E117),E117,0)+O117,O117)*P117*1000+O117,0)=W117,4,IF(IF((M117&gt;0)*(IF(N117="",-1,N117)&gt;=1)*(IF(N117="",-1,N117)&lt;=3),IF(C117="peso_corporal",IF(ISNUMBER(E117),E117,0)+L117,L117)*M117*1000+L117,0)=W117,3,IF(IF((J117&gt;0)*(IF(K117="",-1,K117)&gt;=1)*(IF(K117="",-1,K117)&lt;=3),IF(C117="peso_corporal",IF(ISNUMBER(E117),E117,0)+I117,I117)*J117*1000+I117,0)=W117,2,IF(IF((G117&gt;0)*(IF(H117="",-1,H117)&gt;=1)*(IF(H117="",-1,H117)&lt;=3),IF(C117="peso_corporal",IF(ISNUMBER(E117),E117,0)+F117,F117)*G117*1000+F117,0)=W117,1,0))))))</f>
        <v>0</v>
      </c>
      <c r="Y117" s="69">
        <f>MAX(IF((G117&gt;0)*(IF(H117="",-1,H117)=0)*(1-(IF(H117="",-1,H117)&gt;=1)*(IF(H117="",-1,H117)&lt;=3)),IF(C117="peso_corporal",IF(ISNUMBER(E117),E117,0)+F117,F117)*G117*1000+F117,0),IF((J117&gt;0)*(IF(K117="",-1,K117)=0)*(1-(IF(K117="",-1,K117)&gt;=1)*(IF(K117="",-1,K117)&lt;=3)),IF(C117="peso_corporal",IF(ISNUMBER(E117),E117,0)+I117,I117)*J117*1000+I117,0),IF((M117&gt;0)*(IF(N117="",-1,N117)=0)*(1-(IF(N117="",-1,N117)&gt;=1)*(IF(N117="",-1,N117)&lt;=3)),IF(C117="peso_corporal",IF(ISNUMBER(E117),E117,0)+L117,L117)*M117*1000+L117,0),IF((P117&gt;0)*(IF(Q117="",-1,Q117)=0)*(1-(IF(Q117="",-1,Q117)&gt;=1)*(IF(Q117="",-1,Q117)&lt;=3)),IF(C117="peso_corporal",IF(ISNUMBER(E117),E117,0)+O117,O117)*P117*1000+O117,0),IF((S117&gt;0)*(IF(T117="",-1,T117)=0)*(1-(IF(T117="",-1,T117)&gt;=1)*(IF(T117="",-1,T117)&lt;=3)),IF(C117="peso_corporal",IF(ISNUMBER(E117),E117,0)+R117,R117)*S117*1000+R117,0))</f>
        <v>0</v>
      </c>
      <c r="Z117" s="69">
        <f>IF(Y117=0,0,IF(IF((S117&gt;0)*(IF(T117="",-1,T117)=0)*(1-(IF(T117="",-1,T117)&gt;=1)*(IF(T117="",-1,T117)&lt;=3)),IF(C117="peso_corporal",IF(ISNUMBER(E117),E117,0)+R117,R117)*S117*1000+R117,0)=Y117,5,IF(IF((P117&gt;0)*(IF(Q117="",-1,Q117)=0)*(1-(IF(Q117="",-1,Q117)&gt;=1)*(IF(Q117="",-1,Q117)&lt;=3)),IF(C117="peso_corporal",IF(ISNUMBER(E117),E117,0)+O117,O117)*P117*1000+O117,0)=Y117,4,IF(IF((M117&gt;0)*(IF(N117="",-1,N117)=0)*(1-(IF(N117="",-1,N117)&gt;=1)*(IF(N117="",-1,N117)&lt;=3)),IF(C117="peso_corporal",IF(ISNUMBER(E117),E117,0)+L117,L117)*M117*1000+L117,0)=Y117,3,IF(IF((J117&gt;0)*(IF(K117="",-1,K117)=0)*(1-(IF(K117="",-1,K117)&gt;=1)*(IF(K117="",-1,K117)&lt;=3)),IF(C117="peso_corporal",IF(ISNUMBER(E117),E117,0)+I117,I117)*J117*1000+I117,0)=Y117,2,IF(IF((G117&gt;0)*(IF(H117="",-1,H117)=0)*(1-(IF(H117="",-1,H117)&gt;=1)*(IF(H117="",-1,H117)&lt;=3)),IF(C117="peso_corporal",IF(ISNUMBER(E117),E117,0)+F117,F117)*G117*1000+F117,0)=Y117,1,0))))))</f>
        <v>0</v>
      </c>
      <c r="AA117" s="69">
        <f>MAX(IF((G117&gt;=6)*(1-(IF(H117="",-1,H117)&gt;=1)*(IF(H117="",-1,H117)&lt;=3))*(1-(IF(H117="",-1,H117)=0)),IF(C117="peso_corporal",IF(ISNUMBER(E117),E117,0)+F117,F117)*(30+G117)*100+F117,0),IF((J117&gt;=6)*(1-(IF(K117="",-1,K117)&gt;=1)*(IF(K117="",-1,K117)&lt;=3))*(1-(IF(K117="",-1,K117)=0)),IF(C117="peso_corporal",IF(ISNUMBER(E117),E117,0)+I117,I117)*(30+J117)*100+I117,0),IF((M117&gt;=6)*(1-(IF(N117="",-1,N117)&gt;=1)*(IF(N117="",-1,N117)&lt;=3))*(1-(IF(N117="",-1,N117)=0)),IF(C117="peso_corporal",IF(ISNUMBER(E117),E117,0)+L117,L117)*(30+M117)*100+L117,0),IF((P117&gt;=6)*(1-(IF(Q117="",-1,Q117)&gt;=1)*(IF(Q117="",-1,Q117)&lt;=3))*(1-(IF(Q117="",-1,Q117)=0)),IF(C117="peso_corporal",IF(ISNUMBER(E117),E117,0)+O117,O117)*(30+P117)*100+O117,0),IF((S117&gt;=6)*(1-(IF(T117="",-1,T117)&gt;=1)*(IF(T117="",-1,T117)&lt;=3))*(1-(IF(T117="",-1,T117)=0)),IF(C117="peso_corporal",IF(ISNUMBER(E117),E117,0)+R117,R117)*(30+S117)*100+R117,0))</f>
        <v>0</v>
      </c>
      <c r="AB117" s="69">
        <f>IF(AA117=0,0,IF(IF((S117&gt;=6)*(1-(IF(T117="",-1,T117)&gt;=1)*(IF(T117="",-1,T117)&lt;=3))*(1-(IF(T117="",-1,T117)=0)),IF(C117="peso_corporal",IF(ISNUMBER(E117),E117,0)+R117,R117)*(30+S117)*100+R117,0)=AA117,5,IF(IF((P117&gt;=6)*(1-(IF(Q117="",-1,Q117)&gt;=1)*(IF(Q117="",-1,Q117)&lt;=3))*(1-(IF(Q117="",-1,Q117)=0)),IF(C117="peso_corporal",IF(ISNUMBER(E117),E117,0)+O117,O117)*(30+P117)*100+O117,0)=AA117,4,IF(IF((M117&gt;=6)*(1-(IF(N117="",-1,N117)&gt;=1)*(IF(N117="",-1,N117)&lt;=3))*(1-(IF(N117="",-1,N117)=0)),IF(C117="peso_corporal",IF(ISNUMBER(E117),E117,0)+L117,L117)*(30+M117)*100+L117,0)=AA117,3,IF(IF((J117&gt;=6)*(1-(IF(K117="",-1,K117)&gt;=1)*(IF(K117="",-1,K117)&lt;=3))*(1-(IF(K117="",-1,K117)=0)),IF(C117="peso_corporal",IF(ISNUMBER(E117),E117,0)+I117,I117)*(30+J117)*100+I117,0)=AA117,2,IF(IF((G117&gt;=6)*(1-(IF(H117="",-1,H117)&gt;=1)*(IF(H117="",-1,H117)&lt;=3))*(1-(IF(H117="",-1,H117)=0)),IF(C117="peso_corporal",IF(ISNUMBER(E117),E117,0)+F117,F117)*(30+G117)*100+F117,0)=AA117,1,0))))))</f>
        <v>0</v>
      </c>
      <c r="AC117" s="69" t="str">
        <f>IF(X117&gt;0,"A"&amp;X117,IF(Z117&gt;0,"B"&amp;Z117,IF(AB117&gt;0,"C"&amp;AB117,"")))</f>
        <v/>
      </c>
    </row>
    <row r="118" spans="1:29" ht="20.100000000000001" customHeight="1">
      <c r="A118" s="14" t="s">
        <v>150</v>
      </c>
      <c r="B118" s="15" t="s">
        <v>151</v>
      </c>
      <c r="C118" s="16" t="str">
        <f>IFERROR(INDEX(EJERCICIOS!$D$3:$D$75,MATCH(A118&amp;"|"&amp;B118,EJERCICIOS!$G$3:$G$75,0)),"--")</f>
        <v>peso_corporal</v>
      </c>
      <c r="D118" s="17">
        <v>3</v>
      </c>
      <c r="E118" s="18">
        <f>IFERROR(LOOKUP(2,1/(MEDIDAS_Y_PESO!$B$3:$B$7&lt;&gt;""),MEDIDAS_Y_PESO!$B$3:$B$7),"--")</f>
        <v>80</v>
      </c>
      <c r="F118" s="19"/>
      <c r="G118" s="20"/>
      <c r="H118" s="21"/>
      <c r="I118" s="19"/>
      <c r="J118" s="20"/>
      <c r="K118" s="21"/>
      <c r="L118" s="19"/>
      <c r="M118" s="20"/>
      <c r="N118" s="21"/>
      <c r="O118" s="19"/>
      <c r="P118" s="20"/>
      <c r="Q118" s="21"/>
      <c r="R118" s="19"/>
      <c r="S118" s="20"/>
      <c r="T118" s="21"/>
      <c r="U118" s="22" t="str">
        <f>IFERROR(IF(IF(X118&gt;0,X118,IF(Z118&gt;0,Z118,IF(AB118&gt;0,AB118,0)))=0,"--",ROUND(CHOOSE(IF(X118&gt;0,X118,IF(Z118&gt;0,Z118,IF(AB118&gt;0,AB118,0))),IF(C118="peso_corporal",IF(ISNUMBER(E118),E118,0)+F118,F118)*(1+G118/30),IF(C118="peso_corporal",IF(ISNUMBER(E118),E118,0)+I118,I118)*(1+J118/30),IF(C118="peso_corporal",IF(ISNUMBER(E118),E118,0)+L118,L118)*(1+M118/30),IF(C118="peso_corporal",IF(ISNUMBER(E118),E118,0)+O118,O118)*(1+P118/30),IF(C118="peso_corporal",IF(ISNUMBER(E118),E118,0)+R118,R118)*(1+S118/30)),1)),"--")</f>
        <v>--</v>
      </c>
      <c r="V118" s="23" t="str">
        <f>IF(SUGERENCIAS!N292="SIN","Sin datos anteriores",IF(SUGERENCIAS!N292="SUBIR_F","^ SUBIR FUERTE | Kg:"&amp;ROUND(SUGERENCIAS!K292,1)&amp;" R:"&amp;ROUND(SUGERENCIAS!L292,0)&amp;" RIR:"&amp;ROUND(SUGERENCIAS!M292,0),IF(SUGERENCIAS!N292="SUBIR_E","^ SUBIR (Est.) | Kg:"&amp;ROUND(SUGERENCIAS!K292,1)&amp;" R:"&amp;ROUND(SUGERENCIAS!L292,0)&amp;" RIR:"&amp;ROUND(SUGERENCIAS!M292,0),IF(SUGERENCIAS!N292="SUBIR","^ SUBIR | Kg:"&amp;ROUND(SUGERENCIAS!K292,1)&amp;" R:"&amp;ROUND(SUGERENCIAS!L292,0)&amp;" RIR:"&amp;ROUND(SUGERENCIAS!M292,0),IF(SUGERENCIAS!N292="BAJAR","v BAJAR | Kg:"&amp;ROUND(SUGERENCIAS!K292,1)&amp;" R:"&amp;ROUND(SUGERENCIAS!L292,0)&amp;" RIR:"&amp;ROUND(SUGERENCIAS!M292,0),"= MANT | Kg:"&amp;ROUND(SUGERENCIAS!K292,1)&amp;" R:"&amp;ROUND(SUGERENCIAS!L292,0)&amp;" RIR:"&amp;ROUND(SUGERENCIAS!M292,0))))))</f>
        <v>Sin datos anteriores</v>
      </c>
      <c r="W118" s="69">
        <f>MAX(IF((G118&gt;0)*(IF(H118="",-1,H118)&gt;=1)*(IF(H118="",-1,H118)&lt;=3),IF(C118="peso_corporal",IF(ISNUMBER(E118),E118,0)+F118,F118)*G118*1000+F118,0),IF((J118&gt;0)*(IF(K118="",-1,K118)&gt;=1)*(IF(K118="",-1,K118)&lt;=3),IF(C118="peso_corporal",IF(ISNUMBER(E118),E118,0)+I118,I118)*J118*1000+I118,0),IF((M118&gt;0)*(IF(N118="",-1,N118)&gt;=1)*(IF(N118="",-1,N118)&lt;=3),IF(C118="peso_corporal",IF(ISNUMBER(E118),E118,0)+L118,L118)*M118*1000+L118,0),IF((P118&gt;0)*(IF(Q118="",-1,Q118)&gt;=1)*(IF(Q118="",-1,Q118)&lt;=3),IF(C118="peso_corporal",IF(ISNUMBER(E118),E118,0)+O118,O118)*P118*1000+O118,0),IF((S118&gt;0)*(IF(T118="",-1,T118)&gt;=1)*(IF(T118="",-1,T118)&lt;=3),IF(C118="peso_corporal",IF(ISNUMBER(E118),E118,0)+R118,R118)*S118*1000+R118,0))</f>
        <v>0</v>
      </c>
      <c r="X118" s="69">
        <f>IF(W118=0,0,IF(IF((S118&gt;0)*(IF(T118="",-1,T118)&gt;=1)*(IF(T118="",-1,T118)&lt;=3),IF(C118="peso_corporal",IF(ISNUMBER(E118),E118,0)+R118,R118)*S118*1000+R118,0)=W118,5,IF(IF((P118&gt;0)*(IF(Q118="",-1,Q118)&gt;=1)*(IF(Q118="",-1,Q118)&lt;=3),IF(C118="peso_corporal",IF(ISNUMBER(E118),E118,0)+O118,O118)*P118*1000+O118,0)=W118,4,IF(IF((M118&gt;0)*(IF(N118="",-1,N118)&gt;=1)*(IF(N118="",-1,N118)&lt;=3),IF(C118="peso_corporal",IF(ISNUMBER(E118),E118,0)+L118,L118)*M118*1000+L118,0)=W118,3,IF(IF((J118&gt;0)*(IF(K118="",-1,K118)&gt;=1)*(IF(K118="",-1,K118)&lt;=3),IF(C118="peso_corporal",IF(ISNUMBER(E118),E118,0)+I118,I118)*J118*1000+I118,0)=W118,2,IF(IF((G118&gt;0)*(IF(H118="",-1,H118)&gt;=1)*(IF(H118="",-1,H118)&lt;=3),IF(C118="peso_corporal",IF(ISNUMBER(E118),E118,0)+F118,F118)*G118*1000+F118,0)=W118,1,0))))))</f>
        <v>0</v>
      </c>
      <c r="Y118" s="69">
        <f>MAX(IF((G118&gt;0)*(IF(H118="",-1,H118)=0)*(1-(IF(H118="",-1,H118)&gt;=1)*(IF(H118="",-1,H118)&lt;=3)),IF(C118="peso_corporal",IF(ISNUMBER(E118),E118,0)+F118,F118)*G118*1000+F118,0),IF((J118&gt;0)*(IF(K118="",-1,K118)=0)*(1-(IF(K118="",-1,K118)&gt;=1)*(IF(K118="",-1,K118)&lt;=3)),IF(C118="peso_corporal",IF(ISNUMBER(E118),E118,0)+I118,I118)*J118*1000+I118,0),IF((M118&gt;0)*(IF(N118="",-1,N118)=0)*(1-(IF(N118="",-1,N118)&gt;=1)*(IF(N118="",-1,N118)&lt;=3)),IF(C118="peso_corporal",IF(ISNUMBER(E118),E118,0)+L118,L118)*M118*1000+L118,0),IF((P118&gt;0)*(IF(Q118="",-1,Q118)=0)*(1-(IF(Q118="",-1,Q118)&gt;=1)*(IF(Q118="",-1,Q118)&lt;=3)),IF(C118="peso_corporal",IF(ISNUMBER(E118),E118,0)+O118,O118)*P118*1000+O118,0),IF((S118&gt;0)*(IF(T118="",-1,T118)=0)*(1-(IF(T118="",-1,T118)&gt;=1)*(IF(T118="",-1,T118)&lt;=3)),IF(C118="peso_corporal",IF(ISNUMBER(E118),E118,0)+R118,R118)*S118*1000+R118,0))</f>
        <v>0</v>
      </c>
      <c r="Z118" s="69">
        <f>IF(Y118=0,0,IF(IF((S118&gt;0)*(IF(T118="",-1,T118)=0)*(1-(IF(T118="",-1,T118)&gt;=1)*(IF(T118="",-1,T118)&lt;=3)),IF(C118="peso_corporal",IF(ISNUMBER(E118),E118,0)+R118,R118)*S118*1000+R118,0)=Y118,5,IF(IF((P118&gt;0)*(IF(Q118="",-1,Q118)=0)*(1-(IF(Q118="",-1,Q118)&gt;=1)*(IF(Q118="",-1,Q118)&lt;=3)),IF(C118="peso_corporal",IF(ISNUMBER(E118),E118,0)+O118,O118)*P118*1000+O118,0)=Y118,4,IF(IF((M118&gt;0)*(IF(N118="",-1,N118)=0)*(1-(IF(N118="",-1,N118)&gt;=1)*(IF(N118="",-1,N118)&lt;=3)),IF(C118="peso_corporal",IF(ISNUMBER(E118),E118,0)+L118,L118)*M118*1000+L118,0)=Y118,3,IF(IF((J118&gt;0)*(IF(K118="",-1,K118)=0)*(1-(IF(K118="",-1,K118)&gt;=1)*(IF(K118="",-1,K118)&lt;=3)),IF(C118="peso_corporal",IF(ISNUMBER(E118),E118,0)+I118,I118)*J118*1000+I118,0)=Y118,2,IF(IF((G118&gt;0)*(IF(H118="",-1,H118)=0)*(1-(IF(H118="",-1,H118)&gt;=1)*(IF(H118="",-1,H118)&lt;=3)),IF(C118="peso_corporal",IF(ISNUMBER(E118),E118,0)+F118,F118)*G118*1000+F118,0)=Y118,1,0))))))</f>
        <v>0</v>
      </c>
      <c r="AA118" s="69">
        <f>MAX(IF((G118&gt;=6)*(1-(IF(H118="",-1,H118)&gt;=1)*(IF(H118="",-1,H118)&lt;=3))*(1-(IF(H118="",-1,H118)=0)),IF(C118="peso_corporal",IF(ISNUMBER(E118),E118,0)+F118,F118)*(30+G118)*100+F118,0),IF((J118&gt;=6)*(1-(IF(K118="",-1,K118)&gt;=1)*(IF(K118="",-1,K118)&lt;=3))*(1-(IF(K118="",-1,K118)=0)),IF(C118="peso_corporal",IF(ISNUMBER(E118),E118,0)+I118,I118)*(30+J118)*100+I118,0),IF((M118&gt;=6)*(1-(IF(N118="",-1,N118)&gt;=1)*(IF(N118="",-1,N118)&lt;=3))*(1-(IF(N118="",-1,N118)=0)),IF(C118="peso_corporal",IF(ISNUMBER(E118),E118,0)+L118,L118)*(30+M118)*100+L118,0),IF((P118&gt;=6)*(1-(IF(Q118="",-1,Q118)&gt;=1)*(IF(Q118="",-1,Q118)&lt;=3))*(1-(IF(Q118="",-1,Q118)=0)),IF(C118="peso_corporal",IF(ISNUMBER(E118),E118,0)+O118,O118)*(30+P118)*100+O118,0),IF((S118&gt;=6)*(1-(IF(T118="",-1,T118)&gt;=1)*(IF(T118="",-1,T118)&lt;=3))*(1-(IF(T118="",-1,T118)=0)),IF(C118="peso_corporal",IF(ISNUMBER(E118),E118,0)+R118,R118)*(30+S118)*100+R118,0))</f>
        <v>0</v>
      </c>
      <c r="AB118" s="69">
        <f>IF(AA118=0,0,IF(IF((S118&gt;=6)*(1-(IF(T118="",-1,T118)&gt;=1)*(IF(T118="",-1,T118)&lt;=3))*(1-(IF(T118="",-1,T118)=0)),IF(C118="peso_corporal",IF(ISNUMBER(E118),E118,0)+R118,R118)*(30+S118)*100+R118,0)=AA118,5,IF(IF((P118&gt;=6)*(1-(IF(Q118="",-1,Q118)&gt;=1)*(IF(Q118="",-1,Q118)&lt;=3))*(1-(IF(Q118="",-1,Q118)=0)),IF(C118="peso_corporal",IF(ISNUMBER(E118),E118,0)+O118,O118)*(30+P118)*100+O118,0)=AA118,4,IF(IF((M118&gt;=6)*(1-(IF(N118="",-1,N118)&gt;=1)*(IF(N118="",-1,N118)&lt;=3))*(1-(IF(N118="",-1,N118)=0)),IF(C118="peso_corporal",IF(ISNUMBER(E118),E118,0)+L118,L118)*(30+M118)*100+L118,0)=AA118,3,IF(IF((J118&gt;=6)*(1-(IF(K118="",-1,K118)&gt;=1)*(IF(K118="",-1,K118)&lt;=3))*(1-(IF(K118="",-1,K118)=0)),IF(C118="peso_corporal",IF(ISNUMBER(E118),E118,0)+I118,I118)*(30+J118)*100+I118,0)=AA118,2,IF(IF((G118&gt;=6)*(1-(IF(H118="",-1,H118)&gt;=1)*(IF(H118="",-1,H118)&lt;=3))*(1-(IF(H118="",-1,H118)=0)),IF(C118="peso_corporal",IF(ISNUMBER(E118),E118,0)+F118,F118)*(30+G118)*100+F118,0)=AA118,1,0))))))</f>
        <v>0</v>
      </c>
      <c r="AC118" s="69" t="str">
        <f>IF(X118&gt;0,"A"&amp;X118,IF(Z118&gt;0,"B"&amp;Z118,IF(AB118&gt;0,"C"&amp;AB118,"")))</f>
        <v/>
      </c>
    </row>
    <row r="119" spans="1:29" ht="6"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69"/>
      <c r="X119" s="69"/>
      <c r="Y119" s="69"/>
      <c r="Z119" s="69"/>
      <c r="AA119" s="69"/>
      <c r="AB119" s="69"/>
      <c r="AC119" s="69"/>
    </row>
    <row r="120" spans="1:29" ht="18" customHeight="1">
      <c r="A120" s="85" t="s">
        <v>71</v>
      </c>
      <c r="B120" s="73"/>
      <c r="C120" s="73"/>
      <c r="D120" s="73"/>
      <c r="E120" s="73"/>
      <c r="F120" s="73"/>
      <c r="G120" s="73"/>
      <c r="H120" s="73"/>
      <c r="I120" s="73"/>
      <c r="J120" s="73"/>
      <c r="K120" s="73"/>
      <c r="L120" s="73"/>
      <c r="M120" s="73"/>
      <c r="N120" s="73"/>
      <c r="O120" s="73"/>
      <c r="P120" s="73"/>
      <c r="Q120" s="73"/>
      <c r="R120" s="73"/>
      <c r="S120" s="73"/>
      <c r="T120" s="73"/>
      <c r="U120" s="73"/>
      <c r="V120" s="73"/>
      <c r="W120" s="69"/>
      <c r="X120" s="69"/>
      <c r="Y120" s="69"/>
      <c r="Z120" s="69"/>
      <c r="AA120" s="69"/>
      <c r="AB120" s="69"/>
      <c r="AC120" s="69"/>
    </row>
    <row r="121" spans="1:29" ht="15" customHeight="1">
      <c r="A121" s="88" t="s">
        <v>129</v>
      </c>
      <c r="B121" s="73"/>
      <c r="C121" s="73"/>
      <c r="D121" s="73"/>
      <c r="E121" s="73"/>
      <c r="F121" s="73"/>
      <c r="G121" s="73"/>
      <c r="H121" s="73"/>
      <c r="I121" s="73"/>
      <c r="J121" s="73"/>
      <c r="K121" s="73"/>
      <c r="L121" s="73"/>
      <c r="M121" s="73"/>
      <c r="N121" s="73"/>
      <c r="O121" s="73"/>
      <c r="P121" s="73"/>
      <c r="Q121" s="73"/>
      <c r="R121" s="73"/>
      <c r="S121" s="73"/>
      <c r="T121" s="73"/>
      <c r="U121" s="73"/>
      <c r="V121" s="73"/>
      <c r="W121" s="69"/>
      <c r="X121" s="69"/>
      <c r="Y121" s="69"/>
      <c r="Z121" s="69"/>
      <c r="AA121" s="69"/>
      <c r="AB121" s="69"/>
      <c r="AC121" s="69"/>
    </row>
    <row r="122" spans="1:29" ht="20.100000000000001" customHeight="1">
      <c r="A122" s="14" t="s">
        <v>130</v>
      </c>
      <c r="B122" s="15" t="s">
        <v>131</v>
      </c>
      <c r="C122" s="16" t="str">
        <f>IFERROR(INDEX(EJERCICIOS!$D$3:$D$75,MATCH(A122&amp;"|"&amp;B122,EJERCICIOS!$G$3:$G$75,0)),"--")</f>
        <v>polea</v>
      </c>
      <c r="D122" s="17">
        <v>3</v>
      </c>
      <c r="E122" s="18">
        <f>IFERROR(LOOKUP(2,1/(MEDIDAS_Y_PESO!$B$3:$B$8&lt;&gt;""),MEDIDAS_Y_PESO!$B$3:$B$8),"--")</f>
        <v>80</v>
      </c>
      <c r="F122" s="19"/>
      <c r="G122" s="20"/>
      <c r="H122" s="21"/>
      <c r="I122" s="19"/>
      <c r="J122" s="20"/>
      <c r="K122" s="21"/>
      <c r="L122" s="19"/>
      <c r="M122" s="20"/>
      <c r="N122" s="21"/>
      <c r="O122" s="19"/>
      <c r="P122" s="20"/>
      <c r="Q122" s="21"/>
      <c r="R122" s="19"/>
      <c r="S122" s="20"/>
      <c r="T122" s="21"/>
      <c r="U122" s="22" t="str">
        <f>IFERROR(IF(IF(X122&gt;0,X122,IF(Z122&gt;0,Z122,IF(AB122&gt;0,AB122,0)))=0,"--",ROUND(CHOOSE(IF(X122&gt;0,X122,IF(Z122&gt;0,Z122,IF(AB122&gt;0,AB122,0))),IF(C122="peso_corporal",IF(ISNUMBER(E122),E122,0)+F122,F122)*(1+G122/30),IF(C122="peso_corporal",IF(ISNUMBER(E122),E122,0)+I122,I122)*(1+J122/30),IF(C122="peso_corporal",IF(ISNUMBER(E122),E122,0)+L122,L122)*(1+M122/30),IF(C122="peso_corporal",IF(ISNUMBER(E122),E122,0)+O122,O122)*(1+P122/30),IF(C122="peso_corporal",IF(ISNUMBER(E122),E122,0)+R122,R122)*(1+S122/30)),1)),"--")</f>
        <v>--</v>
      </c>
      <c r="V122" s="23" t="str">
        <f>IF(SUGERENCIAS!N341="SIN","Sin datos anteriores",IF(SUGERENCIAS!N341="SUBIR_F","^ SUBIR FUERTE | Kg:"&amp;ROUND(SUGERENCIAS!K341,1)&amp;" R:"&amp;ROUND(SUGERENCIAS!L341,0)&amp;" RIR:"&amp;ROUND(SUGERENCIAS!M341,0),IF(SUGERENCIAS!N341="SUBIR_E","^ SUBIR (Est.) | Kg:"&amp;ROUND(SUGERENCIAS!K341,1)&amp;" R:"&amp;ROUND(SUGERENCIAS!L341,0)&amp;" RIR:"&amp;ROUND(SUGERENCIAS!M341,0),IF(SUGERENCIAS!N341="SUBIR","^ SUBIR | Kg:"&amp;ROUND(SUGERENCIAS!K341,1)&amp;" R:"&amp;ROUND(SUGERENCIAS!L341,0)&amp;" RIR:"&amp;ROUND(SUGERENCIAS!M341,0),IF(SUGERENCIAS!N341="BAJAR","v BAJAR | Kg:"&amp;ROUND(SUGERENCIAS!K341,1)&amp;" R:"&amp;ROUND(SUGERENCIAS!L341,0)&amp;" RIR:"&amp;ROUND(SUGERENCIAS!M341,0),"= MANT | Kg:"&amp;ROUND(SUGERENCIAS!K341,1)&amp;" R:"&amp;ROUND(SUGERENCIAS!L341,0)&amp;" RIR:"&amp;ROUND(SUGERENCIAS!M341,0))))))</f>
        <v>Sin datos anteriores</v>
      </c>
      <c r="W122" s="69">
        <f>MAX(IF((G122&gt;0)*(IF(H122="",-1,H122)&gt;=0)*(IF(H122="",-1,H122)&lt;=1),IF(C122="peso_corporal",IF(ISNUMBER(E122),E122,0)+F122,F122)*G122*1000+F122,0),IF((J122&gt;0)*(IF(K122="",-1,K122)&gt;=0)*(IF(K122="",-1,K122)&lt;=1),IF(C122="peso_corporal",IF(ISNUMBER(E122),E122,0)+I122,I122)*J122*1000+I122,0),IF((M122&gt;0)*(IF(N122="",-1,N122)&gt;=0)*(IF(N122="",-1,N122)&lt;=1),IF(C122="peso_corporal",IF(ISNUMBER(E122),E122,0)+L122,L122)*M122*1000+L122,0),IF((P122&gt;0)*(IF(Q122="",-1,Q122)&gt;=0)*(IF(Q122="",-1,Q122)&lt;=1),IF(C122="peso_corporal",IF(ISNUMBER(E122),E122,0)+O122,O122)*P122*1000+O122,0),IF((S122&gt;0)*(IF(T122="",-1,T122)&gt;=0)*(IF(T122="",-1,T122)&lt;=1),IF(C122="peso_corporal",IF(ISNUMBER(E122),E122,0)+R122,R122)*S122*1000+R122,0))</f>
        <v>0</v>
      </c>
      <c r="X122" s="69">
        <f>IF(W122=0,0,IF(IF((S122&gt;0)*(IF(T122="",-1,T122)&gt;=0)*(IF(T122="",-1,T122)&lt;=1),IF(C122="peso_corporal",IF(ISNUMBER(E122),E122,0)+R122,R122)*S122*1000+R122,0)=W122,5,IF(IF((P122&gt;0)*(IF(Q122="",-1,Q122)&gt;=0)*(IF(Q122="",-1,Q122)&lt;=1),IF(C122="peso_corporal",IF(ISNUMBER(E122),E122,0)+O122,O122)*P122*1000+O122,0)=W122,4,IF(IF((M122&gt;0)*(IF(N122="",-1,N122)&gt;=0)*(IF(N122="",-1,N122)&lt;=1),IF(C122="peso_corporal",IF(ISNUMBER(E122),E122,0)+L122,L122)*M122*1000+L122,0)=W122,3,IF(IF((J122&gt;0)*(IF(K122="",-1,K122)&gt;=0)*(IF(K122="",-1,K122)&lt;=1),IF(C122="peso_corporal",IF(ISNUMBER(E122),E122,0)+I122,I122)*J122*1000+I122,0)=W122,2,IF(IF((G122&gt;0)*(IF(H122="",-1,H122)&gt;=0)*(IF(H122="",-1,H122)&lt;=1),IF(C122="peso_corporal",IF(ISNUMBER(E122),E122,0)+F122,F122)*G122*1000+F122,0)=W122,1,0))))))</f>
        <v>0</v>
      </c>
      <c r="Y122" s="69">
        <f>MAX(IF((G122&gt;0)*(IF(H122="",-1,H122)=0)*(1-(IF(H122="",-1,H122)&gt;=0)*(IF(H122="",-1,H122)&lt;=1)),IF(C122="peso_corporal",IF(ISNUMBER(E122),E122,0)+F122,F122)*G122*1000+F122,0),IF((J122&gt;0)*(IF(K122="",-1,K122)=0)*(1-(IF(K122="",-1,K122)&gt;=0)*(IF(K122="",-1,K122)&lt;=1)),IF(C122="peso_corporal",IF(ISNUMBER(E122),E122,0)+I122,I122)*J122*1000+I122,0),IF((M122&gt;0)*(IF(N122="",-1,N122)=0)*(1-(IF(N122="",-1,N122)&gt;=0)*(IF(N122="",-1,N122)&lt;=1)),IF(C122="peso_corporal",IF(ISNUMBER(E122),E122,0)+L122,L122)*M122*1000+L122,0),IF((P122&gt;0)*(IF(Q122="",-1,Q122)=0)*(1-(IF(Q122="",-1,Q122)&gt;=0)*(IF(Q122="",-1,Q122)&lt;=1)),IF(C122="peso_corporal",IF(ISNUMBER(E122),E122,0)+O122,O122)*P122*1000+O122,0),IF((S122&gt;0)*(IF(T122="",-1,T122)=0)*(1-(IF(T122="",-1,T122)&gt;=0)*(IF(T122="",-1,T122)&lt;=1)),IF(C122="peso_corporal",IF(ISNUMBER(E122),E122,0)+R122,R122)*S122*1000+R122,0))</f>
        <v>0</v>
      </c>
      <c r="Z122" s="69">
        <f>IF(Y122=0,0,IF(IF((S122&gt;0)*(IF(T122="",-1,T122)=0)*(1-(IF(T122="",-1,T122)&gt;=0)*(IF(T122="",-1,T122)&lt;=1)),IF(C122="peso_corporal",IF(ISNUMBER(E122),E122,0)+R122,R122)*S122*1000+R122,0)=Y122,5,IF(IF((P122&gt;0)*(IF(Q122="",-1,Q122)=0)*(1-(IF(Q122="",-1,Q122)&gt;=0)*(IF(Q122="",-1,Q122)&lt;=1)),IF(C122="peso_corporal",IF(ISNUMBER(E122),E122,0)+O122,O122)*P122*1000+O122,0)=Y122,4,IF(IF((M122&gt;0)*(IF(N122="",-1,N122)=0)*(1-(IF(N122="",-1,N122)&gt;=0)*(IF(N122="",-1,N122)&lt;=1)),IF(C122="peso_corporal",IF(ISNUMBER(E122),E122,0)+L122,L122)*M122*1000+L122,0)=Y122,3,IF(IF((J122&gt;0)*(IF(K122="",-1,K122)=0)*(1-(IF(K122="",-1,K122)&gt;=0)*(IF(K122="",-1,K122)&lt;=1)),IF(C122="peso_corporal",IF(ISNUMBER(E122),E122,0)+I122,I122)*J122*1000+I122,0)=Y122,2,IF(IF((G122&gt;0)*(IF(H122="",-1,H122)=0)*(1-(IF(H122="",-1,H122)&gt;=0)*(IF(H122="",-1,H122)&lt;=1)),IF(C122="peso_corporal",IF(ISNUMBER(E122),E122,0)+F122,F122)*G122*1000+F122,0)=Y122,1,0))))))</f>
        <v>0</v>
      </c>
      <c r="AA122" s="69">
        <f>MAX(IF((G122&gt;=3)*(1-(IF(H122="",-1,H122)&gt;=0)*(IF(H122="",-1,H122)&lt;=1))*(1-(IF(H122="",-1,H122)=0)),IF(C122="peso_corporal",IF(ISNUMBER(E122),E122,0)+F122,F122)*(30+G122)*100+F122,0),IF((J122&gt;=3)*(1-(IF(K122="",-1,K122)&gt;=0)*(IF(K122="",-1,K122)&lt;=1))*(1-(IF(K122="",-1,K122)=0)),IF(C122="peso_corporal",IF(ISNUMBER(E122),E122,0)+I122,I122)*(30+J122)*100+I122,0),IF((M122&gt;=3)*(1-(IF(N122="",-1,N122)&gt;=0)*(IF(N122="",-1,N122)&lt;=1))*(1-(IF(N122="",-1,N122)=0)),IF(C122="peso_corporal",IF(ISNUMBER(E122),E122,0)+L122,L122)*(30+M122)*100+L122,0),IF((P122&gt;=3)*(1-(IF(Q122="",-1,Q122)&gt;=0)*(IF(Q122="",-1,Q122)&lt;=1))*(1-(IF(Q122="",-1,Q122)=0)),IF(C122="peso_corporal",IF(ISNUMBER(E122),E122,0)+O122,O122)*(30+P122)*100+O122,0),IF((S122&gt;=3)*(1-(IF(T122="",-1,T122)&gt;=0)*(IF(T122="",-1,T122)&lt;=1))*(1-(IF(T122="",-1,T122)=0)),IF(C122="peso_corporal",IF(ISNUMBER(E122),E122,0)+R122,R122)*(30+S122)*100+R122,0))</f>
        <v>0</v>
      </c>
      <c r="AB122" s="69">
        <f>IF(AA122=0,0,IF(IF((S122&gt;=3)*(1-(IF(T122="",-1,T122)&gt;=0)*(IF(T122="",-1,T122)&lt;=1))*(1-(IF(T122="",-1,T122)=0)),IF(C122="peso_corporal",IF(ISNUMBER(E122),E122,0)+R122,R122)*(30+S122)*100+R122,0)=AA122,5,IF(IF((P122&gt;=3)*(1-(IF(Q122="",-1,Q122)&gt;=0)*(IF(Q122="",-1,Q122)&lt;=1))*(1-(IF(Q122="",-1,Q122)=0)),IF(C122="peso_corporal",IF(ISNUMBER(E122),E122,0)+O122,O122)*(30+P122)*100+O122,0)=AA122,4,IF(IF((M122&gt;=3)*(1-(IF(N122="",-1,N122)&gt;=0)*(IF(N122="",-1,N122)&lt;=1))*(1-(IF(N122="",-1,N122)=0)),IF(C122="peso_corporal",IF(ISNUMBER(E122),E122,0)+L122,L122)*(30+M122)*100+L122,0)=AA122,3,IF(IF((J122&gt;=3)*(1-(IF(K122="",-1,K122)&gt;=0)*(IF(K122="",-1,K122)&lt;=1))*(1-(IF(K122="",-1,K122)=0)),IF(C122="peso_corporal",IF(ISNUMBER(E122),E122,0)+I122,I122)*(30+J122)*100+I122,0)=AA122,2,IF(IF((G122&gt;=3)*(1-(IF(H122="",-1,H122)&gt;=0)*(IF(H122="",-1,H122)&lt;=1))*(1-(IF(H122="",-1,H122)=0)),IF(C122="peso_corporal",IF(ISNUMBER(E122),E122,0)+F122,F122)*(30+G122)*100+F122,0)=AA122,1,0))))))</f>
        <v>0</v>
      </c>
      <c r="AC122" s="69" t="str">
        <f>IF(X122&gt;0,"A"&amp;X122,IF(Z122&gt;0,"B"&amp;Z122,IF(AB122&gt;0,"C"&amp;AB122,"")))</f>
        <v/>
      </c>
    </row>
    <row r="123" spans="1:29" ht="20.100000000000001" customHeight="1">
      <c r="A123" s="14" t="s">
        <v>130</v>
      </c>
      <c r="B123" s="15" t="s">
        <v>132</v>
      </c>
      <c r="C123" s="16" t="str">
        <f>IFERROR(INDEX(EJERCICIOS!$D$3:$D$75,MATCH(A123&amp;"|"&amp;B123,EJERCICIOS!$G$3:$G$75,0)),"--")</f>
        <v>polea</v>
      </c>
      <c r="D123" s="17">
        <v>3</v>
      </c>
      <c r="E123" s="18">
        <f>IFERROR(LOOKUP(2,1/(MEDIDAS_Y_PESO!$B$3:$B$8&lt;&gt;""),MEDIDAS_Y_PESO!$B$3:$B$8),"--")</f>
        <v>80</v>
      </c>
      <c r="F123" s="19"/>
      <c r="G123" s="20"/>
      <c r="H123" s="21"/>
      <c r="I123" s="19"/>
      <c r="J123" s="20"/>
      <c r="K123" s="21"/>
      <c r="L123" s="19"/>
      <c r="M123" s="20"/>
      <c r="N123" s="21"/>
      <c r="O123" s="19"/>
      <c r="P123" s="20"/>
      <c r="Q123" s="21"/>
      <c r="R123" s="19"/>
      <c r="S123" s="20"/>
      <c r="T123" s="21"/>
      <c r="U123" s="22" t="str">
        <f>IFERROR(IF(IF(X123&gt;0,X123,IF(Z123&gt;0,Z123,IF(AB123&gt;0,AB123,0)))=0,"--",ROUND(CHOOSE(IF(X123&gt;0,X123,IF(Z123&gt;0,Z123,IF(AB123&gt;0,AB123,0))),IF(C123="peso_corporal",IF(ISNUMBER(E123),E123,0)+F123,F123)*(1+G123/30),IF(C123="peso_corporal",IF(ISNUMBER(E123),E123,0)+I123,I123)*(1+J123/30),IF(C123="peso_corporal",IF(ISNUMBER(E123),E123,0)+L123,L123)*(1+M123/30),IF(C123="peso_corporal",IF(ISNUMBER(E123),E123,0)+O123,O123)*(1+P123/30),IF(C123="peso_corporal",IF(ISNUMBER(E123),E123,0)+R123,R123)*(1+S123/30)),1)),"--")</f>
        <v>--</v>
      </c>
      <c r="V123" s="23" t="str">
        <f>IF(SUGERENCIAS!N342="SIN","Sin datos anteriores",IF(SUGERENCIAS!N342="SUBIR_F","^ SUBIR FUERTE | Kg:"&amp;ROUND(SUGERENCIAS!K342,1)&amp;" R:"&amp;ROUND(SUGERENCIAS!L342,0)&amp;" RIR:"&amp;ROUND(SUGERENCIAS!M342,0),IF(SUGERENCIAS!N342="SUBIR_E","^ SUBIR (Est.) | Kg:"&amp;ROUND(SUGERENCIAS!K342,1)&amp;" R:"&amp;ROUND(SUGERENCIAS!L342,0)&amp;" RIR:"&amp;ROUND(SUGERENCIAS!M342,0),IF(SUGERENCIAS!N342="SUBIR","^ SUBIR | Kg:"&amp;ROUND(SUGERENCIAS!K342,1)&amp;" R:"&amp;ROUND(SUGERENCIAS!L342,0)&amp;" RIR:"&amp;ROUND(SUGERENCIAS!M342,0),IF(SUGERENCIAS!N342="BAJAR","v BAJAR | Kg:"&amp;ROUND(SUGERENCIAS!K342,1)&amp;" R:"&amp;ROUND(SUGERENCIAS!L342,0)&amp;" RIR:"&amp;ROUND(SUGERENCIAS!M342,0),"= MANT | Kg:"&amp;ROUND(SUGERENCIAS!K342,1)&amp;" R:"&amp;ROUND(SUGERENCIAS!L342,0)&amp;" RIR:"&amp;ROUND(SUGERENCIAS!M342,0))))))</f>
        <v>Sin datos anteriores</v>
      </c>
      <c r="W123" s="69">
        <f>MAX(IF((G123&gt;0)*(IF(H123="",-1,H123)&gt;=0)*(IF(H123="",-1,H123)&lt;=1),IF(C123="peso_corporal",IF(ISNUMBER(E123),E123,0)+F123,F123)*G123*1000+F123,0),IF((J123&gt;0)*(IF(K123="",-1,K123)&gt;=0)*(IF(K123="",-1,K123)&lt;=1),IF(C123="peso_corporal",IF(ISNUMBER(E123),E123,0)+I123,I123)*J123*1000+I123,0),IF((M123&gt;0)*(IF(N123="",-1,N123)&gt;=0)*(IF(N123="",-1,N123)&lt;=1),IF(C123="peso_corporal",IF(ISNUMBER(E123),E123,0)+L123,L123)*M123*1000+L123,0),IF((P123&gt;0)*(IF(Q123="",-1,Q123)&gt;=0)*(IF(Q123="",-1,Q123)&lt;=1),IF(C123="peso_corporal",IF(ISNUMBER(E123),E123,0)+O123,O123)*P123*1000+O123,0),IF((S123&gt;0)*(IF(T123="",-1,T123)&gt;=0)*(IF(T123="",-1,T123)&lt;=1),IF(C123="peso_corporal",IF(ISNUMBER(E123),E123,0)+R123,R123)*S123*1000+R123,0))</f>
        <v>0</v>
      </c>
      <c r="X123" s="69">
        <f>IF(W123=0,0,IF(IF((S123&gt;0)*(IF(T123="",-1,T123)&gt;=0)*(IF(T123="",-1,T123)&lt;=1),IF(C123="peso_corporal",IF(ISNUMBER(E123),E123,0)+R123,R123)*S123*1000+R123,0)=W123,5,IF(IF((P123&gt;0)*(IF(Q123="",-1,Q123)&gt;=0)*(IF(Q123="",-1,Q123)&lt;=1),IF(C123="peso_corporal",IF(ISNUMBER(E123),E123,0)+O123,O123)*P123*1000+O123,0)=W123,4,IF(IF((M123&gt;0)*(IF(N123="",-1,N123)&gt;=0)*(IF(N123="",-1,N123)&lt;=1),IF(C123="peso_corporal",IF(ISNUMBER(E123),E123,0)+L123,L123)*M123*1000+L123,0)=W123,3,IF(IF((J123&gt;0)*(IF(K123="",-1,K123)&gt;=0)*(IF(K123="",-1,K123)&lt;=1),IF(C123="peso_corporal",IF(ISNUMBER(E123),E123,0)+I123,I123)*J123*1000+I123,0)=W123,2,IF(IF((G123&gt;0)*(IF(H123="",-1,H123)&gt;=0)*(IF(H123="",-1,H123)&lt;=1),IF(C123="peso_corporal",IF(ISNUMBER(E123),E123,0)+F123,F123)*G123*1000+F123,0)=W123,1,0))))))</f>
        <v>0</v>
      </c>
      <c r="Y123" s="69">
        <f>MAX(IF((G123&gt;0)*(IF(H123="",-1,H123)=0)*(1-(IF(H123="",-1,H123)&gt;=0)*(IF(H123="",-1,H123)&lt;=1)),IF(C123="peso_corporal",IF(ISNUMBER(E123),E123,0)+F123,F123)*G123*1000+F123,0),IF((J123&gt;0)*(IF(K123="",-1,K123)=0)*(1-(IF(K123="",-1,K123)&gt;=0)*(IF(K123="",-1,K123)&lt;=1)),IF(C123="peso_corporal",IF(ISNUMBER(E123),E123,0)+I123,I123)*J123*1000+I123,0),IF((M123&gt;0)*(IF(N123="",-1,N123)=0)*(1-(IF(N123="",-1,N123)&gt;=0)*(IF(N123="",-1,N123)&lt;=1)),IF(C123="peso_corporal",IF(ISNUMBER(E123),E123,0)+L123,L123)*M123*1000+L123,0),IF((P123&gt;0)*(IF(Q123="",-1,Q123)=0)*(1-(IF(Q123="",-1,Q123)&gt;=0)*(IF(Q123="",-1,Q123)&lt;=1)),IF(C123="peso_corporal",IF(ISNUMBER(E123),E123,0)+O123,O123)*P123*1000+O123,0),IF((S123&gt;0)*(IF(T123="",-1,T123)=0)*(1-(IF(T123="",-1,T123)&gt;=0)*(IF(T123="",-1,T123)&lt;=1)),IF(C123="peso_corporal",IF(ISNUMBER(E123),E123,0)+R123,R123)*S123*1000+R123,0))</f>
        <v>0</v>
      </c>
      <c r="Z123" s="69">
        <f>IF(Y123=0,0,IF(IF((S123&gt;0)*(IF(T123="",-1,T123)=0)*(1-(IF(T123="",-1,T123)&gt;=0)*(IF(T123="",-1,T123)&lt;=1)),IF(C123="peso_corporal",IF(ISNUMBER(E123),E123,0)+R123,R123)*S123*1000+R123,0)=Y123,5,IF(IF((P123&gt;0)*(IF(Q123="",-1,Q123)=0)*(1-(IF(Q123="",-1,Q123)&gt;=0)*(IF(Q123="",-1,Q123)&lt;=1)),IF(C123="peso_corporal",IF(ISNUMBER(E123),E123,0)+O123,O123)*P123*1000+O123,0)=Y123,4,IF(IF((M123&gt;0)*(IF(N123="",-1,N123)=0)*(1-(IF(N123="",-1,N123)&gt;=0)*(IF(N123="",-1,N123)&lt;=1)),IF(C123="peso_corporal",IF(ISNUMBER(E123),E123,0)+L123,L123)*M123*1000+L123,0)=Y123,3,IF(IF((J123&gt;0)*(IF(K123="",-1,K123)=0)*(1-(IF(K123="",-1,K123)&gt;=0)*(IF(K123="",-1,K123)&lt;=1)),IF(C123="peso_corporal",IF(ISNUMBER(E123),E123,0)+I123,I123)*J123*1000+I123,0)=Y123,2,IF(IF((G123&gt;0)*(IF(H123="",-1,H123)=0)*(1-(IF(H123="",-1,H123)&gt;=0)*(IF(H123="",-1,H123)&lt;=1)),IF(C123="peso_corporal",IF(ISNUMBER(E123),E123,0)+F123,F123)*G123*1000+F123,0)=Y123,1,0))))))</f>
        <v>0</v>
      </c>
      <c r="AA123" s="69">
        <f>MAX(IF((G123&gt;=3)*(1-(IF(H123="",-1,H123)&gt;=0)*(IF(H123="",-1,H123)&lt;=1))*(1-(IF(H123="",-1,H123)=0)),IF(C123="peso_corporal",IF(ISNUMBER(E123),E123,0)+F123,F123)*(30+G123)*100+F123,0),IF((J123&gt;=3)*(1-(IF(K123="",-1,K123)&gt;=0)*(IF(K123="",-1,K123)&lt;=1))*(1-(IF(K123="",-1,K123)=0)),IF(C123="peso_corporal",IF(ISNUMBER(E123),E123,0)+I123,I123)*(30+J123)*100+I123,0),IF((M123&gt;=3)*(1-(IF(N123="",-1,N123)&gt;=0)*(IF(N123="",-1,N123)&lt;=1))*(1-(IF(N123="",-1,N123)=0)),IF(C123="peso_corporal",IF(ISNUMBER(E123),E123,0)+L123,L123)*(30+M123)*100+L123,0),IF((P123&gt;=3)*(1-(IF(Q123="",-1,Q123)&gt;=0)*(IF(Q123="",-1,Q123)&lt;=1))*(1-(IF(Q123="",-1,Q123)=0)),IF(C123="peso_corporal",IF(ISNUMBER(E123),E123,0)+O123,O123)*(30+P123)*100+O123,0),IF((S123&gt;=3)*(1-(IF(T123="",-1,T123)&gt;=0)*(IF(T123="",-1,T123)&lt;=1))*(1-(IF(T123="",-1,T123)=0)),IF(C123="peso_corporal",IF(ISNUMBER(E123),E123,0)+R123,R123)*(30+S123)*100+R123,0))</f>
        <v>0</v>
      </c>
      <c r="AB123" s="69">
        <f>IF(AA123=0,0,IF(IF((S123&gt;=3)*(1-(IF(T123="",-1,T123)&gt;=0)*(IF(T123="",-1,T123)&lt;=1))*(1-(IF(T123="",-1,T123)=0)),IF(C123="peso_corporal",IF(ISNUMBER(E123),E123,0)+R123,R123)*(30+S123)*100+R123,0)=AA123,5,IF(IF((P123&gt;=3)*(1-(IF(Q123="",-1,Q123)&gt;=0)*(IF(Q123="",-1,Q123)&lt;=1))*(1-(IF(Q123="",-1,Q123)=0)),IF(C123="peso_corporal",IF(ISNUMBER(E123),E123,0)+O123,O123)*(30+P123)*100+O123,0)=AA123,4,IF(IF((M123&gt;=3)*(1-(IF(N123="",-1,N123)&gt;=0)*(IF(N123="",-1,N123)&lt;=1))*(1-(IF(N123="",-1,N123)=0)),IF(C123="peso_corporal",IF(ISNUMBER(E123),E123,0)+L123,L123)*(30+M123)*100+L123,0)=AA123,3,IF(IF((J123&gt;=3)*(1-(IF(K123="",-1,K123)&gt;=0)*(IF(K123="",-1,K123)&lt;=1))*(1-(IF(K123="",-1,K123)=0)),IF(C123="peso_corporal",IF(ISNUMBER(E123),E123,0)+I123,I123)*(30+J123)*100+I123,0)=AA123,2,IF(IF((G123&gt;=3)*(1-(IF(H123="",-1,H123)&gt;=0)*(IF(H123="",-1,H123)&lt;=1))*(1-(IF(H123="",-1,H123)=0)),IF(C123="peso_corporal",IF(ISNUMBER(E123),E123,0)+F123,F123)*(30+G123)*100+F123,0)=AA123,1,0))))))</f>
        <v>0</v>
      </c>
      <c r="AC123" s="69" t="str">
        <f>IF(X123&gt;0,"A"&amp;X123,IF(Z123&gt;0,"B"&amp;Z123,IF(AB123&gt;0,"C"&amp;AB123,"")))</f>
        <v/>
      </c>
    </row>
    <row r="124" spans="1:29" ht="20.100000000000001" customHeight="1">
      <c r="A124" s="14" t="s">
        <v>133</v>
      </c>
      <c r="B124" s="15" t="s">
        <v>31</v>
      </c>
      <c r="C124" s="16" t="str">
        <f>IFERROR(INDEX(EJERCICIOS!$D$3:$D$75,MATCH(A124&amp;"|"&amp;B124,EJERCICIOS!$G$3:$G$75,0)),"--")</f>
        <v>mancuerna</v>
      </c>
      <c r="D124" s="17">
        <v>3</v>
      </c>
      <c r="E124" s="18">
        <f>IFERROR(LOOKUP(2,1/(MEDIDAS_Y_PESO!$B$3:$B$8&lt;&gt;""),MEDIDAS_Y_PESO!$B$3:$B$8),"--")</f>
        <v>80</v>
      </c>
      <c r="F124" s="19"/>
      <c r="G124" s="20"/>
      <c r="H124" s="21"/>
      <c r="I124" s="19"/>
      <c r="J124" s="20"/>
      <c r="K124" s="21"/>
      <c r="L124" s="19"/>
      <c r="M124" s="20"/>
      <c r="N124" s="21"/>
      <c r="O124" s="19"/>
      <c r="P124" s="20"/>
      <c r="Q124" s="21"/>
      <c r="R124" s="19"/>
      <c r="S124" s="20"/>
      <c r="T124" s="21"/>
      <c r="U124" s="22" t="str">
        <f>IFERROR(IF(IF(X124&gt;0,X124,IF(Z124&gt;0,Z124,IF(AB124&gt;0,AB124,0)))=0,"--",ROUND(CHOOSE(IF(X124&gt;0,X124,IF(Z124&gt;0,Z124,IF(AB124&gt;0,AB124,0))),IF(C124="peso_corporal",IF(ISNUMBER(E124),E124,0)+F124,F124)*(1+G124/30),IF(C124="peso_corporal",IF(ISNUMBER(E124),E124,0)+I124,I124)*(1+J124/30),IF(C124="peso_corporal",IF(ISNUMBER(E124),E124,0)+L124,L124)*(1+M124/30),IF(C124="peso_corporal",IF(ISNUMBER(E124),E124,0)+O124,O124)*(1+P124/30),IF(C124="peso_corporal",IF(ISNUMBER(E124),E124,0)+R124,R124)*(1+S124/30)),1)),"--")</f>
        <v>--</v>
      </c>
      <c r="V124" s="23" t="str">
        <f>IF(SUGERENCIAS!N343="SIN","Sin datos anteriores",IF(SUGERENCIAS!N343="SUBIR_F","^ SUBIR FUERTE | Kg:"&amp;ROUND(SUGERENCIAS!K343,1)&amp;" R:"&amp;ROUND(SUGERENCIAS!L343,0)&amp;" RIR:"&amp;ROUND(SUGERENCIAS!M343,0),IF(SUGERENCIAS!N343="SUBIR_E","^ SUBIR (Est.) | Kg:"&amp;ROUND(SUGERENCIAS!K343,1)&amp;" R:"&amp;ROUND(SUGERENCIAS!L343,0)&amp;" RIR:"&amp;ROUND(SUGERENCIAS!M343,0),IF(SUGERENCIAS!N343="SUBIR","^ SUBIR | Kg:"&amp;ROUND(SUGERENCIAS!K343,1)&amp;" R:"&amp;ROUND(SUGERENCIAS!L343,0)&amp;" RIR:"&amp;ROUND(SUGERENCIAS!M343,0),IF(SUGERENCIAS!N343="BAJAR","v BAJAR | Kg:"&amp;ROUND(SUGERENCIAS!K343,1)&amp;" R:"&amp;ROUND(SUGERENCIAS!L343,0)&amp;" RIR:"&amp;ROUND(SUGERENCIAS!M343,0),"= MANT | Kg:"&amp;ROUND(SUGERENCIAS!K343,1)&amp;" R:"&amp;ROUND(SUGERENCIAS!L343,0)&amp;" RIR:"&amp;ROUND(SUGERENCIAS!M343,0))))))</f>
        <v>Sin datos anteriores</v>
      </c>
      <c r="W124" s="69">
        <f>MAX(IF((G124&gt;0)*(IF(H124="",-1,H124)&gt;=0)*(IF(H124="",-1,H124)&lt;=1),IF(C124="peso_corporal",IF(ISNUMBER(E124),E124,0)+F124,F124)*G124*1000+F124,0),IF((J124&gt;0)*(IF(K124="",-1,K124)&gt;=0)*(IF(K124="",-1,K124)&lt;=1),IF(C124="peso_corporal",IF(ISNUMBER(E124),E124,0)+I124,I124)*J124*1000+I124,0),IF((M124&gt;0)*(IF(N124="",-1,N124)&gt;=0)*(IF(N124="",-1,N124)&lt;=1),IF(C124="peso_corporal",IF(ISNUMBER(E124),E124,0)+L124,L124)*M124*1000+L124,0),IF((P124&gt;0)*(IF(Q124="",-1,Q124)&gt;=0)*(IF(Q124="",-1,Q124)&lt;=1),IF(C124="peso_corporal",IF(ISNUMBER(E124),E124,0)+O124,O124)*P124*1000+O124,0),IF((S124&gt;0)*(IF(T124="",-1,T124)&gt;=0)*(IF(T124="",-1,T124)&lt;=1),IF(C124="peso_corporal",IF(ISNUMBER(E124),E124,0)+R124,R124)*S124*1000+R124,0))</f>
        <v>0</v>
      </c>
      <c r="X124" s="69">
        <f>IF(W124=0,0,IF(IF((S124&gt;0)*(IF(T124="",-1,T124)&gt;=0)*(IF(T124="",-1,T124)&lt;=1),IF(C124="peso_corporal",IF(ISNUMBER(E124),E124,0)+R124,R124)*S124*1000+R124,0)=W124,5,IF(IF((P124&gt;0)*(IF(Q124="",-1,Q124)&gt;=0)*(IF(Q124="",-1,Q124)&lt;=1),IF(C124="peso_corporal",IF(ISNUMBER(E124),E124,0)+O124,O124)*P124*1000+O124,0)=W124,4,IF(IF((M124&gt;0)*(IF(N124="",-1,N124)&gt;=0)*(IF(N124="",-1,N124)&lt;=1),IF(C124="peso_corporal",IF(ISNUMBER(E124),E124,0)+L124,L124)*M124*1000+L124,0)=W124,3,IF(IF((J124&gt;0)*(IF(K124="",-1,K124)&gt;=0)*(IF(K124="",-1,K124)&lt;=1),IF(C124="peso_corporal",IF(ISNUMBER(E124),E124,0)+I124,I124)*J124*1000+I124,0)=W124,2,IF(IF((G124&gt;0)*(IF(H124="",-1,H124)&gt;=0)*(IF(H124="",-1,H124)&lt;=1),IF(C124="peso_corporal",IF(ISNUMBER(E124),E124,0)+F124,F124)*G124*1000+F124,0)=W124,1,0))))))</f>
        <v>0</v>
      </c>
      <c r="Y124" s="69">
        <f>MAX(IF((G124&gt;0)*(IF(H124="",-1,H124)=0)*(1-(IF(H124="",-1,H124)&gt;=0)*(IF(H124="",-1,H124)&lt;=1)),IF(C124="peso_corporal",IF(ISNUMBER(E124),E124,0)+F124,F124)*G124*1000+F124,0),IF((J124&gt;0)*(IF(K124="",-1,K124)=0)*(1-(IF(K124="",-1,K124)&gt;=0)*(IF(K124="",-1,K124)&lt;=1)),IF(C124="peso_corporal",IF(ISNUMBER(E124),E124,0)+I124,I124)*J124*1000+I124,0),IF((M124&gt;0)*(IF(N124="",-1,N124)=0)*(1-(IF(N124="",-1,N124)&gt;=0)*(IF(N124="",-1,N124)&lt;=1)),IF(C124="peso_corporal",IF(ISNUMBER(E124),E124,0)+L124,L124)*M124*1000+L124,0),IF((P124&gt;0)*(IF(Q124="",-1,Q124)=0)*(1-(IF(Q124="",-1,Q124)&gt;=0)*(IF(Q124="",-1,Q124)&lt;=1)),IF(C124="peso_corporal",IF(ISNUMBER(E124),E124,0)+O124,O124)*P124*1000+O124,0),IF((S124&gt;0)*(IF(T124="",-1,T124)=0)*(1-(IF(T124="",-1,T124)&gt;=0)*(IF(T124="",-1,T124)&lt;=1)),IF(C124="peso_corporal",IF(ISNUMBER(E124),E124,0)+R124,R124)*S124*1000+R124,0))</f>
        <v>0</v>
      </c>
      <c r="Z124" s="69">
        <f>IF(Y124=0,0,IF(IF((S124&gt;0)*(IF(T124="",-1,T124)=0)*(1-(IF(T124="",-1,T124)&gt;=0)*(IF(T124="",-1,T124)&lt;=1)),IF(C124="peso_corporal",IF(ISNUMBER(E124),E124,0)+R124,R124)*S124*1000+R124,0)=Y124,5,IF(IF((P124&gt;0)*(IF(Q124="",-1,Q124)=0)*(1-(IF(Q124="",-1,Q124)&gt;=0)*(IF(Q124="",-1,Q124)&lt;=1)),IF(C124="peso_corporal",IF(ISNUMBER(E124),E124,0)+O124,O124)*P124*1000+O124,0)=Y124,4,IF(IF((M124&gt;0)*(IF(N124="",-1,N124)=0)*(1-(IF(N124="",-1,N124)&gt;=0)*(IF(N124="",-1,N124)&lt;=1)),IF(C124="peso_corporal",IF(ISNUMBER(E124),E124,0)+L124,L124)*M124*1000+L124,0)=Y124,3,IF(IF((J124&gt;0)*(IF(K124="",-1,K124)=0)*(1-(IF(K124="",-1,K124)&gt;=0)*(IF(K124="",-1,K124)&lt;=1)),IF(C124="peso_corporal",IF(ISNUMBER(E124),E124,0)+I124,I124)*J124*1000+I124,0)=Y124,2,IF(IF((G124&gt;0)*(IF(H124="",-1,H124)=0)*(1-(IF(H124="",-1,H124)&gt;=0)*(IF(H124="",-1,H124)&lt;=1)),IF(C124="peso_corporal",IF(ISNUMBER(E124),E124,0)+F124,F124)*G124*1000+F124,0)=Y124,1,0))))))</f>
        <v>0</v>
      </c>
      <c r="AA124" s="69">
        <f>MAX(IF((G124&gt;=3)*(1-(IF(H124="",-1,H124)&gt;=0)*(IF(H124="",-1,H124)&lt;=1))*(1-(IF(H124="",-1,H124)=0)),IF(C124="peso_corporal",IF(ISNUMBER(E124),E124,0)+F124,F124)*(30+G124)*100+F124,0),IF((J124&gt;=3)*(1-(IF(K124="",-1,K124)&gt;=0)*(IF(K124="",-1,K124)&lt;=1))*(1-(IF(K124="",-1,K124)=0)),IF(C124="peso_corporal",IF(ISNUMBER(E124),E124,0)+I124,I124)*(30+J124)*100+I124,0),IF((M124&gt;=3)*(1-(IF(N124="",-1,N124)&gt;=0)*(IF(N124="",-1,N124)&lt;=1))*(1-(IF(N124="",-1,N124)=0)),IF(C124="peso_corporal",IF(ISNUMBER(E124),E124,0)+L124,L124)*(30+M124)*100+L124,0),IF((P124&gt;=3)*(1-(IF(Q124="",-1,Q124)&gt;=0)*(IF(Q124="",-1,Q124)&lt;=1))*(1-(IF(Q124="",-1,Q124)=0)),IF(C124="peso_corporal",IF(ISNUMBER(E124),E124,0)+O124,O124)*(30+P124)*100+O124,0),IF((S124&gt;=3)*(1-(IF(T124="",-1,T124)&gt;=0)*(IF(T124="",-1,T124)&lt;=1))*(1-(IF(T124="",-1,T124)=0)),IF(C124="peso_corporal",IF(ISNUMBER(E124),E124,0)+R124,R124)*(30+S124)*100+R124,0))</f>
        <v>0</v>
      </c>
      <c r="AB124" s="69">
        <f>IF(AA124=0,0,IF(IF((S124&gt;=3)*(1-(IF(T124="",-1,T124)&gt;=0)*(IF(T124="",-1,T124)&lt;=1))*(1-(IF(T124="",-1,T124)=0)),IF(C124="peso_corporal",IF(ISNUMBER(E124),E124,0)+R124,R124)*(30+S124)*100+R124,0)=AA124,5,IF(IF((P124&gt;=3)*(1-(IF(Q124="",-1,Q124)&gt;=0)*(IF(Q124="",-1,Q124)&lt;=1))*(1-(IF(Q124="",-1,Q124)=0)),IF(C124="peso_corporal",IF(ISNUMBER(E124),E124,0)+O124,O124)*(30+P124)*100+O124,0)=AA124,4,IF(IF((M124&gt;=3)*(1-(IF(N124="",-1,N124)&gt;=0)*(IF(N124="",-1,N124)&lt;=1))*(1-(IF(N124="",-1,N124)=0)),IF(C124="peso_corporal",IF(ISNUMBER(E124),E124,0)+L124,L124)*(30+M124)*100+L124,0)=AA124,3,IF(IF((J124&gt;=3)*(1-(IF(K124="",-1,K124)&gt;=0)*(IF(K124="",-1,K124)&lt;=1))*(1-(IF(K124="",-1,K124)=0)),IF(C124="peso_corporal",IF(ISNUMBER(E124),E124,0)+I124,I124)*(30+J124)*100+I124,0)=AA124,2,IF(IF((G124&gt;=3)*(1-(IF(H124="",-1,H124)&gt;=0)*(IF(H124="",-1,H124)&lt;=1))*(1-(IF(H124="",-1,H124)=0)),IF(C124="peso_corporal",IF(ISNUMBER(E124),E124,0)+F124,F124)*(30+G124)*100+F124,0)=AA124,1,0))))))</f>
        <v>0</v>
      </c>
      <c r="AC124" s="69" t="str">
        <f>IF(X124&gt;0,"A"&amp;X124,IF(Z124&gt;0,"B"&amp;Z124,IF(AB124&gt;0,"C"&amp;AB124,"")))</f>
        <v/>
      </c>
    </row>
    <row r="125" spans="1:29" ht="15" customHeight="1">
      <c r="A125" s="88" t="s">
        <v>50</v>
      </c>
      <c r="B125" s="73"/>
      <c r="C125" s="73"/>
      <c r="D125" s="73"/>
      <c r="E125" s="73"/>
      <c r="F125" s="73"/>
      <c r="G125" s="73"/>
      <c r="H125" s="73"/>
      <c r="I125" s="73"/>
      <c r="J125" s="73"/>
      <c r="K125" s="73"/>
      <c r="L125" s="73"/>
      <c r="M125" s="73"/>
      <c r="N125" s="73"/>
      <c r="O125" s="73"/>
      <c r="P125" s="73"/>
      <c r="Q125" s="73"/>
      <c r="R125" s="73"/>
      <c r="S125" s="73"/>
      <c r="T125" s="73"/>
      <c r="U125" s="73"/>
      <c r="V125" s="73"/>
      <c r="W125" s="69"/>
      <c r="X125" s="69"/>
      <c r="Y125" s="69"/>
      <c r="Z125" s="69"/>
      <c r="AA125" s="69"/>
      <c r="AB125" s="69"/>
      <c r="AC125" s="69"/>
    </row>
    <row r="126" spans="1:29" ht="20.100000000000001" customHeight="1">
      <c r="A126" s="14" t="s">
        <v>51</v>
      </c>
      <c r="B126" s="15" t="s">
        <v>134</v>
      </c>
      <c r="C126" s="16" t="str">
        <f>IFERROR(INDEX(EJERCICIOS!$D$3:$D$75,MATCH(A126&amp;"|"&amp;B126,EJERCICIOS!$G$3:$G$75,0)),"--")</f>
        <v>--</v>
      </c>
      <c r="D126" s="17">
        <v>3</v>
      </c>
      <c r="E126" s="18">
        <f>IFERROR(LOOKUP(2,1/(MEDIDAS_Y_PESO!$B$3:$B$8&lt;&gt;""),MEDIDAS_Y_PESO!$B$3:$B$8),"--")</f>
        <v>80</v>
      </c>
      <c r="F126" s="19"/>
      <c r="G126" s="20"/>
      <c r="H126" s="21"/>
      <c r="I126" s="19"/>
      <c r="J126" s="20"/>
      <c r="K126" s="21"/>
      <c r="L126" s="19"/>
      <c r="M126" s="20"/>
      <c r="N126" s="21"/>
      <c r="O126" s="19"/>
      <c r="P126" s="20"/>
      <c r="Q126" s="21"/>
      <c r="R126" s="19"/>
      <c r="S126" s="20"/>
      <c r="T126" s="21"/>
      <c r="U126" s="22" t="str">
        <f>IFERROR(IF(IF(X126&gt;0,X126,IF(Z126&gt;0,Z126,IF(AB126&gt;0,AB126,0)))=0,"--",ROUND(CHOOSE(IF(X126&gt;0,X126,IF(Z126&gt;0,Z126,IF(AB126&gt;0,AB126,0))),IF(C126="peso_corporal",IF(ISNUMBER(E126),E126,0)+F126,F126)*(1+G126/30),IF(C126="peso_corporal",IF(ISNUMBER(E126),E126,0)+I126,I126)*(1+J126/30),IF(C126="peso_corporal",IF(ISNUMBER(E126),E126,0)+L126,L126)*(1+M126/30),IF(C126="peso_corporal",IF(ISNUMBER(E126),E126,0)+O126,O126)*(1+P126/30),IF(C126="peso_corporal",IF(ISNUMBER(E126),E126,0)+R126,R126)*(1+S126/30)),1)),"--")</f>
        <v>--</v>
      </c>
      <c r="V126" s="23" t="str">
        <f>IF(SUGERENCIAS!N344="SIN","Sin datos anteriores",IF(SUGERENCIAS!N344="SUBIR_F","^ SUBIR FUERTE | Kg:"&amp;ROUND(SUGERENCIAS!K344,1)&amp;" R:"&amp;ROUND(SUGERENCIAS!L344,0)&amp;" RIR:"&amp;ROUND(SUGERENCIAS!M344,0),IF(SUGERENCIAS!N344="SUBIR_E","^ SUBIR (Est.) | Kg:"&amp;ROUND(SUGERENCIAS!K344,1)&amp;" R:"&amp;ROUND(SUGERENCIAS!L344,0)&amp;" RIR:"&amp;ROUND(SUGERENCIAS!M344,0),IF(SUGERENCIAS!N344="SUBIR","^ SUBIR | Kg:"&amp;ROUND(SUGERENCIAS!K344,1)&amp;" R:"&amp;ROUND(SUGERENCIAS!L344,0)&amp;" RIR:"&amp;ROUND(SUGERENCIAS!M344,0),IF(SUGERENCIAS!N344="BAJAR","v BAJAR | Kg:"&amp;ROUND(SUGERENCIAS!K344,1)&amp;" R:"&amp;ROUND(SUGERENCIAS!L344,0)&amp;" RIR:"&amp;ROUND(SUGERENCIAS!M344,0),"= MANT | Kg:"&amp;ROUND(SUGERENCIAS!K344,1)&amp;" R:"&amp;ROUND(SUGERENCIAS!L344,0)&amp;" RIR:"&amp;ROUND(SUGERENCIAS!M344,0))))))</f>
        <v>Sin datos anteriores</v>
      </c>
      <c r="W126" s="69">
        <f>MAX(IF((G126&gt;0)*(IF(H126="",-1,H126)&gt;=0)*(IF(H126="",-1,H126)&lt;=1),IF(C126="peso_corporal",IF(ISNUMBER(E126),E126,0)+F126,F126)*G126*1000+F126,0),IF((J126&gt;0)*(IF(K126="",-1,K126)&gt;=0)*(IF(K126="",-1,K126)&lt;=1),IF(C126="peso_corporal",IF(ISNUMBER(E126),E126,0)+I126,I126)*J126*1000+I126,0),IF((M126&gt;0)*(IF(N126="",-1,N126)&gt;=0)*(IF(N126="",-1,N126)&lt;=1),IF(C126="peso_corporal",IF(ISNUMBER(E126),E126,0)+L126,L126)*M126*1000+L126,0),IF((P126&gt;0)*(IF(Q126="",-1,Q126)&gt;=0)*(IF(Q126="",-1,Q126)&lt;=1),IF(C126="peso_corporal",IF(ISNUMBER(E126),E126,0)+O126,O126)*P126*1000+O126,0),IF((S126&gt;0)*(IF(T126="",-1,T126)&gt;=0)*(IF(T126="",-1,T126)&lt;=1),IF(C126="peso_corporal",IF(ISNUMBER(E126),E126,0)+R126,R126)*S126*1000+R126,0))</f>
        <v>0</v>
      </c>
      <c r="X126" s="69">
        <f>IF(W126=0,0,IF(IF((S126&gt;0)*(IF(T126="",-1,T126)&gt;=0)*(IF(T126="",-1,T126)&lt;=1),IF(C126="peso_corporal",IF(ISNUMBER(E126),E126,0)+R126,R126)*S126*1000+R126,0)=W126,5,IF(IF((P126&gt;0)*(IF(Q126="",-1,Q126)&gt;=0)*(IF(Q126="",-1,Q126)&lt;=1),IF(C126="peso_corporal",IF(ISNUMBER(E126),E126,0)+O126,O126)*P126*1000+O126,0)=W126,4,IF(IF((M126&gt;0)*(IF(N126="",-1,N126)&gt;=0)*(IF(N126="",-1,N126)&lt;=1),IF(C126="peso_corporal",IF(ISNUMBER(E126),E126,0)+L126,L126)*M126*1000+L126,0)=W126,3,IF(IF((J126&gt;0)*(IF(K126="",-1,K126)&gt;=0)*(IF(K126="",-1,K126)&lt;=1),IF(C126="peso_corporal",IF(ISNUMBER(E126),E126,0)+I126,I126)*J126*1000+I126,0)=W126,2,IF(IF((G126&gt;0)*(IF(H126="",-1,H126)&gt;=0)*(IF(H126="",-1,H126)&lt;=1),IF(C126="peso_corporal",IF(ISNUMBER(E126),E126,0)+F126,F126)*G126*1000+F126,0)=W126,1,0))))))</f>
        <v>0</v>
      </c>
      <c r="Y126" s="69">
        <f>MAX(IF((G126&gt;0)*(IF(H126="",-1,H126)=0)*(1-(IF(H126="",-1,H126)&gt;=0)*(IF(H126="",-1,H126)&lt;=1)),IF(C126="peso_corporal",IF(ISNUMBER(E126),E126,0)+F126,F126)*G126*1000+F126,0),IF((J126&gt;0)*(IF(K126="",-1,K126)=0)*(1-(IF(K126="",-1,K126)&gt;=0)*(IF(K126="",-1,K126)&lt;=1)),IF(C126="peso_corporal",IF(ISNUMBER(E126),E126,0)+I126,I126)*J126*1000+I126,0),IF((M126&gt;0)*(IF(N126="",-1,N126)=0)*(1-(IF(N126="",-1,N126)&gt;=0)*(IF(N126="",-1,N126)&lt;=1)),IF(C126="peso_corporal",IF(ISNUMBER(E126),E126,0)+L126,L126)*M126*1000+L126,0),IF((P126&gt;0)*(IF(Q126="",-1,Q126)=0)*(1-(IF(Q126="",-1,Q126)&gt;=0)*(IF(Q126="",-1,Q126)&lt;=1)),IF(C126="peso_corporal",IF(ISNUMBER(E126),E126,0)+O126,O126)*P126*1000+O126,0),IF((S126&gt;0)*(IF(T126="",-1,T126)=0)*(1-(IF(T126="",-1,T126)&gt;=0)*(IF(T126="",-1,T126)&lt;=1)),IF(C126="peso_corporal",IF(ISNUMBER(E126),E126,0)+R126,R126)*S126*1000+R126,0))</f>
        <v>0</v>
      </c>
      <c r="Z126" s="69">
        <f>IF(Y126=0,0,IF(IF((S126&gt;0)*(IF(T126="",-1,T126)=0)*(1-(IF(T126="",-1,T126)&gt;=0)*(IF(T126="",-1,T126)&lt;=1)),IF(C126="peso_corporal",IF(ISNUMBER(E126),E126,0)+R126,R126)*S126*1000+R126,0)=Y126,5,IF(IF((P126&gt;0)*(IF(Q126="",-1,Q126)=0)*(1-(IF(Q126="",-1,Q126)&gt;=0)*(IF(Q126="",-1,Q126)&lt;=1)),IF(C126="peso_corporal",IF(ISNUMBER(E126),E126,0)+O126,O126)*P126*1000+O126,0)=Y126,4,IF(IF((M126&gt;0)*(IF(N126="",-1,N126)=0)*(1-(IF(N126="",-1,N126)&gt;=0)*(IF(N126="",-1,N126)&lt;=1)),IF(C126="peso_corporal",IF(ISNUMBER(E126),E126,0)+L126,L126)*M126*1000+L126,0)=Y126,3,IF(IF((J126&gt;0)*(IF(K126="",-1,K126)=0)*(1-(IF(K126="",-1,K126)&gt;=0)*(IF(K126="",-1,K126)&lt;=1)),IF(C126="peso_corporal",IF(ISNUMBER(E126),E126,0)+I126,I126)*J126*1000+I126,0)=Y126,2,IF(IF((G126&gt;0)*(IF(H126="",-1,H126)=0)*(1-(IF(H126="",-1,H126)&gt;=0)*(IF(H126="",-1,H126)&lt;=1)),IF(C126="peso_corporal",IF(ISNUMBER(E126),E126,0)+F126,F126)*G126*1000+F126,0)=Y126,1,0))))))</f>
        <v>0</v>
      </c>
      <c r="AA126" s="69">
        <f>MAX(IF((G126&gt;=3)*(1-(IF(H126="",-1,H126)&gt;=0)*(IF(H126="",-1,H126)&lt;=1))*(1-(IF(H126="",-1,H126)=0)),IF(C126="peso_corporal",IF(ISNUMBER(E126),E126,0)+F126,F126)*(30+G126)*100+F126,0),IF((J126&gt;=3)*(1-(IF(K126="",-1,K126)&gt;=0)*(IF(K126="",-1,K126)&lt;=1))*(1-(IF(K126="",-1,K126)=0)),IF(C126="peso_corporal",IF(ISNUMBER(E126),E126,0)+I126,I126)*(30+J126)*100+I126,0),IF((M126&gt;=3)*(1-(IF(N126="",-1,N126)&gt;=0)*(IF(N126="",-1,N126)&lt;=1))*(1-(IF(N126="",-1,N126)=0)),IF(C126="peso_corporal",IF(ISNUMBER(E126),E126,0)+L126,L126)*(30+M126)*100+L126,0),IF((P126&gt;=3)*(1-(IF(Q126="",-1,Q126)&gt;=0)*(IF(Q126="",-1,Q126)&lt;=1))*(1-(IF(Q126="",-1,Q126)=0)),IF(C126="peso_corporal",IF(ISNUMBER(E126),E126,0)+O126,O126)*(30+P126)*100+O126,0),IF((S126&gt;=3)*(1-(IF(T126="",-1,T126)&gt;=0)*(IF(T126="",-1,T126)&lt;=1))*(1-(IF(T126="",-1,T126)=0)),IF(C126="peso_corporal",IF(ISNUMBER(E126),E126,0)+R126,R126)*(30+S126)*100+R126,0))</f>
        <v>0</v>
      </c>
      <c r="AB126" s="69">
        <f>IF(AA126=0,0,IF(IF((S126&gt;=3)*(1-(IF(T126="",-1,T126)&gt;=0)*(IF(T126="",-1,T126)&lt;=1))*(1-(IF(T126="",-1,T126)=0)),IF(C126="peso_corporal",IF(ISNUMBER(E126),E126,0)+R126,R126)*(30+S126)*100+R126,0)=AA126,5,IF(IF((P126&gt;=3)*(1-(IF(Q126="",-1,Q126)&gt;=0)*(IF(Q126="",-1,Q126)&lt;=1))*(1-(IF(Q126="",-1,Q126)=0)),IF(C126="peso_corporal",IF(ISNUMBER(E126),E126,0)+O126,O126)*(30+P126)*100+O126,0)=AA126,4,IF(IF((M126&gt;=3)*(1-(IF(N126="",-1,N126)&gt;=0)*(IF(N126="",-1,N126)&lt;=1))*(1-(IF(N126="",-1,N126)=0)),IF(C126="peso_corporal",IF(ISNUMBER(E126),E126,0)+L126,L126)*(30+M126)*100+L126,0)=AA126,3,IF(IF((J126&gt;=3)*(1-(IF(K126="",-1,K126)&gt;=0)*(IF(K126="",-1,K126)&lt;=1))*(1-(IF(K126="",-1,K126)=0)),IF(C126="peso_corporal",IF(ISNUMBER(E126),E126,0)+I126,I126)*(30+J126)*100+I126,0)=AA126,2,IF(IF((G126&gt;=3)*(1-(IF(H126="",-1,H126)&gt;=0)*(IF(H126="",-1,H126)&lt;=1))*(1-(IF(H126="",-1,H126)=0)),IF(C126="peso_corporal",IF(ISNUMBER(E126),E126,0)+F126,F126)*(30+G126)*100+F126,0)=AA126,1,0))))))</f>
        <v>0</v>
      </c>
      <c r="AC126" s="69" t="str">
        <f>IF(X126&gt;0,"A"&amp;X126,IF(Z126&gt;0,"B"&amp;Z126,IF(AB126&gt;0,"C"&amp;AB126,"")))</f>
        <v/>
      </c>
    </row>
    <row r="127" spans="1:29" ht="20.100000000000001" customHeight="1">
      <c r="A127" s="14" t="s">
        <v>135</v>
      </c>
      <c r="B127" s="15" t="s">
        <v>136</v>
      </c>
      <c r="C127" s="16" t="str">
        <f>IFERROR(INDEX(EJERCICIOS!$D$3:$D$75,MATCH(A127&amp;"|"&amp;B127,EJERCICIOS!$G$3:$G$75,0)),"--")</f>
        <v>--</v>
      </c>
      <c r="D127" s="17">
        <v>3</v>
      </c>
      <c r="E127" s="18">
        <f>IFERROR(LOOKUP(2,1/(MEDIDAS_Y_PESO!$B$3:$B$8&lt;&gt;""),MEDIDAS_Y_PESO!$B$3:$B$8),"--")</f>
        <v>80</v>
      </c>
      <c r="F127" s="19"/>
      <c r="G127" s="20"/>
      <c r="H127" s="21"/>
      <c r="I127" s="19"/>
      <c r="J127" s="20"/>
      <c r="K127" s="21"/>
      <c r="L127" s="19"/>
      <c r="M127" s="20"/>
      <c r="N127" s="21"/>
      <c r="O127" s="19"/>
      <c r="P127" s="20"/>
      <c r="Q127" s="21"/>
      <c r="R127" s="19"/>
      <c r="S127" s="20"/>
      <c r="T127" s="21"/>
      <c r="U127" s="22" t="str">
        <f>IFERROR(IF(IF(X127&gt;0,X127,IF(Z127&gt;0,Z127,IF(AB127&gt;0,AB127,0)))=0,"--",ROUND(CHOOSE(IF(X127&gt;0,X127,IF(Z127&gt;0,Z127,IF(AB127&gt;0,AB127,0))),IF(C127="peso_corporal",IF(ISNUMBER(E127),E127,0)+F127,F127)*(1+G127/30),IF(C127="peso_corporal",IF(ISNUMBER(E127),E127,0)+I127,I127)*(1+J127/30),IF(C127="peso_corporal",IF(ISNUMBER(E127),E127,0)+L127,L127)*(1+M127/30),IF(C127="peso_corporal",IF(ISNUMBER(E127),E127,0)+O127,O127)*(1+P127/30),IF(C127="peso_corporal",IF(ISNUMBER(E127),E127,0)+R127,R127)*(1+S127/30)),1)),"--")</f>
        <v>--</v>
      </c>
      <c r="V127" s="23" t="str">
        <f>IF(SUGERENCIAS!N345="SIN","Sin datos anteriores",IF(SUGERENCIAS!N345="SUBIR_F","^ SUBIR FUERTE | Kg:"&amp;ROUND(SUGERENCIAS!K345,1)&amp;" R:"&amp;ROUND(SUGERENCIAS!L345,0)&amp;" RIR:"&amp;ROUND(SUGERENCIAS!M345,0),IF(SUGERENCIAS!N345="SUBIR_E","^ SUBIR (Est.) | Kg:"&amp;ROUND(SUGERENCIAS!K345,1)&amp;" R:"&amp;ROUND(SUGERENCIAS!L345,0)&amp;" RIR:"&amp;ROUND(SUGERENCIAS!M345,0),IF(SUGERENCIAS!N345="SUBIR","^ SUBIR | Kg:"&amp;ROUND(SUGERENCIAS!K345,1)&amp;" R:"&amp;ROUND(SUGERENCIAS!L345,0)&amp;" RIR:"&amp;ROUND(SUGERENCIAS!M345,0),IF(SUGERENCIAS!N345="BAJAR","v BAJAR | Kg:"&amp;ROUND(SUGERENCIAS!K345,1)&amp;" R:"&amp;ROUND(SUGERENCIAS!L345,0)&amp;" RIR:"&amp;ROUND(SUGERENCIAS!M345,0),"= MANT | Kg:"&amp;ROUND(SUGERENCIAS!K345,1)&amp;" R:"&amp;ROUND(SUGERENCIAS!L345,0)&amp;" RIR:"&amp;ROUND(SUGERENCIAS!M345,0))))))</f>
        <v>Sin datos anteriores</v>
      </c>
      <c r="W127" s="69">
        <f>MAX(IF((G127&gt;0)*(IF(H127="",-1,H127)&gt;=0)*(IF(H127="",-1,H127)&lt;=1),IF(C127="peso_corporal",IF(ISNUMBER(E127),E127,0)+F127,F127)*G127*1000+F127,0),IF((J127&gt;0)*(IF(K127="",-1,K127)&gt;=0)*(IF(K127="",-1,K127)&lt;=1),IF(C127="peso_corporal",IF(ISNUMBER(E127),E127,0)+I127,I127)*J127*1000+I127,0),IF((M127&gt;0)*(IF(N127="",-1,N127)&gt;=0)*(IF(N127="",-1,N127)&lt;=1),IF(C127="peso_corporal",IF(ISNUMBER(E127),E127,0)+L127,L127)*M127*1000+L127,0),IF((P127&gt;0)*(IF(Q127="",-1,Q127)&gt;=0)*(IF(Q127="",-1,Q127)&lt;=1),IF(C127="peso_corporal",IF(ISNUMBER(E127),E127,0)+O127,O127)*P127*1000+O127,0),IF((S127&gt;0)*(IF(T127="",-1,T127)&gt;=0)*(IF(T127="",-1,T127)&lt;=1),IF(C127="peso_corporal",IF(ISNUMBER(E127),E127,0)+R127,R127)*S127*1000+R127,0))</f>
        <v>0</v>
      </c>
      <c r="X127" s="69">
        <f>IF(W127=0,0,IF(IF((S127&gt;0)*(IF(T127="",-1,T127)&gt;=0)*(IF(T127="",-1,T127)&lt;=1),IF(C127="peso_corporal",IF(ISNUMBER(E127),E127,0)+R127,R127)*S127*1000+R127,0)=W127,5,IF(IF((P127&gt;0)*(IF(Q127="",-1,Q127)&gt;=0)*(IF(Q127="",-1,Q127)&lt;=1),IF(C127="peso_corporal",IF(ISNUMBER(E127),E127,0)+O127,O127)*P127*1000+O127,0)=W127,4,IF(IF((M127&gt;0)*(IF(N127="",-1,N127)&gt;=0)*(IF(N127="",-1,N127)&lt;=1),IF(C127="peso_corporal",IF(ISNUMBER(E127),E127,0)+L127,L127)*M127*1000+L127,0)=W127,3,IF(IF((J127&gt;0)*(IF(K127="",-1,K127)&gt;=0)*(IF(K127="",-1,K127)&lt;=1),IF(C127="peso_corporal",IF(ISNUMBER(E127),E127,0)+I127,I127)*J127*1000+I127,0)=W127,2,IF(IF((G127&gt;0)*(IF(H127="",-1,H127)&gt;=0)*(IF(H127="",-1,H127)&lt;=1),IF(C127="peso_corporal",IF(ISNUMBER(E127),E127,0)+F127,F127)*G127*1000+F127,0)=W127,1,0))))))</f>
        <v>0</v>
      </c>
      <c r="Y127" s="69">
        <f>MAX(IF((G127&gt;0)*(IF(H127="",-1,H127)=0)*(1-(IF(H127="",-1,H127)&gt;=0)*(IF(H127="",-1,H127)&lt;=1)),IF(C127="peso_corporal",IF(ISNUMBER(E127),E127,0)+F127,F127)*G127*1000+F127,0),IF((J127&gt;0)*(IF(K127="",-1,K127)=0)*(1-(IF(K127="",-1,K127)&gt;=0)*(IF(K127="",-1,K127)&lt;=1)),IF(C127="peso_corporal",IF(ISNUMBER(E127),E127,0)+I127,I127)*J127*1000+I127,0),IF((M127&gt;0)*(IF(N127="",-1,N127)=0)*(1-(IF(N127="",-1,N127)&gt;=0)*(IF(N127="",-1,N127)&lt;=1)),IF(C127="peso_corporal",IF(ISNUMBER(E127),E127,0)+L127,L127)*M127*1000+L127,0),IF((P127&gt;0)*(IF(Q127="",-1,Q127)=0)*(1-(IF(Q127="",-1,Q127)&gt;=0)*(IF(Q127="",-1,Q127)&lt;=1)),IF(C127="peso_corporal",IF(ISNUMBER(E127),E127,0)+O127,O127)*P127*1000+O127,0),IF((S127&gt;0)*(IF(T127="",-1,T127)=0)*(1-(IF(T127="",-1,T127)&gt;=0)*(IF(T127="",-1,T127)&lt;=1)),IF(C127="peso_corporal",IF(ISNUMBER(E127),E127,0)+R127,R127)*S127*1000+R127,0))</f>
        <v>0</v>
      </c>
      <c r="Z127" s="69">
        <f>IF(Y127=0,0,IF(IF((S127&gt;0)*(IF(T127="",-1,T127)=0)*(1-(IF(T127="",-1,T127)&gt;=0)*(IF(T127="",-1,T127)&lt;=1)),IF(C127="peso_corporal",IF(ISNUMBER(E127),E127,0)+R127,R127)*S127*1000+R127,0)=Y127,5,IF(IF((P127&gt;0)*(IF(Q127="",-1,Q127)=0)*(1-(IF(Q127="",-1,Q127)&gt;=0)*(IF(Q127="",-1,Q127)&lt;=1)),IF(C127="peso_corporal",IF(ISNUMBER(E127),E127,0)+O127,O127)*P127*1000+O127,0)=Y127,4,IF(IF((M127&gt;0)*(IF(N127="",-1,N127)=0)*(1-(IF(N127="",-1,N127)&gt;=0)*(IF(N127="",-1,N127)&lt;=1)),IF(C127="peso_corporal",IF(ISNUMBER(E127),E127,0)+L127,L127)*M127*1000+L127,0)=Y127,3,IF(IF((J127&gt;0)*(IF(K127="",-1,K127)=0)*(1-(IF(K127="",-1,K127)&gt;=0)*(IF(K127="",-1,K127)&lt;=1)),IF(C127="peso_corporal",IF(ISNUMBER(E127),E127,0)+I127,I127)*J127*1000+I127,0)=Y127,2,IF(IF((G127&gt;0)*(IF(H127="",-1,H127)=0)*(1-(IF(H127="",-1,H127)&gt;=0)*(IF(H127="",-1,H127)&lt;=1)),IF(C127="peso_corporal",IF(ISNUMBER(E127),E127,0)+F127,F127)*G127*1000+F127,0)=Y127,1,0))))))</f>
        <v>0</v>
      </c>
      <c r="AA127" s="69">
        <f>MAX(IF((G127&gt;=3)*(1-(IF(H127="",-1,H127)&gt;=0)*(IF(H127="",-1,H127)&lt;=1))*(1-(IF(H127="",-1,H127)=0)),IF(C127="peso_corporal",IF(ISNUMBER(E127),E127,0)+F127,F127)*(30+G127)*100+F127,0),IF((J127&gt;=3)*(1-(IF(K127="",-1,K127)&gt;=0)*(IF(K127="",-1,K127)&lt;=1))*(1-(IF(K127="",-1,K127)=0)),IF(C127="peso_corporal",IF(ISNUMBER(E127),E127,0)+I127,I127)*(30+J127)*100+I127,0),IF((M127&gt;=3)*(1-(IF(N127="",-1,N127)&gt;=0)*(IF(N127="",-1,N127)&lt;=1))*(1-(IF(N127="",-1,N127)=0)),IF(C127="peso_corporal",IF(ISNUMBER(E127),E127,0)+L127,L127)*(30+M127)*100+L127,0),IF((P127&gt;=3)*(1-(IF(Q127="",-1,Q127)&gt;=0)*(IF(Q127="",-1,Q127)&lt;=1))*(1-(IF(Q127="",-1,Q127)=0)),IF(C127="peso_corporal",IF(ISNUMBER(E127),E127,0)+O127,O127)*(30+P127)*100+O127,0),IF((S127&gt;=3)*(1-(IF(T127="",-1,T127)&gt;=0)*(IF(T127="",-1,T127)&lt;=1))*(1-(IF(T127="",-1,T127)=0)),IF(C127="peso_corporal",IF(ISNUMBER(E127),E127,0)+R127,R127)*(30+S127)*100+R127,0))</f>
        <v>0</v>
      </c>
      <c r="AB127" s="69">
        <f>IF(AA127=0,0,IF(IF((S127&gt;=3)*(1-(IF(T127="",-1,T127)&gt;=0)*(IF(T127="",-1,T127)&lt;=1))*(1-(IF(T127="",-1,T127)=0)),IF(C127="peso_corporal",IF(ISNUMBER(E127),E127,0)+R127,R127)*(30+S127)*100+R127,0)=AA127,5,IF(IF((P127&gt;=3)*(1-(IF(Q127="",-1,Q127)&gt;=0)*(IF(Q127="",-1,Q127)&lt;=1))*(1-(IF(Q127="",-1,Q127)=0)),IF(C127="peso_corporal",IF(ISNUMBER(E127),E127,0)+O127,O127)*(30+P127)*100+O127,0)=AA127,4,IF(IF((M127&gt;=3)*(1-(IF(N127="",-1,N127)&gt;=0)*(IF(N127="",-1,N127)&lt;=1))*(1-(IF(N127="",-1,N127)=0)),IF(C127="peso_corporal",IF(ISNUMBER(E127),E127,0)+L127,L127)*(30+M127)*100+L127,0)=AA127,3,IF(IF((J127&gt;=3)*(1-(IF(K127="",-1,K127)&gt;=0)*(IF(K127="",-1,K127)&lt;=1))*(1-(IF(K127="",-1,K127)=0)),IF(C127="peso_corporal",IF(ISNUMBER(E127),E127,0)+I127,I127)*(30+J127)*100+I127,0)=AA127,2,IF(IF((G127&gt;=3)*(1-(IF(H127="",-1,H127)&gt;=0)*(IF(H127="",-1,H127)&lt;=1))*(1-(IF(H127="",-1,H127)=0)),IF(C127="peso_corporal",IF(ISNUMBER(E127),E127,0)+F127,F127)*(30+G127)*100+F127,0)=AA127,1,0))))))</f>
        <v>0</v>
      </c>
      <c r="AC127" s="69" t="str">
        <f>IF(X127&gt;0,"A"&amp;X127,IF(Z127&gt;0,"B"&amp;Z127,IF(AB127&gt;0,"C"&amp;AB127,"")))</f>
        <v/>
      </c>
    </row>
    <row r="128" spans="1:29" ht="20.100000000000001" customHeight="1">
      <c r="A128" s="14" t="s">
        <v>65</v>
      </c>
      <c r="B128" s="15" t="s">
        <v>66</v>
      </c>
      <c r="C128" s="16" t="str">
        <f>IFERROR(INDEX(EJERCICIOS!$D$3:$D$75,MATCH(A128&amp;"|"&amp;B128,EJERCICIOS!$G$3:$G$75,0)),"--")</f>
        <v>--</v>
      </c>
      <c r="D128" s="17">
        <v>3</v>
      </c>
      <c r="E128" s="18">
        <f>IFERROR(LOOKUP(2,1/(MEDIDAS_Y_PESO!$B$3:$B$8&lt;&gt;""),MEDIDAS_Y_PESO!$B$3:$B$8),"--")</f>
        <v>80</v>
      </c>
      <c r="F128" s="19"/>
      <c r="G128" s="20"/>
      <c r="H128" s="21"/>
      <c r="I128" s="19"/>
      <c r="J128" s="20"/>
      <c r="K128" s="21"/>
      <c r="L128" s="19"/>
      <c r="M128" s="20"/>
      <c r="N128" s="21"/>
      <c r="O128" s="19"/>
      <c r="P128" s="20"/>
      <c r="Q128" s="21"/>
      <c r="R128" s="19"/>
      <c r="S128" s="20"/>
      <c r="T128" s="21"/>
      <c r="U128" s="22" t="str">
        <f>IFERROR(IF(IF(X128&gt;0,X128,IF(Z128&gt;0,Z128,IF(AB128&gt;0,AB128,0)))=0,"--",ROUND(CHOOSE(IF(X128&gt;0,X128,IF(Z128&gt;0,Z128,IF(AB128&gt;0,AB128,0))),IF(C128="peso_corporal",IF(ISNUMBER(E128),E128,0)+F128,F128)*(1+G128/30),IF(C128="peso_corporal",IF(ISNUMBER(E128),E128,0)+I128,I128)*(1+J128/30),IF(C128="peso_corporal",IF(ISNUMBER(E128),E128,0)+L128,L128)*(1+M128/30),IF(C128="peso_corporal",IF(ISNUMBER(E128),E128,0)+O128,O128)*(1+P128/30),IF(C128="peso_corporal",IF(ISNUMBER(E128),E128,0)+R128,R128)*(1+S128/30)),1)),"--")</f>
        <v>--</v>
      </c>
      <c r="V128" s="23" t="str">
        <f>IF(SUGERENCIAS!N346="SIN","Sin datos anteriores",IF(SUGERENCIAS!N346="SUBIR_F","^ SUBIR FUERTE | Kg:"&amp;ROUND(SUGERENCIAS!K346,1)&amp;" R:"&amp;ROUND(SUGERENCIAS!L346,0)&amp;" RIR:"&amp;ROUND(SUGERENCIAS!M346,0),IF(SUGERENCIAS!N346="SUBIR_E","^ SUBIR (Est.) | Kg:"&amp;ROUND(SUGERENCIAS!K346,1)&amp;" R:"&amp;ROUND(SUGERENCIAS!L346,0)&amp;" RIR:"&amp;ROUND(SUGERENCIAS!M346,0),IF(SUGERENCIAS!N346="SUBIR","^ SUBIR | Kg:"&amp;ROUND(SUGERENCIAS!K346,1)&amp;" R:"&amp;ROUND(SUGERENCIAS!L346,0)&amp;" RIR:"&amp;ROUND(SUGERENCIAS!M346,0),IF(SUGERENCIAS!N346="BAJAR","v BAJAR | Kg:"&amp;ROUND(SUGERENCIAS!K346,1)&amp;" R:"&amp;ROUND(SUGERENCIAS!L346,0)&amp;" RIR:"&amp;ROUND(SUGERENCIAS!M346,0),"= MANT | Kg:"&amp;ROUND(SUGERENCIAS!K346,1)&amp;" R:"&amp;ROUND(SUGERENCIAS!L346,0)&amp;" RIR:"&amp;ROUND(SUGERENCIAS!M346,0))))))</f>
        <v>Sin datos anteriores</v>
      </c>
      <c r="W128" s="69">
        <f>MAX(IF((G128&gt;0)*(IF(H128="",-1,H128)&gt;=0)*(IF(H128="",-1,H128)&lt;=1),IF(C128="peso_corporal",IF(ISNUMBER(E128),E128,0)+F128,F128)*G128*1000+F128,0),IF((J128&gt;0)*(IF(K128="",-1,K128)&gt;=0)*(IF(K128="",-1,K128)&lt;=1),IF(C128="peso_corporal",IF(ISNUMBER(E128),E128,0)+I128,I128)*J128*1000+I128,0),IF((M128&gt;0)*(IF(N128="",-1,N128)&gt;=0)*(IF(N128="",-1,N128)&lt;=1),IF(C128="peso_corporal",IF(ISNUMBER(E128),E128,0)+L128,L128)*M128*1000+L128,0),IF((P128&gt;0)*(IF(Q128="",-1,Q128)&gt;=0)*(IF(Q128="",-1,Q128)&lt;=1),IF(C128="peso_corporal",IF(ISNUMBER(E128),E128,0)+O128,O128)*P128*1000+O128,0),IF((S128&gt;0)*(IF(T128="",-1,T128)&gt;=0)*(IF(T128="",-1,T128)&lt;=1),IF(C128="peso_corporal",IF(ISNUMBER(E128),E128,0)+R128,R128)*S128*1000+R128,0))</f>
        <v>0</v>
      </c>
      <c r="X128" s="69">
        <f>IF(W128=0,0,IF(IF((S128&gt;0)*(IF(T128="",-1,T128)&gt;=0)*(IF(T128="",-1,T128)&lt;=1),IF(C128="peso_corporal",IF(ISNUMBER(E128),E128,0)+R128,R128)*S128*1000+R128,0)=W128,5,IF(IF((P128&gt;0)*(IF(Q128="",-1,Q128)&gt;=0)*(IF(Q128="",-1,Q128)&lt;=1),IF(C128="peso_corporal",IF(ISNUMBER(E128),E128,0)+O128,O128)*P128*1000+O128,0)=W128,4,IF(IF((M128&gt;0)*(IF(N128="",-1,N128)&gt;=0)*(IF(N128="",-1,N128)&lt;=1),IF(C128="peso_corporal",IF(ISNUMBER(E128),E128,0)+L128,L128)*M128*1000+L128,0)=W128,3,IF(IF((J128&gt;0)*(IF(K128="",-1,K128)&gt;=0)*(IF(K128="",-1,K128)&lt;=1),IF(C128="peso_corporal",IF(ISNUMBER(E128),E128,0)+I128,I128)*J128*1000+I128,0)=W128,2,IF(IF((G128&gt;0)*(IF(H128="",-1,H128)&gt;=0)*(IF(H128="",-1,H128)&lt;=1),IF(C128="peso_corporal",IF(ISNUMBER(E128),E128,0)+F128,F128)*G128*1000+F128,0)=W128,1,0))))))</f>
        <v>0</v>
      </c>
      <c r="Y128" s="69">
        <f>MAX(IF((G128&gt;0)*(IF(H128="",-1,H128)=0)*(1-(IF(H128="",-1,H128)&gt;=0)*(IF(H128="",-1,H128)&lt;=1)),IF(C128="peso_corporal",IF(ISNUMBER(E128),E128,0)+F128,F128)*G128*1000+F128,0),IF((J128&gt;0)*(IF(K128="",-1,K128)=0)*(1-(IF(K128="",-1,K128)&gt;=0)*(IF(K128="",-1,K128)&lt;=1)),IF(C128="peso_corporal",IF(ISNUMBER(E128),E128,0)+I128,I128)*J128*1000+I128,0),IF((M128&gt;0)*(IF(N128="",-1,N128)=0)*(1-(IF(N128="",-1,N128)&gt;=0)*(IF(N128="",-1,N128)&lt;=1)),IF(C128="peso_corporal",IF(ISNUMBER(E128),E128,0)+L128,L128)*M128*1000+L128,0),IF((P128&gt;0)*(IF(Q128="",-1,Q128)=0)*(1-(IF(Q128="",-1,Q128)&gt;=0)*(IF(Q128="",-1,Q128)&lt;=1)),IF(C128="peso_corporal",IF(ISNUMBER(E128),E128,0)+O128,O128)*P128*1000+O128,0),IF((S128&gt;0)*(IF(T128="",-1,T128)=0)*(1-(IF(T128="",-1,T128)&gt;=0)*(IF(T128="",-1,T128)&lt;=1)),IF(C128="peso_corporal",IF(ISNUMBER(E128),E128,0)+R128,R128)*S128*1000+R128,0))</f>
        <v>0</v>
      </c>
      <c r="Z128" s="69">
        <f>IF(Y128=0,0,IF(IF((S128&gt;0)*(IF(T128="",-1,T128)=0)*(1-(IF(T128="",-1,T128)&gt;=0)*(IF(T128="",-1,T128)&lt;=1)),IF(C128="peso_corporal",IF(ISNUMBER(E128),E128,0)+R128,R128)*S128*1000+R128,0)=Y128,5,IF(IF((P128&gt;0)*(IF(Q128="",-1,Q128)=0)*(1-(IF(Q128="",-1,Q128)&gt;=0)*(IF(Q128="",-1,Q128)&lt;=1)),IF(C128="peso_corporal",IF(ISNUMBER(E128),E128,0)+O128,O128)*P128*1000+O128,0)=Y128,4,IF(IF((M128&gt;0)*(IF(N128="",-1,N128)=0)*(1-(IF(N128="",-1,N128)&gt;=0)*(IF(N128="",-1,N128)&lt;=1)),IF(C128="peso_corporal",IF(ISNUMBER(E128),E128,0)+L128,L128)*M128*1000+L128,0)=Y128,3,IF(IF((J128&gt;0)*(IF(K128="",-1,K128)=0)*(1-(IF(K128="",-1,K128)&gt;=0)*(IF(K128="",-1,K128)&lt;=1)),IF(C128="peso_corporal",IF(ISNUMBER(E128),E128,0)+I128,I128)*J128*1000+I128,0)=Y128,2,IF(IF((G128&gt;0)*(IF(H128="",-1,H128)=0)*(1-(IF(H128="",-1,H128)&gt;=0)*(IF(H128="",-1,H128)&lt;=1)),IF(C128="peso_corporal",IF(ISNUMBER(E128),E128,0)+F128,F128)*G128*1000+F128,0)=Y128,1,0))))))</f>
        <v>0</v>
      </c>
      <c r="AA128" s="69">
        <f>MAX(IF((G128&gt;=3)*(1-(IF(H128="",-1,H128)&gt;=0)*(IF(H128="",-1,H128)&lt;=1))*(1-(IF(H128="",-1,H128)=0)),IF(C128="peso_corporal",IF(ISNUMBER(E128),E128,0)+F128,F128)*(30+G128)*100+F128,0),IF((J128&gt;=3)*(1-(IF(K128="",-1,K128)&gt;=0)*(IF(K128="",-1,K128)&lt;=1))*(1-(IF(K128="",-1,K128)=0)),IF(C128="peso_corporal",IF(ISNUMBER(E128),E128,0)+I128,I128)*(30+J128)*100+I128,0),IF((M128&gt;=3)*(1-(IF(N128="",-1,N128)&gt;=0)*(IF(N128="",-1,N128)&lt;=1))*(1-(IF(N128="",-1,N128)=0)),IF(C128="peso_corporal",IF(ISNUMBER(E128),E128,0)+L128,L128)*(30+M128)*100+L128,0),IF((P128&gt;=3)*(1-(IF(Q128="",-1,Q128)&gt;=0)*(IF(Q128="",-1,Q128)&lt;=1))*(1-(IF(Q128="",-1,Q128)=0)),IF(C128="peso_corporal",IF(ISNUMBER(E128),E128,0)+O128,O128)*(30+P128)*100+O128,0),IF((S128&gt;=3)*(1-(IF(T128="",-1,T128)&gt;=0)*(IF(T128="",-1,T128)&lt;=1))*(1-(IF(T128="",-1,T128)=0)),IF(C128="peso_corporal",IF(ISNUMBER(E128),E128,0)+R128,R128)*(30+S128)*100+R128,0))</f>
        <v>0</v>
      </c>
      <c r="AB128" s="69">
        <f>IF(AA128=0,0,IF(IF((S128&gt;=3)*(1-(IF(T128="",-1,T128)&gt;=0)*(IF(T128="",-1,T128)&lt;=1))*(1-(IF(T128="",-1,T128)=0)),IF(C128="peso_corporal",IF(ISNUMBER(E128),E128,0)+R128,R128)*(30+S128)*100+R128,0)=AA128,5,IF(IF((P128&gt;=3)*(1-(IF(Q128="",-1,Q128)&gt;=0)*(IF(Q128="",-1,Q128)&lt;=1))*(1-(IF(Q128="",-1,Q128)=0)),IF(C128="peso_corporal",IF(ISNUMBER(E128),E128,0)+O128,O128)*(30+P128)*100+O128,0)=AA128,4,IF(IF((M128&gt;=3)*(1-(IF(N128="",-1,N128)&gt;=0)*(IF(N128="",-1,N128)&lt;=1))*(1-(IF(N128="",-1,N128)=0)),IF(C128="peso_corporal",IF(ISNUMBER(E128),E128,0)+L128,L128)*(30+M128)*100+L128,0)=AA128,3,IF(IF((J128&gt;=3)*(1-(IF(K128="",-1,K128)&gt;=0)*(IF(K128="",-1,K128)&lt;=1))*(1-(IF(K128="",-1,K128)=0)),IF(C128="peso_corporal",IF(ISNUMBER(E128),E128,0)+I128,I128)*(30+J128)*100+I128,0)=AA128,2,IF(IF((G128&gt;=3)*(1-(IF(H128="",-1,H128)&gt;=0)*(IF(H128="",-1,H128)&lt;=1))*(1-(IF(H128="",-1,H128)=0)),IF(C128="peso_corporal",IF(ISNUMBER(E128),E128,0)+F128,F128)*(30+G128)*100+F128,0)=AA128,1,0))))))</f>
        <v>0</v>
      </c>
      <c r="AC128" s="69" t="str">
        <f>IF(X128&gt;0,"A"&amp;X128,IF(Z128&gt;0,"B"&amp;Z128,IF(AB128&gt;0,"C"&amp;AB128,"")))</f>
        <v/>
      </c>
    </row>
    <row r="129" spans="1:29" ht="20.100000000000001" customHeight="1">
      <c r="A129" s="14" t="s">
        <v>65</v>
      </c>
      <c r="B129" s="15" t="s">
        <v>137</v>
      </c>
      <c r="C129" s="16" t="str">
        <f>IFERROR(INDEX(EJERCICIOS!$D$3:$D$75,MATCH(A129&amp;"|"&amp;B129,EJERCICIOS!$G$3:$G$75,0)),"--")</f>
        <v>--</v>
      </c>
      <c r="D129" s="17">
        <v>3</v>
      </c>
      <c r="E129" s="18">
        <f>IFERROR(LOOKUP(2,1/(MEDIDAS_Y_PESO!$B$3:$B$8&lt;&gt;""),MEDIDAS_Y_PESO!$B$3:$B$8),"--")</f>
        <v>80</v>
      </c>
      <c r="F129" s="19"/>
      <c r="G129" s="20"/>
      <c r="H129" s="21"/>
      <c r="I129" s="19"/>
      <c r="J129" s="20"/>
      <c r="K129" s="21"/>
      <c r="L129" s="19"/>
      <c r="M129" s="20"/>
      <c r="N129" s="21"/>
      <c r="O129" s="19"/>
      <c r="P129" s="20"/>
      <c r="Q129" s="21"/>
      <c r="R129" s="19"/>
      <c r="S129" s="20"/>
      <c r="T129" s="21"/>
      <c r="U129" s="22" t="str">
        <f>IFERROR(IF(IF(X129&gt;0,X129,IF(Z129&gt;0,Z129,IF(AB129&gt;0,AB129,0)))=0,"--",ROUND(CHOOSE(IF(X129&gt;0,X129,IF(Z129&gt;0,Z129,IF(AB129&gt;0,AB129,0))),IF(C129="peso_corporal",IF(ISNUMBER(E129),E129,0)+F129,F129)*(1+G129/30),IF(C129="peso_corporal",IF(ISNUMBER(E129),E129,0)+I129,I129)*(1+J129/30),IF(C129="peso_corporal",IF(ISNUMBER(E129),E129,0)+L129,L129)*(1+M129/30),IF(C129="peso_corporal",IF(ISNUMBER(E129),E129,0)+O129,O129)*(1+P129/30),IF(C129="peso_corporal",IF(ISNUMBER(E129),E129,0)+R129,R129)*(1+S129/30)),1)),"--")</f>
        <v>--</v>
      </c>
      <c r="V129" s="23" t="str">
        <f>IF(SUGERENCIAS!N347="SIN","Sin datos anteriores",IF(SUGERENCIAS!N347="SUBIR_F","^ SUBIR FUERTE | Kg:"&amp;ROUND(SUGERENCIAS!K347,1)&amp;" R:"&amp;ROUND(SUGERENCIAS!L347,0)&amp;" RIR:"&amp;ROUND(SUGERENCIAS!M347,0),IF(SUGERENCIAS!N347="SUBIR_E","^ SUBIR (Est.) | Kg:"&amp;ROUND(SUGERENCIAS!K347,1)&amp;" R:"&amp;ROUND(SUGERENCIAS!L347,0)&amp;" RIR:"&amp;ROUND(SUGERENCIAS!M347,0),IF(SUGERENCIAS!N347="SUBIR","^ SUBIR | Kg:"&amp;ROUND(SUGERENCIAS!K347,1)&amp;" R:"&amp;ROUND(SUGERENCIAS!L347,0)&amp;" RIR:"&amp;ROUND(SUGERENCIAS!M347,0),IF(SUGERENCIAS!N347="BAJAR","v BAJAR | Kg:"&amp;ROUND(SUGERENCIAS!K347,1)&amp;" R:"&amp;ROUND(SUGERENCIAS!L347,0)&amp;" RIR:"&amp;ROUND(SUGERENCIAS!M347,0),"= MANT | Kg:"&amp;ROUND(SUGERENCIAS!K347,1)&amp;" R:"&amp;ROUND(SUGERENCIAS!L347,0)&amp;" RIR:"&amp;ROUND(SUGERENCIAS!M347,0))))))</f>
        <v>Sin datos anteriores</v>
      </c>
      <c r="W129" s="69">
        <f>MAX(IF((G129&gt;0)*(IF(H129="",-1,H129)&gt;=0)*(IF(H129="",-1,H129)&lt;=1),IF(C129="peso_corporal",IF(ISNUMBER(E129),E129,0)+F129,F129)*G129*1000+F129,0),IF((J129&gt;0)*(IF(K129="",-1,K129)&gt;=0)*(IF(K129="",-1,K129)&lt;=1),IF(C129="peso_corporal",IF(ISNUMBER(E129),E129,0)+I129,I129)*J129*1000+I129,0),IF((M129&gt;0)*(IF(N129="",-1,N129)&gt;=0)*(IF(N129="",-1,N129)&lt;=1),IF(C129="peso_corporal",IF(ISNUMBER(E129),E129,0)+L129,L129)*M129*1000+L129,0),IF((P129&gt;0)*(IF(Q129="",-1,Q129)&gt;=0)*(IF(Q129="",-1,Q129)&lt;=1),IF(C129="peso_corporal",IF(ISNUMBER(E129),E129,0)+O129,O129)*P129*1000+O129,0),IF((S129&gt;0)*(IF(T129="",-1,T129)&gt;=0)*(IF(T129="",-1,T129)&lt;=1),IF(C129="peso_corporal",IF(ISNUMBER(E129),E129,0)+R129,R129)*S129*1000+R129,0))</f>
        <v>0</v>
      </c>
      <c r="X129" s="69">
        <f>IF(W129=0,0,IF(IF((S129&gt;0)*(IF(T129="",-1,T129)&gt;=0)*(IF(T129="",-1,T129)&lt;=1),IF(C129="peso_corporal",IF(ISNUMBER(E129),E129,0)+R129,R129)*S129*1000+R129,0)=W129,5,IF(IF((P129&gt;0)*(IF(Q129="",-1,Q129)&gt;=0)*(IF(Q129="",-1,Q129)&lt;=1),IF(C129="peso_corporal",IF(ISNUMBER(E129),E129,0)+O129,O129)*P129*1000+O129,0)=W129,4,IF(IF((M129&gt;0)*(IF(N129="",-1,N129)&gt;=0)*(IF(N129="",-1,N129)&lt;=1),IF(C129="peso_corporal",IF(ISNUMBER(E129),E129,0)+L129,L129)*M129*1000+L129,0)=W129,3,IF(IF((J129&gt;0)*(IF(K129="",-1,K129)&gt;=0)*(IF(K129="",-1,K129)&lt;=1),IF(C129="peso_corporal",IF(ISNUMBER(E129),E129,0)+I129,I129)*J129*1000+I129,0)=W129,2,IF(IF((G129&gt;0)*(IF(H129="",-1,H129)&gt;=0)*(IF(H129="",-1,H129)&lt;=1),IF(C129="peso_corporal",IF(ISNUMBER(E129),E129,0)+F129,F129)*G129*1000+F129,0)=W129,1,0))))))</f>
        <v>0</v>
      </c>
      <c r="Y129" s="69">
        <f>MAX(IF((G129&gt;0)*(IF(H129="",-1,H129)=0)*(1-(IF(H129="",-1,H129)&gt;=0)*(IF(H129="",-1,H129)&lt;=1)),IF(C129="peso_corporal",IF(ISNUMBER(E129),E129,0)+F129,F129)*G129*1000+F129,0),IF((J129&gt;0)*(IF(K129="",-1,K129)=0)*(1-(IF(K129="",-1,K129)&gt;=0)*(IF(K129="",-1,K129)&lt;=1)),IF(C129="peso_corporal",IF(ISNUMBER(E129),E129,0)+I129,I129)*J129*1000+I129,0),IF((M129&gt;0)*(IF(N129="",-1,N129)=0)*(1-(IF(N129="",-1,N129)&gt;=0)*(IF(N129="",-1,N129)&lt;=1)),IF(C129="peso_corporal",IF(ISNUMBER(E129),E129,0)+L129,L129)*M129*1000+L129,0),IF((P129&gt;0)*(IF(Q129="",-1,Q129)=0)*(1-(IF(Q129="",-1,Q129)&gt;=0)*(IF(Q129="",-1,Q129)&lt;=1)),IF(C129="peso_corporal",IF(ISNUMBER(E129),E129,0)+O129,O129)*P129*1000+O129,0),IF((S129&gt;0)*(IF(T129="",-1,T129)=0)*(1-(IF(T129="",-1,T129)&gt;=0)*(IF(T129="",-1,T129)&lt;=1)),IF(C129="peso_corporal",IF(ISNUMBER(E129),E129,0)+R129,R129)*S129*1000+R129,0))</f>
        <v>0</v>
      </c>
      <c r="Z129" s="69">
        <f>IF(Y129=0,0,IF(IF((S129&gt;0)*(IF(T129="",-1,T129)=0)*(1-(IF(T129="",-1,T129)&gt;=0)*(IF(T129="",-1,T129)&lt;=1)),IF(C129="peso_corporal",IF(ISNUMBER(E129),E129,0)+R129,R129)*S129*1000+R129,0)=Y129,5,IF(IF((P129&gt;0)*(IF(Q129="",-1,Q129)=0)*(1-(IF(Q129="",-1,Q129)&gt;=0)*(IF(Q129="",-1,Q129)&lt;=1)),IF(C129="peso_corporal",IF(ISNUMBER(E129),E129,0)+O129,O129)*P129*1000+O129,0)=Y129,4,IF(IF((M129&gt;0)*(IF(N129="",-1,N129)=0)*(1-(IF(N129="",-1,N129)&gt;=0)*(IF(N129="",-1,N129)&lt;=1)),IF(C129="peso_corporal",IF(ISNUMBER(E129),E129,0)+L129,L129)*M129*1000+L129,0)=Y129,3,IF(IF((J129&gt;0)*(IF(K129="",-1,K129)=0)*(1-(IF(K129="",-1,K129)&gt;=0)*(IF(K129="",-1,K129)&lt;=1)),IF(C129="peso_corporal",IF(ISNUMBER(E129),E129,0)+I129,I129)*J129*1000+I129,0)=Y129,2,IF(IF((G129&gt;0)*(IF(H129="",-1,H129)=0)*(1-(IF(H129="",-1,H129)&gt;=0)*(IF(H129="",-1,H129)&lt;=1)),IF(C129="peso_corporal",IF(ISNUMBER(E129),E129,0)+F129,F129)*G129*1000+F129,0)=Y129,1,0))))))</f>
        <v>0</v>
      </c>
      <c r="AA129" s="69">
        <f>MAX(IF((G129&gt;=3)*(1-(IF(H129="",-1,H129)&gt;=0)*(IF(H129="",-1,H129)&lt;=1))*(1-(IF(H129="",-1,H129)=0)),IF(C129="peso_corporal",IF(ISNUMBER(E129),E129,0)+F129,F129)*(30+G129)*100+F129,0),IF((J129&gt;=3)*(1-(IF(K129="",-1,K129)&gt;=0)*(IF(K129="",-1,K129)&lt;=1))*(1-(IF(K129="",-1,K129)=0)),IF(C129="peso_corporal",IF(ISNUMBER(E129),E129,0)+I129,I129)*(30+J129)*100+I129,0),IF((M129&gt;=3)*(1-(IF(N129="",-1,N129)&gt;=0)*(IF(N129="",-1,N129)&lt;=1))*(1-(IF(N129="",-1,N129)=0)),IF(C129="peso_corporal",IF(ISNUMBER(E129),E129,0)+L129,L129)*(30+M129)*100+L129,0),IF((P129&gt;=3)*(1-(IF(Q129="",-1,Q129)&gt;=0)*(IF(Q129="",-1,Q129)&lt;=1))*(1-(IF(Q129="",-1,Q129)=0)),IF(C129="peso_corporal",IF(ISNUMBER(E129),E129,0)+O129,O129)*(30+P129)*100+O129,0),IF((S129&gt;=3)*(1-(IF(T129="",-1,T129)&gt;=0)*(IF(T129="",-1,T129)&lt;=1))*(1-(IF(T129="",-1,T129)=0)),IF(C129="peso_corporal",IF(ISNUMBER(E129),E129,0)+R129,R129)*(30+S129)*100+R129,0))</f>
        <v>0</v>
      </c>
      <c r="AB129" s="69">
        <f>IF(AA129=0,0,IF(IF((S129&gt;=3)*(1-(IF(T129="",-1,T129)&gt;=0)*(IF(T129="",-1,T129)&lt;=1))*(1-(IF(T129="",-1,T129)=0)),IF(C129="peso_corporal",IF(ISNUMBER(E129),E129,0)+R129,R129)*(30+S129)*100+R129,0)=AA129,5,IF(IF((P129&gt;=3)*(1-(IF(Q129="",-1,Q129)&gt;=0)*(IF(Q129="",-1,Q129)&lt;=1))*(1-(IF(Q129="",-1,Q129)=0)),IF(C129="peso_corporal",IF(ISNUMBER(E129),E129,0)+O129,O129)*(30+P129)*100+O129,0)=AA129,4,IF(IF((M129&gt;=3)*(1-(IF(N129="",-1,N129)&gt;=0)*(IF(N129="",-1,N129)&lt;=1))*(1-(IF(N129="",-1,N129)=0)),IF(C129="peso_corporal",IF(ISNUMBER(E129),E129,0)+L129,L129)*(30+M129)*100+L129,0)=AA129,3,IF(IF((J129&gt;=3)*(1-(IF(K129="",-1,K129)&gt;=0)*(IF(K129="",-1,K129)&lt;=1))*(1-(IF(K129="",-1,K129)=0)),IF(C129="peso_corporal",IF(ISNUMBER(E129),E129,0)+I129,I129)*(30+J129)*100+I129,0)=AA129,2,IF(IF((G129&gt;=3)*(1-(IF(H129="",-1,H129)&gt;=0)*(IF(H129="",-1,H129)&lt;=1))*(1-(IF(H129="",-1,H129)=0)),IF(C129="peso_corporal",IF(ISNUMBER(E129),E129,0)+F129,F129)*(30+G129)*100+F129,0)=AA129,1,0))))))</f>
        <v>0</v>
      </c>
      <c r="AC129" s="69" t="str">
        <f>IF(X129&gt;0,"A"&amp;X129,IF(Z129&gt;0,"B"&amp;Z129,IF(AB129&gt;0,"C"&amp;AB129,"")))</f>
        <v/>
      </c>
    </row>
    <row r="130" spans="1:29" ht="15" customHeight="1">
      <c r="A130" s="89" t="s">
        <v>138</v>
      </c>
      <c r="B130" s="73"/>
      <c r="C130" s="73"/>
      <c r="D130" s="73"/>
      <c r="E130" s="73"/>
      <c r="F130" s="73"/>
      <c r="G130" s="73"/>
      <c r="H130" s="73"/>
      <c r="I130" s="73"/>
      <c r="J130" s="73"/>
      <c r="K130" s="73"/>
      <c r="L130" s="73"/>
      <c r="M130" s="73"/>
      <c r="N130" s="73"/>
      <c r="O130" s="73"/>
      <c r="P130" s="73"/>
      <c r="Q130" s="73"/>
      <c r="R130" s="73"/>
      <c r="S130" s="73"/>
      <c r="T130" s="73"/>
      <c r="U130" s="73"/>
      <c r="V130" s="73"/>
      <c r="W130" s="69"/>
      <c r="X130" s="69"/>
      <c r="Y130" s="69"/>
      <c r="Z130" s="69"/>
      <c r="AA130" s="69"/>
      <c r="AB130" s="69"/>
      <c r="AC130" s="69"/>
    </row>
    <row r="131" spans="1:29" ht="20.100000000000001" customHeight="1">
      <c r="A131" s="14" t="s">
        <v>139</v>
      </c>
      <c r="B131" s="15" t="s">
        <v>140</v>
      </c>
      <c r="C131" s="16" t="str">
        <f>IFERROR(INDEX(EJERCICIOS!$D$3:$D$75,MATCH(A131&amp;"|"&amp;B131,EJERCICIOS!$G$3:$G$75,0)),"--")</f>
        <v>disco</v>
      </c>
      <c r="D131" s="17">
        <v>3</v>
      </c>
      <c r="E131" s="18">
        <f>IFERROR(LOOKUP(2,1/(MEDIDAS_Y_PESO!$B$3:$B$8&lt;&gt;""),MEDIDAS_Y_PESO!$B$3:$B$8),"--")</f>
        <v>80</v>
      </c>
      <c r="F131" s="19"/>
      <c r="G131" s="20"/>
      <c r="H131" s="21"/>
      <c r="I131" s="19"/>
      <c r="J131" s="20"/>
      <c r="K131" s="21"/>
      <c r="L131" s="19"/>
      <c r="M131" s="20"/>
      <c r="N131" s="21"/>
      <c r="O131" s="19"/>
      <c r="P131" s="20"/>
      <c r="Q131" s="21"/>
      <c r="R131" s="19"/>
      <c r="S131" s="20"/>
      <c r="T131" s="21"/>
      <c r="U131" s="22" t="str">
        <f>IFERROR(IF(IF(X131&gt;0,X131,IF(Z131&gt;0,Z131,IF(AB131&gt;0,AB131,0)))=0,"--",ROUND(CHOOSE(IF(X131&gt;0,X131,IF(Z131&gt;0,Z131,IF(AB131&gt;0,AB131,0))),IF(C131="peso_corporal",IF(ISNUMBER(E131),E131,0)+F131,F131)*(1+G131/30),IF(C131="peso_corporal",IF(ISNUMBER(E131),E131,0)+I131,I131)*(1+J131/30),IF(C131="peso_corporal",IF(ISNUMBER(E131),E131,0)+L131,L131)*(1+M131/30),IF(C131="peso_corporal",IF(ISNUMBER(E131),E131,0)+O131,O131)*(1+P131/30),IF(C131="peso_corporal",IF(ISNUMBER(E131),E131,0)+R131,R131)*(1+S131/30)),1)),"--")</f>
        <v>--</v>
      </c>
      <c r="V131" s="23" t="str">
        <f>IF(SUGERENCIAS!N348="SIN","Sin datos anteriores",IF(SUGERENCIAS!N348="SUBIR_F","^ SUBIR FUERTE | Kg:"&amp;ROUND(SUGERENCIAS!K348,1)&amp;" R:"&amp;ROUND(SUGERENCIAS!L348,0)&amp;" RIR:"&amp;ROUND(SUGERENCIAS!M348,0),IF(SUGERENCIAS!N348="SUBIR_E","^ SUBIR (Est.) | Kg:"&amp;ROUND(SUGERENCIAS!K348,1)&amp;" R:"&amp;ROUND(SUGERENCIAS!L348,0)&amp;" RIR:"&amp;ROUND(SUGERENCIAS!M348,0),IF(SUGERENCIAS!N348="SUBIR","^ SUBIR | Kg:"&amp;ROUND(SUGERENCIAS!K348,1)&amp;" R:"&amp;ROUND(SUGERENCIAS!L348,0)&amp;" RIR:"&amp;ROUND(SUGERENCIAS!M348,0),IF(SUGERENCIAS!N348="BAJAR","v BAJAR | Kg:"&amp;ROUND(SUGERENCIAS!K348,1)&amp;" R:"&amp;ROUND(SUGERENCIAS!L348,0)&amp;" RIR:"&amp;ROUND(SUGERENCIAS!M348,0),"= MANT | Kg:"&amp;ROUND(SUGERENCIAS!K348,1)&amp;" R:"&amp;ROUND(SUGERENCIAS!L348,0)&amp;" RIR:"&amp;ROUND(SUGERENCIAS!M348,0))))))</f>
        <v>Sin datos anteriores</v>
      </c>
      <c r="W131" s="69">
        <f>MAX(IF((G131&gt;0)*(IF(H131="",-1,H131)&gt;=0)*(IF(H131="",-1,H131)&lt;=1),IF(C131="peso_corporal",IF(ISNUMBER(E131),E131,0)+F131,F131)*G131*1000+F131,0),IF((J131&gt;0)*(IF(K131="",-1,K131)&gt;=0)*(IF(K131="",-1,K131)&lt;=1),IF(C131="peso_corporal",IF(ISNUMBER(E131),E131,0)+I131,I131)*J131*1000+I131,0),IF((M131&gt;0)*(IF(N131="",-1,N131)&gt;=0)*(IF(N131="",-1,N131)&lt;=1),IF(C131="peso_corporal",IF(ISNUMBER(E131),E131,0)+L131,L131)*M131*1000+L131,0),IF((P131&gt;0)*(IF(Q131="",-1,Q131)&gt;=0)*(IF(Q131="",-1,Q131)&lt;=1),IF(C131="peso_corporal",IF(ISNUMBER(E131),E131,0)+O131,O131)*P131*1000+O131,0),IF((S131&gt;0)*(IF(T131="",-1,T131)&gt;=0)*(IF(T131="",-1,T131)&lt;=1),IF(C131="peso_corporal",IF(ISNUMBER(E131),E131,0)+R131,R131)*S131*1000+R131,0))</f>
        <v>0</v>
      </c>
      <c r="X131" s="69">
        <f>IF(W131=0,0,IF(IF((S131&gt;0)*(IF(T131="",-1,T131)&gt;=0)*(IF(T131="",-1,T131)&lt;=1),IF(C131="peso_corporal",IF(ISNUMBER(E131),E131,0)+R131,R131)*S131*1000+R131,0)=W131,5,IF(IF((P131&gt;0)*(IF(Q131="",-1,Q131)&gt;=0)*(IF(Q131="",-1,Q131)&lt;=1),IF(C131="peso_corporal",IF(ISNUMBER(E131),E131,0)+O131,O131)*P131*1000+O131,0)=W131,4,IF(IF((M131&gt;0)*(IF(N131="",-1,N131)&gt;=0)*(IF(N131="",-1,N131)&lt;=1),IF(C131="peso_corporal",IF(ISNUMBER(E131),E131,0)+L131,L131)*M131*1000+L131,0)=W131,3,IF(IF((J131&gt;0)*(IF(K131="",-1,K131)&gt;=0)*(IF(K131="",-1,K131)&lt;=1),IF(C131="peso_corporal",IF(ISNUMBER(E131),E131,0)+I131,I131)*J131*1000+I131,0)=W131,2,IF(IF((G131&gt;0)*(IF(H131="",-1,H131)&gt;=0)*(IF(H131="",-1,H131)&lt;=1),IF(C131="peso_corporal",IF(ISNUMBER(E131),E131,0)+F131,F131)*G131*1000+F131,0)=W131,1,0))))))</f>
        <v>0</v>
      </c>
      <c r="Y131" s="69">
        <f>MAX(IF((G131&gt;0)*(IF(H131="",-1,H131)=0)*(1-(IF(H131="",-1,H131)&gt;=0)*(IF(H131="",-1,H131)&lt;=1)),IF(C131="peso_corporal",IF(ISNUMBER(E131),E131,0)+F131,F131)*G131*1000+F131,0),IF((J131&gt;0)*(IF(K131="",-1,K131)=0)*(1-(IF(K131="",-1,K131)&gt;=0)*(IF(K131="",-1,K131)&lt;=1)),IF(C131="peso_corporal",IF(ISNUMBER(E131),E131,0)+I131,I131)*J131*1000+I131,0),IF((M131&gt;0)*(IF(N131="",-1,N131)=0)*(1-(IF(N131="",-1,N131)&gt;=0)*(IF(N131="",-1,N131)&lt;=1)),IF(C131="peso_corporal",IF(ISNUMBER(E131),E131,0)+L131,L131)*M131*1000+L131,0),IF((P131&gt;0)*(IF(Q131="",-1,Q131)=0)*(1-(IF(Q131="",-1,Q131)&gt;=0)*(IF(Q131="",-1,Q131)&lt;=1)),IF(C131="peso_corporal",IF(ISNUMBER(E131),E131,0)+O131,O131)*P131*1000+O131,0),IF((S131&gt;0)*(IF(T131="",-1,T131)=0)*(1-(IF(T131="",-1,T131)&gt;=0)*(IF(T131="",-1,T131)&lt;=1)),IF(C131="peso_corporal",IF(ISNUMBER(E131),E131,0)+R131,R131)*S131*1000+R131,0))</f>
        <v>0</v>
      </c>
      <c r="Z131" s="69">
        <f>IF(Y131=0,0,IF(IF((S131&gt;0)*(IF(T131="",-1,T131)=0)*(1-(IF(T131="",-1,T131)&gt;=0)*(IF(T131="",-1,T131)&lt;=1)),IF(C131="peso_corporal",IF(ISNUMBER(E131),E131,0)+R131,R131)*S131*1000+R131,0)=Y131,5,IF(IF((P131&gt;0)*(IF(Q131="",-1,Q131)=0)*(1-(IF(Q131="",-1,Q131)&gt;=0)*(IF(Q131="",-1,Q131)&lt;=1)),IF(C131="peso_corporal",IF(ISNUMBER(E131),E131,0)+O131,O131)*P131*1000+O131,0)=Y131,4,IF(IF((M131&gt;0)*(IF(N131="",-1,N131)=0)*(1-(IF(N131="",-1,N131)&gt;=0)*(IF(N131="",-1,N131)&lt;=1)),IF(C131="peso_corporal",IF(ISNUMBER(E131),E131,0)+L131,L131)*M131*1000+L131,0)=Y131,3,IF(IF((J131&gt;0)*(IF(K131="",-1,K131)=0)*(1-(IF(K131="",-1,K131)&gt;=0)*(IF(K131="",-1,K131)&lt;=1)),IF(C131="peso_corporal",IF(ISNUMBER(E131),E131,0)+I131,I131)*J131*1000+I131,0)=Y131,2,IF(IF((G131&gt;0)*(IF(H131="",-1,H131)=0)*(1-(IF(H131="",-1,H131)&gt;=0)*(IF(H131="",-1,H131)&lt;=1)),IF(C131="peso_corporal",IF(ISNUMBER(E131),E131,0)+F131,F131)*G131*1000+F131,0)=Y131,1,0))))))</f>
        <v>0</v>
      </c>
      <c r="AA131" s="69">
        <f>MAX(IF((G131&gt;=3)*(1-(IF(H131="",-1,H131)&gt;=0)*(IF(H131="",-1,H131)&lt;=1))*(1-(IF(H131="",-1,H131)=0)),IF(C131="peso_corporal",IF(ISNUMBER(E131),E131,0)+F131,F131)*(30+G131)*100+F131,0),IF((J131&gt;=3)*(1-(IF(K131="",-1,K131)&gt;=0)*(IF(K131="",-1,K131)&lt;=1))*(1-(IF(K131="",-1,K131)=0)),IF(C131="peso_corporal",IF(ISNUMBER(E131),E131,0)+I131,I131)*(30+J131)*100+I131,0),IF((M131&gt;=3)*(1-(IF(N131="",-1,N131)&gt;=0)*(IF(N131="",-1,N131)&lt;=1))*(1-(IF(N131="",-1,N131)=0)),IF(C131="peso_corporal",IF(ISNUMBER(E131),E131,0)+L131,L131)*(30+M131)*100+L131,0),IF((P131&gt;=3)*(1-(IF(Q131="",-1,Q131)&gt;=0)*(IF(Q131="",-1,Q131)&lt;=1))*(1-(IF(Q131="",-1,Q131)=0)),IF(C131="peso_corporal",IF(ISNUMBER(E131),E131,0)+O131,O131)*(30+P131)*100+O131,0),IF((S131&gt;=3)*(1-(IF(T131="",-1,T131)&gt;=0)*(IF(T131="",-1,T131)&lt;=1))*(1-(IF(T131="",-1,T131)=0)),IF(C131="peso_corporal",IF(ISNUMBER(E131),E131,0)+R131,R131)*(30+S131)*100+R131,0))</f>
        <v>0</v>
      </c>
      <c r="AB131" s="69">
        <f>IF(AA131=0,0,IF(IF((S131&gt;=3)*(1-(IF(T131="",-1,T131)&gt;=0)*(IF(T131="",-1,T131)&lt;=1))*(1-(IF(T131="",-1,T131)=0)),IF(C131="peso_corporal",IF(ISNUMBER(E131),E131,0)+R131,R131)*(30+S131)*100+R131,0)=AA131,5,IF(IF((P131&gt;=3)*(1-(IF(Q131="",-1,Q131)&gt;=0)*(IF(Q131="",-1,Q131)&lt;=1))*(1-(IF(Q131="",-1,Q131)=0)),IF(C131="peso_corporal",IF(ISNUMBER(E131),E131,0)+O131,O131)*(30+P131)*100+O131,0)=AA131,4,IF(IF((M131&gt;=3)*(1-(IF(N131="",-1,N131)&gt;=0)*(IF(N131="",-1,N131)&lt;=1))*(1-(IF(N131="",-1,N131)=0)),IF(C131="peso_corporal",IF(ISNUMBER(E131),E131,0)+L131,L131)*(30+M131)*100+L131,0)=AA131,3,IF(IF((J131&gt;=3)*(1-(IF(K131="",-1,K131)&gt;=0)*(IF(K131="",-1,K131)&lt;=1))*(1-(IF(K131="",-1,K131)=0)),IF(C131="peso_corporal",IF(ISNUMBER(E131),E131,0)+I131,I131)*(30+J131)*100+I131,0)=AA131,2,IF(IF((G131&gt;=3)*(1-(IF(H131="",-1,H131)&gt;=0)*(IF(H131="",-1,H131)&lt;=1))*(1-(IF(H131="",-1,H131)=0)),IF(C131="peso_corporal",IF(ISNUMBER(E131),E131,0)+F131,F131)*(30+G131)*100+F131,0)=AA131,1,0))))))</f>
        <v>0</v>
      </c>
      <c r="AC131" s="69" t="str">
        <f>IF(X131&gt;0,"A"&amp;X131,IF(Z131&gt;0,"B"&amp;Z131,IF(AB131&gt;0,"C"&amp;AB131,"")))</f>
        <v/>
      </c>
    </row>
    <row r="132" spans="1:29" ht="20.100000000000001" customHeight="1">
      <c r="A132" s="14" t="s">
        <v>139</v>
      </c>
      <c r="B132" s="15" t="s">
        <v>141</v>
      </c>
      <c r="C132" s="16" t="str">
        <f>IFERROR(INDEX(EJERCICIOS!$D$3:$D$75,MATCH(A132&amp;"|"&amp;B132,EJERCICIOS!$G$3:$G$75,0)),"--")</f>
        <v>disco</v>
      </c>
      <c r="D132" s="17">
        <v>3</v>
      </c>
      <c r="E132" s="18">
        <f>IFERROR(LOOKUP(2,1/(MEDIDAS_Y_PESO!$B$3:$B$8&lt;&gt;""),MEDIDAS_Y_PESO!$B$3:$B$8),"--")</f>
        <v>80</v>
      </c>
      <c r="F132" s="19"/>
      <c r="G132" s="20"/>
      <c r="H132" s="21"/>
      <c r="I132" s="19"/>
      <c r="J132" s="20"/>
      <c r="K132" s="21"/>
      <c r="L132" s="19"/>
      <c r="M132" s="20"/>
      <c r="N132" s="21"/>
      <c r="O132" s="19"/>
      <c r="P132" s="20"/>
      <c r="Q132" s="21"/>
      <c r="R132" s="19"/>
      <c r="S132" s="20"/>
      <c r="T132" s="21"/>
      <c r="U132" s="22" t="str">
        <f>IFERROR(IF(IF(X132&gt;0,X132,IF(Z132&gt;0,Z132,IF(AB132&gt;0,AB132,0)))=0,"--",ROUND(CHOOSE(IF(X132&gt;0,X132,IF(Z132&gt;0,Z132,IF(AB132&gt;0,AB132,0))),IF(C132="peso_corporal",IF(ISNUMBER(E132),E132,0)+F132,F132)*(1+G132/30),IF(C132="peso_corporal",IF(ISNUMBER(E132),E132,0)+I132,I132)*(1+J132/30),IF(C132="peso_corporal",IF(ISNUMBER(E132),E132,0)+L132,L132)*(1+M132/30),IF(C132="peso_corporal",IF(ISNUMBER(E132),E132,0)+O132,O132)*(1+P132/30),IF(C132="peso_corporal",IF(ISNUMBER(E132),E132,0)+R132,R132)*(1+S132/30)),1)),"--")</f>
        <v>--</v>
      </c>
      <c r="V132" s="23" t="str">
        <f>IF(SUGERENCIAS!N349="SIN","Sin datos anteriores",IF(SUGERENCIAS!N349="SUBIR_F","^ SUBIR FUERTE | Kg:"&amp;ROUND(SUGERENCIAS!K349,1)&amp;" R:"&amp;ROUND(SUGERENCIAS!L349,0)&amp;" RIR:"&amp;ROUND(SUGERENCIAS!M349,0),IF(SUGERENCIAS!N349="SUBIR_E","^ SUBIR (Est.) | Kg:"&amp;ROUND(SUGERENCIAS!K349,1)&amp;" R:"&amp;ROUND(SUGERENCIAS!L349,0)&amp;" RIR:"&amp;ROUND(SUGERENCIAS!M349,0),IF(SUGERENCIAS!N349="SUBIR","^ SUBIR | Kg:"&amp;ROUND(SUGERENCIAS!K349,1)&amp;" R:"&amp;ROUND(SUGERENCIAS!L349,0)&amp;" RIR:"&amp;ROUND(SUGERENCIAS!M349,0),IF(SUGERENCIAS!N349="BAJAR","v BAJAR | Kg:"&amp;ROUND(SUGERENCIAS!K349,1)&amp;" R:"&amp;ROUND(SUGERENCIAS!L349,0)&amp;" RIR:"&amp;ROUND(SUGERENCIAS!M349,0),"= MANT | Kg:"&amp;ROUND(SUGERENCIAS!K349,1)&amp;" R:"&amp;ROUND(SUGERENCIAS!L349,0)&amp;" RIR:"&amp;ROUND(SUGERENCIAS!M349,0))))))</f>
        <v>Sin datos anteriores</v>
      </c>
      <c r="W132" s="69">
        <f>MAX(IF((G132&gt;0)*(IF(H132="",-1,H132)&gt;=0)*(IF(H132="",-1,H132)&lt;=1),IF(C132="peso_corporal",IF(ISNUMBER(E132),E132,0)+F132,F132)*G132*1000+F132,0),IF((J132&gt;0)*(IF(K132="",-1,K132)&gt;=0)*(IF(K132="",-1,K132)&lt;=1),IF(C132="peso_corporal",IF(ISNUMBER(E132),E132,0)+I132,I132)*J132*1000+I132,0),IF((M132&gt;0)*(IF(N132="",-1,N132)&gt;=0)*(IF(N132="",-1,N132)&lt;=1),IF(C132="peso_corporal",IF(ISNUMBER(E132),E132,0)+L132,L132)*M132*1000+L132,0),IF((P132&gt;0)*(IF(Q132="",-1,Q132)&gt;=0)*(IF(Q132="",-1,Q132)&lt;=1),IF(C132="peso_corporal",IF(ISNUMBER(E132),E132,0)+O132,O132)*P132*1000+O132,0),IF((S132&gt;0)*(IF(T132="",-1,T132)&gt;=0)*(IF(T132="",-1,T132)&lt;=1),IF(C132="peso_corporal",IF(ISNUMBER(E132),E132,0)+R132,R132)*S132*1000+R132,0))</f>
        <v>0</v>
      </c>
      <c r="X132" s="69">
        <f>IF(W132=0,0,IF(IF((S132&gt;0)*(IF(T132="",-1,T132)&gt;=0)*(IF(T132="",-1,T132)&lt;=1),IF(C132="peso_corporal",IF(ISNUMBER(E132),E132,0)+R132,R132)*S132*1000+R132,0)=W132,5,IF(IF((P132&gt;0)*(IF(Q132="",-1,Q132)&gt;=0)*(IF(Q132="",-1,Q132)&lt;=1),IF(C132="peso_corporal",IF(ISNUMBER(E132),E132,0)+O132,O132)*P132*1000+O132,0)=W132,4,IF(IF((M132&gt;0)*(IF(N132="",-1,N132)&gt;=0)*(IF(N132="",-1,N132)&lt;=1),IF(C132="peso_corporal",IF(ISNUMBER(E132),E132,0)+L132,L132)*M132*1000+L132,0)=W132,3,IF(IF((J132&gt;0)*(IF(K132="",-1,K132)&gt;=0)*(IF(K132="",-1,K132)&lt;=1),IF(C132="peso_corporal",IF(ISNUMBER(E132),E132,0)+I132,I132)*J132*1000+I132,0)=W132,2,IF(IF((G132&gt;0)*(IF(H132="",-1,H132)&gt;=0)*(IF(H132="",-1,H132)&lt;=1),IF(C132="peso_corporal",IF(ISNUMBER(E132),E132,0)+F132,F132)*G132*1000+F132,0)=W132,1,0))))))</f>
        <v>0</v>
      </c>
      <c r="Y132" s="69">
        <f>MAX(IF((G132&gt;0)*(IF(H132="",-1,H132)=0)*(1-(IF(H132="",-1,H132)&gt;=0)*(IF(H132="",-1,H132)&lt;=1)),IF(C132="peso_corporal",IF(ISNUMBER(E132),E132,0)+F132,F132)*G132*1000+F132,0),IF((J132&gt;0)*(IF(K132="",-1,K132)=0)*(1-(IF(K132="",-1,K132)&gt;=0)*(IF(K132="",-1,K132)&lt;=1)),IF(C132="peso_corporal",IF(ISNUMBER(E132),E132,0)+I132,I132)*J132*1000+I132,0),IF((M132&gt;0)*(IF(N132="",-1,N132)=0)*(1-(IF(N132="",-1,N132)&gt;=0)*(IF(N132="",-1,N132)&lt;=1)),IF(C132="peso_corporal",IF(ISNUMBER(E132),E132,0)+L132,L132)*M132*1000+L132,0),IF((P132&gt;0)*(IF(Q132="",-1,Q132)=0)*(1-(IF(Q132="",-1,Q132)&gt;=0)*(IF(Q132="",-1,Q132)&lt;=1)),IF(C132="peso_corporal",IF(ISNUMBER(E132),E132,0)+O132,O132)*P132*1000+O132,0),IF((S132&gt;0)*(IF(T132="",-1,T132)=0)*(1-(IF(T132="",-1,T132)&gt;=0)*(IF(T132="",-1,T132)&lt;=1)),IF(C132="peso_corporal",IF(ISNUMBER(E132),E132,0)+R132,R132)*S132*1000+R132,0))</f>
        <v>0</v>
      </c>
      <c r="Z132" s="69">
        <f>IF(Y132=0,0,IF(IF((S132&gt;0)*(IF(T132="",-1,T132)=0)*(1-(IF(T132="",-1,T132)&gt;=0)*(IF(T132="",-1,T132)&lt;=1)),IF(C132="peso_corporal",IF(ISNUMBER(E132),E132,0)+R132,R132)*S132*1000+R132,0)=Y132,5,IF(IF((P132&gt;0)*(IF(Q132="",-1,Q132)=0)*(1-(IF(Q132="",-1,Q132)&gt;=0)*(IF(Q132="",-1,Q132)&lt;=1)),IF(C132="peso_corporal",IF(ISNUMBER(E132),E132,0)+O132,O132)*P132*1000+O132,0)=Y132,4,IF(IF((M132&gt;0)*(IF(N132="",-1,N132)=0)*(1-(IF(N132="",-1,N132)&gt;=0)*(IF(N132="",-1,N132)&lt;=1)),IF(C132="peso_corporal",IF(ISNUMBER(E132),E132,0)+L132,L132)*M132*1000+L132,0)=Y132,3,IF(IF((J132&gt;0)*(IF(K132="",-1,K132)=0)*(1-(IF(K132="",-1,K132)&gt;=0)*(IF(K132="",-1,K132)&lt;=1)),IF(C132="peso_corporal",IF(ISNUMBER(E132),E132,0)+I132,I132)*J132*1000+I132,0)=Y132,2,IF(IF((G132&gt;0)*(IF(H132="",-1,H132)=0)*(1-(IF(H132="",-1,H132)&gt;=0)*(IF(H132="",-1,H132)&lt;=1)),IF(C132="peso_corporal",IF(ISNUMBER(E132),E132,0)+F132,F132)*G132*1000+F132,0)=Y132,1,0))))))</f>
        <v>0</v>
      </c>
      <c r="AA132" s="69">
        <f>MAX(IF((G132&gt;=3)*(1-(IF(H132="",-1,H132)&gt;=0)*(IF(H132="",-1,H132)&lt;=1))*(1-(IF(H132="",-1,H132)=0)),IF(C132="peso_corporal",IF(ISNUMBER(E132),E132,0)+F132,F132)*(30+G132)*100+F132,0),IF((J132&gt;=3)*(1-(IF(K132="",-1,K132)&gt;=0)*(IF(K132="",-1,K132)&lt;=1))*(1-(IF(K132="",-1,K132)=0)),IF(C132="peso_corporal",IF(ISNUMBER(E132),E132,0)+I132,I132)*(30+J132)*100+I132,0),IF((M132&gt;=3)*(1-(IF(N132="",-1,N132)&gt;=0)*(IF(N132="",-1,N132)&lt;=1))*(1-(IF(N132="",-1,N132)=0)),IF(C132="peso_corporal",IF(ISNUMBER(E132),E132,0)+L132,L132)*(30+M132)*100+L132,0),IF((P132&gt;=3)*(1-(IF(Q132="",-1,Q132)&gt;=0)*(IF(Q132="",-1,Q132)&lt;=1))*(1-(IF(Q132="",-1,Q132)=0)),IF(C132="peso_corporal",IF(ISNUMBER(E132),E132,0)+O132,O132)*(30+P132)*100+O132,0),IF((S132&gt;=3)*(1-(IF(T132="",-1,T132)&gt;=0)*(IF(T132="",-1,T132)&lt;=1))*(1-(IF(T132="",-1,T132)=0)),IF(C132="peso_corporal",IF(ISNUMBER(E132),E132,0)+R132,R132)*(30+S132)*100+R132,0))</f>
        <v>0</v>
      </c>
      <c r="AB132" s="69">
        <f>IF(AA132=0,0,IF(IF((S132&gt;=3)*(1-(IF(T132="",-1,T132)&gt;=0)*(IF(T132="",-1,T132)&lt;=1))*(1-(IF(T132="",-1,T132)=0)),IF(C132="peso_corporal",IF(ISNUMBER(E132),E132,0)+R132,R132)*(30+S132)*100+R132,0)=AA132,5,IF(IF((P132&gt;=3)*(1-(IF(Q132="",-1,Q132)&gt;=0)*(IF(Q132="",-1,Q132)&lt;=1))*(1-(IF(Q132="",-1,Q132)=0)),IF(C132="peso_corporal",IF(ISNUMBER(E132),E132,0)+O132,O132)*(30+P132)*100+O132,0)=AA132,4,IF(IF((M132&gt;=3)*(1-(IF(N132="",-1,N132)&gt;=0)*(IF(N132="",-1,N132)&lt;=1))*(1-(IF(N132="",-1,N132)=0)),IF(C132="peso_corporal",IF(ISNUMBER(E132),E132,0)+L132,L132)*(30+M132)*100+L132,0)=AA132,3,IF(IF((J132&gt;=3)*(1-(IF(K132="",-1,K132)&gt;=0)*(IF(K132="",-1,K132)&lt;=1))*(1-(IF(K132="",-1,K132)=0)),IF(C132="peso_corporal",IF(ISNUMBER(E132),E132,0)+I132,I132)*(30+J132)*100+I132,0)=AA132,2,IF(IF((G132&gt;=3)*(1-(IF(H132="",-1,H132)&gt;=0)*(IF(H132="",-1,H132)&lt;=1))*(1-(IF(H132="",-1,H132)=0)),IF(C132="peso_corporal",IF(ISNUMBER(E132),E132,0)+F132,F132)*(30+G132)*100+F132,0)=AA132,1,0))))))</f>
        <v>0</v>
      </c>
      <c r="AC132" s="69" t="str">
        <f>IF(X132&gt;0,"A"&amp;X132,IF(Z132&gt;0,"B"&amp;Z132,IF(AB132&gt;0,"C"&amp;AB132,"")))</f>
        <v/>
      </c>
    </row>
    <row r="133" spans="1:29" ht="15" customHeight="1">
      <c r="A133" s="90" t="s">
        <v>142</v>
      </c>
      <c r="B133" s="73"/>
      <c r="C133" s="73"/>
      <c r="D133" s="73"/>
      <c r="E133" s="73"/>
      <c r="F133" s="73"/>
      <c r="G133" s="73"/>
      <c r="H133" s="73"/>
      <c r="I133" s="73"/>
      <c r="J133" s="73"/>
      <c r="K133" s="73"/>
      <c r="L133" s="73"/>
      <c r="M133" s="73"/>
      <c r="N133" s="73"/>
      <c r="O133" s="73"/>
      <c r="P133" s="73"/>
      <c r="Q133" s="73"/>
      <c r="R133" s="73"/>
      <c r="S133" s="73"/>
      <c r="T133" s="73"/>
      <c r="U133" s="73"/>
      <c r="V133" s="73"/>
      <c r="W133" s="69"/>
      <c r="X133" s="69"/>
      <c r="Y133" s="69"/>
      <c r="Z133" s="69"/>
      <c r="AA133" s="69"/>
      <c r="AB133" s="69"/>
      <c r="AC133" s="69"/>
    </row>
    <row r="134" spans="1:29" ht="20.100000000000001" customHeight="1">
      <c r="A134" s="14" t="s">
        <v>24</v>
      </c>
      <c r="B134" s="15" t="s">
        <v>143</v>
      </c>
      <c r="C134" s="16" t="str">
        <f>IFERROR(INDEX(EJERCICIOS!$D$3:$D$75,MATCH(A134&amp;"|"&amp;B134,EJERCICIOS!$G$3:$G$75,0)),"--")</f>
        <v>peso_corporal</v>
      </c>
      <c r="D134" s="17">
        <v>3</v>
      </c>
      <c r="E134" s="18">
        <f>IFERROR(LOOKUP(2,1/(MEDIDAS_Y_PESO!$B$3:$B$8&lt;&gt;""),MEDIDAS_Y_PESO!$B$3:$B$8),"--")</f>
        <v>80</v>
      </c>
      <c r="F134" s="19"/>
      <c r="G134" s="20"/>
      <c r="H134" s="21"/>
      <c r="I134" s="19"/>
      <c r="J134" s="20"/>
      <c r="K134" s="21"/>
      <c r="L134" s="19"/>
      <c r="M134" s="20"/>
      <c r="N134" s="21"/>
      <c r="O134" s="19"/>
      <c r="P134" s="20"/>
      <c r="Q134" s="21"/>
      <c r="R134" s="19"/>
      <c r="S134" s="20"/>
      <c r="T134" s="21"/>
      <c r="U134" s="22" t="str">
        <f>IFERROR(IF(IF(X134&gt;0,X134,IF(Z134&gt;0,Z134,IF(AB134&gt;0,AB134,0)))=0,"--",ROUND(CHOOSE(IF(X134&gt;0,X134,IF(Z134&gt;0,Z134,IF(AB134&gt;0,AB134,0))),IF(C134="peso_corporal",IF(ISNUMBER(E134),E134,0)+F134,F134)*(1+G134/30),IF(C134="peso_corporal",IF(ISNUMBER(E134),E134,0)+I134,I134)*(1+J134/30),IF(C134="peso_corporal",IF(ISNUMBER(E134),E134,0)+L134,L134)*(1+M134/30),IF(C134="peso_corporal",IF(ISNUMBER(E134),E134,0)+O134,O134)*(1+P134/30),IF(C134="peso_corporal",IF(ISNUMBER(E134),E134,0)+R134,R134)*(1+S134/30)),1)),"--")</f>
        <v>--</v>
      </c>
      <c r="V134" s="23" t="str">
        <f>IF(SUGERENCIAS!N350="SIN","Sin datos anteriores",IF(SUGERENCIAS!N350="SUBIR_F","^ SUBIR FUERTE | Kg:"&amp;ROUND(SUGERENCIAS!K350,1)&amp;" R:"&amp;ROUND(SUGERENCIAS!L350,0)&amp;" RIR:"&amp;ROUND(SUGERENCIAS!M350,0),IF(SUGERENCIAS!N350="SUBIR_E","^ SUBIR (Est.) | Kg:"&amp;ROUND(SUGERENCIAS!K350,1)&amp;" R:"&amp;ROUND(SUGERENCIAS!L350,0)&amp;" RIR:"&amp;ROUND(SUGERENCIAS!M350,0),IF(SUGERENCIAS!N350="SUBIR","^ SUBIR | Kg:"&amp;ROUND(SUGERENCIAS!K350,1)&amp;" R:"&amp;ROUND(SUGERENCIAS!L350,0)&amp;" RIR:"&amp;ROUND(SUGERENCIAS!M350,0),IF(SUGERENCIAS!N350="BAJAR","v BAJAR | Kg:"&amp;ROUND(SUGERENCIAS!K350,1)&amp;" R:"&amp;ROUND(SUGERENCIAS!L350,0)&amp;" RIR:"&amp;ROUND(SUGERENCIAS!M350,0),"= MANT | Kg:"&amp;ROUND(SUGERENCIAS!K350,1)&amp;" R:"&amp;ROUND(SUGERENCIAS!L350,0)&amp;" RIR:"&amp;ROUND(SUGERENCIAS!M350,0))))))</f>
        <v>Sin datos anteriores</v>
      </c>
      <c r="W134" s="69">
        <f>MAX(IF((G134&gt;0)*(IF(H134="",-1,H134)&gt;=0)*(IF(H134="",-1,H134)&lt;=1),IF(C134="peso_corporal",IF(ISNUMBER(E134),E134,0)+F134,F134)*G134*1000+F134,0),IF((J134&gt;0)*(IF(K134="",-1,K134)&gt;=0)*(IF(K134="",-1,K134)&lt;=1),IF(C134="peso_corporal",IF(ISNUMBER(E134),E134,0)+I134,I134)*J134*1000+I134,0),IF((M134&gt;0)*(IF(N134="",-1,N134)&gt;=0)*(IF(N134="",-1,N134)&lt;=1),IF(C134="peso_corporal",IF(ISNUMBER(E134),E134,0)+L134,L134)*M134*1000+L134,0),IF((P134&gt;0)*(IF(Q134="",-1,Q134)&gt;=0)*(IF(Q134="",-1,Q134)&lt;=1),IF(C134="peso_corporal",IF(ISNUMBER(E134),E134,0)+O134,O134)*P134*1000+O134,0),IF((S134&gt;0)*(IF(T134="",-1,T134)&gt;=0)*(IF(T134="",-1,T134)&lt;=1),IF(C134="peso_corporal",IF(ISNUMBER(E134),E134,0)+R134,R134)*S134*1000+R134,0))</f>
        <v>0</v>
      </c>
      <c r="X134" s="69">
        <f>IF(W134=0,0,IF(IF((S134&gt;0)*(IF(T134="",-1,T134)&gt;=0)*(IF(T134="",-1,T134)&lt;=1),IF(C134="peso_corporal",IF(ISNUMBER(E134),E134,0)+R134,R134)*S134*1000+R134,0)=W134,5,IF(IF((P134&gt;0)*(IF(Q134="",-1,Q134)&gt;=0)*(IF(Q134="",-1,Q134)&lt;=1),IF(C134="peso_corporal",IF(ISNUMBER(E134),E134,0)+O134,O134)*P134*1000+O134,0)=W134,4,IF(IF((M134&gt;0)*(IF(N134="",-1,N134)&gt;=0)*(IF(N134="",-1,N134)&lt;=1),IF(C134="peso_corporal",IF(ISNUMBER(E134),E134,0)+L134,L134)*M134*1000+L134,0)=W134,3,IF(IF((J134&gt;0)*(IF(K134="",-1,K134)&gt;=0)*(IF(K134="",-1,K134)&lt;=1),IF(C134="peso_corporal",IF(ISNUMBER(E134),E134,0)+I134,I134)*J134*1000+I134,0)=W134,2,IF(IF((G134&gt;0)*(IF(H134="",-1,H134)&gt;=0)*(IF(H134="",-1,H134)&lt;=1),IF(C134="peso_corporal",IF(ISNUMBER(E134),E134,0)+F134,F134)*G134*1000+F134,0)=W134,1,0))))))</f>
        <v>0</v>
      </c>
      <c r="Y134" s="69">
        <f>MAX(IF((G134&gt;0)*(IF(H134="",-1,H134)=0)*(1-(IF(H134="",-1,H134)&gt;=0)*(IF(H134="",-1,H134)&lt;=1)),IF(C134="peso_corporal",IF(ISNUMBER(E134),E134,0)+F134,F134)*G134*1000+F134,0),IF((J134&gt;0)*(IF(K134="",-1,K134)=0)*(1-(IF(K134="",-1,K134)&gt;=0)*(IF(K134="",-1,K134)&lt;=1)),IF(C134="peso_corporal",IF(ISNUMBER(E134),E134,0)+I134,I134)*J134*1000+I134,0),IF((M134&gt;0)*(IF(N134="",-1,N134)=0)*(1-(IF(N134="",-1,N134)&gt;=0)*(IF(N134="",-1,N134)&lt;=1)),IF(C134="peso_corporal",IF(ISNUMBER(E134),E134,0)+L134,L134)*M134*1000+L134,0),IF((P134&gt;0)*(IF(Q134="",-1,Q134)=0)*(1-(IF(Q134="",-1,Q134)&gt;=0)*(IF(Q134="",-1,Q134)&lt;=1)),IF(C134="peso_corporal",IF(ISNUMBER(E134),E134,0)+O134,O134)*P134*1000+O134,0),IF((S134&gt;0)*(IF(T134="",-1,T134)=0)*(1-(IF(T134="",-1,T134)&gt;=0)*(IF(T134="",-1,T134)&lt;=1)),IF(C134="peso_corporal",IF(ISNUMBER(E134),E134,0)+R134,R134)*S134*1000+R134,0))</f>
        <v>0</v>
      </c>
      <c r="Z134" s="69">
        <f>IF(Y134=0,0,IF(IF((S134&gt;0)*(IF(T134="",-1,T134)=0)*(1-(IF(T134="",-1,T134)&gt;=0)*(IF(T134="",-1,T134)&lt;=1)),IF(C134="peso_corporal",IF(ISNUMBER(E134),E134,0)+R134,R134)*S134*1000+R134,0)=Y134,5,IF(IF((P134&gt;0)*(IF(Q134="",-1,Q134)=0)*(1-(IF(Q134="",-1,Q134)&gt;=0)*(IF(Q134="",-1,Q134)&lt;=1)),IF(C134="peso_corporal",IF(ISNUMBER(E134),E134,0)+O134,O134)*P134*1000+O134,0)=Y134,4,IF(IF((M134&gt;0)*(IF(N134="",-1,N134)=0)*(1-(IF(N134="",-1,N134)&gt;=0)*(IF(N134="",-1,N134)&lt;=1)),IF(C134="peso_corporal",IF(ISNUMBER(E134),E134,0)+L134,L134)*M134*1000+L134,0)=Y134,3,IF(IF((J134&gt;0)*(IF(K134="",-1,K134)=0)*(1-(IF(K134="",-1,K134)&gt;=0)*(IF(K134="",-1,K134)&lt;=1)),IF(C134="peso_corporal",IF(ISNUMBER(E134),E134,0)+I134,I134)*J134*1000+I134,0)=Y134,2,IF(IF((G134&gt;0)*(IF(H134="",-1,H134)=0)*(1-(IF(H134="",-1,H134)&gt;=0)*(IF(H134="",-1,H134)&lt;=1)),IF(C134="peso_corporal",IF(ISNUMBER(E134),E134,0)+F134,F134)*G134*1000+F134,0)=Y134,1,0))))))</f>
        <v>0</v>
      </c>
      <c r="AA134" s="69">
        <f>MAX(IF((G134&gt;=3)*(1-(IF(H134="",-1,H134)&gt;=0)*(IF(H134="",-1,H134)&lt;=1))*(1-(IF(H134="",-1,H134)=0)),IF(C134="peso_corporal",IF(ISNUMBER(E134),E134,0)+F134,F134)*(30+G134)*100+F134,0),IF((J134&gt;=3)*(1-(IF(K134="",-1,K134)&gt;=0)*(IF(K134="",-1,K134)&lt;=1))*(1-(IF(K134="",-1,K134)=0)),IF(C134="peso_corporal",IF(ISNUMBER(E134),E134,0)+I134,I134)*(30+J134)*100+I134,0),IF((M134&gt;=3)*(1-(IF(N134="",-1,N134)&gt;=0)*(IF(N134="",-1,N134)&lt;=1))*(1-(IF(N134="",-1,N134)=0)),IF(C134="peso_corporal",IF(ISNUMBER(E134),E134,0)+L134,L134)*(30+M134)*100+L134,0),IF((P134&gt;=3)*(1-(IF(Q134="",-1,Q134)&gt;=0)*(IF(Q134="",-1,Q134)&lt;=1))*(1-(IF(Q134="",-1,Q134)=0)),IF(C134="peso_corporal",IF(ISNUMBER(E134),E134,0)+O134,O134)*(30+P134)*100+O134,0),IF((S134&gt;=3)*(1-(IF(T134="",-1,T134)&gt;=0)*(IF(T134="",-1,T134)&lt;=1))*(1-(IF(T134="",-1,T134)=0)),IF(C134="peso_corporal",IF(ISNUMBER(E134),E134,0)+R134,R134)*(30+S134)*100+R134,0))</f>
        <v>0</v>
      </c>
      <c r="AB134" s="69">
        <f>IF(AA134=0,0,IF(IF((S134&gt;=3)*(1-(IF(T134="",-1,T134)&gt;=0)*(IF(T134="",-1,T134)&lt;=1))*(1-(IF(T134="",-1,T134)=0)),IF(C134="peso_corporal",IF(ISNUMBER(E134),E134,0)+R134,R134)*(30+S134)*100+R134,0)=AA134,5,IF(IF((P134&gt;=3)*(1-(IF(Q134="",-1,Q134)&gt;=0)*(IF(Q134="",-1,Q134)&lt;=1))*(1-(IF(Q134="",-1,Q134)=0)),IF(C134="peso_corporal",IF(ISNUMBER(E134),E134,0)+O134,O134)*(30+P134)*100+O134,0)=AA134,4,IF(IF((M134&gt;=3)*(1-(IF(N134="",-1,N134)&gt;=0)*(IF(N134="",-1,N134)&lt;=1))*(1-(IF(N134="",-1,N134)=0)),IF(C134="peso_corporal",IF(ISNUMBER(E134),E134,0)+L134,L134)*(30+M134)*100+L134,0)=AA134,3,IF(IF((J134&gt;=3)*(1-(IF(K134="",-1,K134)&gt;=0)*(IF(K134="",-1,K134)&lt;=1))*(1-(IF(K134="",-1,K134)=0)),IF(C134="peso_corporal",IF(ISNUMBER(E134),E134,0)+I134,I134)*(30+J134)*100+I134,0)=AA134,2,IF(IF((G134&gt;=3)*(1-(IF(H134="",-1,H134)&gt;=0)*(IF(H134="",-1,H134)&lt;=1))*(1-(IF(H134="",-1,H134)=0)),IF(C134="peso_corporal",IF(ISNUMBER(E134),E134,0)+F134,F134)*(30+G134)*100+F134,0)=AA134,1,0))))))</f>
        <v>0</v>
      </c>
      <c r="AC134" s="69" t="str">
        <f>IF(X134&gt;0,"A"&amp;X134,IF(Z134&gt;0,"B"&amp;Z134,IF(AB134&gt;0,"C"&amp;AB134,"")))</f>
        <v/>
      </c>
    </row>
    <row r="135" spans="1:29" ht="20.100000000000001" customHeight="1">
      <c r="A135" s="14" t="s">
        <v>144</v>
      </c>
      <c r="B135" s="15" t="s">
        <v>60</v>
      </c>
      <c r="C135" s="16" t="str">
        <f>IFERROR(INDEX(EJERCICIOS!$D$3:$D$75,MATCH(A135&amp;"|"&amp;B135,EJERCICIOS!$G$3:$G$75,0)),"--")</f>
        <v>disco</v>
      </c>
      <c r="D135" s="17">
        <v>3</v>
      </c>
      <c r="E135" s="18">
        <f>IFERROR(LOOKUP(2,1/(MEDIDAS_Y_PESO!$B$3:$B$8&lt;&gt;""),MEDIDAS_Y_PESO!$B$3:$B$8),"--")</f>
        <v>80</v>
      </c>
      <c r="F135" s="19"/>
      <c r="G135" s="20"/>
      <c r="H135" s="21"/>
      <c r="I135" s="19"/>
      <c r="J135" s="20"/>
      <c r="K135" s="21"/>
      <c r="L135" s="19"/>
      <c r="M135" s="20"/>
      <c r="N135" s="21"/>
      <c r="O135" s="19"/>
      <c r="P135" s="20"/>
      <c r="Q135" s="21"/>
      <c r="R135" s="19"/>
      <c r="S135" s="20"/>
      <c r="T135" s="21"/>
      <c r="U135" s="22" t="str">
        <f>IFERROR(IF(IF(X135&gt;0,X135,IF(Z135&gt;0,Z135,IF(AB135&gt;0,AB135,0)))=0,"--",ROUND(CHOOSE(IF(X135&gt;0,X135,IF(Z135&gt;0,Z135,IF(AB135&gt;0,AB135,0))),IF(C135="peso_corporal",IF(ISNUMBER(E135),E135,0)+F135,F135)*(1+G135/30),IF(C135="peso_corporal",IF(ISNUMBER(E135),E135,0)+I135,I135)*(1+J135/30),IF(C135="peso_corporal",IF(ISNUMBER(E135),E135,0)+L135,L135)*(1+M135/30),IF(C135="peso_corporal",IF(ISNUMBER(E135),E135,0)+O135,O135)*(1+P135/30),IF(C135="peso_corporal",IF(ISNUMBER(E135),E135,0)+R135,R135)*(1+S135/30)),1)),"--")</f>
        <v>--</v>
      </c>
      <c r="V135" s="23" t="str">
        <f>IF(SUGERENCIAS!N351="SIN","Sin datos anteriores",IF(SUGERENCIAS!N351="SUBIR_F","^ SUBIR FUERTE | Kg:"&amp;ROUND(SUGERENCIAS!K351,1)&amp;" R:"&amp;ROUND(SUGERENCIAS!L351,0)&amp;" RIR:"&amp;ROUND(SUGERENCIAS!M351,0),IF(SUGERENCIAS!N351="SUBIR_E","^ SUBIR (Est.) | Kg:"&amp;ROUND(SUGERENCIAS!K351,1)&amp;" R:"&amp;ROUND(SUGERENCIAS!L351,0)&amp;" RIR:"&amp;ROUND(SUGERENCIAS!M351,0),IF(SUGERENCIAS!N351="SUBIR","^ SUBIR | Kg:"&amp;ROUND(SUGERENCIAS!K351,1)&amp;" R:"&amp;ROUND(SUGERENCIAS!L351,0)&amp;" RIR:"&amp;ROUND(SUGERENCIAS!M351,0),IF(SUGERENCIAS!N351="BAJAR","v BAJAR | Kg:"&amp;ROUND(SUGERENCIAS!K351,1)&amp;" R:"&amp;ROUND(SUGERENCIAS!L351,0)&amp;" RIR:"&amp;ROUND(SUGERENCIAS!M351,0),"= MANT | Kg:"&amp;ROUND(SUGERENCIAS!K351,1)&amp;" R:"&amp;ROUND(SUGERENCIAS!L351,0)&amp;" RIR:"&amp;ROUND(SUGERENCIAS!M351,0))))))</f>
        <v>Sin datos anteriores</v>
      </c>
      <c r="W135" s="69">
        <f>MAX(IF((G135&gt;0)*(IF(H135="",-1,H135)&gt;=0)*(IF(H135="",-1,H135)&lt;=1),IF(C135="peso_corporal",IF(ISNUMBER(E135),E135,0)+F135,F135)*G135*1000+F135,0),IF((J135&gt;0)*(IF(K135="",-1,K135)&gt;=0)*(IF(K135="",-1,K135)&lt;=1),IF(C135="peso_corporal",IF(ISNUMBER(E135),E135,0)+I135,I135)*J135*1000+I135,0),IF((M135&gt;0)*(IF(N135="",-1,N135)&gt;=0)*(IF(N135="",-1,N135)&lt;=1),IF(C135="peso_corporal",IF(ISNUMBER(E135),E135,0)+L135,L135)*M135*1000+L135,0),IF((P135&gt;0)*(IF(Q135="",-1,Q135)&gt;=0)*(IF(Q135="",-1,Q135)&lt;=1),IF(C135="peso_corporal",IF(ISNUMBER(E135),E135,0)+O135,O135)*P135*1000+O135,0),IF((S135&gt;0)*(IF(T135="",-1,T135)&gt;=0)*(IF(T135="",-1,T135)&lt;=1),IF(C135="peso_corporal",IF(ISNUMBER(E135),E135,0)+R135,R135)*S135*1000+R135,0))</f>
        <v>0</v>
      </c>
      <c r="X135" s="69">
        <f>IF(W135=0,0,IF(IF((S135&gt;0)*(IF(T135="",-1,T135)&gt;=0)*(IF(T135="",-1,T135)&lt;=1),IF(C135="peso_corporal",IF(ISNUMBER(E135),E135,0)+R135,R135)*S135*1000+R135,0)=W135,5,IF(IF((P135&gt;0)*(IF(Q135="",-1,Q135)&gt;=0)*(IF(Q135="",-1,Q135)&lt;=1),IF(C135="peso_corporal",IF(ISNUMBER(E135),E135,0)+O135,O135)*P135*1000+O135,0)=W135,4,IF(IF((M135&gt;0)*(IF(N135="",-1,N135)&gt;=0)*(IF(N135="",-1,N135)&lt;=1),IF(C135="peso_corporal",IF(ISNUMBER(E135),E135,0)+L135,L135)*M135*1000+L135,0)=W135,3,IF(IF((J135&gt;0)*(IF(K135="",-1,K135)&gt;=0)*(IF(K135="",-1,K135)&lt;=1),IF(C135="peso_corporal",IF(ISNUMBER(E135),E135,0)+I135,I135)*J135*1000+I135,0)=W135,2,IF(IF((G135&gt;0)*(IF(H135="",-1,H135)&gt;=0)*(IF(H135="",-1,H135)&lt;=1),IF(C135="peso_corporal",IF(ISNUMBER(E135),E135,0)+F135,F135)*G135*1000+F135,0)=W135,1,0))))))</f>
        <v>0</v>
      </c>
      <c r="Y135" s="69">
        <f>MAX(IF((G135&gt;0)*(IF(H135="",-1,H135)=0)*(1-(IF(H135="",-1,H135)&gt;=0)*(IF(H135="",-1,H135)&lt;=1)),IF(C135="peso_corporal",IF(ISNUMBER(E135),E135,0)+F135,F135)*G135*1000+F135,0),IF((J135&gt;0)*(IF(K135="",-1,K135)=0)*(1-(IF(K135="",-1,K135)&gt;=0)*(IF(K135="",-1,K135)&lt;=1)),IF(C135="peso_corporal",IF(ISNUMBER(E135),E135,0)+I135,I135)*J135*1000+I135,0),IF((M135&gt;0)*(IF(N135="",-1,N135)=0)*(1-(IF(N135="",-1,N135)&gt;=0)*(IF(N135="",-1,N135)&lt;=1)),IF(C135="peso_corporal",IF(ISNUMBER(E135),E135,0)+L135,L135)*M135*1000+L135,0),IF((P135&gt;0)*(IF(Q135="",-1,Q135)=0)*(1-(IF(Q135="",-1,Q135)&gt;=0)*(IF(Q135="",-1,Q135)&lt;=1)),IF(C135="peso_corporal",IF(ISNUMBER(E135),E135,0)+O135,O135)*P135*1000+O135,0),IF((S135&gt;0)*(IF(T135="",-1,T135)=0)*(1-(IF(T135="",-1,T135)&gt;=0)*(IF(T135="",-1,T135)&lt;=1)),IF(C135="peso_corporal",IF(ISNUMBER(E135),E135,0)+R135,R135)*S135*1000+R135,0))</f>
        <v>0</v>
      </c>
      <c r="Z135" s="69">
        <f>IF(Y135=0,0,IF(IF((S135&gt;0)*(IF(T135="",-1,T135)=0)*(1-(IF(T135="",-1,T135)&gt;=0)*(IF(T135="",-1,T135)&lt;=1)),IF(C135="peso_corporal",IF(ISNUMBER(E135),E135,0)+R135,R135)*S135*1000+R135,0)=Y135,5,IF(IF((P135&gt;0)*(IF(Q135="",-1,Q135)=0)*(1-(IF(Q135="",-1,Q135)&gt;=0)*(IF(Q135="",-1,Q135)&lt;=1)),IF(C135="peso_corporal",IF(ISNUMBER(E135),E135,0)+O135,O135)*P135*1000+O135,0)=Y135,4,IF(IF((M135&gt;0)*(IF(N135="",-1,N135)=0)*(1-(IF(N135="",-1,N135)&gt;=0)*(IF(N135="",-1,N135)&lt;=1)),IF(C135="peso_corporal",IF(ISNUMBER(E135),E135,0)+L135,L135)*M135*1000+L135,0)=Y135,3,IF(IF((J135&gt;0)*(IF(K135="",-1,K135)=0)*(1-(IF(K135="",-1,K135)&gt;=0)*(IF(K135="",-1,K135)&lt;=1)),IF(C135="peso_corporal",IF(ISNUMBER(E135),E135,0)+I135,I135)*J135*1000+I135,0)=Y135,2,IF(IF((G135&gt;0)*(IF(H135="",-1,H135)=0)*(1-(IF(H135="",-1,H135)&gt;=0)*(IF(H135="",-1,H135)&lt;=1)),IF(C135="peso_corporal",IF(ISNUMBER(E135),E135,0)+F135,F135)*G135*1000+F135,0)=Y135,1,0))))))</f>
        <v>0</v>
      </c>
      <c r="AA135" s="69">
        <f>MAX(IF((G135&gt;=3)*(1-(IF(H135="",-1,H135)&gt;=0)*(IF(H135="",-1,H135)&lt;=1))*(1-(IF(H135="",-1,H135)=0)),IF(C135="peso_corporal",IF(ISNUMBER(E135),E135,0)+F135,F135)*(30+G135)*100+F135,0),IF((J135&gt;=3)*(1-(IF(K135="",-1,K135)&gt;=0)*(IF(K135="",-1,K135)&lt;=1))*(1-(IF(K135="",-1,K135)=0)),IF(C135="peso_corporal",IF(ISNUMBER(E135),E135,0)+I135,I135)*(30+J135)*100+I135,0),IF((M135&gt;=3)*(1-(IF(N135="",-1,N135)&gt;=0)*(IF(N135="",-1,N135)&lt;=1))*(1-(IF(N135="",-1,N135)=0)),IF(C135="peso_corporal",IF(ISNUMBER(E135),E135,0)+L135,L135)*(30+M135)*100+L135,0),IF((P135&gt;=3)*(1-(IF(Q135="",-1,Q135)&gt;=0)*(IF(Q135="",-1,Q135)&lt;=1))*(1-(IF(Q135="",-1,Q135)=0)),IF(C135="peso_corporal",IF(ISNUMBER(E135),E135,0)+O135,O135)*(30+P135)*100+O135,0),IF((S135&gt;=3)*(1-(IF(T135="",-1,T135)&gt;=0)*(IF(T135="",-1,T135)&lt;=1))*(1-(IF(T135="",-1,T135)=0)),IF(C135="peso_corporal",IF(ISNUMBER(E135),E135,0)+R135,R135)*(30+S135)*100+R135,0))</f>
        <v>0</v>
      </c>
      <c r="AB135" s="69">
        <f>IF(AA135=0,0,IF(IF((S135&gt;=3)*(1-(IF(T135="",-1,T135)&gt;=0)*(IF(T135="",-1,T135)&lt;=1))*(1-(IF(T135="",-1,T135)=0)),IF(C135="peso_corporal",IF(ISNUMBER(E135),E135,0)+R135,R135)*(30+S135)*100+R135,0)=AA135,5,IF(IF((P135&gt;=3)*(1-(IF(Q135="",-1,Q135)&gt;=0)*(IF(Q135="",-1,Q135)&lt;=1))*(1-(IF(Q135="",-1,Q135)=0)),IF(C135="peso_corporal",IF(ISNUMBER(E135),E135,0)+O135,O135)*(30+P135)*100+O135,0)=AA135,4,IF(IF((M135&gt;=3)*(1-(IF(N135="",-1,N135)&gt;=0)*(IF(N135="",-1,N135)&lt;=1))*(1-(IF(N135="",-1,N135)=0)),IF(C135="peso_corporal",IF(ISNUMBER(E135),E135,0)+L135,L135)*(30+M135)*100+L135,0)=AA135,3,IF(IF((J135&gt;=3)*(1-(IF(K135="",-1,K135)&gt;=0)*(IF(K135="",-1,K135)&lt;=1))*(1-(IF(K135="",-1,K135)=0)),IF(C135="peso_corporal",IF(ISNUMBER(E135),E135,0)+I135,I135)*(30+J135)*100+I135,0)=AA135,2,IF(IF((G135&gt;=3)*(1-(IF(H135="",-1,H135)&gt;=0)*(IF(H135="",-1,H135)&lt;=1))*(1-(IF(H135="",-1,H135)=0)),IF(C135="peso_corporal",IF(ISNUMBER(E135),E135,0)+F135,F135)*(30+G135)*100+F135,0)=AA135,1,0))))))</f>
        <v>0</v>
      </c>
      <c r="AC135" s="69" t="str">
        <f>IF(X135&gt;0,"A"&amp;X135,IF(Z135&gt;0,"B"&amp;Z135,IF(AB135&gt;0,"C"&amp;AB135,"")))</f>
        <v/>
      </c>
    </row>
    <row r="136" spans="1:29" ht="15" customHeight="1">
      <c r="A136" s="91" t="s">
        <v>145</v>
      </c>
      <c r="B136" s="73"/>
      <c r="C136" s="73"/>
      <c r="D136" s="73"/>
      <c r="E136" s="73"/>
      <c r="F136" s="73"/>
      <c r="G136" s="73"/>
      <c r="H136" s="73"/>
      <c r="I136" s="73"/>
      <c r="J136" s="73"/>
      <c r="K136" s="73"/>
      <c r="L136" s="73"/>
      <c r="M136" s="73"/>
      <c r="N136" s="73"/>
      <c r="O136" s="73"/>
      <c r="P136" s="73"/>
      <c r="Q136" s="73"/>
      <c r="R136" s="73"/>
      <c r="S136" s="73"/>
      <c r="T136" s="73"/>
      <c r="U136" s="73"/>
      <c r="V136" s="73"/>
      <c r="W136" s="69"/>
      <c r="X136" s="69"/>
      <c r="Y136" s="69"/>
      <c r="Z136" s="69"/>
      <c r="AA136" s="69"/>
      <c r="AB136" s="69"/>
      <c r="AC136" s="69"/>
    </row>
    <row r="137" spans="1:29" ht="20.100000000000001" customHeight="1">
      <c r="A137" s="14" t="s">
        <v>57</v>
      </c>
      <c r="B137" s="15" t="s">
        <v>58</v>
      </c>
      <c r="C137" s="16" t="str">
        <f>IFERROR(INDEX(EJERCICIOS!$D$3:$D$75,MATCH(A137&amp;"|"&amp;B137,EJERCICIOS!$G$3:$G$75,0)),"--")</f>
        <v>polea</v>
      </c>
      <c r="D137" s="17">
        <v>3</v>
      </c>
      <c r="E137" s="18">
        <f>IFERROR(LOOKUP(2,1/(MEDIDAS_Y_PESO!$B$3:$B$8&lt;&gt;""),MEDIDAS_Y_PESO!$B$3:$B$8),"--")</f>
        <v>80</v>
      </c>
      <c r="F137" s="19"/>
      <c r="G137" s="20"/>
      <c r="H137" s="21"/>
      <c r="I137" s="19"/>
      <c r="J137" s="20"/>
      <c r="K137" s="21"/>
      <c r="L137" s="19"/>
      <c r="M137" s="20"/>
      <c r="N137" s="21"/>
      <c r="O137" s="19"/>
      <c r="P137" s="20"/>
      <c r="Q137" s="21"/>
      <c r="R137" s="19"/>
      <c r="S137" s="20"/>
      <c r="T137" s="21"/>
      <c r="U137" s="22" t="str">
        <f>IFERROR(IF(IF(X137&gt;0,X137,IF(Z137&gt;0,Z137,IF(AB137&gt;0,AB137,0)))=0,"--",ROUND(CHOOSE(IF(X137&gt;0,X137,IF(Z137&gt;0,Z137,IF(AB137&gt;0,AB137,0))),IF(C137="peso_corporal",IF(ISNUMBER(E137),E137,0)+F137,F137)*(1+G137/30),IF(C137="peso_corporal",IF(ISNUMBER(E137),E137,0)+I137,I137)*(1+J137/30),IF(C137="peso_corporal",IF(ISNUMBER(E137),E137,0)+L137,L137)*(1+M137/30),IF(C137="peso_corporal",IF(ISNUMBER(E137),E137,0)+O137,O137)*(1+P137/30),IF(C137="peso_corporal",IF(ISNUMBER(E137),E137,0)+R137,R137)*(1+S137/30)),1)),"--")</f>
        <v>--</v>
      </c>
      <c r="V137" s="23" t="str">
        <f>IF(SUGERENCIAS!N352="SIN","Sin datos anteriores",IF(SUGERENCIAS!N352="SUBIR_F","^ SUBIR FUERTE | Kg:"&amp;ROUND(SUGERENCIAS!K352,1)&amp;" R:"&amp;ROUND(SUGERENCIAS!L352,0)&amp;" RIR:"&amp;ROUND(SUGERENCIAS!M352,0),IF(SUGERENCIAS!N352="SUBIR_E","^ SUBIR (Est.) | Kg:"&amp;ROUND(SUGERENCIAS!K352,1)&amp;" R:"&amp;ROUND(SUGERENCIAS!L352,0)&amp;" RIR:"&amp;ROUND(SUGERENCIAS!M352,0),IF(SUGERENCIAS!N352="SUBIR","^ SUBIR | Kg:"&amp;ROUND(SUGERENCIAS!K352,1)&amp;" R:"&amp;ROUND(SUGERENCIAS!L352,0)&amp;" RIR:"&amp;ROUND(SUGERENCIAS!M352,0),IF(SUGERENCIAS!N352="BAJAR","v BAJAR | Kg:"&amp;ROUND(SUGERENCIAS!K352,1)&amp;" R:"&amp;ROUND(SUGERENCIAS!L352,0)&amp;" RIR:"&amp;ROUND(SUGERENCIAS!M352,0),"= MANT | Kg:"&amp;ROUND(SUGERENCIAS!K352,1)&amp;" R:"&amp;ROUND(SUGERENCIAS!L352,0)&amp;" RIR:"&amp;ROUND(SUGERENCIAS!M352,0))))))</f>
        <v>Sin datos anteriores</v>
      </c>
      <c r="W137" s="69">
        <f>MAX(IF((G137&gt;0)*(IF(H137="",-1,H137)&gt;=0)*(IF(H137="",-1,H137)&lt;=1),IF(C137="peso_corporal",IF(ISNUMBER(E137),E137,0)+F137,F137)*G137*1000+F137,0),IF((J137&gt;0)*(IF(K137="",-1,K137)&gt;=0)*(IF(K137="",-1,K137)&lt;=1),IF(C137="peso_corporal",IF(ISNUMBER(E137),E137,0)+I137,I137)*J137*1000+I137,0),IF((M137&gt;0)*(IF(N137="",-1,N137)&gt;=0)*(IF(N137="",-1,N137)&lt;=1),IF(C137="peso_corporal",IF(ISNUMBER(E137),E137,0)+L137,L137)*M137*1000+L137,0),IF((P137&gt;0)*(IF(Q137="",-1,Q137)&gt;=0)*(IF(Q137="",-1,Q137)&lt;=1),IF(C137="peso_corporal",IF(ISNUMBER(E137),E137,0)+O137,O137)*P137*1000+O137,0),IF((S137&gt;0)*(IF(T137="",-1,T137)&gt;=0)*(IF(T137="",-1,T137)&lt;=1),IF(C137="peso_corporal",IF(ISNUMBER(E137),E137,0)+R137,R137)*S137*1000+R137,0))</f>
        <v>0</v>
      </c>
      <c r="X137" s="69">
        <f>IF(W137=0,0,IF(IF((S137&gt;0)*(IF(T137="",-1,T137)&gt;=0)*(IF(T137="",-1,T137)&lt;=1),IF(C137="peso_corporal",IF(ISNUMBER(E137),E137,0)+R137,R137)*S137*1000+R137,0)=W137,5,IF(IF((P137&gt;0)*(IF(Q137="",-1,Q137)&gt;=0)*(IF(Q137="",-1,Q137)&lt;=1),IF(C137="peso_corporal",IF(ISNUMBER(E137),E137,0)+O137,O137)*P137*1000+O137,0)=W137,4,IF(IF((M137&gt;0)*(IF(N137="",-1,N137)&gt;=0)*(IF(N137="",-1,N137)&lt;=1),IF(C137="peso_corporal",IF(ISNUMBER(E137),E137,0)+L137,L137)*M137*1000+L137,0)=W137,3,IF(IF((J137&gt;0)*(IF(K137="",-1,K137)&gt;=0)*(IF(K137="",-1,K137)&lt;=1),IF(C137="peso_corporal",IF(ISNUMBER(E137),E137,0)+I137,I137)*J137*1000+I137,0)=W137,2,IF(IF((G137&gt;0)*(IF(H137="",-1,H137)&gt;=0)*(IF(H137="",-1,H137)&lt;=1),IF(C137="peso_corporal",IF(ISNUMBER(E137),E137,0)+F137,F137)*G137*1000+F137,0)=W137,1,0))))))</f>
        <v>0</v>
      </c>
      <c r="Y137" s="69">
        <f>MAX(IF((G137&gt;0)*(IF(H137="",-1,H137)=0)*(1-(IF(H137="",-1,H137)&gt;=0)*(IF(H137="",-1,H137)&lt;=1)),IF(C137="peso_corporal",IF(ISNUMBER(E137),E137,0)+F137,F137)*G137*1000+F137,0),IF((J137&gt;0)*(IF(K137="",-1,K137)=0)*(1-(IF(K137="",-1,K137)&gt;=0)*(IF(K137="",-1,K137)&lt;=1)),IF(C137="peso_corporal",IF(ISNUMBER(E137),E137,0)+I137,I137)*J137*1000+I137,0),IF((M137&gt;0)*(IF(N137="",-1,N137)=0)*(1-(IF(N137="",-1,N137)&gt;=0)*(IF(N137="",-1,N137)&lt;=1)),IF(C137="peso_corporal",IF(ISNUMBER(E137),E137,0)+L137,L137)*M137*1000+L137,0),IF((P137&gt;0)*(IF(Q137="",-1,Q137)=0)*(1-(IF(Q137="",-1,Q137)&gt;=0)*(IF(Q137="",-1,Q137)&lt;=1)),IF(C137="peso_corporal",IF(ISNUMBER(E137),E137,0)+O137,O137)*P137*1000+O137,0),IF((S137&gt;0)*(IF(T137="",-1,T137)=0)*(1-(IF(T137="",-1,T137)&gt;=0)*(IF(T137="",-1,T137)&lt;=1)),IF(C137="peso_corporal",IF(ISNUMBER(E137),E137,0)+R137,R137)*S137*1000+R137,0))</f>
        <v>0</v>
      </c>
      <c r="Z137" s="69">
        <f>IF(Y137=0,0,IF(IF((S137&gt;0)*(IF(T137="",-1,T137)=0)*(1-(IF(T137="",-1,T137)&gt;=0)*(IF(T137="",-1,T137)&lt;=1)),IF(C137="peso_corporal",IF(ISNUMBER(E137),E137,0)+R137,R137)*S137*1000+R137,0)=Y137,5,IF(IF((P137&gt;0)*(IF(Q137="",-1,Q137)=0)*(1-(IF(Q137="",-1,Q137)&gt;=0)*(IF(Q137="",-1,Q137)&lt;=1)),IF(C137="peso_corporal",IF(ISNUMBER(E137),E137,0)+O137,O137)*P137*1000+O137,0)=Y137,4,IF(IF((M137&gt;0)*(IF(N137="",-1,N137)=0)*(1-(IF(N137="",-1,N137)&gt;=0)*(IF(N137="",-1,N137)&lt;=1)),IF(C137="peso_corporal",IF(ISNUMBER(E137),E137,0)+L137,L137)*M137*1000+L137,0)=Y137,3,IF(IF((J137&gt;0)*(IF(K137="",-1,K137)=0)*(1-(IF(K137="",-1,K137)&gt;=0)*(IF(K137="",-1,K137)&lt;=1)),IF(C137="peso_corporal",IF(ISNUMBER(E137),E137,0)+I137,I137)*J137*1000+I137,0)=Y137,2,IF(IF((G137&gt;0)*(IF(H137="",-1,H137)=0)*(1-(IF(H137="",-1,H137)&gt;=0)*(IF(H137="",-1,H137)&lt;=1)),IF(C137="peso_corporal",IF(ISNUMBER(E137),E137,0)+F137,F137)*G137*1000+F137,0)=Y137,1,0))))))</f>
        <v>0</v>
      </c>
      <c r="AA137" s="69">
        <f>MAX(IF((G137&gt;=3)*(1-(IF(H137="",-1,H137)&gt;=0)*(IF(H137="",-1,H137)&lt;=1))*(1-(IF(H137="",-1,H137)=0)),IF(C137="peso_corporal",IF(ISNUMBER(E137),E137,0)+F137,F137)*(30+G137)*100+F137,0),IF((J137&gt;=3)*(1-(IF(K137="",-1,K137)&gt;=0)*(IF(K137="",-1,K137)&lt;=1))*(1-(IF(K137="",-1,K137)=0)),IF(C137="peso_corporal",IF(ISNUMBER(E137),E137,0)+I137,I137)*(30+J137)*100+I137,0),IF((M137&gt;=3)*(1-(IF(N137="",-1,N137)&gt;=0)*(IF(N137="",-1,N137)&lt;=1))*(1-(IF(N137="",-1,N137)=0)),IF(C137="peso_corporal",IF(ISNUMBER(E137),E137,0)+L137,L137)*(30+M137)*100+L137,0),IF((P137&gt;=3)*(1-(IF(Q137="",-1,Q137)&gt;=0)*(IF(Q137="",-1,Q137)&lt;=1))*(1-(IF(Q137="",-1,Q137)=0)),IF(C137="peso_corporal",IF(ISNUMBER(E137),E137,0)+O137,O137)*(30+P137)*100+O137,0),IF((S137&gt;=3)*(1-(IF(T137="",-1,T137)&gt;=0)*(IF(T137="",-1,T137)&lt;=1))*(1-(IF(T137="",-1,T137)=0)),IF(C137="peso_corporal",IF(ISNUMBER(E137),E137,0)+R137,R137)*(30+S137)*100+R137,0))</f>
        <v>0</v>
      </c>
      <c r="AB137" s="69">
        <f>IF(AA137=0,0,IF(IF((S137&gt;=3)*(1-(IF(T137="",-1,T137)&gt;=0)*(IF(T137="",-1,T137)&lt;=1))*(1-(IF(T137="",-1,T137)=0)),IF(C137="peso_corporal",IF(ISNUMBER(E137),E137,0)+R137,R137)*(30+S137)*100+R137,0)=AA137,5,IF(IF((P137&gt;=3)*(1-(IF(Q137="",-1,Q137)&gt;=0)*(IF(Q137="",-1,Q137)&lt;=1))*(1-(IF(Q137="",-1,Q137)=0)),IF(C137="peso_corporal",IF(ISNUMBER(E137),E137,0)+O137,O137)*(30+P137)*100+O137,0)=AA137,4,IF(IF((M137&gt;=3)*(1-(IF(N137="",-1,N137)&gt;=0)*(IF(N137="",-1,N137)&lt;=1))*(1-(IF(N137="",-1,N137)=0)),IF(C137="peso_corporal",IF(ISNUMBER(E137),E137,0)+L137,L137)*(30+M137)*100+L137,0)=AA137,3,IF(IF((J137&gt;=3)*(1-(IF(K137="",-1,K137)&gt;=0)*(IF(K137="",-1,K137)&lt;=1))*(1-(IF(K137="",-1,K137)=0)),IF(C137="peso_corporal",IF(ISNUMBER(E137),E137,0)+I137,I137)*(30+J137)*100+I137,0)=AA137,2,IF(IF((G137&gt;=3)*(1-(IF(H137="",-1,H137)&gt;=0)*(IF(H137="",-1,H137)&lt;=1))*(1-(IF(H137="",-1,H137)=0)),IF(C137="peso_corporal",IF(ISNUMBER(E137),E137,0)+F137,F137)*(30+G137)*100+F137,0)=AA137,1,0))))))</f>
        <v>0</v>
      </c>
      <c r="AC137" s="69" t="str">
        <f>IF(X137&gt;0,"A"&amp;X137,IF(Z137&gt;0,"B"&amp;Z137,IF(AB137&gt;0,"C"&amp;AB137,"")))</f>
        <v/>
      </c>
    </row>
    <row r="138" spans="1:29" ht="20.100000000000001" customHeight="1">
      <c r="A138" s="14" t="s">
        <v>146</v>
      </c>
      <c r="B138" s="15" t="s">
        <v>152</v>
      </c>
      <c r="C138" s="16" t="str">
        <f>IFERROR(INDEX(EJERCICIOS!$D$3:$D$75,MATCH(A138&amp;"|"&amp;B138,EJERCICIOS!$G$3:$G$75,0)),"--")</f>
        <v>--</v>
      </c>
      <c r="D138" s="17">
        <v>3</v>
      </c>
      <c r="E138" s="18">
        <f>IFERROR(LOOKUP(2,1/(MEDIDAS_Y_PESO!$B$3:$B$8&lt;&gt;""),MEDIDAS_Y_PESO!$B$3:$B$8),"--")</f>
        <v>80</v>
      </c>
      <c r="F138" s="19"/>
      <c r="G138" s="20"/>
      <c r="H138" s="21"/>
      <c r="I138" s="19"/>
      <c r="J138" s="20"/>
      <c r="K138" s="21"/>
      <c r="L138" s="19"/>
      <c r="M138" s="20"/>
      <c r="N138" s="21"/>
      <c r="O138" s="19"/>
      <c r="P138" s="20"/>
      <c r="Q138" s="21"/>
      <c r="R138" s="19"/>
      <c r="S138" s="20"/>
      <c r="T138" s="21"/>
      <c r="U138" s="22" t="str">
        <f>IFERROR(IF(IF(X138&gt;0,X138,IF(Z138&gt;0,Z138,IF(AB138&gt;0,AB138,0)))=0,"--",ROUND(CHOOSE(IF(X138&gt;0,X138,IF(Z138&gt;0,Z138,IF(AB138&gt;0,AB138,0))),IF(C138="peso_corporal",IF(ISNUMBER(E138),E138,0)+F138,F138)*(1+G138/30),IF(C138="peso_corporal",IF(ISNUMBER(E138),E138,0)+I138,I138)*(1+J138/30),IF(C138="peso_corporal",IF(ISNUMBER(E138),E138,0)+L138,L138)*(1+M138/30),IF(C138="peso_corporal",IF(ISNUMBER(E138),E138,0)+O138,O138)*(1+P138/30),IF(C138="peso_corporal",IF(ISNUMBER(E138),E138,0)+R138,R138)*(1+S138/30)),1)),"--")</f>
        <v>--</v>
      </c>
      <c r="V138" s="23" t="str">
        <f>IF(SUGERENCIAS!N353="SIN","Sin datos anteriores",IF(SUGERENCIAS!N353="SUBIR_F","^ SUBIR FUERTE | Kg:"&amp;ROUND(SUGERENCIAS!K353,1)&amp;" R:"&amp;ROUND(SUGERENCIAS!L353,0)&amp;" RIR:"&amp;ROUND(SUGERENCIAS!M353,0),IF(SUGERENCIAS!N353="SUBIR_E","^ SUBIR (Est.) | Kg:"&amp;ROUND(SUGERENCIAS!K353,1)&amp;" R:"&amp;ROUND(SUGERENCIAS!L353,0)&amp;" RIR:"&amp;ROUND(SUGERENCIAS!M353,0),IF(SUGERENCIAS!N353="SUBIR","^ SUBIR | Kg:"&amp;ROUND(SUGERENCIAS!K353,1)&amp;" R:"&amp;ROUND(SUGERENCIAS!L353,0)&amp;" RIR:"&amp;ROUND(SUGERENCIAS!M353,0),IF(SUGERENCIAS!N353="BAJAR","v BAJAR | Kg:"&amp;ROUND(SUGERENCIAS!K353,1)&amp;" R:"&amp;ROUND(SUGERENCIAS!L353,0)&amp;" RIR:"&amp;ROUND(SUGERENCIAS!M353,0),"= MANT | Kg:"&amp;ROUND(SUGERENCIAS!K353,1)&amp;" R:"&amp;ROUND(SUGERENCIAS!L353,0)&amp;" RIR:"&amp;ROUND(SUGERENCIAS!M353,0))))))</f>
        <v>Sin datos anteriores</v>
      </c>
      <c r="W138" s="69">
        <f>MAX(IF((G138&gt;0)*(IF(H138="",-1,H138)&gt;=0)*(IF(H138="",-1,H138)&lt;=1),IF(C138="peso_corporal",IF(ISNUMBER(E138),E138,0)+F138,F138)*G138*1000+F138,0),IF((J138&gt;0)*(IF(K138="",-1,K138)&gt;=0)*(IF(K138="",-1,K138)&lt;=1),IF(C138="peso_corporal",IF(ISNUMBER(E138),E138,0)+I138,I138)*J138*1000+I138,0),IF((M138&gt;0)*(IF(N138="",-1,N138)&gt;=0)*(IF(N138="",-1,N138)&lt;=1),IF(C138="peso_corporal",IF(ISNUMBER(E138),E138,0)+L138,L138)*M138*1000+L138,0),IF((P138&gt;0)*(IF(Q138="",-1,Q138)&gt;=0)*(IF(Q138="",-1,Q138)&lt;=1),IF(C138="peso_corporal",IF(ISNUMBER(E138),E138,0)+O138,O138)*P138*1000+O138,0),IF((S138&gt;0)*(IF(T138="",-1,T138)&gt;=0)*(IF(T138="",-1,T138)&lt;=1),IF(C138="peso_corporal",IF(ISNUMBER(E138),E138,0)+R138,R138)*S138*1000+R138,0))</f>
        <v>0</v>
      </c>
      <c r="X138" s="69">
        <f>IF(W138=0,0,IF(IF((S138&gt;0)*(IF(T138="",-1,T138)&gt;=0)*(IF(T138="",-1,T138)&lt;=1),IF(C138="peso_corporal",IF(ISNUMBER(E138),E138,0)+R138,R138)*S138*1000+R138,0)=W138,5,IF(IF((P138&gt;0)*(IF(Q138="",-1,Q138)&gt;=0)*(IF(Q138="",-1,Q138)&lt;=1),IF(C138="peso_corporal",IF(ISNUMBER(E138),E138,0)+O138,O138)*P138*1000+O138,0)=W138,4,IF(IF((M138&gt;0)*(IF(N138="",-1,N138)&gt;=0)*(IF(N138="",-1,N138)&lt;=1),IF(C138="peso_corporal",IF(ISNUMBER(E138),E138,0)+L138,L138)*M138*1000+L138,0)=W138,3,IF(IF((J138&gt;0)*(IF(K138="",-1,K138)&gt;=0)*(IF(K138="",-1,K138)&lt;=1),IF(C138="peso_corporal",IF(ISNUMBER(E138),E138,0)+I138,I138)*J138*1000+I138,0)=W138,2,IF(IF((G138&gt;0)*(IF(H138="",-1,H138)&gt;=0)*(IF(H138="",-1,H138)&lt;=1),IF(C138="peso_corporal",IF(ISNUMBER(E138),E138,0)+F138,F138)*G138*1000+F138,0)=W138,1,0))))))</f>
        <v>0</v>
      </c>
      <c r="Y138" s="69">
        <f>MAX(IF((G138&gt;0)*(IF(H138="",-1,H138)=0)*(1-(IF(H138="",-1,H138)&gt;=0)*(IF(H138="",-1,H138)&lt;=1)),IF(C138="peso_corporal",IF(ISNUMBER(E138),E138,0)+F138,F138)*G138*1000+F138,0),IF((J138&gt;0)*(IF(K138="",-1,K138)=0)*(1-(IF(K138="",-1,K138)&gt;=0)*(IF(K138="",-1,K138)&lt;=1)),IF(C138="peso_corporal",IF(ISNUMBER(E138),E138,0)+I138,I138)*J138*1000+I138,0),IF((M138&gt;0)*(IF(N138="",-1,N138)=0)*(1-(IF(N138="",-1,N138)&gt;=0)*(IF(N138="",-1,N138)&lt;=1)),IF(C138="peso_corporal",IF(ISNUMBER(E138),E138,0)+L138,L138)*M138*1000+L138,0),IF((P138&gt;0)*(IF(Q138="",-1,Q138)=0)*(1-(IF(Q138="",-1,Q138)&gt;=0)*(IF(Q138="",-1,Q138)&lt;=1)),IF(C138="peso_corporal",IF(ISNUMBER(E138),E138,0)+O138,O138)*P138*1000+O138,0),IF((S138&gt;0)*(IF(T138="",-1,T138)=0)*(1-(IF(T138="",-1,T138)&gt;=0)*(IF(T138="",-1,T138)&lt;=1)),IF(C138="peso_corporal",IF(ISNUMBER(E138),E138,0)+R138,R138)*S138*1000+R138,0))</f>
        <v>0</v>
      </c>
      <c r="Z138" s="69">
        <f>IF(Y138=0,0,IF(IF((S138&gt;0)*(IF(T138="",-1,T138)=0)*(1-(IF(T138="",-1,T138)&gt;=0)*(IF(T138="",-1,T138)&lt;=1)),IF(C138="peso_corporal",IF(ISNUMBER(E138),E138,0)+R138,R138)*S138*1000+R138,0)=Y138,5,IF(IF((P138&gt;0)*(IF(Q138="",-1,Q138)=0)*(1-(IF(Q138="",-1,Q138)&gt;=0)*(IF(Q138="",-1,Q138)&lt;=1)),IF(C138="peso_corporal",IF(ISNUMBER(E138),E138,0)+O138,O138)*P138*1000+O138,0)=Y138,4,IF(IF((M138&gt;0)*(IF(N138="",-1,N138)=0)*(1-(IF(N138="",-1,N138)&gt;=0)*(IF(N138="",-1,N138)&lt;=1)),IF(C138="peso_corporal",IF(ISNUMBER(E138),E138,0)+L138,L138)*M138*1000+L138,0)=Y138,3,IF(IF((J138&gt;0)*(IF(K138="",-1,K138)=0)*(1-(IF(K138="",-1,K138)&gt;=0)*(IF(K138="",-1,K138)&lt;=1)),IF(C138="peso_corporal",IF(ISNUMBER(E138),E138,0)+I138,I138)*J138*1000+I138,0)=Y138,2,IF(IF((G138&gt;0)*(IF(H138="",-1,H138)=0)*(1-(IF(H138="",-1,H138)&gt;=0)*(IF(H138="",-1,H138)&lt;=1)),IF(C138="peso_corporal",IF(ISNUMBER(E138),E138,0)+F138,F138)*G138*1000+F138,0)=Y138,1,0))))))</f>
        <v>0</v>
      </c>
      <c r="AA138" s="69">
        <f>MAX(IF((G138&gt;=3)*(1-(IF(H138="",-1,H138)&gt;=0)*(IF(H138="",-1,H138)&lt;=1))*(1-(IF(H138="",-1,H138)=0)),IF(C138="peso_corporal",IF(ISNUMBER(E138),E138,0)+F138,F138)*(30+G138)*100+F138,0),IF((J138&gt;=3)*(1-(IF(K138="",-1,K138)&gt;=0)*(IF(K138="",-1,K138)&lt;=1))*(1-(IF(K138="",-1,K138)=0)),IF(C138="peso_corporal",IF(ISNUMBER(E138),E138,0)+I138,I138)*(30+J138)*100+I138,0),IF((M138&gt;=3)*(1-(IF(N138="",-1,N138)&gt;=0)*(IF(N138="",-1,N138)&lt;=1))*(1-(IF(N138="",-1,N138)=0)),IF(C138="peso_corporal",IF(ISNUMBER(E138),E138,0)+L138,L138)*(30+M138)*100+L138,0),IF((P138&gt;=3)*(1-(IF(Q138="",-1,Q138)&gt;=0)*(IF(Q138="",-1,Q138)&lt;=1))*(1-(IF(Q138="",-1,Q138)=0)),IF(C138="peso_corporal",IF(ISNUMBER(E138),E138,0)+O138,O138)*(30+P138)*100+O138,0),IF((S138&gt;=3)*(1-(IF(T138="",-1,T138)&gt;=0)*(IF(T138="",-1,T138)&lt;=1))*(1-(IF(T138="",-1,T138)=0)),IF(C138="peso_corporal",IF(ISNUMBER(E138),E138,0)+R138,R138)*(30+S138)*100+R138,0))</f>
        <v>0</v>
      </c>
      <c r="AB138" s="69">
        <f>IF(AA138=0,0,IF(IF((S138&gt;=3)*(1-(IF(T138="",-1,T138)&gt;=0)*(IF(T138="",-1,T138)&lt;=1))*(1-(IF(T138="",-1,T138)=0)),IF(C138="peso_corporal",IF(ISNUMBER(E138),E138,0)+R138,R138)*(30+S138)*100+R138,0)=AA138,5,IF(IF((P138&gt;=3)*(1-(IF(Q138="",-1,Q138)&gt;=0)*(IF(Q138="",-1,Q138)&lt;=1))*(1-(IF(Q138="",-1,Q138)=0)),IF(C138="peso_corporal",IF(ISNUMBER(E138),E138,0)+O138,O138)*(30+P138)*100+O138,0)=AA138,4,IF(IF((M138&gt;=3)*(1-(IF(N138="",-1,N138)&gt;=0)*(IF(N138="",-1,N138)&lt;=1))*(1-(IF(N138="",-1,N138)=0)),IF(C138="peso_corporal",IF(ISNUMBER(E138),E138,0)+L138,L138)*(30+M138)*100+L138,0)=AA138,3,IF(IF((J138&gt;=3)*(1-(IF(K138="",-1,K138)&gt;=0)*(IF(K138="",-1,K138)&lt;=1))*(1-(IF(K138="",-1,K138)=0)),IF(C138="peso_corporal",IF(ISNUMBER(E138),E138,0)+I138,I138)*(30+J138)*100+I138,0)=AA138,2,IF(IF((G138&gt;=3)*(1-(IF(H138="",-1,H138)&gt;=0)*(IF(H138="",-1,H138)&lt;=1))*(1-(IF(H138="",-1,H138)=0)),IF(C138="peso_corporal",IF(ISNUMBER(E138),E138,0)+F138,F138)*(30+G138)*100+F138,0)=AA138,1,0))))))</f>
        <v>0</v>
      </c>
      <c r="AC138" s="69" t="str">
        <f>IF(X138&gt;0,"A"&amp;X138,IF(Z138&gt;0,"B"&amp;Z138,IF(AB138&gt;0,"C"&amp;AB138,"")))</f>
        <v/>
      </c>
    </row>
    <row r="139" spans="1:29" ht="20.100000000000001" customHeight="1">
      <c r="A139" s="14" t="s">
        <v>148</v>
      </c>
      <c r="B139" s="15" t="s">
        <v>149</v>
      </c>
      <c r="C139" s="16" t="str">
        <f>IFERROR(INDEX(EJERCICIOS!$D$3:$D$75,MATCH(A139&amp;"|"&amp;B139,EJERCICIOS!$G$3:$G$75,0)),"--")</f>
        <v>--</v>
      </c>
      <c r="D139" s="17">
        <v>3</v>
      </c>
      <c r="E139" s="18">
        <f>IFERROR(LOOKUP(2,1/(MEDIDAS_Y_PESO!$B$3:$B$8&lt;&gt;""),MEDIDAS_Y_PESO!$B$3:$B$8),"--")</f>
        <v>80</v>
      </c>
      <c r="F139" s="19"/>
      <c r="G139" s="20"/>
      <c r="H139" s="21"/>
      <c r="I139" s="19"/>
      <c r="J139" s="20"/>
      <c r="K139" s="21"/>
      <c r="L139" s="19"/>
      <c r="M139" s="20"/>
      <c r="N139" s="21"/>
      <c r="O139" s="19"/>
      <c r="P139" s="20"/>
      <c r="Q139" s="21"/>
      <c r="R139" s="19"/>
      <c r="S139" s="20"/>
      <c r="T139" s="21"/>
      <c r="U139" s="22" t="str">
        <f>IFERROR(IF(IF(X139&gt;0,X139,IF(Z139&gt;0,Z139,IF(AB139&gt;0,AB139,0)))=0,"--",ROUND(CHOOSE(IF(X139&gt;0,X139,IF(Z139&gt;0,Z139,IF(AB139&gt;0,AB139,0))),IF(C139="peso_corporal",IF(ISNUMBER(E139),E139,0)+F139,F139)*(1+G139/30),IF(C139="peso_corporal",IF(ISNUMBER(E139),E139,0)+I139,I139)*(1+J139/30),IF(C139="peso_corporal",IF(ISNUMBER(E139),E139,0)+L139,L139)*(1+M139/30),IF(C139="peso_corporal",IF(ISNUMBER(E139),E139,0)+O139,O139)*(1+P139/30),IF(C139="peso_corporal",IF(ISNUMBER(E139),E139,0)+R139,R139)*(1+S139/30)),1)),"--")</f>
        <v>--</v>
      </c>
      <c r="V139" s="23" t="str">
        <f>IF(SUGERENCIAS!N354="SIN","Sin datos anteriores",IF(SUGERENCIAS!N354="SUBIR_F","^ SUBIR FUERTE | Kg:"&amp;ROUND(SUGERENCIAS!K354,1)&amp;" R:"&amp;ROUND(SUGERENCIAS!L354,0)&amp;" RIR:"&amp;ROUND(SUGERENCIAS!M354,0),IF(SUGERENCIAS!N354="SUBIR_E","^ SUBIR (Est.) | Kg:"&amp;ROUND(SUGERENCIAS!K354,1)&amp;" R:"&amp;ROUND(SUGERENCIAS!L354,0)&amp;" RIR:"&amp;ROUND(SUGERENCIAS!M354,0),IF(SUGERENCIAS!N354="SUBIR","^ SUBIR | Kg:"&amp;ROUND(SUGERENCIAS!K354,1)&amp;" R:"&amp;ROUND(SUGERENCIAS!L354,0)&amp;" RIR:"&amp;ROUND(SUGERENCIAS!M354,0),IF(SUGERENCIAS!N354="BAJAR","v BAJAR | Kg:"&amp;ROUND(SUGERENCIAS!K354,1)&amp;" R:"&amp;ROUND(SUGERENCIAS!L354,0)&amp;" RIR:"&amp;ROUND(SUGERENCIAS!M354,0),"= MANT | Kg:"&amp;ROUND(SUGERENCIAS!K354,1)&amp;" R:"&amp;ROUND(SUGERENCIAS!L354,0)&amp;" RIR:"&amp;ROUND(SUGERENCIAS!M354,0))))))</f>
        <v>Sin datos anteriores</v>
      </c>
      <c r="W139" s="69">
        <f>MAX(IF((G139&gt;0)*(IF(H139="",-1,H139)&gt;=0)*(IF(H139="",-1,H139)&lt;=1),IF(C139="peso_corporal",IF(ISNUMBER(E139),E139,0)+F139,F139)*G139*1000+F139,0),IF((J139&gt;0)*(IF(K139="",-1,K139)&gt;=0)*(IF(K139="",-1,K139)&lt;=1),IF(C139="peso_corporal",IF(ISNUMBER(E139),E139,0)+I139,I139)*J139*1000+I139,0),IF((M139&gt;0)*(IF(N139="",-1,N139)&gt;=0)*(IF(N139="",-1,N139)&lt;=1),IF(C139="peso_corporal",IF(ISNUMBER(E139),E139,0)+L139,L139)*M139*1000+L139,0),IF((P139&gt;0)*(IF(Q139="",-1,Q139)&gt;=0)*(IF(Q139="",-1,Q139)&lt;=1),IF(C139="peso_corporal",IF(ISNUMBER(E139),E139,0)+O139,O139)*P139*1000+O139,0),IF((S139&gt;0)*(IF(T139="",-1,T139)&gt;=0)*(IF(T139="",-1,T139)&lt;=1),IF(C139="peso_corporal",IF(ISNUMBER(E139),E139,0)+R139,R139)*S139*1000+R139,0))</f>
        <v>0</v>
      </c>
      <c r="X139" s="69">
        <f>IF(W139=0,0,IF(IF((S139&gt;0)*(IF(T139="",-1,T139)&gt;=0)*(IF(T139="",-1,T139)&lt;=1),IF(C139="peso_corporal",IF(ISNUMBER(E139),E139,0)+R139,R139)*S139*1000+R139,0)=W139,5,IF(IF((P139&gt;0)*(IF(Q139="",-1,Q139)&gt;=0)*(IF(Q139="",-1,Q139)&lt;=1),IF(C139="peso_corporal",IF(ISNUMBER(E139),E139,0)+O139,O139)*P139*1000+O139,0)=W139,4,IF(IF((M139&gt;0)*(IF(N139="",-1,N139)&gt;=0)*(IF(N139="",-1,N139)&lt;=1),IF(C139="peso_corporal",IF(ISNUMBER(E139),E139,0)+L139,L139)*M139*1000+L139,0)=W139,3,IF(IF((J139&gt;0)*(IF(K139="",-1,K139)&gt;=0)*(IF(K139="",-1,K139)&lt;=1),IF(C139="peso_corporal",IF(ISNUMBER(E139),E139,0)+I139,I139)*J139*1000+I139,0)=W139,2,IF(IF((G139&gt;0)*(IF(H139="",-1,H139)&gt;=0)*(IF(H139="",-1,H139)&lt;=1),IF(C139="peso_corporal",IF(ISNUMBER(E139),E139,0)+F139,F139)*G139*1000+F139,0)=W139,1,0))))))</f>
        <v>0</v>
      </c>
      <c r="Y139" s="69">
        <f>MAX(IF((G139&gt;0)*(IF(H139="",-1,H139)=0)*(1-(IF(H139="",-1,H139)&gt;=0)*(IF(H139="",-1,H139)&lt;=1)),IF(C139="peso_corporal",IF(ISNUMBER(E139),E139,0)+F139,F139)*G139*1000+F139,0),IF((J139&gt;0)*(IF(K139="",-1,K139)=0)*(1-(IF(K139="",-1,K139)&gt;=0)*(IF(K139="",-1,K139)&lt;=1)),IF(C139="peso_corporal",IF(ISNUMBER(E139),E139,0)+I139,I139)*J139*1000+I139,0),IF((M139&gt;0)*(IF(N139="",-1,N139)=0)*(1-(IF(N139="",-1,N139)&gt;=0)*(IF(N139="",-1,N139)&lt;=1)),IF(C139="peso_corporal",IF(ISNUMBER(E139),E139,0)+L139,L139)*M139*1000+L139,0),IF((P139&gt;0)*(IF(Q139="",-1,Q139)=0)*(1-(IF(Q139="",-1,Q139)&gt;=0)*(IF(Q139="",-1,Q139)&lt;=1)),IF(C139="peso_corporal",IF(ISNUMBER(E139),E139,0)+O139,O139)*P139*1000+O139,0),IF((S139&gt;0)*(IF(T139="",-1,T139)=0)*(1-(IF(T139="",-1,T139)&gt;=0)*(IF(T139="",-1,T139)&lt;=1)),IF(C139="peso_corporal",IF(ISNUMBER(E139),E139,0)+R139,R139)*S139*1000+R139,0))</f>
        <v>0</v>
      </c>
      <c r="Z139" s="69">
        <f>IF(Y139=0,0,IF(IF((S139&gt;0)*(IF(T139="",-1,T139)=0)*(1-(IF(T139="",-1,T139)&gt;=0)*(IF(T139="",-1,T139)&lt;=1)),IF(C139="peso_corporal",IF(ISNUMBER(E139),E139,0)+R139,R139)*S139*1000+R139,0)=Y139,5,IF(IF((P139&gt;0)*(IF(Q139="",-1,Q139)=0)*(1-(IF(Q139="",-1,Q139)&gt;=0)*(IF(Q139="",-1,Q139)&lt;=1)),IF(C139="peso_corporal",IF(ISNUMBER(E139),E139,0)+O139,O139)*P139*1000+O139,0)=Y139,4,IF(IF((M139&gt;0)*(IF(N139="",-1,N139)=0)*(1-(IF(N139="",-1,N139)&gt;=0)*(IF(N139="",-1,N139)&lt;=1)),IF(C139="peso_corporal",IF(ISNUMBER(E139),E139,0)+L139,L139)*M139*1000+L139,0)=Y139,3,IF(IF((J139&gt;0)*(IF(K139="",-1,K139)=0)*(1-(IF(K139="",-1,K139)&gt;=0)*(IF(K139="",-1,K139)&lt;=1)),IF(C139="peso_corporal",IF(ISNUMBER(E139),E139,0)+I139,I139)*J139*1000+I139,0)=Y139,2,IF(IF((G139&gt;0)*(IF(H139="",-1,H139)=0)*(1-(IF(H139="",-1,H139)&gt;=0)*(IF(H139="",-1,H139)&lt;=1)),IF(C139="peso_corporal",IF(ISNUMBER(E139),E139,0)+F139,F139)*G139*1000+F139,0)=Y139,1,0))))))</f>
        <v>0</v>
      </c>
      <c r="AA139" s="69">
        <f>MAX(IF((G139&gt;=3)*(1-(IF(H139="",-1,H139)&gt;=0)*(IF(H139="",-1,H139)&lt;=1))*(1-(IF(H139="",-1,H139)=0)),IF(C139="peso_corporal",IF(ISNUMBER(E139),E139,0)+F139,F139)*(30+G139)*100+F139,0),IF((J139&gt;=3)*(1-(IF(K139="",-1,K139)&gt;=0)*(IF(K139="",-1,K139)&lt;=1))*(1-(IF(K139="",-1,K139)=0)),IF(C139="peso_corporal",IF(ISNUMBER(E139),E139,0)+I139,I139)*(30+J139)*100+I139,0),IF((M139&gt;=3)*(1-(IF(N139="",-1,N139)&gt;=0)*(IF(N139="",-1,N139)&lt;=1))*(1-(IF(N139="",-1,N139)=0)),IF(C139="peso_corporal",IF(ISNUMBER(E139),E139,0)+L139,L139)*(30+M139)*100+L139,0),IF((P139&gt;=3)*(1-(IF(Q139="",-1,Q139)&gt;=0)*(IF(Q139="",-1,Q139)&lt;=1))*(1-(IF(Q139="",-1,Q139)=0)),IF(C139="peso_corporal",IF(ISNUMBER(E139),E139,0)+O139,O139)*(30+P139)*100+O139,0),IF((S139&gt;=3)*(1-(IF(T139="",-1,T139)&gt;=0)*(IF(T139="",-1,T139)&lt;=1))*(1-(IF(T139="",-1,T139)=0)),IF(C139="peso_corporal",IF(ISNUMBER(E139),E139,0)+R139,R139)*(30+S139)*100+R139,0))</f>
        <v>0</v>
      </c>
      <c r="AB139" s="69">
        <f>IF(AA139=0,0,IF(IF((S139&gt;=3)*(1-(IF(T139="",-1,T139)&gt;=0)*(IF(T139="",-1,T139)&lt;=1))*(1-(IF(T139="",-1,T139)=0)),IF(C139="peso_corporal",IF(ISNUMBER(E139),E139,0)+R139,R139)*(30+S139)*100+R139,0)=AA139,5,IF(IF((P139&gt;=3)*(1-(IF(Q139="",-1,Q139)&gt;=0)*(IF(Q139="",-1,Q139)&lt;=1))*(1-(IF(Q139="",-1,Q139)=0)),IF(C139="peso_corporal",IF(ISNUMBER(E139),E139,0)+O139,O139)*(30+P139)*100+O139,0)=AA139,4,IF(IF((M139&gt;=3)*(1-(IF(N139="",-1,N139)&gt;=0)*(IF(N139="",-1,N139)&lt;=1))*(1-(IF(N139="",-1,N139)=0)),IF(C139="peso_corporal",IF(ISNUMBER(E139),E139,0)+L139,L139)*(30+M139)*100+L139,0)=AA139,3,IF(IF((J139&gt;=3)*(1-(IF(K139="",-1,K139)&gt;=0)*(IF(K139="",-1,K139)&lt;=1))*(1-(IF(K139="",-1,K139)=0)),IF(C139="peso_corporal",IF(ISNUMBER(E139),E139,0)+I139,I139)*(30+J139)*100+I139,0)=AA139,2,IF(IF((G139&gt;=3)*(1-(IF(H139="",-1,H139)&gt;=0)*(IF(H139="",-1,H139)&lt;=1))*(1-(IF(H139="",-1,H139)=0)),IF(C139="peso_corporal",IF(ISNUMBER(E139),E139,0)+F139,F139)*(30+G139)*100+F139,0)=AA139,1,0))))))</f>
        <v>0</v>
      </c>
      <c r="AC139" s="69" t="str">
        <f>IF(X139&gt;0,"A"&amp;X139,IF(Z139&gt;0,"B"&amp;Z139,IF(AB139&gt;0,"C"&amp;AB139,"")))</f>
        <v/>
      </c>
    </row>
    <row r="140" spans="1:29" ht="20.100000000000001" customHeight="1">
      <c r="A140" s="14" t="s">
        <v>150</v>
      </c>
      <c r="B140" s="15" t="s">
        <v>151</v>
      </c>
      <c r="C140" s="16" t="str">
        <f>IFERROR(INDEX(EJERCICIOS!$D$3:$D$75,MATCH(A140&amp;"|"&amp;B140,EJERCICIOS!$G$3:$G$75,0)),"--")</f>
        <v>peso_corporal</v>
      </c>
      <c r="D140" s="17">
        <v>3</v>
      </c>
      <c r="E140" s="18">
        <f>IFERROR(LOOKUP(2,1/(MEDIDAS_Y_PESO!$B$3:$B$8&lt;&gt;""),MEDIDAS_Y_PESO!$B$3:$B$8),"--")</f>
        <v>80</v>
      </c>
      <c r="F140" s="19"/>
      <c r="G140" s="20"/>
      <c r="H140" s="21"/>
      <c r="I140" s="19"/>
      <c r="J140" s="20"/>
      <c r="K140" s="21"/>
      <c r="L140" s="19"/>
      <c r="M140" s="20"/>
      <c r="N140" s="21"/>
      <c r="O140" s="19"/>
      <c r="P140" s="20"/>
      <c r="Q140" s="21"/>
      <c r="R140" s="19"/>
      <c r="S140" s="20"/>
      <c r="T140" s="21"/>
      <c r="U140" s="22" t="str">
        <f>IFERROR(IF(IF(X140&gt;0,X140,IF(Z140&gt;0,Z140,IF(AB140&gt;0,AB140,0)))=0,"--",ROUND(CHOOSE(IF(X140&gt;0,X140,IF(Z140&gt;0,Z140,IF(AB140&gt;0,AB140,0))),IF(C140="peso_corporal",IF(ISNUMBER(E140),E140,0)+F140,F140)*(1+G140/30),IF(C140="peso_corporal",IF(ISNUMBER(E140),E140,0)+I140,I140)*(1+J140/30),IF(C140="peso_corporal",IF(ISNUMBER(E140),E140,0)+L140,L140)*(1+M140/30),IF(C140="peso_corporal",IF(ISNUMBER(E140),E140,0)+O140,O140)*(1+P140/30),IF(C140="peso_corporal",IF(ISNUMBER(E140),E140,0)+R140,R140)*(1+S140/30)),1)),"--")</f>
        <v>--</v>
      </c>
      <c r="V140" s="23" t="str">
        <f>IF(SUGERENCIAS!N355="SIN","Sin datos anteriores",IF(SUGERENCIAS!N355="SUBIR_F","^ SUBIR FUERTE | Kg:"&amp;ROUND(SUGERENCIAS!K355,1)&amp;" R:"&amp;ROUND(SUGERENCIAS!L355,0)&amp;" RIR:"&amp;ROUND(SUGERENCIAS!M355,0),IF(SUGERENCIAS!N355="SUBIR_E","^ SUBIR (Est.) | Kg:"&amp;ROUND(SUGERENCIAS!K355,1)&amp;" R:"&amp;ROUND(SUGERENCIAS!L355,0)&amp;" RIR:"&amp;ROUND(SUGERENCIAS!M355,0),IF(SUGERENCIAS!N355="SUBIR","^ SUBIR | Kg:"&amp;ROUND(SUGERENCIAS!K355,1)&amp;" R:"&amp;ROUND(SUGERENCIAS!L355,0)&amp;" RIR:"&amp;ROUND(SUGERENCIAS!M355,0),IF(SUGERENCIAS!N355="BAJAR","v BAJAR | Kg:"&amp;ROUND(SUGERENCIAS!K355,1)&amp;" R:"&amp;ROUND(SUGERENCIAS!L355,0)&amp;" RIR:"&amp;ROUND(SUGERENCIAS!M355,0),"= MANT | Kg:"&amp;ROUND(SUGERENCIAS!K355,1)&amp;" R:"&amp;ROUND(SUGERENCIAS!L355,0)&amp;" RIR:"&amp;ROUND(SUGERENCIAS!M355,0))))))</f>
        <v>Sin datos anteriores</v>
      </c>
      <c r="W140" s="69">
        <f>MAX(IF((G140&gt;0)*(IF(H140="",-1,H140)&gt;=0)*(IF(H140="",-1,H140)&lt;=1),IF(C140="peso_corporal",IF(ISNUMBER(E140),E140,0)+F140,F140)*G140*1000+F140,0),IF((J140&gt;0)*(IF(K140="",-1,K140)&gt;=0)*(IF(K140="",-1,K140)&lt;=1),IF(C140="peso_corporal",IF(ISNUMBER(E140),E140,0)+I140,I140)*J140*1000+I140,0),IF((M140&gt;0)*(IF(N140="",-1,N140)&gt;=0)*(IF(N140="",-1,N140)&lt;=1),IF(C140="peso_corporal",IF(ISNUMBER(E140),E140,0)+L140,L140)*M140*1000+L140,0),IF((P140&gt;0)*(IF(Q140="",-1,Q140)&gt;=0)*(IF(Q140="",-1,Q140)&lt;=1),IF(C140="peso_corporal",IF(ISNUMBER(E140),E140,0)+O140,O140)*P140*1000+O140,0),IF((S140&gt;0)*(IF(T140="",-1,T140)&gt;=0)*(IF(T140="",-1,T140)&lt;=1),IF(C140="peso_corporal",IF(ISNUMBER(E140),E140,0)+R140,R140)*S140*1000+R140,0))</f>
        <v>0</v>
      </c>
      <c r="X140" s="69">
        <f>IF(W140=0,0,IF(IF((S140&gt;0)*(IF(T140="",-1,T140)&gt;=0)*(IF(T140="",-1,T140)&lt;=1),IF(C140="peso_corporal",IF(ISNUMBER(E140),E140,0)+R140,R140)*S140*1000+R140,0)=W140,5,IF(IF((P140&gt;0)*(IF(Q140="",-1,Q140)&gt;=0)*(IF(Q140="",-1,Q140)&lt;=1),IF(C140="peso_corporal",IF(ISNUMBER(E140),E140,0)+O140,O140)*P140*1000+O140,0)=W140,4,IF(IF((M140&gt;0)*(IF(N140="",-1,N140)&gt;=0)*(IF(N140="",-1,N140)&lt;=1),IF(C140="peso_corporal",IF(ISNUMBER(E140),E140,0)+L140,L140)*M140*1000+L140,0)=W140,3,IF(IF((J140&gt;0)*(IF(K140="",-1,K140)&gt;=0)*(IF(K140="",-1,K140)&lt;=1),IF(C140="peso_corporal",IF(ISNUMBER(E140),E140,0)+I140,I140)*J140*1000+I140,0)=W140,2,IF(IF((G140&gt;0)*(IF(H140="",-1,H140)&gt;=0)*(IF(H140="",-1,H140)&lt;=1),IF(C140="peso_corporal",IF(ISNUMBER(E140),E140,0)+F140,F140)*G140*1000+F140,0)=W140,1,0))))))</f>
        <v>0</v>
      </c>
      <c r="Y140" s="69">
        <f>MAX(IF((G140&gt;0)*(IF(H140="",-1,H140)=0)*(1-(IF(H140="",-1,H140)&gt;=0)*(IF(H140="",-1,H140)&lt;=1)),IF(C140="peso_corporal",IF(ISNUMBER(E140),E140,0)+F140,F140)*G140*1000+F140,0),IF((J140&gt;0)*(IF(K140="",-1,K140)=0)*(1-(IF(K140="",-1,K140)&gt;=0)*(IF(K140="",-1,K140)&lt;=1)),IF(C140="peso_corporal",IF(ISNUMBER(E140),E140,0)+I140,I140)*J140*1000+I140,0),IF((M140&gt;0)*(IF(N140="",-1,N140)=0)*(1-(IF(N140="",-1,N140)&gt;=0)*(IF(N140="",-1,N140)&lt;=1)),IF(C140="peso_corporal",IF(ISNUMBER(E140),E140,0)+L140,L140)*M140*1000+L140,0),IF((P140&gt;0)*(IF(Q140="",-1,Q140)=0)*(1-(IF(Q140="",-1,Q140)&gt;=0)*(IF(Q140="",-1,Q140)&lt;=1)),IF(C140="peso_corporal",IF(ISNUMBER(E140),E140,0)+O140,O140)*P140*1000+O140,0),IF((S140&gt;0)*(IF(T140="",-1,T140)=0)*(1-(IF(T140="",-1,T140)&gt;=0)*(IF(T140="",-1,T140)&lt;=1)),IF(C140="peso_corporal",IF(ISNUMBER(E140),E140,0)+R140,R140)*S140*1000+R140,0))</f>
        <v>0</v>
      </c>
      <c r="Z140" s="69">
        <f>IF(Y140=0,0,IF(IF((S140&gt;0)*(IF(T140="",-1,T140)=0)*(1-(IF(T140="",-1,T140)&gt;=0)*(IF(T140="",-1,T140)&lt;=1)),IF(C140="peso_corporal",IF(ISNUMBER(E140),E140,0)+R140,R140)*S140*1000+R140,0)=Y140,5,IF(IF((P140&gt;0)*(IF(Q140="",-1,Q140)=0)*(1-(IF(Q140="",-1,Q140)&gt;=0)*(IF(Q140="",-1,Q140)&lt;=1)),IF(C140="peso_corporal",IF(ISNUMBER(E140),E140,0)+O140,O140)*P140*1000+O140,0)=Y140,4,IF(IF((M140&gt;0)*(IF(N140="",-1,N140)=0)*(1-(IF(N140="",-1,N140)&gt;=0)*(IF(N140="",-1,N140)&lt;=1)),IF(C140="peso_corporal",IF(ISNUMBER(E140),E140,0)+L140,L140)*M140*1000+L140,0)=Y140,3,IF(IF((J140&gt;0)*(IF(K140="",-1,K140)=0)*(1-(IF(K140="",-1,K140)&gt;=0)*(IF(K140="",-1,K140)&lt;=1)),IF(C140="peso_corporal",IF(ISNUMBER(E140),E140,0)+I140,I140)*J140*1000+I140,0)=Y140,2,IF(IF((G140&gt;0)*(IF(H140="",-1,H140)=0)*(1-(IF(H140="",-1,H140)&gt;=0)*(IF(H140="",-1,H140)&lt;=1)),IF(C140="peso_corporal",IF(ISNUMBER(E140),E140,0)+F140,F140)*G140*1000+F140,0)=Y140,1,0))))))</f>
        <v>0</v>
      </c>
      <c r="AA140" s="69">
        <f>MAX(IF((G140&gt;=3)*(1-(IF(H140="",-1,H140)&gt;=0)*(IF(H140="",-1,H140)&lt;=1))*(1-(IF(H140="",-1,H140)=0)),IF(C140="peso_corporal",IF(ISNUMBER(E140),E140,0)+F140,F140)*(30+G140)*100+F140,0),IF((J140&gt;=3)*(1-(IF(K140="",-1,K140)&gt;=0)*(IF(K140="",-1,K140)&lt;=1))*(1-(IF(K140="",-1,K140)=0)),IF(C140="peso_corporal",IF(ISNUMBER(E140),E140,0)+I140,I140)*(30+J140)*100+I140,0),IF((M140&gt;=3)*(1-(IF(N140="",-1,N140)&gt;=0)*(IF(N140="",-1,N140)&lt;=1))*(1-(IF(N140="",-1,N140)=0)),IF(C140="peso_corporal",IF(ISNUMBER(E140),E140,0)+L140,L140)*(30+M140)*100+L140,0),IF((P140&gt;=3)*(1-(IF(Q140="",-1,Q140)&gt;=0)*(IF(Q140="",-1,Q140)&lt;=1))*(1-(IF(Q140="",-1,Q140)=0)),IF(C140="peso_corporal",IF(ISNUMBER(E140),E140,0)+O140,O140)*(30+P140)*100+O140,0),IF((S140&gt;=3)*(1-(IF(T140="",-1,T140)&gt;=0)*(IF(T140="",-1,T140)&lt;=1))*(1-(IF(T140="",-1,T140)=0)),IF(C140="peso_corporal",IF(ISNUMBER(E140),E140,0)+R140,R140)*(30+S140)*100+R140,0))</f>
        <v>0</v>
      </c>
      <c r="AB140" s="69">
        <f>IF(AA140=0,0,IF(IF((S140&gt;=3)*(1-(IF(T140="",-1,T140)&gt;=0)*(IF(T140="",-1,T140)&lt;=1))*(1-(IF(T140="",-1,T140)=0)),IF(C140="peso_corporal",IF(ISNUMBER(E140),E140,0)+R140,R140)*(30+S140)*100+R140,0)=AA140,5,IF(IF((P140&gt;=3)*(1-(IF(Q140="",-1,Q140)&gt;=0)*(IF(Q140="",-1,Q140)&lt;=1))*(1-(IF(Q140="",-1,Q140)=0)),IF(C140="peso_corporal",IF(ISNUMBER(E140),E140,0)+O140,O140)*(30+P140)*100+O140,0)=AA140,4,IF(IF((M140&gt;=3)*(1-(IF(N140="",-1,N140)&gt;=0)*(IF(N140="",-1,N140)&lt;=1))*(1-(IF(N140="",-1,N140)=0)),IF(C140="peso_corporal",IF(ISNUMBER(E140),E140,0)+L140,L140)*(30+M140)*100+L140,0)=AA140,3,IF(IF((J140&gt;=3)*(1-(IF(K140="",-1,K140)&gt;=0)*(IF(K140="",-1,K140)&lt;=1))*(1-(IF(K140="",-1,K140)=0)),IF(C140="peso_corporal",IF(ISNUMBER(E140),E140,0)+I140,I140)*(30+J140)*100+I140,0)=AA140,2,IF(IF((G140&gt;=3)*(1-(IF(H140="",-1,H140)&gt;=0)*(IF(H140="",-1,H140)&lt;=1))*(1-(IF(H140="",-1,H140)=0)),IF(C140="peso_corporal",IF(ISNUMBER(E140),E140,0)+F140,F140)*(30+G140)*100+F140,0)=AA140,1,0))))))</f>
        <v>0</v>
      </c>
      <c r="AC140" s="69" t="str">
        <f>IF(X140&gt;0,"A"&amp;X140,IF(Z140&gt;0,"B"&amp;Z140,IF(AB140&gt;0,"C"&amp;AB140,"")))</f>
        <v/>
      </c>
    </row>
    <row r="141" spans="1:29" ht="6"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69"/>
      <c r="X141" s="69"/>
      <c r="Y141" s="69"/>
      <c r="Z141" s="69"/>
      <c r="AA141" s="69"/>
      <c r="AB141" s="69"/>
      <c r="AC141" s="69"/>
    </row>
    <row r="142" spans="1:29" ht="18" customHeight="1">
      <c r="A142" s="85" t="s">
        <v>72</v>
      </c>
      <c r="B142" s="73"/>
      <c r="C142" s="73"/>
      <c r="D142" s="73"/>
      <c r="E142" s="73"/>
      <c r="F142" s="73"/>
      <c r="G142" s="73"/>
      <c r="H142" s="73"/>
      <c r="I142" s="73"/>
      <c r="J142" s="73"/>
      <c r="K142" s="73"/>
      <c r="L142" s="73"/>
      <c r="M142" s="73"/>
      <c r="N142" s="73"/>
      <c r="O142" s="73"/>
      <c r="P142" s="73"/>
      <c r="Q142" s="73"/>
      <c r="R142" s="73"/>
      <c r="S142" s="73"/>
      <c r="T142" s="73"/>
      <c r="U142" s="73"/>
      <c r="V142" s="73"/>
      <c r="W142" s="69"/>
      <c r="X142" s="69"/>
      <c r="Y142" s="69"/>
      <c r="Z142" s="69"/>
      <c r="AA142" s="69"/>
      <c r="AB142" s="69"/>
      <c r="AC142" s="69"/>
    </row>
    <row r="143" spans="1:29" ht="15" customHeight="1">
      <c r="A143" s="88" t="s">
        <v>129</v>
      </c>
      <c r="B143" s="73"/>
      <c r="C143" s="73"/>
      <c r="D143" s="73"/>
      <c r="E143" s="73"/>
      <c r="F143" s="73"/>
      <c r="G143" s="73"/>
      <c r="H143" s="73"/>
      <c r="I143" s="73"/>
      <c r="J143" s="73"/>
      <c r="K143" s="73"/>
      <c r="L143" s="73"/>
      <c r="M143" s="73"/>
      <c r="N143" s="73"/>
      <c r="O143" s="73"/>
      <c r="P143" s="73"/>
      <c r="Q143" s="73"/>
      <c r="R143" s="73"/>
      <c r="S143" s="73"/>
      <c r="T143" s="73"/>
      <c r="U143" s="73"/>
      <c r="V143" s="73"/>
      <c r="W143" s="69"/>
      <c r="X143" s="69"/>
      <c r="Y143" s="69"/>
      <c r="Z143" s="69"/>
      <c r="AA143" s="69"/>
      <c r="AB143" s="69"/>
      <c r="AC143" s="69"/>
    </row>
    <row r="144" spans="1:29" ht="20.100000000000001" customHeight="1">
      <c r="A144" s="14" t="s">
        <v>130</v>
      </c>
      <c r="B144" s="15" t="s">
        <v>131</v>
      </c>
      <c r="C144" s="16" t="str">
        <f>IFERROR(INDEX(EJERCICIOS!$D$3:$D$75,MATCH(A144&amp;"|"&amp;B144,EJERCICIOS!$G$3:$G$75,0)),"--")</f>
        <v>polea</v>
      </c>
      <c r="D144" s="17">
        <v>3</v>
      </c>
      <c r="E144" s="18">
        <f>IFERROR(LOOKUP(2,1/(MEDIDAS_Y_PESO!$B$3:$B$9&lt;&gt;""),MEDIDAS_Y_PESO!$B$3:$B$9),"--")</f>
        <v>80</v>
      </c>
      <c r="F144" s="19"/>
      <c r="G144" s="20"/>
      <c r="H144" s="21"/>
      <c r="I144" s="19"/>
      <c r="J144" s="20"/>
      <c r="K144" s="21"/>
      <c r="L144" s="19"/>
      <c r="M144" s="20"/>
      <c r="N144" s="21"/>
      <c r="O144" s="19"/>
      <c r="P144" s="20"/>
      <c r="Q144" s="21"/>
      <c r="R144" s="19"/>
      <c r="S144" s="20"/>
      <c r="T144" s="21"/>
      <c r="U144" s="22" t="str">
        <f>IFERROR(IF(IF(X144&gt;0,X144,IF(Z144&gt;0,Z144,IF(AB144&gt;0,AB144,0)))=0,"--",ROUND(CHOOSE(IF(X144&gt;0,X144,IF(Z144&gt;0,Z144,IF(AB144&gt;0,AB144,0))),IF(C144="peso_corporal",IF(ISNUMBER(E144),E144,0)+F144,F144)*(1+G144/30),IF(C144="peso_corporal",IF(ISNUMBER(E144),E144,0)+I144,I144)*(1+J144/30),IF(C144="peso_corporal",IF(ISNUMBER(E144),E144,0)+L144,L144)*(1+M144/30),IF(C144="peso_corporal",IF(ISNUMBER(E144),E144,0)+O144,O144)*(1+P144/30),IF(C144="peso_corporal",IF(ISNUMBER(E144),E144,0)+R144,R144)*(1+S144/30)),1)),"--")</f>
        <v>--</v>
      </c>
      <c r="V144" s="23" t="str">
        <f>IF(SUGERENCIAS!N404="SIN","Sin datos anteriores",IF(SUGERENCIAS!N404="SUBIR_F","^ SUBIR FUERTE | Kg:"&amp;ROUND(SUGERENCIAS!K404,1)&amp;" R:"&amp;ROUND(SUGERENCIAS!L404,0)&amp;" RIR:"&amp;ROUND(SUGERENCIAS!M404,0),IF(SUGERENCIAS!N404="SUBIR_E","^ SUBIR (Est.) | Kg:"&amp;ROUND(SUGERENCIAS!K404,1)&amp;" R:"&amp;ROUND(SUGERENCIAS!L404,0)&amp;" RIR:"&amp;ROUND(SUGERENCIAS!M404,0),IF(SUGERENCIAS!N404="SUBIR","^ SUBIR | Kg:"&amp;ROUND(SUGERENCIAS!K404,1)&amp;" R:"&amp;ROUND(SUGERENCIAS!L404,0)&amp;" RIR:"&amp;ROUND(SUGERENCIAS!M404,0),IF(SUGERENCIAS!N404="BAJAR","v BAJAR | Kg:"&amp;ROUND(SUGERENCIAS!K404,1)&amp;" R:"&amp;ROUND(SUGERENCIAS!L404,0)&amp;" RIR:"&amp;ROUND(SUGERENCIAS!M404,0),"= MANT | Kg:"&amp;ROUND(SUGERENCIAS!K404,1)&amp;" R:"&amp;ROUND(SUGERENCIAS!L404,0)&amp;" RIR:"&amp;ROUND(SUGERENCIAS!M404,0))))))</f>
        <v>Sin datos anteriores</v>
      </c>
      <c r="W144" s="69">
        <f>MAX(IF((G144&gt;0)*(IF(H144="",-1,H144)&gt;=1)*(IF(H144="",-1,H144)&lt;=3),IF(C144="peso_corporal",IF(ISNUMBER(E144),E144,0)+F144,F144)*G144*1000+F144,0),IF((J144&gt;0)*(IF(K144="",-1,K144)&gt;=1)*(IF(K144="",-1,K144)&lt;=3),IF(C144="peso_corporal",IF(ISNUMBER(E144),E144,0)+I144,I144)*J144*1000+I144,0),IF((M144&gt;0)*(IF(N144="",-1,N144)&gt;=1)*(IF(N144="",-1,N144)&lt;=3),IF(C144="peso_corporal",IF(ISNUMBER(E144),E144,0)+L144,L144)*M144*1000+L144,0),IF((P144&gt;0)*(IF(Q144="",-1,Q144)&gt;=1)*(IF(Q144="",-1,Q144)&lt;=3),IF(C144="peso_corporal",IF(ISNUMBER(E144),E144,0)+O144,O144)*P144*1000+O144,0),IF((S144&gt;0)*(IF(T144="",-1,T144)&gt;=1)*(IF(T144="",-1,T144)&lt;=3),IF(C144="peso_corporal",IF(ISNUMBER(E144),E144,0)+R144,R144)*S144*1000+R144,0))</f>
        <v>0</v>
      </c>
      <c r="X144" s="69">
        <f>IF(W144=0,0,IF(IF((S144&gt;0)*(IF(T144="",-1,T144)&gt;=1)*(IF(T144="",-1,T144)&lt;=3),IF(C144="peso_corporal",IF(ISNUMBER(E144),E144,0)+R144,R144)*S144*1000+R144,0)=W144,5,IF(IF((P144&gt;0)*(IF(Q144="",-1,Q144)&gt;=1)*(IF(Q144="",-1,Q144)&lt;=3),IF(C144="peso_corporal",IF(ISNUMBER(E144),E144,0)+O144,O144)*P144*1000+O144,0)=W144,4,IF(IF((M144&gt;0)*(IF(N144="",-1,N144)&gt;=1)*(IF(N144="",-1,N144)&lt;=3),IF(C144="peso_corporal",IF(ISNUMBER(E144),E144,0)+L144,L144)*M144*1000+L144,0)=W144,3,IF(IF((J144&gt;0)*(IF(K144="",-1,K144)&gt;=1)*(IF(K144="",-1,K144)&lt;=3),IF(C144="peso_corporal",IF(ISNUMBER(E144),E144,0)+I144,I144)*J144*1000+I144,0)=W144,2,IF(IF((G144&gt;0)*(IF(H144="",-1,H144)&gt;=1)*(IF(H144="",-1,H144)&lt;=3),IF(C144="peso_corporal",IF(ISNUMBER(E144),E144,0)+F144,F144)*G144*1000+F144,0)=W144,1,0))))))</f>
        <v>0</v>
      </c>
      <c r="Y144" s="69">
        <f>MAX(IF((G144&gt;0)*(IF(H144="",-1,H144)=0)*(1-(IF(H144="",-1,H144)&gt;=1)*(IF(H144="",-1,H144)&lt;=3)),IF(C144="peso_corporal",IF(ISNUMBER(E144),E144,0)+F144,F144)*G144*1000+F144,0),IF((J144&gt;0)*(IF(K144="",-1,K144)=0)*(1-(IF(K144="",-1,K144)&gt;=1)*(IF(K144="",-1,K144)&lt;=3)),IF(C144="peso_corporal",IF(ISNUMBER(E144),E144,0)+I144,I144)*J144*1000+I144,0),IF((M144&gt;0)*(IF(N144="",-1,N144)=0)*(1-(IF(N144="",-1,N144)&gt;=1)*(IF(N144="",-1,N144)&lt;=3)),IF(C144="peso_corporal",IF(ISNUMBER(E144),E144,0)+L144,L144)*M144*1000+L144,0),IF((P144&gt;0)*(IF(Q144="",-1,Q144)=0)*(1-(IF(Q144="",-1,Q144)&gt;=1)*(IF(Q144="",-1,Q144)&lt;=3)),IF(C144="peso_corporal",IF(ISNUMBER(E144),E144,0)+O144,O144)*P144*1000+O144,0),IF((S144&gt;0)*(IF(T144="",-1,T144)=0)*(1-(IF(T144="",-1,T144)&gt;=1)*(IF(T144="",-1,T144)&lt;=3)),IF(C144="peso_corporal",IF(ISNUMBER(E144),E144,0)+R144,R144)*S144*1000+R144,0))</f>
        <v>0</v>
      </c>
      <c r="Z144" s="69">
        <f>IF(Y144=0,0,IF(IF((S144&gt;0)*(IF(T144="",-1,T144)=0)*(1-(IF(T144="",-1,T144)&gt;=1)*(IF(T144="",-1,T144)&lt;=3)),IF(C144="peso_corporal",IF(ISNUMBER(E144),E144,0)+R144,R144)*S144*1000+R144,0)=Y144,5,IF(IF((P144&gt;0)*(IF(Q144="",-1,Q144)=0)*(1-(IF(Q144="",-1,Q144)&gt;=1)*(IF(Q144="",-1,Q144)&lt;=3)),IF(C144="peso_corporal",IF(ISNUMBER(E144),E144,0)+O144,O144)*P144*1000+O144,0)=Y144,4,IF(IF((M144&gt;0)*(IF(N144="",-1,N144)=0)*(1-(IF(N144="",-1,N144)&gt;=1)*(IF(N144="",-1,N144)&lt;=3)),IF(C144="peso_corporal",IF(ISNUMBER(E144),E144,0)+L144,L144)*M144*1000+L144,0)=Y144,3,IF(IF((J144&gt;0)*(IF(K144="",-1,K144)=0)*(1-(IF(K144="",-1,K144)&gt;=1)*(IF(K144="",-1,K144)&lt;=3)),IF(C144="peso_corporal",IF(ISNUMBER(E144),E144,0)+I144,I144)*J144*1000+I144,0)=Y144,2,IF(IF((G144&gt;0)*(IF(H144="",-1,H144)=0)*(1-(IF(H144="",-1,H144)&gt;=1)*(IF(H144="",-1,H144)&lt;=3)),IF(C144="peso_corporal",IF(ISNUMBER(E144),E144,0)+F144,F144)*G144*1000+F144,0)=Y144,1,0))))))</f>
        <v>0</v>
      </c>
      <c r="AA144" s="69">
        <f>MAX(IF((G144&gt;=6)*(1-(IF(H144="",-1,H144)&gt;=1)*(IF(H144="",-1,H144)&lt;=3))*(1-(IF(H144="",-1,H144)=0)),IF(C144="peso_corporal",IF(ISNUMBER(E144),E144,0)+F144,F144)*(30+G144)*100+F144,0),IF((J144&gt;=6)*(1-(IF(K144="",-1,K144)&gt;=1)*(IF(K144="",-1,K144)&lt;=3))*(1-(IF(K144="",-1,K144)=0)),IF(C144="peso_corporal",IF(ISNUMBER(E144),E144,0)+I144,I144)*(30+J144)*100+I144,0),IF((M144&gt;=6)*(1-(IF(N144="",-1,N144)&gt;=1)*(IF(N144="",-1,N144)&lt;=3))*(1-(IF(N144="",-1,N144)=0)),IF(C144="peso_corporal",IF(ISNUMBER(E144),E144,0)+L144,L144)*(30+M144)*100+L144,0),IF((P144&gt;=6)*(1-(IF(Q144="",-1,Q144)&gt;=1)*(IF(Q144="",-1,Q144)&lt;=3))*(1-(IF(Q144="",-1,Q144)=0)),IF(C144="peso_corporal",IF(ISNUMBER(E144),E144,0)+O144,O144)*(30+P144)*100+O144,0),IF((S144&gt;=6)*(1-(IF(T144="",-1,T144)&gt;=1)*(IF(T144="",-1,T144)&lt;=3))*(1-(IF(T144="",-1,T144)=0)),IF(C144="peso_corporal",IF(ISNUMBER(E144),E144,0)+R144,R144)*(30+S144)*100+R144,0))</f>
        <v>0</v>
      </c>
      <c r="AB144" s="69">
        <f>IF(AA144=0,0,IF(IF((S144&gt;=6)*(1-(IF(T144="",-1,T144)&gt;=1)*(IF(T144="",-1,T144)&lt;=3))*(1-(IF(T144="",-1,T144)=0)),IF(C144="peso_corporal",IF(ISNUMBER(E144),E144,0)+R144,R144)*(30+S144)*100+R144,0)=AA144,5,IF(IF((P144&gt;=6)*(1-(IF(Q144="",-1,Q144)&gt;=1)*(IF(Q144="",-1,Q144)&lt;=3))*(1-(IF(Q144="",-1,Q144)=0)),IF(C144="peso_corporal",IF(ISNUMBER(E144),E144,0)+O144,O144)*(30+P144)*100+O144,0)=AA144,4,IF(IF((M144&gt;=6)*(1-(IF(N144="",-1,N144)&gt;=1)*(IF(N144="",-1,N144)&lt;=3))*(1-(IF(N144="",-1,N144)=0)),IF(C144="peso_corporal",IF(ISNUMBER(E144),E144,0)+L144,L144)*(30+M144)*100+L144,0)=AA144,3,IF(IF((J144&gt;=6)*(1-(IF(K144="",-1,K144)&gt;=1)*(IF(K144="",-1,K144)&lt;=3))*(1-(IF(K144="",-1,K144)=0)),IF(C144="peso_corporal",IF(ISNUMBER(E144),E144,0)+I144,I144)*(30+J144)*100+I144,0)=AA144,2,IF(IF((G144&gt;=6)*(1-(IF(H144="",-1,H144)&gt;=1)*(IF(H144="",-1,H144)&lt;=3))*(1-(IF(H144="",-1,H144)=0)),IF(C144="peso_corporal",IF(ISNUMBER(E144),E144,0)+F144,F144)*(30+G144)*100+F144,0)=AA144,1,0))))))</f>
        <v>0</v>
      </c>
      <c r="AC144" s="69" t="str">
        <f>IF(X144&gt;0,"A"&amp;X144,IF(Z144&gt;0,"B"&amp;Z144,IF(AB144&gt;0,"C"&amp;AB144,"")))</f>
        <v/>
      </c>
    </row>
    <row r="145" spans="1:29" ht="20.100000000000001" customHeight="1">
      <c r="A145" s="14" t="s">
        <v>130</v>
      </c>
      <c r="B145" s="15" t="s">
        <v>132</v>
      </c>
      <c r="C145" s="16" t="str">
        <f>IFERROR(INDEX(EJERCICIOS!$D$3:$D$75,MATCH(A145&amp;"|"&amp;B145,EJERCICIOS!$G$3:$G$75,0)),"--")</f>
        <v>polea</v>
      </c>
      <c r="D145" s="17">
        <v>3</v>
      </c>
      <c r="E145" s="18">
        <f>IFERROR(LOOKUP(2,1/(MEDIDAS_Y_PESO!$B$3:$B$9&lt;&gt;""),MEDIDAS_Y_PESO!$B$3:$B$9),"--")</f>
        <v>80</v>
      </c>
      <c r="F145" s="19"/>
      <c r="G145" s="20"/>
      <c r="H145" s="21"/>
      <c r="I145" s="19"/>
      <c r="J145" s="20"/>
      <c r="K145" s="21"/>
      <c r="L145" s="19"/>
      <c r="M145" s="20"/>
      <c r="N145" s="21"/>
      <c r="O145" s="19"/>
      <c r="P145" s="20"/>
      <c r="Q145" s="21"/>
      <c r="R145" s="19"/>
      <c r="S145" s="20"/>
      <c r="T145" s="21"/>
      <c r="U145" s="22" t="str">
        <f>IFERROR(IF(IF(X145&gt;0,X145,IF(Z145&gt;0,Z145,IF(AB145&gt;0,AB145,0)))=0,"--",ROUND(CHOOSE(IF(X145&gt;0,X145,IF(Z145&gt;0,Z145,IF(AB145&gt;0,AB145,0))),IF(C145="peso_corporal",IF(ISNUMBER(E145),E145,0)+F145,F145)*(1+G145/30),IF(C145="peso_corporal",IF(ISNUMBER(E145),E145,0)+I145,I145)*(1+J145/30),IF(C145="peso_corporal",IF(ISNUMBER(E145),E145,0)+L145,L145)*(1+M145/30),IF(C145="peso_corporal",IF(ISNUMBER(E145),E145,0)+O145,O145)*(1+P145/30),IF(C145="peso_corporal",IF(ISNUMBER(E145),E145,0)+R145,R145)*(1+S145/30)),1)),"--")</f>
        <v>--</v>
      </c>
      <c r="V145" s="23" t="str">
        <f>IF(SUGERENCIAS!N405="SIN","Sin datos anteriores",IF(SUGERENCIAS!N405="SUBIR_F","^ SUBIR FUERTE | Kg:"&amp;ROUND(SUGERENCIAS!K405,1)&amp;" R:"&amp;ROUND(SUGERENCIAS!L405,0)&amp;" RIR:"&amp;ROUND(SUGERENCIAS!M405,0),IF(SUGERENCIAS!N405="SUBIR_E","^ SUBIR (Est.) | Kg:"&amp;ROUND(SUGERENCIAS!K405,1)&amp;" R:"&amp;ROUND(SUGERENCIAS!L405,0)&amp;" RIR:"&amp;ROUND(SUGERENCIAS!M405,0),IF(SUGERENCIAS!N405="SUBIR","^ SUBIR | Kg:"&amp;ROUND(SUGERENCIAS!K405,1)&amp;" R:"&amp;ROUND(SUGERENCIAS!L405,0)&amp;" RIR:"&amp;ROUND(SUGERENCIAS!M405,0),IF(SUGERENCIAS!N405="BAJAR","v BAJAR | Kg:"&amp;ROUND(SUGERENCIAS!K405,1)&amp;" R:"&amp;ROUND(SUGERENCIAS!L405,0)&amp;" RIR:"&amp;ROUND(SUGERENCIAS!M405,0),"= MANT | Kg:"&amp;ROUND(SUGERENCIAS!K405,1)&amp;" R:"&amp;ROUND(SUGERENCIAS!L405,0)&amp;" RIR:"&amp;ROUND(SUGERENCIAS!M405,0))))))</f>
        <v>Sin datos anteriores</v>
      </c>
      <c r="W145" s="69">
        <f>MAX(IF((G145&gt;0)*(IF(H145="",-1,H145)&gt;=1)*(IF(H145="",-1,H145)&lt;=3),IF(C145="peso_corporal",IF(ISNUMBER(E145),E145,0)+F145,F145)*G145*1000+F145,0),IF((J145&gt;0)*(IF(K145="",-1,K145)&gt;=1)*(IF(K145="",-1,K145)&lt;=3),IF(C145="peso_corporal",IF(ISNUMBER(E145),E145,0)+I145,I145)*J145*1000+I145,0),IF((M145&gt;0)*(IF(N145="",-1,N145)&gt;=1)*(IF(N145="",-1,N145)&lt;=3),IF(C145="peso_corporal",IF(ISNUMBER(E145),E145,0)+L145,L145)*M145*1000+L145,0),IF((P145&gt;0)*(IF(Q145="",-1,Q145)&gt;=1)*(IF(Q145="",-1,Q145)&lt;=3),IF(C145="peso_corporal",IF(ISNUMBER(E145),E145,0)+O145,O145)*P145*1000+O145,0),IF((S145&gt;0)*(IF(T145="",-1,T145)&gt;=1)*(IF(T145="",-1,T145)&lt;=3),IF(C145="peso_corporal",IF(ISNUMBER(E145),E145,0)+R145,R145)*S145*1000+R145,0))</f>
        <v>0</v>
      </c>
      <c r="X145" s="69">
        <f>IF(W145=0,0,IF(IF((S145&gt;0)*(IF(T145="",-1,T145)&gt;=1)*(IF(T145="",-1,T145)&lt;=3),IF(C145="peso_corporal",IF(ISNUMBER(E145),E145,0)+R145,R145)*S145*1000+R145,0)=W145,5,IF(IF((P145&gt;0)*(IF(Q145="",-1,Q145)&gt;=1)*(IF(Q145="",-1,Q145)&lt;=3),IF(C145="peso_corporal",IF(ISNUMBER(E145),E145,0)+O145,O145)*P145*1000+O145,0)=W145,4,IF(IF((M145&gt;0)*(IF(N145="",-1,N145)&gt;=1)*(IF(N145="",-1,N145)&lt;=3),IF(C145="peso_corporal",IF(ISNUMBER(E145),E145,0)+L145,L145)*M145*1000+L145,0)=W145,3,IF(IF((J145&gt;0)*(IF(K145="",-1,K145)&gt;=1)*(IF(K145="",-1,K145)&lt;=3),IF(C145="peso_corporal",IF(ISNUMBER(E145),E145,0)+I145,I145)*J145*1000+I145,0)=W145,2,IF(IF((G145&gt;0)*(IF(H145="",-1,H145)&gt;=1)*(IF(H145="",-1,H145)&lt;=3),IF(C145="peso_corporal",IF(ISNUMBER(E145),E145,0)+F145,F145)*G145*1000+F145,0)=W145,1,0))))))</f>
        <v>0</v>
      </c>
      <c r="Y145" s="69">
        <f>MAX(IF((G145&gt;0)*(IF(H145="",-1,H145)=0)*(1-(IF(H145="",-1,H145)&gt;=1)*(IF(H145="",-1,H145)&lt;=3)),IF(C145="peso_corporal",IF(ISNUMBER(E145),E145,0)+F145,F145)*G145*1000+F145,0),IF((J145&gt;0)*(IF(K145="",-1,K145)=0)*(1-(IF(K145="",-1,K145)&gt;=1)*(IF(K145="",-1,K145)&lt;=3)),IF(C145="peso_corporal",IF(ISNUMBER(E145),E145,0)+I145,I145)*J145*1000+I145,0),IF((M145&gt;0)*(IF(N145="",-1,N145)=0)*(1-(IF(N145="",-1,N145)&gt;=1)*(IF(N145="",-1,N145)&lt;=3)),IF(C145="peso_corporal",IF(ISNUMBER(E145),E145,0)+L145,L145)*M145*1000+L145,0),IF((P145&gt;0)*(IF(Q145="",-1,Q145)=0)*(1-(IF(Q145="",-1,Q145)&gt;=1)*(IF(Q145="",-1,Q145)&lt;=3)),IF(C145="peso_corporal",IF(ISNUMBER(E145),E145,0)+O145,O145)*P145*1000+O145,0),IF((S145&gt;0)*(IF(T145="",-1,T145)=0)*(1-(IF(T145="",-1,T145)&gt;=1)*(IF(T145="",-1,T145)&lt;=3)),IF(C145="peso_corporal",IF(ISNUMBER(E145),E145,0)+R145,R145)*S145*1000+R145,0))</f>
        <v>0</v>
      </c>
      <c r="Z145" s="69">
        <f>IF(Y145=0,0,IF(IF((S145&gt;0)*(IF(T145="",-1,T145)=0)*(1-(IF(T145="",-1,T145)&gt;=1)*(IF(T145="",-1,T145)&lt;=3)),IF(C145="peso_corporal",IF(ISNUMBER(E145),E145,0)+R145,R145)*S145*1000+R145,0)=Y145,5,IF(IF((P145&gt;0)*(IF(Q145="",-1,Q145)=0)*(1-(IF(Q145="",-1,Q145)&gt;=1)*(IF(Q145="",-1,Q145)&lt;=3)),IF(C145="peso_corporal",IF(ISNUMBER(E145),E145,0)+O145,O145)*P145*1000+O145,0)=Y145,4,IF(IF((M145&gt;0)*(IF(N145="",-1,N145)=0)*(1-(IF(N145="",-1,N145)&gt;=1)*(IF(N145="",-1,N145)&lt;=3)),IF(C145="peso_corporal",IF(ISNUMBER(E145),E145,0)+L145,L145)*M145*1000+L145,0)=Y145,3,IF(IF((J145&gt;0)*(IF(K145="",-1,K145)=0)*(1-(IF(K145="",-1,K145)&gt;=1)*(IF(K145="",-1,K145)&lt;=3)),IF(C145="peso_corporal",IF(ISNUMBER(E145),E145,0)+I145,I145)*J145*1000+I145,0)=Y145,2,IF(IF((G145&gt;0)*(IF(H145="",-1,H145)=0)*(1-(IF(H145="",-1,H145)&gt;=1)*(IF(H145="",-1,H145)&lt;=3)),IF(C145="peso_corporal",IF(ISNUMBER(E145),E145,0)+F145,F145)*G145*1000+F145,0)=Y145,1,0))))))</f>
        <v>0</v>
      </c>
      <c r="AA145" s="69">
        <f>MAX(IF((G145&gt;=6)*(1-(IF(H145="",-1,H145)&gt;=1)*(IF(H145="",-1,H145)&lt;=3))*(1-(IF(H145="",-1,H145)=0)),IF(C145="peso_corporal",IF(ISNUMBER(E145),E145,0)+F145,F145)*(30+G145)*100+F145,0),IF((J145&gt;=6)*(1-(IF(K145="",-1,K145)&gt;=1)*(IF(K145="",-1,K145)&lt;=3))*(1-(IF(K145="",-1,K145)=0)),IF(C145="peso_corporal",IF(ISNUMBER(E145),E145,0)+I145,I145)*(30+J145)*100+I145,0),IF((M145&gt;=6)*(1-(IF(N145="",-1,N145)&gt;=1)*(IF(N145="",-1,N145)&lt;=3))*(1-(IF(N145="",-1,N145)=0)),IF(C145="peso_corporal",IF(ISNUMBER(E145),E145,0)+L145,L145)*(30+M145)*100+L145,0),IF((P145&gt;=6)*(1-(IF(Q145="",-1,Q145)&gt;=1)*(IF(Q145="",-1,Q145)&lt;=3))*(1-(IF(Q145="",-1,Q145)=0)),IF(C145="peso_corporal",IF(ISNUMBER(E145),E145,0)+O145,O145)*(30+P145)*100+O145,0),IF((S145&gt;=6)*(1-(IF(T145="",-1,T145)&gt;=1)*(IF(T145="",-1,T145)&lt;=3))*(1-(IF(T145="",-1,T145)=0)),IF(C145="peso_corporal",IF(ISNUMBER(E145),E145,0)+R145,R145)*(30+S145)*100+R145,0))</f>
        <v>0</v>
      </c>
      <c r="AB145" s="69">
        <f>IF(AA145=0,0,IF(IF((S145&gt;=6)*(1-(IF(T145="",-1,T145)&gt;=1)*(IF(T145="",-1,T145)&lt;=3))*(1-(IF(T145="",-1,T145)=0)),IF(C145="peso_corporal",IF(ISNUMBER(E145),E145,0)+R145,R145)*(30+S145)*100+R145,0)=AA145,5,IF(IF((P145&gt;=6)*(1-(IF(Q145="",-1,Q145)&gt;=1)*(IF(Q145="",-1,Q145)&lt;=3))*(1-(IF(Q145="",-1,Q145)=0)),IF(C145="peso_corporal",IF(ISNUMBER(E145),E145,0)+O145,O145)*(30+P145)*100+O145,0)=AA145,4,IF(IF((M145&gt;=6)*(1-(IF(N145="",-1,N145)&gt;=1)*(IF(N145="",-1,N145)&lt;=3))*(1-(IF(N145="",-1,N145)=0)),IF(C145="peso_corporal",IF(ISNUMBER(E145),E145,0)+L145,L145)*(30+M145)*100+L145,0)=AA145,3,IF(IF((J145&gt;=6)*(1-(IF(K145="",-1,K145)&gt;=1)*(IF(K145="",-1,K145)&lt;=3))*(1-(IF(K145="",-1,K145)=0)),IF(C145="peso_corporal",IF(ISNUMBER(E145),E145,0)+I145,I145)*(30+J145)*100+I145,0)=AA145,2,IF(IF((G145&gt;=6)*(1-(IF(H145="",-1,H145)&gt;=1)*(IF(H145="",-1,H145)&lt;=3))*(1-(IF(H145="",-1,H145)=0)),IF(C145="peso_corporal",IF(ISNUMBER(E145),E145,0)+F145,F145)*(30+G145)*100+F145,0)=AA145,1,0))))))</f>
        <v>0</v>
      </c>
      <c r="AC145" s="69" t="str">
        <f>IF(X145&gt;0,"A"&amp;X145,IF(Z145&gt;0,"B"&amp;Z145,IF(AB145&gt;0,"C"&amp;AB145,"")))</f>
        <v/>
      </c>
    </row>
    <row r="146" spans="1:29" ht="20.100000000000001" customHeight="1">
      <c r="A146" s="14" t="s">
        <v>133</v>
      </c>
      <c r="B146" s="15" t="s">
        <v>31</v>
      </c>
      <c r="C146" s="16" t="str">
        <f>IFERROR(INDEX(EJERCICIOS!$D$3:$D$75,MATCH(A146&amp;"|"&amp;B146,EJERCICIOS!$G$3:$G$75,0)),"--")</f>
        <v>mancuerna</v>
      </c>
      <c r="D146" s="17">
        <v>3</v>
      </c>
      <c r="E146" s="18">
        <f>IFERROR(LOOKUP(2,1/(MEDIDAS_Y_PESO!$B$3:$B$9&lt;&gt;""),MEDIDAS_Y_PESO!$B$3:$B$9),"--")</f>
        <v>80</v>
      </c>
      <c r="F146" s="19"/>
      <c r="G146" s="20"/>
      <c r="H146" s="21"/>
      <c r="I146" s="19"/>
      <c r="J146" s="20"/>
      <c r="K146" s="21"/>
      <c r="L146" s="19"/>
      <c r="M146" s="20"/>
      <c r="N146" s="21"/>
      <c r="O146" s="19"/>
      <c r="P146" s="20"/>
      <c r="Q146" s="21"/>
      <c r="R146" s="19"/>
      <c r="S146" s="20"/>
      <c r="T146" s="21"/>
      <c r="U146" s="22" t="str">
        <f>IFERROR(IF(IF(X146&gt;0,X146,IF(Z146&gt;0,Z146,IF(AB146&gt;0,AB146,0)))=0,"--",ROUND(CHOOSE(IF(X146&gt;0,X146,IF(Z146&gt;0,Z146,IF(AB146&gt;0,AB146,0))),IF(C146="peso_corporal",IF(ISNUMBER(E146),E146,0)+F146,F146)*(1+G146/30),IF(C146="peso_corporal",IF(ISNUMBER(E146),E146,0)+I146,I146)*(1+J146/30),IF(C146="peso_corporal",IF(ISNUMBER(E146),E146,0)+L146,L146)*(1+M146/30),IF(C146="peso_corporal",IF(ISNUMBER(E146),E146,0)+O146,O146)*(1+P146/30),IF(C146="peso_corporal",IF(ISNUMBER(E146),E146,0)+R146,R146)*(1+S146/30)),1)),"--")</f>
        <v>--</v>
      </c>
      <c r="V146" s="23" t="str">
        <f>IF(SUGERENCIAS!N406="SIN","Sin datos anteriores",IF(SUGERENCIAS!N406="SUBIR_F","^ SUBIR FUERTE | Kg:"&amp;ROUND(SUGERENCIAS!K406,1)&amp;" R:"&amp;ROUND(SUGERENCIAS!L406,0)&amp;" RIR:"&amp;ROUND(SUGERENCIAS!M406,0),IF(SUGERENCIAS!N406="SUBIR_E","^ SUBIR (Est.) | Kg:"&amp;ROUND(SUGERENCIAS!K406,1)&amp;" R:"&amp;ROUND(SUGERENCIAS!L406,0)&amp;" RIR:"&amp;ROUND(SUGERENCIAS!M406,0),IF(SUGERENCIAS!N406="SUBIR","^ SUBIR | Kg:"&amp;ROUND(SUGERENCIAS!K406,1)&amp;" R:"&amp;ROUND(SUGERENCIAS!L406,0)&amp;" RIR:"&amp;ROUND(SUGERENCIAS!M406,0),IF(SUGERENCIAS!N406="BAJAR","v BAJAR | Kg:"&amp;ROUND(SUGERENCIAS!K406,1)&amp;" R:"&amp;ROUND(SUGERENCIAS!L406,0)&amp;" RIR:"&amp;ROUND(SUGERENCIAS!M406,0),"= MANT | Kg:"&amp;ROUND(SUGERENCIAS!K406,1)&amp;" R:"&amp;ROUND(SUGERENCIAS!L406,0)&amp;" RIR:"&amp;ROUND(SUGERENCIAS!M406,0))))))</f>
        <v>Sin datos anteriores</v>
      </c>
      <c r="W146" s="69">
        <f>MAX(IF((G146&gt;0)*(IF(H146="",-1,H146)&gt;=1)*(IF(H146="",-1,H146)&lt;=3),IF(C146="peso_corporal",IF(ISNUMBER(E146),E146,0)+F146,F146)*G146*1000+F146,0),IF((J146&gt;0)*(IF(K146="",-1,K146)&gt;=1)*(IF(K146="",-1,K146)&lt;=3),IF(C146="peso_corporal",IF(ISNUMBER(E146),E146,0)+I146,I146)*J146*1000+I146,0),IF((M146&gt;0)*(IF(N146="",-1,N146)&gt;=1)*(IF(N146="",-1,N146)&lt;=3),IF(C146="peso_corporal",IF(ISNUMBER(E146),E146,0)+L146,L146)*M146*1000+L146,0),IF((P146&gt;0)*(IF(Q146="",-1,Q146)&gt;=1)*(IF(Q146="",-1,Q146)&lt;=3),IF(C146="peso_corporal",IF(ISNUMBER(E146),E146,0)+O146,O146)*P146*1000+O146,0),IF((S146&gt;0)*(IF(T146="",-1,T146)&gt;=1)*(IF(T146="",-1,T146)&lt;=3),IF(C146="peso_corporal",IF(ISNUMBER(E146),E146,0)+R146,R146)*S146*1000+R146,0))</f>
        <v>0</v>
      </c>
      <c r="X146" s="69">
        <f>IF(W146=0,0,IF(IF((S146&gt;0)*(IF(T146="",-1,T146)&gt;=1)*(IF(T146="",-1,T146)&lt;=3),IF(C146="peso_corporal",IF(ISNUMBER(E146),E146,0)+R146,R146)*S146*1000+R146,0)=W146,5,IF(IF((P146&gt;0)*(IF(Q146="",-1,Q146)&gt;=1)*(IF(Q146="",-1,Q146)&lt;=3),IF(C146="peso_corporal",IF(ISNUMBER(E146),E146,0)+O146,O146)*P146*1000+O146,0)=W146,4,IF(IF((M146&gt;0)*(IF(N146="",-1,N146)&gt;=1)*(IF(N146="",-1,N146)&lt;=3),IF(C146="peso_corporal",IF(ISNUMBER(E146),E146,0)+L146,L146)*M146*1000+L146,0)=W146,3,IF(IF((J146&gt;0)*(IF(K146="",-1,K146)&gt;=1)*(IF(K146="",-1,K146)&lt;=3),IF(C146="peso_corporal",IF(ISNUMBER(E146),E146,0)+I146,I146)*J146*1000+I146,0)=W146,2,IF(IF((G146&gt;0)*(IF(H146="",-1,H146)&gt;=1)*(IF(H146="",-1,H146)&lt;=3),IF(C146="peso_corporal",IF(ISNUMBER(E146),E146,0)+F146,F146)*G146*1000+F146,0)=W146,1,0))))))</f>
        <v>0</v>
      </c>
      <c r="Y146" s="69">
        <f>MAX(IF((G146&gt;0)*(IF(H146="",-1,H146)=0)*(1-(IF(H146="",-1,H146)&gt;=1)*(IF(H146="",-1,H146)&lt;=3)),IF(C146="peso_corporal",IF(ISNUMBER(E146),E146,0)+F146,F146)*G146*1000+F146,0),IF((J146&gt;0)*(IF(K146="",-1,K146)=0)*(1-(IF(K146="",-1,K146)&gt;=1)*(IF(K146="",-1,K146)&lt;=3)),IF(C146="peso_corporal",IF(ISNUMBER(E146),E146,0)+I146,I146)*J146*1000+I146,0),IF((M146&gt;0)*(IF(N146="",-1,N146)=0)*(1-(IF(N146="",-1,N146)&gt;=1)*(IF(N146="",-1,N146)&lt;=3)),IF(C146="peso_corporal",IF(ISNUMBER(E146),E146,0)+L146,L146)*M146*1000+L146,0),IF((P146&gt;0)*(IF(Q146="",-1,Q146)=0)*(1-(IF(Q146="",-1,Q146)&gt;=1)*(IF(Q146="",-1,Q146)&lt;=3)),IF(C146="peso_corporal",IF(ISNUMBER(E146),E146,0)+O146,O146)*P146*1000+O146,0),IF((S146&gt;0)*(IF(T146="",-1,T146)=0)*(1-(IF(T146="",-1,T146)&gt;=1)*(IF(T146="",-1,T146)&lt;=3)),IF(C146="peso_corporal",IF(ISNUMBER(E146),E146,0)+R146,R146)*S146*1000+R146,0))</f>
        <v>0</v>
      </c>
      <c r="Z146" s="69">
        <f>IF(Y146=0,0,IF(IF((S146&gt;0)*(IF(T146="",-1,T146)=0)*(1-(IF(T146="",-1,T146)&gt;=1)*(IF(T146="",-1,T146)&lt;=3)),IF(C146="peso_corporal",IF(ISNUMBER(E146),E146,0)+R146,R146)*S146*1000+R146,0)=Y146,5,IF(IF((P146&gt;0)*(IF(Q146="",-1,Q146)=0)*(1-(IF(Q146="",-1,Q146)&gt;=1)*(IF(Q146="",-1,Q146)&lt;=3)),IF(C146="peso_corporal",IF(ISNUMBER(E146),E146,0)+O146,O146)*P146*1000+O146,0)=Y146,4,IF(IF((M146&gt;0)*(IF(N146="",-1,N146)=0)*(1-(IF(N146="",-1,N146)&gt;=1)*(IF(N146="",-1,N146)&lt;=3)),IF(C146="peso_corporal",IF(ISNUMBER(E146),E146,0)+L146,L146)*M146*1000+L146,0)=Y146,3,IF(IF((J146&gt;0)*(IF(K146="",-1,K146)=0)*(1-(IF(K146="",-1,K146)&gt;=1)*(IF(K146="",-1,K146)&lt;=3)),IF(C146="peso_corporal",IF(ISNUMBER(E146),E146,0)+I146,I146)*J146*1000+I146,0)=Y146,2,IF(IF((G146&gt;0)*(IF(H146="",-1,H146)=0)*(1-(IF(H146="",-1,H146)&gt;=1)*(IF(H146="",-1,H146)&lt;=3)),IF(C146="peso_corporal",IF(ISNUMBER(E146),E146,0)+F146,F146)*G146*1000+F146,0)=Y146,1,0))))))</f>
        <v>0</v>
      </c>
      <c r="AA146" s="69">
        <f>MAX(IF((G146&gt;=6)*(1-(IF(H146="",-1,H146)&gt;=1)*(IF(H146="",-1,H146)&lt;=3))*(1-(IF(H146="",-1,H146)=0)),IF(C146="peso_corporal",IF(ISNUMBER(E146),E146,0)+F146,F146)*(30+G146)*100+F146,0),IF((J146&gt;=6)*(1-(IF(K146="",-1,K146)&gt;=1)*(IF(K146="",-1,K146)&lt;=3))*(1-(IF(K146="",-1,K146)=0)),IF(C146="peso_corporal",IF(ISNUMBER(E146),E146,0)+I146,I146)*(30+J146)*100+I146,0),IF((M146&gt;=6)*(1-(IF(N146="",-1,N146)&gt;=1)*(IF(N146="",-1,N146)&lt;=3))*(1-(IF(N146="",-1,N146)=0)),IF(C146="peso_corporal",IF(ISNUMBER(E146),E146,0)+L146,L146)*(30+M146)*100+L146,0),IF((P146&gt;=6)*(1-(IF(Q146="",-1,Q146)&gt;=1)*(IF(Q146="",-1,Q146)&lt;=3))*(1-(IF(Q146="",-1,Q146)=0)),IF(C146="peso_corporal",IF(ISNUMBER(E146),E146,0)+O146,O146)*(30+P146)*100+O146,0),IF((S146&gt;=6)*(1-(IF(T146="",-1,T146)&gt;=1)*(IF(T146="",-1,T146)&lt;=3))*(1-(IF(T146="",-1,T146)=0)),IF(C146="peso_corporal",IF(ISNUMBER(E146),E146,0)+R146,R146)*(30+S146)*100+R146,0))</f>
        <v>0</v>
      </c>
      <c r="AB146" s="69">
        <f>IF(AA146=0,0,IF(IF((S146&gt;=6)*(1-(IF(T146="",-1,T146)&gt;=1)*(IF(T146="",-1,T146)&lt;=3))*(1-(IF(T146="",-1,T146)=0)),IF(C146="peso_corporal",IF(ISNUMBER(E146),E146,0)+R146,R146)*(30+S146)*100+R146,0)=AA146,5,IF(IF((P146&gt;=6)*(1-(IF(Q146="",-1,Q146)&gt;=1)*(IF(Q146="",-1,Q146)&lt;=3))*(1-(IF(Q146="",-1,Q146)=0)),IF(C146="peso_corporal",IF(ISNUMBER(E146),E146,0)+O146,O146)*(30+P146)*100+O146,0)=AA146,4,IF(IF((M146&gt;=6)*(1-(IF(N146="",-1,N146)&gt;=1)*(IF(N146="",-1,N146)&lt;=3))*(1-(IF(N146="",-1,N146)=0)),IF(C146="peso_corporal",IF(ISNUMBER(E146),E146,0)+L146,L146)*(30+M146)*100+L146,0)=AA146,3,IF(IF((J146&gt;=6)*(1-(IF(K146="",-1,K146)&gt;=1)*(IF(K146="",-1,K146)&lt;=3))*(1-(IF(K146="",-1,K146)=0)),IF(C146="peso_corporal",IF(ISNUMBER(E146),E146,0)+I146,I146)*(30+J146)*100+I146,0)=AA146,2,IF(IF((G146&gt;=6)*(1-(IF(H146="",-1,H146)&gt;=1)*(IF(H146="",-1,H146)&lt;=3))*(1-(IF(H146="",-1,H146)=0)),IF(C146="peso_corporal",IF(ISNUMBER(E146),E146,0)+F146,F146)*(30+G146)*100+F146,0)=AA146,1,0))))))</f>
        <v>0</v>
      </c>
      <c r="AC146" s="69" t="str">
        <f>IF(X146&gt;0,"A"&amp;X146,IF(Z146&gt;0,"B"&amp;Z146,IF(AB146&gt;0,"C"&amp;AB146,"")))</f>
        <v/>
      </c>
    </row>
    <row r="147" spans="1:29" ht="15" customHeight="1">
      <c r="A147" s="88" t="s">
        <v>50</v>
      </c>
      <c r="B147" s="73"/>
      <c r="C147" s="73"/>
      <c r="D147" s="73"/>
      <c r="E147" s="73"/>
      <c r="F147" s="73"/>
      <c r="G147" s="73"/>
      <c r="H147" s="73"/>
      <c r="I147" s="73"/>
      <c r="J147" s="73"/>
      <c r="K147" s="73"/>
      <c r="L147" s="73"/>
      <c r="M147" s="73"/>
      <c r="N147" s="73"/>
      <c r="O147" s="73"/>
      <c r="P147" s="73"/>
      <c r="Q147" s="73"/>
      <c r="R147" s="73"/>
      <c r="S147" s="73"/>
      <c r="T147" s="73"/>
      <c r="U147" s="73"/>
      <c r="V147" s="73"/>
      <c r="W147" s="69"/>
      <c r="X147" s="69"/>
      <c r="Y147" s="69"/>
      <c r="Z147" s="69"/>
      <c r="AA147" s="69"/>
      <c r="AB147" s="69"/>
      <c r="AC147" s="69"/>
    </row>
    <row r="148" spans="1:29" ht="20.100000000000001" customHeight="1">
      <c r="A148" s="14" t="s">
        <v>51</v>
      </c>
      <c r="B148" s="15" t="s">
        <v>134</v>
      </c>
      <c r="C148" s="16" t="str">
        <f>IFERROR(INDEX(EJERCICIOS!$D$3:$D$75,MATCH(A148&amp;"|"&amp;B148,EJERCICIOS!$G$3:$G$75,0)),"--")</f>
        <v>--</v>
      </c>
      <c r="D148" s="17">
        <v>3</v>
      </c>
      <c r="E148" s="18">
        <f>IFERROR(LOOKUP(2,1/(MEDIDAS_Y_PESO!$B$3:$B$9&lt;&gt;""),MEDIDAS_Y_PESO!$B$3:$B$9),"--")</f>
        <v>80</v>
      </c>
      <c r="F148" s="19"/>
      <c r="G148" s="20"/>
      <c r="H148" s="21"/>
      <c r="I148" s="19"/>
      <c r="J148" s="20"/>
      <c r="K148" s="21"/>
      <c r="L148" s="19"/>
      <c r="M148" s="20"/>
      <c r="N148" s="21"/>
      <c r="O148" s="19"/>
      <c r="P148" s="20"/>
      <c r="Q148" s="21"/>
      <c r="R148" s="19"/>
      <c r="S148" s="20"/>
      <c r="T148" s="21"/>
      <c r="U148" s="22" t="str">
        <f>IFERROR(IF(IF(X148&gt;0,X148,IF(Z148&gt;0,Z148,IF(AB148&gt;0,AB148,0)))=0,"--",ROUND(CHOOSE(IF(X148&gt;0,X148,IF(Z148&gt;0,Z148,IF(AB148&gt;0,AB148,0))),IF(C148="peso_corporal",IF(ISNUMBER(E148),E148,0)+F148,F148)*(1+G148/30),IF(C148="peso_corporal",IF(ISNUMBER(E148),E148,0)+I148,I148)*(1+J148/30),IF(C148="peso_corporal",IF(ISNUMBER(E148),E148,0)+L148,L148)*(1+M148/30),IF(C148="peso_corporal",IF(ISNUMBER(E148),E148,0)+O148,O148)*(1+P148/30),IF(C148="peso_corporal",IF(ISNUMBER(E148),E148,0)+R148,R148)*(1+S148/30)),1)),"--")</f>
        <v>--</v>
      </c>
      <c r="V148" s="23" t="str">
        <f>IF(SUGERENCIAS!N407="SIN","Sin datos anteriores",IF(SUGERENCIAS!N407="SUBIR_F","^ SUBIR FUERTE | Kg:"&amp;ROUND(SUGERENCIAS!K407,1)&amp;" R:"&amp;ROUND(SUGERENCIAS!L407,0)&amp;" RIR:"&amp;ROUND(SUGERENCIAS!M407,0),IF(SUGERENCIAS!N407="SUBIR_E","^ SUBIR (Est.) | Kg:"&amp;ROUND(SUGERENCIAS!K407,1)&amp;" R:"&amp;ROUND(SUGERENCIAS!L407,0)&amp;" RIR:"&amp;ROUND(SUGERENCIAS!M407,0),IF(SUGERENCIAS!N407="SUBIR","^ SUBIR | Kg:"&amp;ROUND(SUGERENCIAS!K407,1)&amp;" R:"&amp;ROUND(SUGERENCIAS!L407,0)&amp;" RIR:"&amp;ROUND(SUGERENCIAS!M407,0),IF(SUGERENCIAS!N407="BAJAR","v BAJAR | Kg:"&amp;ROUND(SUGERENCIAS!K407,1)&amp;" R:"&amp;ROUND(SUGERENCIAS!L407,0)&amp;" RIR:"&amp;ROUND(SUGERENCIAS!M407,0),"= MANT | Kg:"&amp;ROUND(SUGERENCIAS!K407,1)&amp;" R:"&amp;ROUND(SUGERENCIAS!L407,0)&amp;" RIR:"&amp;ROUND(SUGERENCIAS!M407,0))))))</f>
        <v>Sin datos anteriores</v>
      </c>
      <c r="W148" s="69">
        <f>MAX(IF((G148&gt;0)*(IF(H148="",-1,H148)&gt;=1)*(IF(H148="",-1,H148)&lt;=3),IF(C148="peso_corporal",IF(ISNUMBER(E148),E148,0)+F148,F148)*G148*1000+F148,0),IF((J148&gt;0)*(IF(K148="",-1,K148)&gt;=1)*(IF(K148="",-1,K148)&lt;=3),IF(C148="peso_corporal",IF(ISNUMBER(E148),E148,0)+I148,I148)*J148*1000+I148,0),IF((M148&gt;0)*(IF(N148="",-1,N148)&gt;=1)*(IF(N148="",-1,N148)&lt;=3),IF(C148="peso_corporal",IF(ISNUMBER(E148),E148,0)+L148,L148)*M148*1000+L148,0),IF((P148&gt;0)*(IF(Q148="",-1,Q148)&gt;=1)*(IF(Q148="",-1,Q148)&lt;=3),IF(C148="peso_corporal",IF(ISNUMBER(E148),E148,0)+O148,O148)*P148*1000+O148,0),IF((S148&gt;0)*(IF(T148="",-1,T148)&gt;=1)*(IF(T148="",-1,T148)&lt;=3),IF(C148="peso_corporal",IF(ISNUMBER(E148),E148,0)+R148,R148)*S148*1000+R148,0))</f>
        <v>0</v>
      </c>
      <c r="X148" s="69">
        <f>IF(W148=0,0,IF(IF((S148&gt;0)*(IF(T148="",-1,T148)&gt;=1)*(IF(T148="",-1,T148)&lt;=3),IF(C148="peso_corporal",IF(ISNUMBER(E148),E148,0)+R148,R148)*S148*1000+R148,0)=W148,5,IF(IF((P148&gt;0)*(IF(Q148="",-1,Q148)&gt;=1)*(IF(Q148="",-1,Q148)&lt;=3),IF(C148="peso_corporal",IF(ISNUMBER(E148),E148,0)+O148,O148)*P148*1000+O148,0)=W148,4,IF(IF((M148&gt;0)*(IF(N148="",-1,N148)&gt;=1)*(IF(N148="",-1,N148)&lt;=3),IF(C148="peso_corporal",IF(ISNUMBER(E148),E148,0)+L148,L148)*M148*1000+L148,0)=W148,3,IF(IF((J148&gt;0)*(IF(K148="",-1,K148)&gt;=1)*(IF(K148="",-1,K148)&lt;=3),IF(C148="peso_corporal",IF(ISNUMBER(E148),E148,0)+I148,I148)*J148*1000+I148,0)=W148,2,IF(IF((G148&gt;0)*(IF(H148="",-1,H148)&gt;=1)*(IF(H148="",-1,H148)&lt;=3),IF(C148="peso_corporal",IF(ISNUMBER(E148),E148,0)+F148,F148)*G148*1000+F148,0)=W148,1,0))))))</f>
        <v>0</v>
      </c>
      <c r="Y148" s="69">
        <f>MAX(IF((G148&gt;0)*(IF(H148="",-1,H148)=0)*(1-(IF(H148="",-1,H148)&gt;=1)*(IF(H148="",-1,H148)&lt;=3)),IF(C148="peso_corporal",IF(ISNUMBER(E148),E148,0)+F148,F148)*G148*1000+F148,0),IF((J148&gt;0)*(IF(K148="",-1,K148)=0)*(1-(IF(K148="",-1,K148)&gt;=1)*(IF(K148="",-1,K148)&lt;=3)),IF(C148="peso_corporal",IF(ISNUMBER(E148),E148,0)+I148,I148)*J148*1000+I148,0),IF((M148&gt;0)*(IF(N148="",-1,N148)=0)*(1-(IF(N148="",-1,N148)&gt;=1)*(IF(N148="",-1,N148)&lt;=3)),IF(C148="peso_corporal",IF(ISNUMBER(E148),E148,0)+L148,L148)*M148*1000+L148,0),IF((P148&gt;0)*(IF(Q148="",-1,Q148)=0)*(1-(IF(Q148="",-1,Q148)&gt;=1)*(IF(Q148="",-1,Q148)&lt;=3)),IF(C148="peso_corporal",IF(ISNUMBER(E148),E148,0)+O148,O148)*P148*1000+O148,0),IF((S148&gt;0)*(IF(T148="",-1,T148)=0)*(1-(IF(T148="",-1,T148)&gt;=1)*(IF(T148="",-1,T148)&lt;=3)),IF(C148="peso_corporal",IF(ISNUMBER(E148),E148,0)+R148,R148)*S148*1000+R148,0))</f>
        <v>0</v>
      </c>
      <c r="Z148" s="69">
        <f>IF(Y148=0,0,IF(IF((S148&gt;0)*(IF(T148="",-1,T148)=0)*(1-(IF(T148="",-1,T148)&gt;=1)*(IF(T148="",-1,T148)&lt;=3)),IF(C148="peso_corporal",IF(ISNUMBER(E148),E148,0)+R148,R148)*S148*1000+R148,0)=Y148,5,IF(IF((P148&gt;0)*(IF(Q148="",-1,Q148)=0)*(1-(IF(Q148="",-1,Q148)&gt;=1)*(IF(Q148="",-1,Q148)&lt;=3)),IF(C148="peso_corporal",IF(ISNUMBER(E148),E148,0)+O148,O148)*P148*1000+O148,0)=Y148,4,IF(IF((M148&gt;0)*(IF(N148="",-1,N148)=0)*(1-(IF(N148="",-1,N148)&gt;=1)*(IF(N148="",-1,N148)&lt;=3)),IF(C148="peso_corporal",IF(ISNUMBER(E148),E148,0)+L148,L148)*M148*1000+L148,0)=Y148,3,IF(IF((J148&gt;0)*(IF(K148="",-1,K148)=0)*(1-(IF(K148="",-1,K148)&gt;=1)*(IF(K148="",-1,K148)&lt;=3)),IF(C148="peso_corporal",IF(ISNUMBER(E148),E148,0)+I148,I148)*J148*1000+I148,0)=Y148,2,IF(IF((G148&gt;0)*(IF(H148="",-1,H148)=0)*(1-(IF(H148="",-1,H148)&gt;=1)*(IF(H148="",-1,H148)&lt;=3)),IF(C148="peso_corporal",IF(ISNUMBER(E148),E148,0)+F148,F148)*G148*1000+F148,0)=Y148,1,0))))))</f>
        <v>0</v>
      </c>
      <c r="AA148" s="69">
        <f>MAX(IF((G148&gt;=6)*(1-(IF(H148="",-1,H148)&gt;=1)*(IF(H148="",-1,H148)&lt;=3))*(1-(IF(H148="",-1,H148)=0)),IF(C148="peso_corporal",IF(ISNUMBER(E148),E148,0)+F148,F148)*(30+G148)*100+F148,0),IF((J148&gt;=6)*(1-(IF(K148="",-1,K148)&gt;=1)*(IF(K148="",-1,K148)&lt;=3))*(1-(IF(K148="",-1,K148)=0)),IF(C148="peso_corporal",IF(ISNUMBER(E148),E148,0)+I148,I148)*(30+J148)*100+I148,0),IF((M148&gt;=6)*(1-(IF(N148="",-1,N148)&gt;=1)*(IF(N148="",-1,N148)&lt;=3))*(1-(IF(N148="",-1,N148)=0)),IF(C148="peso_corporal",IF(ISNUMBER(E148),E148,0)+L148,L148)*(30+M148)*100+L148,0),IF((P148&gt;=6)*(1-(IF(Q148="",-1,Q148)&gt;=1)*(IF(Q148="",-1,Q148)&lt;=3))*(1-(IF(Q148="",-1,Q148)=0)),IF(C148="peso_corporal",IF(ISNUMBER(E148),E148,0)+O148,O148)*(30+P148)*100+O148,0),IF((S148&gt;=6)*(1-(IF(T148="",-1,T148)&gt;=1)*(IF(T148="",-1,T148)&lt;=3))*(1-(IF(T148="",-1,T148)=0)),IF(C148="peso_corporal",IF(ISNUMBER(E148),E148,0)+R148,R148)*(30+S148)*100+R148,0))</f>
        <v>0</v>
      </c>
      <c r="AB148" s="69">
        <f>IF(AA148=0,0,IF(IF((S148&gt;=6)*(1-(IF(T148="",-1,T148)&gt;=1)*(IF(T148="",-1,T148)&lt;=3))*(1-(IF(T148="",-1,T148)=0)),IF(C148="peso_corporal",IF(ISNUMBER(E148),E148,0)+R148,R148)*(30+S148)*100+R148,0)=AA148,5,IF(IF((P148&gt;=6)*(1-(IF(Q148="",-1,Q148)&gt;=1)*(IF(Q148="",-1,Q148)&lt;=3))*(1-(IF(Q148="",-1,Q148)=0)),IF(C148="peso_corporal",IF(ISNUMBER(E148),E148,0)+O148,O148)*(30+P148)*100+O148,0)=AA148,4,IF(IF((M148&gt;=6)*(1-(IF(N148="",-1,N148)&gt;=1)*(IF(N148="",-1,N148)&lt;=3))*(1-(IF(N148="",-1,N148)=0)),IF(C148="peso_corporal",IF(ISNUMBER(E148),E148,0)+L148,L148)*(30+M148)*100+L148,0)=AA148,3,IF(IF((J148&gt;=6)*(1-(IF(K148="",-1,K148)&gt;=1)*(IF(K148="",-1,K148)&lt;=3))*(1-(IF(K148="",-1,K148)=0)),IF(C148="peso_corporal",IF(ISNUMBER(E148),E148,0)+I148,I148)*(30+J148)*100+I148,0)=AA148,2,IF(IF((G148&gt;=6)*(1-(IF(H148="",-1,H148)&gt;=1)*(IF(H148="",-1,H148)&lt;=3))*(1-(IF(H148="",-1,H148)=0)),IF(C148="peso_corporal",IF(ISNUMBER(E148),E148,0)+F148,F148)*(30+G148)*100+F148,0)=AA148,1,0))))))</f>
        <v>0</v>
      </c>
      <c r="AC148" s="69" t="str">
        <f>IF(X148&gt;0,"A"&amp;X148,IF(Z148&gt;0,"B"&amp;Z148,IF(AB148&gt;0,"C"&amp;AB148,"")))</f>
        <v/>
      </c>
    </row>
    <row r="149" spans="1:29" ht="20.100000000000001" customHeight="1">
      <c r="A149" s="14" t="s">
        <v>135</v>
      </c>
      <c r="B149" s="15" t="s">
        <v>136</v>
      </c>
      <c r="C149" s="16" t="str">
        <f>IFERROR(INDEX(EJERCICIOS!$D$3:$D$75,MATCH(A149&amp;"|"&amp;B149,EJERCICIOS!$G$3:$G$75,0)),"--")</f>
        <v>--</v>
      </c>
      <c r="D149" s="17">
        <v>3</v>
      </c>
      <c r="E149" s="18">
        <f>IFERROR(LOOKUP(2,1/(MEDIDAS_Y_PESO!$B$3:$B$9&lt;&gt;""),MEDIDAS_Y_PESO!$B$3:$B$9),"--")</f>
        <v>80</v>
      </c>
      <c r="F149" s="19"/>
      <c r="G149" s="20"/>
      <c r="H149" s="21"/>
      <c r="I149" s="19"/>
      <c r="J149" s="20"/>
      <c r="K149" s="21"/>
      <c r="L149" s="19"/>
      <c r="M149" s="20"/>
      <c r="N149" s="21"/>
      <c r="O149" s="19"/>
      <c r="P149" s="20"/>
      <c r="Q149" s="21"/>
      <c r="R149" s="19"/>
      <c r="S149" s="20"/>
      <c r="T149" s="21"/>
      <c r="U149" s="22" t="str">
        <f>IFERROR(IF(IF(X149&gt;0,X149,IF(Z149&gt;0,Z149,IF(AB149&gt;0,AB149,0)))=0,"--",ROUND(CHOOSE(IF(X149&gt;0,X149,IF(Z149&gt;0,Z149,IF(AB149&gt;0,AB149,0))),IF(C149="peso_corporal",IF(ISNUMBER(E149),E149,0)+F149,F149)*(1+G149/30),IF(C149="peso_corporal",IF(ISNUMBER(E149),E149,0)+I149,I149)*(1+J149/30),IF(C149="peso_corporal",IF(ISNUMBER(E149),E149,0)+L149,L149)*(1+M149/30),IF(C149="peso_corporal",IF(ISNUMBER(E149),E149,0)+O149,O149)*(1+P149/30),IF(C149="peso_corporal",IF(ISNUMBER(E149),E149,0)+R149,R149)*(1+S149/30)),1)),"--")</f>
        <v>--</v>
      </c>
      <c r="V149" s="23" t="str">
        <f>IF(SUGERENCIAS!N408="SIN","Sin datos anteriores",IF(SUGERENCIAS!N408="SUBIR_F","^ SUBIR FUERTE | Kg:"&amp;ROUND(SUGERENCIAS!K408,1)&amp;" R:"&amp;ROUND(SUGERENCIAS!L408,0)&amp;" RIR:"&amp;ROUND(SUGERENCIAS!M408,0),IF(SUGERENCIAS!N408="SUBIR_E","^ SUBIR (Est.) | Kg:"&amp;ROUND(SUGERENCIAS!K408,1)&amp;" R:"&amp;ROUND(SUGERENCIAS!L408,0)&amp;" RIR:"&amp;ROUND(SUGERENCIAS!M408,0),IF(SUGERENCIAS!N408="SUBIR","^ SUBIR | Kg:"&amp;ROUND(SUGERENCIAS!K408,1)&amp;" R:"&amp;ROUND(SUGERENCIAS!L408,0)&amp;" RIR:"&amp;ROUND(SUGERENCIAS!M408,0),IF(SUGERENCIAS!N408="BAJAR","v BAJAR | Kg:"&amp;ROUND(SUGERENCIAS!K408,1)&amp;" R:"&amp;ROUND(SUGERENCIAS!L408,0)&amp;" RIR:"&amp;ROUND(SUGERENCIAS!M408,0),"= MANT | Kg:"&amp;ROUND(SUGERENCIAS!K408,1)&amp;" R:"&amp;ROUND(SUGERENCIAS!L408,0)&amp;" RIR:"&amp;ROUND(SUGERENCIAS!M408,0))))))</f>
        <v>Sin datos anteriores</v>
      </c>
      <c r="W149" s="69">
        <f>MAX(IF((G149&gt;0)*(IF(H149="",-1,H149)&gt;=1)*(IF(H149="",-1,H149)&lt;=3),IF(C149="peso_corporal",IF(ISNUMBER(E149),E149,0)+F149,F149)*G149*1000+F149,0),IF((J149&gt;0)*(IF(K149="",-1,K149)&gt;=1)*(IF(K149="",-1,K149)&lt;=3),IF(C149="peso_corporal",IF(ISNUMBER(E149),E149,0)+I149,I149)*J149*1000+I149,0),IF((M149&gt;0)*(IF(N149="",-1,N149)&gt;=1)*(IF(N149="",-1,N149)&lt;=3),IF(C149="peso_corporal",IF(ISNUMBER(E149),E149,0)+L149,L149)*M149*1000+L149,0),IF((P149&gt;0)*(IF(Q149="",-1,Q149)&gt;=1)*(IF(Q149="",-1,Q149)&lt;=3),IF(C149="peso_corporal",IF(ISNUMBER(E149),E149,0)+O149,O149)*P149*1000+O149,0),IF((S149&gt;0)*(IF(T149="",-1,T149)&gt;=1)*(IF(T149="",-1,T149)&lt;=3),IF(C149="peso_corporal",IF(ISNUMBER(E149),E149,0)+R149,R149)*S149*1000+R149,0))</f>
        <v>0</v>
      </c>
      <c r="X149" s="69">
        <f>IF(W149=0,0,IF(IF((S149&gt;0)*(IF(T149="",-1,T149)&gt;=1)*(IF(T149="",-1,T149)&lt;=3),IF(C149="peso_corporal",IF(ISNUMBER(E149),E149,0)+R149,R149)*S149*1000+R149,0)=W149,5,IF(IF((P149&gt;0)*(IF(Q149="",-1,Q149)&gt;=1)*(IF(Q149="",-1,Q149)&lt;=3),IF(C149="peso_corporal",IF(ISNUMBER(E149),E149,0)+O149,O149)*P149*1000+O149,0)=W149,4,IF(IF((M149&gt;0)*(IF(N149="",-1,N149)&gt;=1)*(IF(N149="",-1,N149)&lt;=3),IF(C149="peso_corporal",IF(ISNUMBER(E149),E149,0)+L149,L149)*M149*1000+L149,0)=W149,3,IF(IF((J149&gt;0)*(IF(K149="",-1,K149)&gt;=1)*(IF(K149="",-1,K149)&lt;=3),IF(C149="peso_corporal",IF(ISNUMBER(E149),E149,0)+I149,I149)*J149*1000+I149,0)=W149,2,IF(IF((G149&gt;0)*(IF(H149="",-1,H149)&gt;=1)*(IF(H149="",-1,H149)&lt;=3),IF(C149="peso_corporal",IF(ISNUMBER(E149),E149,0)+F149,F149)*G149*1000+F149,0)=W149,1,0))))))</f>
        <v>0</v>
      </c>
      <c r="Y149" s="69">
        <f>MAX(IF((G149&gt;0)*(IF(H149="",-1,H149)=0)*(1-(IF(H149="",-1,H149)&gt;=1)*(IF(H149="",-1,H149)&lt;=3)),IF(C149="peso_corporal",IF(ISNUMBER(E149),E149,0)+F149,F149)*G149*1000+F149,0),IF((J149&gt;0)*(IF(K149="",-1,K149)=0)*(1-(IF(K149="",-1,K149)&gt;=1)*(IF(K149="",-1,K149)&lt;=3)),IF(C149="peso_corporal",IF(ISNUMBER(E149),E149,0)+I149,I149)*J149*1000+I149,0),IF((M149&gt;0)*(IF(N149="",-1,N149)=0)*(1-(IF(N149="",-1,N149)&gt;=1)*(IF(N149="",-1,N149)&lt;=3)),IF(C149="peso_corporal",IF(ISNUMBER(E149),E149,0)+L149,L149)*M149*1000+L149,0),IF((P149&gt;0)*(IF(Q149="",-1,Q149)=0)*(1-(IF(Q149="",-1,Q149)&gt;=1)*(IF(Q149="",-1,Q149)&lt;=3)),IF(C149="peso_corporal",IF(ISNUMBER(E149),E149,0)+O149,O149)*P149*1000+O149,0),IF((S149&gt;0)*(IF(T149="",-1,T149)=0)*(1-(IF(T149="",-1,T149)&gt;=1)*(IF(T149="",-1,T149)&lt;=3)),IF(C149="peso_corporal",IF(ISNUMBER(E149),E149,0)+R149,R149)*S149*1000+R149,0))</f>
        <v>0</v>
      </c>
      <c r="Z149" s="69">
        <f>IF(Y149=0,0,IF(IF((S149&gt;0)*(IF(T149="",-1,T149)=0)*(1-(IF(T149="",-1,T149)&gt;=1)*(IF(T149="",-1,T149)&lt;=3)),IF(C149="peso_corporal",IF(ISNUMBER(E149),E149,0)+R149,R149)*S149*1000+R149,0)=Y149,5,IF(IF((P149&gt;0)*(IF(Q149="",-1,Q149)=0)*(1-(IF(Q149="",-1,Q149)&gt;=1)*(IF(Q149="",-1,Q149)&lt;=3)),IF(C149="peso_corporal",IF(ISNUMBER(E149),E149,0)+O149,O149)*P149*1000+O149,0)=Y149,4,IF(IF((M149&gt;0)*(IF(N149="",-1,N149)=0)*(1-(IF(N149="",-1,N149)&gt;=1)*(IF(N149="",-1,N149)&lt;=3)),IF(C149="peso_corporal",IF(ISNUMBER(E149),E149,0)+L149,L149)*M149*1000+L149,0)=Y149,3,IF(IF((J149&gt;0)*(IF(K149="",-1,K149)=0)*(1-(IF(K149="",-1,K149)&gt;=1)*(IF(K149="",-1,K149)&lt;=3)),IF(C149="peso_corporal",IF(ISNUMBER(E149),E149,0)+I149,I149)*J149*1000+I149,0)=Y149,2,IF(IF((G149&gt;0)*(IF(H149="",-1,H149)=0)*(1-(IF(H149="",-1,H149)&gt;=1)*(IF(H149="",-1,H149)&lt;=3)),IF(C149="peso_corporal",IF(ISNUMBER(E149),E149,0)+F149,F149)*G149*1000+F149,0)=Y149,1,0))))))</f>
        <v>0</v>
      </c>
      <c r="AA149" s="69">
        <f>MAX(IF((G149&gt;=6)*(1-(IF(H149="",-1,H149)&gt;=1)*(IF(H149="",-1,H149)&lt;=3))*(1-(IF(H149="",-1,H149)=0)),IF(C149="peso_corporal",IF(ISNUMBER(E149),E149,0)+F149,F149)*(30+G149)*100+F149,0),IF((J149&gt;=6)*(1-(IF(K149="",-1,K149)&gt;=1)*(IF(K149="",-1,K149)&lt;=3))*(1-(IF(K149="",-1,K149)=0)),IF(C149="peso_corporal",IF(ISNUMBER(E149),E149,0)+I149,I149)*(30+J149)*100+I149,0),IF((M149&gt;=6)*(1-(IF(N149="",-1,N149)&gt;=1)*(IF(N149="",-1,N149)&lt;=3))*(1-(IF(N149="",-1,N149)=0)),IF(C149="peso_corporal",IF(ISNUMBER(E149),E149,0)+L149,L149)*(30+M149)*100+L149,0),IF((P149&gt;=6)*(1-(IF(Q149="",-1,Q149)&gt;=1)*(IF(Q149="",-1,Q149)&lt;=3))*(1-(IF(Q149="",-1,Q149)=0)),IF(C149="peso_corporal",IF(ISNUMBER(E149),E149,0)+O149,O149)*(30+P149)*100+O149,0),IF((S149&gt;=6)*(1-(IF(T149="",-1,T149)&gt;=1)*(IF(T149="",-1,T149)&lt;=3))*(1-(IF(T149="",-1,T149)=0)),IF(C149="peso_corporal",IF(ISNUMBER(E149),E149,0)+R149,R149)*(30+S149)*100+R149,0))</f>
        <v>0</v>
      </c>
      <c r="AB149" s="69">
        <f>IF(AA149=0,0,IF(IF((S149&gt;=6)*(1-(IF(T149="",-1,T149)&gt;=1)*(IF(T149="",-1,T149)&lt;=3))*(1-(IF(T149="",-1,T149)=0)),IF(C149="peso_corporal",IF(ISNUMBER(E149),E149,0)+R149,R149)*(30+S149)*100+R149,0)=AA149,5,IF(IF((P149&gt;=6)*(1-(IF(Q149="",-1,Q149)&gt;=1)*(IF(Q149="",-1,Q149)&lt;=3))*(1-(IF(Q149="",-1,Q149)=0)),IF(C149="peso_corporal",IF(ISNUMBER(E149),E149,0)+O149,O149)*(30+P149)*100+O149,0)=AA149,4,IF(IF((M149&gt;=6)*(1-(IF(N149="",-1,N149)&gt;=1)*(IF(N149="",-1,N149)&lt;=3))*(1-(IF(N149="",-1,N149)=0)),IF(C149="peso_corporal",IF(ISNUMBER(E149),E149,0)+L149,L149)*(30+M149)*100+L149,0)=AA149,3,IF(IF((J149&gt;=6)*(1-(IF(K149="",-1,K149)&gt;=1)*(IF(K149="",-1,K149)&lt;=3))*(1-(IF(K149="",-1,K149)=0)),IF(C149="peso_corporal",IF(ISNUMBER(E149),E149,0)+I149,I149)*(30+J149)*100+I149,0)=AA149,2,IF(IF((G149&gt;=6)*(1-(IF(H149="",-1,H149)&gt;=1)*(IF(H149="",-1,H149)&lt;=3))*(1-(IF(H149="",-1,H149)=0)),IF(C149="peso_corporal",IF(ISNUMBER(E149),E149,0)+F149,F149)*(30+G149)*100+F149,0)=AA149,1,0))))))</f>
        <v>0</v>
      </c>
      <c r="AC149" s="69" t="str">
        <f>IF(X149&gt;0,"A"&amp;X149,IF(Z149&gt;0,"B"&amp;Z149,IF(AB149&gt;0,"C"&amp;AB149,"")))</f>
        <v/>
      </c>
    </row>
    <row r="150" spans="1:29" ht="20.100000000000001" customHeight="1">
      <c r="A150" s="14" t="s">
        <v>65</v>
      </c>
      <c r="B150" s="15" t="s">
        <v>66</v>
      </c>
      <c r="C150" s="16" t="str">
        <f>IFERROR(INDEX(EJERCICIOS!$D$3:$D$75,MATCH(A150&amp;"|"&amp;B150,EJERCICIOS!$G$3:$G$75,0)),"--")</f>
        <v>--</v>
      </c>
      <c r="D150" s="17">
        <v>3</v>
      </c>
      <c r="E150" s="18">
        <f>IFERROR(LOOKUP(2,1/(MEDIDAS_Y_PESO!$B$3:$B$9&lt;&gt;""),MEDIDAS_Y_PESO!$B$3:$B$9),"--")</f>
        <v>80</v>
      </c>
      <c r="F150" s="19"/>
      <c r="G150" s="20"/>
      <c r="H150" s="21"/>
      <c r="I150" s="19"/>
      <c r="J150" s="20"/>
      <c r="K150" s="21"/>
      <c r="L150" s="19"/>
      <c r="M150" s="20"/>
      <c r="N150" s="21"/>
      <c r="O150" s="19"/>
      <c r="P150" s="20"/>
      <c r="Q150" s="21"/>
      <c r="R150" s="19"/>
      <c r="S150" s="20"/>
      <c r="T150" s="21"/>
      <c r="U150" s="22" t="str">
        <f>IFERROR(IF(IF(X150&gt;0,X150,IF(Z150&gt;0,Z150,IF(AB150&gt;0,AB150,0)))=0,"--",ROUND(CHOOSE(IF(X150&gt;0,X150,IF(Z150&gt;0,Z150,IF(AB150&gt;0,AB150,0))),IF(C150="peso_corporal",IF(ISNUMBER(E150),E150,0)+F150,F150)*(1+G150/30),IF(C150="peso_corporal",IF(ISNUMBER(E150),E150,0)+I150,I150)*(1+J150/30),IF(C150="peso_corporal",IF(ISNUMBER(E150),E150,0)+L150,L150)*(1+M150/30),IF(C150="peso_corporal",IF(ISNUMBER(E150),E150,0)+O150,O150)*(1+P150/30),IF(C150="peso_corporal",IF(ISNUMBER(E150),E150,0)+R150,R150)*(1+S150/30)),1)),"--")</f>
        <v>--</v>
      </c>
      <c r="V150" s="23" t="str">
        <f>IF(SUGERENCIAS!N409="SIN","Sin datos anteriores",IF(SUGERENCIAS!N409="SUBIR_F","^ SUBIR FUERTE | Kg:"&amp;ROUND(SUGERENCIAS!K409,1)&amp;" R:"&amp;ROUND(SUGERENCIAS!L409,0)&amp;" RIR:"&amp;ROUND(SUGERENCIAS!M409,0),IF(SUGERENCIAS!N409="SUBIR_E","^ SUBIR (Est.) | Kg:"&amp;ROUND(SUGERENCIAS!K409,1)&amp;" R:"&amp;ROUND(SUGERENCIAS!L409,0)&amp;" RIR:"&amp;ROUND(SUGERENCIAS!M409,0),IF(SUGERENCIAS!N409="SUBIR","^ SUBIR | Kg:"&amp;ROUND(SUGERENCIAS!K409,1)&amp;" R:"&amp;ROUND(SUGERENCIAS!L409,0)&amp;" RIR:"&amp;ROUND(SUGERENCIAS!M409,0),IF(SUGERENCIAS!N409="BAJAR","v BAJAR | Kg:"&amp;ROUND(SUGERENCIAS!K409,1)&amp;" R:"&amp;ROUND(SUGERENCIAS!L409,0)&amp;" RIR:"&amp;ROUND(SUGERENCIAS!M409,0),"= MANT | Kg:"&amp;ROUND(SUGERENCIAS!K409,1)&amp;" R:"&amp;ROUND(SUGERENCIAS!L409,0)&amp;" RIR:"&amp;ROUND(SUGERENCIAS!M409,0))))))</f>
        <v>Sin datos anteriores</v>
      </c>
      <c r="W150" s="69">
        <f>MAX(IF((G150&gt;0)*(IF(H150="",-1,H150)&gt;=1)*(IF(H150="",-1,H150)&lt;=3),IF(C150="peso_corporal",IF(ISNUMBER(E150),E150,0)+F150,F150)*G150*1000+F150,0),IF((J150&gt;0)*(IF(K150="",-1,K150)&gt;=1)*(IF(K150="",-1,K150)&lt;=3),IF(C150="peso_corporal",IF(ISNUMBER(E150),E150,0)+I150,I150)*J150*1000+I150,0),IF((M150&gt;0)*(IF(N150="",-1,N150)&gt;=1)*(IF(N150="",-1,N150)&lt;=3),IF(C150="peso_corporal",IF(ISNUMBER(E150),E150,0)+L150,L150)*M150*1000+L150,0),IF((P150&gt;0)*(IF(Q150="",-1,Q150)&gt;=1)*(IF(Q150="",-1,Q150)&lt;=3),IF(C150="peso_corporal",IF(ISNUMBER(E150),E150,0)+O150,O150)*P150*1000+O150,0),IF((S150&gt;0)*(IF(T150="",-1,T150)&gt;=1)*(IF(T150="",-1,T150)&lt;=3),IF(C150="peso_corporal",IF(ISNUMBER(E150),E150,0)+R150,R150)*S150*1000+R150,0))</f>
        <v>0</v>
      </c>
      <c r="X150" s="69">
        <f>IF(W150=0,0,IF(IF((S150&gt;0)*(IF(T150="",-1,T150)&gt;=1)*(IF(T150="",-1,T150)&lt;=3),IF(C150="peso_corporal",IF(ISNUMBER(E150),E150,0)+R150,R150)*S150*1000+R150,0)=W150,5,IF(IF((P150&gt;0)*(IF(Q150="",-1,Q150)&gt;=1)*(IF(Q150="",-1,Q150)&lt;=3),IF(C150="peso_corporal",IF(ISNUMBER(E150),E150,0)+O150,O150)*P150*1000+O150,0)=W150,4,IF(IF((M150&gt;0)*(IF(N150="",-1,N150)&gt;=1)*(IF(N150="",-1,N150)&lt;=3),IF(C150="peso_corporal",IF(ISNUMBER(E150),E150,0)+L150,L150)*M150*1000+L150,0)=W150,3,IF(IF((J150&gt;0)*(IF(K150="",-1,K150)&gt;=1)*(IF(K150="",-1,K150)&lt;=3),IF(C150="peso_corporal",IF(ISNUMBER(E150),E150,0)+I150,I150)*J150*1000+I150,0)=W150,2,IF(IF((G150&gt;0)*(IF(H150="",-1,H150)&gt;=1)*(IF(H150="",-1,H150)&lt;=3),IF(C150="peso_corporal",IF(ISNUMBER(E150),E150,0)+F150,F150)*G150*1000+F150,0)=W150,1,0))))))</f>
        <v>0</v>
      </c>
      <c r="Y150" s="69">
        <f>MAX(IF((G150&gt;0)*(IF(H150="",-1,H150)=0)*(1-(IF(H150="",-1,H150)&gt;=1)*(IF(H150="",-1,H150)&lt;=3)),IF(C150="peso_corporal",IF(ISNUMBER(E150),E150,0)+F150,F150)*G150*1000+F150,0),IF((J150&gt;0)*(IF(K150="",-1,K150)=0)*(1-(IF(K150="",-1,K150)&gt;=1)*(IF(K150="",-1,K150)&lt;=3)),IF(C150="peso_corporal",IF(ISNUMBER(E150),E150,0)+I150,I150)*J150*1000+I150,0),IF((M150&gt;0)*(IF(N150="",-1,N150)=0)*(1-(IF(N150="",-1,N150)&gt;=1)*(IF(N150="",-1,N150)&lt;=3)),IF(C150="peso_corporal",IF(ISNUMBER(E150),E150,0)+L150,L150)*M150*1000+L150,0),IF((P150&gt;0)*(IF(Q150="",-1,Q150)=0)*(1-(IF(Q150="",-1,Q150)&gt;=1)*(IF(Q150="",-1,Q150)&lt;=3)),IF(C150="peso_corporal",IF(ISNUMBER(E150),E150,0)+O150,O150)*P150*1000+O150,0),IF((S150&gt;0)*(IF(T150="",-1,T150)=0)*(1-(IF(T150="",-1,T150)&gt;=1)*(IF(T150="",-1,T150)&lt;=3)),IF(C150="peso_corporal",IF(ISNUMBER(E150),E150,0)+R150,R150)*S150*1000+R150,0))</f>
        <v>0</v>
      </c>
      <c r="Z150" s="69">
        <f>IF(Y150=0,0,IF(IF((S150&gt;0)*(IF(T150="",-1,T150)=0)*(1-(IF(T150="",-1,T150)&gt;=1)*(IF(T150="",-1,T150)&lt;=3)),IF(C150="peso_corporal",IF(ISNUMBER(E150),E150,0)+R150,R150)*S150*1000+R150,0)=Y150,5,IF(IF((P150&gt;0)*(IF(Q150="",-1,Q150)=0)*(1-(IF(Q150="",-1,Q150)&gt;=1)*(IF(Q150="",-1,Q150)&lt;=3)),IF(C150="peso_corporal",IF(ISNUMBER(E150),E150,0)+O150,O150)*P150*1000+O150,0)=Y150,4,IF(IF((M150&gt;0)*(IF(N150="",-1,N150)=0)*(1-(IF(N150="",-1,N150)&gt;=1)*(IF(N150="",-1,N150)&lt;=3)),IF(C150="peso_corporal",IF(ISNUMBER(E150),E150,0)+L150,L150)*M150*1000+L150,0)=Y150,3,IF(IF((J150&gt;0)*(IF(K150="",-1,K150)=0)*(1-(IF(K150="",-1,K150)&gt;=1)*(IF(K150="",-1,K150)&lt;=3)),IF(C150="peso_corporal",IF(ISNUMBER(E150),E150,0)+I150,I150)*J150*1000+I150,0)=Y150,2,IF(IF((G150&gt;0)*(IF(H150="",-1,H150)=0)*(1-(IF(H150="",-1,H150)&gt;=1)*(IF(H150="",-1,H150)&lt;=3)),IF(C150="peso_corporal",IF(ISNUMBER(E150),E150,0)+F150,F150)*G150*1000+F150,0)=Y150,1,0))))))</f>
        <v>0</v>
      </c>
      <c r="AA150" s="69">
        <f>MAX(IF((G150&gt;=6)*(1-(IF(H150="",-1,H150)&gt;=1)*(IF(H150="",-1,H150)&lt;=3))*(1-(IF(H150="",-1,H150)=0)),IF(C150="peso_corporal",IF(ISNUMBER(E150),E150,0)+F150,F150)*(30+G150)*100+F150,0),IF((J150&gt;=6)*(1-(IF(K150="",-1,K150)&gt;=1)*(IF(K150="",-1,K150)&lt;=3))*(1-(IF(K150="",-1,K150)=0)),IF(C150="peso_corporal",IF(ISNUMBER(E150),E150,0)+I150,I150)*(30+J150)*100+I150,0),IF((M150&gt;=6)*(1-(IF(N150="",-1,N150)&gt;=1)*(IF(N150="",-1,N150)&lt;=3))*(1-(IF(N150="",-1,N150)=0)),IF(C150="peso_corporal",IF(ISNUMBER(E150),E150,0)+L150,L150)*(30+M150)*100+L150,0),IF((P150&gt;=6)*(1-(IF(Q150="",-1,Q150)&gt;=1)*(IF(Q150="",-1,Q150)&lt;=3))*(1-(IF(Q150="",-1,Q150)=0)),IF(C150="peso_corporal",IF(ISNUMBER(E150),E150,0)+O150,O150)*(30+P150)*100+O150,0),IF((S150&gt;=6)*(1-(IF(T150="",-1,T150)&gt;=1)*(IF(T150="",-1,T150)&lt;=3))*(1-(IF(T150="",-1,T150)=0)),IF(C150="peso_corporal",IF(ISNUMBER(E150),E150,0)+R150,R150)*(30+S150)*100+R150,0))</f>
        <v>0</v>
      </c>
      <c r="AB150" s="69">
        <f>IF(AA150=0,0,IF(IF((S150&gt;=6)*(1-(IF(T150="",-1,T150)&gt;=1)*(IF(T150="",-1,T150)&lt;=3))*(1-(IF(T150="",-1,T150)=0)),IF(C150="peso_corporal",IF(ISNUMBER(E150),E150,0)+R150,R150)*(30+S150)*100+R150,0)=AA150,5,IF(IF((P150&gt;=6)*(1-(IF(Q150="",-1,Q150)&gt;=1)*(IF(Q150="",-1,Q150)&lt;=3))*(1-(IF(Q150="",-1,Q150)=0)),IF(C150="peso_corporal",IF(ISNUMBER(E150),E150,0)+O150,O150)*(30+P150)*100+O150,0)=AA150,4,IF(IF((M150&gt;=6)*(1-(IF(N150="",-1,N150)&gt;=1)*(IF(N150="",-1,N150)&lt;=3))*(1-(IF(N150="",-1,N150)=0)),IF(C150="peso_corporal",IF(ISNUMBER(E150),E150,0)+L150,L150)*(30+M150)*100+L150,0)=AA150,3,IF(IF((J150&gt;=6)*(1-(IF(K150="",-1,K150)&gt;=1)*(IF(K150="",-1,K150)&lt;=3))*(1-(IF(K150="",-1,K150)=0)),IF(C150="peso_corporal",IF(ISNUMBER(E150),E150,0)+I150,I150)*(30+J150)*100+I150,0)=AA150,2,IF(IF((G150&gt;=6)*(1-(IF(H150="",-1,H150)&gt;=1)*(IF(H150="",-1,H150)&lt;=3))*(1-(IF(H150="",-1,H150)=0)),IF(C150="peso_corporal",IF(ISNUMBER(E150),E150,0)+F150,F150)*(30+G150)*100+F150,0)=AA150,1,0))))))</f>
        <v>0</v>
      </c>
      <c r="AC150" s="69" t="str">
        <f>IF(X150&gt;0,"A"&amp;X150,IF(Z150&gt;0,"B"&amp;Z150,IF(AB150&gt;0,"C"&amp;AB150,"")))</f>
        <v/>
      </c>
    </row>
    <row r="151" spans="1:29" ht="20.100000000000001" customHeight="1">
      <c r="A151" s="14" t="s">
        <v>65</v>
      </c>
      <c r="B151" s="15" t="s">
        <v>137</v>
      </c>
      <c r="C151" s="16" t="str">
        <f>IFERROR(INDEX(EJERCICIOS!$D$3:$D$75,MATCH(A151&amp;"|"&amp;B151,EJERCICIOS!$G$3:$G$75,0)),"--")</f>
        <v>--</v>
      </c>
      <c r="D151" s="17">
        <v>3</v>
      </c>
      <c r="E151" s="18">
        <f>IFERROR(LOOKUP(2,1/(MEDIDAS_Y_PESO!$B$3:$B$9&lt;&gt;""),MEDIDAS_Y_PESO!$B$3:$B$9),"--")</f>
        <v>80</v>
      </c>
      <c r="F151" s="19"/>
      <c r="G151" s="20"/>
      <c r="H151" s="21"/>
      <c r="I151" s="19"/>
      <c r="J151" s="20"/>
      <c r="K151" s="21"/>
      <c r="L151" s="19"/>
      <c r="M151" s="20"/>
      <c r="N151" s="21"/>
      <c r="O151" s="19"/>
      <c r="P151" s="20"/>
      <c r="Q151" s="21"/>
      <c r="R151" s="19"/>
      <c r="S151" s="20"/>
      <c r="T151" s="21"/>
      <c r="U151" s="22" t="str">
        <f>IFERROR(IF(IF(X151&gt;0,X151,IF(Z151&gt;0,Z151,IF(AB151&gt;0,AB151,0)))=0,"--",ROUND(CHOOSE(IF(X151&gt;0,X151,IF(Z151&gt;0,Z151,IF(AB151&gt;0,AB151,0))),IF(C151="peso_corporal",IF(ISNUMBER(E151),E151,0)+F151,F151)*(1+G151/30),IF(C151="peso_corporal",IF(ISNUMBER(E151),E151,0)+I151,I151)*(1+J151/30),IF(C151="peso_corporal",IF(ISNUMBER(E151),E151,0)+L151,L151)*(1+M151/30),IF(C151="peso_corporal",IF(ISNUMBER(E151),E151,0)+O151,O151)*(1+P151/30),IF(C151="peso_corporal",IF(ISNUMBER(E151),E151,0)+R151,R151)*(1+S151/30)),1)),"--")</f>
        <v>--</v>
      </c>
      <c r="V151" s="23" t="str">
        <f>IF(SUGERENCIAS!N410="SIN","Sin datos anteriores",IF(SUGERENCIAS!N410="SUBIR_F","^ SUBIR FUERTE | Kg:"&amp;ROUND(SUGERENCIAS!K410,1)&amp;" R:"&amp;ROUND(SUGERENCIAS!L410,0)&amp;" RIR:"&amp;ROUND(SUGERENCIAS!M410,0),IF(SUGERENCIAS!N410="SUBIR_E","^ SUBIR (Est.) | Kg:"&amp;ROUND(SUGERENCIAS!K410,1)&amp;" R:"&amp;ROUND(SUGERENCIAS!L410,0)&amp;" RIR:"&amp;ROUND(SUGERENCIAS!M410,0),IF(SUGERENCIAS!N410="SUBIR","^ SUBIR | Kg:"&amp;ROUND(SUGERENCIAS!K410,1)&amp;" R:"&amp;ROUND(SUGERENCIAS!L410,0)&amp;" RIR:"&amp;ROUND(SUGERENCIAS!M410,0),IF(SUGERENCIAS!N410="BAJAR","v BAJAR | Kg:"&amp;ROUND(SUGERENCIAS!K410,1)&amp;" R:"&amp;ROUND(SUGERENCIAS!L410,0)&amp;" RIR:"&amp;ROUND(SUGERENCIAS!M410,0),"= MANT | Kg:"&amp;ROUND(SUGERENCIAS!K410,1)&amp;" R:"&amp;ROUND(SUGERENCIAS!L410,0)&amp;" RIR:"&amp;ROUND(SUGERENCIAS!M410,0))))))</f>
        <v>Sin datos anteriores</v>
      </c>
      <c r="W151" s="69">
        <f>MAX(IF((G151&gt;0)*(IF(H151="",-1,H151)&gt;=1)*(IF(H151="",-1,H151)&lt;=3),IF(C151="peso_corporal",IF(ISNUMBER(E151),E151,0)+F151,F151)*G151*1000+F151,0),IF((J151&gt;0)*(IF(K151="",-1,K151)&gt;=1)*(IF(K151="",-1,K151)&lt;=3),IF(C151="peso_corporal",IF(ISNUMBER(E151),E151,0)+I151,I151)*J151*1000+I151,0),IF((M151&gt;0)*(IF(N151="",-1,N151)&gt;=1)*(IF(N151="",-1,N151)&lt;=3),IF(C151="peso_corporal",IF(ISNUMBER(E151),E151,0)+L151,L151)*M151*1000+L151,0),IF((P151&gt;0)*(IF(Q151="",-1,Q151)&gt;=1)*(IF(Q151="",-1,Q151)&lt;=3),IF(C151="peso_corporal",IF(ISNUMBER(E151),E151,0)+O151,O151)*P151*1000+O151,0),IF((S151&gt;0)*(IF(T151="",-1,T151)&gt;=1)*(IF(T151="",-1,T151)&lt;=3),IF(C151="peso_corporal",IF(ISNUMBER(E151),E151,0)+R151,R151)*S151*1000+R151,0))</f>
        <v>0</v>
      </c>
      <c r="X151" s="69">
        <f>IF(W151=0,0,IF(IF((S151&gt;0)*(IF(T151="",-1,T151)&gt;=1)*(IF(T151="",-1,T151)&lt;=3),IF(C151="peso_corporal",IF(ISNUMBER(E151),E151,0)+R151,R151)*S151*1000+R151,0)=W151,5,IF(IF((P151&gt;0)*(IF(Q151="",-1,Q151)&gt;=1)*(IF(Q151="",-1,Q151)&lt;=3),IF(C151="peso_corporal",IF(ISNUMBER(E151),E151,0)+O151,O151)*P151*1000+O151,0)=W151,4,IF(IF((M151&gt;0)*(IF(N151="",-1,N151)&gt;=1)*(IF(N151="",-1,N151)&lt;=3),IF(C151="peso_corporal",IF(ISNUMBER(E151),E151,0)+L151,L151)*M151*1000+L151,0)=W151,3,IF(IF((J151&gt;0)*(IF(K151="",-1,K151)&gt;=1)*(IF(K151="",-1,K151)&lt;=3),IF(C151="peso_corporal",IF(ISNUMBER(E151),E151,0)+I151,I151)*J151*1000+I151,0)=W151,2,IF(IF((G151&gt;0)*(IF(H151="",-1,H151)&gt;=1)*(IF(H151="",-1,H151)&lt;=3),IF(C151="peso_corporal",IF(ISNUMBER(E151),E151,0)+F151,F151)*G151*1000+F151,0)=W151,1,0))))))</f>
        <v>0</v>
      </c>
      <c r="Y151" s="69">
        <f>MAX(IF((G151&gt;0)*(IF(H151="",-1,H151)=0)*(1-(IF(H151="",-1,H151)&gt;=1)*(IF(H151="",-1,H151)&lt;=3)),IF(C151="peso_corporal",IF(ISNUMBER(E151),E151,0)+F151,F151)*G151*1000+F151,0),IF((J151&gt;0)*(IF(K151="",-1,K151)=0)*(1-(IF(K151="",-1,K151)&gt;=1)*(IF(K151="",-1,K151)&lt;=3)),IF(C151="peso_corporal",IF(ISNUMBER(E151),E151,0)+I151,I151)*J151*1000+I151,0),IF((M151&gt;0)*(IF(N151="",-1,N151)=0)*(1-(IF(N151="",-1,N151)&gt;=1)*(IF(N151="",-1,N151)&lt;=3)),IF(C151="peso_corporal",IF(ISNUMBER(E151),E151,0)+L151,L151)*M151*1000+L151,0),IF((P151&gt;0)*(IF(Q151="",-1,Q151)=0)*(1-(IF(Q151="",-1,Q151)&gt;=1)*(IF(Q151="",-1,Q151)&lt;=3)),IF(C151="peso_corporal",IF(ISNUMBER(E151),E151,0)+O151,O151)*P151*1000+O151,0),IF((S151&gt;0)*(IF(T151="",-1,T151)=0)*(1-(IF(T151="",-1,T151)&gt;=1)*(IF(T151="",-1,T151)&lt;=3)),IF(C151="peso_corporal",IF(ISNUMBER(E151),E151,0)+R151,R151)*S151*1000+R151,0))</f>
        <v>0</v>
      </c>
      <c r="Z151" s="69">
        <f>IF(Y151=0,0,IF(IF((S151&gt;0)*(IF(T151="",-1,T151)=0)*(1-(IF(T151="",-1,T151)&gt;=1)*(IF(T151="",-1,T151)&lt;=3)),IF(C151="peso_corporal",IF(ISNUMBER(E151),E151,0)+R151,R151)*S151*1000+R151,0)=Y151,5,IF(IF((P151&gt;0)*(IF(Q151="",-1,Q151)=0)*(1-(IF(Q151="",-1,Q151)&gt;=1)*(IF(Q151="",-1,Q151)&lt;=3)),IF(C151="peso_corporal",IF(ISNUMBER(E151),E151,0)+O151,O151)*P151*1000+O151,0)=Y151,4,IF(IF((M151&gt;0)*(IF(N151="",-1,N151)=0)*(1-(IF(N151="",-1,N151)&gt;=1)*(IF(N151="",-1,N151)&lt;=3)),IF(C151="peso_corporal",IF(ISNUMBER(E151),E151,0)+L151,L151)*M151*1000+L151,0)=Y151,3,IF(IF((J151&gt;0)*(IF(K151="",-1,K151)=0)*(1-(IF(K151="",-1,K151)&gt;=1)*(IF(K151="",-1,K151)&lt;=3)),IF(C151="peso_corporal",IF(ISNUMBER(E151),E151,0)+I151,I151)*J151*1000+I151,0)=Y151,2,IF(IF((G151&gt;0)*(IF(H151="",-1,H151)=0)*(1-(IF(H151="",-1,H151)&gt;=1)*(IF(H151="",-1,H151)&lt;=3)),IF(C151="peso_corporal",IF(ISNUMBER(E151),E151,0)+F151,F151)*G151*1000+F151,0)=Y151,1,0))))))</f>
        <v>0</v>
      </c>
      <c r="AA151" s="69">
        <f>MAX(IF((G151&gt;=6)*(1-(IF(H151="",-1,H151)&gt;=1)*(IF(H151="",-1,H151)&lt;=3))*(1-(IF(H151="",-1,H151)=0)),IF(C151="peso_corporal",IF(ISNUMBER(E151),E151,0)+F151,F151)*(30+G151)*100+F151,0),IF((J151&gt;=6)*(1-(IF(K151="",-1,K151)&gt;=1)*(IF(K151="",-1,K151)&lt;=3))*(1-(IF(K151="",-1,K151)=0)),IF(C151="peso_corporal",IF(ISNUMBER(E151),E151,0)+I151,I151)*(30+J151)*100+I151,0),IF((M151&gt;=6)*(1-(IF(N151="",-1,N151)&gt;=1)*(IF(N151="",-1,N151)&lt;=3))*(1-(IF(N151="",-1,N151)=0)),IF(C151="peso_corporal",IF(ISNUMBER(E151),E151,0)+L151,L151)*(30+M151)*100+L151,0),IF((P151&gt;=6)*(1-(IF(Q151="",-1,Q151)&gt;=1)*(IF(Q151="",-1,Q151)&lt;=3))*(1-(IF(Q151="",-1,Q151)=0)),IF(C151="peso_corporal",IF(ISNUMBER(E151),E151,0)+O151,O151)*(30+P151)*100+O151,0),IF((S151&gt;=6)*(1-(IF(T151="",-1,T151)&gt;=1)*(IF(T151="",-1,T151)&lt;=3))*(1-(IF(T151="",-1,T151)=0)),IF(C151="peso_corporal",IF(ISNUMBER(E151),E151,0)+R151,R151)*(30+S151)*100+R151,0))</f>
        <v>0</v>
      </c>
      <c r="AB151" s="69">
        <f>IF(AA151=0,0,IF(IF((S151&gt;=6)*(1-(IF(T151="",-1,T151)&gt;=1)*(IF(T151="",-1,T151)&lt;=3))*(1-(IF(T151="",-1,T151)=0)),IF(C151="peso_corporal",IF(ISNUMBER(E151),E151,0)+R151,R151)*(30+S151)*100+R151,0)=AA151,5,IF(IF((P151&gt;=6)*(1-(IF(Q151="",-1,Q151)&gt;=1)*(IF(Q151="",-1,Q151)&lt;=3))*(1-(IF(Q151="",-1,Q151)=0)),IF(C151="peso_corporal",IF(ISNUMBER(E151),E151,0)+O151,O151)*(30+P151)*100+O151,0)=AA151,4,IF(IF((M151&gt;=6)*(1-(IF(N151="",-1,N151)&gt;=1)*(IF(N151="",-1,N151)&lt;=3))*(1-(IF(N151="",-1,N151)=0)),IF(C151="peso_corporal",IF(ISNUMBER(E151),E151,0)+L151,L151)*(30+M151)*100+L151,0)=AA151,3,IF(IF((J151&gt;=6)*(1-(IF(K151="",-1,K151)&gt;=1)*(IF(K151="",-1,K151)&lt;=3))*(1-(IF(K151="",-1,K151)=0)),IF(C151="peso_corporal",IF(ISNUMBER(E151),E151,0)+I151,I151)*(30+J151)*100+I151,0)=AA151,2,IF(IF((G151&gt;=6)*(1-(IF(H151="",-1,H151)&gt;=1)*(IF(H151="",-1,H151)&lt;=3))*(1-(IF(H151="",-1,H151)=0)),IF(C151="peso_corporal",IF(ISNUMBER(E151),E151,0)+F151,F151)*(30+G151)*100+F151,0)=AA151,1,0))))))</f>
        <v>0</v>
      </c>
      <c r="AC151" s="69" t="str">
        <f>IF(X151&gt;0,"A"&amp;X151,IF(Z151&gt;0,"B"&amp;Z151,IF(AB151&gt;0,"C"&amp;AB151,"")))</f>
        <v/>
      </c>
    </row>
    <row r="152" spans="1:29" ht="15" customHeight="1">
      <c r="A152" s="89" t="s">
        <v>138</v>
      </c>
      <c r="B152" s="73"/>
      <c r="C152" s="73"/>
      <c r="D152" s="73"/>
      <c r="E152" s="73"/>
      <c r="F152" s="73"/>
      <c r="G152" s="73"/>
      <c r="H152" s="73"/>
      <c r="I152" s="73"/>
      <c r="J152" s="73"/>
      <c r="K152" s="73"/>
      <c r="L152" s="73"/>
      <c r="M152" s="73"/>
      <c r="N152" s="73"/>
      <c r="O152" s="73"/>
      <c r="P152" s="73"/>
      <c r="Q152" s="73"/>
      <c r="R152" s="73"/>
      <c r="S152" s="73"/>
      <c r="T152" s="73"/>
      <c r="U152" s="73"/>
      <c r="V152" s="73"/>
      <c r="W152" s="69"/>
      <c r="X152" s="69"/>
      <c r="Y152" s="69"/>
      <c r="Z152" s="69"/>
      <c r="AA152" s="69"/>
      <c r="AB152" s="69"/>
      <c r="AC152" s="69"/>
    </row>
    <row r="153" spans="1:29" ht="20.100000000000001" customHeight="1">
      <c r="A153" s="14" t="s">
        <v>139</v>
      </c>
      <c r="B153" s="15" t="s">
        <v>140</v>
      </c>
      <c r="C153" s="16" t="str">
        <f>IFERROR(INDEX(EJERCICIOS!$D$3:$D$75,MATCH(A153&amp;"|"&amp;B153,EJERCICIOS!$G$3:$G$75,0)),"--")</f>
        <v>disco</v>
      </c>
      <c r="D153" s="17">
        <v>3</v>
      </c>
      <c r="E153" s="18">
        <f>IFERROR(LOOKUP(2,1/(MEDIDAS_Y_PESO!$B$3:$B$9&lt;&gt;""),MEDIDAS_Y_PESO!$B$3:$B$9),"--")</f>
        <v>80</v>
      </c>
      <c r="F153" s="19"/>
      <c r="G153" s="20"/>
      <c r="H153" s="21"/>
      <c r="I153" s="19"/>
      <c r="J153" s="20"/>
      <c r="K153" s="21"/>
      <c r="L153" s="19"/>
      <c r="M153" s="20"/>
      <c r="N153" s="21"/>
      <c r="O153" s="19"/>
      <c r="P153" s="20"/>
      <c r="Q153" s="21"/>
      <c r="R153" s="19"/>
      <c r="S153" s="20"/>
      <c r="T153" s="21"/>
      <c r="U153" s="22" t="str">
        <f>IFERROR(IF(IF(X153&gt;0,X153,IF(Z153&gt;0,Z153,IF(AB153&gt;0,AB153,0)))=0,"--",ROUND(CHOOSE(IF(X153&gt;0,X153,IF(Z153&gt;0,Z153,IF(AB153&gt;0,AB153,0))),IF(C153="peso_corporal",IF(ISNUMBER(E153),E153,0)+F153,F153)*(1+G153/30),IF(C153="peso_corporal",IF(ISNUMBER(E153),E153,0)+I153,I153)*(1+J153/30),IF(C153="peso_corporal",IF(ISNUMBER(E153),E153,0)+L153,L153)*(1+M153/30),IF(C153="peso_corporal",IF(ISNUMBER(E153),E153,0)+O153,O153)*(1+P153/30),IF(C153="peso_corporal",IF(ISNUMBER(E153),E153,0)+R153,R153)*(1+S153/30)),1)),"--")</f>
        <v>--</v>
      </c>
      <c r="V153" s="23" t="str">
        <f>IF(SUGERENCIAS!N411="SIN","Sin datos anteriores",IF(SUGERENCIAS!N411="SUBIR_F","^ SUBIR FUERTE | Kg:"&amp;ROUND(SUGERENCIAS!K411,1)&amp;" R:"&amp;ROUND(SUGERENCIAS!L411,0)&amp;" RIR:"&amp;ROUND(SUGERENCIAS!M411,0),IF(SUGERENCIAS!N411="SUBIR_E","^ SUBIR (Est.) | Kg:"&amp;ROUND(SUGERENCIAS!K411,1)&amp;" R:"&amp;ROUND(SUGERENCIAS!L411,0)&amp;" RIR:"&amp;ROUND(SUGERENCIAS!M411,0),IF(SUGERENCIAS!N411="SUBIR","^ SUBIR | Kg:"&amp;ROUND(SUGERENCIAS!K411,1)&amp;" R:"&amp;ROUND(SUGERENCIAS!L411,0)&amp;" RIR:"&amp;ROUND(SUGERENCIAS!M411,0),IF(SUGERENCIAS!N411="BAJAR","v BAJAR | Kg:"&amp;ROUND(SUGERENCIAS!K411,1)&amp;" R:"&amp;ROUND(SUGERENCIAS!L411,0)&amp;" RIR:"&amp;ROUND(SUGERENCIAS!M411,0),"= MANT | Kg:"&amp;ROUND(SUGERENCIAS!K411,1)&amp;" R:"&amp;ROUND(SUGERENCIAS!L411,0)&amp;" RIR:"&amp;ROUND(SUGERENCIAS!M411,0))))))</f>
        <v>Sin datos anteriores</v>
      </c>
      <c r="W153" s="69">
        <f>MAX(IF((G153&gt;0)*(IF(H153="",-1,H153)&gt;=1)*(IF(H153="",-1,H153)&lt;=3),IF(C153="peso_corporal",IF(ISNUMBER(E153),E153,0)+F153,F153)*G153*1000+F153,0),IF((J153&gt;0)*(IF(K153="",-1,K153)&gt;=1)*(IF(K153="",-1,K153)&lt;=3),IF(C153="peso_corporal",IF(ISNUMBER(E153),E153,0)+I153,I153)*J153*1000+I153,0),IF((M153&gt;0)*(IF(N153="",-1,N153)&gt;=1)*(IF(N153="",-1,N153)&lt;=3),IF(C153="peso_corporal",IF(ISNUMBER(E153),E153,0)+L153,L153)*M153*1000+L153,0),IF((P153&gt;0)*(IF(Q153="",-1,Q153)&gt;=1)*(IF(Q153="",-1,Q153)&lt;=3),IF(C153="peso_corporal",IF(ISNUMBER(E153),E153,0)+O153,O153)*P153*1000+O153,0),IF((S153&gt;0)*(IF(T153="",-1,T153)&gt;=1)*(IF(T153="",-1,T153)&lt;=3),IF(C153="peso_corporal",IF(ISNUMBER(E153),E153,0)+R153,R153)*S153*1000+R153,0))</f>
        <v>0</v>
      </c>
      <c r="X153" s="69">
        <f>IF(W153=0,0,IF(IF((S153&gt;0)*(IF(T153="",-1,T153)&gt;=1)*(IF(T153="",-1,T153)&lt;=3),IF(C153="peso_corporal",IF(ISNUMBER(E153),E153,0)+R153,R153)*S153*1000+R153,0)=W153,5,IF(IF((P153&gt;0)*(IF(Q153="",-1,Q153)&gt;=1)*(IF(Q153="",-1,Q153)&lt;=3),IF(C153="peso_corporal",IF(ISNUMBER(E153),E153,0)+O153,O153)*P153*1000+O153,0)=W153,4,IF(IF((M153&gt;0)*(IF(N153="",-1,N153)&gt;=1)*(IF(N153="",-1,N153)&lt;=3),IF(C153="peso_corporal",IF(ISNUMBER(E153),E153,0)+L153,L153)*M153*1000+L153,0)=W153,3,IF(IF((J153&gt;0)*(IF(K153="",-1,K153)&gt;=1)*(IF(K153="",-1,K153)&lt;=3),IF(C153="peso_corporal",IF(ISNUMBER(E153),E153,0)+I153,I153)*J153*1000+I153,0)=W153,2,IF(IF((G153&gt;0)*(IF(H153="",-1,H153)&gt;=1)*(IF(H153="",-1,H153)&lt;=3),IF(C153="peso_corporal",IF(ISNUMBER(E153),E153,0)+F153,F153)*G153*1000+F153,0)=W153,1,0))))))</f>
        <v>0</v>
      </c>
      <c r="Y153" s="69">
        <f>MAX(IF((G153&gt;0)*(IF(H153="",-1,H153)=0)*(1-(IF(H153="",-1,H153)&gt;=1)*(IF(H153="",-1,H153)&lt;=3)),IF(C153="peso_corporal",IF(ISNUMBER(E153),E153,0)+F153,F153)*G153*1000+F153,0),IF((J153&gt;0)*(IF(K153="",-1,K153)=0)*(1-(IF(K153="",-1,K153)&gt;=1)*(IF(K153="",-1,K153)&lt;=3)),IF(C153="peso_corporal",IF(ISNUMBER(E153),E153,0)+I153,I153)*J153*1000+I153,0),IF((M153&gt;0)*(IF(N153="",-1,N153)=0)*(1-(IF(N153="",-1,N153)&gt;=1)*(IF(N153="",-1,N153)&lt;=3)),IF(C153="peso_corporal",IF(ISNUMBER(E153),E153,0)+L153,L153)*M153*1000+L153,0),IF((P153&gt;0)*(IF(Q153="",-1,Q153)=0)*(1-(IF(Q153="",-1,Q153)&gt;=1)*(IF(Q153="",-1,Q153)&lt;=3)),IF(C153="peso_corporal",IF(ISNUMBER(E153),E153,0)+O153,O153)*P153*1000+O153,0),IF((S153&gt;0)*(IF(T153="",-1,T153)=0)*(1-(IF(T153="",-1,T153)&gt;=1)*(IF(T153="",-1,T153)&lt;=3)),IF(C153="peso_corporal",IF(ISNUMBER(E153),E153,0)+R153,R153)*S153*1000+R153,0))</f>
        <v>0</v>
      </c>
      <c r="Z153" s="69">
        <f>IF(Y153=0,0,IF(IF((S153&gt;0)*(IF(T153="",-1,T153)=0)*(1-(IF(T153="",-1,T153)&gt;=1)*(IF(T153="",-1,T153)&lt;=3)),IF(C153="peso_corporal",IF(ISNUMBER(E153),E153,0)+R153,R153)*S153*1000+R153,0)=Y153,5,IF(IF((P153&gt;0)*(IF(Q153="",-1,Q153)=0)*(1-(IF(Q153="",-1,Q153)&gt;=1)*(IF(Q153="",-1,Q153)&lt;=3)),IF(C153="peso_corporal",IF(ISNUMBER(E153),E153,0)+O153,O153)*P153*1000+O153,0)=Y153,4,IF(IF((M153&gt;0)*(IF(N153="",-1,N153)=0)*(1-(IF(N153="",-1,N153)&gt;=1)*(IF(N153="",-1,N153)&lt;=3)),IF(C153="peso_corporal",IF(ISNUMBER(E153),E153,0)+L153,L153)*M153*1000+L153,0)=Y153,3,IF(IF((J153&gt;0)*(IF(K153="",-1,K153)=0)*(1-(IF(K153="",-1,K153)&gt;=1)*(IF(K153="",-1,K153)&lt;=3)),IF(C153="peso_corporal",IF(ISNUMBER(E153),E153,0)+I153,I153)*J153*1000+I153,0)=Y153,2,IF(IF((G153&gt;0)*(IF(H153="",-1,H153)=0)*(1-(IF(H153="",-1,H153)&gt;=1)*(IF(H153="",-1,H153)&lt;=3)),IF(C153="peso_corporal",IF(ISNUMBER(E153),E153,0)+F153,F153)*G153*1000+F153,0)=Y153,1,0))))))</f>
        <v>0</v>
      </c>
      <c r="AA153" s="69">
        <f>MAX(IF((G153&gt;=6)*(1-(IF(H153="",-1,H153)&gt;=1)*(IF(H153="",-1,H153)&lt;=3))*(1-(IF(H153="",-1,H153)=0)),IF(C153="peso_corporal",IF(ISNUMBER(E153),E153,0)+F153,F153)*(30+G153)*100+F153,0),IF((J153&gt;=6)*(1-(IF(K153="",-1,K153)&gt;=1)*(IF(K153="",-1,K153)&lt;=3))*(1-(IF(K153="",-1,K153)=0)),IF(C153="peso_corporal",IF(ISNUMBER(E153),E153,0)+I153,I153)*(30+J153)*100+I153,0),IF((M153&gt;=6)*(1-(IF(N153="",-1,N153)&gt;=1)*(IF(N153="",-1,N153)&lt;=3))*(1-(IF(N153="",-1,N153)=0)),IF(C153="peso_corporal",IF(ISNUMBER(E153),E153,0)+L153,L153)*(30+M153)*100+L153,0),IF((P153&gt;=6)*(1-(IF(Q153="",-1,Q153)&gt;=1)*(IF(Q153="",-1,Q153)&lt;=3))*(1-(IF(Q153="",-1,Q153)=0)),IF(C153="peso_corporal",IF(ISNUMBER(E153),E153,0)+O153,O153)*(30+P153)*100+O153,0),IF((S153&gt;=6)*(1-(IF(T153="",-1,T153)&gt;=1)*(IF(T153="",-1,T153)&lt;=3))*(1-(IF(T153="",-1,T153)=0)),IF(C153="peso_corporal",IF(ISNUMBER(E153),E153,0)+R153,R153)*(30+S153)*100+R153,0))</f>
        <v>0</v>
      </c>
      <c r="AB153" s="69">
        <f>IF(AA153=0,0,IF(IF((S153&gt;=6)*(1-(IF(T153="",-1,T153)&gt;=1)*(IF(T153="",-1,T153)&lt;=3))*(1-(IF(T153="",-1,T153)=0)),IF(C153="peso_corporal",IF(ISNUMBER(E153),E153,0)+R153,R153)*(30+S153)*100+R153,0)=AA153,5,IF(IF((P153&gt;=6)*(1-(IF(Q153="",-1,Q153)&gt;=1)*(IF(Q153="",-1,Q153)&lt;=3))*(1-(IF(Q153="",-1,Q153)=0)),IF(C153="peso_corporal",IF(ISNUMBER(E153),E153,0)+O153,O153)*(30+P153)*100+O153,0)=AA153,4,IF(IF((M153&gt;=6)*(1-(IF(N153="",-1,N153)&gt;=1)*(IF(N153="",-1,N153)&lt;=3))*(1-(IF(N153="",-1,N153)=0)),IF(C153="peso_corporal",IF(ISNUMBER(E153),E153,0)+L153,L153)*(30+M153)*100+L153,0)=AA153,3,IF(IF((J153&gt;=6)*(1-(IF(K153="",-1,K153)&gt;=1)*(IF(K153="",-1,K153)&lt;=3))*(1-(IF(K153="",-1,K153)=0)),IF(C153="peso_corporal",IF(ISNUMBER(E153),E153,0)+I153,I153)*(30+J153)*100+I153,0)=AA153,2,IF(IF((G153&gt;=6)*(1-(IF(H153="",-1,H153)&gt;=1)*(IF(H153="",-1,H153)&lt;=3))*(1-(IF(H153="",-1,H153)=0)),IF(C153="peso_corporal",IF(ISNUMBER(E153),E153,0)+F153,F153)*(30+G153)*100+F153,0)=AA153,1,0))))))</f>
        <v>0</v>
      </c>
      <c r="AC153" s="69" t="str">
        <f>IF(X153&gt;0,"A"&amp;X153,IF(Z153&gt;0,"B"&amp;Z153,IF(AB153&gt;0,"C"&amp;AB153,"")))</f>
        <v/>
      </c>
    </row>
    <row r="154" spans="1:29" ht="20.100000000000001" customHeight="1">
      <c r="A154" s="14" t="s">
        <v>139</v>
      </c>
      <c r="B154" s="15" t="s">
        <v>141</v>
      </c>
      <c r="C154" s="16" t="str">
        <f>IFERROR(INDEX(EJERCICIOS!$D$3:$D$75,MATCH(A154&amp;"|"&amp;B154,EJERCICIOS!$G$3:$G$75,0)),"--")</f>
        <v>disco</v>
      </c>
      <c r="D154" s="17">
        <v>3</v>
      </c>
      <c r="E154" s="18">
        <f>IFERROR(LOOKUP(2,1/(MEDIDAS_Y_PESO!$B$3:$B$9&lt;&gt;""),MEDIDAS_Y_PESO!$B$3:$B$9),"--")</f>
        <v>80</v>
      </c>
      <c r="F154" s="19"/>
      <c r="G154" s="20"/>
      <c r="H154" s="21"/>
      <c r="I154" s="19"/>
      <c r="J154" s="20"/>
      <c r="K154" s="21"/>
      <c r="L154" s="19"/>
      <c r="M154" s="20"/>
      <c r="N154" s="21"/>
      <c r="O154" s="19"/>
      <c r="P154" s="20"/>
      <c r="Q154" s="21"/>
      <c r="R154" s="19"/>
      <c r="S154" s="20"/>
      <c r="T154" s="21"/>
      <c r="U154" s="22" t="str">
        <f>IFERROR(IF(IF(X154&gt;0,X154,IF(Z154&gt;0,Z154,IF(AB154&gt;0,AB154,0)))=0,"--",ROUND(CHOOSE(IF(X154&gt;0,X154,IF(Z154&gt;0,Z154,IF(AB154&gt;0,AB154,0))),IF(C154="peso_corporal",IF(ISNUMBER(E154),E154,0)+F154,F154)*(1+G154/30),IF(C154="peso_corporal",IF(ISNUMBER(E154),E154,0)+I154,I154)*(1+J154/30),IF(C154="peso_corporal",IF(ISNUMBER(E154),E154,0)+L154,L154)*(1+M154/30),IF(C154="peso_corporal",IF(ISNUMBER(E154),E154,0)+O154,O154)*(1+P154/30),IF(C154="peso_corporal",IF(ISNUMBER(E154),E154,0)+R154,R154)*(1+S154/30)),1)),"--")</f>
        <v>--</v>
      </c>
      <c r="V154" s="23" t="str">
        <f>IF(SUGERENCIAS!N412="SIN","Sin datos anteriores",IF(SUGERENCIAS!N412="SUBIR_F","^ SUBIR FUERTE | Kg:"&amp;ROUND(SUGERENCIAS!K412,1)&amp;" R:"&amp;ROUND(SUGERENCIAS!L412,0)&amp;" RIR:"&amp;ROUND(SUGERENCIAS!M412,0),IF(SUGERENCIAS!N412="SUBIR_E","^ SUBIR (Est.) | Kg:"&amp;ROUND(SUGERENCIAS!K412,1)&amp;" R:"&amp;ROUND(SUGERENCIAS!L412,0)&amp;" RIR:"&amp;ROUND(SUGERENCIAS!M412,0),IF(SUGERENCIAS!N412="SUBIR","^ SUBIR | Kg:"&amp;ROUND(SUGERENCIAS!K412,1)&amp;" R:"&amp;ROUND(SUGERENCIAS!L412,0)&amp;" RIR:"&amp;ROUND(SUGERENCIAS!M412,0),IF(SUGERENCIAS!N412="BAJAR","v BAJAR | Kg:"&amp;ROUND(SUGERENCIAS!K412,1)&amp;" R:"&amp;ROUND(SUGERENCIAS!L412,0)&amp;" RIR:"&amp;ROUND(SUGERENCIAS!M412,0),"= MANT | Kg:"&amp;ROUND(SUGERENCIAS!K412,1)&amp;" R:"&amp;ROUND(SUGERENCIAS!L412,0)&amp;" RIR:"&amp;ROUND(SUGERENCIAS!M412,0))))))</f>
        <v>Sin datos anteriores</v>
      </c>
      <c r="W154" s="69">
        <f>MAX(IF((G154&gt;0)*(IF(H154="",-1,H154)&gt;=1)*(IF(H154="",-1,H154)&lt;=3),IF(C154="peso_corporal",IF(ISNUMBER(E154),E154,0)+F154,F154)*G154*1000+F154,0),IF((J154&gt;0)*(IF(K154="",-1,K154)&gt;=1)*(IF(K154="",-1,K154)&lt;=3),IF(C154="peso_corporal",IF(ISNUMBER(E154),E154,0)+I154,I154)*J154*1000+I154,0),IF((M154&gt;0)*(IF(N154="",-1,N154)&gt;=1)*(IF(N154="",-1,N154)&lt;=3),IF(C154="peso_corporal",IF(ISNUMBER(E154),E154,0)+L154,L154)*M154*1000+L154,0),IF((P154&gt;0)*(IF(Q154="",-1,Q154)&gt;=1)*(IF(Q154="",-1,Q154)&lt;=3),IF(C154="peso_corporal",IF(ISNUMBER(E154),E154,0)+O154,O154)*P154*1000+O154,0),IF((S154&gt;0)*(IF(T154="",-1,T154)&gt;=1)*(IF(T154="",-1,T154)&lt;=3),IF(C154="peso_corporal",IF(ISNUMBER(E154),E154,0)+R154,R154)*S154*1000+R154,0))</f>
        <v>0</v>
      </c>
      <c r="X154" s="69">
        <f>IF(W154=0,0,IF(IF((S154&gt;0)*(IF(T154="",-1,T154)&gt;=1)*(IF(T154="",-1,T154)&lt;=3),IF(C154="peso_corporal",IF(ISNUMBER(E154),E154,0)+R154,R154)*S154*1000+R154,0)=W154,5,IF(IF((P154&gt;0)*(IF(Q154="",-1,Q154)&gt;=1)*(IF(Q154="",-1,Q154)&lt;=3),IF(C154="peso_corporal",IF(ISNUMBER(E154),E154,0)+O154,O154)*P154*1000+O154,0)=W154,4,IF(IF((M154&gt;0)*(IF(N154="",-1,N154)&gt;=1)*(IF(N154="",-1,N154)&lt;=3),IF(C154="peso_corporal",IF(ISNUMBER(E154),E154,0)+L154,L154)*M154*1000+L154,0)=W154,3,IF(IF((J154&gt;0)*(IF(K154="",-1,K154)&gt;=1)*(IF(K154="",-1,K154)&lt;=3),IF(C154="peso_corporal",IF(ISNUMBER(E154),E154,0)+I154,I154)*J154*1000+I154,0)=W154,2,IF(IF((G154&gt;0)*(IF(H154="",-1,H154)&gt;=1)*(IF(H154="",-1,H154)&lt;=3),IF(C154="peso_corporal",IF(ISNUMBER(E154),E154,0)+F154,F154)*G154*1000+F154,0)=W154,1,0))))))</f>
        <v>0</v>
      </c>
      <c r="Y154" s="69">
        <f>MAX(IF((G154&gt;0)*(IF(H154="",-1,H154)=0)*(1-(IF(H154="",-1,H154)&gt;=1)*(IF(H154="",-1,H154)&lt;=3)),IF(C154="peso_corporal",IF(ISNUMBER(E154),E154,0)+F154,F154)*G154*1000+F154,0),IF((J154&gt;0)*(IF(K154="",-1,K154)=0)*(1-(IF(K154="",-1,K154)&gt;=1)*(IF(K154="",-1,K154)&lt;=3)),IF(C154="peso_corporal",IF(ISNUMBER(E154),E154,0)+I154,I154)*J154*1000+I154,0),IF((M154&gt;0)*(IF(N154="",-1,N154)=0)*(1-(IF(N154="",-1,N154)&gt;=1)*(IF(N154="",-1,N154)&lt;=3)),IF(C154="peso_corporal",IF(ISNUMBER(E154),E154,0)+L154,L154)*M154*1000+L154,0),IF((P154&gt;0)*(IF(Q154="",-1,Q154)=0)*(1-(IF(Q154="",-1,Q154)&gt;=1)*(IF(Q154="",-1,Q154)&lt;=3)),IF(C154="peso_corporal",IF(ISNUMBER(E154),E154,0)+O154,O154)*P154*1000+O154,0),IF((S154&gt;0)*(IF(T154="",-1,T154)=0)*(1-(IF(T154="",-1,T154)&gt;=1)*(IF(T154="",-1,T154)&lt;=3)),IF(C154="peso_corporal",IF(ISNUMBER(E154),E154,0)+R154,R154)*S154*1000+R154,0))</f>
        <v>0</v>
      </c>
      <c r="Z154" s="69">
        <f>IF(Y154=0,0,IF(IF((S154&gt;0)*(IF(T154="",-1,T154)=0)*(1-(IF(T154="",-1,T154)&gt;=1)*(IF(T154="",-1,T154)&lt;=3)),IF(C154="peso_corporal",IF(ISNUMBER(E154),E154,0)+R154,R154)*S154*1000+R154,0)=Y154,5,IF(IF((P154&gt;0)*(IF(Q154="",-1,Q154)=0)*(1-(IF(Q154="",-1,Q154)&gt;=1)*(IF(Q154="",-1,Q154)&lt;=3)),IF(C154="peso_corporal",IF(ISNUMBER(E154),E154,0)+O154,O154)*P154*1000+O154,0)=Y154,4,IF(IF((M154&gt;0)*(IF(N154="",-1,N154)=0)*(1-(IF(N154="",-1,N154)&gt;=1)*(IF(N154="",-1,N154)&lt;=3)),IF(C154="peso_corporal",IF(ISNUMBER(E154),E154,0)+L154,L154)*M154*1000+L154,0)=Y154,3,IF(IF((J154&gt;0)*(IF(K154="",-1,K154)=0)*(1-(IF(K154="",-1,K154)&gt;=1)*(IF(K154="",-1,K154)&lt;=3)),IF(C154="peso_corporal",IF(ISNUMBER(E154),E154,0)+I154,I154)*J154*1000+I154,0)=Y154,2,IF(IF((G154&gt;0)*(IF(H154="",-1,H154)=0)*(1-(IF(H154="",-1,H154)&gt;=1)*(IF(H154="",-1,H154)&lt;=3)),IF(C154="peso_corporal",IF(ISNUMBER(E154),E154,0)+F154,F154)*G154*1000+F154,0)=Y154,1,0))))))</f>
        <v>0</v>
      </c>
      <c r="AA154" s="69">
        <f>MAX(IF((G154&gt;=6)*(1-(IF(H154="",-1,H154)&gt;=1)*(IF(H154="",-1,H154)&lt;=3))*(1-(IF(H154="",-1,H154)=0)),IF(C154="peso_corporal",IF(ISNUMBER(E154),E154,0)+F154,F154)*(30+G154)*100+F154,0),IF((J154&gt;=6)*(1-(IF(K154="",-1,K154)&gt;=1)*(IF(K154="",-1,K154)&lt;=3))*(1-(IF(K154="",-1,K154)=0)),IF(C154="peso_corporal",IF(ISNUMBER(E154),E154,0)+I154,I154)*(30+J154)*100+I154,0),IF((M154&gt;=6)*(1-(IF(N154="",-1,N154)&gt;=1)*(IF(N154="",-1,N154)&lt;=3))*(1-(IF(N154="",-1,N154)=0)),IF(C154="peso_corporal",IF(ISNUMBER(E154),E154,0)+L154,L154)*(30+M154)*100+L154,0),IF((P154&gt;=6)*(1-(IF(Q154="",-1,Q154)&gt;=1)*(IF(Q154="",-1,Q154)&lt;=3))*(1-(IF(Q154="",-1,Q154)=0)),IF(C154="peso_corporal",IF(ISNUMBER(E154),E154,0)+O154,O154)*(30+P154)*100+O154,0),IF((S154&gt;=6)*(1-(IF(T154="",-1,T154)&gt;=1)*(IF(T154="",-1,T154)&lt;=3))*(1-(IF(T154="",-1,T154)=0)),IF(C154="peso_corporal",IF(ISNUMBER(E154),E154,0)+R154,R154)*(30+S154)*100+R154,0))</f>
        <v>0</v>
      </c>
      <c r="AB154" s="69">
        <f>IF(AA154=0,0,IF(IF((S154&gt;=6)*(1-(IF(T154="",-1,T154)&gt;=1)*(IF(T154="",-1,T154)&lt;=3))*(1-(IF(T154="",-1,T154)=0)),IF(C154="peso_corporal",IF(ISNUMBER(E154),E154,0)+R154,R154)*(30+S154)*100+R154,0)=AA154,5,IF(IF((P154&gt;=6)*(1-(IF(Q154="",-1,Q154)&gt;=1)*(IF(Q154="",-1,Q154)&lt;=3))*(1-(IF(Q154="",-1,Q154)=0)),IF(C154="peso_corporal",IF(ISNUMBER(E154),E154,0)+O154,O154)*(30+P154)*100+O154,0)=AA154,4,IF(IF((M154&gt;=6)*(1-(IF(N154="",-1,N154)&gt;=1)*(IF(N154="",-1,N154)&lt;=3))*(1-(IF(N154="",-1,N154)=0)),IF(C154="peso_corporal",IF(ISNUMBER(E154),E154,0)+L154,L154)*(30+M154)*100+L154,0)=AA154,3,IF(IF((J154&gt;=6)*(1-(IF(K154="",-1,K154)&gt;=1)*(IF(K154="",-1,K154)&lt;=3))*(1-(IF(K154="",-1,K154)=0)),IF(C154="peso_corporal",IF(ISNUMBER(E154),E154,0)+I154,I154)*(30+J154)*100+I154,0)=AA154,2,IF(IF((G154&gt;=6)*(1-(IF(H154="",-1,H154)&gt;=1)*(IF(H154="",-1,H154)&lt;=3))*(1-(IF(H154="",-1,H154)=0)),IF(C154="peso_corporal",IF(ISNUMBER(E154),E154,0)+F154,F154)*(30+G154)*100+F154,0)=AA154,1,0))))))</f>
        <v>0</v>
      </c>
      <c r="AC154" s="69" t="str">
        <f>IF(X154&gt;0,"A"&amp;X154,IF(Z154&gt;0,"B"&amp;Z154,IF(AB154&gt;0,"C"&amp;AB154,"")))</f>
        <v/>
      </c>
    </row>
    <row r="155" spans="1:29" ht="15" customHeight="1">
      <c r="A155" s="90" t="s">
        <v>142</v>
      </c>
      <c r="B155" s="73"/>
      <c r="C155" s="73"/>
      <c r="D155" s="73"/>
      <c r="E155" s="73"/>
      <c r="F155" s="73"/>
      <c r="G155" s="73"/>
      <c r="H155" s="73"/>
      <c r="I155" s="73"/>
      <c r="J155" s="73"/>
      <c r="K155" s="73"/>
      <c r="L155" s="73"/>
      <c r="M155" s="73"/>
      <c r="N155" s="73"/>
      <c r="O155" s="73"/>
      <c r="P155" s="73"/>
      <c r="Q155" s="73"/>
      <c r="R155" s="73"/>
      <c r="S155" s="73"/>
      <c r="T155" s="73"/>
      <c r="U155" s="73"/>
      <c r="V155" s="73"/>
      <c r="W155" s="69"/>
      <c r="X155" s="69"/>
      <c r="Y155" s="69"/>
      <c r="Z155" s="69"/>
      <c r="AA155" s="69"/>
      <c r="AB155" s="69"/>
      <c r="AC155" s="69"/>
    </row>
    <row r="156" spans="1:29" ht="20.100000000000001" customHeight="1">
      <c r="A156" s="14" t="s">
        <v>24</v>
      </c>
      <c r="B156" s="15" t="s">
        <v>143</v>
      </c>
      <c r="C156" s="16" t="str">
        <f>IFERROR(INDEX(EJERCICIOS!$D$3:$D$75,MATCH(A156&amp;"|"&amp;B156,EJERCICIOS!$G$3:$G$75,0)),"--")</f>
        <v>peso_corporal</v>
      </c>
      <c r="D156" s="17">
        <v>3</v>
      </c>
      <c r="E156" s="18">
        <f>IFERROR(LOOKUP(2,1/(MEDIDAS_Y_PESO!$B$3:$B$9&lt;&gt;""),MEDIDAS_Y_PESO!$B$3:$B$9),"--")</f>
        <v>80</v>
      </c>
      <c r="F156" s="19"/>
      <c r="G156" s="20"/>
      <c r="H156" s="21"/>
      <c r="I156" s="19"/>
      <c r="J156" s="20"/>
      <c r="K156" s="21"/>
      <c r="L156" s="19"/>
      <c r="M156" s="20"/>
      <c r="N156" s="21"/>
      <c r="O156" s="19"/>
      <c r="P156" s="20"/>
      <c r="Q156" s="21"/>
      <c r="R156" s="19"/>
      <c r="S156" s="20"/>
      <c r="T156" s="21"/>
      <c r="U156" s="22" t="str">
        <f>IFERROR(IF(IF(X156&gt;0,X156,IF(Z156&gt;0,Z156,IF(AB156&gt;0,AB156,0)))=0,"--",ROUND(CHOOSE(IF(X156&gt;0,X156,IF(Z156&gt;0,Z156,IF(AB156&gt;0,AB156,0))),IF(C156="peso_corporal",IF(ISNUMBER(E156),E156,0)+F156,F156)*(1+G156/30),IF(C156="peso_corporal",IF(ISNUMBER(E156),E156,0)+I156,I156)*(1+J156/30),IF(C156="peso_corporal",IF(ISNUMBER(E156),E156,0)+L156,L156)*(1+M156/30),IF(C156="peso_corporal",IF(ISNUMBER(E156),E156,0)+O156,O156)*(1+P156/30),IF(C156="peso_corporal",IF(ISNUMBER(E156),E156,0)+R156,R156)*(1+S156/30)),1)),"--")</f>
        <v>--</v>
      </c>
      <c r="V156" s="23" t="str">
        <f>IF(SUGERENCIAS!N413="SIN","Sin datos anteriores",IF(SUGERENCIAS!N413="SUBIR_F","^ SUBIR FUERTE | Kg:"&amp;ROUND(SUGERENCIAS!K413,1)&amp;" R:"&amp;ROUND(SUGERENCIAS!L413,0)&amp;" RIR:"&amp;ROUND(SUGERENCIAS!M413,0),IF(SUGERENCIAS!N413="SUBIR_E","^ SUBIR (Est.) | Kg:"&amp;ROUND(SUGERENCIAS!K413,1)&amp;" R:"&amp;ROUND(SUGERENCIAS!L413,0)&amp;" RIR:"&amp;ROUND(SUGERENCIAS!M413,0),IF(SUGERENCIAS!N413="SUBIR","^ SUBIR | Kg:"&amp;ROUND(SUGERENCIAS!K413,1)&amp;" R:"&amp;ROUND(SUGERENCIAS!L413,0)&amp;" RIR:"&amp;ROUND(SUGERENCIAS!M413,0),IF(SUGERENCIAS!N413="BAJAR","v BAJAR | Kg:"&amp;ROUND(SUGERENCIAS!K413,1)&amp;" R:"&amp;ROUND(SUGERENCIAS!L413,0)&amp;" RIR:"&amp;ROUND(SUGERENCIAS!M413,0),"= MANT | Kg:"&amp;ROUND(SUGERENCIAS!K413,1)&amp;" R:"&amp;ROUND(SUGERENCIAS!L413,0)&amp;" RIR:"&amp;ROUND(SUGERENCIAS!M413,0))))))</f>
        <v>Sin datos anteriores</v>
      </c>
      <c r="W156" s="69">
        <f>MAX(IF((G156&gt;0)*(IF(H156="",-1,H156)&gt;=1)*(IF(H156="",-1,H156)&lt;=3),IF(C156="peso_corporal",IF(ISNUMBER(E156),E156,0)+F156,F156)*G156*1000+F156,0),IF((J156&gt;0)*(IF(K156="",-1,K156)&gt;=1)*(IF(K156="",-1,K156)&lt;=3),IF(C156="peso_corporal",IF(ISNUMBER(E156),E156,0)+I156,I156)*J156*1000+I156,0),IF((M156&gt;0)*(IF(N156="",-1,N156)&gt;=1)*(IF(N156="",-1,N156)&lt;=3),IF(C156="peso_corporal",IF(ISNUMBER(E156),E156,0)+L156,L156)*M156*1000+L156,0),IF((P156&gt;0)*(IF(Q156="",-1,Q156)&gt;=1)*(IF(Q156="",-1,Q156)&lt;=3),IF(C156="peso_corporal",IF(ISNUMBER(E156),E156,0)+O156,O156)*P156*1000+O156,0),IF((S156&gt;0)*(IF(T156="",-1,T156)&gt;=1)*(IF(T156="",-1,T156)&lt;=3),IF(C156="peso_corporal",IF(ISNUMBER(E156),E156,0)+R156,R156)*S156*1000+R156,0))</f>
        <v>0</v>
      </c>
      <c r="X156" s="69">
        <f>IF(W156=0,0,IF(IF((S156&gt;0)*(IF(T156="",-1,T156)&gt;=1)*(IF(T156="",-1,T156)&lt;=3),IF(C156="peso_corporal",IF(ISNUMBER(E156),E156,0)+R156,R156)*S156*1000+R156,0)=W156,5,IF(IF((P156&gt;0)*(IF(Q156="",-1,Q156)&gt;=1)*(IF(Q156="",-1,Q156)&lt;=3),IF(C156="peso_corporal",IF(ISNUMBER(E156),E156,0)+O156,O156)*P156*1000+O156,0)=W156,4,IF(IF((M156&gt;0)*(IF(N156="",-1,N156)&gt;=1)*(IF(N156="",-1,N156)&lt;=3),IF(C156="peso_corporal",IF(ISNUMBER(E156),E156,0)+L156,L156)*M156*1000+L156,0)=W156,3,IF(IF((J156&gt;0)*(IF(K156="",-1,K156)&gt;=1)*(IF(K156="",-1,K156)&lt;=3),IF(C156="peso_corporal",IF(ISNUMBER(E156),E156,0)+I156,I156)*J156*1000+I156,0)=W156,2,IF(IF((G156&gt;0)*(IF(H156="",-1,H156)&gt;=1)*(IF(H156="",-1,H156)&lt;=3),IF(C156="peso_corporal",IF(ISNUMBER(E156),E156,0)+F156,F156)*G156*1000+F156,0)=W156,1,0))))))</f>
        <v>0</v>
      </c>
      <c r="Y156" s="69">
        <f>MAX(IF((G156&gt;0)*(IF(H156="",-1,H156)=0)*(1-(IF(H156="",-1,H156)&gt;=1)*(IF(H156="",-1,H156)&lt;=3)),IF(C156="peso_corporal",IF(ISNUMBER(E156),E156,0)+F156,F156)*G156*1000+F156,0),IF((J156&gt;0)*(IF(K156="",-1,K156)=0)*(1-(IF(K156="",-1,K156)&gt;=1)*(IF(K156="",-1,K156)&lt;=3)),IF(C156="peso_corporal",IF(ISNUMBER(E156),E156,0)+I156,I156)*J156*1000+I156,0),IF((M156&gt;0)*(IF(N156="",-1,N156)=0)*(1-(IF(N156="",-1,N156)&gt;=1)*(IF(N156="",-1,N156)&lt;=3)),IF(C156="peso_corporal",IF(ISNUMBER(E156),E156,0)+L156,L156)*M156*1000+L156,0),IF((P156&gt;0)*(IF(Q156="",-1,Q156)=0)*(1-(IF(Q156="",-1,Q156)&gt;=1)*(IF(Q156="",-1,Q156)&lt;=3)),IF(C156="peso_corporal",IF(ISNUMBER(E156),E156,0)+O156,O156)*P156*1000+O156,0),IF((S156&gt;0)*(IF(T156="",-1,T156)=0)*(1-(IF(T156="",-1,T156)&gt;=1)*(IF(T156="",-1,T156)&lt;=3)),IF(C156="peso_corporal",IF(ISNUMBER(E156),E156,0)+R156,R156)*S156*1000+R156,0))</f>
        <v>0</v>
      </c>
      <c r="Z156" s="69">
        <f>IF(Y156=0,0,IF(IF((S156&gt;0)*(IF(T156="",-1,T156)=0)*(1-(IF(T156="",-1,T156)&gt;=1)*(IF(T156="",-1,T156)&lt;=3)),IF(C156="peso_corporal",IF(ISNUMBER(E156),E156,0)+R156,R156)*S156*1000+R156,0)=Y156,5,IF(IF((P156&gt;0)*(IF(Q156="",-1,Q156)=0)*(1-(IF(Q156="",-1,Q156)&gt;=1)*(IF(Q156="",-1,Q156)&lt;=3)),IF(C156="peso_corporal",IF(ISNUMBER(E156),E156,0)+O156,O156)*P156*1000+O156,0)=Y156,4,IF(IF((M156&gt;0)*(IF(N156="",-1,N156)=0)*(1-(IF(N156="",-1,N156)&gt;=1)*(IF(N156="",-1,N156)&lt;=3)),IF(C156="peso_corporal",IF(ISNUMBER(E156),E156,0)+L156,L156)*M156*1000+L156,0)=Y156,3,IF(IF((J156&gt;0)*(IF(K156="",-1,K156)=0)*(1-(IF(K156="",-1,K156)&gt;=1)*(IF(K156="",-1,K156)&lt;=3)),IF(C156="peso_corporal",IF(ISNUMBER(E156),E156,0)+I156,I156)*J156*1000+I156,0)=Y156,2,IF(IF((G156&gt;0)*(IF(H156="",-1,H156)=0)*(1-(IF(H156="",-1,H156)&gt;=1)*(IF(H156="",-1,H156)&lt;=3)),IF(C156="peso_corporal",IF(ISNUMBER(E156),E156,0)+F156,F156)*G156*1000+F156,0)=Y156,1,0))))))</f>
        <v>0</v>
      </c>
      <c r="AA156" s="69">
        <f>MAX(IF((G156&gt;=6)*(1-(IF(H156="",-1,H156)&gt;=1)*(IF(H156="",-1,H156)&lt;=3))*(1-(IF(H156="",-1,H156)=0)),IF(C156="peso_corporal",IF(ISNUMBER(E156),E156,0)+F156,F156)*(30+G156)*100+F156,0),IF((J156&gt;=6)*(1-(IF(K156="",-1,K156)&gt;=1)*(IF(K156="",-1,K156)&lt;=3))*(1-(IF(K156="",-1,K156)=0)),IF(C156="peso_corporal",IF(ISNUMBER(E156),E156,0)+I156,I156)*(30+J156)*100+I156,0),IF((M156&gt;=6)*(1-(IF(N156="",-1,N156)&gt;=1)*(IF(N156="",-1,N156)&lt;=3))*(1-(IF(N156="",-1,N156)=0)),IF(C156="peso_corporal",IF(ISNUMBER(E156),E156,0)+L156,L156)*(30+M156)*100+L156,0),IF((P156&gt;=6)*(1-(IF(Q156="",-1,Q156)&gt;=1)*(IF(Q156="",-1,Q156)&lt;=3))*(1-(IF(Q156="",-1,Q156)=0)),IF(C156="peso_corporal",IF(ISNUMBER(E156),E156,0)+O156,O156)*(30+P156)*100+O156,0),IF((S156&gt;=6)*(1-(IF(T156="",-1,T156)&gt;=1)*(IF(T156="",-1,T156)&lt;=3))*(1-(IF(T156="",-1,T156)=0)),IF(C156="peso_corporal",IF(ISNUMBER(E156),E156,0)+R156,R156)*(30+S156)*100+R156,0))</f>
        <v>0</v>
      </c>
      <c r="AB156" s="69">
        <f>IF(AA156=0,0,IF(IF((S156&gt;=6)*(1-(IF(T156="",-1,T156)&gt;=1)*(IF(T156="",-1,T156)&lt;=3))*(1-(IF(T156="",-1,T156)=0)),IF(C156="peso_corporal",IF(ISNUMBER(E156),E156,0)+R156,R156)*(30+S156)*100+R156,0)=AA156,5,IF(IF((P156&gt;=6)*(1-(IF(Q156="",-1,Q156)&gt;=1)*(IF(Q156="",-1,Q156)&lt;=3))*(1-(IF(Q156="",-1,Q156)=0)),IF(C156="peso_corporal",IF(ISNUMBER(E156),E156,0)+O156,O156)*(30+P156)*100+O156,0)=AA156,4,IF(IF((M156&gt;=6)*(1-(IF(N156="",-1,N156)&gt;=1)*(IF(N156="",-1,N156)&lt;=3))*(1-(IF(N156="",-1,N156)=0)),IF(C156="peso_corporal",IF(ISNUMBER(E156),E156,0)+L156,L156)*(30+M156)*100+L156,0)=AA156,3,IF(IF((J156&gt;=6)*(1-(IF(K156="",-1,K156)&gt;=1)*(IF(K156="",-1,K156)&lt;=3))*(1-(IF(K156="",-1,K156)=0)),IF(C156="peso_corporal",IF(ISNUMBER(E156),E156,0)+I156,I156)*(30+J156)*100+I156,0)=AA156,2,IF(IF((G156&gt;=6)*(1-(IF(H156="",-1,H156)&gt;=1)*(IF(H156="",-1,H156)&lt;=3))*(1-(IF(H156="",-1,H156)=0)),IF(C156="peso_corporal",IF(ISNUMBER(E156),E156,0)+F156,F156)*(30+G156)*100+F156,0)=AA156,1,0))))))</f>
        <v>0</v>
      </c>
      <c r="AC156" s="69" t="str">
        <f>IF(X156&gt;0,"A"&amp;X156,IF(Z156&gt;0,"B"&amp;Z156,IF(AB156&gt;0,"C"&amp;AB156,"")))</f>
        <v/>
      </c>
    </row>
    <row r="157" spans="1:29" ht="20.100000000000001" customHeight="1">
      <c r="A157" s="14" t="s">
        <v>144</v>
      </c>
      <c r="B157" s="15" t="s">
        <v>60</v>
      </c>
      <c r="C157" s="16" t="str">
        <f>IFERROR(INDEX(EJERCICIOS!$D$3:$D$75,MATCH(A157&amp;"|"&amp;B157,EJERCICIOS!$G$3:$G$75,0)),"--")</f>
        <v>disco</v>
      </c>
      <c r="D157" s="17">
        <v>3</v>
      </c>
      <c r="E157" s="18">
        <f>IFERROR(LOOKUP(2,1/(MEDIDAS_Y_PESO!$B$3:$B$9&lt;&gt;""),MEDIDAS_Y_PESO!$B$3:$B$9),"--")</f>
        <v>80</v>
      </c>
      <c r="F157" s="19"/>
      <c r="G157" s="20"/>
      <c r="H157" s="21"/>
      <c r="I157" s="19"/>
      <c r="J157" s="20"/>
      <c r="K157" s="21"/>
      <c r="L157" s="19"/>
      <c r="M157" s="20"/>
      <c r="N157" s="21"/>
      <c r="O157" s="19"/>
      <c r="P157" s="20"/>
      <c r="Q157" s="21"/>
      <c r="R157" s="19"/>
      <c r="S157" s="20"/>
      <c r="T157" s="21"/>
      <c r="U157" s="22" t="str">
        <f>IFERROR(IF(IF(X157&gt;0,X157,IF(Z157&gt;0,Z157,IF(AB157&gt;0,AB157,0)))=0,"--",ROUND(CHOOSE(IF(X157&gt;0,X157,IF(Z157&gt;0,Z157,IF(AB157&gt;0,AB157,0))),IF(C157="peso_corporal",IF(ISNUMBER(E157),E157,0)+F157,F157)*(1+G157/30),IF(C157="peso_corporal",IF(ISNUMBER(E157),E157,0)+I157,I157)*(1+J157/30),IF(C157="peso_corporal",IF(ISNUMBER(E157),E157,0)+L157,L157)*(1+M157/30),IF(C157="peso_corporal",IF(ISNUMBER(E157),E157,0)+O157,O157)*(1+P157/30),IF(C157="peso_corporal",IF(ISNUMBER(E157),E157,0)+R157,R157)*(1+S157/30)),1)),"--")</f>
        <v>--</v>
      </c>
      <c r="V157" s="23" t="str">
        <f>IF(SUGERENCIAS!N414="SIN","Sin datos anteriores",IF(SUGERENCIAS!N414="SUBIR_F","^ SUBIR FUERTE | Kg:"&amp;ROUND(SUGERENCIAS!K414,1)&amp;" R:"&amp;ROUND(SUGERENCIAS!L414,0)&amp;" RIR:"&amp;ROUND(SUGERENCIAS!M414,0),IF(SUGERENCIAS!N414="SUBIR_E","^ SUBIR (Est.) | Kg:"&amp;ROUND(SUGERENCIAS!K414,1)&amp;" R:"&amp;ROUND(SUGERENCIAS!L414,0)&amp;" RIR:"&amp;ROUND(SUGERENCIAS!M414,0),IF(SUGERENCIAS!N414="SUBIR","^ SUBIR | Kg:"&amp;ROUND(SUGERENCIAS!K414,1)&amp;" R:"&amp;ROUND(SUGERENCIAS!L414,0)&amp;" RIR:"&amp;ROUND(SUGERENCIAS!M414,0),IF(SUGERENCIAS!N414="BAJAR","v BAJAR | Kg:"&amp;ROUND(SUGERENCIAS!K414,1)&amp;" R:"&amp;ROUND(SUGERENCIAS!L414,0)&amp;" RIR:"&amp;ROUND(SUGERENCIAS!M414,0),"= MANT | Kg:"&amp;ROUND(SUGERENCIAS!K414,1)&amp;" R:"&amp;ROUND(SUGERENCIAS!L414,0)&amp;" RIR:"&amp;ROUND(SUGERENCIAS!M414,0))))))</f>
        <v>Sin datos anteriores</v>
      </c>
      <c r="W157" s="69">
        <f>MAX(IF((G157&gt;0)*(IF(H157="",-1,H157)&gt;=1)*(IF(H157="",-1,H157)&lt;=3),IF(C157="peso_corporal",IF(ISNUMBER(E157),E157,0)+F157,F157)*G157*1000+F157,0),IF((J157&gt;0)*(IF(K157="",-1,K157)&gt;=1)*(IF(K157="",-1,K157)&lt;=3),IF(C157="peso_corporal",IF(ISNUMBER(E157),E157,0)+I157,I157)*J157*1000+I157,0),IF((M157&gt;0)*(IF(N157="",-1,N157)&gt;=1)*(IF(N157="",-1,N157)&lt;=3),IF(C157="peso_corporal",IF(ISNUMBER(E157),E157,0)+L157,L157)*M157*1000+L157,0),IF((P157&gt;0)*(IF(Q157="",-1,Q157)&gt;=1)*(IF(Q157="",-1,Q157)&lt;=3),IF(C157="peso_corporal",IF(ISNUMBER(E157),E157,0)+O157,O157)*P157*1000+O157,0),IF((S157&gt;0)*(IF(T157="",-1,T157)&gt;=1)*(IF(T157="",-1,T157)&lt;=3),IF(C157="peso_corporal",IF(ISNUMBER(E157),E157,0)+R157,R157)*S157*1000+R157,0))</f>
        <v>0</v>
      </c>
      <c r="X157" s="69">
        <f>IF(W157=0,0,IF(IF((S157&gt;0)*(IF(T157="",-1,T157)&gt;=1)*(IF(T157="",-1,T157)&lt;=3),IF(C157="peso_corporal",IF(ISNUMBER(E157),E157,0)+R157,R157)*S157*1000+R157,0)=W157,5,IF(IF((P157&gt;0)*(IF(Q157="",-1,Q157)&gt;=1)*(IF(Q157="",-1,Q157)&lt;=3),IF(C157="peso_corporal",IF(ISNUMBER(E157),E157,0)+O157,O157)*P157*1000+O157,0)=W157,4,IF(IF((M157&gt;0)*(IF(N157="",-1,N157)&gt;=1)*(IF(N157="",-1,N157)&lt;=3),IF(C157="peso_corporal",IF(ISNUMBER(E157),E157,0)+L157,L157)*M157*1000+L157,0)=W157,3,IF(IF((J157&gt;0)*(IF(K157="",-1,K157)&gt;=1)*(IF(K157="",-1,K157)&lt;=3),IF(C157="peso_corporal",IF(ISNUMBER(E157),E157,0)+I157,I157)*J157*1000+I157,0)=W157,2,IF(IF((G157&gt;0)*(IF(H157="",-1,H157)&gt;=1)*(IF(H157="",-1,H157)&lt;=3),IF(C157="peso_corporal",IF(ISNUMBER(E157),E157,0)+F157,F157)*G157*1000+F157,0)=W157,1,0))))))</f>
        <v>0</v>
      </c>
      <c r="Y157" s="69">
        <f>MAX(IF((G157&gt;0)*(IF(H157="",-1,H157)=0)*(1-(IF(H157="",-1,H157)&gt;=1)*(IF(H157="",-1,H157)&lt;=3)),IF(C157="peso_corporal",IF(ISNUMBER(E157),E157,0)+F157,F157)*G157*1000+F157,0),IF((J157&gt;0)*(IF(K157="",-1,K157)=0)*(1-(IF(K157="",-1,K157)&gt;=1)*(IF(K157="",-1,K157)&lt;=3)),IF(C157="peso_corporal",IF(ISNUMBER(E157),E157,0)+I157,I157)*J157*1000+I157,0),IF((M157&gt;0)*(IF(N157="",-1,N157)=0)*(1-(IF(N157="",-1,N157)&gt;=1)*(IF(N157="",-1,N157)&lt;=3)),IF(C157="peso_corporal",IF(ISNUMBER(E157),E157,0)+L157,L157)*M157*1000+L157,0),IF((P157&gt;0)*(IF(Q157="",-1,Q157)=0)*(1-(IF(Q157="",-1,Q157)&gt;=1)*(IF(Q157="",-1,Q157)&lt;=3)),IF(C157="peso_corporal",IF(ISNUMBER(E157),E157,0)+O157,O157)*P157*1000+O157,0),IF((S157&gt;0)*(IF(T157="",-1,T157)=0)*(1-(IF(T157="",-1,T157)&gt;=1)*(IF(T157="",-1,T157)&lt;=3)),IF(C157="peso_corporal",IF(ISNUMBER(E157),E157,0)+R157,R157)*S157*1000+R157,0))</f>
        <v>0</v>
      </c>
      <c r="Z157" s="69">
        <f>IF(Y157=0,0,IF(IF((S157&gt;0)*(IF(T157="",-1,T157)=0)*(1-(IF(T157="",-1,T157)&gt;=1)*(IF(T157="",-1,T157)&lt;=3)),IF(C157="peso_corporal",IF(ISNUMBER(E157),E157,0)+R157,R157)*S157*1000+R157,0)=Y157,5,IF(IF((P157&gt;0)*(IF(Q157="",-1,Q157)=0)*(1-(IF(Q157="",-1,Q157)&gt;=1)*(IF(Q157="",-1,Q157)&lt;=3)),IF(C157="peso_corporal",IF(ISNUMBER(E157),E157,0)+O157,O157)*P157*1000+O157,0)=Y157,4,IF(IF((M157&gt;0)*(IF(N157="",-1,N157)=0)*(1-(IF(N157="",-1,N157)&gt;=1)*(IF(N157="",-1,N157)&lt;=3)),IF(C157="peso_corporal",IF(ISNUMBER(E157),E157,0)+L157,L157)*M157*1000+L157,0)=Y157,3,IF(IF((J157&gt;0)*(IF(K157="",-1,K157)=0)*(1-(IF(K157="",-1,K157)&gt;=1)*(IF(K157="",-1,K157)&lt;=3)),IF(C157="peso_corporal",IF(ISNUMBER(E157),E157,0)+I157,I157)*J157*1000+I157,0)=Y157,2,IF(IF((G157&gt;0)*(IF(H157="",-1,H157)=0)*(1-(IF(H157="",-1,H157)&gt;=1)*(IF(H157="",-1,H157)&lt;=3)),IF(C157="peso_corporal",IF(ISNUMBER(E157),E157,0)+F157,F157)*G157*1000+F157,0)=Y157,1,0))))))</f>
        <v>0</v>
      </c>
      <c r="AA157" s="69">
        <f>MAX(IF((G157&gt;=6)*(1-(IF(H157="",-1,H157)&gt;=1)*(IF(H157="",-1,H157)&lt;=3))*(1-(IF(H157="",-1,H157)=0)),IF(C157="peso_corporal",IF(ISNUMBER(E157),E157,0)+F157,F157)*(30+G157)*100+F157,0),IF((J157&gt;=6)*(1-(IF(K157="",-1,K157)&gt;=1)*(IF(K157="",-1,K157)&lt;=3))*(1-(IF(K157="",-1,K157)=0)),IF(C157="peso_corporal",IF(ISNUMBER(E157),E157,0)+I157,I157)*(30+J157)*100+I157,0),IF((M157&gt;=6)*(1-(IF(N157="",-1,N157)&gt;=1)*(IF(N157="",-1,N157)&lt;=3))*(1-(IF(N157="",-1,N157)=0)),IF(C157="peso_corporal",IF(ISNUMBER(E157),E157,0)+L157,L157)*(30+M157)*100+L157,0),IF((P157&gt;=6)*(1-(IF(Q157="",-1,Q157)&gt;=1)*(IF(Q157="",-1,Q157)&lt;=3))*(1-(IF(Q157="",-1,Q157)=0)),IF(C157="peso_corporal",IF(ISNUMBER(E157),E157,0)+O157,O157)*(30+P157)*100+O157,0),IF((S157&gt;=6)*(1-(IF(T157="",-1,T157)&gt;=1)*(IF(T157="",-1,T157)&lt;=3))*(1-(IF(T157="",-1,T157)=0)),IF(C157="peso_corporal",IF(ISNUMBER(E157),E157,0)+R157,R157)*(30+S157)*100+R157,0))</f>
        <v>0</v>
      </c>
      <c r="AB157" s="69">
        <f>IF(AA157=0,0,IF(IF((S157&gt;=6)*(1-(IF(T157="",-1,T157)&gt;=1)*(IF(T157="",-1,T157)&lt;=3))*(1-(IF(T157="",-1,T157)=0)),IF(C157="peso_corporal",IF(ISNUMBER(E157),E157,0)+R157,R157)*(30+S157)*100+R157,0)=AA157,5,IF(IF((P157&gt;=6)*(1-(IF(Q157="",-1,Q157)&gt;=1)*(IF(Q157="",-1,Q157)&lt;=3))*(1-(IF(Q157="",-1,Q157)=0)),IF(C157="peso_corporal",IF(ISNUMBER(E157),E157,0)+O157,O157)*(30+P157)*100+O157,0)=AA157,4,IF(IF((M157&gt;=6)*(1-(IF(N157="",-1,N157)&gt;=1)*(IF(N157="",-1,N157)&lt;=3))*(1-(IF(N157="",-1,N157)=0)),IF(C157="peso_corporal",IF(ISNUMBER(E157),E157,0)+L157,L157)*(30+M157)*100+L157,0)=AA157,3,IF(IF((J157&gt;=6)*(1-(IF(K157="",-1,K157)&gt;=1)*(IF(K157="",-1,K157)&lt;=3))*(1-(IF(K157="",-1,K157)=0)),IF(C157="peso_corporal",IF(ISNUMBER(E157),E157,0)+I157,I157)*(30+J157)*100+I157,0)=AA157,2,IF(IF((G157&gt;=6)*(1-(IF(H157="",-1,H157)&gt;=1)*(IF(H157="",-1,H157)&lt;=3))*(1-(IF(H157="",-1,H157)=0)),IF(C157="peso_corporal",IF(ISNUMBER(E157),E157,0)+F157,F157)*(30+G157)*100+F157,0)=AA157,1,0))))))</f>
        <v>0</v>
      </c>
      <c r="AC157" s="69" t="str">
        <f>IF(X157&gt;0,"A"&amp;X157,IF(Z157&gt;0,"B"&amp;Z157,IF(AB157&gt;0,"C"&amp;AB157,"")))</f>
        <v/>
      </c>
    </row>
    <row r="158" spans="1:29" ht="15" customHeight="1">
      <c r="A158" s="91" t="s">
        <v>145</v>
      </c>
      <c r="B158" s="73"/>
      <c r="C158" s="73"/>
      <c r="D158" s="73"/>
      <c r="E158" s="73"/>
      <c r="F158" s="73"/>
      <c r="G158" s="73"/>
      <c r="H158" s="73"/>
      <c r="I158" s="73"/>
      <c r="J158" s="73"/>
      <c r="K158" s="73"/>
      <c r="L158" s="73"/>
      <c r="M158" s="73"/>
      <c r="N158" s="73"/>
      <c r="O158" s="73"/>
      <c r="P158" s="73"/>
      <c r="Q158" s="73"/>
      <c r="R158" s="73"/>
      <c r="S158" s="73"/>
      <c r="T158" s="73"/>
      <c r="U158" s="73"/>
      <c r="V158" s="73"/>
      <c r="W158" s="69"/>
      <c r="X158" s="69"/>
      <c r="Y158" s="69"/>
      <c r="Z158" s="69"/>
      <c r="AA158" s="69"/>
      <c r="AB158" s="69"/>
      <c r="AC158" s="69"/>
    </row>
    <row r="159" spans="1:29" ht="20.100000000000001" customHeight="1">
      <c r="A159" s="14" t="s">
        <v>57</v>
      </c>
      <c r="B159" s="15" t="s">
        <v>58</v>
      </c>
      <c r="C159" s="16" t="str">
        <f>IFERROR(INDEX(EJERCICIOS!$D$3:$D$75,MATCH(A159&amp;"|"&amp;B159,EJERCICIOS!$G$3:$G$75,0)),"--")</f>
        <v>polea</v>
      </c>
      <c r="D159" s="17">
        <v>3</v>
      </c>
      <c r="E159" s="18">
        <f>IFERROR(LOOKUP(2,1/(MEDIDAS_Y_PESO!$B$3:$B$9&lt;&gt;""),MEDIDAS_Y_PESO!$B$3:$B$9),"--")</f>
        <v>80</v>
      </c>
      <c r="F159" s="19"/>
      <c r="G159" s="20"/>
      <c r="H159" s="21"/>
      <c r="I159" s="19"/>
      <c r="J159" s="20"/>
      <c r="K159" s="21"/>
      <c r="L159" s="19"/>
      <c r="M159" s="20"/>
      <c r="N159" s="21"/>
      <c r="O159" s="19"/>
      <c r="P159" s="20"/>
      <c r="Q159" s="21"/>
      <c r="R159" s="19"/>
      <c r="S159" s="20"/>
      <c r="T159" s="21"/>
      <c r="U159" s="22" t="str">
        <f>IFERROR(IF(IF(X159&gt;0,X159,IF(Z159&gt;0,Z159,IF(AB159&gt;0,AB159,0)))=0,"--",ROUND(CHOOSE(IF(X159&gt;0,X159,IF(Z159&gt;0,Z159,IF(AB159&gt;0,AB159,0))),IF(C159="peso_corporal",IF(ISNUMBER(E159),E159,0)+F159,F159)*(1+G159/30),IF(C159="peso_corporal",IF(ISNUMBER(E159),E159,0)+I159,I159)*(1+J159/30),IF(C159="peso_corporal",IF(ISNUMBER(E159),E159,0)+L159,L159)*(1+M159/30),IF(C159="peso_corporal",IF(ISNUMBER(E159),E159,0)+O159,O159)*(1+P159/30),IF(C159="peso_corporal",IF(ISNUMBER(E159),E159,0)+R159,R159)*(1+S159/30)),1)),"--")</f>
        <v>--</v>
      </c>
      <c r="V159" s="23" t="str">
        <f>IF(SUGERENCIAS!N415="SIN","Sin datos anteriores",IF(SUGERENCIAS!N415="SUBIR_F","^ SUBIR FUERTE | Kg:"&amp;ROUND(SUGERENCIAS!K415,1)&amp;" R:"&amp;ROUND(SUGERENCIAS!L415,0)&amp;" RIR:"&amp;ROUND(SUGERENCIAS!M415,0),IF(SUGERENCIAS!N415="SUBIR_E","^ SUBIR (Est.) | Kg:"&amp;ROUND(SUGERENCIAS!K415,1)&amp;" R:"&amp;ROUND(SUGERENCIAS!L415,0)&amp;" RIR:"&amp;ROUND(SUGERENCIAS!M415,0),IF(SUGERENCIAS!N415="SUBIR","^ SUBIR | Kg:"&amp;ROUND(SUGERENCIAS!K415,1)&amp;" R:"&amp;ROUND(SUGERENCIAS!L415,0)&amp;" RIR:"&amp;ROUND(SUGERENCIAS!M415,0),IF(SUGERENCIAS!N415="BAJAR","v BAJAR | Kg:"&amp;ROUND(SUGERENCIAS!K415,1)&amp;" R:"&amp;ROUND(SUGERENCIAS!L415,0)&amp;" RIR:"&amp;ROUND(SUGERENCIAS!M415,0),"= MANT | Kg:"&amp;ROUND(SUGERENCIAS!K415,1)&amp;" R:"&amp;ROUND(SUGERENCIAS!L415,0)&amp;" RIR:"&amp;ROUND(SUGERENCIAS!M415,0))))))</f>
        <v>Sin datos anteriores</v>
      </c>
      <c r="W159" s="69">
        <f>MAX(IF((G159&gt;0)*(IF(H159="",-1,H159)&gt;=1)*(IF(H159="",-1,H159)&lt;=3),IF(C159="peso_corporal",IF(ISNUMBER(E159),E159,0)+F159,F159)*G159*1000+F159,0),IF((J159&gt;0)*(IF(K159="",-1,K159)&gt;=1)*(IF(K159="",-1,K159)&lt;=3),IF(C159="peso_corporal",IF(ISNUMBER(E159),E159,0)+I159,I159)*J159*1000+I159,0),IF((M159&gt;0)*(IF(N159="",-1,N159)&gt;=1)*(IF(N159="",-1,N159)&lt;=3),IF(C159="peso_corporal",IF(ISNUMBER(E159),E159,0)+L159,L159)*M159*1000+L159,0),IF((P159&gt;0)*(IF(Q159="",-1,Q159)&gt;=1)*(IF(Q159="",-1,Q159)&lt;=3),IF(C159="peso_corporal",IF(ISNUMBER(E159),E159,0)+O159,O159)*P159*1000+O159,0),IF((S159&gt;0)*(IF(T159="",-1,T159)&gt;=1)*(IF(T159="",-1,T159)&lt;=3),IF(C159="peso_corporal",IF(ISNUMBER(E159),E159,0)+R159,R159)*S159*1000+R159,0))</f>
        <v>0</v>
      </c>
      <c r="X159" s="69">
        <f>IF(W159=0,0,IF(IF((S159&gt;0)*(IF(T159="",-1,T159)&gt;=1)*(IF(T159="",-1,T159)&lt;=3),IF(C159="peso_corporal",IF(ISNUMBER(E159),E159,0)+R159,R159)*S159*1000+R159,0)=W159,5,IF(IF((P159&gt;0)*(IF(Q159="",-1,Q159)&gt;=1)*(IF(Q159="",-1,Q159)&lt;=3),IF(C159="peso_corporal",IF(ISNUMBER(E159),E159,0)+O159,O159)*P159*1000+O159,0)=W159,4,IF(IF((M159&gt;0)*(IF(N159="",-1,N159)&gt;=1)*(IF(N159="",-1,N159)&lt;=3),IF(C159="peso_corporal",IF(ISNUMBER(E159),E159,0)+L159,L159)*M159*1000+L159,0)=W159,3,IF(IF((J159&gt;0)*(IF(K159="",-1,K159)&gt;=1)*(IF(K159="",-1,K159)&lt;=3),IF(C159="peso_corporal",IF(ISNUMBER(E159),E159,0)+I159,I159)*J159*1000+I159,0)=W159,2,IF(IF((G159&gt;0)*(IF(H159="",-1,H159)&gt;=1)*(IF(H159="",-1,H159)&lt;=3),IF(C159="peso_corporal",IF(ISNUMBER(E159),E159,0)+F159,F159)*G159*1000+F159,0)=W159,1,0))))))</f>
        <v>0</v>
      </c>
      <c r="Y159" s="69">
        <f>MAX(IF((G159&gt;0)*(IF(H159="",-1,H159)=0)*(1-(IF(H159="",-1,H159)&gt;=1)*(IF(H159="",-1,H159)&lt;=3)),IF(C159="peso_corporal",IF(ISNUMBER(E159),E159,0)+F159,F159)*G159*1000+F159,0),IF((J159&gt;0)*(IF(K159="",-1,K159)=0)*(1-(IF(K159="",-1,K159)&gt;=1)*(IF(K159="",-1,K159)&lt;=3)),IF(C159="peso_corporal",IF(ISNUMBER(E159),E159,0)+I159,I159)*J159*1000+I159,0),IF((M159&gt;0)*(IF(N159="",-1,N159)=0)*(1-(IF(N159="",-1,N159)&gt;=1)*(IF(N159="",-1,N159)&lt;=3)),IF(C159="peso_corporal",IF(ISNUMBER(E159),E159,0)+L159,L159)*M159*1000+L159,0),IF((P159&gt;0)*(IF(Q159="",-1,Q159)=0)*(1-(IF(Q159="",-1,Q159)&gt;=1)*(IF(Q159="",-1,Q159)&lt;=3)),IF(C159="peso_corporal",IF(ISNUMBER(E159),E159,0)+O159,O159)*P159*1000+O159,0),IF((S159&gt;0)*(IF(T159="",-1,T159)=0)*(1-(IF(T159="",-1,T159)&gt;=1)*(IF(T159="",-1,T159)&lt;=3)),IF(C159="peso_corporal",IF(ISNUMBER(E159),E159,0)+R159,R159)*S159*1000+R159,0))</f>
        <v>0</v>
      </c>
      <c r="Z159" s="69">
        <f>IF(Y159=0,0,IF(IF((S159&gt;0)*(IF(T159="",-1,T159)=0)*(1-(IF(T159="",-1,T159)&gt;=1)*(IF(T159="",-1,T159)&lt;=3)),IF(C159="peso_corporal",IF(ISNUMBER(E159),E159,0)+R159,R159)*S159*1000+R159,0)=Y159,5,IF(IF((P159&gt;0)*(IF(Q159="",-1,Q159)=0)*(1-(IF(Q159="",-1,Q159)&gt;=1)*(IF(Q159="",-1,Q159)&lt;=3)),IF(C159="peso_corporal",IF(ISNUMBER(E159),E159,0)+O159,O159)*P159*1000+O159,0)=Y159,4,IF(IF((M159&gt;0)*(IF(N159="",-1,N159)=0)*(1-(IF(N159="",-1,N159)&gt;=1)*(IF(N159="",-1,N159)&lt;=3)),IF(C159="peso_corporal",IF(ISNUMBER(E159),E159,0)+L159,L159)*M159*1000+L159,0)=Y159,3,IF(IF((J159&gt;0)*(IF(K159="",-1,K159)=0)*(1-(IF(K159="",-1,K159)&gt;=1)*(IF(K159="",-1,K159)&lt;=3)),IF(C159="peso_corporal",IF(ISNUMBER(E159),E159,0)+I159,I159)*J159*1000+I159,0)=Y159,2,IF(IF((G159&gt;0)*(IF(H159="",-1,H159)=0)*(1-(IF(H159="",-1,H159)&gt;=1)*(IF(H159="",-1,H159)&lt;=3)),IF(C159="peso_corporal",IF(ISNUMBER(E159),E159,0)+F159,F159)*G159*1000+F159,0)=Y159,1,0))))))</f>
        <v>0</v>
      </c>
      <c r="AA159" s="69">
        <f>MAX(IF((G159&gt;=6)*(1-(IF(H159="",-1,H159)&gt;=1)*(IF(H159="",-1,H159)&lt;=3))*(1-(IF(H159="",-1,H159)=0)),IF(C159="peso_corporal",IF(ISNUMBER(E159),E159,0)+F159,F159)*(30+G159)*100+F159,0),IF((J159&gt;=6)*(1-(IF(K159="",-1,K159)&gt;=1)*(IF(K159="",-1,K159)&lt;=3))*(1-(IF(K159="",-1,K159)=0)),IF(C159="peso_corporal",IF(ISNUMBER(E159),E159,0)+I159,I159)*(30+J159)*100+I159,0),IF((M159&gt;=6)*(1-(IF(N159="",-1,N159)&gt;=1)*(IF(N159="",-1,N159)&lt;=3))*(1-(IF(N159="",-1,N159)=0)),IF(C159="peso_corporal",IF(ISNUMBER(E159),E159,0)+L159,L159)*(30+M159)*100+L159,0),IF((P159&gt;=6)*(1-(IF(Q159="",-1,Q159)&gt;=1)*(IF(Q159="",-1,Q159)&lt;=3))*(1-(IF(Q159="",-1,Q159)=0)),IF(C159="peso_corporal",IF(ISNUMBER(E159),E159,0)+O159,O159)*(30+P159)*100+O159,0),IF((S159&gt;=6)*(1-(IF(T159="",-1,T159)&gt;=1)*(IF(T159="",-1,T159)&lt;=3))*(1-(IF(T159="",-1,T159)=0)),IF(C159="peso_corporal",IF(ISNUMBER(E159),E159,0)+R159,R159)*(30+S159)*100+R159,0))</f>
        <v>0</v>
      </c>
      <c r="AB159" s="69">
        <f>IF(AA159=0,0,IF(IF((S159&gt;=6)*(1-(IF(T159="",-1,T159)&gt;=1)*(IF(T159="",-1,T159)&lt;=3))*(1-(IF(T159="",-1,T159)=0)),IF(C159="peso_corporal",IF(ISNUMBER(E159),E159,0)+R159,R159)*(30+S159)*100+R159,0)=AA159,5,IF(IF((P159&gt;=6)*(1-(IF(Q159="",-1,Q159)&gt;=1)*(IF(Q159="",-1,Q159)&lt;=3))*(1-(IF(Q159="",-1,Q159)=0)),IF(C159="peso_corporal",IF(ISNUMBER(E159),E159,0)+O159,O159)*(30+P159)*100+O159,0)=AA159,4,IF(IF((M159&gt;=6)*(1-(IF(N159="",-1,N159)&gt;=1)*(IF(N159="",-1,N159)&lt;=3))*(1-(IF(N159="",-1,N159)=0)),IF(C159="peso_corporal",IF(ISNUMBER(E159),E159,0)+L159,L159)*(30+M159)*100+L159,0)=AA159,3,IF(IF((J159&gt;=6)*(1-(IF(K159="",-1,K159)&gt;=1)*(IF(K159="",-1,K159)&lt;=3))*(1-(IF(K159="",-1,K159)=0)),IF(C159="peso_corporal",IF(ISNUMBER(E159),E159,0)+I159,I159)*(30+J159)*100+I159,0)=AA159,2,IF(IF((G159&gt;=6)*(1-(IF(H159="",-1,H159)&gt;=1)*(IF(H159="",-1,H159)&lt;=3))*(1-(IF(H159="",-1,H159)=0)),IF(C159="peso_corporal",IF(ISNUMBER(E159),E159,0)+F159,F159)*(30+G159)*100+F159,0)=AA159,1,0))))))</f>
        <v>0</v>
      </c>
      <c r="AC159" s="69" t="str">
        <f>IF(X159&gt;0,"A"&amp;X159,IF(Z159&gt;0,"B"&amp;Z159,IF(AB159&gt;0,"C"&amp;AB159,"")))</f>
        <v/>
      </c>
    </row>
    <row r="160" spans="1:29" ht="20.100000000000001" customHeight="1">
      <c r="A160" s="14" t="s">
        <v>146</v>
      </c>
      <c r="B160" s="15" t="s">
        <v>152</v>
      </c>
      <c r="C160" s="16" t="str">
        <f>IFERROR(INDEX(EJERCICIOS!$D$3:$D$75,MATCH(A160&amp;"|"&amp;B160,EJERCICIOS!$G$3:$G$75,0)),"--")</f>
        <v>--</v>
      </c>
      <c r="D160" s="17">
        <v>3</v>
      </c>
      <c r="E160" s="18">
        <f>IFERROR(LOOKUP(2,1/(MEDIDAS_Y_PESO!$B$3:$B$9&lt;&gt;""),MEDIDAS_Y_PESO!$B$3:$B$9),"--")</f>
        <v>80</v>
      </c>
      <c r="F160" s="19"/>
      <c r="G160" s="20"/>
      <c r="H160" s="21"/>
      <c r="I160" s="19"/>
      <c r="J160" s="20"/>
      <c r="K160" s="21"/>
      <c r="L160" s="19"/>
      <c r="M160" s="20"/>
      <c r="N160" s="21"/>
      <c r="O160" s="19"/>
      <c r="P160" s="20"/>
      <c r="Q160" s="21"/>
      <c r="R160" s="19"/>
      <c r="S160" s="20"/>
      <c r="T160" s="21"/>
      <c r="U160" s="22" t="str">
        <f>IFERROR(IF(IF(X160&gt;0,X160,IF(Z160&gt;0,Z160,IF(AB160&gt;0,AB160,0)))=0,"--",ROUND(CHOOSE(IF(X160&gt;0,X160,IF(Z160&gt;0,Z160,IF(AB160&gt;0,AB160,0))),IF(C160="peso_corporal",IF(ISNUMBER(E160),E160,0)+F160,F160)*(1+G160/30),IF(C160="peso_corporal",IF(ISNUMBER(E160),E160,0)+I160,I160)*(1+J160/30),IF(C160="peso_corporal",IF(ISNUMBER(E160),E160,0)+L160,L160)*(1+M160/30),IF(C160="peso_corporal",IF(ISNUMBER(E160),E160,0)+O160,O160)*(1+P160/30),IF(C160="peso_corporal",IF(ISNUMBER(E160),E160,0)+R160,R160)*(1+S160/30)),1)),"--")</f>
        <v>--</v>
      </c>
      <c r="V160" s="23" t="str">
        <f>IF(SUGERENCIAS!N416="SIN","Sin datos anteriores",IF(SUGERENCIAS!N416="SUBIR_F","^ SUBIR FUERTE | Kg:"&amp;ROUND(SUGERENCIAS!K416,1)&amp;" R:"&amp;ROUND(SUGERENCIAS!L416,0)&amp;" RIR:"&amp;ROUND(SUGERENCIAS!M416,0),IF(SUGERENCIAS!N416="SUBIR_E","^ SUBIR (Est.) | Kg:"&amp;ROUND(SUGERENCIAS!K416,1)&amp;" R:"&amp;ROUND(SUGERENCIAS!L416,0)&amp;" RIR:"&amp;ROUND(SUGERENCIAS!M416,0),IF(SUGERENCIAS!N416="SUBIR","^ SUBIR | Kg:"&amp;ROUND(SUGERENCIAS!K416,1)&amp;" R:"&amp;ROUND(SUGERENCIAS!L416,0)&amp;" RIR:"&amp;ROUND(SUGERENCIAS!M416,0),IF(SUGERENCIAS!N416="BAJAR","v BAJAR | Kg:"&amp;ROUND(SUGERENCIAS!K416,1)&amp;" R:"&amp;ROUND(SUGERENCIAS!L416,0)&amp;" RIR:"&amp;ROUND(SUGERENCIAS!M416,0),"= MANT | Kg:"&amp;ROUND(SUGERENCIAS!K416,1)&amp;" R:"&amp;ROUND(SUGERENCIAS!L416,0)&amp;" RIR:"&amp;ROUND(SUGERENCIAS!M416,0))))))</f>
        <v>Sin datos anteriores</v>
      </c>
      <c r="W160" s="69">
        <f>MAX(IF((G160&gt;0)*(IF(H160="",-1,H160)&gt;=1)*(IF(H160="",-1,H160)&lt;=3),IF(C160="peso_corporal",IF(ISNUMBER(E160),E160,0)+F160,F160)*G160*1000+F160,0),IF((J160&gt;0)*(IF(K160="",-1,K160)&gt;=1)*(IF(K160="",-1,K160)&lt;=3),IF(C160="peso_corporal",IF(ISNUMBER(E160),E160,0)+I160,I160)*J160*1000+I160,0),IF((M160&gt;0)*(IF(N160="",-1,N160)&gt;=1)*(IF(N160="",-1,N160)&lt;=3),IF(C160="peso_corporal",IF(ISNUMBER(E160),E160,0)+L160,L160)*M160*1000+L160,0),IF((P160&gt;0)*(IF(Q160="",-1,Q160)&gt;=1)*(IF(Q160="",-1,Q160)&lt;=3),IF(C160="peso_corporal",IF(ISNUMBER(E160),E160,0)+O160,O160)*P160*1000+O160,0),IF((S160&gt;0)*(IF(T160="",-1,T160)&gt;=1)*(IF(T160="",-1,T160)&lt;=3),IF(C160="peso_corporal",IF(ISNUMBER(E160),E160,0)+R160,R160)*S160*1000+R160,0))</f>
        <v>0</v>
      </c>
      <c r="X160" s="69">
        <f>IF(W160=0,0,IF(IF((S160&gt;0)*(IF(T160="",-1,T160)&gt;=1)*(IF(T160="",-1,T160)&lt;=3),IF(C160="peso_corporal",IF(ISNUMBER(E160),E160,0)+R160,R160)*S160*1000+R160,0)=W160,5,IF(IF((P160&gt;0)*(IF(Q160="",-1,Q160)&gt;=1)*(IF(Q160="",-1,Q160)&lt;=3),IF(C160="peso_corporal",IF(ISNUMBER(E160),E160,0)+O160,O160)*P160*1000+O160,0)=W160,4,IF(IF((M160&gt;0)*(IF(N160="",-1,N160)&gt;=1)*(IF(N160="",-1,N160)&lt;=3),IF(C160="peso_corporal",IF(ISNUMBER(E160),E160,0)+L160,L160)*M160*1000+L160,0)=W160,3,IF(IF((J160&gt;0)*(IF(K160="",-1,K160)&gt;=1)*(IF(K160="",-1,K160)&lt;=3),IF(C160="peso_corporal",IF(ISNUMBER(E160),E160,0)+I160,I160)*J160*1000+I160,0)=W160,2,IF(IF((G160&gt;0)*(IF(H160="",-1,H160)&gt;=1)*(IF(H160="",-1,H160)&lt;=3),IF(C160="peso_corporal",IF(ISNUMBER(E160),E160,0)+F160,F160)*G160*1000+F160,0)=W160,1,0))))))</f>
        <v>0</v>
      </c>
      <c r="Y160" s="69">
        <f>MAX(IF((G160&gt;0)*(IF(H160="",-1,H160)=0)*(1-(IF(H160="",-1,H160)&gt;=1)*(IF(H160="",-1,H160)&lt;=3)),IF(C160="peso_corporal",IF(ISNUMBER(E160),E160,0)+F160,F160)*G160*1000+F160,0),IF((J160&gt;0)*(IF(K160="",-1,K160)=0)*(1-(IF(K160="",-1,K160)&gt;=1)*(IF(K160="",-1,K160)&lt;=3)),IF(C160="peso_corporal",IF(ISNUMBER(E160),E160,0)+I160,I160)*J160*1000+I160,0),IF((M160&gt;0)*(IF(N160="",-1,N160)=0)*(1-(IF(N160="",-1,N160)&gt;=1)*(IF(N160="",-1,N160)&lt;=3)),IF(C160="peso_corporal",IF(ISNUMBER(E160),E160,0)+L160,L160)*M160*1000+L160,0),IF((P160&gt;0)*(IF(Q160="",-1,Q160)=0)*(1-(IF(Q160="",-1,Q160)&gt;=1)*(IF(Q160="",-1,Q160)&lt;=3)),IF(C160="peso_corporal",IF(ISNUMBER(E160),E160,0)+O160,O160)*P160*1000+O160,0),IF((S160&gt;0)*(IF(T160="",-1,T160)=0)*(1-(IF(T160="",-1,T160)&gt;=1)*(IF(T160="",-1,T160)&lt;=3)),IF(C160="peso_corporal",IF(ISNUMBER(E160),E160,0)+R160,R160)*S160*1000+R160,0))</f>
        <v>0</v>
      </c>
      <c r="Z160" s="69">
        <f>IF(Y160=0,0,IF(IF((S160&gt;0)*(IF(T160="",-1,T160)=0)*(1-(IF(T160="",-1,T160)&gt;=1)*(IF(T160="",-1,T160)&lt;=3)),IF(C160="peso_corporal",IF(ISNUMBER(E160),E160,0)+R160,R160)*S160*1000+R160,0)=Y160,5,IF(IF((P160&gt;0)*(IF(Q160="",-1,Q160)=0)*(1-(IF(Q160="",-1,Q160)&gt;=1)*(IF(Q160="",-1,Q160)&lt;=3)),IF(C160="peso_corporal",IF(ISNUMBER(E160),E160,0)+O160,O160)*P160*1000+O160,0)=Y160,4,IF(IF((M160&gt;0)*(IF(N160="",-1,N160)=0)*(1-(IF(N160="",-1,N160)&gt;=1)*(IF(N160="",-1,N160)&lt;=3)),IF(C160="peso_corporal",IF(ISNUMBER(E160),E160,0)+L160,L160)*M160*1000+L160,0)=Y160,3,IF(IF((J160&gt;0)*(IF(K160="",-1,K160)=0)*(1-(IF(K160="",-1,K160)&gt;=1)*(IF(K160="",-1,K160)&lt;=3)),IF(C160="peso_corporal",IF(ISNUMBER(E160),E160,0)+I160,I160)*J160*1000+I160,0)=Y160,2,IF(IF((G160&gt;0)*(IF(H160="",-1,H160)=0)*(1-(IF(H160="",-1,H160)&gt;=1)*(IF(H160="",-1,H160)&lt;=3)),IF(C160="peso_corporal",IF(ISNUMBER(E160),E160,0)+F160,F160)*G160*1000+F160,0)=Y160,1,0))))))</f>
        <v>0</v>
      </c>
      <c r="AA160" s="69">
        <f>MAX(IF((G160&gt;=6)*(1-(IF(H160="",-1,H160)&gt;=1)*(IF(H160="",-1,H160)&lt;=3))*(1-(IF(H160="",-1,H160)=0)),IF(C160="peso_corporal",IF(ISNUMBER(E160),E160,0)+F160,F160)*(30+G160)*100+F160,0),IF((J160&gt;=6)*(1-(IF(K160="",-1,K160)&gt;=1)*(IF(K160="",-1,K160)&lt;=3))*(1-(IF(K160="",-1,K160)=0)),IF(C160="peso_corporal",IF(ISNUMBER(E160),E160,0)+I160,I160)*(30+J160)*100+I160,0),IF((M160&gt;=6)*(1-(IF(N160="",-1,N160)&gt;=1)*(IF(N160="",-1,N160)&lt;=3))*(1-(IF(N160="",-1,N160)=0)),IF(C160="peso_corporal",IF(ISNUMBER(E160),E160,0)+L160,L160)*(30+M160)*100+L160,0),IF((P160&gt;=6)*(1-(IF(Q160="",-1,Q160)&gt;=1)*(IF(Q160="",-1,Q160)&lt;=3))*(1-(IF(Q160="",-1,Q160)=0)),IF(C160="peso_corporal",IF(ISNUMBER(E160),E160,0)+O160,O160)*(30+P160)*100+O160,0),IF((S160&gt;=6)*(1-(IF(T160="",-1,T160)&gt;=1)*(IF(T160="",-1,T160)&lt;=3))*(1-(IF(T160="",-1,T160)=0)),IF(C160="peso_corporal",IF(ISNUMBER(E160),E160,0)+R160,R160)*(30+S160)*100+R160,0))</f>
        <v>0</v>
      </c>
      <c r="AB160" s="69">
        <f>IF(AA160=0,0,IF(IF((S160&gt;=6)*(1-(IF(T160="",-1,T160)&gt;=1)*(IF(T160="",-1,T160)&lt;=3))*(1-(IF(T160="",-1,T160)=0)),IF(C160="peso_corporal",IF(ISNUMBER(E160),E160,0)+R160,R160)*(30+S160)*100+R160,0)=AA160,5,IF(IF((P160&gt;=6)*(1-(IF(Q160="",-1,Q160)&gt;=1)*(IF(Q160="",-1,Q160)&lt;=3))*(1-(IF(Q160="",-1,Q160)=0)),IF(C160="peso_corporal",IF(ISNUMBER(E160),E160,0)+O160,O160)*(30+P160)*100+O160,0)=AA160,4,IF(IF((M160&gt;=6)*(1-(IF(N160="",-1,N160)&gt;=1)*(IF(N160="",-1,N160)&lt;=3))*(1-(IF(N160="",-1,N160)=0)),IF(C160="peso_corporal",IF(ISNUMBER(E160),E160,0)+L160,L160)*(30+M160)*100+L160,0)=AA160,3,IF(IF((J160&gt;=6)*(1-(IF(K160="",-1,K160)&gt;=1)*(IF(K160="",-1,K160)&lt;=3))*(1-(IF(K160="",-1,K160)=0)),IF(C160="peso_corporal",IF(ISNUMBER(E160),E160,0)+I160,I160)*(30+J160)*100+I160,0)=AA160,2,IF(IF((G160&gt;=6)*(1-(IF(H160="",-1,H160)&gt;=1)*(IF(H160="",-1,H160)&lt;=3))*(1-(IF(H160="",-1,H160)=0)),IF(C160="peso_corporal",IF(ISNUMBER(E160),E160,0)+F160,F160)*(30+G160)*100+F160,0)=AA160,1,0))))))</f>
        <v>0</v>
      </c>
      <c r="AC160" s="69" t="str">
        <f>IF(X160&gt;0,"A"&amp;X160,IF(Z160&gt;0,"B"&amp;Z160,IF(AB160&gt;0,"C"&amp;AB160,"")))</f>
        <v/>
      </c>
    </row>
    <row r="161" spans="1:29" ht="20.100000000000001" customHeight="1">
      <c r="A161" s="14" t="s">
        <v>148</v>
      </c>
      <c r="B161" s="15" t="s">
        <v>149</v>
      </c>
      <c r="C161" s="16" t="str">
        <f>IFERROR(INDEX(EJERCICIOS!$D$3:$D$75,MATCH(A161&amp;"|"&amp;B161,EJERCICIOS!$G$3:$G$75,0)),"--")</f>
        <v>--</v>
      </c>
      <c r="D161" s="17">
        <v>3</v>
      </c>
      <c r="E161" s="18">
        <f>IFERROR(LOOKUP(2,1/(MEDIDAS_Y_PESO!$B$3:$B$9&lt;&gt;""),MEDIDAS_Y_PESO!$B$3:$B$9),"--")</f>
        <v>80</v>
      </c>
      <c r="F161" s="19"/>
      <c r="G161" s="20"/>
      <c r="H161" s="21"/>
      <c r="I161" s="19"/>
      <c r="J161" s="20"/>
      <c r="K161" s="21"/>
      <c r="L161" s="19"/>
      <c r="M161" s="20"/>
      <c r="N161" s="21"/>
      <c r="O161" s="19"/>
      <c r="P161" s="20"/>
      <c r="Q161" s="21"/>
      <c r="R161" s="19"/>
      <c r="S161" s="20"/>
      <c r="T161" s="21"/>
      <c r="U161" s="22" t="str">
        <f>IFERROR(IF(IF(X161&gt;0,X161,IF(Z161&gt;0,Z161,IF(AB161&gt;0,AB161,0)))=0,"--",ROUND(CHOOSE(IF(X161&gt;0,X161,IF(Z161&gt;0,Z161,IF(AB161&gt;0,AB161,0))),IF(C161="peso_corporal",IF(ISNUMBER(E161),E161,0)+F161,F161)*(1+G161/30),IF(C161="peso_corporal",IF(ISNUMBER(E161),E161,0)+I161,I161)*(1+J161/30),IF(C161="peso_corporal",IF(ISNUMBER(E161),E161,0)+L161,L161)*(1+M161/30),IF(C161="peso_corporal",IF(ISNUMBER(E161),E161,0)+O161,O161)*(1+P161/30),IF(C161="peso_corporal",IF(ISNUMBER(E161),E161,0)+R161,R161)*(1+S161/30)),1)),"--")</f>
        <v>--</v>
      </c>
      <c r="V161" s="23" t="str">
        <f>IF(SUGERENCIAS!N417="SIN","Sin datos anteriores",IF(SUGERENCIAS!N417="SUBIR_F","^ SUBIR FUERTE | Kg:"&amp;ROUND(SUGERENCIAS!K417,1)&amp;" R:"&amp;ROUND(SUGERENCIAS!L417,0)&amp;" RIR:"&amp;ROUND(SUGERENCIAS!M417,0),IF(SUGERENCIAS!N417="SUBIR_E","^ SUBIR (Est.) | Kg:"&amp;ROUND(SUGERENCIAS!K417,1)&amp;" R:"&amp;ROUND(SUGERENCIAS!L417,0)&amp;" RIR:"&amp;ROUND(SUGERENCIAS!M417,0),IF(SUGERENCIAS!N417="SUBIR","^ SUBIR | Kg:"&amp;ROUND(SUGERENCIAS!K417,1)&amp;" R:"&amp;ROUND(SUGERENCIAS!L417,0)&amp;" RIR:"&amp;ROUND(SUGERENCIAS!M417,0),IF(SUGERENCIAS!N417="BAJAR","v BAJAR | Kg:"&amp;ROUND(SUGERENCIAS!K417,1)&amp;" R:"&amp;ROUND(SUGERENCIAS!L417,0)&amp;" RIR:"&amp;ROUND(SUGERENCIAS!M417,0),"= MANT | Kg:"&amp;ROUND(SUGERENCIAS!K417,1)&amp;" R:"&amp;ROUND(SUGERENCIAS!L417,0)&amp;" RIR:"&amp;ROUND(SUGERENCIAS!M417,0))))))</f>
        <v>Sin datos anteriores</v>
      </c>
      <c r="W161" s="69">
        <f>MAX(IF((G161&gt;0)*(IF(H161="",-1,H161)&gt;=1)*(IF(H161="",-1,H161)&lt;=3),IF(C161="peso_corporal",IF(ISNUMBER(E161),E161,0)+F161,F161)*G161*1000+F161,0),IF((J161&gt;0)*(IF(K161="",-1,K161)&gt;=1)*(IF(K161="",-1,K161)&lt;=3),IF(C161="peso_corporal",IF(ISNUMBER(E161),E161,0)+I161,I161)*J161*1000+I161,0),IF((M161&gt;0)*(IF(N161="",-1,N161)&gt;=1)*(IF(N161="",-1,N161)&lt;=3),IF(C161="peso_corporal",IF(ISNUMBER(E161),E161,0)+L161,L161)*M161*1000+L161,0),IF((P161&gt;0)*(IF(Q161="",-1,Q161)&gt;=1)*(IF(Q161="",-1,Q161)&lt;=3),IF(C161="peso_corporal",IF(ISNUMBER(E161),E161,0)+O161,O161)*P161*1000+O161,0),IF((S161&gt;0)*(IF(T161="",-1,T161)&gt;=1)*(IF(T161="",-1,T161)&lt;=3),IF(C161="peso_corporal",IF(ISNUMBER(E161),E161,0)+R161,R161)*S161*1000+R161,0))</f>
        <v>0</v>
      </c>
      <c r="X161" s="69">
        <f>IF(W161=0,0,IF(IF((S161&gt;0)*(IF(T161="",-1,T161)&gt;=1)*(IF(T161="",-1,T161)&lt;=3),IF(C161="peso_corporal",IF(ISNUMBER(E161),E161,0)+R161,R161)*S161*1000+R161,0)=W161,5,IF(IF((P161&gt;0)*(IF(Q161="",-1,Q161)&gt;=1)*(IF(Q161="",-1,Q161)&lt;=3),IF(C161="peso_corporal",IF(ISNUMBER(E161),E161,0)+O161,O161)*P161*1000+O161,0)=W161,4,IF(IF((M161&gt;0)*(IF(N161="",-1,N161)&gt;=1)*(IF(N161="",-1,N161)&lt;=3),IF(C161="peso_corporal",IF(ISNUMBER(E161),E161,0)+L161,L161)*M161*1000+L161,0)=W161,3,IF(IF((J161&gt;0)*(IF(K161="",-1,K161)&gt;=1)*(IF(K161="",-1,K161)&lt;=3),IF(C161="peso_corporal",IF(ISNUMBER(E161),E161,0)+I161,I161)*J161*1000+I161,0)=W161,2,IF(IF((G161&gt;0)*(IF(H161="",-1,H161)&gt;=1)*(IF(H161="",-1,H161)&lt;=3),IF(C161="peso_corporal",IF(ISNUMBER(E161),E161,0)+F161,F161)*G161*1000+F161,0)=W161,1,0))))))</f>
        <v>0</v>
      </c>
      <c r="Y161" s="69">
        <f>MAX(IF((G161&gt;0)*(IF(H161="",-1,H161)=0)*(1-(IF(H161="",-1,H161)&gt;=1)*(IF(H161="",-1,H161)&lt;=3)),IF(C161="peso_corporal",IF(ISNUMBER(E161),E161,0)+F161,F161)*G161*1000+F161,0),IF((J161&gt;0)*(IF(K161="",-1,K161)=0)*(1-(IF(K161="",-1,K161)&gt;=1)*(IF(K161="",-1,K161)&lt;=3)),IF(C161="peso_corporal",IF(ISNUMBER(E161),E161,0)+I161,I161)*J161*1000+I161,0),IF((M161&gt;0)*(IF(N161="",-1,N161)=0)*(1-(IF(N161="",-1,N161)&gt;=1)*(IF(N161="",-1,N161)&lt;=3)),IF(C161="peso_corporal",IF(ISNUMBER(E161),E161,0)+L161,L161)*M161*1000+L161,0),IF((P161&gt;0)*(IF(Q161="",-1,Q161)=0)*(1-(IF(Q161="",-1,Q161)&gt;=1)*(IF(Q161="",-1,Q161)&lt;=3)),IF(C161="peso_corporal",IF(ISNUMBER(E161),E161,0)+O161,O161)*P161*1000+O161,0),IF((S161&gt;0)*(IF(T161="",-1,T161)=0)*(1-(IF(T161="",-1,T161)&gt;=1)*(IF(T161="",-1,T161)&lt;=3)),IF(C161="peso_corporal",IF(ISNUMBER(E161),E161,0)+R161,R161)*S161*1000+R161,0))</f>
        <v>0</v>
      </c>
      <c r="Z161" s="69">
        <f>IF(Y161=0,0,IF(IF((S161&gt;0)*(IF(T161="",-1,T161)=0)*(1-(IF(T161="",-1,T161)&gt;=1)*(IF(T161="",-1,T161)&lt;=3)),IF(C161="peso_corporal",IF(ISNUMBER(E161),E161,0)+R161,R161)*S161*1000+R161,0)=Y161,5,IF(IF((P161&gt;0)*(IF(Q161="",-1,Q161)=0)*(1-(IF(Q161="",-1,Q161)&gt;=1)*(IF(Q161="",-1,Q161)&lt;=3)),IF(C161="peso_corporal",IF(ISNUMBER(E161),E161,0)+O161,O161)*P161*1000+O161,0)=Y161,4,IF(IF((M161&gt;0)*(IF(N161="",-1,N161)=0)*(1-(IF(N161="",-1,N161)&gt;=1)*(IF(N161="",-1,N161)&lt;=3)),IF(C161="peso_corporal",IF(ISNUMBER(E161),E161,0)+L161,L161)*M161*1000+L161,0)=Y161,3,IF(IF((J161&gt;0)*(IF(K161="",-1,K161)=0)*(1-(IF(K161="",-1,K161)&gt;=1)*(IF(K161="",-1,K161)&lt;=3)),IF(C161="peso_corporal",IF(ISNUMBER(E161),E161,0)+I161,I161)*J161*1000+I161,0)=Y161,2,IF(IF((G161&gt;0)*(IF(H161="",-1,H161)=0)*(1-(IF(H161="",-1,H161)&gt;=1)*(IF(H161="",-1,H161)&lt;=3)),IF(C161="peso_corporal",IF(ISNUMBER(E161),E161,0)+F161,F161)*G161*1000+F161,0)=Y161,1,0))))))</f>
        <v>0</v>
      </c>
      <c r="AA161" s="69">
        <f>MAX(IF((G161&gt;=6)*(1-(IF(H161="",-1,H161)&gt;=1)*(IF(H161="",-1,H161)&lt;=3))*(1-(IF(H161="",-1,H161)=0)),IF(C161="peso_corporal",IF(ISNUMBER(E161),E161,0)+F161,F161)*(30+G161)*100+F161,0),IF((J161&gt;=6)*(1-(IF(K161="",-1,K161)&gt;=1)*(IF(K161="",-1,K161)&lt;=3))*(1-(IF(K161="",-1,K161)=0)),IF(C161="peso_corporal",IF(ISNUMBER(E161),E161,0)+I161,I161)*(30+J161)*100+I161,0),IF((M161&gt;=6)*(1-(IF(N161="",-1,N161)&gt;=1)*(IF(N161="",-1,N161)&lt;=3))*(1-(IF(N161="",-1,N161)=0)),IF(C161="peso_corporal",IF(ISNUMBER(E161),E161,0)+L161,L161)*(30+M161)*100+L161,0),IF((P161&gt;=6)*(1-(IF(Q161="",-1,Q161)&gt;=1)*(IF(Q161="",-1,Q161)&lt;=3))*(1-(IF(Q161="",-1,Q161)=0)),IF(C161="peso_corporal",IF(ISNUMBER(E161),E161,0)+O161,O161)*(30+P161)*100+O161,0),IF((S161&gt;=6)*(1-(IF(T161="",-1,T161)&gt;=1)*(IF(T161="",-1,T161)&lt;=3))*(1-(IF(T161="",-1,T161)=0)),IF(C161="peso_corporal",IF(ISNUMBER(E161),E161,0)+R161,R161)*(30+S161)*100+R161,0))</f>
        <v>0</v>
      </c>
      <c r="AB161" s="69">
        <f>IF(AA161=0,0,IF(IF((S161&gt;=6)*(1-(IF(T161="",-1,T161)&gt;=1)*(IF(T161="",-1,T161)&lt;=3))*(1-(IF(T161="",-1,T161)=0)),IF(C161="peso_corporal",IF(ISNUMBER(E161),E161,0)+R161,R161)*(30+S161)*100+R161,0)=AA161,5,IF(IF((P161&gt;=6)*(1-(IF(Q161="",-1,Q161)&gt;=1)*(IF(Q161="",-1,Q161)&lt;=3))*(1-(IF(Q161="",-1,Q161)=0)),IF(C161="peso_corporal",IF(ISNUMBER(E161),E161,0)+O161,O161)*(30+P161)*100+O161,0)=AA161,4,IF(IF((M161&gt;=6)*(1-(IF(N161="",-1,N161)&gt;=1)*(IF(N161="",-1,N161)&lt;=3))*(1-(IF(N161="",-1,N161)=0)),IF(C161="peso_corporal",IF(ISNUMBER(E161),E161,0)+L161,L161)*(30+M161)*100+L161,0)=AA161,3,IF(IF((J161&gt;=6)*(1-(IF(K161="",-1,K161)&gt;=1)*(IF(K161="",-1,K161)&lt;=3))*(1-(IF(K161="",-1,K161)=0)),IF(C161="peso_corporal",IF(ISNUMBER(E161),E161,0)+I161,I161)*(30+J161)*100+I161,0)=AA161,2,IF(IF((G161&gt;=6)*(1-(IF(H161="",-1,H161)&gt;=1)*(IF(H161="",-1,H161)&lt;=3))*(1-(IF(H161="",-1,H161)=0)),IF(C161="peso_corporal",IF(ISNUMBER(E161),E161,0)+F161,F161)*(30+G161)*100+F161,0)=AA161,1,0))))))</f>
        <v>0</v>
      </c>
      <c r="AC161" s="69" t="str">
        <f>IF(X161&gt;0,"A"&amp;X161,IF(Z161&gt;0,"B"&amp;Z161,IF(AB161&gt;0,"C"&amp;AB161,"")))</f>
        <v/>
      </c>
    </row>
    <row r="162" spans="1:29" ht="20.100000000000001" customHeight="1">
      <c r="A162" s="14" t="s">
        <v>150</v>
      </c>
      <c r="B162" s="15" t="s">
        <v>151</v>
      </c>
      <c r="C162" s="16" t="str">
        <f>IFERROR(INDEX(EJERCICIOS!$D$3:$D$75,MATCH(A162&amp;"|"&amp;B162,EJERCICIOS!$G$3:$G$75,0)),"--")</f>
        <v>peso_corporal</v>
      </c>
      <c r="D162" s="17">
        <v>3</v>
      </c>
      <c r="E162" s="18">
        <f>IFERROR(LOOKUP(2,1/(MEDIDAS_Y_PESO!$B$3:$B$9&lt;&gt;""),MEDIDAS_Y_PESO!$B$3:$B$9),"--")</f>
        <v>80</v>
      </c>
      <c r="F162" s="19"/>
      <c r="G162" s="20"/>
      <c r="H162" s="21"/>
      <c r="I162" s="19"/>
      <c r="J162" s="20"/>
      <c r="K162" s="21"/>
      <c r="L162" s="19"/>
      <c r="M162" s="20"/>
      <c r="N162" s="21"/>
      <c r="O162" s="19"/>
      <c r="P162" s="20"/>
      <c r="Q162" s="21"/>
      <c r="R162" s="19"/>
      <c r="S162" s="20"/>
      <c r="T162" s="21"/>
      <c r="U162" s="22" t="str">
        <f>IFERROR(IF(IF(X162&gt;0,X162,IF(Z162&gt;0,Z162,IF(AB162&gt;0,AB162,0)))=0,"--",ROUND(CHOOSE(IF(X162&gt;0,X162,IF(Z162&gt;0,Z162,IF(AB162&gt;0,AB162,0))),IF(C162="peso_corporal",IF(ISNUMBER(E162),E162,0)+F162,F162)*(1+G162/30),IF(C162="peso_corporal",IF(ISNUMBER(E162),E162,0)+I162,I162)*(1+J162/30),IF(C162="peso_corporal",IF(ISNUMBER(E162),E162,0)+L162,L162)*(1+M162/30),IF(C162="peso_corporal",IF(ISNUMBER(E162),E162,0)+O162,O162)*(1+P162/30),IF(C162="peso_corporal",IF(ISNUMBER(E162),E162,0)+R162,R162)*(1+S162/30)),1)),"--")</f>
        <v>--</v>
      </c>
      <c r="V162" s="23" t="str">
        <f>IF(SUGERENCIAS!N418="SIN","Sin datos anteriores",IF(SUGERENCIAS!N418="SUBIR_F","^ SUBIR FUERTE | Kg:"&amp;ROUND(SUGERENCIAS!K418,1)&amp;" R:"&amp;ROUND(SUGERENCIAS!L418,0)&amp;" RIR:"&amp;ROUND(SUGERENCIAS!M418,0),IF(SUGERENCIAS!N418="SUBIR_E","^ SUBIR (Est.) | Kg:"&amp;ROUND(SUGERENCIAS!K418,1)&amp;" R:"&amp;ROUND(SUGERENCIAS!L418,0)&amp;" RIR:"&amp;ROUND(SUGERENCIAS!M418,0),IF(SUGERENCIAS!N418="SUBIR","^ SUBIR | Kg:"&amp;ROUND(SUGERENCIAS!K418,1)&amp;" R:"&amp;ROUND(SUGERENCIAS!L418,0)&amp;" RIR:"&amp;ROUND(SUGERENCIAS!M418,0),IF(SUGERENCIAS!N418="BAJAR","v BAJAR | Kg:"&amp;ROUND(SUGERENCIAS!K418,1)&amp;" R:"&amp;ROUND(SUGERENCIAS!L418,0)&amp;" RIR:"&amp;ROUND(SUGERENCIAS!M418,0),"= MANT | Kg:"&amp;ROUND(SUGERENCIAS!K418,1)&amp;" R:"&amp;ROUND(SUGERENCIAS!L418,0)&amp;" RIR:"&amp;ROUND(SUGERENCIAS!M418,0))))))</f>
        <v>Sin datos anteriores</v>
      </c>
      <c r="W162" s="69">
        <f>MAX(IF((G162&gt;0)*(IF(H162="",-1,H162)&gt;=1)*(IF(H162="",-1,H162)&lt;=3),IF(C162="peso_corporal",IF(ISNUMBER(E162),E162,0)+F162,F162)*G162*1000+F162,0),IF((J162&gt;0)*(IF(K162="",-1,K162)&gt;=1)*(IF(K162="",-1,K162)&lt;=3),IF(C162="peso_corporal",IF(ISNUMBER(E162),E162,0)+I162,I162)*J162*1000+I162,0),IF((M162&gt;0)*(IF(N162="",-1,N162)&gt;=1)*(IF(N162="",-1,N162)&lt;=3),IF(C162="peso_corporal",IF(ISNUMBER(E162),E162,0)+L162,L162)*M162*1000+L162,0),IF((P162&gt;0)*(IF(Q162="",-1,Q162)&gt;=1)*(IF(Q162="",-1,Q162)&lt;=3),IF(C162="peso_corporal",IF(ISNUMBER(E162),E162,0)+O162,O162)*P162*1000+O162,0),IF((S162&gt;0)*(IF(T162="",-1,T162)&gt;=1)*(IF(T162="",-1,T162)&lt;=3),IF(C162="peso_corporal",IF(ISNUMBER(E162),E162,0)+R162,R162)*S162*1000+R162,0))</f>
        <v>0</v>
      </c>
      <c r="X162" s="69">
        <f>IF(W162=0,0,IF(IF((S162&gt;0)*(IF(T162="",-1,T162)&gt;=1)*(IF(T162="",-1,T162)&lt;=3),IF(C162="peso_corporal",IF(ISNUMBER(E162),E162,0)+R162,R162)*S162*1000+R162,0)=W162,5,IF(IF((P162&gt;0)*(IF(Q162="",-1,Q162)&gt;=1)*(IF(Q162="",-1,Q162)&lt;=3),IF(C162="peso_corporal",IF(ISNUMBER(E162),E162,0)+O162,O162)*P162*1000+O162,0)=W162,4,IF(IF((M162&gt;0)*(IF(N162="",-1,N162)&gt;=1)*(IF(N162="",-1,N162)&lt;=3),IF(C162="peso_corporal",IF(ISNUMBER(E162),E162,0)+L162,L162)*M162*1000+L162,0)=W162,3,IF(IF((J162&gt;0)*(IF(K162="",-1,K162)&gt;=1)*(IF(K162="",-1,K162)&lt;=3),IF(C162="peso_corporal",IF(ISNUMBER(E162),E162,0)+I162,I162)*J162*1000+I162,0)=W162,2,IF(IF((G162&gt;0)*(IF(H162="",-1,H162)&gt;=1)*(IF(H162="",-1,H162)&lt;=3),IF(C162="peso_corporal",IF(ISNUMBER(E162),E162,0)+F162,F162)*G162*1000+F162,0)=W162,1,0))))))</f>
        <v>0</v>
      </c>
      <c r="Y162" s="69">
        <f>MAX(IF((G162&gt;0)*(IF(H162="",-1,H162)=0)*(1-(IF(H162="",-1,H162)&gt;=1)*(IF(H162="",-1,H162)&lt;=3)),IF(C162="peso_corporal",IF(ISNUMBER(E162),E162,0)+F162,F162)*G162*1000+F162,0),IF((J162&gt;0)*(IF(K162="",-1,K162)=0)*(1-(IF(K162="",-1,K162)&gt;=1)*(IF(K162="",-1,K162)&lt;=3)),IF(C162="peso_corporal",IF(ISNUMBER(E162),E162,0)+I162,I162)*J162*1000+I162,0),IF((M162&gt;0)*(IF(N162="",-1,N162)=0)*(1-(IF(N162="",-1,N162)&gt;=1)*(IF(N162="",-1,N162)&lt;=3)),IF(C162="peso_corporal",IF(ISNUMBER(E162),E162,0)+L162,L162)*M162*1000+L162,0),IF((P162&gt;0)*(IF(Q162="",-1,Q162)=0)*(1-(IF(Q162="",-1,Q162)&gt;=1)*(IF(Q162="",-1,Q162)&lt;=3)),IF(C162="peso_corporal",IF(ISNUMBER(E162),E162,0)+O162,O162)*P162*1000+O162,0),IF((S162&gt;0)*(IF(T162="",-1,T162)=0)*(1-(IF(T162="",-1,T162)&gt;=1)*(IF(T162="",-1,T162)&lt;=3)),IF(C162="peso_corporal",IF(ISNUMBER(E162),E162,0)+R162,R162)*S162*1000+R162,0))</f>
        <v>0</v>
      </c>
      <c r="Z162" s="69">
        <f>IF(Y162=0,0,IF(IF((S162&gt;0)*(IF(T162="",-1,T162)=0)*(1-(IF(T162="",-1,T162)&gt;=1)*(IF(T162="",-1,T162)&lt;=3)),IF(C162="peso_corporal",IF(ISNUMBER(E162),E162,0)+R162,R162)*S162*1000+R162,0)=Y162,5,IF(IF((P162&gt;0)*(IF(Q162="",-1,Q162)=0)*(1-(IF(Q162="",-1,Q162)&gt;=1)*(IF(Q162="",-1,Q162)&lt;=3)),IF(C162="peso_corporal",IF(ISNUMBER(E162),E162,0)+O162,O162)*P162*1000+O162,0)=Y162,4,IF(IF((M162&gt;0)*(IF(N162="",-1,N162)=0)*(1-(IF(N162="",-1,N162)&gt;=1)*(IF(N162="",-1,N162)&lt;=3)),IF(C162="peso_corporal",IF(ISNUMBER(E162),E162,0)+L162,L162)*M162*1000+L162,0)=Y162,3,IF(IF((J162&gt;0)*(IF(K162="",-1,K162)=0)*(1-(IF(K162="",-1,K162)&gt;=1)*(IF(K162="",-1,K162)&lt;=3)),IF(C162="peso_corporal",IF(ISNUMBER(E162),E162,0)+I162,I162)*J162*1000+I162,0)=Y162,2,IF(IF((G162&gt;0)*(IF(H162="",-1,H162)=0)*(1-(IF(H162="",-1,H162)&gt;=1)*(IF(H162="",-1,H162)&lt;=3)),IF(C162="peso_corporal",IF(ISNUMBER(E162),E162,0)+F162,F162)*G162*1000+F162,0)=Y162,1,0))))))</f>
        <v>0</v>
      </c>
      <c r="AA162" s="69">
        <f>MAX(IF((G162&gt;=6)*(1-(IF(H162="",-1,H162)&gt;=1)*(IF(H162="",-1,H162)&lt;=3))*(1-(IF(H162="",-1,H162)=0)),IF(C162="peso_corporal",IF(ISNUMBER(E162),E162,0)+F162,F162)*(30+G162)*100+F162,0),IF((J162&gt;=6)*(1-(IF(K162="",-1,K162)&gt;=1)*(IF(K162="",-1,K162)&lt;=3))*(1-(IF(K162="",-1,K162)=0)),IF(C162="peso_corporal",IF(ISNUMBER(E162),E162,0)+I162,I162)*(30+J162)*100+I162,0),IF((M162&gt;=6)*(1-(IF(N162="",-1,N162)&gt;=1)*(IF(N162="",-1,N162)&lt;=3))*(1-(IF(N162="",-1,N162)=0)),IF(C162="peso_corporal",IF(ISNUMBER(E162),E162,0)+L162,L162)*(30+M162)*100+L162,0),IF((P162&gt;=6)*(1-(IF(Q162="",-1,Q162)&gt;=1)*(IF(Q162="",-1,Q162)&lt;=3))*(1-(IF(Q162="",-1,Q162)=0)),IF(C162="peso_corporal",IF(ISNUMBER(E162),E162,0)+O162,O162)*(30+P162)*100+O162,0),IF((S162&gt;=6)*(1-(IF(T162="",-1,T162)&gt;=1)*(IF(T162="",-1,T162)&lt;=3))*(1-(IF(T162="",-1,T162)=0)),IF(C162="peso_corporal",IF(ISNUMBER(E162),E162,0)+R162,R162)*(30+S162)*100+R162,0))</f>
        <v>0</v>
      </c>
      <c r="AB162" s="69">
        <f>IF(AA162=0,0,IF(IF((S162&gt;=6)*(1-(IF(T162="",-1,T162)&gt;=1)*(IF(T162="",-1,T162)&lt;=3))*(1-(IF(T162="",-1,T162)=0)),IF(C162="peso_corporal",IF(ISNUMBER(E162),E162,0)+R162,R162)*(30+S162)*100+R162,0)=AA162,5,IF(IF((P162&gt;=6)*(1-(IF(Q162="",-1,Q162)&gt;=1)*(IF(Q162="",-1,Q162)&lt;=3))*(1-(IF(Q162="",-1,Q162)=0)),IF(C162="peso_corporal",IF(ISNUMBER(E162),E162,0)+O162,O162)*(30+P162)*100+O162,0)=AA162,4,IF(IF((M162&gt;=6)*(1-(IF(N162="",-1,N162)&gt;=1)*(IF(N162="",-1,N162)&lt;=3))*(1-(IF(N162="",-1,N162)=0)),IF(C162="peso_corporal",IF(ISNUMBER(E162),E162,0)+L162,L162)*(30+M162)*100+L162,0)=AA162,3,IF(IF((J162&gt;=6)*(1-(IF(K162="",-1,K162)&gt;=1)*(IF(K162="",-1,K162)&lt;=3))*(1-(IF(K162="",-1,K162)=0)),IF(C162="peso_corporal",IF(ISNUMBER(E162),E162,0)+I162,I162)*(30+J162)*100+I162,0)=AA162,2,IF(IF((G162&gt;=6)*(1-(IF(H162="",-1,H162)&gt;=1)*(IF(H162="",-1,H162)&lt;=3))*(1-(IF(H162="",-1,H162)=0)),IF(C162="peso_corporal",IF(ISNUMBER(E162),E162,0)+F162,F162)*(30+G162)*100+F162,0)=AA162,1,0))))))</f>
        <v>0</v>
      </c>
      <c r="AC162" s="69" t="str">
        <f>IF(X162&gt;0,"A"&amp;X162,IF(Z162&gt;0,"B"&amp;Z162,IF(AB162&gt;0,"C"&amp;AB162,"")))</f>
        <v/>
      </c>
    </row>
    <row r="163" spans="1:29" ht="6"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69"/>
      <c r="X163" s="69"/>
      <c r="Y163" s="69"/>
      <c r="Z163" s="69"/>
      <c r="AA163" s="69"/>
      <c r="AB163" s="69"/>
      <c r="AC163" s="69"/>
    </row>
    <row r="164" spans="1:29" ht="18" customHeight="1">
      <c r="A164" s="85" t="s">
        <v>73</v>
      </c>
      <c r="B164" s="73"/>
      <c r="C164" s="73"/>
      <c r="D164" s="73"/>
      <c r="E164" s="73"/>
      <c r="F164" s="73"/>
      <c r="G164" s="73"/>
      <c r="H164" s="73"/>
      <c r="I164" s="73"/>
      <c r="J164" s="73"/>
      <c r="K164" s="73"/>
      <c r="L164" s="73"/>
      <c r="M164" s="73"/>
      <c r="N164" s="73"/>
      <c r="O164" s="73"/>
      <c r="P164" s="73"/>
      <c r="Q164" s="73"/>
      <c r="R164" s="73"/>
      <c r="S164" s="73"/>
      <c r="T164" s="73"/>
      <c r="U164" s="73"/>
      <c r="V164" s="73"/>
      <c r="W164" s="69"/>
      <c r="X164" s="69"/>
      <c r="Y164" s="69"/>
      <c r="Z164" s="69"/>
      <c r="AA164" s="69"/>
      <c r="AB164" s="69"/>
      <c r="AC164" s="69"/>
    </row>
    <row r="165" spans="1:29" ht="15" customHeight="1">
      <c r="A165" s="88" t="s">
        <v>129</v>
      </c>
      <c r="B165" s="73"/>
      <c r="C165" s="73"/>
      <c r="D165" s="73"/>
      <c r="E165" s="73"/>
      <c r="F165" s="73"/>
      <c r="G165" s="73"/>
      <c r="H165" s="73"/>
      <c r="I165" s="73"/>
      <c r="J165" s="73"/>
      <c r="K165" s="73"/>
      <c r="L165" s="73"/>
      <c r="M165" s="73"/>
      <c r="N165" s="73"/>
      <c r="O165" s="73"/>
      <c r="P165" s="73"/>
      <c r="Q165" s="73"/>
      <c r="R165" s="73"/>
      <c r="S165" s="73"/>
      <c r="T165" s="73"/>
      <c r="U165" s="73"/>
      <c r="V165" s="73"/>
      <c r="W165" s="69"/>
      <c r="X165" s="69"/>
      <c r="Y165" s="69"/>
      <c r="Z165" s="69"/>
      <c r="AA165" s="69"/>
      <c r="AB165" s="69"/>
      <c r="AC165" s="69"/>
    </row>
    <row r="166" spans="1:29" ht="20.100000000000001" customHeight="1">
      <c r="A166" s="14" t="s">
        <v>130</v>
      </c>
      <c r="B166" s="15" t="s">
        <v>131</v>
      </c>
      <c r="C166" s="16" t="str">
        <f>IFERROR(INDEX(EJERCICIOS!$D$3:$D$75,MATCH(A166&amp;"|"&amp;B166,EJERCICIOS!$G$3:$G$75,0)),"--")</f>
        <v>polea</v>
      </c>
      <c r="D166" s="17">
        <v>3</v>
      </c>
      <c r="E166" s="18">
        <f>IFERROR(LOOKUP(2,1/(MEDIDAS_Y_PESO!$B$3:$B$10&lt;&gt;""),MEDIDAS_Y_PESO!$B$3:$B$10),"--")</f>
        <v>80</v>
      </c>
      <c r="F166" s="19"/>
      <c r="G166" s="20"/>
      <c r="H166" s="21"/>
      <c r="I166" s="19"/>
      <c r="J166" s="20"/>
      <c r="K166" s="21"/>
      <c r="L166" s="19"/>
      <c r="M166" s="20"/>
      <c r="N166" s="21"/>
      <c r="O166" s="19"/>
      <c r="P166" s="20"/>
      <c r="Q166" s="21"/>
      <c r="R166" s="19"/>
      <c r="S166" s="20"/>
      <c r="T166" s="21"/>
      <c r="U166" s="22" t="str">
        <f>IFERROR(IF(IF(X166&gt;0,X166,IF(Z166&gt;0,Z166,IF(AB166&gt;0,AB166,0)))=0,"--",ROUND(CHOOSE(IF(X166&gt;0,X166,IF(Z166&gt;0,Z166,IF(AB166&gt;0,AB166,0))),IF(C166="peso_corporal",IF(ISNUMBER(E166),E166,0)+F166,F166)*(1+G166/30),IF(C166="peso_corporal",IF(ISNUMBER(E166),E166,0)+I166,I166)*(1+J166/30),IF(C166="peso_corporal",IF(ISNUMBER(E166),E166,0)+L166,L166)*(1+M166/30),IF(C166="peso_corporal",IF(ISNUMBER(E166),E166,0)+O166,O166)*(1+P166/30),IF(C166="peso_corporal",IF(ISNUMBER(E166),E166,0)+R166,R166)*(1+S166/30)),1)),"--")</f>
        <v>--</v>
      </c>
      <c r="V166" s="23" t="str">
        <f>IF(SUGERENCIAS!N467="SIN","Sin datos anteriores",IF(SUGERENCIAS!N467="SUBIR_F","^ SUBIR FUERTE | Kg:"&amp;ROUND(SUGERENCIAS!K467,1)&amp;" R:"&amp;ROUND(SUGERENCIAS!L467,0)&amp;" RIR:"&amp;ROUND(SUGERENCIAS!M467,0),IF(SUGERENCIAS!N467="SUBIR_E","^ SUBIR (Est.) | Kg:"&amp;ROUND(SUGERENCIAS!K467,1)&amp;" R:"&amp;ROUND(SUGERENCIAS!L467,0)&amp;" RIR:"&amp;ROUND(SUGERENCIAS!M467,0),IF(SUGERENCIAS!N467="SUBIR","^ SUBIR | Kg:"&amp;ROUND(SUGERENCIAS!K467,1)&amp;" R:"&amp;ROUND(SUGERENCIAS!L467,0)&amp;" RIR:"&amp;ROUND(SUGERENCIAS!M467,0),IF(SUGERENCIAS!N467="BAJAR","v BAJAR | Kg:"&amp;ROUND(SUGERENCIAS!K467,1)&amp;" R:"&amp;ROUND(SUGERENCIAS!L467,0)&amp;" RIR:"&amp;ROUND(SUGERENCIAS!M467,0),"= MANT | Kg:"&amp;ROUND(SUGERENCIAS!K467,1)&amp;" R:"&amp;ROUND(SUGERENCIAS!L467,0)&amp;" RIR:"&amp;ROUND(SUGERENCIAS!M467,0))))))</f>
        <v>Sin datos anteriores</v>
      </c>
      <c r="W166" s="69">
        <f>MAX(IF((G166&gt;0)*(IF(H166="",-1,H166)&gt;=1)*(IF(H166="",-1,H166)&lt;=3),IF(C166="peso_corporal",IF(ISNUMBER(E166),E166,0)+F166,F166)*G166*1000+F166,0),IF((J166&gt;0)*(IF(K166="",-1,K166)&gt;=1)*(IF(K166="",-1,K166)&lt;=3),IF(C166="peso_corporal",IF(ISNUMBER(E166),E166,0)+I166,I166)*J166*1000+I166,0),IF((M166&gt;0)*(IF(N166="",-1,N166)&gt;=1)*(IF(N166="",-1,N166)&lt;=3),IF(C166="peso_corporal",IF(ISNUMBER(E166),E166,0)+L166,L166)*M166*1000+L166,0),IF((P166&gt;0)*(IF(Q166="",-1,Q166)&gt;=1)*(IF(Q166="",-1,Q166)&lt;=3),IF(C166="peso_corporal",IF(ISNUMBER(E166),E166,0)+O166,O166)*P166*1000+O166,0),IF((S166&gt;0)*(IF(T166="",-1,T166)&gt;=1)*(IF(T166="",-1,T166)&lt;=3),IF(C166="peso_corporal",IF(ISNUMBER(E166),E166,0)+R166,R166)*S166*1000+R166,0))</f>
        <v>0</v>
      </c>
      <c r="X166" s="69">
        <f>IF(W166=0,0,IF(IF((S166&gt;0)*(IF(T166="",-1,T166)&gt;=1)*(IF(T166="",-1,T166)&lt;=3),IF(C166="peso_corporal",IF(ISNUMBER(E166),E166,0)+R166,R166)*S166*1000+R166,0)=W166,5,IF(IF((P166&gt;0)*(IF(Q166="",-1,Q166)&gt;=1)*(IF(Q166="",-1,Q166)&lt;=3),IF(C166="peso_corporal",IF(ISNUMBER(E166),E166,0)+O166,O166)*P166*1000+O166,0)=W166,4,IF(IF((M166&gt;0)*(IF(N166="",-1,N166)&gt;=1)*(IF(N166="",-1,N166)&lt;=3),IF(C166="peso_corporal",IF(ISNUMBER(E166),E166,0)+L166,L166)*M166*1000+L166,0)=W166,3,IF(IF((J166&gt;0)*(IF(K166="",-1,K166)&gt;=1)*(IF(K166="",-1,K166)&lt;=3),IF(C166="peso_corporal",IF(ISNUMBER(E166),E166,0)+I166,I166)*J166*1000+I166,0)=W166,2,IF(IF((G166&gt;0)*(IF(H166="",-1,H166)&gt;=1)*(IF(H166="",-1,H166)&lt;=3),IF(C166="peso_corporal",IF(ISNUMBER(E166),E166,0)+F166,F166)*G166*1000+F166,0)=W166,1,0))))))</f>
        <v>0</v>
      </c>
      <c r="Y166" s="69">
        <f>MAX(IF((G166&gt;0)*(IF(H166="",-1,H166)=0)*(1-(IF(H166="",-1,H166)&gt;=1)*(IF(H166="",-1,H166)&lt;=3)),IF(C166="peso_corporal",IF(ISNUMBER(E166),E166,0)+F166,F166)*G166*1000+F166,0),IF((J166&gt;0)*(IF(K166="",-1,K166)=0)*(1-(IF(K166="",-1,K166)&gt;=1)*(IF(K166="",-1,K166)&lt;=3)),IF(C166="peso_corporal",IF(ISNUMBER(E166),E166,0)+I166,I166)*J166*1000+I166,0),IF((M166&gt;0)*(IF(N166="",-1,N166)=0)*(1-(IF(N166="",-1,N166)&gt;=1)*(IF(N166="",-1,N166)&lt;=3)),IF(C166="peso_corporal",IF(ISNUMBER(E166),E166,0)+L166,L166)*M166*1000+L166,0),IF((P166&gt;0)*(IF(Q166="",-1,Q166)=0)*(1-(IF(Q166="",-1,Q166)&gt;=1)*(IF(Q166="",-1,Q166)&lt;=3)),IF(C166="peso_corporal",IF(ISNUMBER(E166),E166,0)+O166,O166)*P166*1000+O166,0),IF((S166&gt;0)*(IF(T166="",-1,T166)=0)*(1-(IF(T166="",-1,T166)&gt;=1)*(IF(T166="",-1,T166)&lt;=3)),IF(C166="peso_corporal",IF(ISNUMBER(E166),E166,0)+R166,R166)*S166*1000+R166,0))</f>
        <v>0</v>
      </c>
      <c r="Z166" s="69">
        <f>IF(Y166=0,0,IF(IF((S166&gt;0)*(IF(T166="",-1,T166)=0)*(1-(IF(T166="",-1,T166)&gt;=1)*(IF(T166="",-1,T166)&lt;=3)),IF(C166="peso_corporal",IF(ISNUMBER(E166),E166,0)+R166,R166)*S166*1000+R166,0)=Y166,5,IF(IF((P166&gt;0)*(IF(Q166="",-1,Q166)=0)*(1-(IF(Q166="",-1,Q166)&gt;=1)*(IF(Q166="",-1,Q166)&lt;=3)),IF(C166="peso_corporal",IF(ISNUMBER(E166),E166,0)+O166,O166)*P166*1000+O166,0)=Y166,4,IF(IF((M166&gt;0)*(IF(N166="",-1,N166)=0)*(1-(IF(N166="",-1,N166)&gt;=1)*(IF(N166="",-1,N166)&lt;=3)),IF(C166="peso_corporal",IF(ISNUMBER(E166),E166,0)+L166,L166)*M166*1000+L166,0)=Y166,3,IF(IF((J166&gt;0)*(IF(K166="",-1,K166)=0)*(1-(IF(K166="",-1,K166)&gt;=1)*(IF(K166="",-1,K166)&lt;=3)),IF(C166="peso_corporal",IF(ISNUMBER(E166),E166,0)+I166,I166)*J166*1000+I166,0)=Y166,2,IF(IF((G166&gt;0)*(IF(H166="",-1,H166)=0)*(1-(IF(H166="",-1,H166)&gt;=1)*(IF(H166="",-1,H166)&lt;=3)),IF(C166="peso_corporal",IF(ISNUMBER(E166),E166,0)+F166,F166)*G166*1000+F166,0)=Y166,1,0))))))</f>
        <v>0</v>
      </c>
      <c r="AA166" s="69">
        <f>MAX(IF((G166&gt;=6)*(1-(IF(H166="",-1,H166)&gt;=1)*(IF(H166="",-1,H166)&lt;=3))*(1-(IF(H166="",-1,H166)=0)),IF(C166="peso_corporal",IF(ISNUMBER(E166),E166,0)+F166,F166)*(30+G166)*100+F166,0),IF((J166&gt;=6)*(1-(IF(K166="",-1,K166)&gt;=1)*(IF(K166="",-1,K166)&lt;=3))*(1-(IF(K166="",-1,K166)=0)),IF(C166="peso_corporal",IF(ISNUMBER(E166),E166,0)+I166,I166)*(30+J166)*100+I166,0),IF((M166&gt;=6)*(1-(IF(N166="",-1,N166)&gt;=1)*(IF(N166="",-1,N166)&lt;=3))*(1-(IF(N166="",-1,N166)=0)),IF(C166="peso_corporal",IF(ISNUMBER(E166),E166,0)+L166,L166)*(30+M166)*100+L166,0),IF((P166&gt;=6)*(1-(IF(Q166="",-1,Q166)&gt;=1)*(IF(Q166="",-1,Q166)&lt;=3))*(1-(IF(Q166="",-1,Q166)=0)),IF(C166="peso_corporal",IF(ISNUMBER(E166),E166,0)+O166,O166)*(30+P166)*100+O166,0),IF((S166&gt;=6)*(1-(IF(T166="",-1,T166)&gt;=1)*(IF(T166="",-1,T166)&lt;=3))*(1-(IF(T166="",-1,T166)=0)),IF(C166="peso_corporal",IF(ISNUMBER(E166),E166,0)+R166,R166)*(30+S166)*100+R166,0))</f>
        <v>0</v>
      </c>
      <c r="AB166" s="69">
        <f>IF(AA166=0,0,IF(IF((S166&gt;=6)*(1-(IF(T166="",-1,T166)&gt;=1)*(IF(T166="",-1,T166)&lt;=3))*(1-(IF(T166="",-1,T166)=0)),IF(C166="peso_corporal",IF(ISNUMBER(E166),E166,0)+R166,R166)*(30+S166)*100+R166,0)=AA166,5,IF(IF((P166&gt;=6)*(1-(IF(Q166="",-1,Q166)&gt;=1)*(IF(Q166="",-1,Q166)&lt;=3))*(1-(IF(Q166="",-1,Q166)=0)),IF(C166="peso_corporal",IF(ISNUMBER(E166),E166,0)+O166,O166)*(30+P166)*100+O166,0)=AA166,4,IF(IF((M166&gt;=6)*(1-(IF(N166="",-1,N166)&gt;=1)*(IF(N166="",-1,N166)&lt;=3))*(1-(IF(N166="",-1,N166)=0)),IF(C166="peso_corporal",IF(ISNUMBER(E166),E166,0)+L166,L166)*(30+M166)*100+L166,0)=AA166,3,IF(IF((J166&gt;=6)*(1-(IF(K166="",-1,K166)&gt;=1)*(IF(K166="",-1,K166)&lt;=3))*(1-(IF(K166="",-1,K166)=0)),IF(C166="peso_corporal",IF(ISNUMBER(E166),E166,0)+I166,I166)*(30+J166)*100+I166,0)=AA166,2,IF(IF((G166&gt;=6)*(1-(IF(H166="",-1,H166)&gt;=1)*(IF(H166="",-1,H166)&lt;=3))*(1-(IF(H166="",-1,H166)=0)),IF(C166="peso_corporal",IF(ISNUMBER(E166),E166,0)+F166,F166)*(30+G166)*100+F166,0)=AA166,1,0))))))</f>
        <v>0</v>
      </c>
      <c r="AC166" s="69" t="str">
        <f>IF(X166&gt;0,"A"&amp;X166,IF(Z166&gt;0,"B"&amp;Z166,IF(AB166&gt;0,"C"&amp;AB166,"")))</f>
        <v/>
      </c>
    </row>
    <row r="167" spans="1:29" ht="20.100000000000001" customHeight="1">
      <c r="A167" s="14" t="s">
        <v>130</v>
      </c>
      <c r="B167" s="15" t="s">
        <v>132</v>
      </c>
      <c r="C167" s="16" t="str">
        <f>IFERROR(INDEX(EJERCICIOS!$D$3:$D$75,MATCH(A167&amp;"|"&amp;B167,EJERCICIOS!$G$3:$G$75,0)),"--")</f>
        <v>polea</v>
      </c>
      <c r="D167" s="17">
        <v>3</v>
      </c>
      <c r="E167" s="18">
        <f>IFERROR(LOOKUP(2,1/(MEDIDAS_Y_PESO!$B$3:$B$10&lt;&gt;""),MEDIDAS_Y_PESO!$B$3:$B$10),"--")</f>
        <v>80</v>
      </c>
      <c r="F167" s="19"/>
      <c r="G167" s="20"/>
      <c r="H167" s="21"/>
      <c r="I167" s="19"/>
      <c r="J167" s="20"/>
      <c r="K167" s="21"/>
      <c r="L167" s="19"/>
      <c r="M167" s="20"/>
      <c r="N167" s="21"/>
      <c r="O167" s="19"/>
      <c r="P167" s="20"/>
      <c r="Q167" s="21"/>
      <c r="R167" s="19"/>
      <c r="S167" s="20"/>
      <c r="T167" s="21"/>
      <c r="U167" s="22" t="str">
        <f>IFERROR(IF(IF(X167&gt;0,X167,IF(Z167&gt;0,Z167,IF(AB167&gt;0,AB167,0)))=0,"--",ROUND(CHOOSE(IF(X167&gt;0,X167,IF(Z167&gt;0,Z167,IF(AB167&gt;0,AB167,0))),IF(C167="peso_corporal",IF(ISNUMBER(E167),E167,0)+F167,F167)*(1+G167/30),IF(C167="peso_corporal",IF(ISNUMBER(E167),E167,0)+I167,I167)*(1+J167/30),IF(C167="peso_corporal",IF(ISNUMBER(E167),E167,0)+L167,L167)*(1+M167/30),IF(C167="peso_corporal",IF(ISNUMBER(E167),E167,0)+O167,O167)*(1+P167/30),IF(C167="peso_corporal",IF(ISNUMBER(E167),E167,0)+R167,R167)*(1+S167/30)),1)),"--")</f>
        <v>--</v>
      </c>
      <c r="V167" s="23" t="str">
        <f>IF(SUGERENCIAS!N468="SIN","Sin datos anteriores",IF(SUGERENCIAS!N468="SUBIR_F","^ SUBIR FUERTE | Kg:"&amp;ROUND(SUGERENCIAS!K468,1)&amp;" R:"&amp;ROUND(SUGERENCIAS!L468,0)&amp;" RIR:"&amp;ROUND(SUGERENCIAS!M468,0),IF(SUGERENCIAS!N468="SUBIR_E","^ SUBIR (Est.) | Kg:"&amp;ROUND(SUGERENCIAS!K468,1)&amp;" R:"&amp;ROUND(SUGERENCIAS!L468,0)&amp;" RIR:"&amp;ROUND(SUGERENCIAS!M468,0),IF(SUGERENCIAS!N468="SUBIR","^ SUBIR | Kg:"&amp;ROUND(SUGERENCIAS!K468,1)&amp;" R:"&amp;ROUND(SUGERENCIAS!L468,0)&amp;" RIR:"&amp;ROUND(SUGERENCIAS!M468,0),IF(SUGERENCIAS!N468="BAJAR","v BAJAR | Kg:"&amp;ROUND(SUGERENCIAS!K468,1)&amp;" R:"&amp;ROUND(SUGERENCIAS!L468,0)&amp;" RIR:"&amp;ROUND(SUGERENCIAS!M468,0),"= MANT | Kg:"&amp;ROUND(SUGERENCIAS!K468,1)&amp;" R:"&amp;ROUND(SUGERENCIAS!L468,0)&amp;" RIR:"&amp;ROUND(SUGERENCIAS!M468,0))))))</f>
        <v>Sin datos anteriores</v>
      </c>
      <c r="W167" s="69">
        <f>MAX(IF((G167&gt;0)*(IF(H167="",-1,H167)&gt;=1)*(IF(H167="",-1,H167)&lt;=3),IF(C167="peso_corporal",IF(ISNUMBER(E167),E167,0)+F167,F167)*G167*1000+F167,0),IF((J167&gt;0)*(IF(K167="",-1,K167)&gt;=1)*(IF(K167="",-1,K167)&lt;=3),IF(C167="peso_corporal",IF(ISNUMBER(E167),E167,0)+I167,I167)*J167*1000+I167,0),IF((M167&gt;0)*(IF(N167="",-1,N167)&gt;=1)*(IF(N167="",-1,N167)&lt;=3),IF(C167="peso_corporal",IF(ISNUMBER(E167),E167,0)+L167,L167)*M167*1000+L167,0),IF((P167&gt;0)*(IF(Q167="",-1,Q167)&gt;=1)*(IF(Q167="",-1,Q167)&lt;=3),IF(C167="peso_corporal",IF(ISNUMBER(E167),E167,0)+O167,O167)*P167*1000+O167,0),IF((S167&gt;0)*(IF(T167="",-1,T167)&gt;=1)*(IF(T167="",-1,T167)&lt;=3),IF(C167="peso_corporal",IF(ISNUMBER(E167),E167,0)+R167,R167)*S167*1000+R167,0))</f>
        <v>0</v>
      </c>
      <c r="X167" s="69">
        <f>IF(W167=0,0,IF(IF((S167&gt;0)*(IF(T167="",-1,T167)&gt;=1)*(IF(T167="",-1,T167)&lt;=3),IF(C167="peso_corporal",IF(ISNUMBER(E167),E167,0)+R167,R167)*S167*1000+R167,0)=W167,5,IF(IF((P167&gt;0)*(IF(Q167="",-1,Q167)&gt;=1)*(IF(Q167="",-1,Q167)&lt;=3),IF(C167="peso_corporal",IF(ISNUMBER(E167),E167,0)+O167,O167)*P167*1000+O167,0)=W167,4,IF(IF((M167&gt;0)*(IF(N167="",-1,N167)&gt;=1)*(IF(N167="",-1,N167)&lt;=3),IF(C167="peso_corporal",IF(ISNUMBER(E167),E167,0)+L167,L167)*M167*1000+L167,0)=W167,3,IF(IF((J167&gt;0)*(IF(K167="",-1,K167)&gt;=1)*(IF(K167="",-1,K167)&lt;=3),IF(C167="peso_corporal",IF(ISNUMBER(E167),E167,0)+I167,I167)*J167*1000+I167,0)=W167,2,IF(IF((G167&gt;0)*(IF(H167="",-1,H167)&gt;=1)*(IF(H167="",-1,H167)&lt;=3),IF(C167="peso_corporal",IF(ISNUMBER(E167),E167,0)+F167,F167)*G167*1000+F167,0)=W167,1,0))))))</f>
        <v>0</v>
      </c>
      <c r="Y167" s="69">
        <f>MAX(IF((G167&gt;0)*(IF(H167="",-1,H167)=0)*(1-(IF(H167="",-1,H167)&gt;=1)*(IF(H167="",-1,H167)&lt;=3)),IF(C167="peso_corporal",IF(ISNUMBER(E167),E167,0)+F167,F167)*G167*1000+F167,0),IF((J167&gt;0)*(IF(K167="",-1,K167)=0)*(1-(IF(K167="",-1,K167)&gt;=1)*(IF(K167="",-1,K167)&lt;=3)),IF(C167="peso_corporal",IF(ISNUMBER(E167),E167,0)+I167,I167)*J167*1000+I167,0),IF((M167&gt;0)*(IF(N167="",-1,N167)=0)*(1-(IF(N167="",-1,N167)&gt;=1)*(IF(N167="",-1,N167)&lt;=3)),IF(C167="peso_corporal",IF(ISNUMBER(E167),E167,0)+L167,L167)*M167*1000+L167,0),IF((P167&gt;0)*(IF(Q167="",-1,Q167)=0)*(1-(IF(Q167="",-1,Q167)&gt;=1)*(IF(Q167="",-1,Q167)&lt;=3)),IF(C167="peso_corporal",IF(ISNUMBER(E167),E167,0)+O167,O167)*P167*1000+O167,0),IF((S167&gt;0)*(IF(T167="",-1,T167)=0)*(1-(IF(T167="",-1,T167)&gt;=1)*(IF(T167="",-1,T167)&lt;=3)),IF(C167="peso_corporal",IF(ISNUMBER(E167),E167,0)+R167,R167)*S167*1000+R167,0))</f>
        <v>0</v>
      </c>
      <c r="Z167" s="69">
        <f>IF(Y167=0,0,IF(IF((S167&gt;0)*(IF(T167="",-1,T167)=0)*(1-(IF(T167="",-1,T167)&gt;=1)*(IF(T167="",-1,T167)&lt;=3)),IF(C167="peso_corporal",IF(ISNUMBER(E167),E167,0)+R167,R167)*S167*1000+R167,0)=Y167,5,IF(IF((P167&gt;0)*(IF(Q167="",-1,Q167)=0)*(1-(IF(Q167="",-1,Q167)&gt;=1)*(IF(Q167="",-1,Q167)&lt;=3)),IF(C167="peso_corporal",IF(ISNUMBER(E167),E167,0)+O167,O167)*P167*1000+O167,0)=Y167,4,IF(IF((M167&gt;0)*(IF(N167="",-1,N167)=0)*(1-(IF(N167="",-1,N167)&gt;=1)*(IF(N167="",-1,N167)&lt;=3)),IF(C167="peso_corporal",IF(ISNUMBER(E167),E167,0)+L167,L167)*M167*1000+L167,0)=Y167,3,IF(IF((J167&gt;0)*(IF(K167="",-1,K167)=0)*(1-(IF(K167="",-1,K167)&gt;=1)*(IF(K167="",-1,K167)&lt;=3)),IF(C167="peso_corporal",IF(ISNUMBER(E167),E167,0)+I167,I167)*J167*1000+I167,0)=Y167,2,IF(IF((G167&gt;0)*(IF(H167="",-1,H167)=0)*(1-(IF(H167="",-1,H167)&gt;=1)*(IF(H167="",-1,H167)&lt;=3)),IF(C167="peso_corporal",IF(ISNUMBER(E167),E167,0)+F167,F167)*G167*1000+F167,0)=Y167,1,0))))))</f>
        <v>0</v>
      </c>
      <c r="AA167" s="69">
        <f>MAX(IF((G167&gt;=6)*(1-(IF(H167="",-1,H167)&gt;=1)*(IF(H167="",-1,H167)&lt;=3))*(1-(IF(H167="",-1,H167)=0)),IF(C167="peso_corporal",IF(ISNUMBER(E167),E167,0)+F167,F167)*(30+G167)*100+F167,0),IF((J167&gt;=6)*(1-(IF(K167="",-1,K167)&gt;=1)*(IF(K167="",-1,K167)&lt;=3))*(1-(IF(K167="",-1,K167)=0)),IF(C167="peso_corporal",IF(ISNUMBER(E167),E167,0)+I167,I167)*(30+J167)*100+I167,0),IF((M167&gt;=6)*(1-(IF(N167="",-1,N167)&gt;=1)*(IF(N167="",-1,N167)&lt;=3))*(1-(IF(N167="",-1,N167)=0)),IF(C167="peso_corporal",IF(ISNUMBER(E167),E167,0)+L167,L167)*(30+M167)*100+L167,0),IF((P167&gt;=6)*(1-(IF(Q167="",-1,Q167)&gt;=1)*(IF(Q167="",-1,Q167)&lt;=3))*(1-(IF(Q167="",-1,Q167)=0)),IF(C167="peso_corporal",IF(ISNUMBER(E167),E167,0)+O167,O167)*(30+P167)*100+O167,0),IF((S167&gt;=6)*(1-(IF(T167="",-1,T167)&gt;=1)*(IF(T167="",-1,T167)&lt;=3))*(1-(IF(T167="",-1,T167)=0)),IF(C167="peso_corporal",IF(ISNUMBER(E167),E167,0)+R167,R167)*(30+S167)*100+R167,0))</f>
        <v>0</v>
      </c>
      <c r="AB167" s="69">
        <f>IF(AA167=0,0,IF(IF((S167&gt;=6)*(1-(IF(T167="",-1,T167)&gt;=1)*(IF(T167="",-1,T167)&lt;=3))*(1-(IF(T167="",-1,T167)=0)),IF(C167="peso_corporal",IF(ISNUMBER(E167),E167,0)+R167,R167)*(30+S167)*100+R167,0)=AA167,5,IF(IF((P167&gt;=6)*(1-(IF(Q167="",-1,Q167)&gt;=1)*(IF(Q167="",-1,Q167)&lt;=3))*(1-(IF(Q167="",-1,Q167)=0)),IF(C167="peso_corporal",IF(ISNUMBER(E167),E167,0)+O167,O167)*(30+P167)*100+O167,0)=AA167,4,IF(IF((M167&gt;=6)*(1-(IF(N167="",-1,N167)&gt;=1)*(IF(N167="",-1,N167)&lt;=3))*(1-(IF(N167="",-1,N167)=0)),IF(C167="peso_corporal",IF(ISNUMBER(E167),E167,0)+L167,L167)*(30+M167)*100+L167,0)=AA167,3,IF(IF((J167&gt;=6)*(1-(IF(K167="",-1,K167)&gt;=1)*(IF(K167="",-1,K167)&lt;=3))*(1-(IF(K167="",-1,K167)=0)),IF(C167="peso_corporal",IF(ISNUMBER(E167),E167,0)+I167,I167)*(30+J167)*100+I167,0)=AA167,2,IF(IF((G167&gt;=6)*(1-(IF(H167="",-1,H167)&gt;=1)*(IF(H167="",-1,H167)&lt;=3))*(1-(IF(H167="",-1,H167)=0)),IF(C167="peso_corporal",IF(ISNUMBER(E167),E167,0)+F167,F167)*(30+G167)*100+F167,0)=AA167,1,0))))))</f>
        <v>0</v>
      </c>
      <c r="AC167" s="69" t="str">
        <f>IF(X167&gt;0,"A"&amp;X167,IF(Z167&gt;0,"B"&amp;Z167,IF(AB167&gt;0,"C"&amp;AB167,"")))</f>
        <v/>
      </c>
    </row>
    <row r="168" spans="1:29" ht="20.100000000000001" customHeight="1">
      <c r="A168" s="14" t="s">
        <v>133</v>
      </c>
      <c r="B168" s="15" t="s">
        <v>31</v>
      </c>
      <c r="C168" s="16" t="str">
        <f>IFERROR(INDEX(EJERCICIOS!$D$3:$D$75,MATCH(A168&amp;"|"&amp;B168,EJERCICIOS!$G$3:$G$75,0)),"--")</f>
        <v>mancuerna</v>
      </c>
      <c r="D168" s="17">
        <v>3</v>
      </c>
      <c r="E168" s="18">
        <f>IFERROR(LOOKUP(2,1/(MEDIDAS_Y_PESO!$B$3:$B$10&lt;&gt;""),MEDIDAS_Y_PESO!$B$3:$B$10),"--")</f>
        <v>80</v>
      </c>
      <c r="F168" s="19"/>
      <c r="G168" s="20"/>
      <c r="H168" s="21"/>
      <c r="I168" s="19"/>
      <c r="J168" s="20"/>
      <c r="K168" s="21"/>
      <c r="L168" s="19"/>
      <c r="M168" s="20"/>
      <c r="N168" s="21"/>
      <c r="O168" s="19"/>
      <c r="P168" s="20"/>
      <c r="Q168" s="21"/>
      <c r="R168" s="19"/>
      <c r="S168" s="20"/>
      <c r="T168" s="21"/>
      <c r="U168" s="22" t="str">
        <f>IFERROR(IF(IF(X168&gt;0,X168,IF(Z168&gt;0,Z168,IF(AB168&gt;0,AB168,0)))=0,"--",ROUND(CHOOSE(IF(X168&gt;0,X168,IF(Z168&gt;0,Z168,IF(AB168&gt;0,AB168,0))),IF(C168="peso_corporal",IF(ISNUMBER(E168),E168,0)+F168,F168)*(1+G168/30),IF(C168="peso_corporal",IF(ISNUMBER(E168),E168,0)+I168,I168)*(1+J168/30),IF(C168="peso_corporal",IF(ISNUMBER(E168),E168,0)+L168,L168)*(1+M168/30),IF(C168="peso_corporal",IF(ISNUMBER(E168),E168,0)+O168,O168)*(1+P168/30),IF(C168="peso_corporal",IF(ISNUMBER(E168),E168,0)+R168,R168)*(1+S168/30)),1)),"--")</f>
        <v>--</v>
      </c>
      <c r="V168" s="23" t="str">
        <f>IF(SUGERENCIAS!N469="SIN","Sin datos anteriores",IF(SUGERENCIAS!N469="SUBIR_F","^ SUBIR FUERTE | Kg:"&amp;ROUND(SUGERENCIAS!K469,1)&amp;" R:"&amp;ROUND(SUGERENCIAS!L469,0)&amp;" RIR:"&amp;ROUND(SUGERENCIAS!M469,0),IF(SUGERENCIAS!N469="SUBIR_E","^ SUBIR (Est.) | Kg:"&amp;ROUND(SUGERENCIAS!K469,1)&amp;" R:"&amp;ROUND(SUGERENCIAS!L469,0)&amp;" RIR:"&amp;ROUND(SUGERENCIAS!M469,0),IF(SUGERENCIAS!N469="SUBIR","^ SUBIR | Kg:"&amp;ROUND(SUGERENCIAS!K469,1)&amp;" R:"&amp;ROUND(SUGERENCIAS!L469,0)&amp;" RIR:"&amp;ROUND(SUGERENCIAS!M469,0),IF(SUGERENCIAS!N469="BAJAR","v BAJAR | Kg:"&amp;ROUND(SUGERENCIAS!K469,1)&amp;" R:"&amp;ROUND(SUGERENCIAS!L469,0)&amp;" RIR:"&amp;ROUND(SUGERENCIAS!M469,0),"= MANT | Kg:"&amp;ROUND(SUGERENCIAS!K469,1)&amp;" R:"&amp;ROUND(SUGERENCIAS!L469,0)&amp;" RIR:"&amp;ROUND(SUGERENCIAS!M469,0))))))</f>
        <v>Sin datos anteriores</v>
      </c>
      <c r="W168" s="69">
        <f>MAX(IF((G168&gt;0)*(IF(H168="",-1,H168)&gt;=1)*(IF(H168="",-1,H168)&lt;=3),IF(C168="peso_corporal",IF(ISNUMBER(E168),E168,0)+F168,F168)*G168*1000+F168,0),IF((J168&gt;0)*(IF(K168="",-1,K168)&gt;=1)*(IF(K168="",-1,K168)&lt;=3),IF(C168="peso_corporal",IF(ISNUMBER(E168),E168,0)+I168,I168)*J168*1000+I168,0),IF((M168&gt;0)*(IF(N168="",-1,N168)&gt;=1)*(IF(N168="",-1,N168)&lt;=3),IF(C168="peso_corporal",IF(ISNUMBER(E168),E168,0)+L168,L168)*M168*1000+L168,0),IF((P168&gt;0)*(IF(Q168="",-1,Q168)&gt;=1)*(IF(Q168="",-1,Q168)&lt;=3),IF(C168="peso_corporal",IF(ISNUMBER(E168),E168,0)+O168,O168)*P168*1000+O168,0),IF((S168&gt;0)*(IF(T168="",-1,T168)&gt;=1)*(IF(T168="",-1,T168)&lt;=3),IF(C168="peso_corporal",IF(ISNUMBER(E168),E168,0)+R168,R168)*S168*1000+R168,0))</f>
        <v>0</v>
      </c>
      <c r="X168" s="69">
        <f>IF(W168=0,0,IF(IF((S168&gt;0)*(IF(T168="",-1,T168)&gt;=1)*(IF(T168="",-1,T168)&lt;=3),IF(C168="peso_corporal",IF(ISNUMBER(E168),E168,0)+R168,R168)*S168*1000+R168,0)=W168,5,IF(IF((P168&gt;0)*(IF(Q168="",-1,Q168)&gt;=1)*(IF(Q168="",-1,Q168)&lt;=3),IF(C168="peso_corporal",IF(ISNUMBER(E168),E168,0)+O168,O168)*P168*1000+O168,0)=W168,4,IF(IF((M168&gt;0)*(IF(N168="",-1,N168)&gt;=1)*(IF(N168="",-1,N168)&lt;=3),IF(C168="peso_corporal",IF(ISNUMBER(E168),E168,0)+L168,L168)*M168*1000+L168,0)=W168,3,IF(IF((J168&gt;0)*(IF(K168="",-1,K168)&gt;=1)*(IF(K168="",-1,K168)&lt;=3),IF(C168="peso_corporal",IF(ISNUMBER(E168),E168,0)+I168,I168)*J168*1000+I168,0)=W168,2,IF(IF((G168&gt;0)*(IF(H168="",-1,H168)&gt;=1)*(IF(H168="",-1,H168)&lt;=3),IF(C168="peso_corporal",IF(ISNUMBER(E168),E168,0)+F168,F168)*G168*1000+F168,0)=W168,1,0))))))</f>
        <v>0</v>
      </c>
      <c r="Y168" s="69">
        <f>MAX(IF((G168&gt;0)*(IF(H168="",-1,H168)=0)*(1-(IF(H168="",-1,H168)&gt;=1)*(IF(H168="",-1,H168)&lt;=3)),IF(C168="peso_corporal",IF(ISNUMBER(E168),E168,0)+F168,F168)*G168*1000+F168,0),IF((J168&gt;0)*(IF(K168="",-1,K168)=0)*(1-(IF(K168="",-1,K168)&gt;=1)*(IF(K168="",-1,K168)&lt;=3)),IF(C168="peso_corporal",IF(ISNUMBER(E168),E168,0)+I168,I168)*J168*1000+I168,0),IF((M168&gt;0)*(IF(N168="",-1,N168)=0)*(1-(IF(N168="",-1,N168)&gt;=1)*(IF(N168="",-1,N168)&lt;=3)),IF(C168="peso_corporal",IF(ISNUMBER(E168),E168,0)+L168,L168)*M168*1000+L168,0),IF((P168&gt;0)*(IF(Q168="",-1,Q168)=0)*(1-(IF(Q168="",-1,Q168)&gt;=1)*(IF(Q168="",-1,Q168)&lt;=3)),IF(C168="peso_corporal",IF(ISNUMBER(E168),E168,0)+O168,O168)*P168*1000+O168,0),IF((S168&gt;0)*(IF(T168="",-1,T168)=0)*(1-(IF(T168="",-1,T168)&gt;=1)*(IF(T168="",-1,T168)&lt;=3)),IF(C168="peso_corporal",IF(ISNUMBER(E168),E168,0)+R168,R168)*S168*1000+R168,0))</f>
        <v>0</v>
      </c>
      <c r="Z168" s="69">
        <f>IF(Y168=0,0,IF(IF((S168&gt;0)*(IF(T168="",-1,T168)=0)*(1-(IF(T168="",-1,T168)&gt;=1)*(IF(T168="",-1,T168)&lt;=3)),IF(C168="peso_corporal",IF(ISNUMBER(E168),E168,0)+R168,R168)*S168*1000+R168,0)=Y168,5,IF(IF((P168&gt;0)*(IF(Q168="",-1,Q168)=0)*(1-(IF(Q168="",-1,Q168)&gt;=1)*(IF(Q168="",-1,Q168)&lt;=3)),IF(C168="peso_corporal",IF(ISNUMBER(E168),E168,0)+O168,O168)*P168*1000+O168,0)=Y168,4,IF(IF((M168&gt;0)*(IF(N168="",-1,N168)=0)*(1-(IF(N168="",-1,N168)&gt;=1)*(IF(N168="",-1,N168)&lt;=3)),IF(C168="peso_corporal",IF(ISNUMBER(E168),E168,0)+L168,L168)*M168*1000+L168,0)=Y168,3,IF(IF((J168&gt;0)*(IF(K168="",-1,K168)=0)*(1-(IF(K168="",-1,K168)&gt;=1)*(IF(K168="",-1,K168)&lt;=3)),IF(C168="peso_corporal",IF(ISNUMBER(E168),E168,0)+I168,I168)*J168*1000+I168,0)=Y168,2,IF(IF((G168&gt;0)*(IF(H168="",-1,H168)=0)*(1-(IF(H168="",-1,H168)&gt;=1)*(IF(H168="",-1,H168)&lt;=3)),IF(C168="peso_corporal",IF(ISNUMBER(E168),E168,0)+F168,F168)*G168*1000+F168,0)=Y168,1,0))))))</f>
        <v>0</v>
      </c>
      <c r="AA168" s="69">
        <f>MAX(IF((G168&gt;=6)*(1-(IF(H168="",-1,H168)&gt;=1)*(IF(H168="",-1,H168)&lt;=3))*(1-(IF(H168="",-1,H168)=0)),IF(C168="peso_corporal",IF(ISNUMBER(E168),E168,0)+F168,F168)*(30+G168)*100+F168,0),IF((J168&gt;=6)*(1-(IF(K168="",-1,K168)&gt;=1)*(IF(K168="",-1,K168)&lt;=3))*(1-(IF(K168="",-1,K168)=0)),IF(C168="peso_corporal",IF(ISNUMBER(E168),E168,0)+I168,I168)*(30+J168)*100+I168,0),IF((M168&gt;=6)*(1-(IF(N168="",-1,N168)&gt;=1)*(IF(N168="",-1,N168)&lt;=3))*(1-(IF(N168="",-1,N168)=0)),IF(C168="peso_corporal",IF(ISNUMBER(E168),E168,0)+L168,L168)*(30+M168)*100+L168,0),IF((P168&gt;=6)*(1-(IF(Q168="",-1,Q168)&gt;=1)*(IF(Q168="",-1,Q168)&lt;=3))*(1-(IF(Q168="",-1,Q168)=0)),IF(C168="peso_corporal",IF(ISNUMBER(E168),E168,0)+O168,O168)*(30+P168)*100+O168,0),IF((S168&gt;=6)*(1-(IF(T168="",-1,T168)&gt;=1)*(IF(T168="",-1,T168)&lt;=3))*(1-(IF(T168="",-1,T168)=0)),IF(C168="peso_corporal",IF(ISNUMBER(E168),E168,0)+R168,R168)*(30+S168)*100+R168,0))</f>
        <v>0</v>
      </c>
      <c r="AB168" s="69">
        <f>IF(AA168=0,0,IF(IF((S168&gt;=6)*(1-(IF(T168="",-1,T168)&gt;=1)*(IF(T168="",-1,T168)&lt;=3))*(1-(IF(T168="",-1,T168)=0)),IF(C168="peso_corporal",IF(ISNUMBER(E168),E168,0)+R168,R168)*(30+S168)*100+R168,0)=AA168,5,IF(IF((P168&gt;=6)*(1-(IF(Q168="",-1,Q168)&gt;=1)*(IF(Q168="",-1,Q168)&lt;=3))*(1-(IF(Q168="",-1,Q168)=0)),IF(C168="peso_corporal",IF(ISNUMBER(E168),E168,0)+O168,O168)*(30+P168)*100+O168,0)=AA168,4,IF(IF((M168&gt;=6)*(1-(IF(N168="",-1,N168)&gt;=1)*(IF(N168="",-1,N168)&lt;=3))*(1-(IF(N168="",-1,N168)=0)),IF(C168="peso_corporal",IF(ISNUMBER(E168),E168,0)+L168,L168)*(30+M168)*100+L168,0)=AA168,3,IF(IF((J168&gt;=6)*(1-(IF(K168="",-1,K168)&gt;=1)*(IF(K168="",-1,K168)&lt;=3))*(1-(IF(K168="",-1,K168)=0)),IF(C168="peso_corporal",IF(ISNUMBER(E168),E168,0)+I168,I168)*(30+J168)*100+I168,0)=AA168,2,IF(IF((G168&gt;=6)*(1-(IF(H168="",-1,H168)&gt;=1)*(IF(H168="",-1,H168)&lt;=3))*(1-(IF(H168="",-1,H168)=0)),IF(C168="peso_corporal",IF(ISNUMBER(E168),E168,0)+F168,F168)*(30+G168)*100+F168,0)=AA168,1,0))))))</f>
        <v>0</v>
      </c>
      <c r="AC168" s="69" t="str">
        <f>IF(X168&gt;0,"A"&amp;X168,IF(Z168&gt;0,"B"&amp;Z168,IF(AB168&gt;0,"C"&amp;AB168,"")))</f>
        <v/>
      </c>
    </row>
    <row r="169" spans="1:29" ht="15" customHeight="1">
      <c r="A169" s="88" t="s">
        <v>50</v>
      </c>
      <c r="B169" s="73"/>
      <c r="C169" s="73"/>
      <c r="D169" s="73"/>
      <c r="E169" s="73"/>
      <c r="F169" s="73"/>
      <c r="G169" s="73"/>
      <c r="H169" s="73"/>
      <c r="I169" s="73"/>
      <c r="J169" s="73"/>
      <c r="K169" s="73"/>
      <c r="L169" s="73"/>
      <c r="M169" s="73"/>
      <c r="N169" s="73"/>
      <c r="O169" s="73"/>
      <c r="P169" s="73"/>
      <c r="Q169" s="73"/>
      <c r="R169" s="73"/>
      <c r="S169" s="73"/>
      <c r="T169" s="73"/>
      <c r="U169" s="73"/>
      <c r="V169" s="73"/>
      <c r="W169" s="69"/>
      <c r="X169" s="69"/>
      <c r="Y169" s="69"/>
      <c r="Z169" s="69"/>
      <c r="AA169" s="69"/>
      <c r="AB169" s="69"/>
      <c r="AC169" s="69"/>
    </row>
    <row r="170" spans="1:29" ht="20.100000000000001" customHeight="1">
      <c r="A170" s="14" t="s">
        <v>51</v>
      </c>
      <c r="B170" s="15" t="s">
        <v>134</v>
      </c>
      <c r="C170" s="16" t="str">
        <f>IFERROR(INDEX(EJERCICIOS!$D$3:$D$75,MATCH(A170&amp;"|"&amp;B170,EJERCICIOS!$G$3:$G$75,0)),"--")</f>
        <v>--</v>
      </c>
      <c r="D170" s="17">
        <v>3</v>
      </c>
      <c r="E170" s="18">
        <f>IFERROR(LOOKUP(2,1/(MEDIDAS_Y_PESO!$B$3:$B$10&lt;&gt;""),MEDIDAS_Y_PESO!$B$3:$B$10),"--")</f>
        <v>80</v>
      </c>
      <c r="F170" s="19"/>
      <c r="G170" s="20"/>
      <c r="H170" s="21"/>
      <c r="I170" s="19"/>
      <c r="J170" s="20"/>
      <c r="K170" s="21"/>
      <c r="L170" s="19"/>
      <c r="M170" s="20"/>
      <c r="N170" s="21"/>
      <c r="O170" s="19"/>
      <c r="P170" s="20"/>
      <c r="Q170" s="21"/>
      <c r="R170" s="19"/>
      <c r="S170" s="20"/>
      <c r="T170" s="21"/>
      <c r="U170" s="22" t="str">
        <f>IFERROR(IF(IF(X170&gt;0,X170,IF(Z170&gt;0,Z170,IF(AB170&gt;0,AB170,0)))=0,"--",ROUND(CHOOSE(IF(X170&gt;0,X170,IF(Z170&gt;0,Z170,IF(AB170&gt;0,AB170,0))),IF(C170="peso_corporal",IF(ISNUMBER(E170),E170,0)+F170,F170)*(1+G170/30),IF(C170="peso_corporal",IF(ISNUMBER(E170),E170,0)+I170,I170)*(1+J170/30),IF(C170="peso_corporal",IF(ISNUMBER(E170),E170,0)+L170,L170)*(1+M170/30),IF(C170="peso_corporal",IF(ISNUMBER(E170),E170,0)+O170,O170)*(1+P170/30),IF(C170="peso_corporal",IF(ISNUMBER(E170),E170,0)+R170,R170)*(1+S170/30)),1)),"--")</f>
        <v>--</v>
      </c>
      <c r="V170" s="23" t="str">
        <f>IF(SUGERENCIAS!N470="SIN","Sin datos anteriores",IF(SUGERENCIAS!N470="SUBIR_F","^ SUBIR FUERTE | Kg:"&amp;ROUND(SUGERENCIAS!K470,1)&amp;" R:"&amp;ROUND(SUGERENCIAS!L470,0)&amp;" RIR:"&amp;ROUND(SUGERENCIAS!M470,0),IF(SUGERENCIAS!N470="SUBIR_E","^ SUBIR (Est.) | Kg:"&amp;ROUND(SUGERENCIAS!K470,1)&amp;" R:"&amp;ROUND(SUGERENCIAS!L470,0)&amp;" RIR:"&amp;ROUND(SUGERENCIAS!M470,0),IF(SUGERENCIAS!N470="SUBIR","^ SUBIR | Kg:"&amp;ROUND(SUGERENCIAS!K470,1)&amp;" R:"&amp;ROUND(SUGERENCIAS!L470,0)&amp;" RIR:"&amp;ROUND(SUGERENCIAS!M470,0),IF(SUGERENCIAS!N470="BAJAR","v BAJAR | Kg:"&amp;ROUND(SUGERENCIAS!K470,1)&amp;" R:"&amp;ROUND(SUGERENCIAS!L470,0)&amp;" RIR:"&amp;ROUND(SUGERENCIAS!M470,0),"= MANT | Kg:"&amp;ROUND(SUGERENCIAS!K470,1)&amp;" R:"&amp;ROUND(SUGERENCIAS!L470,0)&amp;" RIR:"&amp;ROUND(SUGERENCIAS!M470,0))))))</f>
        <v>Sin datos anteriores</v>
      </c>
      <c r="W170" s="69">
        <f>MAX(IF((G170&gt;0)*(IF(H170="",-1,H170)&gt;=1)*(IF(H170="",-1,H170)&lt;=3),IF(C170="peso_corporal",IF(ISNUMBER(E170),E170,0)+F170,F170)*G170*1000+F170,0),IF((J170&gt;0)*(IF(K170="",-1,K170)&gt;=1)*(IF(K170="",-1,K170)&lt;=3),IF(C170="peso_corporal",IF(ISNUMBER(E170),E170,0)+I170,I170)*J170*1000+I170,0),IF((M170&gt;0)*(IF(N170="",-1,N170)&gt;=1)*(IF(N170="",-1,N170)&lt;=3),IF(C170="peso_corporal",IF(ISNUMBER(E170),E170,0)+L170,L170)*M170*1000+L170,0),IF((P170&gt;0)*(IF(Q170="",-1,Q170)&gt;=1)*(IF(Q170="",-1,Q170)&lt;=3),IF(C170="peso_corporal",IF(ISNUMBER(E170),E170,0)+O170,O170)*P170*1000+O170,0),IF((S170&gt;0)*(IF(T170="",-1,T170)&gt;=1)*(IF(T170="",-1,T170)&lt;=3),IF(C170="peso_corporal",IF(ISNUMBER(E170),E170,0)+R170,R170)*S170*1000+R170,0))</f>
        <v>0</v>
      </c>
      <c r="X170" s="69">
        <f>IF(W170=0,0,IF(IF((S170&gt;0)*(IF(T170="",-1,T170)&gt;=1)*(IF(T170="",-1,T170)&lt;=3),IF(C170="peso_corporal",IF(ISNUMBER(E170),E170,0)+R170,R170)*S170*1000+R170,0)=W170,5,IF(IF((P170&gt;0)*(IF(Q170="",-1,Q170)&gt;=1)*(IF(Q170="",-1,Q170)&lt;=3),IF(C170="peso_corporal",IF(ISNUMBER(E170),E170,0)+O170,O170)*P170*1000+O170,0)=W170,4,IF(IF((M170&gt;0)*(IF(N170="",-1,N170)&gt;=1)*(IF(N170="",-1,N170)&lt;=3),IF(C170="peso_corporal",IF(ISNUMBER(E170),E170,0)+L170,L170)*M170*1000+L170,0)=W170,3,IF(IF((J170&gt;0)*(IF(K170="",-1,K170)&gt;=1)*(IF(K170="",-1,K170)&lt;=3),IF(C170="peso_corporal",IF(ISNUMBER(E170),E170,0)+I170,I170)*J170*1000+I170,0)=W170,2,IF(IF((G170&gt;0)*(IF(H170="",-1,H170)&gt;=1)*(IF(H170="",-1,H170)&lt;=3),IF(C170="peso_corporal",IF(ISNUMBER(E170),E170,0)+F170,F170)*G170*1000+F170,0)=W170,1,0))))))</f>
        <v>0</v>
      </c>
      <c r="Y170" s="69">
        <f>MAX(IF((G170&gt;0)*(IF(H170="",-1,H170)=0)*(1-(IF(H170="",-1,H170)&gt;=1)*(IF(H170="",-1,H170)&lt;=3)),IF(C170="peso_corporal",IF(ISNUMBER(E170),E170,0)+F170,F170)*G170*1000+F170,0),IF((J170&gt;0)*(IF(K170="",-1,K170)=0)*(1-(IF(K170="",-1,K170)&gt;=1)*(IF(K170="",-1,K170)&lt;=3)),IF(C170="peso_corporal",IF(ISNUMBER(E170),E170,0)+I170,I170)*J170*1000+I170,0),IF((M170&gt;0)*(IF(N170="",-1,N170)=0)*(1-(IF(N170="",-1,N170)&gt;=1)*(IF(N170="",-1,N170)&lt;=3)),IF(C170="peso_corporal",IF(ISNUMBER(E170),E170,0)+L170,L170)*M170*1000+L170,0),IF((P170&gt;0)*(IF(Q170="",-1,Q170)=0)*(1-(IF(Q170="",-1,Q170)&gt;=1)*(IF(Q170="",-1,Q170)&lt;=3)),IF(C170="peso_corporal",IF(ISNUMBER(E170),E170,0)+O170,O170)*P170*1000+O170,0),IF((S170&gt;0)*(IF(T170="",-1,T170)=0)*(1-(IF(T170="",-1,T170)&gt;=1)*(IF(T170="",-1,T170)&lt;=3)),IF(C170="peso_corporal",IF(ISNUMBER(E170),E170,0)+R170,R170)*S170*1000+R170,0))</f>
        <v>0</v>
      </c>
      <c r="Z170" s="69">
        <f>IF(Y170=0,0,IF(IF((S170&gt;0)*(IF(T170="",-1,T170)=0)*(1-(IF(T170="",-1,T170)&gt;=1)*(IF(T170="",-1,T170)&lt;=3)),IF(C170="peso_corporal",IF(ISNUMBER(E170),E170,0)+R170,R170)*S170*1000+R170,0)=Y170,5,IF(IF((P170&gt;0)*(IF(Q170="",-1,Q170)=0)*(1-(IF(Q170="",-1,Q170)&gt;=1)*(IF(Q170="",-1,Q170)&lt;=3)),IF(C170="peso_corporal",IF(ISNUMBER(E170),E170,0)+O170,O170)*P170*1000+O170,0)=Y170,4,IF(IF((M170&gt;0)*(IF(N170="",-1,N170)=0)*(1-(IF(N170="",-1,N170)&gt;=1)*(IF(N170="",-1,N170)&lt;=3)),IF(C170="peso_corporal",IF(ISNUMBER(E170),E170,0)+L170,L170)*M170*1000+L170,0)=Y170,3,IF(IF((J170&gt;0)*(IF(K170="",-1,K170)=0)*(1-(IF(K170="",-1,K170)&gt;=1)*(IF(K170="",-1,K170)&lt;=3)),IF(C170="peso_corporal",IF(ISNUMBER(E170),E170,0)+I170,I170)*J170*1000+I170,0)=Y170,2,IF(IF((G170&gt;0)*(IF(H170="",-1,H170)=0)*(1-(IF(H170="",-1,H170)&gt;=1)*(IF(H170="",-1,H170)&lt;=3)),IF(C170="peso_corporal",IF(ISNUMBER(E170),E170,0)+F170,F170)*G170*1000+F170,0)=Y170,1,0))))))</f>
        <v>0</v>
      </c>
      <c r="AA170" s="69">
        <f>MAX(IF((G170&gt;=6)*(1-(IF(H170="",-1,H170)&gt;=1)*(IF(H170="",-1,H170)&lt;=3))*(1-(IF(H170="",-1,H170)=0)),IF(C170="peso_corporal",IF(ISNUMBER(E170),E170,0)+F170,F170)*(30+G170)*100+F170,0),IF((J170&gt;=6)*(1-(IF(K170="",-1,K170)&gt;=1)*(IF(K170="",-1,K170)&lt;=3))*(1-(IF(K170="",-1,K170)=0)),IF(C170="peso_corporal",IF(ISNUMBER(E170),E170,0)+I170,I170)*(30+J170)*100+I170,0),IF((M170&gt;=6)*(1-(IF(N170="",-1,N170)&gt;=1)*(IF(N170="",-1,N170)&lt;=3))*(1-(IF(N170="",-1,N170)=0)),IF(C170="peso_corporal",IF(ISNUMBER(E170),E170,0)+L170,L170)*(30+M170)*100+L170,0),IF((P170&gt;=6)*(1-(IF(Q170="",-1,Q170)&gt;=1)*(IF(Q170="",-1,Q170)&lt;=3))*(1-(IF(Q170="",-1,Q170)=0)),IF(C170="peso_corporal",IF(ISNUMBER(E170),E170,0)+O170,O170)*(30+P170)*100+O170,0),IF((S170&gt;=6)*(1-(IF(T170="",-1,T170)&gt;=1)*(IF(T170="",-1,T170)&lt;=3))*(1-(IF(T170="",-1,T170)=0)),IF(C170="peso_corporal",IF(ISNUMBER(E170),E170,0)+R170,R170)*(30+S170)*100+R170,0))</f>
        <v>0</v>
      </c>
      <c r="AB170" s="69">
        <f>IF(AA170=0,0,IF(IF((S170&gt;=6)*(1-(IF(T170="",-1,T170)&gt;=1)*(IF(T170="",-1,T170)&lt;=3))*(1-(IF(T170="",-1,T170)=0)),IF(C170="peso_corporal",IF(ISNUMBER(E170),E170,0)+R170,R170)*(30+S170)*100+R170,0)=AA170,5,IF(IF((P170&gt;=6)*(1-(IF(Q170="",-1,Q170)&gt;=1)*(IF(Q170="",-1,Q170)&lt;=3))*(1-(IF(Q170="",-1,Q170)=0)),IF(C170="peso_corporal",IF(ISNUMBER(E170),E170,0)+O170,O170)*(30+P170)*100+O170,0)=AA170,4,IF(IF((M170&gt;=6)*(1-(IF(N170="",-1,N170)&gt;=1)*(IF(N170="",-1,N170)&lt;=3))*(1-(IF(N170="",-1,N170)=0)),IF(C170="peso_corporal",IF(ISNUMBER(E170),E170,0)+L170,L170)*(30+M170)*100+L170,0)=AA170,3,IF(IF((J170&gt;=6)*(1-(IF(K170="",-1,K170)&gt;=1)*(IF(K170="",-1,K170)&lt;=3))*(1-(IF(K170="",-1,K170)=0)),IF(C170="peso_corporal",IF(ISNUMBER(E170),E170,0)+I170,I170)*(30+J170)*100+I170,0)=AA170,2,IF(IF((G170&gt;=6)*(1-(IF(H170="",-1,H170)&gt;=1)*(IF(H170="",-1,H170)&lt;=3))*(1-(IF(H170="",-1,H170)=0)),IF(C170="peso_corporal",IF(ISNUMBER(E170),E170,0)+F170,F170)*(30+G170)*100+F170,0)=AA170,1,0))))))</f>
        <v>0</v>
      </c>
      <c r="AC170" s="69" t="str">
        <f>IF(X170&gt;0,"A"&amp;X170,IF(Z170&gt;0,"B"&amp;Z170,IF(AB170&gt;0,"C"&amp;AB170,"")))</f>
        <v/>
      </c>
    </row>
    <row r="171" spans="1:29" ht="20.100000000000001" customHeight="1">
      <c r="A171" s="14" t="s">
        <v>135</v>
      </c>
      <c r="B171" s="15" t="s">
        <v>136</v>
      </c>
      <c r="C171" s="16" t="str">
        <f>IFERROR(INDEX(EJERCICIOS!$D$3:$D$75,MATCH(A171&amp;"|"&amp;B171,EJERCICIOS!$G$3:$G$75,0)),"--")</f>
        <v>--</v>
      </c>
      <c r="D171" s="17">
        <v>3</v>
      </c>
      <c r="E171" s="18">
        <f>IFERROR(LOOKUP(2,1/(MEDIDAS_Y_PESO!$B$3:$B$10&lt;&gt;""),MEDIDAS_Y_PESO!$B$3:$B$10),"--")</f>
        <v>80</v>
      </c>
      <c r="F171" s="19"/>
      <c r="G171" s="20"/>
      <c r="H171" s="21"/>
      <c r="I171" s="19"/>
      <c r="J171" s="20"/>
      <c r="K171" s="21"/>
      <c r="L171" s="19"/>
      <c r="M171" s="20"/>
      <c r="N171" s="21"/>
      <c r="O171" s="19"/>
      <c r="P171" s="20"/>
      <c r="Q171" s="21"/>
      <c r="R171" s="19"/>
      <c r="S171" s="20"/>
      <c r="T171" s="21"/>
      <c r="U171" s="22" t="str">
        <f>IFERROR(IF(IF(X171&gt;0,X171,IF(Z171&gt;0,Z171,IF(AB171&gt;0,AB171,0)))=0,"--",ROUND(CHOOSE(IF(X171&gt;0,X171,IF(Z171&gt;0,Z171,IF(AB171&gt;0,AB171,0))),IF(C171="peso_corporal",IF(ISNUMBER(E171),E171,0)+F171,F171)*(1+G171/30),IF(C171="peso_corporal",IF(ISNUMBER(E171),E171,0)+I171,I171)*(1+J171/30),IF(C171="peso_corporal",IF(ISNUMBER(E171),E171,0)+L171,L171)*(1+M171/30),IF(C171="peso_corporal",IF(ISNUMBER(E171),E171,0)+O171,O171)*(1+P171/30),IF(C171="peso_corporal",IF(ISNUMBER(E171),E171,0)+R171,R171)*(1+S171/30)),1)),"--")</f>
        <v>--</v>
      </c>
      <c r="V171" s="23" t="str">
        <f>IF(SUGERENCIAS!N471="SIN","Sin datos anteriores",IF(SUGERENCIAS!N471="SUBIR_F","^ SUBIR FUERTE | Kg:"&amp;ROUND(SUGERENCIAS!K471,1)&amp;" R:"&amp;ROUND(SUGERENCIAS!L471,0)&amp;" RIR:"&amp;ROUND(SUGERENCIAS!M471,0),IF(SUGERENCIAS!N471="SUBIR_E","^ SUBIR (Est.) | Kg:"&amp;ROUND(SUGERENCIAS!K471,1)&amp;" R:"&amp;ROUND(SUGERENCIAS!L471,0)&amp;" RIR:"&amp;ROUND(SUGERENCIAS!M471,0),IF(SUGERENCIAS!N471="SUBIR","^ SUBIR | Kg:"&amp;ROUND(SUGERENCIAS!K471,1)&amp;" R:"&amp;ROUND(SUGERENCIAS!L471,0)&amp;" RIR:"&amp;ROUND(SUGERENCIAS!M471,0),IF(SUGERENCIAS!N471="BAJAR","v BAJAR | Kg:"&amp;ROUND(SUGERENCIAS!K471,1)&amp;" R:"&amp;ROUND(SUGERENCIAS!L471,0)&amp;" RIR:"&amp;ROUND(SUGERENCIAS!M471,0),"= MANT | Kg:"&amp;ROUND(SUGERENCIAS!K471,1)&amp;" R:"&amp;ROUND(SUGERENCIAS!L471,0)&amp;" RIR:"&amp;ROUND(SUGERENCIAS!M471,0))))))</f>
        <v>Sin datos anteriores</v>
      </c>
      <c r="W171" s="69">
        <f>MAX(IF((G171&gt;0)*(IF(H171="",-1,H171)&gt;=1)*(IF(H171="",-1,H171)&lt;=3),IF(C171="peso_corporal",IF(ISNUMBER(E171),E171,0)+F171,F171)*G171*1000+F171,0),IF((J171&gt;0)*(IF(K171="",-1,K171)&gt;=1)*(IF(K171="",-1,K171)&lt;=3),IF(C171="peso_corporal",IF(ISNUMBER(E171),E171,0)+I171,I171)*J171*1000+I171,0),IF((M171&gt;0)*(IF(N171="",-1,N171)&gt;=1)*(IF(N171="",-1,N171)&lt;=3),IF(C171="peso_corporal",IF(ISNUMBER(E171),E171,0)+L171,L171)*M171*1000+L171,0),IF((P171&gt;0)*(IF(Q171="",-1,Q171)&gt;=1)*(IF(Q171="",-1,Q171)&lt;=3),IF(C171="peso_corporal",IF(ISNUMBER(E171),E171,0)+O171,O171)*P171*1000+O171,0),IF((S171&gt;0)*(IF(T171="",-1,T171)&gt;=1)*(IF(T171="",-1,T171)&lt;=3),IF(C171="peso_corporal",IF(ISNUMBER(E171),E171,0)+R171,R171)*S171*1000+R171,0))</f>
        <v>0</v>
      </c>
      <c r="X171" s="69">
        <f>IF(W171=0,0,IF(IF((S171&gt;0)*(IF(T171="",-1,T171)&gt;=1)*(IF(T171="",-1,T171)&lt;=3),IF(C171="peso_corporal",IF(ISNUMBER(E171),E171,0)+R171,R171)*S171*1000+R171,0)=W171,5,IF(IF((P171&gt;0)*(IF(Q171="",-1,Q171)&gt;=1)*(IF(Q171="",-1,Q171)&lt;=3),IF(C171="peso_corporal",IF(ISNUMBER(E171),E171,0)+O171,O171)*P171*1000+O171,0)=W171,4,IF(IF((M171&gt;0)*(IF(N171="",-1,N171)&gt;=1)*(IF(N171="",-1,N171)&lt;=3),IF(C171="peso_corporal",IF(ISNUMBER(E171),E171,0)+L171,L171)*M171*1000+L171,0)=W171,3,IF(IF((J171&gt;0)*(IF(K171="",-1,K171)&gt;=1)*(IF(K171="",-1,K171)&lt;=3),IF(C171="peso_corporal",IF(ISNUMBER(E171),E171,0)+I171,I171)*J171*1000+I171,0)=W171,2,IF(IF((G171&gt;0)*(IF(H171="",-1,H171)&gt;=1)*(IF(H171="",-1,H171)&lt;=3),IF(C171="peso_corporal",IF(ISNUMBER(E171),E171,0)+F171,F171)*G171*1000+F171,0)=W171,1,0))))))</f>
        <v>0</v>
      </c>
      <c r="Y171" s="69">
        <f>MAX(IF((G171&gt;0)*(IF(H171="",-1,H171)=0)*(1-(IF(H171="",-1,H171)&gt;=1)*(IF(H171="",-1,H171)&lt;=3)),IF(C171="peso_corporal",IF(ISNUMBER(E171),E171,0)+F171,F171)*G171*1000+F171,0),IF((J171&gt;0)*(IF(K171="",-1,K171)=0)*(1-(IF(K171="",-1,K171)&gt;=1)*(IF(K171="",-1,K171)&lt;=3)),IF(C171="peso_corporal",IF(ISNUMBER(E171),E171,0)+I171,I171)*J171*1000+I171,0),IF((M171&gt;0)*(IF(N171="",-1,N171)=0)*(1-(IF(N171="",-1,N171)&gt;=1)*(IF(N171="",-1,N171)&lt;=3)),IF(C171="peso_corporal",IF(ISNUMBER(E171),E171,0)+L171,L171)*M171*1000+L171,0),IF((P171&gt;0)*(IF(Q171="",-1,Q171)=0)*(1-(IF(Q171="",-1,Q171)&gt;=1)*(IF(Q171="",-1,Q171)&lt;=3)),IF(C171="peso_corporal",IF(ISNUMBER(E171),E171,0)+O171,O171)*P171*1000+O171,0),IF((S171&gt;0)*(IF(T171="",-1,T171)=0)*(1-(IF(T171="",-1,T171)&gt;=1)*(IF(T171="",-1,T171)&lt;=3)),IF(C171="peso_corporal",IF(ISNUMBER(E171),E171,0)+R171,R171)*S171*1000+R171,0))</f>
        <v>0</v>
      </c>
      <c r="Z171" s="69">
        <f>IF(Y171=0,0,IF(IF((S171&gt;0)*(IF(T171="",-1,T171)=0)*(1-(IF(T171="",-1,T171)&gt;=1)*(IF(T171="",-1,T171)&lt;=3)),IF(C171="peso_corporal",IF(ISNUMBER(E171),E171,0)+R171,R171)*S171*1000+R171,0)=Y171,5,IF(IF((P171&gt;0)*(IF(Q171="",-1,Q171)=0)*(1-(IF(Q171="",-1,Q171)&gt;=1)*(IF(Q171="",-1,Q171)&lt;=3)),IF(C171="peso_corporal",IF(ISNUMBER(E171),E171,0)+O171,O171)*P171*1000+O171,0)=Y171,4,IF(IF((M171&gt;0)*(IF(N171="",-1,N171)=0)*(1-(IF(N171="",-1,N171)&gt;=1)*(IF(N171="",-1,N171)&lt;=3)),IF(C171="peso_corporal",IF(ISNUMBER(E171),E171,0)+L171,L171)*M171*1000+L171,0)=Y171,3,IF(IF((J171&gt;0)*(IF(K171="",-1,K171)=0)*(1-(IF(K171="",-1,K171)&gt;=1)*(IF(K171="",-1,K171)&lt;=3)),IF(C171="peso_corporal",IF(ISNUMBER(E171),E171,0)+I171,I171)*J171*1000+I171,0)=Y171,2,IF(IF((G171&gt;0)*(IF(H171="",-1,H171)=0)*(1-(IF(H171="",-1,H171)&gt;=1)*(IF(H171="",-1,H171)&lt;=3)),IF(C171="peso_corporal",IF(ISNUMBER(E171),E171,0)+F171,F171)*G171*1000+F171,0)=Y171,1,0))))))</f>
        <v>0</v>
      </c>
      <c r="AA171" s="69">
        <f>MAX(IF((G171&gt;=6)*(1-(IF(H171="",-1,H171)&gt;=1)*(IF(H171="",-1,H171)&lt;=3))*(1-(IF(H171="",-1,H171)=0)),IF(C171="peso_corporal",IF(ISNUMBER(E171),E171,0)+F171,F171)*(30+G171)*100+F171,0),IF((J171&gt;=6)*(1-(IF(K171="",-1,K171)&gt;=1)*(IF(K171="",-1,K171)&lt;=3))*(1-(IF(K171="",-1,K171)=0)),IF(C171="peso_corporal",IF(ISNUMBER(E171),E171,0)+I171,I171)*(30+J171)*100+I171,0),IF((M171&gt;=6)*(1-(IF(N171="",-1,N171)&gt;=1)*(IF(N171="",-1,N171)&lt;=3))*(1-(IF(N171="",-1,N171)=0)),IF(C171="peso_corporal",IF(ISNUMBER(E171),E171,0)+L171,L171)*(30+M171)*100+L171,0),IF((P171&gt;=6)*(1-(IF(Q171="",-1,Q171)&gt;=1)*(IF(Q171="",-1,Q171)&lt;=3))*(1-(IF(Q171="",-1,Q171)=0)),IF(C171="peso_corporal",IF(ISNUMBER(E171),E171,0)+O171,O171)*(30+P171)*100+O171,0),IF((S171&gt;=6)*(1-(IF(T171="",-1,T171)&gt;=1)*(IF(T171="",-1,T171)&lt;=3))*(1-(IF(T171="",-1,T171)=0)),IF(C171="peso_corporal",IF(ISNUMBER(E171),E171,0)+R171,R171)*(30+S171)*100+R171,0))</f>
        <v>0</v>
      </c>
      <c r="AB171" s="69">
        <f>IF(AA171=0,0,IF(IF((S171&gt;=6)*(1-(IF(T171="",-1,T171)&gt;=1)*(IF(T171="",-1,T171)&lt;=3))*(1-(IF(T171="",-1,T171)=0)),IF(C171="peso_corporal",IF(ISNUMBER(E171),E171,0)+R171,R171)*(30+S171)*100+R171,0)=AA171,5,IF(IF((P171&gt;=6)*(1-(IF(Q171="",-1,Q171)&gt;=1)*(IF(Q171="",-1,Q171)&lt;=3))*(1-(IF(Q171="",-1,Q171)=0)),IF(C171="peso_corporal",IF(ISNUMBER(E171),E171,0)+O171,O171)*(30+P171)*100+O171,0)=AA171,4,IF(IF((M171&gt;=6)*(1-(IF(N171="",-1,N171)&gt;=1)*(IF(N171="",-1,N171)&lt;=3))*(1-(IF(N171="",-1,N171)=0)),IF(C171="peso_corporal",IF(ISNUMBER(E171),E171,0)+L171,L171)*(30+M171)*100+L171,0)=AA171,3,IF(IF((J171&gt;=6)*(1-(IF(K171="",-1,K171)&gt;=1)*(IF(K171="",-1,K171)&lt;=3))*(1-(IF(K171="",-1,K171)=0)),IF(C171="peso_corporal",IF(ISNUMBER(E171),E171,0)+I171,I171)*(30+J171)*100+I171,0)=AA171,2,IF(IF((G171&gt;=6)*(1-(IF(H171="",-1,H171)&gt;=1)*(IF(H171="",-1,H171)&lt;=3))*(1-(IF(H171="",-1,H171)=0)),IF(C171="peso_corporal",IF(ISNUMBER(E171),E171,0)+F171,F171)*(30+G171)*100+F171,0)=AA171,1,0))))))</f>
        <v>0</v>
      </c>
      <c r="AC171" s="69" t="str">
        <f>IF(X171&gt;0,"A"&amp;X171,IF(Z171&gt;0,"B"&amp;Z171,IF(AB171&gt;0,"C"&amp;AB171,"")))</f>
        <v/>
      </c>
    </row>
    <row r="172" spans="1:29" ht="20.100000000000001" customHeight="1">
      <c r="A172" s="14" t="s">
        <v>65</v>
      </c>
      <c r="B172" s="15" t="s">
        <v>66</v>
      </c>
      <c r="C172" s="16" t="str">
        <f>IFERROR(INDEX(EJERCICIOS!$D$3:$D$75,MATCH(A172&amp;"|"&amp;B172,EJERCICIOS!$G$3:$G$75,0)),"--")</f>
        <v>--</v>
      </c>
      <c r="D172" s="17">
        <v>3</v>
      </c>
      <c r="E172" s="18">
        <f>IFERROR(LOOKUP(2,1/(MEDIDAS_Y_PESO!$B$3:$B$10&lt;&gt;""),MEDIDAS_Y_PESO!$B$3:$B$10),"--")</f>
        <v>80</v>
      </c>
      <c r="F172" s="19"/>
      <c r="G172" s="20"/>
      <c r="H172" s="21"/>
      <c r="I172" s="19"/>
      <c r="J172" s="20"/>
      <c r="K172" s="21"/>
      <c r="L172" s="19"/>
      <c r="M172" s="20"/>
      <c r="N172" s="21"/>
      <c r="O172" s="19"/>
      <c r="P172" s="20"/>
      <c r="Q172" s="21"/>
      <c r="R172" s="19"/>
      <c r="S172" s="20"/>
      <c r="T172" s="21"/>
      <c r="U172" s="22" t="str">
        <f>IFERROR(IF(IF(X172&gt;0,X172,IF(Z172&gt;0,Z172,IF(AB172&gt;0,AB172,0)))=0,"--",ROUND(CHOOSE(IF(X172&gt;0,X172,IF(Z172&gt;0,Z172,IF(AB172&gt;0,AB172,0))),IF(C172="peso_corporal",IF(ISNUMBER(E172),E172,0)+F172,F172)*(1+G172/30),IF(C172="peso_corporal",IF(ISNUMBER(E172),E172,0)+I172,I172)*(1+J172/30),IF(C172="peso_corporal",IF(ISNUMBER(E172),E172,0)+L172,L172)*(1+M172/30),IF(C172="peso_corporal",IF(ISNUMBER(E172),E172,0)+O172,O172)*(1+P172/30),IF(C172="peso_corporal",IF(ISNUMBER(E172),E172,0)+R172,R172)*(1+S172/30)),1)),"--")</f>
        <v>--</v>
      </c>
      <c r="V172" s="23" t="str">
        <f>IF(SUGERENCIAS!N472="SIN","Sin datos anteriores",IF(SUGERENCIAS!N472="SUBIR_F","^ SUBIR FUERTE | Kg:"&amp;ROUND(SUGERENCIAS!K472,1)&amp;" R:"&amp;ROUND(SUGERENCIAS!L472,0)&amp;" RIR:"&amp;ROUND(SUGERENCIAS!M472,0),IF(SUGERENCIAS!N472="SUBIR_E","^ SUBIR (Est.) | Kg:"&amp;ROUND(SUGERENCIAS!K472,1)&amp;" R:"&amp;ROUND(SUGERENCIAS!L472,0)&amp;" RIR:"&amp;ROUND(SUGERENCIAS!M472,0),IF(SUGERENCIAS!N472="SUBIR","^ SUBIR | Kg:"&amp;ROUND(SUGERENCIAS!K472,1)&amp;" R:"&amp;ROUND(SUGERENCIAS!L472,0)&amp;" RIR:"&amp;ROUND(SUGERENCIAS!M472,0),IF(SUGERENCIAS!N472="BAJAR","v BAJAR | Kg:"&amp;ROUND(SUGERENCIAS!K472,1)&amp;" R:"&amp;ROUND(SUGERENCIAS!L472,0)&amp;" RIR:"&amp;ROUND(SUGERENCIAS!M472,0),"= MANT | Kg:"&amp;ROUND(SUGERENCIAS!K472,1)&amp;" R:"&amp;ROUND(SUGERENCIAS!L472,0)&amp;" RIR:"&amp;ROUND(SUGERENCIAS!M472,0))))))</f>
        <v>Sin datos anteriores</v>
      </c>
      <c r="W172" s="69">
        <f>MAX(IF((G172&gt;0)*(IF(H172="",-1,H172)&gt;=1)*(IF(H172="",-1,H172)&lt;=3),IF(C172="peso_corporal",IF(ISNUMBER(E172),E172,0)+F172,F172)*G172*1000+F172,0),IF((J172&gt;0)*(IF(K172="",-1,K172)&gt;=1)*(IF(K172="",-1,K172)&lt;=3),IF(C172="peso_corporal",IF(ISNUMBER(E172),E172,0)+I172,I172)*J172*1000+I172,0),IF((M172&gt;0)*(IF(N172="",-1,N172)&gt;=1)*(IF(N172="",-1,N172)&lt;=3),IF(C172="peso_corporal",IF(ISNUMBER(E172),E172,0)+L172,L172)*M172*1000+L172,0),IF((P172&gt;0)*(IF(Q172="",-1,Q172)&gt;=1)*(IF(Q172="",-1,Q172)&lt;=3),IF(C172="peso_corporal",IF(ISNUMBER(E172),E172,0)+O172,O172)*P172*1000+O172,0),IF((S172&gt;0)*(IF(T172="",-1,T172)&gt;=1)*(IF(T172="",-1,T172)&lt;=3),IF(C172="peso_corporal",IF(ISNUMBER(E172),E172,0)+R172,R172)*S172*1000+R172,0))</f>
        <v>0</v>
      </c>
      <c r="X172" s="69">
        <f>IF(W172=0,0,IF(IF((S172&gt;0)*(IF(T172="",-1,T172)&gt;=1)*(IF(T172="",-1,T172)&lt;=3),IF(C172="peso_corporal",IF(ISNUMBER(E172),E172,0)+R172,R172)*S172*1000+R172,0)=W172,5,IF(IF((P172&gt;0)*(IF(Q172="",-1,Q172)&gt;=1)*(IF(Q172="",-1,Q172)&lt;=3),IF(C172="peso_corporal",IF(ISNUMBER(E172),E172,0)+O172,O172)*P172*1000+O172,0)=W172,4,IF(IF((M172&gt;0)*(IF(N172="",-1,N172)&gt;=1)*(IF(N172="",-1,N172)&lt;=3),IF(C172="peso_corporal",IF(ISNUMBER(E172),E172,0)+L172,L172)*M172*1000+L172,0)=W172,3,IF(IF((J172&gt;0)*(IF(K172="",-1,K172)&gt;=1)*(IF(K172="",-1,K172)&lt;=3),IF(C172="peso_corporal",IF(ISNUMBER(E172),E172,0)+I172,I172)*J172*1000+I172,0)=W172,2,IF(IF((G172&gt;0)*(IF(H172="",-1,H172)&gt;=1)*(IF(H172="",-1,H172)&lt;=3),IF(C172="peso_corporal",IF(ISNUMBER(E172),E172,0)+F172,F172)*G172*1000+F172,0)=W172,1,0))))))</f>
        <v>0</v>
      </c>
      <c r="Y172" s="69">
        <f>MAX(IF((G172&gt;0)*(IF(H172="",-1,H172)=0)*(1-(IF(H172="",-1,H172)&gt;=1)*(IF(H172="",-1,H172)&lt;=3)),IF(C172="peso_corporal",IF(ISNUMBER(E172),E172,0)+F172,F172)*G172*1000+F172,0),IF((J172&gt;0)*(IF(K172="",-1,K172)=0)*(1-(IF(K172="",-1,K172)&gt;=1)*(IF(K172="",-1,K172)&lt;=3)),IF(C172="peso_corporal",IF(ISNUMBER(E172),E172,0)+I172,I172)*J172*1000+I172,0),IF((M172&gt;0)*(IF(N172="",-1,N172)=0)*(1-(IF(N172="",-1,N172)&gt;=1)*(IF(N172="",-1,N172)&lt;=3)),IF(C172="peso_corporal",IF(ISNUMBER(E172),E172,0)+L172,L172)*M172*1000+L172,0),IF((P172&gt;0)*(IF(Q172="",-1,Q172)=0)*(1-(IF(Q172="",-1,Q172)&gt;=1)*(IF(Q172="",-1,Q172)&lt;=3)),IF(C172="peso_corporal",IF(ISNUMBER(E172),E172,0)+O172,O172)*P172*1000+O172,0),IF((S172&gt;0)*(IF(T172="",-1,T172)=0)*(1-(IF(T172="",-1,T172)&gt;=1)*(IF(T172="",-1,T172)&lt;=3)),IF(C172="peso_corporal",IF(ISNUMBER(E172),E172,0)+R172,R172)*S172*1000+R172,0))</f>
        <v>0</v>
      </c>
      <c r="Z172" s="69">
        <f>IF(Y172=0,0,IF(IF((S172&gt;0)*(IF(T172="",-1,T172)=0)*(1-(IF(T172="",-1,T172)&gt;=1)*(IF(T172="",-1,T172)&lt;=3)),IF(C172="peso_corporal",IF(ISNUMBER(E172),E172,0)+R172,R172)*S172*1000+R172,0)=Y172,5,IF(IF((P172&gt;0)*(IF(Q172="",-1,Q172)=0)*(1-(IF(Q172="",-1,Q172)&gt;=1)*(IF(Q172="",-1,Q172)&lt;=3)),IF(C172="peso_corporal",IF(ISNUMBER(E172),E172,0)+O172,O172)*P172*1000+O172,0)=Y172,4,IF(IF((M172&gt;0)*(IF(N172="",-1,N172)=0)*(1-(IF(N172="",-1,N172)&gt;=1)*(IF(N172="",-1,N172)&lt;=3)),IF(C172="peso_corporal",IF(ISNUMBER(E172),E172,0)+L172,L172)*M172*1000+L172,0)=Y172,3,IF(IF((J172&gt;0)*(IF(K172="",-1,K172)=0)*(1-(IF(K172="",-1,K172)&gt;=1)*(IF(K172="",-1,K172)&lt;=3)),IF(C172="peso_corporal",IF(ISNUMBER(E172),E172,0)+I172,I172)*J172*1000+I172,0)=Y172,2,IF(IF((G172&gt;0)*(IF(H172="",-1,H172)=0)*(1-(IF(H172="",-1,H172)&gt;=1)*(IF(H172="",-1,H172)&lt;=3)),IF(C172="peso_corporal",IF(ISNUMBER(E172),E172,0)+F172,F172)*G172*1000+F172,0)=Y172,1,0))))))</f>
        <v>0</v>
      </c>
      <c r="AA172" s="69">
        <f>MAX(IF((G172&gt;=6)*(1-(IF(H172="",-1,H172)&gt;=1)*(IF(H172="",-1,H172)&lt;=3))*(1-(IF(H172="",-1,H172)=0)),IF(C172="peso_corporal",IF(ISNUMBER(E172),E172,0)+F172,F172)*(30+G172)*100+F172,0),IF((J172&gt;=6)*(1-(IF(K172="",-1,K172)&gt;=1)*(IF(K172="",-1,K172)&lt;=3))*(1-(IF(K172="",-1,K172)=0)),IF(C172="peso_corporal",IF(ISNUMBER(E172),E172,0)+I172,I172)*(30+J172)*100+I172,0),IF((M172&gt;=6)*(1-(IF(N172="",-1,N172)&gt;=1)*(IF(N172="",-1,N172)&lt;=3))*(1-(IF(N172="",-1,N172)=0)),IF(C172="peso_corporal",IF(ISNUMBER(E172),E172,0)+L172,L172)*(30+M172)*100+L172,0),IF((P172&gt;=6)*(1-(IF(Q172="",-1,Q172)&gt;=1)*(IF(Q172="",-1,Q172)&lt;=3))*(1-(IF(Q172="",-1,Q172)=0)),IF(C172="peso_corporal",IF(ISNUMBER(E172),E172,0)+O172,O172)*(30+P172)*100+O172,0),IF((S172&gt;=6)*(1-(IF(T172="",-1,T172)&gt;=1)*(IF(T172="",-1,T172)&lt;=3))*(1-(IF(T172="",-1,T172)=0)),IF(C172="peso_corporal",IF(ISNUMBER(E172),E172,0)+R172,R172)*(30+S172)*100+R172,0))</f>
        <v>0</v>
      </c>
      <c r="AB172" s="69">
        <f>IF(AA172=0,0,IF(IF((S172&gt;=6)*(1-(IF(T172="",-1,T172)&gt;=1)*(IF(T172="",-1,T172)&lt;=3))*(1-(IF(T172="",-1,T172)=0)),IF(C172="peso_corporal",IF(ISNUMBER(E172),E172,0)+R172,R172)*(30+S172)*100+R172,0)=AA172,5,IF(IF((P172&gt;=6)*(1-(IF(Q172="",-1,Q172)&gt;=1)*(IF(Q172="",-1,Q172)&lt;=3))*(1-(IF(Q172="",-1,Q172)=0)),IF(C172="peso_corporal",IF(ISNUMBER(E172),E172,0)+O172,O172)*(30+P172)*100+O172,0)=AA172,4,IF(IF((M172&gt;=6)*(1-(IF(N172="",-1,N172)&gt;=1)*(IF(N172="",-1,N172)&lt;=3))*(1-(IF(N172="",-1,N172)=0)),IF(C172="peso_corporal",IF(ISNUMBER(E172),E172,0)+L172,L172)*(30+M172)*100+L172,0)=AA172,3,IF(IF((J172&gt;=6)*(1-(IF(K172="",-1,K172)&gt;=1)*(IF(K172="",-1,K172)&lt;=3))*(1-(IF(K172="",-1,K172)=0)),IF(C172="peso_corporal",IF(ISNUMBER(E172),E172,0)+I172,I172)*(30+J172)*100+I172,0)=AA172,2,IF(IF((G172&gt;=6)*(1-(IF(H172="",-1,H172)&gt;=1)*(IF(H172="",-1,H172)&lt;=3))*(1-(IF(H172="",-1,H172)=0)),IF(C172="peso_corporal",IF(ISNUMBER(E172),E172,0)+F172,F172)*(30+G172)*100+F172,0)=AA172,1,0))))))</f>
        <v>0</v>
      </c>
      <c r="AC172" s="69" t="str">
        <f>IF(X172&gt;0,"A"&amp;X172,IF(Z172&gt;0,"B"&amp;Z172,IF(AB172&gt;0,"C"&amp;AB172,"")))</f>
        <v/>
      </c>
    </row>
    <row r="173" spans="1:29" ht="20.100000000000001" customHeight="1">
      <c r="A173" s="14" t="s">
        <v>65</v>
      </c>
      <c r="B173" s="15" t="s">
        <v>137</v>
      </c>
      <c r="C173" s="16" t="str">
        <f>IFERROR(INDEX(EJERCICIOS!$D$3:$D$75,MATCH(A173&amp;"|"&amp;B173,EJERCICIOS!$G$3:$G$75,0)),"--")</f>
        <v>--</v>
      </c>
      <c r="D173" s="17">
        <v>3</v>
      </c>
      <c r="E173" s="18">
        <f>IFERROR(LOOKUP(2,1/(MEDIDAS_Y_PESO!$B$3:$B$10&lt;&gt;""),MEDIDAS_Y_PESO!$B$3:$B$10),"--")</f>
        <v>80</v>
      </c>
      <c r="F173" s="19"/>
      <c r="G173" s="20"/>
      <c r="H173" s="21"/>
      <c r="I173" s="19"/>
      <c r="J173" s="20"/>
      <c r="K173" s="21"/>
      <c r="L173" s="19"/>
      <c r="M173" s="20"/>
      <c r="N173" s="21"/>
      <c r="O173" s="19"/>
      <c r="P173" s="20"/>
      <c r="Q173" s="21"/>
      <c r="R173" s="19"/>
      <c r="S173" s="20"/>
      <c r="T173" s="21"/>
      <c r="U173" s="22" t="str">
        <f>IFERROR(IF(IF(X173&gt;0,X173,IF(Z173&gt;0,Z173,IF(AB173&gt;0,AB173,0)))=0,"--",ROUND(CHOOSE(IF(X173&gt;0,X173,IF(Z173&gt;0,Z173,IF(AB173&gt;0,AB173,0))),IF(C173="peso_corporal",IF(ISNUMBER(E173),E173,0)+F173,F173)*(1+G173/30),IF(C173="peso_corporal",IF(ISNUMBER(E173),E173,0)+I173,I173)*(1+J173/30),IF(C173="peso_corporal",IF(ISNUMBER(E173),E173,0)+L173,L173)*(1+M173/30),IF(C173="peso_corporal",IF(ISNUMBER(E173),E173,0)+O173,O173)*(1+P173/30),IF(C173="peso_corporal",IF(ISNUMBER(E173),E173,0)+R173,R173)*(1+S173/30)),1)),"--")</f>
        <v>--</v>
      </c>
      <c r="V173" s="23" t="str">
        <f>IF(SUGERENCIAS!N473="SIN","Sin datos anteriores",IF(SUGERENCIAS!N473="SUBIR_F","^ SUBIR FUERTE | Kg:"&amp;ROUND(SUGERENCIAS!K473,1)&amp;" R:"&amp;ROUND(SUGERENCIAS!L473,0)&amp;" RIR:"&amp;ROUND(SUGERENCIAS!M473,0),IF(SUGERENCIAS!N473="SUBIR_E","^ SUBIR (Est.) | Kg:"&amp;ROUND(SUGERENCIAS!K473,1)&amp;" R:"&amp;ROUND(SUGERENCIAS!L473,0)&amp;" RIR:"&amp;ROUND(SUGERENCIAS!M473,0),IF(SUGERENCIAS!N473="SUBIR","^ SUBIR | Kg:"&amp;ROUND(SUGERENCIAS!K473,1)&amp;" R:"&amp;ROUND(SUGERENCIAS!L473,0)&amp;" RIR:"&amp;ROUND(SUGERENCIAS!M473,0),IF(SUGERENCIAS!N473="BAJAR","v BAJAR | Kg:"&amp;ROUND(SUGERENCIAS!K473,1)&amp;" R:"&amp;ROUND(SUGERENCIAS!L473,0)&amp;" RIR:"&amp;ROUND(SUGERENCIAS!M473,0),"= MANT | Kg:"&amp;ROUND(SUGERENCIAS!K473,1)&amp;" R:"&amp;ROUND(SUGERENCIAS!L473,0)&amp;" RIR:"&amp;ROUND(SUGERENCIAS!M473,0))))))</f>
        <v>Sin datos anteriores</v>
      </c>
      <c r="W173" s="69">
        <f>MAX(IF((G173&gt;0)*(IF(H173="",-1,H173)&gt;=1)*(IF(H173="",-1,H173)&lt;=3),IF(C173="peso_corporal",IF(ISNUMBER(E173),E173,0)+F173,F173)*G173*1000+F173,0),IF((J173&gt;0)*(IF(K173="",-1,K173)&gt;=1)*(IF(K173="",-1,K173)&lt;=3),IF(C173="peso_corporal",IF(ISNUMBER(E173),E173,0)+I173,I173)*J173*1000+I173,0),IF((M173&gt;0)*(IF(N173="",-1,N173)&gt;=1)*(IF(N173="",-1,N173)&lt;=3),IF(C173="peso_corporal",IF(ISNUMBER(E173),E173,0)+L173,L173)*M173*1000+L173,0),IF((P173&gt;0)*(IF(Q173="",-1,Q173)&gt;=1)*(IF(Q173="",-1,Q173)&lt;=3),IF(C173="peso_corporal",IF(ISNUMBER(E173),E173,0)+O173,O173)*P173*1000+O173,0),IF((S173&gt;0)*(IF(T173="",-1,T173)&gt;=1)*(IF(T173="",-1,T173)&lt;=3),IF(C173="peso_corporal",IF(ISNUMBER(E173),E173,0)+R173,R173)*S173*1000+R173,0))</f>
        <v>0</v>
      </c>
      <c r="X173" s="69">
        <f>IF(W173=0,0,IF(IF((S173&gt;0)*(IF(T173="",-1,T173)&gt;=1)*(IF(T173="",-1,T173)&lt;=3),IF(C173="peso_corporal",IF(ISNUMBER(E173),E173,0)+R173,R173)*S173*1000+R173,0)=W173,5,IF(IF((P173&gt;0)*(IF(Q173="",-1,Q173)&gt;=1)*(IF(Q173="",-1,Q173)&lt;=3),IF(C173="peso_corporal",IF(ISNUMBER(E173),E173,0)+O173,O173)*P173*1000+O173,0)=W173,4,IF(IF((M173&gt;0)*(IF(N173="",-1,N173)&gt;=1)*(IF(N173="",-1,N173)&lt;=3),IF(C173="peso_corporal",IF(ISNUMBER(E173),E173,0)+L173,L173)*M173*1000+L173,0)=W173,3,IF(IF((J173&gt;0)*(IF(K173="",-1,K173)&gt;=1)*(IF(K173="",-1,K173)&lt;=3),IF(C173="peso_corporal",IF(ISNUMBER(E173),E173,0)+I173,I173)*J173*1000+I173,0)=W173,2,IF(IF((G173&gt;0)*(IF(H173="",-1,H173)&gt;=1)*(IF(H173="",-1,H173)&lt;=3),IF(C173="peso_corporal",IF(ISNUMBER(E173),E173,0)+F173,F173)*G173*1000+F173,0)=W173,1,0))))))</f>
        <v>0</v>
      </c>
      <c r="Y173" s="69">
        <f>MAX(IF((G173&gt;0)*(IF(H173="",-1,H173)=0)*(1-(IF(H173="",-1,H173)&gt;=1)*(IF(H173="",-1,H173)&lt;=3)),IF(C173="peso_corporal",IF(ISNUMBER(E173),E173,0)+F173,F173)*G173*1000+F173,0),IF((J173&gt;0)*(IF(K173="",-1,K173)=0)*(1-(IF(K173="",-1,K173)&gt;=1)*(IF(K173="",-1,K173)&lt;=3)),IF(C173="peso_corporal",IF(ISNUMBER(E173),E173,0)+I173,I173)*J173*1000+I173,0),IF((M173&gt;0)*(IF(N173="",-1,N173)=0)*(1-(IF(N173="",-1,N173)&gt;=1)*(IF(N173="",-1,N173)&lt;=3)),IF(C173="peso_corporal",IF(ISNUMBER(E173),E173,0)+L173,L173)*M173*1000+L173,0),IF((P173&gt;0)*(IF(Q173="",-1,Q173)=0)*(1-(IF(Q173="",-1,Q173)&gt;=1)*(IF(Q173="",-1,Q173)&lt;=3)),IF(C173="peso_corporal",IF(ISNUMBER(E173),E173,0)+O173,O173)*P173*1000+O173,0),IF((S173&gt;0)*(IF(T173="",-1,T173)=0)*(1-(IF(T173="",-1,T173)&gt;=1)*(IF(T173="",-1,T173)&lt;=3)),IF(C173="peso_corporal",IF(ISNUMBER(E173),E173,0)+R173,R173)*S173*1000+R173,0))</f>
        <v>0</v>
      </c>
      <c r="Z173" s="69">
        <f>IF(Y173=0,0,IF(IF((S173&gt;0)*(IF(T173="",-1,T173)=0)*(1-(IF(T173="",-1,T173)&gt;=1)*(IF(T173="",-1,T173)&lt;=3)),IF(C173="peso_corporal",IF(ISNUMBER(E173),E173,0)+R173,R173)*S173*1000+R173,0)=Y173,5,IF(IF((P173&gt;0)*(IF(Q173="",-1,Q173)=0)*(1-(IF(Q173="",-1,Q173)&gt;=1)*(IF(Q173="",-1,Q173)&lt;=3)),IF(C173="peso_corporal",IF(ISNUMBER(E173),E173,0)+O173,O173)*P173*1000+O173,0)=Y173,4,IF(IF((M173&gt;0)*(IF(N173="",-1,N173)=0)*(1-(IF(N173="",-1,N173)&gt;=1)*(IF(N173="",-1,N173)&lt;=3)),IF(C173="peso_corporal",IF(ISNUMBER(E173),E173,0)+L173,L173)*M173*1000+L173,0)=Y173,3,IF(IF((J173&gt;0)*(IF(K173="",-1,K173)=0)*(1-(IF(K173="",-1,K173)&gt;=1)*(IF(K173="",-1,K173)&lt;=3)),IF(C173="peso_corporal",IF(ISNUMBER(E173),E173,0)+I173,I173)*J173*1000+I173,0)=Y173,2,IF(IF((G173&gt;0)*(IF(H173="",-1,H173)=0)*(1-(IF(H173="",-1,H173)&gt;=1)*(IF(H173="",-1,H173)&lt;=3)),IF(C173="peso_corporal",IF(ISNUMBER(E173),E173,0)+F173,F173)*G173*1000+F173,0)=Y173,1,0))))))</f>
        <v>0</v>
      </c>
      <c r="AA173" s="69">
        <f>MAX(IF((G173&gt;=6)*(1-(IF(H173="",-1,H173)&gt;=1)*(IF(H173="",-1,H173)&lt;=3))*(1-(IF(H173="",-1,H173)=0)),IF(C173="peso_corporal",IF(ISNUMBER(E173),E173,0)+F173,F173)*(30+G173)*100+F173,0),IF((J173&gt;=6)*(1-(IF(K173="",-1,K173)&gt;=1)*(IF(K173="",-1,K173)&lt;=3))*(1-(IF(K173="",-1,K173)=0)),IF(C173="peso_corporal",IF(ISNUMBER(E173),E173,0)+I173,I173)*(30+J173)*100+I173,0),IF((M173&gt;=6)*(1-(IF(N173="",-1,N173)&gt;=1)*(IF(N173="",-1,N173)&lt;=3))*(1-(IF(N173="",-1,N173)=0)),IF(C173="peso_corporal",IF(ISNUMBER(E173),E173,0)+L173,L173)*(30+M173)*100+L173,0),IF((P173&gt;=6)*(1-(IF(Q173="",-1,Q173)&gt;=1)*(IF(Q173="",-1,Q173)&lt;=3))*(1-(IF(Q173="",-1,Q173)=0)),IF(C173="peso_corporal",IF(ISNUMBER(E173),E173,0)+O173,O173)*(30+P173)*100+O173,0),IF((S173&gt;=6)*(1-(IF(T173="",-1,T173)&gt;=1)*(IF(T173="",-1,T173)&lt;=3))*(1-(IF(T173="",-1,T173)=0)),IF(C173="peso_corporal",IF(ISNUMBER(E173),E173,0)+R173,R173)*(30+S173)*100+R173,0))</f>
        <v>0</v>
      </c>
      <c r="AB173" s="69">
        <f>IF(AA173=0,0,IF(IF((S173&gt;=6)*(1-(IF(T173="",-1,T173)&gt;=1)*(IF(T173="",-1,T173)&lt;=3))*(1-(IF(T173="",-1,T173)=0)),IF(C173="peso_corporal",IF(ISNUMBER(E173),E173,0)+R173,R173)*(30+S173)*100+R173,0)=AA173,5,IF(IF((P173&gt;=6)*(1-(IF(Q173="",-1,Q173)&gt;=1)*(IF(Q173="",-1,Q173)&lt;=3))*(1-(IF(Q173="",-1,Q173)=0)),IF(C173="peso_corporal",IF(ISNUMBER(E173),E173,0)+O173,O173)*(30+P173)*100+O173,0)=AA173,4,IF(IF((M173&gt;=6)*(1-(IF(N173="",-1,N173)&gt;=1)*(IF(N173="",-1,N173)&lt;=3))*(1-(IF(N173="",-1,N173)=0)),IF(C173="peso_corporal",IF(ISNUMBER(E173),E173,0)+L173,L173)*(30+M173)*100+L173,0)=AA173,3,IF(IF((J173&gt;=6)*(1-(IF(K173="",-1,K173)&gt;=1)*(IF(K173="",-1,K173)&lt;=3))*(1-(IF(K173="",-1,K173)=0)),IF(C173="peso_corporal",IF(ISNUMBER(E173),E173,0)+I173,I173)*(30+J173)*100+I173,0)=AA173,2,IF(IF((G173&gt;=6)*(1-(IF(H173="",-1,H173)&gt;=1)*(IF(H173="",-1,H173)&lt;=3))*(1-(IF(H173="",-1,H173)=0)),IF(C173="peso_corporal",IF(ISNUMBER(E173),E173,0)+F173,F173)*(30+G173)*100+F173,0)=AA173,1,0))))))</f>
        <v>0</v>
      </c>
      <c r="AC173" s="69" t="str">
        <f>IF(X173&gt;0,"A"&amp;X173,IF(Z173&gt;0,"B"&amp;Z173,IF(AB173&gt;0,"C"&amp;AB173,"")))</f>
        <v/>
      </c>
    </row>
    <row r="174" spans="1:29" ht="15" customHeight="1">
      <c r="A174" s="89" t="s">
        <v>138</v>
      </c>
      <c r="B174" s="73"/>
      <c r="C174" s="73"/>
      <c r="D174" s="73"/>
      <c r="E174" s="73"/>
      <c r="F174" s="73"/>
      <c r="G174" s="73"/>
      <c r="H174" s="73"/>
      <c r="I174" s="73"/>
      <c r="J174" s="73"/>
      <c r="K174" s="73"/>
      <c r="L174" s="73"/>
      <c r="M174" s="73"/>
      <c r="N174" s="73"/>
      <c r="O174" s="73"/>
      <c r="P174" s="73"/>
      <c r="Q174" s="73"/>
      <c r="R174" s="73"/>
      <c r="S174" s="73"/>
      <c r="T174" s="73"/>
      <c r="U174" s="73"/>
      <c r="V174" s="73"/>
      <c r="W174" s="69"/>
      <c r="X174" s="69"/>
      <c r="Y174" s="69"/>
      <c r="Z174" s="69"/>
      <c r="AA174" s="69"/>
      <c r="AB174" s="69"/>
      <c r="AC174" s="69"/>
    </row>
    <row r="175" spans="1:29" ht="20.100000000000001" customHeight="1">
      <c r="A175" s="14" t="s">
        <v>139</v>
      </c>
      <c r="B175" s="15" t="s">
        <v>140</v>
      </c>
      <c r="C175" s="16" t="str">
        <f>IFERROR(INDEX(EJERCICIOS!$D$3:$D$75,MATCH(A175&amp;"|"&amp;B175,EJERCICIOS!$G$3:$G$75,0)),"--")</f>
        <v>disco</v>
      </c>
      <c r="D175" s="17">
        <v>3</v>
      </c>
      <c r="E175" s="18">
        <f>IFERROR(LOOKUP(2,1/(MEDIDAS_Y_PESO!$B$3:$B$10&lt;&gt;""),MEDIDAS_Y_PESO!$B$3:$B$10),"--")</f>
        <v>80</v>
      </c>
      <c r="F175" s="19"/>
      <c r="G175" s="20"/>
      <c r="H175" s="21"/>
      <c r="I175" s="19"/>
      <c r="J175" s="20"/>
      <c r="K175" s="21"/>
      <c r="L175" s="19"/>
      <c r="M175" s="20"/>
      <c r="N175" s="21"/>
      <c r="O175" s="19"/>
      <c r="P175" s="20"/>
      <c r="Q175" s="21"/>
      <c r="R175" s="19"/>
      <c r="S175" s="20"/>
      <c r="T175" s="21"/>
      <c r="U175" s="22" t="str">
        <f>IFERROR(IF(IF(X175&gt;0,X175,IF(Z175&gt;0,Z175,IF(AB175&gt;0,AB175,0)))=0,"--",ROUND(CHOOSE(IF(X175&gt;0,X175,IF(Z175&gt;0,Z175,IF(AB175&gt;0,AB175,0))),IF(C175="peso_corporal",IF(ISNUMBER(E175),E175,0)+F175,F175)*(1+G175/30),IF(C175="peso_corporal",IF(ISNUMBER(E175),E175,0)+I175,I175)*(1+J175/30),IF(C175="peso_corporal",IF(ISNUMBER(E175),E175,0)+L175,L175)*(1+M175/30),IF(C175="peso_corporal",IF(ISNUMBER(E175),E175,0)+O175,O175)*(1+P175/30),IF(C175="peso_corporal",IF(ISNUMBER(E175),E175,0)+R175,R175)*(1+S175/30)),1)),"--")</f>
        <v>--</v>
      </c>
      <c r="V175" s="23" t="str">
        <f>IF(SUGERENCIAS!N474="SIN","Sin datos anteriores",IF(SUGERENCIAS!N474="SUBIR_F","^ SUBIR FUERTE | Kg:"&amp;ROUND(SUGERENCIAS!K474,1)&amp;" R:"&amp;ROUND(SUGERENCIAS!L474,0)&amp;" RIR:"&amp;ROUND(SUGERENCIAS!M474,0),IF(SUGERENCIAS!N474="SUBIR_E","^ SUBIR (Est.) | Kg:"&amp;ROUND(SUGERENCIAS!K474,1)&amp;" R:"&amp;ROUND(SUGERENCIAS!L474,0)&amp;" RIR:"&amp;ROUND(SUGERENCIAS!M474,0),IF(SUGERENCIAS!N474="SUBIR","^ SUBIR | Kg:"&amp;ROUND(SUGERENCIAS!K474,1)&amp;" R:"&amp;ROUND(SUGERENCIAS!L474,0)&amp;" RIR:"&amp;ROUND(SUGERENCIAS!M474,0),IF(SUGERENCIAS!N474="BAJAR","v BAJAR | Kg:"&amp;ROUND(SUGERENCIAS!K474,1)&amp;" R:"&amp;ROUND(SUGERENCIAS!L474,0)&amp;" RIR:"&amp;ROUND(SUGERENCIAS!M474,0),"= MANT | Kg:"&amp;ROUND(SUGERENCIAS!K474,1)&amp;" R:"&amp;ROUND(SUGERENCIAS!L474,0)&amp;" RIR:"&amp;ROUND(SUGERENCIAS!M474,0))))))</f>
        <v>Sin datos anteriores</v>
      </c>
      <c r="W175" s="69">
        <f>MAX(IF((G175&gt;0)*(IF(H175="",-1,H175)&gt;=1)*(IF(H175="",-1,H175)&lt;=3),IF(C175="peso_corporal",IF(ISNUMBER(E175),E175,0)+F175,F175)*G175*1000+F175,0),IF((J175&gt;0)*(IF(K175="",-1,K175)&gt;=1)*(IF(K175="",-1,K175)&lt;=3),IF(C175="peso_corporal",IF(ISNUMBER(E175),E175,0)+I175,I175)*J175*1000+I175,0),IF((M175&gt;0)*(IF(N175="",-1,N175)&gt;=1)*(IF(N175="",-1,N175)&lt;=3),IF(C175="peso_corporal",IF(ISNUMBER(E175),E175,0)+L175,L175)*M175*1000+L175,0),IF((P175&gt;0)*(IF(Q175="",-1,Q175)&gt;=1)*(IF(Q175="",-1,Q175)&lt;=3),IF(C175="peso_corporal",IF(ISNUMBER(E175),E175,0)+O175,O175)*P175*1000+O175,0),IF((S175&gt;0)*(IF(T175="",-1,T175)&gt;=1)*(IF(T175="",-1,T175)&lt;=3),IF(C175="peso_corporal",IF(ISNUMBER(E175),E175,0)+R175,R175)*S175*1000+R175,0))</f>
        <v>0</v>
      </c>
      <c r="X175" s="69">
        <f>IF(W175=0,0,IF(IF((S175&gt;0)*(IF(T175="",-1,T175)&gt;=1)*(IF(T175="",-1,T175)&lt;=3),IF(C175="peso_corporal",IF(ISNUMBER(E175),E175,0)+R175,R175)*S175*1000+R175,0)=W175,5,IF(IF((P175&gt;0)*(IF(Q175="",-1,Q175)&gt;=1)*(IF(Q175="",-1,Q175)&lt;=3),IF(C175="peso_corporal",IF(ISNUMBER(E175),E175,0)+O175,O175)*P175*1000+O175,0)=W175,4,IF(IF((M175&gt;0)*(IF(N175="",-1,N175)&gt;=1)*(IF(N175="",-1,N175)&lt;=3),IF(C175="peso_corporal",IF(ISNUMBER(E175),E175,0)+L175,L175)*M175*1000+L175,0)=W175,3,IF(IF((J175&gt;0)*(IF(K175="",-1,K175)&gt;=1)*(IF(K175="",-1,K175)&lt;=3),IF(C175="peso_corporal",IF(ISNUMBER(E175),E175,0)+I175,I175)*J175*1000+I175,0)=W175,2,IF(IF((G175&gt;0)*(IF(H175="",-1,H175)&gt;=1)*(IF(H175="",-1,H175)&lt;=3),IF(C175="peso_corporal",IF(ISNUMBER(E175),E175,0)+F175,F175)*G175*1000+F175,0)=W175,1,0))))))</f>
        <v>0</v>
      </c>
      <c r="Y175" s="69">
        <f>MAX(IF((G175&gt;0)*(IF(H175="",-1,H175)=0)*(1-(IF(H175="",-1,H175)&gt;=1)*(IF(H175="",-1,H175)&lt;=3)),IF(C175="peso_corporal",IF(ISNUMBER(E175),E175,0)+F175,F175)*G175*1000+F175,0),IF((J175&gt;0)*(IF(K175="",-1,K175)=0)*(1-(IF(K175="",-1,K175)&gt;=1)*(IF(K175="",-1,K175)&lt;=3)),IF(C175="peso_corporal",IF(ISNUMBER(E175),E175,0)+I175,I175)*J175*1000+I175,0),IF((M175&gt;0)*(IF(N175="",-1,N175)=0)*(1-(IF(N175="",-1,N175)&gt;=1)*(IF(N175="",-1,N175)&lt;=3)),IF(C175="peso_corporal",IF(ISNUMBER(E175),E175,0)+L175,L175)*M175*1000+L175,0),IF((P175&gt;0)*(IF(Q175="",-1,Q175)=0)*(1-(IF(Q175="",-1,Q175)&gt;=1)*(IF(Q175="",-1,Q175)&lt;=3)),IF(C175="peso_corporal",IF(ISNUMBER(E175),E175,0)+O175,O175)*P175*1000+O175,0),IF((S175&gt;0)*(IF(T175="",-1,T175)=0)*(1-(IF(T175="",-1,T175)&gt;=1)*(IF(T175="",-1,T175)&lt;=3)),IF(C175="peso_corporal",IF(ISNUMBER(E175),E175,0)+R175,R175)*S175*1000+R175,0))</f>
        <v>0</v>
      </c>
      <c r="Z175" s="69">
        <f>IF(Y175=0,0,IF(IF((S175&gt;0)*(IF(T175="",-1,T175)=0)*(1-(IF(T175="",-1,T175)&gt;=1)*(IF(T175="",-1,T175)&lt;=3)),IF(C175="peso_corporal",IF(ISNUMBER(E175),E175,0)+R175,R175)*S175*1000+R175,0)=Y175,5,IF(IF((P175&gt;0)*(IF(Q175="",-1,Q175)=0)*(1-(IF(Q175="",-1,Q175)&gt;=1)*(IF(Q175="",-1,Q175)&lt;=3)),IF(C175="peso_corporal",IF(ISNUMBER(E175),E175,0)+O175,O175)*P175*1000+O175,0)=Y175,4,IF(IF((M175&gt;0)*(IF(N175="",-1,N175)=0)*(1-(IF(N175="",-1,N175)&gt;=1)*(IF(N175="",-1,N175)&lt;=3)),IF(C175="peso_corporal",IF(ISNUMBER(E175),E175,0)+L175,L175)*M175*1000+L175,0)=Y175,3,IF(IF((J175&gt;0)*(IF(K175="",-1,K175)=0)*(1-(IF(K175="",-1,K175)&gt;=1)*(IF(K175="",-1,K175)&lt;=3)),IF(C175="peso_corporal",IF(ISNUMBER(E175),E175,0)+I175,I175)*J175*1000+I175,0)=Y175,2,IF(IF((G175&gt;0)*(IF(H175="",-1,H175)=0)*(1-(IF(H175="",-1,H175)&gt;=1)*(IF(H175="",-1,H175)&lt;=3)),IF(C175="peso_corporal",IF(ISNUMBER(E175),E175,0)+F175,F175)*G175*1000+F175,0)=Y175,1,0))))))</f>
        <v>0</v>
      </c>
      <c r="AA175" s="69">
        <f>MAX(IF((G175&gt;=6)*(1-(IF(H175="",-1,H175)&gt;=1)*(IF(H175="",-1,H175)&lt;=3))*(1-(IF(H175="",-1,H175)=0)),IF(C175="peso_corporal",IF(ISNUMBER(E175),E175,0)+F175,F175)*(30+G175)*100+F175,0),IF((J175&gt;=6)*(1-(IF(K175="",-1,K175)&gt;=1)*(IF(K175="",-1,K175)&lt;=3))*(1-(IF(K175="",-1,K175)=0)),IF(C175="peso_corporal",IF(ISNUMBER(E175),E175,0)+I175,I175)*(30+J175)*100+I175,0),IF((M175&gt;=6)*(1-(IF(N175="",-1,N175)&gt;=1)*(IF(N175="",-1,N175)&lt;=3))*(1-(IF(N175="",-1,N175)=0)),IF(C175="peso_corporal",IF(ISNUMBER(E175),E175,0)+L175,L175)*(30+M175)*100+L175,0),IF((P175&gt;=6)*(1-(IF(Q175="",-1,Q175)&gt;=1)*(IF(Q175="",-1,Q175)&lt;=3))*(1-(IF(Q175="",-1,Q175)=0)),IF(C175="peso_corporal",IF(ISNUMBER(E175),E175,0)+O175,O175)*(30+P175)*100+O175,0),IF((S175&gt;=6)*(1-(IF(T175="",-1,T175)&gt;=1)*(IF(T175="",-1,T175)&lt;=3))*(1-(IF(T175="",-1,T175)=0)),IF(C175="peso_corporal",IF(ISNUMBER(E175),E175,0)+R175,R175)*(30+S175)*100+R175,0))</f>
        <v>0</v>
      </c>
      <c r="AB175" s="69">
        <f>IF(AA175=0,0,IF(IF((S175&gt;=6)*(1-(IF(T175="",-1,T175)&gt;=1)*(IF(T175="",-1,T175)&lt;=3))*(1-(IF(T175="",-1,T175)=0)),IF(C175="peso_corporal",IF(ISNUMBER(E175),E175,0)+R175,R175)*(30+S175)*100+R175,0)=AA175,5,IF(IF((P175&gt;=6)*(1-(IF(Q175="",-1,Q175)&gt;=1)*(IF(Q175="",-1,Q175)&lt;=3))*(1-(IF(Q175="",-1,Q175)=0)),IF(C175="peso_corporal",IF(ISNUMBER(E175),E175,0)+O175,O175)*(30+P175)*100+O175,0)=AA175,4,IF(IF((M175&gt;=6)*(1-(IF(N175="",-1,N175)&gt;=1)*(IF(N175="",-1,N175)&lt;=3))*(1-(IF(N175="",-1,N175)=0)),IF(C175="peso_corporal",IF(ISNUMBER(E175),E175,0)+L175,L175)*(30+M175)*100+L175,0)=AA175,3,IF(IF((J175&gt;=6)*(1-(IF(K175="",-1,K175)&gt;=1)*(IF(K175="",-1,K175)&lt;=3))*(1-(IF(K175="",-1,K175)=0)),IF(C175="peso_corporal",IF(ISNUMBER(E175),E175,0)+I175,I175)*(30+J175)*100+I175,0)=AA175,2,IF(IF((G175&gt;=6)*(1-(IF(H175="",-1,H175)&gt;=1)*(IF(H175="",-1,H175)&lt;=3))*(1-(IF(H175="",-1,H175)=0)),IF(C175="peso_corporal",IF(ISNUMBER(E175),E175,0)+F175,F175)*(30+G175)*100+F175,0)=AA175,1,0))))))</f>
        <v>0</v>
      </c>
      <c r="AC175" s="69" t="str">
        <f>IF(X175&gt;0,"A"&amp;X175,IF(Z175&gt;0,"B"&amp;Z175,IF(AB175&gt;0,"C"&amp;AB175,"")))</f>
        <v/>
      </c>
    </row>
    <row r="176" spans="1:29" ht="20.100000000000001" customHeight="1">
      <c r="A176" s="14" t="s">
        <v>139</v>
      </c>
      <c r="B176" s="15" t="s">
        <v>141</v>
      </c>
      <c r="C176" s="16" t="str">
        <f>IFERROR(INDEX(EJERCICIOS!$D$3:$D$75,MATCH(A176&amp;"|"&amp;B176,EJERCICIOS!$G$3:$G$75,0)),"--")</f>
        <v>disco</v>
      </c>
      <c r="D176" s="17">
        <v>3</v>
      </c>
      <c r="E176" s="18">
        <f>IFERROR(LOOKUP(2,1/(MEDIDAS_Y_PESO!$B$3:$B$10&lt;&gt;""),MEDIDAS_Y_PESO!$B$3:$B$10),"--")</f>
        <v>80</v>
      </c>
      <c r="F176" s="19"/>
      <c r="G176" s="20"/>
      <c r="H176" s="21"/>
      <c r="I176" s="19"/>
      <c r="J176" s="20"/>
      <c r="K176" s="21"/>
      <c r="L176" s="19"/>
      <c r="M176" s="20"/>
      <c r="N176" s="21"/>
      <c r="O176" s="19"/>
      <c r="P176" s="20"/>
      <c r="Q176" s="21"/>
      <c r="R176" s="19"/>
      <c r="S176" s="20"/>
      <c r="T176" s="21"/>
      <c r="U176" s="22" t="str">
        <f>IFERROR(IF(IF(X176&gt;0,X176,IF(Z176&gt;0,Z176,IF(AB176&gt;0,AB176,0)))=0,"--",ROUND(CHOOSE(IF(X176&gt;0,X176,IF(Z176&gt;0,Z176,IF(AB176&gt;0,AB176,0))),IF(C176="peso_corporal",IF(ISNUMBER(E176),E176,0)+F176,F176)*(1+G176/30),IF(C176="peso_corporal",IF(ISNUMBER(E176),E176,0)+I176,I176)*(1+J176/30),IF(C176="peso_corporal",IF(ISNUMBER(E176),E176,0)+L176,L176)*(1+M176/30),IF(C176="peso_corporal",IF(ISNUMBER(E176),E176,0)+O176,O176)*(1+P176/30),IF(C176="peso_corporal",IF(ISNUMBER(E176),E176,0)+R176,R176)*(1+S176/30)),1)),"--")</f>
        <v>--</v>
      </c>
      <c r="V176" s="23" t="str">
        <f>IF(SUGERENCIAS!N475="SIN","Sin datos anteriores",IF(SUGERENCIAS!N475="SUBIR_F","^ SUBIR FUERTE | Kg:"&amp;ROUND(SUGERENCIAS!K475,1)&amp;" R:"&amp;ROUND(SUGERENCIAS!L475,0)&amp;" RIR:"&amp;ROUND(SUGERENCIAS!M475,0),IF(SUGERENCIAS!N475="SUBIR_E","^ SUBIR (Est.) | Kg:"&amp;ROUND(SUGERENCIAS!K475,1)&amp;" R:"&amp;ROUND(SUGERENCIAS!L475,0)&amp;" RIR:"&amp;ROUND(SUGERENCIAS!M475,0),IF(SUGERENCIAS!N475="SUBIR","^ SUBIR | Kg:"&amp;ROUND(SUGERENCIAS!K475,1)&amp;" R:"&amp;ROUND(SUGERENCIAS!L475,0)&amp;" RIR:"&amp;ROUND(SUGERENCIAS!M475,0),IF(SUGERENCIAS!N475="BAJAR","v BAJAR | Kg:"&amp;ROUND(SUGERENCIAS!K475,1)&amp;" R:"&amp;ROUND(SUGERENCIAS!L475,0)&amp;" RIR:"&amp;ROUND(SUGERENCIAS!M475,0),"= MANT | Kg:"&amp;ROUND(SUGERENCIAS!K475,1)&amp;" R:"&amp;ROUND(SUGERENCIAS!L475,0)&amp;" RIR:"&amp;ROUND(SUGERENCIAS!M475,0))))))</f>
        <v>Sin datos anteriores</v>
      </c>
      <c r="W176" s="69">
        <f>MAX(IF((G176&gt;0)*(IF(H176="",-1,H176)&gt;=1)*(IF(H176="",-1,H176)&lt;=3),IF(C176="peso_corporal",IF(ISNUMBER(E176),E176,0)+F176,F176)*G176*1000+F176,0),IF((J176&gt;0)*(IF(K176="",-1,K176)&gt;=1)*(IF(K176="",-1,K176)&lt;=3),IF(C176="peso_corporal",IF(ISNUMBER(E176),E176,0)+I176,I176)*J176*1000+I176,0),IF((M176&gt;0)*(IF(N176="",-1,N176)&gt;=1)*(IF(N176="",-1,N176)&lt;=3),IF(C176="peso_corporal",IF(ISNUMBER(E176),E176,0)+L176,L176)*M176*1000+L176,0),IF((P176&gt;0)*(IF(Q176="",-1,Q176)&gt;=1)*(IF(Q176="",-1,Q176)&lt;=3),IF(C176="peso_corporal",IF(ISNUMBER(E176),E176,0)+O176,O176)*P176*1000+O176,0),IF((S176&gt;0)*(IF(T176="",-1,T176)&gt;=1)*(IF(T176="",-1,T176)&lt;=3),IF(C176="peso_corporal",IF(ISNUMBER(E176),E176,0)+R176,R176)*S176*1000+R176,0))</f>
        <v>0</v>
      </c>
      <c r="X176" s="69">
        <f>IF(W176=0,0,IF(IF((S176&gt;0)*(IF(T176="",-1,T176)&gt;=1)*(IF(T176="",-1,T176)&lt;=3),IF(C176="peso_corporal",IF(ISNUMBER(E176),E176,0)+R176,R176)*S176*1000+R176,0)=W176,5,IF(IF((P176&gt;0)*(IF(Q176="",-1,Q176)&gt;=1)*(IF(Q176="",-1,Q176)&lt;=3),IF(C176="peso_corporal",IF(ISNUMBER(E176),E176,0)+O176,O176)*P176*1000+O176,0)=W176,4,IF(IF((M176&gt;0)*(IF(N176="",-1,N176)&gt;=1)*(IF(N176="",-1,N176)&lt;=3),IF(C176="peso_corporal",IF(ISNUMBER(E176),E176,0)+L176,L176)*M176*1000+L176,0)=W176,3,IF(IF((J176&gt;0)*(IF(K176="",-1,K176)&gt;=1)*(IF(K176="",-1,K176)&lt;=3),IF(C176="peso_corporal",IF(ISNUMBER(E176),E176,0)+I176,I176)*J176*1000+I176,0)=W176,2,IF(IF((G176&gt;0)*(IF(H176="",-1,H176)&gt;=1)*(IF(H176="",-1,H176)&lt;=3),IF(C176="peso_corporal",IF(ISNUMBER(E176),E176,0)+F176,F176)*G176*1000+F176,0)=W176,1,0))))))</f>
        <v>0</v>
      </c>
      <c r="Y176" s="69">
        <f>MAX(IF((G176&gt;0)*(IF(H176="",-1,H176)=0)*(1-(IF(H176="",-1,H176)&gt;=1)*(IF(H176="",-1,H176)&lt;=3)),IF(C176="peso_corporal",IF(ISNUMBER(E176),E176,0)+F176,F176)*G176*1000+F176,0),IF((J176&gt;0)*(IF(K176="",-1,K176)=0)*(1-(IF(K176="",-1,K176)&gt;=1)*(IF(K176="",-1,K176)&lt;=3)),IF(C176="peso_corporal",IF(ISNUMBER(E176),E176,0)+I176,I176)*J176*1000+I176,0),IF((M176&gt;0)*(IF(N176="",-1,N176)=0)*(1-(IF(N176="",-1,N176)&gt;=1)*(IF(N176="",-1,N176)&lt;=3)),IF(C176="peso_corporal",IF(ISNUMBER(E176),E176,0)+L176,L176)*M176*1000+L176,0),IF((P176&gt;0)*(IF(Q176="",-1,Q176)=0)*(1-(IF(Q176="",-1,Q176)&gt;=1)*(IF(Q176="",-1,Q176)&lt;=3)),IF(C176="peso_corporal",IF(ISNUMBER(E176),E176,0)+O176,O176)*P176*1000+O176,0),IF((S176&gt;0)*(IF(T176="",-1,T176)=0)*(1-(IF(T176="",-1,T176)&gt;=1)*(IF(T176="",-1,T176)&lt;=3)),IF(C176="peso_corporal",IF(ISNUMBER(E176),E176,0)+R176,R176)*S176*1000+R176,0))</f>
        <v>0</v>
      </c>
      <c r="Z176" s="69">
        <f>IF(Y176=0,0,IF(IF((S176&gt;0)*(IF(T176="",-1,T176)=0)*(1-(IF(T176="",-1,T176)&gt;=1)*(IF(T176="",-1,T176)&lt;=3)),IF(C176="peso_corporal",IF(ISNUMBER(E176),E176,0)+R176,R176)*S176*1000+R176,0)=Y176,5,IF(IF((P176&gt;0)*(IF(Q176="",-1,Q176)=0)*(1-(IF(Q176="",-1,Q176)&gt;=1)*(IF(Q176="",-1,Q176)&lt;=3)),IF(C176="peso_corporal",IF(ISNUMBER(E176),E176,0)+O176,O176)*P176*1000+O176,0)=Y176,4,IF(IF((M176&gt;0)*(IF(N176="",-1,N176)=0)*(1-(IF(N176="",-1,N176)&gt;=1)*(IF(N176="",-1,N176)&lt;=3)),IF(C176="peso_corporal",IF(ISNUMBER(E176),E176,0)+L176,L176)*M176*1000+L176,0)=Y176,3,IF(IF((J176&gt;0)*(IF(K176="",-1,K176)=0)*(1-(IF(K176="",-1,K176)&gt;=1)*(IF(K176="",-1,K176)&lt;=3)),IF(C176="peso_corporal",IF(ISNUMBER(E176),E176,0)+I176,I176)*J176*1000+I176,0)=Y176,2,IF(IF((G176&gt;0)*(IF(H176="",-1,H176)=0)*(1-(IF(H176="",-1,H176)&gt;=1)*(IF(H176="",-1,H176)&lt;=3)),IF(C176="peso_corporal",IF(ISNUMBER(E176),E176,0)+F176,F176)*G176*1000+F176,0)=Y176,1,0))))))</f>
        <v>0</v>
      </c>
      <c r="AA176" s="69">
        <f>MAX(IF((G176&gt;=6)*(1-(IF(H176="",-1,H176)&gt;=1)*(IF(H176="",-1,H176)&lt;=3))*(1-(IF(H176="",-1,H176)=0)),IF(C176="peso_corporal",IF(ISNUMBER(E176),E176,0)+F176,F176)*(30+G176)*100+F176,0),IF((J176&gt;=6)*(1-(IF(K176="",-1,K176)&gt;=1)*(IF(K176="",-1,K176)&lt;=3))*(1-(IF(K176="",-1,K176)=0)),IF(C176="peso_corporal",IF(ISNUMBER(E176),E176,0)+I176,I176)*(30+J176)*100+I176,0),IF((M176&gt;=6)*(1-(IF(N176="",-1,N176)&gt;=1)*(IF(N176="",-1,N176)&lt;=3))*(1-(IF(N176="",-1,N176)=0)),IF(C176="peso_corporal",IF(ISNUMBER(E176),E176,0)+L176,L176)*(30+M176)*100+L176,0),IF((P176&gt;=6)*(1-(IF(Q176="",-1,Q176)&gt;=1)*(IF(Q176="",-1,Q176)&lt;=3))*(1-(IF(Q176="",-1,Q176)=0)),IF(C176="peso_corporal",IF(ISNUMBER(E176),E176,0)+O176,O176)*(30+P176)*100+O176,0),IF((S176&gt;=6)*(1-(IF(T176="",-1,T176)&gt;=1)*(IF(T176="",-1,T176)&lt;=3))*(1-(IF(T176="",-1,T176)=0)),IF(C176="peso_corporal",IF(ISNUMBER(E176),E176,0)+R176,R176)*(30+S176)*100+R176,0))</f>
        <v>0</v>
      </c>
      <c r="AB176" s="69">
        <f>IF(AA176=0,0,IF(IF((S176&gt;=6)*(1-(IF(T176="",-1,T176)&gt;=1)*(IF(T176="",-1,T176)&lt;=3))*(1-(IF(T176="",-1,T176)=0)),IF(C176="peso_corporal",IF(ISNUMBER(E176),E176,0)+R176,R176)*(30+S176)*100+R176,0)=AA176,5,IF(IF((P176&gt;=6)*(1-(IF(Q176="",-1,Q176)&gt;=1)*(IF(Q176="",-1,Q176)&lt;=3))*(1-(IF(Q176="",-1,Q176)=0)),IF(C176="peso_corporal",IF(ISNUMBER(E176),E176,0)+O176,O176)*(30+P176)*100+O176,0)=AA176,4,IF(IF((M176&gt;=6)*(1-(IF(N176="",-1,N176)&gt;=1)*(IF(N176="",-1,N176)&lt;=3))*(1-(IF(N176="",-1,N176)=0)),IF(C176="peso_corporal",IF(ISNUMBER(E176),E176,0)+L176,L176)*(30+M176)*100+L176,0)=AA176,3,IF(IF((J176&gt;=6)*(1-(IF(K176="",-1,K176)&gt;=1)*(IF(K176="",-1,K176)&lt;=3))*(1-(IF(K176="",-1,K176)=0)),IF(C176="peso_corporal",IF(ISNUMBER(E176),E176,0)+I176,I176)*(30+J176)*100+I176,0)=AA176,2,IF(IF((G176&gt;=6)*(1-(IF(H176="",-1,H176)&gt;=1)*(IF(H176="",-1,H176)&lt;=3))*(1-(IF(H176="",-1,H176)=0)),IF(C176="peso_corporal",IF(ISNUMBER(E176),E176,0)+F176,F176)*(30+G176)*100+F176,0)=AA176,1,0))))))</f>
        <v>0</v>
      </c>
      <c r="AC176" s="69" t="str">
        <f>IF(X176&gt;0,"A"&amp;X176,IF(Z176&gt;0,"B"&amp;Z176,IF(AB176&gt;0,"C"&amp;AB176,"")))</f>
        <v/>
      </c>
    </row>
    <row r="177" spans="1:29" ht="15" customHeight="1">
      <c r="A177" s="90" t="s">
        <v>142</v>
      </c>
      <c r="B177" s="73"/>
      <c r="C177" s="73"/>
      <c r="D177" s="73"/>
      <c r="E177" s="73"/>
      <c r="F177" s="73"/>
      <c r="G177" s="73"/>
      <c r="H177" s="73"/>
      <c r="I177" s="73"/>
      <c r="J177" s="73"/>
      <c r="K177" s="73"/>
      <c r="L177" s="73"/>
      <c r="M177" s="73"/>
      <c r="N177" s="73"/>
      <c r="O177" s="73"/>
      <c r="P177" s="73"/>
      <c r="Q177" s="73"/>
      <c r="R177" s="73"/>
      <c r="S177" s="73"/>
      <c r="T177" s="73"/>
      <c r="U177" s="73"/>
      <c r="V177" s="73"/>
      <c r="W177" s="69"/>
      <c r="X177" s="69"/>
      <c r="Y177" s="69"/>
      <c r="Z177" s="69"/>
      <c r="AA177" s="69"/>
      <c r="AB177" s="69"/>
      <c r="AC177" s="69"/>
    </row>
    <row r="178" spans="1:29" ht="20.100000000000001" customHeight="1">
      <c r="A178" s="14" t="s">
        <v>24</v>
      </c>
      <c r="B178" s="15" t="s">
        <v>143</v>
      </c>
      <c r="C178" s="16" t="str">
        <f>IFERROR(INDEX(EJERCICIOS!$D$3:$D$75,MATCH(A178&amp;"|"&amp;B178,EJERCICIOS!$G$3:$G$75,0)),"--")</f>
        <v>peso_corporal</v>
      </c>
      <c r="D178" s="17">
        <v>3</v>
      </c>
      <c r="E178" s="18">
        <f>IFERROR(LOOKUP(2,1/(MEDIDAS_Y_PESO!$B$3:$B$10&lt;&gt;""),MEDIDAS_Y_PESO!$B$3:$B$10),"--")</f>
        <v>80</v>
      </c>
      <c r="F178" s="19"/>
      <c r="G178" s="20"/>
      <c r="H178" s="21"/>
      <c r="I178" s="19"/>
      <c r="J178" s="20"/>
      <c r="K178" s="21"/>
      <c r="L178" s="19"/>
      <c r="M178" s="20"/>
      <c r="N178" s="21"/>
      <c r="O178" s="19"/>
      <c r="P178" s="20"/>
      <c r="Q178" s="21"/>
      <c r="R178" s="19"/>
      <c r="S178" s="20"/>
      <c r="T178" s="21"/>
      <c r="U178" s="22" t="str">
        <f>IFERROR(IF(IF(X178&gt;0,X178,IF(Z178&gt;0,Z178,IF(AB178&gt;0,AB178,0)))=0,"--",ROUND(CHOOSE(IF(X178&gt;0,X178,IF(Z178&gt;0,Z178,IF(AB178&gt;0,AB178,0))),IF(C178="peso_corporal",IF(ISNUMBER(E178),E178,0)+F178,F178)*(1+G178/30),IF(C178="peso_corporal",IF(ISNUMBER(E178),E178,0)+I178,I178)*(1+J178/30),IF(C178="peso_corporal",IF(ISNUMBER(E178),E178,0)+L178,L178)*(1+M178/30),IF(C178="peso_corporal",IF(ISNUMBER(E178),E178,0)+O178,O178)*(1+P178/30),IF(C178="peso_corporal",IF(ISNUMBER(E178),E178,0)+R178,R178)*(1+S178/30)),1)),"--")</f>
        <v>--</v>
      </c>
      <c r="V178" s="23" t="str">
        <f>IF(SUGERENCIAS!N476="SIN","Sin datos anteriores",IF(SUGERENCIAS!N476="SUBIR_F","^ SUBIR FUERTE | Kg:"&amp;ROUND(SUGERENCIAS!K476,1)&amp;" R:"&amp;ROUND(SUGERENCIAS!L476,0)&amp;" RIR:"&amp;ROUND(SUGERENCIAS!M476,0),IF(SUGERENCIAS!N476="SUBIR_E","^ SUBIR (Est.) | Kg:"&amp;ROUND(SUGERENCIAS!K476,1)&amp;" R:"&amp;ROUND(SUGERENCIAS!L476,0)&amp;" RIR:"&amp;ROUND(SUGERENCIAS!M476,0),IF(SUGERENCIAS!N476="SUBIR","^ SUBIR | Kg:"&amp;ROUND(SUGERENCIAS!K476,1)&amp;" R:"&amp;ROUND(SUGERENCIAS!L476,0)&amp;" RIR:"&amp;ROUND(SUGERENCIAS!M476,0),IF(SUGERENCIAS!N476="BAJAR","v BAJAR | Kg:"&amp;ROUND(SUGERENCIAS!K476,1)&amp;" R:"&amp;ROUND(SUGERENCIAS!L476,0)&amp;" RIR:"&amp;ROUND(SUGERENCIAS!M476,0),"= MANT | Kg:"&amp;ROUND(SUGERENCIAS!K476,1)&amp;" R:"&amp;ROUND(SUGERENCIAS!L476,0)&amp;" RIR:"&amp;ROUND(SUGERENCIAS!M476,0))))))</f>
        <v>Sin datos anteriores</v>
      </c>
      <c r="W178" s="69">
        <f>MAX(IF((G178&gt;0)*(IF(H178="",-1,H178)&gt;=1)*(IF(H178="",-1,H178)&lt;=3),IF(C178="peso_corporal",IF(ISNUMBER(E178),E178,0)+F178,F178)*G178*1000+F178,0),IF((J178&gt;0)*(IF(K178="",-1,K178)&gt;=1)*(IF(K178="",-1,K178)&lt;=3),IF(C178="peso_corporal",IF(ISNUMBER(E178),E178,0)+I178,I178)*J178*1000+I178,0),IF((M178&gt;0)*(IF(N178="",-1,N178)&gt;=1)*(IF(N178="",-1,N178)&lt;=3),IF(C178="peso_corporal",IF(ISNUMBER(E178),E178,0)+L178,L178)*M178*1000+L178,0),IF((P178&gt;0)*(IF(Q178="",-1,Q178)&gt;=1)*(IF(Q178="",-1,Q178)&lt;=3),IF(C178="peso_corporal",IF(ISNUMBER(E178),E178,0)+O178,O178)*P178*1000+O178,0),IF((S178&gt;0)*(IF(T178="",-1,T178)&gt;=1)*(IF(T178="",-1,T178)&lt;=3),IF(C178="peso_corporal",IF(ISNUMBER(E178),E178,0)+R178,R178)*S178*1000+R178,0))</f>
        <v>0</v>
      </c>
      <c r="X178" s="69">
        <f>IF(W178=0,0,IF(IF((S178&gt;0)*(IF(T178="",-1,T178)&gt;=1)*(IF(T178="",-1,T178)&lt;=3),IF(C178="peso_corporal",IF(ISNUMBER(E178),E178,0)+R178,R178)*S178*1000+R178,0)=W178,5,IF(IF((P178&gt;0)*(IF(Q178="",-1,Q178)&gt;=1)*(IF(Q178="",-1,Q178)&lt;=3),IF(C178="peso_corporal",IF(ISNUMBER(E178),E178,0)+O178,O178)*P178*1000+O178,0)=W178,4,IF(IF((M178&gt;0)*(IF(N178="",-1,N178)&gt;=1)*(IF(N178="",-1,N178)&lt;=3),IF(C178="peso_corporal",IF(ISNUMBER(E178),E178,0)+L178,L178)*M178*1000+L178,0)=W178,3,IF(IF((J178&gt;0)*(IF(K178="",-1,K178)&gt;=1)*(IF(K178="",-1,K178)&lt;=3),IF(C178="peso_corporal",IF(ISNUMBER(E178),E178,0)+I178,I178)*J178*1000+I178,0)=W178,2,IF(IF((G178&gt;0)*(IF(H178="",-1,H178)&gt;=1)*(IF(H178="",-1,H178)&lt;=3),IF(C178="peso_corporal",IF(ISNUMBER(E178),E178,0)+F178,F178)*G178*1000+F178,0)=W178,1,0))))))</f>
        <v>0</v>
      </c>
      <c r="Y178" s="69">
        <f>MAX(IF((G178&gt;0)*(IF(H178="",-1,H178)=0)*(1-(IF(H178="",-1,H178)&gt;=1)*(IF(H178="",-1,H178)&lt;=3)),IF(C178="peso_corporal",IF(ISNUMBER(E178),E178,0)+F178,F178)*G178*1000+F178,0),IF((J178&gt;0)*(IF(K178="",-1,K178)=0)*(1-(IF(K178="",-1,K178)&gt;=1)*(IF(K178="",-1,K178)&lt;=3)),IF(C178="peso_corporal",IF(ISNUMBER(E178),E178,0)+I178,I178)*J178*1000+I178,0),IF((M178&gt;0)*(IF(N178="",-1,N178)=0)*(1-(IF(N178="",-1,N178)&gt;=1)*(IF(N178="",-1,N178)&lt;=3)),IF(C178="peso_corporal",IF(ISNUMBER(E178),E178,0)+L178,L178)*M178*1000+L178,0),IF((P178&gt;0)*(IF(Q178="",-1,Q178)=0)*(1-(IF(Q178="",-1,Q178)&gt;=1)*(IF(Q178="",-1,Q178)&lt;=3)),IF(C178="peso_corporal",IF(ISNUMBER(E178),E178,0)+O178,O178)*P178*1000+O178,0),IF((S178&gt;0)*(IF(T178="",-1,T178)=0)*(1-(IF(T178="",-1,T178)&gt;=1)*(IF(T178="",-1,T178)&lt;=3)),IF(C178="peso_corporal",IF(ISNUMBER(E178),E178,0)+R178,R178)*S178*1000+R178,0))</f>
        <v>0</v>
      </c>
      <c r="Z178" s="69">
        <f>IF(Y178=0,0,IF(IF((S178&gt;0)*(IF(T178="",-1,T178)=0)*(1-(IF(T178="",-1,T178)&gt;=1)*(IF(T178="",-1,T178)&lt;=3)),IF(C178="peso_corporal",IF(ISNUMBER(E178),E178,0)+R178,R178)*S178*1000+R178,0)=Y178,5,IF(IF((P178&gt;0)*(IF(Q178="",-1,Q178)=0)*(1-(IF(Q178="",-1,Q178)&gt;=1)*(IF(Q178="",-1,Q178)&lt;=3)),IF(C178="peso_corporal",IF(ISNUMBER(E178),E178,0)+O178,O178)*P178*1000+O178,0)=Y178,4,IF(IF((M178&gt;0)*(IF(N178="",-1,N178)=0)*(1-(IF(N178="",-1,N178)&gt;=1)*(IF(N178="",-1,N178)&lt;=3)),IF(C178="peso_corporal",IF(ISNUMBER(E178),E178,0)+L178,L178)*M178*1000+L178,0)=Y178,3,IF(IF((J178&gt;0)*(IF(K178="",-1,K178)=0)*(1-(IF(K178="",-1,K178)&gt;=1)*(IF(K178="",-1,K178)&lt;=3)),IF(C178="peso_corporal",IF(ISNUMBER(E178),E178,0)+I178,I178)*J178*1000+I178,0)=Y178,2,IF(IF((G178&gt;0)*(IF(H178="",-1,H178)=0)*(1-(IF(H178="",-1,H178)&gt;=1)*(IF(H178="",-1,H178)&lt;=3)),IF(C178="peso_corporal",IF(ISNUMBER(E178),E178,0)+F178,F178)*G178*1000+F178,0)=Y178,1,0))))))</f>
        <v>0</v>
      </c>
      <c r="AA178" s="69">
        <f>MAX(IF((G178&gt;=6)*(1-(IF(H178="",-1,H178)&gt;=1)*(IF(H178="",-1,H178)&lt;=3))*(1-(IF(H178="",-1,H178)=0)),IF(C178="peso_corporal",IF(ISNUMBER(E178),E178,0)+F178,F178)*(30+G178)*100+F178,0),IF((J178&gt;=6)*(1-(IF(K178="",-1,K178)&gt;=1)*(IF(K178="",-1,K178)&lt;=3))*(1-(IF(K178="",-1,K178)=0)),IF(C178="peso_corporal",IF(ISNUMBER(E178),E178,0)+I178,I178)*(30+J178)*100+I178,0),IF((M178&gt;=6)*(1-(IF(N178="",-1,N178)&gt;=1)*(IF(N178="",-1,N178)&lt;=3))*(1-(IF(N178="",-1,N178)=0)),IF(C178="peso_corporal",IF(ISNUMBER(E178),E178,0)+L178,L178)*(30+M178)*100+L178,0),IF((P178&gt;=6)*(1-(IF(Q178="",-1,Q178)&gt;=1)*(IF(Q178="",-1,Q178)&lt;=3))*(1-(IF(Q178="",-1,Q178)=0)),IF(C178="peso_corporal",IF(ISNUMBER(E178),E178,0)+O178,O178)*(30+P178)*100+O178,0),IF((S178&gt;=6)*(1-(IF(T178="",-1,T178)&gt;=1)*(IF(T178="",-1,T178)&lt;=3))*(1-(IF(T178="",-1,T178)=0)),IF(C178="peso_corporal",IF(ISNUMBER(E178),E178,0)+R178,R178)*(30+S178)*100+R178,0))</f>
        <v>0</v>
      </c>
      <c r="AB178" s="69">
        <f>IF(AA178=0,0,IF(IF((S178&gt;=6)*(1-(IF(T178="",-1,T178)&gt;=1)*(IF(T178="",-1,T178)&lt;=3))*(1-(IF(T178="",-1,T178)=0)),IF(C178="peso_corporal",IF(ISNUMBER(E178),E178,0)+R178,R178)*(30+S178)*100+R178,0)=AA178,5,IF(IF((P178&gt;=6)*(1-(IF(Q178="",-1,Q178)&gt;=1)*(IF(Q178="",-1,Q178)&lt;=3))*(1-(IF(Q178="",-1,Q178)=0)),IF(C178="peso_corporal",IF(ISNUMBER(E178),E178,0)+O178,O178)*(30+P178)*100+O178,0)=AA178,4,IF(IF((M178&gt;=6)*(1-(IF(N178="",-1,N178)&gt;=1)*(IF(N178="",-1,N178)&lt;=3))*(1-(IF(N178="",-1,N178)=0)),IF(C178="peso_corporal",IF(ISNUMBER(E178),E178,0)+L178,L178)*(30+M178)*100+L178,0)=AA178,3,IF(IF((J178&gt;=6)*(1-(IF(K178="",-1,K178)&gt;=1)*(IF(K178="",-1,K178)&lt;=3))*(1-(IF(K178="",-1,K178)=0)),IF(C178="peso_corporal",IF(ISNUMBER(E178),E178,0)+I178,I178)*(30+J178)*100+I178,0)=AA178,2,IF(IF((G178&gt;=6)*(1-(IF(H178="",-1,H178)&gt;=1)*(IF(H178="",-1,H178)&lt;=3))*(1-(IF(H178="",-1,H178)=0)),IF(C178="peso_corporal",IF(ISNUMBER(E178),E178,0)+F178,F178)*(30+G178)*100+F178,0)=AA178,1,0))))))</f>
        <v>0</v>
      </c>
      <c r="AC178" s="69" t="str">
        <f>IF(X178&gt;0,"A"&amp;X178,IF(Z178&gt;0,"B"&amp;Z178,IF(AB178&gt;0,"C"&amp;AB178,"")))</f>
        <v/>
      </c>
    </row>
    <row r="179" spans="1:29" ht="20.100000000000001" customHeight="1">
      <c r="A179" s="14" t="s">
        <v>144</v>
      </c>
      <c r="B179" s="15" t="s">
        <v>60</v>
      </c>
      <c r="C179" s="16" t="str">
        <f>IFERROR(INDEX(EJERCICIOS!$D$3:$D$75,MATCH(A179&amp;"|"&amp;B179,EJERCICIOS!$G$3:$G$75,0)),"--")</f>
        <v>disco</v>
      </c>
      <c r="D179" s="17">
        <v>3</v>
      </c>
      <c r="E179" s="18">
        <f>IFERROR(LOOKUP(2,1/(MEDIDAS_Y_PESO!$B$3:$B$10&lt;&gt;""),MEDIDAS_Y_PESO!$B$3:$B$10),"--")</f>
        <v>80</v>
      </c>
      <c r="F179" s="19"/>
      <c r="G179" s="20"/>
      <c r="H179" s="21"/>
      <c r="I179" s="19"/>
      <c r="J179" s="20"/>
      <c r="K179" s="21"/>
      <c r="L179" s="19"/>
      <c r="M179" s="20"/>
      <c r="N179" s="21"/>
      <c r="O179" s="19"/>
      <c r="P179" s="20"/>
      <c r="Q179" s="21"/>
      <c r="R179" s="19"/>
      <c r="S179" s="20"/>
      <c r="T179" s="21"/>
      <c r="U179" s="22" t="str">
        <f>IFERROR(IF(IF(X179&gt;0,X179,IF(Z179&gt;0,Z179,IF(AB179&gt;0,AB179,0)))=0,"--",ROUND(CHOOSE(IF(X179&gt;0,X179,IF(Z179&gt;0,Z179,IF(AB179&gt;0,AB179,0))),IF(C179="peso_corporal",IF(ISNUMBER(E179),E179,0)+F179,F179)*(1+G179/30),IF(C179="peso_corporal",IF(ISNUMBER(E179),E179,0)+I179,I179)*(1+J179/30),IF(C179="peso_corporal",IF(ISNUMBER(E179),E179,0)+L179,L179)*(1+M179/30),IF(C179="peso_corporal",IF(ISNUMBER(E179),E179,0)+O179,O179)*(1+P179/30),IF(C179="peso_corporal",IF(ISNUMBER(E179),E179,0)+R179,R179)*(1+S179/30)),1)),"--")</f>
        <v>--</v>
      </c>
      <c r="V179" s="23" t="str">
        <f>IF(SUGERENCIAS!N477="SIN","Sin datos anteriores",IF(SUGERENCIAS!N477="SUBIR_F","^ SUBIR FUERTE | Kg:"&amp;ROUND(SUGERENCIAS!K477,1)&amp;" R:"&amp;ROUND(SUGERENCIAS!L477,0)&amp;" RIR:"&amp;ROUND(SUGERENCIAS!M477,0),IF(SUGERENCIAS!N477="SUBIR_E","^ SUBIR (Est.) | Kg:"&amp;ROUND(SUGERENCIAS!K477,1)&amp;" R:"&amp;ROUND(SUGERENCIAS!L477,0)&amp;" RIR:"&amp;ROUND(SUGERENCIAS!M477,0),IF(SUGERENCIAS!N477="SUBIR","^ SUBIR | Kg:"&amp;ROUND(SUGERENCIAS!K477,1)&amp;" R:"&amp;ROUND(SUGERENCIAS!L477,0)&amp;" RIR:"&amp;ROUND(SUGERENCIAS!M477,0),IF(SUGERENCIAS!N477="BAJAR","v BAJAR | Kg:"&amp;ROUND(SUGERENCIAS!K477,1)&amp;" R:"&amp;ROUND(SUGERENCIAS!L477,0)&amp;" RIR:"&amp;ROUND(SUGERENCIAS!M477,0),"= MANT | Kg:"&amp;ROUND(SUGERENCIAS!K477,1)&amp;" R:"&amp;ROUND(SUGERENCIAS!L477,0)&amp;" RIR:"&amp;ROUND(SUGERENCIAS!M477,0))))))</f>
        <v>Sin datos anteriores</v>
      </c>
      <c r="W179" s="69">
        <f>MAX(IF((G179&gt;0)*(IF(H179="",-1,H179)&gt;=1)*(IF(H179="",-1,H179)&lt;=3),IF(C179="peso_corporal",IF(ISNUMBER(E179),E179,0)+F179,F179)*G179*1000+F179,0),IF((J179&gt;0)*(IF(K179="",-1,K179)&gt;=1)*(IF(K179="",-1,K179)&lt;=3),IF(C179="peso_corporal",IF(ISNUMBER(E179),E179,0)+I179,I179)*J179*1000+I179,0),IF((M179&gt;0)*(IF(N179="",-1,N179)&gt;=1)*(IF(N179="",-1,N179)&lt;=3),IF(C179="peso_corporal",IF(ISNUMBER(E179),E179,0)+L179,L179)*M179*1000+L179,0),IF((P179&gt;0)*(IF(Q179="",-1,Q179)&gt;=1)*(IF(Q179="",-1,Q179)&lt;=3),IF(C179="peso_corporal",IF(ISNUMBER(E179),E179,0)+O179,O179)*P179*1000+O179,0),IF((S179&gt;0)*(IF(T179="",-1,T179)&gt;=1)*(IF(T179="",-1,T179)&lt;=3),IF(C179="peso_corporal",IF(ISNUMBER(E179),E179,0)+R179,R179)*S179*1000+R179,0))</f>
        <v>0</v>
      </c>
      <c r="X179" s="69">
        <f>IF(W179=0,0,IF(IF((S179&gt;0)*(IF(T179="",-1,T179)&gt;=1)*(IF(T179="",-1,T179)&lt;=3),IF(C179="peso_corporal",IF(ISNUMBER(E179),E179,0)+R179,R179)*S179*1000+R179,0)=W179,5,IF(IF((P179&gt;0)*(IF(Q179="",-1,Q179)&gt;=1)*(IF(Q179="",-1,Q179)&lt;=3),IF(C179="peso_corporal",IF(ISNUMBER(E179),E179,0)+O179,O179)*P179*1000+O179,0)=W179,4,IF(IF((M179&gt;0)*(IF(N179="",-1,N179)&gt;=1)*(IF(N179="",-1,N179)&lt;=3),IF(C179="peso_corporal",IF(ISNUMBER(E179),E179,0)+L179,L179)*M179*1000+L179,0)=W179,3,IF(IF((J179&gt;0)*(IF(K179="",-1,K179)&gt;=1)*(IF(K179="",-1,K179)&lt;=3),IF(C179="peso_corporal",IF(ISNUMBER(E179),E179,0)+I179,I179)*J179*1000+I179,0)=W179,2,IF(IF((G179&gt;0)*(IF(H179="",-1,H179)&gt;=1)*(IF(H179="",-1,H179)&lt;=3),IF(C179="peso_corporal",IF(ISNUMBER(E179),E179,0)+F179,F179)*G179*1000+F179,0)=W179,1,0))))))</f>
        <v>0</v>
      </c>
      <c r="Y179" s="69">
        <f>MAX(IF((G179&gt;0)*(IF(H179="",-1,H179)=0)*(1-(IF(H179="",-1,H179)&gt;=1)*(IF(H179="",-1,H179)&lt;=3)),IF(C179="peso_corporal",IF(ISNUMBER(E179),E179,0)+F179,F179)*G179*1000+F179,0),IF((J179&gt;0)*(IF(K179="",-1,K179)=0)*(1-(IF(K179="",-1,K179)&gt;=1)*(IF(K179="",-1,K179)&lt;=3)),IF(C179="peso_corporal",IF(ISNUMBER(E179),E179,0)+I179,I179)*J179*1000+I179,0),IF((M179&gt;0)*(IF(N179="",-1,N179)=0)*(1-(IF(N179="",-1,N179)&gt;=1)*(IF(N179="",-1,N179)&lt;=3)),IF(C179="peso_corporal",IF(ISNUMBER(E179),E179,0)+L179,L179)*M179*1000+L179,0),IF((P179&gt;0)*(IF(Q179="",-1,Q179)=0)*(1-(IF(Q179="",-1,Q179)&gt;=1)*(IF(Q179="",-1,Q179)&lt;=3)),IF(C179="peso_corporal",IF(ISNUMBER(E179),E179,0)+O179,O179)*P179*1000+O179,0),IF((S179&gt;0)*(IF(T179="",-1,T179)=0)*(1-(IF(T179="",-1,T179)&gt;=1)*(IF(T179="",-1,T179)&lt;=3)),IF(C179="peso_corporal",IF(ISNUMBER(E179),E179,0)+R179,R179)*S179*1000+R179,0))</f>
        <v>0</v>
      </c>
      <c r="Z179" s="69">
        <f>IF(Y179=0,0,IF(IF((S179&gt;0)*(IF(T179="",-1,T179)=0)*(1-(IF(T179="",-1,T179)&gt;=1)*(IF(T179="",-1,T179)&lt;=3)),IF(C179="peso_corporal",IF(ISNUMBER(E179),E179,0)+R179,R179)*S179*1000+R179,0)=Y179,5,IF(IF((P179&gt;0)*(IF(Q179="",-1,Q179)=0)*(1-(IF(Q179="",-1,Q179)&gt;=1)*(IF(Q179="",-1,Q179)&lt;=3)),IF(C179="peso_corporal",IF(ISNUMBER(E179),E179,0)+O179,O179)*P179*1000+O179,0)=Y179,4,IF(IF((M179&gt;0)*(IF(N179="",-1,N179)=0)*(1-(IF(N179="",-1,N179)&gt;=1)*(IF(N179="",-1,N179)&lt;=3)),IF(C179="peso_corporal",IF(ISNUMBER(E179),E179,0)+L179,L179)*M179*1000+L179,0)=Y179,3,IF(IF((J179&gt;0)*(IF(K179="",-1,K179)=0)*(1-(IF(K179="",-1,K179)&gt;=1)*(IF(K179="",-1,K179)&lt;=3)),IF(C179="peso_corporal",IF(ISNUMBER(E179),E179,0)+I179,I179)*J179*1000+I179,0)=Y179,2,IF(IF((G179&gt;0)*(IF(H179="",-1,H179)=0)*(1-(IF(H179="",-1,H179)&gt;=1)*(IF(H179="",-1,H179)&lt;=3)),IF(C179="peso_corporal",IF(ISNUMBER(E179),E179,0)+F179,F179)*G179*1000+F179,0)=Y179,1,0))))))</f>
        <v>0</v>
      </c>
      <c r="AA179" s="69">
        <f>MAX(IF((G179&gt;=6)*(1-(IF(H179="",-1,H179)&gt;=1)*(IF(H179="",-1,H179)&lt;=3))*(1-(IF(H179="",-1,H179)=0)),IF(C179="peso_corporal",IF(ISNUMBER(E179),E179,0)+F179,F179)*(30+G179)*100+F179,0),IF((J179&gt;=6)*(1-(IF(K179="",-1,K179)&gt;=1)*(IF(K179="",-1,K179)&lt;=3))*(1-(IF(K179="",-1,K179)=0)),IF(C179="peso_corporal",IF(ISNUMBER(E179),E179,0)+I179,I179)*(30+J179)*100+I179,0),IF((M179&gt;=6)*(1-(IF(N179="",-1,N179)&gt;=1)*(IF(N179="",-1,N179)&lt;=3))*(1-(IF(N179="",-1,N179)=0)),IF(C179="peso_corporal",IF(ISNUMBER(E179),E179,0)+L179,L179)*(30+M179)*100+L179,0),IF((P179&gt;=6)*(1-(IF(Q179="",-1,Q179)&gt;=1)*(IF(Q179="",-1,Q179)&lt;=3))*(1-(IF(Q179="",-1,Q179)=0)),IF(C179="peso_corporal",IF(ISNUMBER(E179),E179,0)+O179,O179)*(30+P179)*100+O179,0),IF((S179&gt;=6)*(1-(IF(T179="",-1,T179)&gt;=1)*(IF(T179="",-1,T179)&lt;=3))*(1-(IF(T179="",-1,T179)=0)),IF(C179="peso_corporal",IF(ISNUMBER(E179),E179,0)+R179,R179)*(30+S179)*100+R179,0))</f>
        <v>0</v>
      </c>
      <c r="AB179" s="69">
        <f>IF(AA179=0,0,IF(IF((S179&gt;=6)*(1-(IF(T179="",-1,T179)&gt;=1)*(IF(T179="",-1,T179)&lt;=3))*(1-(IF(T179="",-1,T179)=0)),IF(C179="peso_corporal",IF(ISNUMBER(E179),E179,0)+R179,R179)*(30+S179)*100+R179,0)=AA179,5,IF(IF((P179&gt;=6)*(1-(IF(Q179="",-1,Q179)&gt;=1)*(IF(Q179="",-1,Q179)&lt;=3))*(1-(IF(Q179="",-1,Q179)=0)),IF(C179="peso_corporal",IF(ISNUMBER(E179),E179,0)+O179,O179)*(30+P179)*100+O179,0)=AA179,4,IF(IF((M179&gt;=6)*(1-(IF(N179="",-1,N179)&gt;=1)*(IF(N179="",-1,N179)&lt;=3))*(1-(IF(N179="",-1,N179)=0)),IF(C179="peso_corporal",IF(ISNUMBER(E179),E179,0)+L179,L179)*(30+M179)*100+L179,0)=AA179,3,IF(IF((J179&gt;=6)*(1-(IF(K179="",-1,K179)&gt;=1)*(IF(K179="",-1,K179)&lt;=3))*(1-(IF(K179="",-1,K179)=0)),IF(C179="peso_corporal",IF(ISNUMBER(E179),E179,0)+I179,I179)*(30+J179)*100+I179,0)=AA179,2,IF(IF((G179&gt;=6)*(1-(IF(H179="",-1,H179)&gt;=1)*(IF(H179="",-1,H179)&lt;=3))*(1-(IF(H179="",-1,H179)=0)),IF(C179="peso_corporal",IF(ISNUMBER(E179),E179,0)+F179,F179)*(30+G179)*100+F179,0)=AA179,1,0))))))</f>
        <v>0</v>
      </c>
      <c r="AC179" s="69" t="str">
        <f>IF(X179&gt;0,"A"&amp;X179,IF(Z179&gt;0,"B"&amp;Z179,IF(AB179&gt;0,"C"&amp;AB179,"")))</f>
        <v/>
      </c>
    </row>
    <row r="180" spans="1:29" ht="15" customHeight="1">
      <c r="A180" s="91" t="s">
        <v>145</v>
      </c>
      <c r="B180" s="73"/>
      <c r="C180" s="73"/>
      <c r="D180" s="73"/>
      <c r="E180" s="73"/>
      <c r="F180" s="73"/>
      <c r="G180" s="73"/>
      <c r="H180" s="73"/>
      <c r="I180" s="73"/>
      <c r="J180" s="73"/>
      <c r="K180" s="73"/>
      <c r="L180" s="73"/>
      <c r="M180" s="73"/>
      <c r="N180" s="73"/>
      <c r="O180" s="73"/>
      <c r="P180" s="73"/>
      <c r="Q180" s="73"/>
      <c r="R180" s="73"/>
      <c r="S180" s="73"/>
      <c r="T180" s="73"/>
      <c r="U180" s="73"/>
      <c r="V180" s="73"/>
      <c r="W180" s="69"/>
      <c r="X180" s="69"/>
      <c r="Y180" s="69"/>
      <c r="Z180" s="69"/>
      <c r="AA180" s="69"/>
      <c r="AB180" s="69"/>
      <c r="AC180" s="69"/>
    </row>
    <row r="181" spans="1:29" ht="20.100000000000001" customHeight="1">
      <c r="A181" s="14" t="s">
        <v>57</v>
      </c>
      <c r="B181" s="15" t="s">
        <v>58</v>
      </c>
      <c r="C181" s="16" t="str">
        <f>IFERROR(INDEX(EJERCICIOS!$D$3:$D$75,MATCH(A181&amp;"|"&amp;B181,EJERCICIOS!$G$3:$G$75,0)),"--")</f>
        <v>polea</v>
      </c>
      <c r="D181" s="17">
        <v>3</v>
      </c>
      <c r="E181" s="18">
        <f>IFERROR(LOOKUP(2,1/(MEDIDAS_Y_PESO!$B$3:$B$10&lt;&gt;""),MEDIDAS_Y_PESO!$B$3:$B$10),"--")</f>
        <v>80</v>
      </c>
      <c r="F181" s="19"/>
      <c r="G181" s="20"/>
      <c r="H181" s="21"/>
      <c r="I181" s="19"/>
      <c r="J181" s="20"/>
      <c r="K181" s="21"/>
      <c r="L181" s="19"/>
      <c r="M181" s="20"/>
      <c r="N181" s="21"/>
      <c r="O181" s="19"/>
      <c r="P181" s="20"/>
      <c r="Q181" s="21"/>
      <c r="R181" s="19"/>
      <c r="S181" s="20"/>
      <c r="T181" s="21"/>
      <c r="U181" s="22" t="str">
        <f>IFERROR(IF(IF(X181&gt;0,X181,IF(Z181&gt;0,Z181,IF(AB181&gt;0,AB181,0)))=0,"--",ROUND(CHOOSE(IF(X181&gt;0,X181,IF(Z181&gt;0,Z181,IF(AB181&gt;0,AB181,0))),IF(C181="peso_corporal",IF(ISNUMBER(E181),E181,0)+F181,F181)*(1+G181/30),IF(C181="peso_corporal",IF(ISNUMBER(E181),E181,0)+I181,I181)*(1+J181/30),IF(C181="peso_corporal",IF(ISNUMBER(E181),E181,0)+L181,L181)*(1+M181/30),IF(C181="peso_corporal",IF(ISNUMBER(E181),E181,0)+O181,O181)*(1+P181/30),IF(C181="peso_corporal",IF(ISNUMBER(E181),E181,0)+R181,R181)*(1+S181/30)),1)),"--")</f>
        <v>--</v>
      </c>
      <c r="V181" s="23" t="str">
        <f>IF(SUGERENCIAS!N478="SIN","Sin datos anteriores",IF(SUGERENCIAS!N478="SUBIR_F","^ SUBIR FUERTE | Kg:"&amp;ROUND(SUGERENCIAS!K478,1)&amp;" R:"&amp;ROUND(SUGERENCIAS!L478,0)&amp;" RIR:"&amp;ROUND(SUGERENCIAS!M478,0),IF(SUGERENCIAS!N478="SUBIR_E","^ SUBIR (Est.) | Kg:"&amp;ROUND(SUGERENCIAS!K478,1)&amp;" R:"&amp;ROUND(SUGERENCIAS!L478,0)&amp;" RIR:"&amp;ROUND(SUGERENCIAS!M478,0),IF(SUGERENCIAS!N478="SUBIR","^ SUBIR | Kg:"&amp;ROUND(SUGERENCIAS!K478,1)&amp;" R:"&amp;ROUND(SUGERENCIAS!L478,0)&amp;" RIR:"&amp;ROUND(SUGERENCIAS!M478,0),IF(SUGERENCIAS!N478="BAJAR","v BAJAR | Kg:"&amp;ROUND(SUGERENCIAS!K478,1)&amp;" R:"&amp;ROUND(SUGERENCIAS!L478,0)&amp;" RIR:"&amp;ROUND(SUGERENCIAS!M478,0),"= MANT | Kg:"&amp;ROUND(SUGERENCIAS!K478,1)&amp;" R:"&amp;ROUND(SUGERENCIAS!L478,0)&amp;" RIR:"&amp;ROUND(SUGERENCIAS!M478,0))))))</f>
        <v>Sin datos anteriores</v>
      </c>
      <c r="W181" s="69">
        <f>MAX(IF((G181&gt;0)*(IF(H181="",-1,H181)&gt;=1)*(IF(H181="",-1,H181)&lt;=3),IF(C181="peso_corporal",IF(ISNUMBER(E181),E181,0)+F181,F181)*G181*1000+F181,0),IF((J181&gt;0)*(IF(K181="",-1,K181)&gt;=1)*(IF(K181="",-1,K181)&lt;=3),IF(C181="peso_corporal",IF(ISNUMBER(E181),E181,0)+I181,I181)*J181*1000+I181,0),IF((M181&gt;0)*(IF(N181="",-1,N181)&gt;=1)*(IF(N181="",-1,N181)&lt;=3),IF(C181="peso_corporal",IF(ISNUMBER(E181),E181,0)+L181,L181)*M181*1000+L181,0),IF((P181&gt;0)*(IF(Q181="",-1,Q181)&gt;=1)*(IF(Q181="",-1,Q181)&lt;=3),IF(C181="peso_corporal",IF(ISNUMBER(E181),E181,0)+O181,O181)*P181*1000+O181,0),IF((S181&gt;0)*(IF(T181="",-1,T181)&gt;=1)*(IF(T181="",-1,T181)&lt;=3),IF(C181="peso_corporal",IF(ISNUMBER(E181),E181,0)+R181,R181)*S181*1000+R181,0))</f>
        <v>0</v>
      </c>
      <c r="X181" s="69">
        <f>IF(W181=0,0,IF(IF((S181&gt;0)*(IF(T181="",-1,T181)&gt;=1)*(IF(T181="",-1,T181)&lt;=3),IF(C181="peso_corporal",IF(ISNUMBER(E181),E181,0)+R181,R181)*S181*1000+R181,0)=W181,5,IF(IF((P181&gt;0)*(IF(Q181="",-1,Q181)&gt;=1)*(IF(Q181="",-1,Q181)&lt;=3),IF(C181="peso_corporal",IF(ISNUMBER(E181),E181,0)+O181,O181)*P181*1000+O181,0)=W181,4,IF(IF((M181&gt;0)*(IF(N181="",-1,N181)&gt;=1)*(IF(N181="",-1,N181)&lt;=3),IF(C181="peso_corporal",IF(ISNUMBER(E181),E181,0)+L181,L181)*M181*1000+L181,0)=W181,3,IF(IF((J181&gt;0)*(IF(K181="",-1,K181)&gt;=1)*(IF(K181="",-1,K181)&lt;=3),IF(C181="peso_corporal",IF(ISNUMBER(E181),E181,0)+I181,I181)*J181*1000+I181,0)=W181,2,IF(IF((G181&gt;0)*(IF(H181="",-1,H181)&gt;=1)*(IF(H181="",-1,H181)&lt;=3),IF(C181="peso_corporal",IF(ISNUMBER(E181),E181,0)+F181,F181)*G181*1000+F181,0)=W181,1,0))))))</f>
        <v>0</v>
      </c>
      <c r="Y181" s="69">
        <f>MAX(IF((G181&gt;0)*(IF(H181="",-1,H181)=0)*(1-(IF(H181="",-1,H181)&gt;=1)*(IF(H181="",-1,H181)&lt;=3)),IF(C181="peso_corporal",IF(ISNUMBER(E181),E181,0)+F181,F181)*G181*1000+F181,0),IF((J181&gt;0)*(IF(K181="",-1,K181)=0)*(1-(IF(K181="",-1,K181)&gt;=1)*(IF(K181="",-1,K181)&lt;=3)),IF(C181="peso_corporal",IF(ISNUMBER(E181),E181,0)+I181,I181)*J181*1000+I181,0),IF((M181&gt;0)*(IF(N181="",-1,N181)=0)*(1-(IF(N181="",-1,N181)&gt;=1)*(IF(N181="",-1,N181)&lt;=3)),IF(C181="peso_corporal",IF(ISNUMBER(E181),E181,0)+L181,L181)*M181*1000+L181,0),IF((P181&gt;0)*(IF(Q181="",-1,Q181)=0)*(1-(IF(Q181="",-1,Q181)&gt;=1)*(IF(Q181="",-1,Q181)&lt;=3)),IF(C181="peso_corporal",IF(ISNUMBER(E181),E181,0)+O181,O181)*P181*1000+O181,0),IF((S181&gt;0)*(IF(T181="",-1,T181)=0)*(1-(IF(T181="",-1,T181)&gt;=1)*(IF(T181="",-1,T181)&lt;=3)),IF(C181="peso_corporal",IF(ISNUMBER(E181),E181,0)+R181,R181)*S181*1000+R181,0))</f>
        <v>0</v>
      </c>
      <c r="Z181" s="69">
        <f>IF(Y181=0,0,IF(IF((S181&gt;0)*(IF(T181="",-1,T181)=0)*(1-(IF(T181="",-1,T181)&gt;=1)*(IF(T181="",-1,T181)&lt;=3)),IF(C181="peso_corporal",IF(ISNUMBER(E181),E181,0)+R181,R181)*S181*1000+R181,0)=Y181,5,IF(IF((P181&gt;0)*(IF(Q181="",-1,Q181)=0)*(1-(IF(Q181="",-1,Q181)&gt;=1)*(IF(Q181="",-1,Q181)&lt;=3)),IF(C181="peso_corporal",IF(ISNUMBER(E181),E181,0)+O181,O181)*P181*1000+O181,0)=Y181,4,IF(IF((M181&gt;0)*(IF(N181="",-1,N181)=0)*(1-(IF(N181="",-1,N181)&gt;=1)*(IF(N181="",-1,N181)&lt;=3)),IF(C181="peso_corporal",IF(ISNUMBER(E181),E181,0)+L181,L181)*M181*1000+L181,0)=Y181,3,IF(IF((J181&gt;0)*(IF(K181="",-1,K181)=0)*(1-(IF(K181="",-1,K181)&gt;=1)*(IF(K181="",-1,K181)&lt;=3)),IF(C181="peso_corporal",IF(ISNUMBER(E181),E181,0)+I181,I181)*J181*1000+I181,0)=Y181,2,IF(IF((G181&gt;0)*(IF(H181="",-1,H181)=0)*(1-(IF(H181="",-1,H181)&gt;=1)*(IF(H181="",-1,H181)&lt;=3)),IF(C181="peso_corporal",IF(ISNUMBER(E181),E181,0)+F181,F181)*G181*1000+F181,0)=Y181,1,0))))))</f>
        <v>0</v>
      </c>
      <c r="AA181" s="69">
        <f>MAX(IF((G181&gt;=6)*(1-(IF(H181="",-1,H181)&gt;=1)*(IF(H181="",-1,H181)&lt;=3))*(1-(IF(H181="",-1,H181)=0)),IF(C181="peso_corporal",IF(ISNUMBER(E181),E181,0)+F181,F181)*(30+G181)*100+F181,0),IF((J181&gt;=6)*(1-(IF(K181="",-1,K181)&gt;=1)*(IF(K181="",-1,K181)&lt;=3))*(1-(IF(K181="",-1,K181)=0)),IF(C181="peso_corporal",IF(ISNUMBER(E181),E181,0)+I181,I181)*(30+J181)*100+I181,0),IF((M181&gt;=6)*(1-(IF(N181="",-1,N181)&gt;=1)*(IF(N181="",-1,N181)&lt;=3))*(1-(IF(N181="",-1,N181)=0)),IF(C181="peso_corporal",IF(ISNUMBER(E181),E181,0)+L181,L181)*(30+M181)*100+L181,0),IF((P181&gt;=6)*(1-(IF(Q181="",-1,Q181)&gt;=1)*(IF(Q181="",-1,Q181)&lt;=3))*(1-(IF(Q181="",-1,Q181)=0)),IF(C181="peso_corporal",IF(ISNUMBER(E181),E181,0)+O181,O181)*(30+P181)*100+O181,0),IF((S181&gt;=6)*(1-(IF(T181="",-1,T181)&gt;=1)*(IF(T181="",-1,T181)&lt;=3))*(1-(IF(T181="",-1,T181)=0)),IF(C181="peso_corporal",IF(ISNUMBER(E181),E181,0)+R181,R181)*(30+S181)*100+R181,0))</f>
        <v>0</v>
      </c>
      <c r="AB181" s="69">
        <f>IF(AA181=0,0,IF(IF((S181&gt;=6)*(1-(IF(T181="",-1,T181)&gt;=1)*(IF(T181="",-1,T181)&lt;=3))*(1-(IF(T181="",-1,T181)=0)),IF(C181="peso_corporal",IF(ISNUMBER(E181),E181,0)+R181,R181)*(30+S181)*100+R181,0)=AA181,5,IF(IF((P181&gt;=6)*(1-(IF(Q181="",-1,Q181)&gt;=1)*(IF(Q181="",-1,Q181)&lt;=3))*(1-(IF(Q181="",-1,Q181)=0)),IF(C181="peso_corporal",IF(ISNUMBER(E181),E181,0)+O181,O181)*(30+P181)*100+O181,0)=AA181,4,IF(IF((M181&gt;=6)*(1-(IF(N181="",-1,N181)&gt;=1)*(IF(N181="",-1,N181)&lt;=3))*(1-(IF(N181="",-1,N181)=0)),IF(C181="peso_corporal",IF(ISNUMBER(E181),E181,0)+L181,L181)*(30+M181)*100+L181,0)=AA181,3,IF(IF((J181&gt;=6)*(1-(IF(K181="",-1,K181)&gt;=1)*(IF(K181="",-1,K181)&lt;=3))*(1-(IF(K181="",-1,K181)=0)),IF(C181="peso_corporal",IF(ISNUMBER(E181),E181,0)+I181,I181)*(30+J181)*100+I181,0)=AA181,2,IF(IF((G181&gt;=6)*(1-(IF(H181="",-1,H181)&gt;=1)*(IF(H181="",-1,H181)&lt;=3))*(1-(IF(H181="",-1,H181)=0)),IF(C181="peso_corporal",IF(ISNUMBER(E181),E181,0)+F181,F181)*(30+G181)*100+F181,0)=AA181,1,0))))))</f>
        <v>0</v>
      </c>
      <c r="AC181" s="69" t="str">
        <f>IF(X181&gt;0,"A"&amp;X181,IF(Z181&gt;0,"B"&amp;Z181,IF(AB181&gt;0,"C"&amp;AB181,"")))</f>
        <v/>
      </c>
    </row>
    <row r="182" spans="1:29" ht="20.100000000000001" customHeight="1">
      <c r="A182" s="14" t="s">
        <v>146</v>
      </c>
      <c r="B182" s="15" t="s">
        <v>152</v>
      </c>
      <c r="C182" s="16" t="str">
        <f>IFERROR(INDEX(EJERCICIOS!$D$3:$D$75,MATCH(A182&amp;"|"&amp;B182,EJERCICIOS!$G$3:$G$75,0)),"--")</f>
        <v>--</v>
      </c>
      <c r="D182" s="17">
        <v>3</v>
      </c>
      <c r="E182" s="18">
        <f>IFERROR(LOOKUP(2,1/(MEDIDAS_Y_PESO!$B$3:$B$10&lt;&gt;""),MEDIDAS_Y_PESO!$B$3:$B$10),"--")</f>
        <v>80</v>
      </c>
      <c r="F182" s="19"/>
      <c r="G182" s="20"/>
      <c r="H182" s="21"/>
      <c r="I182" s="19"/>
      <c r="J182" s="20"/>
      <c r="K182" s="21"/>
      <c r="L182" s="19"/>
      <c r="M182" s="20"/>
      <c r="N182" s="21"/>
      <c r="O182" s="19"/>
      <c r="P182" s="20"/>
      <c r="Q182" s="21"/>
      <c r="R182" s="19"/>
      <c r="S182" s="20"/>
      <c r="T182" s="21"/>
      <c r="U182" s="22" t="str">
        <f>IFERROR(IF(IF(X182&gt;0,X182,IF(Z182&gt;0,Z182,IF(AB182&gt;0,AB182,0)))=0,"--",ROUND(CHOOSE(IF(X182&gt;0,X182,IF(Z182&gt;0,Z182,IF(AB182&gt;0,AB182,0))),IF(C182="peso_corporal",IF(ISNUMBER(E182),E182,0)+F182,F182)*(1+G182/30),IF(C182="peso_corporal",IF(ISNUMBER(E182),E182,0)+I182,I182)*(1+J182/30),IF(C182="peso_corporal",IF(ISNUMBER(E182),E182,0)+L182,L182)*(1+M182/30),IF(C182="peso_corporal",IF(ISNUMBER(E182),E182,0)+O182,O182)*(1+P182/30),IF(C182="peso_corporal",IF(ISNUMBER(E182),E182,0)+R182,R182)*(1+S182/30)),1)),"--")</f>
        <v>--</v>
      </c>
      <c r="V182" s="23" t="str">
        <f>IF(SUGERENCIAS!N479="SIN","Sin datos anteriores",IF(SUGERENCIAS!N479="SUBIR_F","^ SUBIR FUERTE | Kg:"&amp;ROUND(SUGERENCIAS!K479,1)&amp;" R:"&amp;ROUND(SUGERENCIAS!L479,0)&amp;" RIR:"&amp;ROUND(SUGERENCIAS!M479,0),IF(SUGERENCIAS!N479="SUBIR_E","^ SUBIR (Est.) | Kg:"&amp;ROUND(SUGERENCIAS!K479,1)&amp;" R:"&amp;ROUND(SUGERENCIAS!L479,0)&amp;" RIR:"&amp;ROUND(SUGERENCIAS!M479,0),IF(SUGERENCIAS!N479="SUBIR","^ SUBIR | Kg:"&amp;ROUND(SUGERENCIAS!K479,1)&amp;" R:"&amp;ROUND(SUGERENCIAS!L479,0)&amp;" RIR:"&amp;ROUND(SUGERENCIAS!M479,0),IF(SUGERENCIAS!N479="BAJAR","v BAJAR | Kg:"&amp;ROUND(SUGERENCIAS!K479,1)&amp;" R:"&amp;ROUND(SUGERENCIAS!L479,0)&amp;" RIR:"&amp;ROUND(SUGERENCIAS!M479,0),"= MANT | Kg:"&amp;ROUND(SUGERENCIAS!K479,1)&amp;" R:"&amp;ROUND(SUGERENCIAS!L479,0)&amp;" RIR:"&amp;ROUND(SUGERENCIAS!M479,0))))))</f>
        <v>Sin datos anteriores</v>
      </c>
      <c r="W182" s="69">
        <f>MAX(IF((G182&gt;0)*(IF(H182="",-1,H182)&gt;=1)*(IF(H182="",-1,H182)&lt;=3),IF(C182="peso_corporal",IF(ISNUMBER(E182),E182,0)+F182,F182)*G182*1000+F182,0),IF((J182&gt;0)*(IF(K182="",-1,K182)&gt;=1)*(IF(K182="",-1,K182)&lt;=3),IF(C182="peso_corporal",IF(ISNUMBER(E182),E182,0)+I182,I182)*J182*1000+I182,0),IF((M182&gt;0)*(IF(N182="",-1,N182)&gt;=1)*(IF(N182="",-1,N182)&lt;=3),IF(C182="peso_corporal",IF(ISNUMBER(E182),E182,0)+L182,L182)*M182*1000+L182,0),IF((P182&gt;0)*(IF(Q182="",-1,Q182)&gt;=1)*(IF(Q182="",-1,Q182)&lt;=3),IF(C182="peso_corporal",IF(ISNUMBER(E182),E182,0)+O182,O182)*P182*1000+O182,0),IF((S182&gt;0)*(IF(T182="",-1,T182)&gt;=1)*(IF(T182="",-1,T182)&lt;=3),IF(C182="peso_corporal",IF(ISNUMBER(E182),E182,0)+R182,R182)*S182*1000+R182,0))</f>
        <v>0</v>
      </c>
      <c r="X182" s="69">
        <f>IF(W182=0,0,IF(IF((S182&gt;0)*(IF(T182="",-1,T182)&gt;=1)*(IF(T182="",-1,T182)&lt;=3),IF(C182="peso_corporal",IF(ISNUMBER(E182),E182,0)+R182,R182)*S182*1000+R182,0)=W182,5,IF(IF((P182&gt;0)*(IF(Q182="",-1,Q182)&gt;=1)*(IF(Q182="",-1,Q182)&lt;=3),IF(C182="peso_corporal",IF(ISNUMBER(E182),E182,0)+O182,O182)*P182*1000+O182,0)=W182,4,IF(IF((M182&gt;0)*(IF(N182="",-1,N182)&gt;=1)*(IF(N182="",-1,N182)&lt;=3),IF(C182="peso_corporal",IF(ISNUMBER(E182),E182,0)+L182,L182)*M182*1000+L182,0)=W182,3,IF(IF((J182&gt;0)*(IF(K182="",-1,K182)&gt;=1)*(IF(K182="",-1,K182)&lt;=3),IF(C182="peso_corporal",IF(ISNUMBER(E182),E182,0)+I182,I182)*J182*1000+I182,0)=W182,2,IF(IF((G182&gt;0)*(IF(H182="",-1,H182)&gt;=1)*(IF(H182="",-1,H182)&lt;=3),IF(C182="peso_corporal",IF(ISNUMBER(E182),E182,0)+F182,F182)*G182*1000+F182,0)=W182,1,0))))))</f>
        <v>0</v>
      </c>
      <c r="Y182" s="69">
        <f>MAX(IF((G182&gt;0)*(IF(H182="",-1,H182)=0)*(1-(IF(H182="",-1,H182)&gt;=1)*(IF(H182="",-1,H182)&lt;=3)),IF(C182="peso_corporal",IF(ISNUMBER(E182),E182,0)+F182,F182)*G182*1000+F182,0),IF((J182&gt;0)*(IF(K182="",-1,K182)=0)*(1-(IF(K182="",-1,K182)&gt;=1)*(IF(K182="",-1,K182)&lt;=3)),IF(C182="peso_corporal",IF(ISNUMBER(E182),E182,0)+I182,I182)*J182*1000+I182,0),IF((M182&gt;0)*(IF(N182="",-1,N182)=0)*(1-(IF(N182="",-1,N182)&gt;=1)*(IF(N182="",-1,N182)&lt;=3)),IF(C182="peso_corporal",IF(ISNUMBER(E182),E182,0)+L182,L182)*M182*1000+L182,0),IF((P182&gt;0)*(IF(Q182="",-1,Q182)=0)*(1-(IF(Q182="",-1,Q182)&gt;=1)*(IF(Q182="",-1,Q182)&lt;=3)),IF(C182="peso_corporal",IF(ISNUMBER(E182),E182,0)+O182,O182)*P182*1000+O182,0),IF((S182&gt;0)*(IF(T182="",-1,T182)=0)*(1-(IF(T182="",-1,T182)&gt;=1)*(IF(T182="",-1,T182)&lt;=3)),IF(C182="peso_corporal",IF(ISNUMBER(E182),E182,0)+R182,R182)*S182*1000+R182,0))</f>
        <v>0</v>
      </c>
      <c r="Z182" s="69">
        <f>IF(Y182=0,0,IF(IF((S182&gt;0)*(IF(T182="",-1,T182)=0)*(1-(IF(T182="",-1,T182)&gt;=1)*(IF(T182="",-1,T182)&lt;=3)),IF(C182="peso_corporal",IF(ISNUMBER(E182),E182,0)+R182,R182)*S182*1000+R182,0)=Y182,5,IF(IF((P182&gt;0)*(IF(Q182="",-1,Q182)=0)*(1-(IF(Q182="",-1,Q182)&gt;=1)*(IF(Q182="",-1,Q182)&lt;=3)),IF(C182="peso_corporal",IF(ISNUMBER(E182),E182,0)+O182,O182)*P182*1000+O182,0)=Y182,4,IF(IF((M182&gt;0)*(IF(N182="",-1,N182)=0)*(1-(IF(N182="",-1,N182)&gt;=1)*(IF(N182="",-1,N182)&lt;=3)),IF(C182="peso_corporal",IF(ISNUMBER(E182),E182,0)+L182,L182)*M182*1000+L182,0)=Y182,3,IF(IF((J182&gt;0)*(IF(K182="",-1,K182)=0)*(1-(IF(K182="",-1,K182)&gt;=1)*(IF(K182="",-1,K182)&lt;=3)),IF(C182="peso_corporal",IF(ISNUMBER(E182),E182,0)+I182,I182)*J182*1000+I182,0)=Y182,2,IF(IF((G182&gt;0)*(IF(H182="",-1,H182)=0)*(1-(IF(H182="",-1,H182)&gt;=1)*(IF(H182="",-1,H182)&lt;=3)),IF(C182="peso_corporal",IF(ISNUMBER(E182),E182,0)+F182,F182)*G182*1000+F182,0)=Y182,1,0))))))</f>
        <v>0</v>
      </c>
      <c r="AA182" s="69">
        <f>MAX(IF((G182&gt;=6)*(1-(IF(H182="",-1,H182)&gt;=1)*(IF(H182="",-1,H182)&lt;=3))*(1-(IF(H182="",-1,H182)=0)),IF(C182="peso_corporal",IF(ISNUMBER(E182),E182,0)+F182,F182)*(30+G182)*100+F182,0),IF((J182&gt;=6)*(1-(IF(K182="",-1,K182)&gt;=1)*(IF(K182="",-1,K182)&lt;=3))*(1-(IF(K182="",-1,K182)=0)),IF(C182="peso_corporal",IF(ISNUMBER(E182),E182,0)+I182,I182)*(30+J182)*100+I182,0),IF((M182&gt;=6)*(1-(IF(N182="",-1,N182)&gt;=1)*(IF(N182="",-1,N182)&lt;=3))*(1-(IF(N182="",-1,N182)=0)),IF(C182="peso_corporal",IF(ISNUMBER(E182),E182,0)+L182,L182)*(30+M182)*100+L182,0),IF((P182&gt;=6)*(1-(IF(Q182="",-1,Q182)&gt;=1)*(IF(Q182="",-1,Q182)&lt;=3))*(1-(IF(Q182="",-1,Q182)=0)),IF(C182="peso_corporal",IF(ISNUMBER(E182),E182,0)+O182,O182)*(30+P182)*100+O182,0),IF((S182&gt;=6)*(1-(IF(T182="",-1,T182)&gt;=1)*(IF(T182="",-1,T182)&lt;=3))*(1-(IF(T182="",-1,T182)=0)),IF(C182="peso_corporal",IF(ISNUMBER(E182),E182,0)+R182,R182)*(30+S182)*100+R182,0))</f>
        <v>0</v>
      </c>
      <c r="AB182" s="69">
        <f>IF(AA182=0,0,IF(IF((S182&gt;=6)*(1-(IF(T182="",-1,T182)&gt;=1)*(IF(T182="",-1,T182)&lt;=3))*(1-(IF(T182="",-1,T182)=0)),IF(C182="peso_corporal",IF(ISNUMBER(E182),E182,0)+R182,R182)*(30+S182)*100+R182,0)=AA182,5,IF(IF((P182&gt;=6)*(1-(IF(Q182="",-1,Q182)&gt;=1)*(IF(Q182="",-1,Q182)&lt;=3))*(1-(IF(Q182="",-1,Q182)=0)),IF(C182="peso_corporal",IF(ISNUMBER(E182),E182,0)+O182,O182)*(30+P182)*100+O182,0)=AA182,4,IF(IF((M182&gt;=6)*(1-(IF(N182="",-1,N182)&gt;=1)*(IF(N182="",-1,N182)&lt;=3))*(1-(IF(N182="",-1,N182)=0)),IF(C182="peso_corporal",IF(ISNUMBER(E182),E182,0)+L182,L182)*(30+M182)*100+L182,0)=AA182,3,IF(IF((J182&gt;=6)*(1-(IF(K182="",-1,K182)&gt;=1)*(IF(K182="",-1,K182)&lt;=3))*(1-(IF(K182="",-1,K182)=0)),IF(C182="peso_corporal",IF(ISNUMBER(E182),E182,0)+I182,I182)*(30+J182)*100+I182,0)=AA182,2,IF(IF((G182&gt;=6)*(1-(IF(H182="",-1,H182)&gt;=1)*(IF(H182="",-1,H182)&lt;=3))*(1-(IF(H182="",-1,H182)=0)),IF(C182="peso_corporal",IF(ISNUMBER(E182),E182,0)+F182,F182)*(30+G182)*100+F182,0)=AA182,1,0))))))</f>
        <v>0</v>
      </c>
      <c r="AC182" s="69" t="str">
        <f>IF(X182&gt;0,"A"&amp;X182,IF(Z182&gt;0,"B"&amp;Z182,IF(AB182&gt;0,"C"&amp;AB182,"")))</f>
        <v/>
      </c>
    </row>
    <row r="183" spans="1:29" ht="20.100000000000001" customHeight="1">
      <c r="A183" s="14" t="s">
        <v>148</v>
      </c>
      <c r="B183" s="15" t="s">
        <v>149</v>
      </c>
      <c r="C183" s="16" t="str">
        <f>IFERROR(INDEX(EJERCICIOS!$D$3:$D$75,MATCH(A183&amp;"|"&amp;B183,EJERCICIOS!$G$3:$G$75,0)),"--")</f>
        <v>--</v>
      </c>
      <c r="D183" s="17">
        <v>3</v>
      </c>
      <c r="E183" s="18">
        <f>IFERROR(LOOKUP(2,1/(MEDIDAS_Y_PESO!$B$3:$B$10&lt;&gt;""),MEDIDAS_Y_PESO!$B$3:$B$10),"--")</f>
        <v>80</v>
      </c>
      <c r="F183" s="19"/>
      <c r="G183" s="20"/>
      <c r="H183" s="21"/>
      <c r="I183" s="19"/>
      <c r="J183" s="20"/>
      <c r="K183" s="21"/>
      <c r="L183" s="19"/>
      <c r="M183" s="20"/>
      <c r="N183" s="21"/>
      <c r="O183" s="19"/>
      <c r="P183" s="20"/>
      <c r="Q183" s="21"/>
      <c r="R183" s="19"/>
      <c r="S183" s="20"/>
      <c r="T183" s="21"/>
      <c r="U183" s="22" t="str">
        <f>IFERROR(IF(IF(X183&gt;0,X183,IF(Z183&gt;0,Z183,IF(AB183&gt;0,AB183,0)))=0,"--",ROUND(CHOOSE(IF(X183&gt;0,X183,IF(Z183&gt;0,Z183,IF(AB183&gt;0,AB183,0))),IF(C183="peso_corporal",IF(ISNUMBER(E183),E183,0)+F183,F183)*(1+G183/30),IF(C183="peso_corporal",IF(ISNUMBER(E183),E183,0)+I183,I183)*(1+J183/30),IF(C183="peso_corporal",IF(ISNUMBER(E183),E183,0)+L183,L183)*(1+M183/30),IF(C183="peso_corporal",IF(ISNUMBER(E183),E183,0)+O183,O183)*(1+P183/30),IF(C183="peso_corporal",IF(ISNUMBER(E183),E183,0)+R183,R183)*(1+S183/30)),1)),"--")</f>
        <v>--</v>
      </c>
      <c r="V183" s="23" t="str">
        <f>IF(SUGERENCIAS!N480="SIN","Sin datos anteriores",IF(SUGERENCIAS!N480="SUBIR_F","^ SUBIR FUERTE | Kg:"&amp;ROUND(SUGERENCIAS!K480,1)&amp;" R:"&amp;ROUND(SUGERENCIAS!L480,0)&amp;" RIR:"&amp;ROUND(SUGERENCIAS!M480,0),IF(SUGERENCIAS!N480="SUBIR_E","^ SUBIR (Est.) | Kg:"&amp;ROUND(SUGERENCIAS!K480,1)&amp;" R:"&amp;ROUND(SUGERENCIAS!L480,0)&amp;" RIR:"&amp;ROUND(SUGERENCIAS!M480,0),IF(SUGERENCIAS!N480="SUBIR","^ SUBIR | Kg:"&amp;ROUND(SUGERENCIAS!K480,1)&amp;" R:"&amp;ROUND(SUGERENCIAS!L480,0)&amp;" RIR:"&amp;ROUND(SUGERENCIAS!M480,0),IF(SUGERENCIAS!N480="BAJAR","v BAJAR | Kg:"&amp;ROUND(SUGERENCIAS!K480,1)&amp;" R:"&amp;ROUND(SUGERENCIAS!L480,0)&amp;" RIR:"&amp;ROUND(SUGERENCIAS!M480,0),"= MANT | Kg:"&amp;ROUND(SUGERENCIAS!K480,1)&amp;" R:"&amp;ROUND(SUGERENCIAS!L480,0)&amp;" RIR:"&amp;ROUND(SUGERENCIAS!M480,0))))))</f>
        <v>Sin datos anteriores</v>
      </c>
      <c r="W183" s="69">
        <f>MAX(IF((G183&gt;0)*(IF(H183="",-1,H183)&gt;=1)*(IF(H183="",-1,H183)&lt;=3),IF(C183="peso_corporal",IF(ISNUMBER(E183),E183,0)+F183,F183)*G183*1000+F183,0),IF((J183&gt;0)*(IF(K183="",-1,K183)&gt;=1)*(IF(K183="",-1,K183)&lt;=3),IF(C183="peso_corporal",IF(ISNUMBER(E183),E183,0)+I183,I183)*J183*1000+I183,0),IF((M183&gt;0)*(IF(N183="",-1,N183)&gt;=1)*(IF(N183="",-1,N183)&lt;=3),IF(C183="peso_corporal",IF(ISNUMBER(E183),E183,0)+L183,L183)*M183*1000+L183,0),IF((P183&gt;0)*(IF(Q183="",-1,Q183)&gt;=1)*(IF(Q183="",-1,Q183)&lt;=3),IF(C183="peso_corporal",IF(ISNUMBER(E183),E183,0)+O183,O183)*P183*1000+O183,0),IF((S183&gt;0)*(IF(T183="",-1,T183)&gt;=1)*(IF(T183="",-1,T183)&lt;=3),IF(C183="peso_corporal",IF(ISNUMBER(E183),E183,0)+R183,R183)*S183*1000+R183,0))</f>
        <v>0</v>
      </c>
      <c r="X183" s="69">
        <f>IF(W183=0,0,IF(IF((S183&gt;0)*(IF(T183="",-1,T183)&gt;=1)*(IF(T183="",-1,T183)&lt;=3),IF(C183="peso_corporal",IF(ISNUMBER(E183),E183,0)+R183,R183)*S183*1000+R183,0)=W183,5,IF(IF((P183&gt;0)*(IF(Q183="",-1,Q183)&gt;=1)*(IF(Q183="",-1,Q183)&lt;=3),IF(C183="peso_corporal",IF(ISNUMBER(E183),E183,0)+O183,O183)*P183*1000+O183,0)=W183,4,IF(IF((M183&gt;0)*(IF(N183="",-1,N183)&gt;=1)*(IF(N183="",-1,N183)&lt;=3),IF(C183="peso_corporal",IF(ISNUMBER(E183),E183,0)+L183,L183)*M183*1000+L183,0)=W183,3,IF(IF((J183&gt;0)*(IF(K183="",-1,K183)&gt;=1)*(IF(K183="",-1,K183)&lt;=3),IF(C183="peso_corporal",IF(ISNUMBER(E183),E183,0)+I183,I183)*J183*1000+I183,0)=W183,2,IF(IF((G183&gt;0)*(IF(H183="",-1,H183)&gt;=1)*(IF(H183="",-1,H183)&lt;=3),IF(C183="peso_corporal",IF(ISNUMBER(E183),E183,0)+F183,F183)*G183*1000+F183,0)=W183,1,0))))))</f>
        <v>0</v>
      </c>
      <c r="Y183" s="69">
        <f>MAX(IF((G183&gt;0)*(IF(H183="",-1,H183)=0)*(1-(IF(H183="",-1,H183)&gt;=1)*(IF(H183="",-1,H183)&lt;=3)),IF(C183="peso_corporal",IF(ISNUMBER(E183),E183,0)+F183,F183)*G183*1000+F183,0),IF((J183&gt;0)*(IF(K183="",-1,K183)=0)*(1-(IF(K183="",-1,K183)&gt;=1)*(IF(K183="",-1,K183)&lt;=3)),IF(C183="peso_corporal",IF(ISNUMBER(E183),E183,0)+I183,I183)*J183*1000+I183,0),IF((M183&gt;0)*(IF(N183="",-1,N183)=0)*(1-(IF(N183="",-1,N183)&gt;=1)*(IF(N183="",-1,N183)&lt;=3)),IF(C183="peso_corporal",IF(ISNUMBER(E183),E183,0)+L183,L183)*M183*1000+L183,0),IF((P183&gt;0)*(IF(Q183="",-1,Q183)=0)*(1-(IF(Q183="",-1,Q183)&gt;=1)*(IF(Q183="",-1,Q183)&lt;=3)),IF(C183="peso_corporal",IF(ISNUMBER(E183),E183,0)+O183,O183)*P183*1000+O183,0),IF((S183&gt;0)*(IF(T183="",-1,T183)=0)*(1-(IF(T183="",-1,T183)&gt;=1)*(IF(T183="",-1,T183)&lt;=3)),IF(C183="peso_corporal",IF(ISNUMBER(E183),E183,0)+R183,R183)*S183*1000+R183,0))</f>
        <v>0</v>
      </c>
      <c r="Z183" s="69">
        <f>IF(Y183=0,0,IF(IF((S183&gt;0)*(IF(T183="",-1,T183)=0)*(1-(IF(T183="",-1,T183)&gt;=1)*(IF(T183="",-1,T183)&lt;=3)),IF(C183="peso_corporal",IF(ISNUMBER(E183),E183,0)+R183,R183)*S183*1000+R183,0)=Y183,5,IF(IF((P183&gt;0)*(IF(Q183="",-1,Q183)=0)*(1-(IF(Q183="",-1,Q183)&gt;=1)*(IF(Q183="",-1,Q183)&lt;=3)),IF(C183="peso_corporal",IF(ISNUMBER(E183),E183,0)+O183,O183)*P183*1000+O183,0)=Y183,4,IF(IF((M183&gt;0)*(IF(N183="",-1,N183)=0)*(1-(IF(N183="",-1,N183)&gt;=1)*(IF(N183="",-1,N183)&lt;=3)),IF(C183="peso_corporal",IF(ISNUMBER(E183),E183,0)+L183,L183)*M183*1000+L183,0)=Y183,3,IF(IF((J183&gt;0)*(IF(K183="",-1,K183)=0)*(1-(IF(K183="",-1,K183)&gt;=1)*(IF(K183="",-1,K183)&lt;=3)),IF(C183="peso_corporal",IF(ISNUMBER(E183),E183,0)+I183,I183)*J183*1000+I183,0)=Y183,2,IF(IF((G183&gt;0)*(IF(H183="",-1,H183)=0)*(1-(IF(H183="",-1,H183)&gt;=1)*(IF(H183="",-1,H183)&lt;=3)),IF(C183="peso_corporal",IF(ISNUMBER(E183),E183,0)+F183,F183)*G183*1000+F183,0)=Y183,1,0))))))</f>
        <v>0</v>
      </c>
      <c r="AA183" s="69">
        <f>MAX(IF((G183&gt;=6)*(1-(IF(H183="",-1,H183)&gt;=1)*(IF(H183="",-1,H183)&lt;=3))*(1-(IF(H183="",-1,H183)=0)),IF(C183="peso_corporal",IF(ISNUMBER(E183),E183,0)+F183,F183)*(30+G183)*100+F183,0),IF((J183&gt;=6)*(1-(IF(K183="",-1,K183)&gt;=1)*(IF(K183="",-1,K183)&lt;=3))*(1-(IF(K183="",-1,K183)=0)),IF(C183="peso_corporal",IF(ISNUMBER(E183),E183,0)+I183,I183)*(30+J183)*100+I183,0),IF((M183&gt;=6)*(1-(IF(N183="",-1,N183)&gt;=1)*(IF(N183="",-1,N183)&lt;=3))*(1-(IF(N183="",-1,N183)=0)),IF(C183="peso_corporal",IF(ISNUMBER(E183),E183,0)+L183,L183)*(30+M183)*100+L183,0),IF((P183&gt;=6)*(1-(IF(Q183="",-1,Q183)&gt;=1)*(IF(Q183="",-1,Q183)&lt;=3))*(1-(IF(Q183="",-1,Q183)=0)),IF(C183="peso_corporal",IF(ISNUMBER(E183),E183,0)+O183,O183)*(30+P183)*100+O183,0),IF((S183&gt;=6)*(1-(IF(T183="",-1,T183)&gt;=1)*(IF(T183="",-1,T183)&lt;=3))*(1-(IF(T183="",-1,T183)=0)),IF(C183="peso_corporal",IF(ISNUMBER(E183),E183,0)+R183,R183)*(30+S183)*100+R183,0))</f>
        <v>0</v>
      </c>
      <c r="AB183" s="69">
        <f>IF(AA183=0,0,IF(IF((S183&gt;=6)*(1-(IF(T183="",-1,T183)&gt;=1)*(IF(T183="",-1,T183)&lt;=3))*(1-(IF(T183="",-1,T183)=0)),IF(C183="peso_corporal",IF(ISNUMBER(E183),E183,0)+R183,R183)*(30+S183)*100+R183,0)=AA183,5,IF(IF((P183&gt;=6)*(1-(IF(Q183="",-1,Q183)&gt;=1)*(IF(Q183="",-1,Q183)&lt;=3))*(1-(IF(Q183="",-1,Q183)=0)),IF(C183="peso_corporal",IF(ISNUMBER(E183),E183,0)+O183,O183)*(30+P183)*100+O183,0)=AA183,4,IF(IF((M183&gt;=6)*(1-(IF(N183="",-1,N183)&gt;=1)*(IF(N183="",-1,N183)&lt;=3))*(1-(IF(N183="",-1,N183)=0)),IF(C183="peso_corporal",IF(ISNUMBER(E183),E183,0)+L183,L183)*(30+M183)*100+L183,0)=AA183,3,IF(IF((J183&gt;=6)*(1-(IF(K183="",-1,K183)&gt;=1)*(IF(K183="",-1,K183)&lt;=3))*(1-(IF(K183="",-1,K183)=0)),IF(C183="peso_corporal",IF(ISNUMBER(E183),E183,0)+I183,I183)*(30+J183)*100+I183,0)=AA183,2,IF(IF((G183&gt;=6)*(1-(IF(H183="",-1,H183)&gt;=1)*(IF(H183="",-1,H183)&lt;=3))*(1-(IF(H183="",-1,H183)=0)),IF(C183="peso_corporal",IF(ISNUMBER(E183),E183,0)+F183,F183)*(30+G183)*100+F183,0)=AA183,1,0))))))</f>
        <v>0</v>
      </c>
      <c r="AC183" s="69" t="str">
        <f>IF(X183&gt;0,"A"&amp;X183,IF(Z183&gt;0,"B"&amp;Z183,IF(AB183&gt;0,"C"&amp;AB183,"")))</f>
        <v/>
      </c>
    </row>
    <row r="184" spans="1:29" ht="20.100000000000001" customHeight="1">
      <c r="A184" s="14" t="s">
        <v>150</v>
      </c>
      <c r="B184" s="15" t="s">
        <v>151</v>
      </c>
      <c r="C184" s="16" t="str">
        <f>IFERROR(INDEX(EJERCICIOS!$D$3:$D$75,MATCH(A184&amp;"|"&amp;B184,EJERCICIOS!$G$3:$G$75,0)),"--")</f>
        <v>peso_corporal</v>
      </c>
      <c r="D184" s="17">
        <v>3</v>
      </c>
      <c r="E184" s="18">
        <f>IFERROR(LOOKUP(2,1/(MEDIDAS_Y_PESO!$B$3:$B$10&lt;&gt;""),MEDIDAS_Y_PESO!$B$3:$B$10),"--")</f>
        <v>80</v>
      </c>
      <c r="F184" s="19"/>
      <c r="G184" s="20"/>
      <c r="H184" s="21"/>
      <c r="I184" s="19"/>
      <c r="J184" s="20"/>
      <c r="K184" s="21"/>
      <c r="L184" s="19"/>
      <c r="M184" s="20"/>
      <c r="N184" s="21"/>
      <c r="O184" s="19"/>
      <c r="P184" s="20"/>
      <c r="Q184" s="21"/>
      <c r="R184" s="19"/>
      <c r="S184" s="20"/>
      <c r="T184" s="21"/>
      <c r="U184" s="22" t="str">
        <f>IFERROR(IF(IF(X184&gt;0,X184,IF(Z184&gt;0,Z184,IF(AB184&gt;0,AB184,0)))=0,"--",ROUND(CHOOSE(IF(X184&gt;0,X184,IF(Z184&gt;0,Z184,IF(AB184&gt;0,AB184,0))),IF(C184="peso_corporal",IF(ISNUMBER(E184),E184,0)+F184,F184)*(1+G184/30),IF(C184="peso_corporal",IF(ISNUMBER(E184),E184,0)+I184,I184)*(1+J184/30),IF(C184="peso_corporal",IF(ISNUMBER(E184),E184,0)+L184,L184)*(1+M184/30),IF(C184="peso_corporal",IF(ISNUMBER(E184),E184,0)+O184,O184)*(1+P184/30),IF(C184="peso_corporal",IF(ISNUMBER(E184),E184,0)+R184,R184)*(1+S184/30)),1)),"--")</f>
        <v>--</v>
      </c>
      <c r="V184" s="23" t="str">
        <f>IF(SUGERENCIAS!N481="SIN","Sin datos anteriores",IF(SUGERENCIAS!N481="SUBIR_F","^ SUBIR FUERTE | Kg:"&amp;ROUND(SUGERENCIAS!K481,1)&amp;" R:"&amp;ROUND(SUGERENCIAS!L481,0)&amp;" RIR:"&amp;ROUND(SUGERENCIAS!M481,0),IF(SUGERENCIAS!N481="SUBIR_E","^ SUBIR (Est.) | Kg:"&amp;ROUND(SUGERENCIAS!K481,1)&amp;" R:"&amp;ROUND(SUGERENCIAS!L481,0)&amp;" RIR:"&amp;ROUND(SUGERENCIAS!M481,0),IF(SUGERENCIAS!N481="SUBIR","^ SUBIR | Kg:"&amp;ROUND(SUGERENCIAS!K481,1)&amp;" R:"&amp;ROUND(SUGERENCIAS!L481,0)&amp;" RIR:"&amp;ROUND(SUGERENCIAS!M481,0),IF(SUGERENCIAS!N481="BAJAR","v BAJAR | Kg:"&amp;ROUND(SUGERENCIAS!K481,1)&amp;" R:"&amp;ROUND(SUGERENCIAS!L481,0)&amp;" RIR:"&amp;ROUND(SUGERENCIAS!M481,0),"= MANT | Kg:"&amp;ROUND(SUGERENCIAS!K481,1)&amp;" R:"&amp;ROUND(SUGERENCIAS!L481,0)&amp;" RIR:"&amp;ROUND(SUGERENCIAS!M481,0))))))</f>
        <v>Sin datos anteriores</v>
      </c>
      <c r="W184" s="69">
        <f>MAX(IF((G184&gt;0)*(IF(H184="",-1,H184)&gt;=1)*(IF(H184="",-1,H184)&lt;=3),IF(C184="peso_corporal",IF(ISNUMBER(E184),E184,0)+F184,F184)*G184*1000+F184,0),IF((J184&gt;0)*(IF(K184="",-1,K184)&gt;=1)*(IF(K184="",-1,K184)&lt;=3),IF(C184="peso_corporal",IF(ISNUMBER(E184),E184,0)+I184,I184)*J184*1000+I184,0),IF((M184&gt;0)*(IF(N184="",-1,N184)&gt;=1)*(IF(N184="",-1,N184)&lt;=3),IF(C184="peso_corporal",IF(ISNUMBER(E184),E184,0)+L184,L184)*M184*1000+L184,0),IF((P184&gt;0)*(IF(Q184="",-1,Q184)&gt;=1)*(IF(Q184="",-1,Q184)&lt;=3),IF(C184="peso_corporal",IF(ISNUMBER(E184),E184,0)+O184,O184)*P184*1000+O184,0),IF((S184&gt;0)*(IF(T184="",-1,T184)&gt;=1)*(IF(T184="",-1,T184)&lt;=3),IF(C184="peso_corporal",IF(ISNUMBER(E184),E184,0)+R184,R184)*S184*1000+R184,0))</f>
        <v>0</v>
      </c>
      <c r="X184" s="69">
        <f>IF(W184=0,0,IF(IF((S184&gt;0)*(IF(T184="",-1,T184)&gt;=1)*(IF(T184="",-1,T184)&lt;=3),IF(C184="peso_corporal",IF(ISNUMBER(E184),E184,0)+R184,R184)*S184*1000+R184,0)=W184,5,IF(IF((P184&gt;0)*(IF(Q184="",-1,Q184)&gt;=1)*(IF(Q184="",-1,Q184)&lt;=3),IF(C184="peso_corporal",IF(ISNUMBER(E184),E184,0)+O184,O184)*P184*1000+O184,0)=W184,4,IF(IF((M184&gt;0)*(IF(N184="",-1,N184)&gt;=1)*(IF(N184="",-1,N184)&lt;=3),IF(C184="peso_corporal",IF(ISNUMBER(E184),E184,0)+L184,L184)*M184*1000+L184,0)=W184,3,IF(IF((J184&gt;0)*(IF(K184="",-1,K184)&gt;=1)*(IF(K184="",-1,K184)&lt;=3),IF(C184="peso_corporal",IF(ISNUMBER(E184),E184,0)+I184,I184)*J184*1000+I184,0)=W184,2,IF(IF((G184&gt;0)*(IF(H184="",-1,H184)&gt;=1)*(IF(H184="",-1,H184)&lt;=3),IF(C184="peso_corporal",IF(ISNUMBER(E184),E184,0)+F184,F184)*G184*1000+F184,0)=W184,1,0))))))</f>
        <v>0</v>
      </c>
      <c r="Y184" s="69">
        <f>MAX(IF((G184&gt;0)*(IF(H184="",-1,H184)=0)*(1-(IF(H184="",-1,H184)&gt;=1)*(IF(H184="",-1,H184)&lt;=3)),IF(C184="peso_corporal",IF(ISNUMBER(E184),E184,0)+F184,F184)*G184*1000+F184,0),IF((J184&gt;0)*(IF(K184="",-1,K184)=0)*(1-(IF(K184="",-1,K184)&gt;=1)*(IF(K184="",-1,K184)&lt;=3)),IF(C184="peso_corporal",IF(ISNUMBER(E184),E184,0)+I184,I184)*J184*1000+I184,0),IF((M184&gt;0)*(IF(N184="",-1,N184)=0)*(1-(IF(N184="",-1,N184)&gt;=1)*(IF(N184="",-1,N184)&lt;=3)),IF(C184="peso_corporal",IF(ISNUMBER(E184),E184,0)+L184,L184)*M184*1000+L184,0),IF((P184&gt;0)*(IF(Q184="",-1,Q184)=0)*(1-(IF(Q184="",-1,Q184)&gt;=1)*(IF(Q184="",-1,Q184)&lt;=3)),IF(C184="peso_corporal",IF(ISNUMBER(E184),E184,0)+O184,O184)*P184*1000+O184,0),IF((S184&gt;0)*(IF(T184="",-1,T184)=0)*(1-(IF(T184="",-1,T184)&gt;=1)*(IF(T184="",-1,T184)&lt;=3)),IF(C184="peso_corporal",IF(ISNUMBER(E184),E184,0)+R184,R184)*S184*1000+R184,0))</f>
        <v>0</v>
      </c>
      <c r="Z184" s="69">
        <f>IF(Y184=0,0,IF(IF((S184&gt;0)*(IF(T184="",-1,T184)=0)*(1-(IF(T184="",-1,T184)&gt;=1)*(IF(T184="",-1,T184)&lt;=3)),IF(C184="peso_corporal",IF(ISNUMBER(E184),E184,0)+R184,R184)*S184*1000+R184,0)=Y184,5,IF(IF((P184&gt;0)*(IF(Q184="",-1,Q184)=0)*(1-(IF(Q184="",-1,Q184)&gt;=1)*(IF(Q184="",-1,Q184)&lt;=3)),IF(C184="peso_corporal",IF(ISNUMBER(E184),E184,0)+O184,O184)*P184*1000+O184,0)=Y184,4,IF(IF((M184&gt;0)*(IF(N184="",-1,N184)=0)*(1-(IF(N184="",-1,N184)&gt;=1)*(IF(N184="",-1,N184)&lt;=3)),IF(C184="peso_corporal",IF(ISNUMBER(E184),E184,0)+L184,L184)*M184*1000+L184,0)=Y184,3,IF(IF((J184&gt;0)*(IF(K184="",-1,K184)=0)*(1-(IF(K184="",-1,K184)&gt;=1)*(IF(K184="",-1,K184)&lt;=3)),IF(C184="peso_corporal",IF(ISNUMBER(E184),E184,0)+I184,I184)*J184*1000+I184,0)=Y184,2,IF(IF((G184&gt;0)*(IF(H184="",-1,H184)=0)*(1-(IF(H184="",-1,H184)&gt;=1)*(IF(H184="",-1,H184)&lt;=3)),IF(C184="peso_corporal",IF(ISNUMBER(E184),E184,0)+F184,F184)*G184*1000+F184,0)=Y184,1,0))))))</f>
        <v>0</v>
      </c>
      <c r="AA184" s="69">
        <f>MAX(IF((G184&gt;=6)*(1-(IF(H184="",-1,H184)&gt;=1)*(IF(H184="",-1,H184)&lt;=3))*(1-(IF(H184="",-1,H184)=0)),IF(C184="peso_corporal",IF(ISNUMBER(E184),E184,0)+F184,F184)*(30+G184)*100+F184,0),IF((J184&gt;=6)*(1-(IF(K184="",-1,K184)&gt;=1)*(IF(K184="",-1,K184)&lt;=3))*(1-(IF(K184="",-1,K184)=0)),IF(C184="peso_corporal",IF(ISNUMBER(E184),E184,0)+I184,I184)*(30+J184)*100+I184,0),IF((M184&gt;=6)*(1-(IF(N184="",-1,N184)&gt;=1)*(IF(N184="",-1,N184)&lt;=3))*(1-(IF(N184="",-1,N184)=0)),IF(C184="peso_corporal",IF(ISNUMBER(E184),E184,0)+L184,L184)*(30+M184)*100+L184,0),IF((P184&gt;=6)*(1-(IF(Q184="",-1,Q184)&gt;=1)*(IF(Q184="",-1,Q184)&lt;=3))*(1-(IF(Q184="",-1,Q184)=0)),IF(C184="peso_corporal",IF(ISNUMBER(E184),E184,0)+O184,O184)*(30+P184)*100+O184,0),IF((S184&gt;=6)*(1-(IF(T184="",-1,T184)&gt;=1)*(IF(T184="",-1,T184)&lt;=3))*(1-(IF(T184="",-1,T184)=0)),IF(C184="peso_corporal",IF(ISNUMBER(E184),E184,0)+R184,R184)*(30+S184)*100+R184,0))</f>
        <v>0</v>
      </c>
      <c r="AB184" s="69">
        <f>IF(AA184=0,0,IF(IF((S184&gt;=6)*(1-(IF(T184="",-1,T184)&gt;=1)*(IF(T184="",-1,T184)&lt;=3))*(1-(IF(T184="",-1,T184)=0)),IF(C184="peso_corporal",IF(ISNUMBER(E184),E184,0)+R184,R184)*(30+S184)*100+R184,0)=AA184,5,IF(IF((P184&gt;=6)*(1-(IF(Q184="",-1,Q184)&gt;=1)*(IF(Q184="",-1,Q184)&lt;=3))*(1-(IF(Q184="",-1,Q184)=0)),IF(C184="peso_corporal",IF(ISNUMBER(E184),E184,0)+O184,O184)*(30+P184)*100+O184,0)=AA184,4,IF(IF((M184&gt;=6)*(1-(IF(N184="",-1,N184)&gt;=1)*(IF(N184="",-1,N184)&lt;=3))*(1-(IF(N184="",-1,N184)=0)),IF(C184="peso_corporal",IF(ISNUMBER(E184),E184,0)+L184,L184)*(30+M184)*100+L184,0)=AA184,3,IF(IF((J184&gt;=6)*(1-(IF(K184="",-1,K184)&gt;=1)*(IF(K184="",-1,K184)&lt;=3))*(1-(IF(K184="",-1,K184)=0)),IF(C184="peso_corporal",IF(ISNUMBER(E184),E184,0)+I184,I184)*(30+J184)*100+I184,0)=AA184,2,IF(IF((G184&gt;=6)*(1-(IF(H184="",-1,H184)&gt;=1)*(IF(H184="",-1,H184)&lt;=3))*(1-(IF(H184="",-1,H184)=0)),IF(C184="peso_corporal",IF(ISNUMBER(E184),E184,0)+F184,F184)*(30+G184)*100+F184,0)=AA184,1,0))))))</f>
        <v>0</v>
      </c>
      <c r="AC184" s="69" t="str">
        <f>IF(X184&gt;0,"A"&amp;X184,IF(Z184&gt;0,"B"&amp;Z184,IF(AB184&gt;0,"C"&amp;AB184,"")))</f>
        <v/>
      </c>
    </row>
    <row r="185" spans="1:29" ht="6"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69"/>
      <c r="X185" s="69"/>
      <c r="Y185" s="69"/>
      <c r="Z185" s="69"/>
      <c r="AA185" s="69"/>
      <c r="AB185" s="69"/>
      <c r="AC185" s="69"/>
    </row>
    <row r="186" spans="1:29" ht="18" customHeight="1">
      <c r="A186" s="85" t="s">
        <v>74</v>
      </c>
      <c r="B186" s="73"/>
      <c r="C186" s="73"/>
      <c r="D186" s="73"/>
      <c r="E186" s="73"/>
      <c r="F186" s="73"/>
      <c r="G186" s="73"/>
      <c r="H186" s="73"/>
      <c r="I186" s="73"/>
      <c r="J186" s="73"/>
      <c r="K186" s="73"/>
      <c r="L186" s="73"/>
      <c r="M186" s="73"/>
      <c r="N186" s="73"/>
      <c r="O186" s="73"/>
      <c r="P186" s="73"/>
      <c r="Q186" s="73"/>
      <c r="R186" s="73"/>
      <c r="S186" s="73"/>
      <c r="T186" s="73"/>
      <c r="U186" s="73"/>
      <c r="V186" s="73"/>
      <c r="W186" s="69"/>
      <c r="X186" s="69"/>
      <c r="Y186" s="69"/>
      <c r="Z186" s="69"/>
      <c r="AA186" s="69"/>
      <c r="AB186" s="69"/>
      <c r="AC186" s="69"/>
    </row>
    <row r="187" spans="1:29" ht="15" customHeight="1">
      <c r="A187" s="88" t="s">
        <v>129</v>
      </c>
      <c r="B187" s="73"/>
      <c r="C187" s="73"/>
      <c r="D187" s="73"/>
      <c r="E187" s="73"/>
      <c r="F187" s="73"/>
      <c r="G187" s="73"/>
      <c r="H187" s="73"/>
      <c r="I187" s="73"/>
      <c r="J187" s="73"/>
      <c r="K187" s="73"/>
      <c r="L187" s="73"/>
      <c r="M187" s="73"/>
      <c r="N187" s="73"/>
      <c r="O187" s="73"/>
      <c r="P187" s="73"/>
      <c r="Q187" s="73"/>
      <c r="R187" s="73"/>
      <c r="S187" s="73"/>
      <c r="T187" s="73"/>
      <c r="U187" s="73"/>
      <c r="V187" s="73"/>
      <c r="W187" s="69"/>
      <c r="X187" s="69"/>
      <c r="Y187" s="69"/>
      <c r="Z187" s="69"/>
      <c r="AA187" s="69"/>
      <c r="AB187" s="69"/>
      <c r="AC187" s="69"/>
    </row>
    <row r="188" spans="1:29" ht="20.100000000000001" customHeight="1">
      <c r="A188" s="14" t="s">
        <v>130</v>
      </c>
      <c r="B188" s="15" t="s">
        <v>131</v>
      </c>
      <c r="C188" s="16" t="str">
        <f>IFERROR(INDEX(EJERCICIOS!$D$3:$D$75,MATCH(A188&amp;"|"&amp;B188,EJERCICIOS!$G$3:$G$75,0)),"--")</f>
        <v>polea</v>
      </c>
      <c r="D188" s="17">
        <v>3</v>
      </c>
      <c r="E188" s="18">
        <f>IFERROR(LOOKUP(2,1/(MEDIDAS_Y_PESO!$B$3:$B$11&lt;&gt;""),MEDIDAS_Y_PESO!$B$3:$B$11),"--")</f>
        <v>80</v>
      </c>
      <c r="F188" s="19"/>
      <c r="G188" s="20"/>
      <c r="H188" s="21"/>
      <c r="I188" s="19"/>
      <c r="J188" s="20"/>
      <c r="K188" s="21"/>
      <c r="L188" s="19"/>
      <c r="M188" s="20"/>
      <c r="N188" s="21"/>
      <c r="O188" s="19"/>
      <c r="P188" s="20"/>
      <c r="Q188" s="21"/>
      <c r="R188" s="19"/>
      <c r="S188" s="20"/>
      <c r="T188" s="21"/>
      <c r="U188" s="22" t="str">
        <f>IFERROR(IF(IF(X188&gt;0,X188,IF(Z188&gt;0,Z188,IF(AB188&gt;0,AB188,0)))=0,"--",ROUND(CHOOSE(IF(X188&gt;0,X188,IF(Z188&gt;0,Z188,IF(AB188&gt;0,AB188,0))),IF(C188="peso_corporal",IF(ISNUMBER(E188),E188,0)+F188,F188)*(1+G188/30),IF(C188="peso_corporal",IF(ISNUMBER(E188),E188,0)+I188,I188)*(1+J188/30),IF(C188="peso_corporal",IF(ISNUMBER(E188),E188,0)+L188,L188)*(1+M188/30),IF(C188="peso_corporal",IF(ISNUMBER(E188),E188,0)+O188,O188)*(1+P188/30),IF(C188="peso_corporal",IF(ISNUMBER(E188),E188,0)+R188,R188)*(1+S188/30)),1)),"--")</f>
        <v>--</v>
      </c>
      <c r="V188" s="23" t="str">
        <f>IF(SUGERENCIAS!N530="SIN","Sin datos anteriores",IF(SUGERENCIAS!N530="SUBIR_F","^ SUBIR FUERTE | Kg:"&amp;ROUND(SUGERENCIAS!K530,1)&amp;" R:"&amp;ROUND(SUGERENCIAS!L530,0)&amp;" RIR:"&amp;ROUND(SUGERENCIAS!M530,0),IF(SUGERENCIAS!N530="SUBIR_E","^ SUBIR (Est.) | Kg:"&amp;ROUND(SUGERENCIAS!K530,1)&amp;" R:"&amp;ROUND(SUGERENCIAS!L530,0)&amp;" RIR:"&amp;ROUND(SUGERENCIAS!M530,0),IF(SUGERENCIAS!N530="SUBIR","^ SUBIR | Kg:"&amp;ROUND(SUGERENCIAS!K530,1)&amp;" R:"&amp;ROUND(SUGERENCIAS!L530,0)&amp;" RIR:"&amp;ROUND(SUGERENCIAS!M530,0),IF(SUGERENCIAS!N530="BAJAR","v BAJAR | Kg:"&amp;ROUND(SUGERENCIAS!K530,1)&amp;" R:"&amp;ROUND(SUGERENCIAS!L530,0)&amp;" RIR:"&amp;ROUND(SUGERENCIAS!M530,0),"= MANT | Kg:"&amp;ROUND(SUGERENCIAS!K530,1)&amp;" R:"&amp;ROUND(SUGERENCIAS!L530,0)&amp;" RIR:"&amp;ROUND(SUGERENCIAS!M530,0))))))</f>
        <v>Sin datos anteriores</v>
      </c>
      <c r="W188" s="69">
        <f>MAX(IF((G188&gt;0)*(IF(H188="",-1,H188)&gt;=0)*(IF(H188="",-1,H188)&lt;=1),IF(C188="peso_corporal",IF(ISNUMBER(E188),E188,0)+F188,F188)*G188*1000+F188,0),IF((J188&gt;0)*(IF(K188="",-1,K188)&gt;=0)*(IF(K188="",-1,K188)&lt;=1),IF(C188="peso_corporal",IF(ISNUMBER(E188),E188,0)+I188,I188)*J188*1000+I188,0),IF((M188&gt;0)*(IF(N188="",-1,N188)&gt;=0)*(IF(N188="",-1,N188)&lt;=1),IF(C188="peso_corporal",IF(ISNUMBER(E188),E188,0)+L188,L188)*M188*1000+L188,0),IF((P188&gt;0)*(IF(Q188="",-1,Q188)&gt;=0)*(IF(Q188="",-1,Q188)&lt;=1),IF(C188="peso_corporal",IF(ISNUMBER(E188),E188,0)+O188,O188)*P188*1000+O188,0),IF((S188&gt;0)*(IF(T188="",-1,T188)&gt;=0)*(IF(T188="",-1,T188)&lt;=1),IF(C188="peso_corporal",IF(ISNUMBER(E188),E188,0)+R188,R188)*S188*1000+R188,0))</f>
        <v>0</v>
      </c>
      <c r="X188" s="69">
        <f>IF(W188=0,0,IF(IF((S188&gt;0)*(IF(T188="",-1,T188)&gt;=0)*(IF(T188="",-1,T188)&lt;=1),IF(C188="peso_corporal",IF(ISNUMBER(E188),E188,0)+R188,R188)*S188*1000+R188,0)=W188,5,IF(IF((P188&gt;0)*(IF(Q188="",-1,Q188)&gt;=0)*(IF(Q188="",-1,Q188)&lt;=1),IF(C188="peso_corporal",IF(ISNUMBER(E188),E188,0)+O188,O188)*P188*1000+O188,0)=W188,4,IF(IF((M188&gt;0)*(IF(N188="",-1,N188)&gt;=0)*(IF(N188="",-1,N188)&lt;=1),IF(C188="peso_corporal",IF(ISNUMBER(E188),E188,0)+L188,L188)*M188*1000+L188,0)=W188,3,IF(IF((J188&gt;0)*(IF(K188="",-1,K188)&gt;=0)*(IF(K188="",-1,K188)&lt;=1),IF(C188="peso_corporal",IF(ISNUMBER(E188),E188,0)+I188,I188)*J188*1000+I188,0)=W188,2,IF(IF((G188&gt;0)*(IF(H188="",-1,H188)&gt;=0)*(IF(H188="",-1,H188)&lt;=1),IF(C188="peso_corporal",IF(ISNUMBER(E188),E188,0)+F188,F188)*G188*1000+F188,0)=W188,1,0))))))</f>
        <v>0</v>
      </c>
      <c r="Y188" s="69">
        <f>MAX(IF((G188&gt;0)*(IF(H188="",-1,H188)=0)*(1-(IF(H188="",-1,H188)&gt;=0)*(IF(H188="",-1,H188)&lt;=1)),IF(C188="peso_corporal",IF(ISNUMBER(E188),E188,0)+F188,F188)*G188*1000+F188,0),IF((J188&gt;0)*(IF(K188="",-1,K188)=0)*(1-(IF(K188="",-1,K188)&gt;=0)*(IF(K188="",-1,K188)&lt;=1)),IF(C188="peso_corporal",IF(ISNUMBER(E188),E188,0)+I188,I188)*J188*1000+I188,0),IF((M188&gt;0)*(IF(N188="",-1,N188)=0)*(1-(IF(N188="",-1,N188)&gt;=0)*(IF(N188="",-1,N188)&lt;=1)),IF(C188="peso_corporal",IF(ISNUMBER(E188),E188,0)+L188,L188)*M188*1000+L188,0),IF((P188&gt;0)*(IF(Q188="",-1,Q188)=0)*(1-(IF(Q188="",-1,Q188)&gt;=0)*(IF(Q188="",-1,Q188)&lt;=1)),IF(C188="peso_corporal",IF(ISNUMBER(E188),E188,0)+O188,O188)*P188*1000+O188,0),IF((S188&gt;0)*(IF(T188="",-1,T188)=0)*(1-(IF(T188="",-1,T188)&gt;=0)*(IF(T188="",-1,T188)&lt;=1)),IF(C188="peso_corporal",IF(ISNUMBER(E188),E188,0)+R188,R188)*S188*1000+R188,0))</f>
        <v>0</v>
      </c>
      <c r="Z188" s="69">
        <f>IF(Y188=0,0,IF(IF((S188&gt;0)*(IF(T188="",-1,T188)=0)*(1-(IF(T188="",-1,T188)&gt;=0)*(IF(T188="",-1,T188)&lt;=1)),IF(C188="peso_corporal",IF(ISNUMBER(E188),E188,0)+R188,R188)*S188*1000+R188,0)=Y188,5,IF(IF((P188&gt;0)*(IF(Q188="",-1,Q188)=0)*(1-(IF(Q188="",-1,Q188)&gt;=0)*(IF(Q188="",-1,Q188)&lt;=1)),IF(C188="peso_corporal",IF(ISNUMBER(E188),E188,0)+O188,O188)*P188*1000+O188,0)=Y188,4,IF(IF((M188&gt;0)*(IF(N188="",-1,N188)=0)*(1-(IF(N188="",-1,N188)&gt;=0)*(IF(N188="",-1,N188)&lt;=1)),IF(C188="peso_corporal",IF(ISNUMBER(E188),E188,0)+L188,L188)*M188*1000+L188,0)=Y188,3,IF(IF((J188&gt;0)*(IF(K188="",-1,K188)=0)*(1-(IF(K188="",-1,K188)&gt;=0)*(IF(K188="",-1,K188)&lt;=1)),IF(C188="peso_corporal",IF(ISNUMBER(E188),E188,0)+I188,I188)*J188*1000+I188,0)=Y188,2,IF(IF((G188&gt;0)*(IF(H188="",-1,H188)=0)*(1-(IF(H188="",-1,H188)&gt;=0)*(IF(H188="",-1,H188)&lt;=1)),IF(C188="peso_corporal",IF(ISNUMBER(E188),E188,0)+F188,F188)*G188*1000+F188,0)=Y188,1,0))))))</f>
        <v>0</v>
      </c>
      <c r="AA188" s="69">
        <f>MAX(IF((G188&gt;=3)*(1-(IF(H188="",-1,H188)&gt;=0)*(IF(H188="",-1,H188)&lt;=1))*(1-(IF(H188="",-1,H188)=0)),IF(C188="peso_corporal",IF(ISNUMBER(E188),E188,0)+F188,F188)*(30+G188)*100+F188,0),IF((J188&gt;=3)*(1-(IF(K188="",-1,K188)&gt;=0)*(IF(K188="",-1,K188)&lt;=1))*(1-(IF(K188="",-1,K188)=0)),IF(C188="peso_corporal",IF(ISNUMBER(E188),E188,0)+I188,I188)*(30+J188)*100+I188,0),IF((M188&gt;=3)*(1-(IF(N188="",-1,N188)&gt;=0)*(IF(N188="",-1,N188)&lt;=1))*(1-(IF(N188="",-1,N188)=0)),IF(C188="peso_corporal",IF(ISNUMBER(E188),E188,0)+L188,L188)*(30+M188)*100+L188,0),IF((P188&gt;=3)*(1-(IF(Q188="",-1,Q188)&gt;=0)*(IF(Q188="",-1,Q188)&lt;=1))*(1-(IF(Q188="",-1,Q188)=0)),IF(C188="peso_corporal",IF(ISNUMBER(E188),E188,0)+O188,O188)*(30+P188)*100+O188,0),IF((S188&gt;=3)*(1-(IF(T188="",-1,T188)&gt;=0)*(IF(T188="",-1,T188)&lt;=1))*(1-(IF(T188="",-1,T188)=0)),IF(C188="peso_corporal",IF(ISNUMBER(E188),E188,0)+R188,R188)*(30+S188)*100+R188,0))</f>
        <v>0</v>
      </c>
      <c r="AB188" s="69">
        <f>IF(AA188=0,0,IF(IF((S188&gt;=3)*(1-(IF(T188="",-1,T188)&gt;=0)*(IF(T188="",-1,T188)&lt;=1))*(1-(IF(T188="",-1,T188)=0)),IF(C188="peso_corporal",IF(ISNUMBER(E188),E188,0)+R188,R188)*(30+S188)*100+R188,0)=AA188,5,IF(IF((P188&gt;=3)*(1-(IF(Q188="",-1,Q188)&gt;=0)*(IF(Q188="",-1,Q188)&lt;=1))*(1-(IF(Q188="",-1,Q188)=0)),IF(C188="peso_corporal",IF(ISNUMBER(E188),E188,0)+O188,O188)*(30+P188)*100+O188,0)=AA188,4,IF(IF((M188&gt;=3)*(1-(IF(N188="",-1,N188)&gt;=0)*(IF(N188="",-1,N188)&lt;=1))*(1-(IF(N188="",-1,N188)=0)),IF(C188="peso_corporal",IF(ISNUMBER(E188),E188,0)+L188,L188)*(30+M188)*100+L188,0)=AA188,3,IF(IF((J188&gt;=3)*(1-(IF(K188="",-1,K188)&gt;=0)*(IF(K188="",-1,K188)&lt;=1))*(1-(IF(K188="",-1,K188)=0)),IF(C188="peso_corporal",IF(ISNUMBER(E188),E188,0)+I188,I188)*(30+J188)*100+I188,0)=AA188,2,IF(IF((G188&gt;=3)*(1-(IF(H188="",-1,H188)&gt;=0)*(IF(H188="",-1,H188)&lt;=1))*(1-(IF(H188="",-1,H188)=0)),IF(C188="peso_corporal",IF(ISNUMBER(E188),E188,0)+F188,F188)*(30+G188)*100+F188,0)=AA188,1,0))))))</f>
        <v>0</v>
      </c>
      <c r="AC188" s="69" t="str">
        <f>IF(X188&gt;0,"A"&amp;X188,IF(Z188&gt;0,"B"&amp;Z188,IF(AB188&gt;0,"C"&amp;AB188,"")))</f>
        <v/>
      </c>
    </row>
    <row r="189" spans="1:29" ht="20.100000000000001" customHeight="1">
      <c r="A189" s="14" t="s">
        <v>130</v>
      </c>
      <c r="B189" s="15" t="s">
        <v>132</v>
      </c>
      <c r="C189" s="16" t="str">
        <f>IFERROR(INDEX(EJERCICIOS!$D$3:$D$75,MATCH(A189&amp;"|"&amp;B189,EJERCICIOS!$G$3:$G$75,0)),"--")</f>
        <v>polea</v>
      </c>
      <c r="D189" s="17">
        <v>3</v>
      </c>
      <c r="E189" s="18">
        <f>IFERROR(LOOKUP(2,1/(MEDIDAS_Y_PESO!$B$3:$B$11&lt;&gt;""),MEDIDAS_Y_PESO!$B$3:$B$11),"--")</f>
        <v>80</v>
      </c>
      <c r="F189" s="19"/>
      <c r="G189" s="20"/>
      <c r="H189" s="21"/>
      <c r="I189" s="19"/>
      <c r="J189" s="20"/>
      <c r="K189" s="21"/>
      <c r="L189" s="19"/>
      <c r="M189" s="20"/>
      <c r="N189" s="21"/>
      <c r="O189" s="19"/>
      <c r="P189" s="20"/>
      <c r="Q189" s="21"/>
      <c r="R189" s="19"/>
      <c r="S189" s="20"/>
      <c r="T189" s="21"/>
      <c r="U189" s="22" t="str">
        <f>IFERROR(IF(IF(X189&gt;0,X189,IF(Z189&gt;0,Z189,IF(AB189&gt;0,AB189,0)))=0,"--",ROUND(CHOOSE(IF(X189&gt;0,X189,IF(Z189&gt;0,Z189,IF(AB189&gt;0,AB189,0))),IF(C189="peso_corporal",IF(ISNUMBER(E189),E189,0)+F189,F189)*(1+G189/30),IF(C189="peso_corporal",IF(ISNUMBER(E189),E189,0)+I189,I189)*(1+J189/30),IF(C189="peso_corporal",IF(ISNUMBER(E189),E189,0)+L189,L189)*(1+M189/30),IF(C189="peso_corporal",IF(ISNUMBER(E189),E189,0)+O189,O189)*(1+P189/30),IF(C189="peso_corporal",IF(ISNUMBER(E189),E189,0)+R189,R189)*(1+S189/30)),1)),"--")</f>
        <v>--</v>
      </c>
      <c r="V189" s="23" t="str">
        <f>IF(SUGERENCIAS!N531="SIN","Sin datos anteriores",IF(SUGERENCIAS!N531="SUBIR_F","^ SUBIR FUERTE | Kg:"&amp;ROUND(SUGERENCIAS!K531,1)&amp;" R:"&amp;ROUND(SUGERENCIAS!L531,0)&amp;" RIR:"&amp;ROUND(SUGERENCIAS!M531,0),IF(SUGERENCIAS!N531="SUBIR_E","^ SUBIR (Est.) | Kg:"&amp;ROUND(SUGERENCIAS!K531,1)&amp;" R:"&amp;ROUND(SUGERENCIAS!L531,0)&amp;" RIR:"&amp;ROUND(SUGERENCIAS!M531,0),IF(SUGERENCIAS!N531="SUBIR","^ SUBIR | Kg:"&amp;ROUND(SUGERENCIAS!K531,1)&amp;" R:"&amp;ROUND(SUGERENCIAS!L531,0)&amp;" RIR:"&amp;ROUND(SUGERENCIAS!M531,0),IF(SUGERENCIAS!N531="BAJAR","v BAJAR | Kg:"&amp;ROUND(SUGERENCIAS!K531,1)&amp;" R:"&amp;ROUND(SUGERENCIAS!L531,0)&amp;" RIR:"&amp;ROUND(SUGERENCIAS!M531,0),"= MANT | Kg:"&amp;ROUND(SUGERENCIAS!K531,1)&amp;" R:"&amp;ROUND(SUGERENCIAS!L531,0)&amp;" RIR:"&amp;ROUND(SUGERENCIAS!M531,0))))))</f>
        <v>Sin datos anteriores</v>
      </c>
      <c r="W189" s="69">
        <f>MAX(IF((G189&gt;0)*(IF(H189="",-1,H189)&gt;=0)*(IF(H189="",-1,H189)&lt;=1),IF(C189="peso_corporal",IF(ISNUMBER(E189),E189,0)+F189,F189)*G189*1000+F189,0),IF((J189&gt;0)*(IF(K189="",-1,K189)&gt;=0)*(IF(K189="",-1,K189)&lt;=1),IF(C189="peso_corporal",IF(ISNUMBER(E189),E189,0)+I189,I189)*J189*1000+I189,0),IF((M189&gt;0)*(IF(N189="",-1,N189)&gt;=0)*(IF(N189="",-1,N189)&lt;=1),IF(C189="peso_corporal",IF(ISNUMBER(E189),E189,0)+L189,L189)*M189*1000+L189,0),IF((P189&gt;0)*(IF(Q189="",-1,Q189)&gt;=0)*(IF(Q189="",-1,Q189)&lt;=1),IF(C189="peso_corporal",IF(ISNUMBER(E189),E189,0)+O189,O189)*P189*1000+O189,0),IF((S189&gt;0)*(IF(T189="",-1,T189)&gt;=0)*(IF(T189="",-1,T189)&lt;=1),IF(C189="peso_corporal",IF(ISNUMBER(E189),E189,0)+R189,R189)*S189*1000+R189,0))</f>
        <v>0</v>
      </c>
      <c r="X189" s="69">
        <f>IF(W189=0,0,IF(IF((S189&gt;0)*(IF(T189="",-1,T189)&gt;=0)*(IF(T189="",-1,T189)&lt;=1),IF(C189="peso_corporal",IF(ISNUMBER(E189),E189,0)+R189,R189)*S189*1000+R189,0)=W189,5,IF(IF((P189&gt;0)*(IF(Q189="",-1,Q189)&gt;=0)*(IF(Q189="",-1,Q189)&lt;=1),IF(C189="peso_corporal",IF(ISNUMBER(E189),E189,0)+O189,O189)*P189*1000+O189,0)=W189,4,IF(IF((M189&gt;0)*(IF(N189="",-1,N189)&gt;=0)*(IF(N189="",-1,N189)&lt;=1),IF(C189="peso_corporal",IF(ISNUMBER(E189),E189,0)+L189,L189)*M189*1000+L189,0)=W189,3,IF(IF((J189&gt;0)*(IF(K189="",-1,K189)&gt;=0)*(IF(K189="",-1,K189)&lt;=1),IF(C189="peso_corporal",IF(ISNUMBER(E189),E189,0)+I189,I189)*J189*1000+I189,0)=W189,2,IF(IF((G189&gt;0)*(IF(H189="",-1,H189)&gt;=0)*(IF(H189="",-1,H189)&lt;=1),IF(C189="peso_corporal",IF(ISNUMBER(E189),E189,0)+F189,F189)*G189*1000+F189,0)=W189,1,0))))))</f>
        <v>0</v>
      </c>
      <c r="Y189" s="69">
        <f>MAX(IF((G189&gt;0)*(IF(H189="",-1,H189)=0)*(1-(IF(H189="",-1,H189)&gt;=0)*(IF(H189="",-1,H189)&lt;=1)),IF(C189="peso_corporal",IF(ISNUMBER(E189),E189,0)+F189,F189)*G189*1000+F189,0),IF((J189&gt;0)*(IF(K189="",-1,K189)=0)*(1-(IF(K189="",-1,K189)&gt;=0)*(IF(K189="",-1,K189)&lt;=1)),IF(C189="peso_corporal",IF(ISNUMBER(E189),E189,0)+I189,I189)*J189*1000+I189,0),IF((M189&gt;0)*(IF(N189="",-1,N189)=0)*(1-(IF(N189="",-1,N189)&gt;=0)*(IF(N189="",-1,N189)&lt;=1)),IF(C189="peso_corporal",IF(ISNUMBER(E189),E189,0)+L189,L189)*M189*1000+L189,0),IF((P189&gt;0)*(IF(Q189="",-1,Q189)=0)*(1-(IF(Q189="",-1,Q189)&gt;=0)*(IF(Q189="",-1,Q189)&lt;=1)),IF(C189="peso_corporal",IF(ISNUMBER(E189),E189,0)+O189,O189)*P189*1000+O189,0),IF((S189&gt;0)*(IF(T189="",-1,T189)=0)*(1-(IF(T189="",-1,T189)&gt;=0)*(IF(T189="",-1,T189)&lt;=1)),IF(C189="peso_corporal",IF(ISNUMBER(E189),E189,0)+R189,R189)*S189*1000+R189,0))</f>
        <v>0</v>
      </c>
      <c r="Z189" s="69">
        <f>IF(Y189=0,0,IF(IF((S189&gt;0)*(IF(T189="",-1,T189)=0)*(1-(IF(T189="",-1,T189)&gt;=0)*(IF(T189="",-1,T189)&lt;=1)),IF(C189="peso_corporal",IF(ISNUMBER(E189),E189,0)+R189,R189)*S189*1000+R189,0)=Y189,5,IF(IF((P189&gt;0)*(IF(Q189="",-1,Q189)=0)*(1-(IF(Q189="",-1,Q189)&gt;=0)*(IF(Q189="",-1,Q189)&lt;=1)),IF(C189="peso_corporal",IF(ISNUMBER(E189),E189,0)+O189,O189)*P189*1000+O189,0)=Y189,4,IF(IF((M189&gt;0)*(IF(N189="",-1,N189)=0)*(1-(IF(N189="",-1,N189)&gt;=0)*(IF(N189="",-1,N189)&lt;=1)),IF(C189="peso_corporal",IF(ISNUMBER(E189),E189,0)+L189,L189)*M189*1000+L189,0)=Y189,3,IF(IF((J189&gt;0)*(IF(K189="",-1,K189)=0)*(1-(IF(K189="",-1,K189)&gt;=0)*(IF(K189="",-1,K189)&lt;=1)),IF(C189="peso_corporal",IF(ISNUMBER(E189),E189,0)+I189,I189)*J189*1000+I189,0)=Y189,2,IF(IF((G189&gt;0)*(IF(H189="",-1,H189)=0)*(1-(IF(H189="",-1,H189)&gt;=0)*(IF(H189="",-1,H189)&lt;=1)),IF(C189="peso_corporal",IF(ISNUMBER(E189),E189,0)+F189,F189)*G189*1000+F189,0)=Y189,1,0))))))</f>
        <v>0</v>
      </c>
      <c r="AA189" s="69">
        <f>MAX(IF((G189&gt;=3)*(1-(IF(H189="",-1,H189)&gt;=0)*(IF(H189="",-1,H189)&lt;=1))*(1-(IF(H189="",-1,H189)=0)),IF(C189="peso_corporal",IF(ISNUMBER(E189),E189,0)+F189,F189)*(30+G189)*100+F189,0),IF((J189&gt;=3)*(1-(IF(K189="",-1,K189)&gt;=0)*(IF(K189="",-1,K189)&lt;=1))*(1-(IF(K189="",-1,K189)=0)),IF(C189="peso_corporal",IF(ISNUMBER(E189),E189,0)+I189,I189)*(30+J189)*100+I189,0),IF((M189&gt;=3)*(1-(IF(N189="",-1,N189)&gt;=0)*(IF(N189="",-1,N189)&lt;=1))*(1-(IF(N189="",-1,N189)=0)),IF(C189="peso_corporal",IF(ISNUMBER(E189),E189,0)+L189,L189)*(30+M189)*100+L189,0),IF((P189&gt;=3)*(1-(IF(Q189="",-1,Q189)&gt;=0)*(IF(Q189="",-1,Q189)&lt;=1))*(1-(IF(Q189="",-1,Q189)=0)),IF(C189="peso_corporal",IF(ISNUMBER(E189),E189,0)+O189,O189)*(30+P189)*100+O189,0),IF((S189&gt;=3)*(1-(IF(T189="",-1,T189)&gt;=0)*(IF(T189="",-1,T189)&lt;=1))*(1-(IF(T189="",-1,T189)=0)),IF(C189="peso_corporal",IF(ISNUMBER(E189),E189,0)+R189,R189)*(30+S189)*100+R189,0))</f>
        <v>0</v>
      </c>
      <c r="AB189" s="69">
        <f>IF(AA189=0,0,IF(IF((S189&gt;=3)*(1-(IF(T189="",-1,T189)&gt;=0)*(IF(T189="",-1,T189)&lt;=1))*(1-(IF(T189="",-1,T189)=0)),IF(C189="peso_corporal",IF(ISNUMBER(E189),E189,0)+R189,R189)*(30+S189)*100+R189,0)=AA189,5,IF(IF((P189&gt;=3)*(1-(IF(Q189="",-1,Q189)&gt;=0)*(IF(Q189="",-1,Q189)&lt;=1))*(1-(IF(Q189="",-1,Q189)=0)),IF(C189="peso_corporal",IF(ISNUMBER(E189),E189,0)+O189,O189)*(30+P189)*100+O189,0)=AA189,4,IF(IF((M189&gt;=3)*(1-(IF(N189="",-1,N189)&gt;=0)*(IF(N189="",-1,N189)&lt;=1))*(1-(IF(N189="",-1,N189)=0)),IF(C189="peso_corporal",IF(ISNUMBER(E189),E189,0)+L189,L189)*(30+M189)*100+L189,0)=AA189,3,IF(IF((J189&gt;=3)*(1-(IF(K189="",-1,K189)&gt;=0)*(IF(K189="",-1,K189)&lt;=1))*(1-(IF(K189="",-1,K189)=0)),IF(C189="peso_corporal",IF(ISNUMBER(E189),E189,0)+I189,I189)*(30+J189)*100+I189,0)=AA189,2,IF(IF((G189&gt;=3)*(1-(IF(H189="",-1,H189)&gt;=0)*(IF(H189="",-1,H189)&lt;=1))*(1-(IF(H189="",-1,H189)=0)),IF(C189="peso_corporal",IF(ISNUMBER(E189),E189,0)+F189,F189)*(30+G189)*100+F189,0)=AA189,1,0))))))</f>
        <v>0</v>
      </c>
      <c r="AC189" s="69" t="str">
        <f>IF(X189&gt;0,"A"&amp;X189,IF(Z189&gt;0,"B"&amp;Z189,IF(AB189&gt;0,"C"&amp;AB189,"")))</f>
        <v/>
      </c>
    </row>
    <row r="190" spans="1:29" ht="20.100000000000001" customHeight="1">
      <c r="A190" s="14" t="s">
        <v>133</v>
      </c>
      <c r="B190" s="15" t="s">
        <v>31</v>
      </c>
      <c r="C190" s="16" t="str">
        <f>IFERROR(INDEX(EJERCICIOS!$D$3:$D$75,MATCH(A190&amp;"|"&amp;B190,EJERCICIOS!$G$3:$G$75,0)),"--")</f>
        <v>mancuerna</v>
      </c>
      <c r="D190" s="17">
        <v>3</v>
      </c>
      <c r="E190" s="18">
        <f>IFERROR(LOOKUP(2,1/(MEDIDAS_Y_PESO!$B$3:$B$11&lt;&gt;""),MEDIDAS_Y_PESO!$B$3:$B$11),"--")</f>
        <v>80</v>
      </c>
      <c r="F190" s="19"/>
      <c r="G190" s="20"/>
      <c r="H190" s="21"/>
      <c r="I190" s="19"/>
      <c r="J190" s="20"/>
      <c r="K190" s="21"/>
      <c r="L190" s="19"/>
      <c r="M190" s="20"/>
      <c r="N190" s="21"/>
      <c r="O190" s="19"/>
      <c r="P190" s="20"/>
      <c r="Q190" s="21"/>
      <c r="R190" s="19"/>
      <c r="S190" s="20"/>
      <c r="T190" s="21"/>
      <c r="U190" s="22" t="str">
        <f>IFERROR(IF(IF(X190&gt;0,X190,IF(Z190&gt;0,Z190,IF(AB190&gt;0,AB190,0)))=0,"--",ROUND(CHOOSE(IF(X190&gt;0,X190,IF(Z190&gt;0,Z190,IF(AB190&gt;0,AB190,0))),IF(C190="peso_corporal",IF(ISNUMBER(E190),E190,0)+F190,F190)*(1+G190/30),IF(C190="peso_corporal",IF(ISNUMBER(E190),E190,0)+I190,I190)*(1+J190/30),IF(C190="peso_corporal",IF(ISNUMBER(E190),E190,0)+L190,L190)*(1+M190/30),IF(C190="peso_corporal",IF(ISNUMBER(E190),E190,0)+O190,O190)*(1+P190/30),IF(C190="peso_corporal",IF(ISNUMBER(E190),E190,0)+R190,R190)*(1+S190/30)),1)),"--")</f>
        <v>--</v>
      </c>
      <c r="V190" s="23" t="str">
        <f>IF(SUGERENCIAS!N532="SIN","Sin datos anteriores",IF(SUGERENCIAS!N532="SUBIR_F","^ SUBIR FUERTE | Kg:"&amp;ROUND(SUGERENCIAS!K532,1)&amp;" R:"&amp;ROUND(SUGERENCIAS!L532,0)&amp;" RIR:"&amp;ROUND(SUGERENCIAS!M532,0),IF(SUGERENCIAS!N532="SUBIR_E","^ SUBIR (Est.) | Kg:"&amp;ROUND(SUGERENCIAS!K532,1)&amp;" R:"&amp;ROUND(SUGERENCIAS!L532,0)&amp;" RIR:"&amp;ROUND(SUGERENCIAS!M532,0),IF(SUGERENCIAS!N532="SUBIR","^ SUBIR | Kg:"&amp;ROUND(SUGERENCIAS!K532,1)&amp;" R:"&amp;ROUND(SUGERENCIAS!L532,0)&amp;" RIR:"&amp;ROUND(SUGERENCIAS!M532,0),IF(SUGERENCIAS!N532="BAJAR","v BAJAR | Kg:"&amp;ROUND(SUGERENCIAS!K532,1)&amp;" R:"&amp;ROUND(SUGERENCIAS!L532,0)&amp;" RIR:"&amp;ROUND(SUGERENCIAS!M532,0),"= MANT | Kg:"&amp;ROUND(SUGERENCIAS!K532,1)&amp;" R:"&amp;ROUND(SUGERENCIAS!L532,0)&amp;" RIR:"&amp;ROUND(SUGERENCIAS!M532,0))))))</f>
        <v>Sin datos anteriores</v>
      </c>
      <c r="W190" s="69">
        <f>MAX(IF((G190&gt;0)*(IF(H190="",-1,H190)&gt;=0)*(IF(H190="",-1,H190)&lt;=1),IF(C190="peso_corporal",IF(ISNUMBER(E190),E190,0)+F190,F190)*G190*1000+F190,0),IF((J190&gt;0)*(IF(K190="",-1,K190)&gt;=0)*(IF(K190="",-1,K190)&lt;=1),IF(C190="peso_corporal",IF(ISNUMBER(E190),E190,0)+I190,I190)*J190*1000+I190,0),IF((M190&gt;0)*(IF(N190="",-1,N190)&gt;=0)*(IF(N190="",-1,N190)&lt;=1),IF(C190="peso_corporal",IF(ISNUMBER(E190),E190,0)+L190,L190)*M190*1000+L190,0),IF((P190&gt;0)*(IF(Q190="",-1,Q190)&gt;=0)*(IF(Q190="",-1,Q190)&lt;=1),IF(C190="peso_corporal",IF(ISNUMBER(E190),E190,0)+O190,O190)*P190*1000+O190,0),IF((S190&gt;0)*(IF(T190="",-1,T190)&gt;=0)*(IF(T190="",-1,T190)&lt;=1),IF(C190="peso_corporal",IF(ISNUMBER(E190),E190,0)+R190,R190)*S190*1000+R190,0))</f>
        <v>0</v>
      </c>
      <c r="X190" s="69">
        <f>IF(W190=0,0,IF(IF((S190&gt;0)*(IF(T190="",-1,T190)&gt;=0)*(IF(T190="",-1,T190)&lt;=1),IF(C190="peso_corporal",IF(ISNUMBER(E190),E190,0)+R190,R190)*S190*1000+R190,0)=W190,5,IF(IF((P190&gt;0)*(IF(Q190="",-1,Q190)&gt;=0)*(IF(Q190="",-1,Q190)&lt;=1),IF(C190="peso_corporal",IF(ISNUMBER(E190),E190,0)+O190,O190)*P190*1000+O190,0)=W190,4,IF(IF((M190&gt;0)*(IF(N190="",-1,N190)&gt;=0)*(IF(N190="",-1,N190)&lt;=1),IF(C190="peso_corporal",IF(ISNUMBER(E190),E190,0)+L190,L190)*M190*1000+L190,0)=W190,3,IF(IF((J190&gt;0)*(IF(K190="",-1,K190)&gt;=0)*(IF(K190="",-1,K190)&lt;=1),IF(C190="peso_corporal",IF(ISNUMBER(E190),E190,0)+I190,I190)*J190*1000+I190,0)=W190,2,IF(IF((G190&gt;0)*(IF(H190="",-1,H190)&gt;=0)*(IF(H190="",-1,H190)&lt;=1),IF(C190="peso_corporal",IF(ISNUMBER(E190),E190,0)+F190,F190)*G190*1000+F190,0)=W190,1,0))))))</f>
        <v>0</v>
      </c>
      <c r="Y190" s="69">
        <f>MAX(IF((G190&gt;0)*(IF(H190="",-1,H190)=0)*(1-(IF(H190="",-1,H190)&gt;=0)*(IF(H190="",-1,H190)&lt;=1)),IF(C190="peso_corporal",IF(ISNUMBER(E190),E190,0)+F190,F190)*G190*1000+F190,0),IF((J190&gt;0)*(IF(K190="",-1,K190)=0)*(1-(IF(K190="",-1,K190)&gt;=0)*(IF(K190="",-1,K190)&lt;=1)),IF(C190="peso_corporal",IF(ISNUMBER(E190),E190,0)+I190,I190)*J190*1000+I190,0),IF((M190&gt;0)*(IF(N190="",-1,N190)=0)*(1-(IF(N190="",-1,N190)&gt;=0)*(IF(N190="",-1,N190)&lt;=1)),IF(C190="peso_corporal",IF(ISNUMBER(E190),E190,0)+L190,L190)*M190*1000+L190,0),IF((P190&gt;0)*(IF(Q190="",-1,Q190)=0)*(1-(IF(Q190="",-1,Q190)&gt;=0)*(IF(Q190="",-1,Q190)&lt;=1)),IF(C190="peso_corporal",IF(ISNUMBER(E190),E190,0)+O190,O190)*P190*1000+O190,0),IF((S190&gt;0)*(IF(T190="",-1,T190)=0)*(1-(IF(T190="",-1,T190)&gt;=0)*(IF(T190="",-1,T190)&lt;=1)),IF(C190="peso_corporal",IF(ISNUMBER(E190),E190,0)+R190,R190)*S190*1000+R190,0))</f>
        <v>0</v>
      </c>
      <c r="Z190" s="69">
        <f>IF(Y190=0,0,IF(IF((S190&gt;0)*(IF(T190="",-1,T190)=0)*(1-(IF(T190="",-1,T190)&gt;=0)*(IF(T190="",-1,T190)&lt;=1)),IF(C190="peso_corporal",IF(ISNUMBER(E190),E190,0)+R190,R190)*S190*1000+R190,0)=Y190,5,IF(IF((P190&gt;0)*(IF(Q190="",-1,Q190)=0)*(1-(IF(Q190="",-1,Q190)&gt;=0)*(IF(Q190="",-1,Q190)&lt;=1)),IF(C190="peso_corporal",IF(ISNUMBER(E190),E190,0)+O190,O190)*P190*1000+O190,0)=Y190,4,IF(IF((M190&gt;0)*(IF(N190="",-1,N190)=0)*(1-(IF(N190="",-1,N190)&gt;=0)*(IF(N190="",-1,N190)&lt;=1)),IF(C190="peso_corporal",IF(ISNUMBER(E190),E190,0)+L190,L190)*M190*1000+L190,0)=Y190,3,IF(IF((J190&gt;0)*(IF(K190="",-1,K190)=0)*(1-(IF(K190="",-1,K190)&gt;=0)*(IF(K190="",-1,K190)&lt;=1)),IF(C190="peso_corporal",IF(ISNUMBER(E190),E190,0)+I190,I190)*J190*1000+I190,0)=Y190,2,IF(IF((G190&gt;0)*(IF(H190="",-1,H190)=0)*(1-(IF(H190="",-1,H190)&gt;=0)*(IF(H190="",-1,H190)&lt;=1)),IF(C190="peso_corporal",IF(ISNUMBER(E190),E190,0)+F190,F190)*G190*1000+F190,0)=Y190,1,0))))))</f>
        <v>0</v>
      </c>
      <c r="AA190" s="69">
        <f>MAX(IF((G190&gt;=3)*(1-(IF(H190="",-1,H190)&gt;=0)*(IF(H190="",-1,H190)&lt;=1))*(1-(IF(H190="",-1,H190)=0)),IF(C190="peso_corporal",IF(ISNUMBER(E190),E190,0)+F190,F190)*(30+G190)*100+F190,0),IF((J190&gt;=3)*(1-(IF(K190="",-1,K190)&gt;=0)*(IF(K190="",-1,K190)&lt;=1))*(1-(IF(K190="",-1,K190)=0)),IF(C190="peso_corporal",IF(ISNUMBER(E190),E190,0)+I190,I190)*(30+J190)*100+I190,0),IF((M190&gt;=3)*(1-(IF(N190="",-1,N190)&gt;=0)*(IF(N190="",-1,N190)&lt;=1))*(1-(IF(N190="",-1,N190)=0)),IF(C190="peso_corporal",IF(ISNUMBER(E190),E190,0)+L190,L190)*(30+M190)*100+L190,0),IF((P190&gt;=3)*(1-(IF(Q190="",-1,Q190)&gt;=0)*(IF(Q190="",-1,Q190)&lt;=1))*(1-(IF(Q190="",-1,Q190)=0)),IF(C190="peso_corporal",IF(ISNUMBER(E190),E190,0)+O190,O190)*(30+P190)*100+O190,0),IF((S190&gt;=3)*(1-(IF(T190="",-1,T190)&gt;=0)*(IF(T190="",-1,T190)&lt;=1))*(1-(IF(T190="",-1,T190)=0)),IF(C190="peso_corporal",IF(ISNUMBER(E190),E190,0)+R190,R190)*(30+S190)*100+R190,0))</f>
        <v>0</v>
      </c>
      <c r="AB190" s="69">
        <f>IF(AA190=0,0,IF(IF((S190&gt;=3)*(1-(IF(T190="",-1,T190)&gt;=0)*(IF(T190="",-1,T190)&lt;=1))*(1-(IF(T190="",-1,T190)=0)),IF(C190="peso_corporal",IF(ISNUMBER(E190),E190,0)+R190,R190)*(30+S190)*100+R190,0)=AA190,5,IF(IF((P190&gt;=3)*(1-(IF(Q190="",-1,Q190)&gt;=0)*(IF(Q190="",-1,Q190)&lt;=1))*(1-(IF(Q190="",-1,Q190)=0)),IF(C190="peso_corporal",IF(ISNUMBER(E190),E190,0)+O190,O190)*(30+P190)*100+O190,0)=AA190,4,IF(IF((M190&gt;=3)*(1-(IF(N190="",-1,N190)&gt;=0)*(IF(N190="",-1,N190)&lt;=1))*(1-(IF(N190="",-1,N190)=0)),IF(C190="peso_corporal",IF(ISNUMBER(E190),E190,0)+L190,L190)*(30+M190)*100+L190,0)=AA190,3,IF(IF((J190&gt;=3)*(1-(IF(K190="",-1,K190)&gt;=0)*(IF(K190="",-1,K190)&lt;=1))*(1-(IF(K190="",-1,K190)=0)),IF(C190="peso_corporal",IF(ISNUMBER(E190),E190,0)+I190,I190)*(30+J190)*100+I190,0)=AA190,2,IF(IF((G190&gt;=3)*(1-(IF(H190="",-1,H190)&gt;=0)*(IF(H190="",-1,H190)&lt;=1))*(1-(IF(H190="",-1,H190)=0)),IF(C190="peso_corporal",IF(ISNUMBER(E190),E190,0)+F190,F190)*(30+G190)*100+F190,0)=AA190,1,0))))))</f>
        <v>0</v>
      </c>
      <c r="AC190" s="69" t="str">
        <f>IF(X190&gt;0,"A"&amp;X190,IF(Z190&gt;0,"B"&amp;Z190,IF(AB190&gt;0,"C"&amp;AB190,"")))</f>
        <v/>
      </c>
    </row>
    <row r="191" spans="1:29" ht="15" customHeight="1">
      <c r="A191" s="88" t="s">
        <v>50</v>
      </c>
      <c r="B191" s="73"/>
      <c r="C191" s="73"/>
      <c r="D191" s="73"/>
      <c r="E191" s="73"/>
      <c r="F191" s="73"/>
      <c r="G191" s="73"/>
      <c r="H191" s="73"/>
      <c r="I191" s="73"/>
      <c r="J191" s="73"/>
      <c r="K191" s="73"/>
      <c r="L191" s="73"/>
      <c r="M191" s="73"/>
      <c r="N191" s="73"/>
      <c r="O191" s="73"/>
      <c r="P191" s="73"/>
      <c r="Q191" s="73"/>
      <c r="R191" s="73"/>
      <c r="S191" s="73"/>
      <c r="T191" s="73"/>
      <c r="U191" s="73"/>
      <c r="V191" s="73"/>
      <c r="W191" s="69"/>
      <c r="X191" s="69"/>
      <c r="Y191" s="69"/>
      <c r="Z191" s="69"/>
      <c r="AA191" s="69"/>
      <c r="AB191" s="69"/>
      <c r="AC191" s="69"/>
    </row>
    <row r="192" spans="1:29" ht="20.100000000000001" customHeight="1">
      <c r="A192" s="14" t="s">
        <v>51</v>
      </c>
      <c r="B192" s="15" t="s">
        <v>134</v>
      </c>
      <c r="C192" s="16" t="str">
        <f>IFERROR(INDEX(EJERCICIOS!$D$3:$D$75,MATCH(A192&amp;"|"&amp;B192,EJERCICIOS!$G$3:$G$75,0)),"--")</f>
        <v>--</v>
      </c>
      <c r="D192" s="17">
        <v>3</v>
      </c>
      <c r="E192" s="18">
        <f>IFERROR(LOOKUP(2,1/(MEDIDAS_Y_PESO!$B$3:$B$11&lt;&gt;""),MEDIDAS_Y_PESO!$B$3:$B$11),"--")</f>
        <v>80</v>
      </c>
      <c r="F192" s="19"/>
      <c r="G192" s="20"/>
      <c r="H192" s="21"/>
      <c r="I192" s="19"/>
      <c r="J192" s="20"/>
      <c r="K192" s="21"/>
      <c r="L192" s="19"/>
      <c r="M192" s="20"/>
      <c r="N192" s="21"/>
      <c r="O192" s="19"/>
      <c r="P192" s="20"/>
      <c r="Q192" s="21"/>
      <c r="R192" s="19"/>
      <c r="S192" s="20"/>
      <c r="T192" s="21"/>
      <c r="U192" s="22" t="str">
        <f>IFERROR(IF(IF(X192&gt;0,X192,IF(Z192&gt;0,Z192,IF(AB192&gt;0,AB192,0)))=0,"--",ROUND(CHOOSE(IF(X192&gt;0,X192,IF(Z192&gt;0,Z192,IF(AB192&gt;0,AB192,0))),IF(C192="peso_corporal",IF(ISNUMBER(E192),E192,0)+F192,F192)*(1+G192/30),IF(C192="peso_corporal",IF(ISNUMBER(E192),E192,0)+I192,I192)*(1+J192/30),IF(C192="peso_corporal",IF(ISNUMBER(E192),E192,0)+L192,L192)*(1+M192/30),IF(C192="peso_corporal",IF(ISNUMBER(E192),E192,0)+O192,O192)*(1+P192/30),IF(C192="peso_corporal",IF(ISNUMBER(E192),E192,0)+R192,R192)*(1+S192/30)),1)),"--")</f>
        <v>--</v>
      </c>
      <c r="V192" s="23" t="str">
        <f>IF(SUGERENCIAS!N533="SIN","Sin datos anteriores",IF(SUGERENCIAS!N533="SUBIR_F","^ SUBIR FUERTE | Kg:"&amp;ROUND(SUGERENCIAS!K533,1)&amp;" R:"&amp;ROUND(SUGERENCIAS!L533,0)&amp;" RIR:"&amp;ROUND(SUGERENCIAS!M533,0),IF(SUGERENCIAS!N533="SUBIR_E","^ SUBIR (Est.) | Kg:"&amp;ROUND(SUGERENCIAS!K533,1)&amp;" R:"&amp;ROUND(SUGERENCIAS!L533,0)&amp;" RIR:"&amp;ROUND(SUGERENCIAS!M533,0),IF(SUGERENCIAS!N533="SUBIR","^ SUBIR | Kg:"&amp;ROUND(SUGERENCIAS!K533,1)&amp;" R:"&amp;ROUND(SUGERENCIAS!L533,0)&amp;" RIR:"&amp;ROUND(SUGERENCIAS!M533,0),IF(SUGERENCIAS!N533="BAJAR","v BAJAR | Kg:"&amp;ROUND(SUGERENCIAS!K533,1)&amp;" R:"&amp;ROUND(SUGERENCIAS!L533,0)&amp;" RIR:"&amp;ROUND(SUGERENCIAS!M533,0),"= MANT | Kg:"&amp;ROUND(SUGERENCIAS!K533,1)&amp;" R:"&amp;ROUND(SUGERENCIAS!L533,0)&amp;" RIR:"&amp;ROUND(SUGERENCIAS!M533,0))))))</f>
        <v>Sin datos anteriores</v>
      </c>
      <c r="W192" s="69">
        <f>MAX(IF((G192&gt;0)*(IF(H192="",-1,H192)&gt;=0)*(IF(H192="",-1,H192)&lt;=1),IF(C192="peso_corporal",IF(ISNUMBER(E192),E192,0)+F192,F192)*G192*1000+F192,0),IF((J192&gt;0)*(IF(K192="",-1,K192)&gt;=0)*(IF(K192="",-1,K192)&lt;=1),IF(C192="peso_corporal",IF(ISNUMBER(E192),E192,0)+I192,I192)*J192*1000+I192,0),IF((M192&gt;0)*(IF(N192="",-1,N192)&gt;=0)*(IF(N192="",-1,N192)&lt;=1),IF(C192="peso_corporal",IF(ISNUMBER(E192),E192,0)+L192,L192)*M192*1000+L192,0),IF((P192&gt;0)*(IF(Q192="",-1,Q192)&gt;=0)*(IF(Q192="",-1,Q192)&lt;=1),IF(C192="peso_corporal",IF(ISNUMBER(E192),E192,0)+O192,O192)*P192*1000+O192,0),IF((S192&gt;0)*(IF(T192="",-1,T192)&gt;=0)*(IF(T192="",-1,T192)&lt;=1),IF(C192="peso_corporal",IF(ISNUMBER(E192),E192,0)+R192,R192)*S192*1000+R192,0))</f>
        <v>0</v>
      </c>
      <c r="X192" s="69">
        <f>IF(W192=0,0,IF(IF((S192&gt;0)*(IF(T192="",-1,T192)&gt;=0)*(IF(T192="",-1,T192)&lt;=1),IF(C192="peso_corporal",IF(ISNUMBER(E192),E192,0)+R192,R192)*S192*1000+R192,0)=W192,5,IF(IF((P192&gt;0)*(IF(Q192="",-1,Q192)&gt;=0)*(IF(Q192="",-1,Q192)&lt;=1),IF(C192="peso_corporal",IF(ISNUMBER(E192),E192,0)+O192,O192)*P192*1000+O192,0)=W192,4,IF(IF((M192&gt;0)*(IF(N192="",-1,N192)&gt;=0)*(IF(N192="",-1,N192)&lt;=1),IF(C192="peso_corporal",IF(ISNUMBER(E192),E192,0)+L192,L192)*M192*1000+L192,0)=W192,3,IF(IF((J192&gt;0)*(IF(K192="",-1,K192)&gt;=0)*(IF(K192="",-1,K192)&lt;=1),IF(C192="peso_corporal",IF(ISNUMBER(E192),E192,0)+I192,I192)*J192*1000+I192,0)=W192,2,IF(IF((G192&gt;0)*(IF(H192="",-1,H192)&gt;=0)*(IF(H192="",-1,H192)&lt;=1),IF(C192="peso_corporal",IF(ISNUMBER(E192),E192,0)+F192,F192)*G192*1000+F192,0)=W192,1,0))))))</f>
        <v>0</v>
      </c>
      <c r="Y192" s="69">
        <f>MAX(IF((G192&gt;0)*(IF(H192="",-1,H192)=0)*(1-(IF(H192="",-1,H192)&gt;=0)*(IF(H192="",-1,H192)&lt;=1)),IF(C192="peso_corporal",IF(ISNUMBER(E192),E192,0)+F192,F192)*G192*1000+F192,0),IF((J192&gt;0)*(IF(K192="",-1,K192)=0)*(1-(IF(K192="",-1,K192)&gt;=0)*(IF(K192="",-1,K192)&lt;=1)),IF(C192="peso_corporal",IF(ISNUMBER(E192),E192,0)+I192,I192)*J192*1000+I192,0),IF((M192&gt;0)*(IF(N192="",-1,N192)=0)*(1-(IF(N192="",-1,N192)&gt;=0)*(IF(N192="",-1,N192)&lt;=1)),IF(C192="peso_corporal",IF(ISNUMBER(E192),E192,0)+L192,L192)*M192*1000+L192,0),IF((P192&gt;0)*(IF(Q192="",-1,Q192)=0)*(1-(IF(Q192="",-1,Q192)&gt;=0)*(IF(Q192="",-1,Q192)&lt;=1)),IF(C192="peso_corporal",IF(ISNUMBER(E192),E192,0)+O192,O192)*P192*1000+O192,0),IF((S192&gt;0)*(IF(T192="",-1,T192)=0)*(1-(IF(T192="",-1,T192)&gt;=0)*(IF(T192="",-1,T192)&lt;=1)),IF(C192="peso_corporal",IF(ISNUMBER(E192),E192,0)+R192,R192)*S192*1000+R192,0))</f>
        <v>0</v>
      </c>
      <c r="Z192" s="69">
        <f>IF(Y192=0,0,IF(IF((S192&gt;0)*(IF(T192="",-1,T192)=0)*(1-(IF(T192="",-1,T192)&gt;=0)*(IF(T192="",-1,T192)&lt;=1)),IF(C192="peso_corporal",IF(ISNUMBER(E192),E192,0)+R192,R192)*S192*1000+R192,0)=Y192,5,IF(IF((P192&gt;0)*(IF(Q192="",-1,Q192)=0)*(1-(IF(Q192="",-1,Q192)&gt;=0)*(IF(Q192="",-1,Q192)&lt;=1)),IF(C192="peso_corporal",IF(ISNUMBER(E192),E192,0)+O192,O192)*P192*1000+O192,0)=Y192,4,IF(IF((M192&gt;0)*(IF(N192="",-1,N192)=0)*(1-(IF(N192="",-1,N192)&gt;=0)*(IF(N192="",-1,N192)&lt;=1)),IF(C192="peso_corporal",IF(ISNUMBER(E192),E192,0)+L192,L192)*M192*1000+L192,0)=Y192,3,IF(IF((J192&gt;0)*(IF(K192="",-1,K192)=0)*(1-(IF(K192="",-1,K192)&gt;=0)*(IF(K192="",-1,K192)&lt;=1)),IF(C192="peso_corporal",IF(ISNUMBER(E192),E192,0)+I192,I192)*J192*1000+I192,0)=Y192,2,IF(IF((G192&gt;0)*(IF(H192="",-1,H192)=0)*(1-(IF(H192="",-1,H192)&gt;=0)*(IF(H192="",-1,H192)&lt;=1)),IF(C192="peso_corporal",IF(ISNUMBER(E192),E192,0)+F192,F192)*G192*1000+F192,0)=Y192,1,0))))))</f>
        <v>0</v>
      </c>
      <c r="AA192" s="69">
        <f>MAX(IF((G192&gt;=3)*(1-(IF(H192="",-1,H192)&gt;=0)*(IF(H192="",-1,H192)&lt;=1))*(1-(IF(H192="",-1,H192)=0)),IF(C192="peso_corporal",IF(ISNUMBER(E192),E192,0)+F192,F192)*(30+G192)*100+F192,0),IF((J192&gt;=3)*(1-(IF(K192="",-1,K192)&gt;=0)*(IF(K192="",-1,K192)&lt;=1))*(1-(IF(K192="",-1,K192)=0)),IF(C192="peso_corporal",IF(ISNUMBER(E192),E192,0)+I192,I192)*(30+J192)*100+I192,0),IF((M192&gt;=3)*(1-(IF(N192="",-1,N192)&gt;=0)*(IF(N192="",-1,N192)&lt;=1))*(1-(IF(N192="",-1,N192)=0)),IF(C192="peso_corporal",IF(ISNUMBER(E192),E192,0)+L192,L192)*(30+M192)*100+L192,0),IF((P192&gt;=3)*(1-(IF(Q192="",-1,Q192)&gt;=0)*(IF(Q192="",-1,Q192)&lt;=1))*(1-(IF(Q192="",-1,Q192)=0)),IF(C192="peso_corporal",IF(ISNUMBER(E192),E192,0)+O192,O192)*(30+P192)*100+O192,0),IF((S192&gt;=3)*(1-(IF(T192="",-1,T192)&gt;=0)*(IF(T192="",-1,T192)&lt;=1))*(1-(IF(T192="",-1,T192)=0)),IF(C192="peso_corporal",IF(ISNUMBER(E192),E192,0)+R192,R192)*(30+S192)*100+R192,0))</f>
        <v>0</v>
      </c>
      <c r="AB192" s="69">
        <f>IF(AA192=0,0,IF(IF((S192&gt;=3)*(1-(IF(T192="",-1,T192)&gt;=0)*(IF(T192="",-1,T192)&lt;=1))*(1-(IF(T192="",-1,T192)=0)),IF(C192="peso_corporal",IF(ISNUMBER(E192),E192,0)+R192,R192)*(30+S192)*100+R192,0)=AA192,5,IF(IF((P192&gt;=3)*(1-(IF(Q192="",-1,Q192)&gt;=0)*(IF(Q192="",-1,Q192)&lt;=1))*(1-(IF(Q192="",-1,Q192)=0)),IF(C192="peso_corporal",IF(ISNUMBER(E192),E192,0)+O192,O192)*(30+P192)*100+O192,0)=AA192,4,IF(IF((M192&gt;=3)*(1-(IF(N192="",-1,N192)&gt;=0)*(IF(N192="",-1,N192)&lt;=1))*(1-(IF(N192="",-1,N192)=0)),IF(C192="peso_corporal",IF(ISNUMBER(E192),E192,0)+L192,L192)*(30+M192)*100+L192,0)=AA192,3,IF(IF((J192&gt;=3)*(1-(IF(K192="",-1,K192)&gt;=0)*(IF(K192="",-1,K192)&lt;=1))*(1-(IF(K192="",-1,K192)=0)),IF(C192="peso_corporal",IF(ISNUMBER(E192),E192,0)+I192,I192)*(30+J192)*100+I192,0)=AA192,2,IF(IF((G192&gt;=3)*(1-(IF(H192="",-1,H192)&gt;=0)*(IF(H192="",-1,H192)&lt;=1))*(1-(IF(H192="",-1,H192)=0)),IF(C192="peso_corporal",IF(ISNUMBER(E192),E192,0)+F192,F192)*(30+G192)*100+F192,0)=AA192,1,0))))))</f>
        <v>0</v>
      </c>
      <c r="AC192" s="69" t="str">
        <f>IF(X192&gt;0,"A"&amp;X192,IF(Z192&gt;0,"B"&amp;Z192,IF(AB192&gt;0,"C"&amp;AB192,"")))</f>
        <v/>
      </c>
    </row>
    <row r="193" spans="1:29" ht="20.100000000000001" customHeight="1">
      <c r="A193" s="14" t="s">
        <v>135</v>
      </c>
      <c r="B193" s="15" t="s">
        <v>136</v>
      </c>
      <c r="C193" s="16" t="str">
        <f>IFERROR(INDEX(EJERCICIOS!$D$3:$D$75,MATCH(A193&amp;"|"&amp;B193,EJERCICIOS!$G$3:$G$75,0)),"--")</f>
        <v>--</v>
      </c>
      <c r="D193" s="17">
        <v>3</v>
      </c>
      <c r="E193" s="18">
        <f>IFERROR(LOOKUP(2,1/(MEDIDAS_Y_PESO!$B$3:$B$11&lt;&gt;""),MEDIDAS_Y_PESO!$B$3:$B$11),"--")</f>
        <v>80</v>
      </c>
      <c r="F193" s="19"/>
      <c r="G193" s="20"/>
      <c r="H193" s="21"/>
      <c r="I193" s="19"/>
      <c r="J193" s="20"/>
      <c r="K193" s="21"/>
      <c r="L193" s="19"/>
      <c r="M193" s="20"/>
      <c r="N193" s="21"/>
      <c r="O193" s="19"/>
      <c r="P193" s="20"/>
      <c r="Q193" s="21"/>
      <c r="R193" s="19"/>
      <c r="S193" s="20"/>
      <c r="T193" s="21"/>
      <c r="U193" s="22" t="str">
        <f>IFERROR(IF(IF(X193&gt;0,X193,IF(Z193&gt;0,Z193,IF(AB193&gt;0,AB193,0)))=0,"--",ROUND(CHOOSE(IF(X193&gt;0,X193,IF(Z193&gt;0,Z193,IF(AB193&gt;0,AB193,0))),IF(C193="peso_corporal",IF(ISNUMBER(E193),E193,0)+F193,F193)*(1+G193/30),IF(C193="peso_corporal",IF(ISNUMBER(E193),E193,0)+I193,I193)*(1+J193/30),IF(C193="peso_corporal",IF(ISNUMBER(E193),E193,0)+L193,L193)*(1+M193/30),IF(C193="peso_corporal",IF(ISNUMBER(E193),E193,0)+O193,O193)*(1+P193/30),IF(C193="peso_corporal",IF(ISNUMBER(E193),E193,0)+R193,R193)*(1+S193/30)),1)),"--")</f>
        <v>--</v>
      </c>
      <c r="V193" s="23" t="str">
        <f>IF(SUGERENCIAS!N534="SIN","Sin datos anteriores",IF(SUGERENCIAS!N534="SUBIR_F","^ SUBIR FUERTE | Kg:"&amp;ROUND(SUGERENCIAS!K534,1)&amp;" R:"&amp;ROUND(SUGERENCIAS!L534,0)&amp;" RIR:"&amp;ROUND(SUGERENCIAS!M534,0),IF(SUGERENCIAS!N534="SUBIR_E","^ SUBIR (Est.) | Kg:"&amp;ROUND(SUGERENCIAS!K534,1)&amp;" R:"&amp;ROUND(SUGERENCIAS!L534,0)&amp;" RIR:"&amp;ROUND(SUGERENCIAS!M534,0),IF(SUGERENCIAS!N534="SUBIR","^ SUBIR | Kg:"&amp;ROUND(SUGERENCIAS!K534,1)&amp;" R:"&amp;ROUND(SUGERENCIAS!L534,0)&amp;" RIR:"&amp;ROUND(SUGERENCIAS!M534,0),IF(SUGERENCIAS!N534="BAJAR","v BAJAR | Kg:"&amp;ROUND(SUGERENCIAS!K534,1)&amp;" R:"&amp;ROUND(SUGERENCIAS!L534,0)&amp;" RIR:"&amp;ROUND(SUGERENCIAS!M534,0),"= MANT | Kg:"&amp;ROUND(SUGERENCIAS!K534,1)&amp;" R:"&amp;ROUND(SUGERENCIAS!L534,0)&amp;" RIR:"&amp;ROUND(SUGERENCIAS!M534,0))))))</f>
        <v>Sin datos anteriores</v>
      </c>
      <c r="W193" s="69">
        <f>MAX(IF((G193&gt;0)*(IF(H193="",-1,H193)&gt;=0)*(IF(H193="",-1,H193)&lt;=1),IF(C193="peso_corporal",IF(ISNUMBER(E193),E193,0)+F193,F193)*G193*1000+F193,0),IF((J193&gt;0)*(IF(K193="",-1,K193)&gt;=0)*(IF(K193="",-1,K193)&lt;=1),IF(C193="peso_corporal",IF(ISNUMBER(E193),E193,0)+I193,I193)*J193*1000+I193,0),IF((M193&gt;0)*(IF(N193="",-1,N193)&gt;=0)*(IF(N193="",-1,N193)&lt;=1),IF(C193="peso_corporal",IF(ISNUMBER(E193),E193,0)+L193,L193)*M193*1000+L193,0),IF((P193&gt;0)*(IF(Q193="",-1,Q193)&gt;=0)*(IF(Q193="",-1,Q193)&lt;=1),IF(C193="peso_corporal",IF(ISNUMBER(E193),E193,0)+O193,O193)*P193*1000+O193,0),IF((S193&gt;0)*(IF(T193="",-1,T193)&gt;=0)*(IF(T193="",-1,T193)&lt;=1),IF(C193="peso_corporal",IF(ISNUMBER(E193),E193,0)+R193,R193)*S193*1000+R193,0))</f>
        <v>0</v>
      </c>
      <c r="X193" s="69">
        <f>IF(W193=0,0,IF(IF((S193&gt;0)*(IF(T193="",-1,T193)&gt;=0)*(IF(T193="",-1,T193)&lt;=1),IF(C193="peso_corporal",IF(ISNUMBER(E193),E193,0)+R193,R193)*S193*1000+R193,0)=W193,5,IF(IF((P193&gt;0)*(IF(Q193="",-1,Q193)&gt;=0)*(IF(Q193="",-1,Q193)&lt;=1),IF(C193="peso_corporal",IF(ISNUMBER(E193),E193,0)+O193,O193)*P193*1000+O193,0)=W193,4,IF(IF((M193&gt;0)*(IF(N193="",-1,N193)&gt;=0)*(IF(N193="",-1,N193)&lt;=1),IF(C193="peso_corporal",IF(ISNUMBER(E193),E193,0)+L193,L193)*M193*1000+L193,0)=W193,3,IF(IF((J193&gt;0)*(IF(K193="",-1,K193)&gt;=0)*(IF(K193="",-1,K193)&lt;=1),IF(C193="peso_corporal",IF(ISNUMBER(E193),E193,0)+I193,I193)*J193*1000+I193,0)=W193,2,IF(IF((G193&gt;0)*(IF(H193="",-1,H193)&gt;=0)*(IF(H193="",-1,H193)&lt;=1),IF(C193="peso_corporal",IF(ISNUMBER(E193),E193,0)+F193,F193)*G193*1000+F193,0)=W193,1,0))))))</f>
        <v>0</v>
      </c>
      <c r="Y193" s="69">
        <f>MAX(IF((G193&gt;0)*(IF(H193="",-1,H193)=0)*(1-(IF(H193="",-1,H193)&gt;=0)*(IF(H193="",-1,H193)&lt;=1)),IF(C193="peso_corporal",IF(ISNUMBER(E193),E193,0)+F193,F193)*G193*1000+F193,0),IF((J193&gt;0)*(IF(K193="",-1,K193)=0)*(1-(IF(K193="",-1,K193)&gt;=0)*(IF(K193="",-1,K193)&lt;=1)),IF(C193="peso_corporal",IF(ISNUMBER(E193),E193,0)+I193,I193)*J193*1000+I193,0),IF((M193&gt;0)*(IF(N193="",-1,N193)=0)*(1-(IF(N193="",-1,N193)&gt;=0)*(IF(N193="",-1,N193)&lt;=1)),IF(C193="peso_corporal",IF(ISNUMBER(E193),E193,0)+L193,L193)*M193*1000+L193,0),IF((P193&gt;0)*(IF(Q193="",-1,Q193)=0)*(1-(IF(Q193="",-1,Q193)&gt;=0)*(IF(Q193="",-1,Q193)&lt;=1)),IF(C193="peso_corporal",IF(ISNUMBER(E193),E193,0)+O193,O193)*P193*1000+O193,0),IF((S193&gt;0)*(IF(T193="",-1,T193)=0)*(1-(IF(T193="",-1,T193)&gt;=0)*(IF(T193="",-1,T193)&lt;=1)),IF(C193="peso_corporal",IF(ISNUMBER(E193),E193,0)+R193,R193)*S193*1000+R193,0))</f>
        <v>0</v>
      </c>
      <c r="Z193" s="69">
        <f>IF(Y193=0,0,IF(IF((S193&gt;0)*(IF(T193="",-1,T193)=0)*(1-(IF(T193="",-1,T193)&gt;=0)*(IF(T193="",-1,T193)&lt;=1)),IF(C193="peso_corporal",IF(ISNUMBER(E193),E193,0)+R193,R193)*S193*1000+R193,0)=Y193,5,IF(IF((P193&gt;0)*(IF(Q193="",-1,Q193)=0)*(1-(IF(Q193="",-1,Q193)&gt;=0)*(IF(Q193="",-1,Q193)&lt;=1)),IF(C193="peso_corporal",IF(ISNUMBER(E193),E193,0)+O193,O193)*P193*1000+O193,0)=Y193,4,IF(IF((M193&gt;0)*(IF(N193="",-1,N193)=0)*(1-(IF(N193="",-1,N193)&gt;=0)*(IF(N193="",-1,N193)&lt;=1)),IF(C193="peso_corporal",IF(ISNUMBER(E193),E193,0)+L193,L193)*M193*1000+L193,0)=Y193,3,IF(IF((J193&gt;0)*(IF(K193="",-1,K193)=0)*(1-(IF(K193="",-1,K193)&gt;=0)*(IF(K193="",-1,K193)&lt;=1)),IF(C193="peso_corporal",IF(ISNUMBER(E193),E193,0)+I193,I193)*J193*1000+I193,0)=Y193,2,IF(IF((G193&gt;0)*(IF(H193="",-1,H193)=0)*(1-(IF(H193="",-1,H193)&gt;=0)*(IF(H193="",-1,H193)&lt;=1)),IF(C193="peso_corporal",IF(ISNUMBER(E193),E193,0)+F193,F193)*G193*1000+F193,0)=Y193,1,0))))))</f>
        <v>0</v>
      </c>
      <c r="AA193" s="69">
        <f>MAX(IF((G193&gt;=3)*(1-(IF(H193="",-1,H193)&gt;=0)*(IF(H193="",-1,H193)&lt;=1))*(1-(IF(H193="",-1,H193)=0)),IF(C193="peso_corporal",IF(ISNUMBER(E193),E193,0)+F193,F193)*(30+G193)*100+F193,0),IF((J193&gt;=3)*(1-(IF(K193="",-1,K193)&gt;=0)*(IF(K193="",-1,K193)&lt;=1))*(1-(IF(K193="",-1,K193)=0)),IF(C193="peso_corporal",IF(ISNUMBER(E193),E193,0)+I193,I193)*(30+J193)*100+I193,0),IF((M193&gt;=3)*(1-(IF(N193="",-1,N193)&gt;=0)*(IF(N193="",-1,N193)&lt;=1))*(1-(IF(N193="",-1,N193)=0)),IF(C193="peso_corporal",IF(ISNUMBER(E193),E193,0)+L193,L193)*(30+M193)*100+L193,0),IF((P193&gt;=3)*(1-(IF(Q193="",-1,Q193)&gt;=0)*(IF(Q193="",-1,Q193)&lt;=1))*(1-(IF(Q193="",-1,Q193)=0)),IF(C193="peso_corporal",IF(ISNUMBER(E193),E193,0)+O193,O193)*(30+P193)*100+O193,0),IF((S193&gt;=3)*(1-(IF(T193="",-1,T193)&gt;=0)*(IF(T193="",-1,T193)&lt;=1))*(1-(IF(T193="",-1,T193)=0)),IF(C193="peso_corporal",IF(ISNUMBER(E193),E193,0)+R193,R193)*(30+S193)*100+R193,0))</f>
        <v>0</v>
      </c>
      <c r="AB193" s="69">
        <f>IF(AA193=0,0,IF(IF((S193&gt;=3)*(1-(IF(T193="",-1,T193)&gt;=0)*(IF(T193="",-1,T193)&lt;=1))*(1-(IF(T193="",-1,T193)=0)),IF(C193="peso_corporal",IF(ISNUMBER(E193),E193,0)+R193,R193)*(30+S193)*100+R193,0)=AA193,5,IF(IF((P193&gt;=3)*(1-(IF(Q193="",-1,Q193)&gt;=0)*(IF(Q193="",-1,Q193)&lt;=1))*(1-(IF(Q193="",-1,Q193)=0)),IF(C193="peso_corporal",IF(ISNUMBER(E193),E193,0)+O193,O193)*(30+P193)*100+O193,0)=AA193,4,IF(IF((M193&gt;=3)*(1-(IF(N193="",-1,N193)&gt;=0)*(IF(N193="",-1,N193)&lt;=1))*(1-(IF(N193="",-1,N193)=0)),IF(C193="peso_corporal",IF(ISNUMBER(E193),E193,0)+L193,L193)*(30+M193)*100+L193,0)=AA193,3,IF(IF((J193&gt;=3)*(1-(IF(K193="",-1,K193)&gt;=0)*(IF(K193="",-1,K193)&lt;=1))*(1-(IF(K193="",-1,K193)=0)),IF(C193="peso_corporal",IF(ISNUMBER(E193),E193,0)+I193,I193)*(30+J193)*100+I193,0)=AA193,2,IF(IF((G193&gt;=3)*(1-(IF(H193="",-1,H193)&gt;=0)*(IF(H193="",-1,H193)&lt;=1))*(1-(IF(H193="",-1,H193)=0)),IF(C193="peso_corporal",IF(ISNUMBER(E193),E193,0)+F193,F193)*(30+G193)*100+F193,0)=AA193,1,0))))))</f>
        <v>0</v>
      </c>
      <c r="AC193" s="69" t="str">
        <f>IF(X193&gt;0,"A"&amp;X193,IF(Z193&gt;0,"B"&amp;Z193,IF(AB193&gt;0,"C"&amp;AB193,"")))</f>
        <v/>
      </c>
    </row>
    <row r="194" spans="1:29" ht="20.100000000000001" customHeight="1">
      <c r="A194" s="14" t="s">
        <v>65</v>
      </c>
      <c r="B194" s="15" t="s">
        <v>66</v>
      </c>
      <c r="C194" s="16" t="str">
        <f>IFERROR(INDEX(EJERCICIOS!$D$3:$D$75,MATCH(A194&amp;"|"&amp;B194,EJERCICIOS!$G$3:$G$75,0)),"--")</f>
        <v>--</v>
      </c>
      <c r="D194" s="17">
        <v>3</v>
      </c>
      <c r="E194" s="18">
        <f>IFERROR(LOOKUP(2,1/(MEDIDAS_Y_PESO!$B$3:$B$11&lt;&gt;""),MEDIDAS_Y_PESO!$B$3:$B$11),"--")</f>
        <v>80</v>
      </c>
      <c r="F194" s="19"/>
      <c r="G194" s="20"/>
      <c r="H194" s="21"/>
      <c r="I194" s="19"/>
      <c r="J194" s="20"/>
      <c r="K194" s="21"/>
      <c r="L194" s="19"/>
      <c r="M194" s="20"/>
      <c r="N194" s="21"/>
      <c r="O194" s="19"/>
      <c r="P194" s="20"/>
      <c r="Q194" s="21"/>
      <c r="R194" s="19"/>
      <c r="S194" s="20"/>
      <c r="T194" s="21"/>
      <c r="U194" s="22" t="str">
        <f>IFERROR(IF(IF(X194&gt;0,X194,IF(Z194&gt;0,Z194,IF(AB194&gt;0,AB194,0)))=0,"--",ROUND(CHOOSE(IF(X194&gt;0,X194,IF(Z194&gt;0,Z194,IF(AB194&gt;0,AB194,0))),IF(C194="peso_corporal",IF(ISNUMBER(E194),E194,0)+F194,F194)*(1+G194/30),IF(C194="peso_corporal",IF(ISNUMBER(E194),E194,0)+I194,I194)*(1+J194/30),IF(C194="peso_corporal",IF(ISNUMBER(E194),E194,0)+L194,L194)*(1+M194/30),IF(C194="peso_corporal",IF(ISNUMBER(E194),E194,0)+O194,O194)*(1+P194/30),IF(C194="peso_corporal",IF(ISNUMBER(E194),E194,0)+R194,R194)*(1+S194/30)),1)),"--")</f>
        <v>--</v>
      </c>
      <c r="V194" s="23" t="str">
        <f>IF(SUGERENCIAS!N535="SIN","Sin datos anteriores",IF(SUGERENCIAS!N535="SUBIR_F","^ SUBIR FUERTE | Kg:"&amp;ROUND(SUGERENCIAS!K535,1)&amp;" R:"&amp;ROUND(SUGERENCIAS!L535,0)&amp;" RIR:"&amp;ROUND(SUGERENCIAS!M535,0),IF(SUGERENCIAS!N535="SUBIR_E","^ SUBIR (Est.) | Kg:"&amp;ROUND(SUGERENCIAS!K535,1)&amp;" R:"&amp;ROUND(SUGERENCIAS!L535,0)&amp;" RIR:"&amp;ROUND(SUGERENCIAS!M535,0),IF(SUGERENCIAS!N535="SUBIR","^ SUBIR | Kg:"&amp;ROUND(SUGERENCIAS!K535,1)&amp;" R:"&amp;ROUND(SUGERENCIAS!L535,0)&amp;" RIR:"&amp;ROUND(SUGERENCIAS!M535,0),IF(SUGERENCIAS!N535="BAJAR","v BAJAR | Kg:"&amp;ROUND(SUGERENCIAS!K535,1)&amp;" R:"&amp;ROUND(SUGERENCIAS!L535,0)&amp;" RIR:"&amp;ROUND(SUGERENCIAS!M535,0),"= MANT | Kg:"&amp;ROUND(SUGERENCIAS!K535,1)&amp;" R:"&amp;ROUND(SUGERENCIAS!L535,0)&amp;" RIR:"&amp;ROUND(SUGERENCIAS!M535,0))))))</f>
        <v>Sin datos anteriores</v>
      </c>
      <c r="W194" s="69">
        <f>MAX(IF((G194&gt;0)*(IF(H194="",-1,H194)&gt;=0)*(IF(H194="",-1,H194)&lt;=1),IF(C194="peso_corporal",IF(ISNUMBER(E194),E194,0)+F194,F194)*G194*1000+F194,0),IF((J194&gt;0)*(IF(K194="",-1,K194)&gt;=0)*(IF(K194="",-1,K194)&lt;=1),IF(C194="peso_corporal",IF(ISNUMBER(E194),E194,0)+I194,I194)*J194*1000+I194,0),IF((M194&gt;0)*(IF(N194="",-1,N194)&gt;=0)*(IF(N194="",-1,N194)&lt;=1),IF(C194="peso_corporal",IF(ISNUMBER(E194),E194,0)+L194,L194)*M194*1000+L194,0),IF((P194&gt;0)*(IF(Q194="",-1,Q194)&gt;=0)*(IF(Q194="",-1,Q194)&lt;=1),IF(C194="peso_corporal",IF(ISNUMBER(E194),E194,0)+O194,O194)*P194*1000+O194,0),IF((S194&gt;0)*(IF(T194="",-1,T194)&gt;=0)*(IF(T194="",-1,T194)&lt;=1),IF(C194="peso_corporal",IF(ISNUMBER(E194),E194,0)+R194,R194)*S194*1000+R194,0))</f>
        <v>0</v>
      </c>
      <c r="X194" s="69">
        <f>IF(W194=0,0,IF(IF((S194&gt;0)*(IF(T194="",-1,T194)&gt;=0)*(IF(T194="",-1,T194)&lt;=1),IF(C194="peso_corporal",IF(ISNUMBER(E194),E194,0)+R194,R194)*S194*1000+R194,0)=W194,5,IF(IF((P194&gt;0)*(IF(Q194="",-1,Q194)&gt;=0)*(IF(Q194="",-1,Q194)&lt;=1),IF(C194="peso_corporal",IF(ISNUMBER(E194),E194,0)+O194,O194)*P194*1000+O194,0)=W194,4,IF(IF((M194&gt;0)*(IF(N194="",-1,N194)&gt;=0)*(IF(N194="",-1,N194)&lt;=1),IF(C194="peso_corporal",IF(ISNUMBER(E194),E194,0)+L194,L194)*M194*1000+L194,0)=W194,3,IF(IF((J194&gt;0)*(IF(K194="",-1,K194)&gt;=0)*(IF(K194="",-1,K194)&lt;=1),IF(C194="peso_corporal",IF(ISNUMBER(E194),E194,0)+I194,I194)*J194*1000+I194,0)=W194,2,IF(IF((G194&gt;0)*(IF(H194="",-1,H194)&gt;=0)*(IF(H194="",-1,H194)&lt;=1),IF(C194="peso_corporal",IF(ISNUMBER(E194),E194,0)+F194,F194)*G194*1000+F194,0)=W194,1,0))))))</f>
        <v>0</v>
      </c>
      <c r="Y194" s="69">
        <f>MAX(IF((G194&gt;0)*(IF(H194="",-1,H194)=0)*(1-(IF(H194="",-1,H194)&gt;=0)*(IF(H194="",-1,H194)&lt;=1)),IF(C194="peso_corporal",IF(ISNUMBER(E194),E194,0)+F194,F194)*G194*1000+F194,0),IF((J194&gt;0)*(IF(K194="",-1,K194)=0)*(1-(IF(K194="",-1,K194)&gt;=0)*(IF(K194="",-1,K194)&lt;=1)),IF(C194="peso_corporal",IF(ISNUMBER(E194),E194,0)+I194,I194)*J194*1000+I194,0),IF((M194&gt;0)*(IF(N194="",-1,N194)=0)*(1-(IF(N194="",-1,N194)&gt;=0)*(IF(N194="",-1,N194)&lt;=1)),IF(C194="peso_corporal",IF(ISNUMBER(E194),E194,0)+L194,L194)*M194*1000+L194,0),IF((P194&gt;0)*(IF(Q194="",-1,Q194)=0)*(1-(IF(Q194="",-1,Q194)&gt;=0)*(IF(Q194="",-1,Q194)&lt;=1)),IF(C194="peso_corporal",IF(ISNUMBER(E194),E194,0)+O194,O194)*P194*1000+O194,0),IF((S194&gt;0)*(IF(T194="",-1,T194)=0)*(1-(IF(T194="",-1,T194)&gt;=0)*(IF(T194="",-1,T194)&lt;=1)),IF(C194="peso_corporal",IF(ISNUMBER(E194),E194,0)+R194,R194)*S194*1000+R194,0))</f>
        <v>0</v>
      </c>
      <c r="Z194" s="69">
        <f>IF(Y194=0,0,IF(IF((S194&gt;0)*(IF(T194="",-1,T194)=0)*(1-(IF(T194="",-1,T194)&gt;=0)*(IF(T194="",-1,T194)&lt;=1)),IF(C194="peso_corporal",IF(ISNUMBER(E194),E194,0)+R194,R194)*S194*1000+R194,0)=Y194,5,IF(IF((P194&gt;0)*(IF(Q194="",-1,Q194)=0)*(1-(IF(Q194="",-1,Q194)&gt;=0)*(IF(Q194="",-1,Q194)&lt;=1)),IF(C194="peso_corporal",IF(ISNUMBER(E194),E194,0)+O194,O194)*P194*1000+O194,0)=Y194,4,IF(IF((M194&gt;0)*(IF(N194="",-1,N194)=0)*(1-(IF(N194="",-1,N194)&gt;=0)*(IF(N194="",-1,N194)&lt;=1)),IF(C194="peso_corporal",IF(ISNUMBER(E194),E194,0)+L194,L194)*M194*1000+L194,0)=Y194,3,IF(IF((J194&gt;0)*(IF(K194="",-1,K194)=0)*(1-(IF(K194="",-1,K194)&gt;=0)*(IF(K194="",-1,K194)&lt;=1)),IF(C194="peso_corporal",IF(ISNUMBER(E194),E194,0)+I194,I194)*J194*1000+I194,0)=Y194,2,IF(IF((G194&gt;0)*(IF(H194="",-1,H194)=0)*(1-(IF(H194="",-1,H194)&gt;=0)*(IF(H194="",-1,H194)&lt;=1)),IF(C194="peso_corporal",IF(ISNUMBER(E194),E194,0)+F194,F194)*G194*1000+F194,0)=Y194,1,0))))))</f>
        <v>0</v>
      </c>
      <c r="AA194" s="69">
        <f>MAX(IF((G194&gt;=3)*(1-(IF(H194="",-1,H194)&gt;=0)*(IF(H194="",-1,H194)&lt;=1))*(1-(IF(H194="",-1,H194)=0)),IF(C194="peso_corporal",IF(ISNUMBER(E194),E194,0)+F194,F194)*(30+G194)*100+F194,0),IF((J194&gt;=3)*(1-(IF(K194="",-1,K194)&gt;=0)*(IF(K194="",-1,K194)&lt;=1))*(1-(IF(K194="",-1,K194)=0)),IF(C194="peso_corporal",IF(ISNUMBER(E194),E194,0)+I194,I194)*(30+J194)*100+I194,0),IF((M194&gt;=3)*(1-(IF(N194="",-1,N194)&gt;=0)*(IF(N194="",-1,N194)&lt;=1))*(1-(IF(N194="",-1,N194)=0)),IF(C194="peso_corporal",IF(ISNUMBER(E194),E194,0)+L194,L194)*(30+M194)*100+L194,0),IF((P194&gt;=3)*(1-(IF(Q194="",-1,Q194)&gt;=0)*(IF(Q194="",-1,Q194)&lt;=1))*(1-(IF(Q194="",-1,Q194)=0)),IF(C194="peso_corporal",IF(ISNUMBER(E194),E194,0)+O194,O194)*(30+P194)*100+O194,0),IF((S194&gt;=3)*(1-(IF(T194="",-1,T194)&gt;=0)*(IF(T194="",-1,T194)&lt;=1))*(1-(IF(T194="",-1,T194)=0)),IF(C194="peso_corporal",IF(ISNUMBER(E194),E194,0)+R194,R194)*(30+S194)*100+R194,0))</f>
        <v>0</v>
      </c>
      <c r="AB194" s="69">
        <f>IF(AA194=0,0,IF(IF((S194&gt;=3)*(1-(IF(T194="",-1,T194)&gt;=0)*(IF(T194="",-1,T194)&lt;=1))*(1-(IF(T194="",-1,T194)=0)),IF(C194="peso_corporal",IF(ISNUMBER(E194),E194,0)+R194,R194)*(30+S194)*100+R194,0)=AA194,5,IF(IF((P194&gt;=3)*(1-(IF(Q194="",-1,Q194)&gt;=0)*(IF(Q194="",-1,Q194)&lt;=1))*(1-(IF(Q194="",-1,Q194)=0)),IF(C194="peso_corporal",IF(ISNUMBER(E194),E194,0)+O194,O194)*(30+P194)*100+O194,0)=AA194,4,IF(IF((M194&gt;=3)*(1-(IF(N194="",-1,N194)&gt;=0)*(IF(N194="",-1,N194)&lt;=1))*(1-(IF(N194="",-1,N194)=0)),IF(C194="peso_corporal",IF(ISNUMBER(E194),E194,0)+L194,L194)*(30+M194)*100+L194,0)=AA194,3,IF(IF((J194&gt;=3)*(1-(IF(K194="",-1,K194)&gt;=0)*(IF(K194="",-1,K194)&lt;=1))*(1-(IF(K194="",-1,K194)=0)),IF(C194="peso_corporal",IF(ISNUMBER(E194),E194,0)+I194,I194)*(30+J194)*100+I194,0)=AA194,2,IF(IF((G194&gt;=3)*(1-(IF(H194="",-1,H194)&gt;=0)*(IF(H194="",-1,H194)&lt;=1))*(1-(IF(H194="",-1,H194)=0)),IF(C194="peso_corporal",IF(ISNUMBER(E194),E194,0)+F194,F194)*(30+G194)*100+F194,0)=AA194,1,0))))))</f>
        <v>0</v>
      </c>
      <c r="AC194" s="69" t="str">
        <f>IF(X194&gt;0,"A"&amp;X194,IF(Z194&gt;0,"B"&amp;Z194,IF(AB194&gt;0,"C"&amp;AB194,"")))</f>
        <v/>
      </c>
    </row>
    <row r="195" spans="1:29" ht="20.100000000000001" customHeight="1">
      <c r="A195" s="14" t="s">
        <v>65</v>
      </c>
      <c r="B195" s="15" t="s">
        <v>137</v>
      </c>
      <c r="C195" s="16" t="str">
        <f>IFERROR(INDEX(EJERCICIOS!$D$3:$D$75,MATCH(A195&amp;"|"&amp;B195,EJERCICIOS!$G$3:$G$75,0)),"--")</f>
        <v>--</v>
      </c>
      <c r="D195" s="17">
        <v>3</v>
      </c>
      <c r="E195" s="18">
        <f>IFERROR(LOOKUP(2,1/(MEDIDAS_Y_PESO!$B$3:$B$11&lt;&gt;""),MEDIDAS_Y_PESO!$B$3:$B$11),"--")</f>
        <v>80</v>
      </c>
      <c r="F195" s="19"/>
      <c r="G195" s="20"/>
      <c r="H195" s="21"/>
      <c r="I195" s="19"/>
      <c r="J195" s="20"/>
      <c r="K195" s="21"/>
      <c r="L195" s="19"/>
      <c r="M195" s="20"/>
      <c r="N195" s="21"/>
      <c r="O195" s="19"/>
      <c r="P195" s="20"/>
      <c r="Q195" s="21"/>
      <c r="R195" s="19"/>
      <c r="S195" s="20"/>
      <c r="T195" s="21"/>
      <c r="U195" s="22" t="str">
        <f>IFERROR(IF(IF(X195&gt;0,X195,IF(Z195&gt;0,Z195,IF(AB195&gt;0,AB195,0)))=0,"--",ROUND(CHOOSE(IF(X195&gt;0,X195,IF(Z195&gt;0,Z195,IF(AB195&gt;0,AB195,0))),IF(C195="peso_corporal",IF(ISNUMBER(E195),E195,0)+F195,F195)*(1+G195/30),IF(C195="peso_corporal",IF(ISNUMBER(E195),E195,0)+I195,I195)*(1+J195/30),IF(C195="peso_corporal",IF(ISNUMBER(E195),E195,0)+L195,L195)*(1+M195/30),IF(C195="peso_corporal",IF(ISNUMBER(E195),E195,0)+O195,O195)*(1+P195/30),IF(C195="peso_corporal",IF(ISNUMBER(E195),E195,0)+R195,R195)*(1+S195/30)),1)),"--")</f>
        <v>--</v>
      </c>
      <c r="V195" s="23" t="str">
        <f>IF(SUGERENCIAS!N536="SIN","Sin datos anteriores",IF(SUGERENCIAS!N536="SUBIR_F","^ SUBIR FUERTE | Kg:"&amp;ROUND(SUGERENCIAS!K536,1)&amp;" R:"&amp;ROUND(SUGERENCIAS!L536,0)&amp;" RIR:"&amp;ROUND(SUGERENCIAS!M536,0),IF(SUGERENCIAS!N536="SUBIR_E","^ SUBIR (Est.) | Kg:"&amp;ROUND(SUGERENCIAS!K536,1)&amp;" R:"&amp;ROUND(SUGERENCIAS!L536,0)&amp;" RIR:"&amp;ROUND(SUGERENCIAS!M536,0),IF(SUGERENCIAS!N536="SUBIR","^ SUBIR | Kg:"&amp;ROUND(SUGERENCIAS!K536,1)&amp;" R:"&amp;ROUND(SUGERENCIAS!L536,0)&amp;" RIR:"&amp;ROUND(SUGERENCIAS!M536,0),IF(SUGERENCIAS!N536="BAJAR","v BAJAR | Kg:"&amp;ROUND(SUGERENCIAS!K536,1)&amp;" R:"&amp;ROUND(SUGERENCIAS!L536,0)&amp;" RIR:"&amp;ROUND(SUGERENCIAS!M536,0),"= MANT | Kg:"&amp;ROUND(SUGERENCIAS!K536,1)&amp;" R:"&amp;ROUND(SUGERENCIAS!L536,0)&amp;" RIR:"&amp;ROUND(SUGERENCIAS!M536,0))))))</f>
        <v>Sin datos anteriores</v>
      </c>
      <c r="W195" s="69">
        <f>MAX(IF((G195&gt;0)*(IF(H195="",-1,H195)&gt;=0)*(IF(H195="",-1,H195)&lt;=1),IF(C195="peso_corporal",IF(ISNUMBER(E195),E195,0)+F195,F195)*G195*1000+F195,0),IF((J195&gt;0)*(IF(K195="",-1,K195)&gt;=0)*(IF(K195="",-1,K195)&lt;=1),IF(C195="peso_corporal",IF(ISNUMBER(E195),E195,0)+I195,I195)*J195*1000+I195,0),IF((M195&gt;0)*(IF(N195="",-1,N195)&gt;=0)*(IF(N195="",-1,N195)&lt;=1),IF(C195="peso_corporal",IF(ISNUMBER(E195),E195,0)+L195,L195)*M195*1000+L195,0),IF((P195&gt;0)*(IF(Q195="",-1,Q195)&gt;=0)*(IF(Q195="",-1,Q195)&lt;=1),IF(C195="peso_corporal",IF(ISNUMBER(E195),E195,0)+O195,O195)*P195*1000+O195,0),IF((S195&gt;0)*(IF(T195="",-1,T195)&gt;=0)*(IF(T195="",-1,T195)&lt;=1),IF(C195="peso_corporal",IF(ISNUMBER(E195),E195,0)+R195,R195)*S195*1000+R195,0))</f>
        <v>0</v>
      </c>
      <c r="X195" s="69">
        <f>IF(W195=0,0,IF(IF((S195&gt;0)*(IF(T195="",-1,T195)&gt;=0)*(IF(T195="",-1,T195)&lt;=1),IF(C195="peso_corporal",IF(ISNUMBER(E195),E195,0)+R195,R195)*S195*1000+R195,0)=W195,5,IF(IF((P195&gt;0)*(IF(Q195="",-1,Q195)&gt;=0)*(IF(Q195="",-1,Q195)&lt;=1),IF(C195="peso_corporal",IF(ISNUMBER(E195),E195,0)+O195,O195)*P195*1000+O195,0)=W195,4,IF(IF((M195&gt;0)*(IF(N195="",-1,N195)&gt;=0)*(IF(N195="",-1,N195)&lt;=1),IF(C195="peso_corporal",IF(ISNUMBER(E195),E195,0)+L195,L195)*M195*1000+L195,0)=W195,3,IF(IF((J195&gt;0)*(IF(K195="",-1,K195)&gt;=0)*(IF(K195="",-1,K195)&lt;=1),IF(C195="peso_corporal",IF(ISNUMBER(E195),E195,0)+I195,I195)*J195*1000+I195,0)=W195,2,IF(IF((G195&gt;0)*(IF(H195="",-1,H195)&gt;=0)*(IF(H195="",-1,H195)&lt;=1),IF(C195="peso_corporal",IF(ISNUMBER(E195),E195,0)+F195,F195)*G195*1000+F195,0)=W195,1,0))))))</f>
        <v>0</v>
      </c>
      <c r="Y195" s="69">
        <f>MAX(IF((G195&gt;0)*(IF(H195="",-1,H195)=0)*(1-(IF(H195="",-1,H195)&gt;=0)*(IF(H195="",-1,H195)&lt;=1)),IF(C195="peso_corporal",IF(ISNUMBER(E195),E195,0)+F195,F195)*G195*1000+F195,0),IF((J195&gt;0)*(IF(K195="",-1,K195)=0)*(1-(IF(K195="",-1,K195)&gt;=0)*(IF(K195="",-1,K195)&lt;=1)),IF(C195="peso_corporal",IF(ISNUMBER(E195),E195,0)+I195,I195)*J195*1000+I195,0),IF((M195&gt;0)*(IF(N195="",-1,N195)=0)*(1-(IF(N195="",-1,N195)&gt;=0)*(IF(N195="",-1,N195)&lt;=1)),IF(C195="peso_corporal",IF(ISNUMBER(E195),E195,0)+L195,L195)*M195*1000+L195,0),IF((P195&gt;0)*(IF(Q195="",-1,Q195)=0)*(1-(IF(Q195="",-1,Q195)&gt;=0)*(IF(Q195="",-1,Q195)&lt;=1)),IF(C195="peso_corporal",IF(ISNUMBER(E195),E195,0)+O195,O195)*P195*1000+O195,0),IF((S195&gt;0)*(IF(T195="",-1,T195)=0)*(1-(IF(T195="",-1,T195)&gt;=0)*(IF(T195="",-1,T195)&lt;=1)),IF(C195="peso_corporal",IF(ISNUMBER(E195),E195,0)+R195,R195)*S195*1000+R195,0))</f>
        <v>0</v>
      </c>
      <c r="Z195" s="69">
        <f>IF(Y195=0,0,IF(IF((S195&gt;0)*(IF(T195="",-1,T195)=0)*(1-(IF(T195="",-1,T195)&gt;=0)*(IF(T195="",-1,T195)&lt;=1)),IF(C195="peso_corporal",IF(ISNUMBER(E195),E195,0)+R195,R195)*S195*1000+R195,0)=Y195,5,IF(IF((P195&gt;0)*(IF(Q195="",-1,Q195)=0)*(1-(IF(Q195="",-1,Q195)&gt;=0)*(IF(Q195="",-1,Q195)&lt;=1)),IF(C195="peso_corporal",IF(ISNUMBER(E195),E195,0)+O195,O195)*P195*1000+O195,0)=Y195,4,IF(IF((M195&gt;0)*(IF(N195="",-1,N195)=0)*(1-(IF(N195="",-1,N195)&gt;=0)*(IF(N195="",-1,N195)&lt;=1)),IF(C195="peso_corporal",IF(ISNUMBER(E195),E195,0)+L195,L195)*M195*1000+L195,0)=Y195,3,IF(IF((J195&gt;0)*(IF(K195="",-1,K195)=0)*(1-(IF(K195="",-1,K195)&gt;=0)*(IF(K195="",-1,K195)&lt;=1)),IF(C195="peso_corporal",IF(ISNUMBER(E195),E195,0)+I195,I195)*J195*1000+I195,0)=Y195,2,IF(IF((G195&gt;0)*(IF(H195="",-1,H195)=0)*(1-(IF(H195="",-1,H195)&gt;=0)*(IF(H195="",-1,H195)&lt;=1)),IF(C195="peso_corporal",IF(ISNUMBER(E195),E195,0)+F195,F195)*G195*1000+F195,0)=Y195,1,0))))))</f>
        <v>0</v>
      </c>
      <c r="AA195" s="69">
        <f>MAX(IF((G195&gt;=3)*(1-(IF(H195="",-1,H195)&gt;=0)*(IF(H195="",-1,H195)&lt;=1))*(1-(IF(H195="",-1,H195)=0)),IF(C195="peso_corporal",IF(ISNUMBER(E195),E195,0)+F195,F195)*(30+G195)*100+F195,0),IF((J195&gt;=3)*(1-(IF(K195="",-1,K195)&gt;=0)*(IF(K195="",-1,K195)&lt;=1))*(1-(IF(K195="",-1,K195)=0)),IF(C195="peso_corporal",IF(ISNUMBER(E195),E195,0)+I195,I195)*(30+J195)*100+I195,0),IF((M195&gt;=3)*(1-(IF(N195="",-1,N195)&gt;=0)*(IF(N195="",-1,N195)&lt;=1))*(1-(IF(N195="",-1,N195)=0)),IF(C195="peso_corporal",IF(ISNUMBER(E195),E195,0)+L195,L195)*(30+M195)*100+L195,0),IF((P195&gt;=3)*(1-(IF(Q195="",-1,Q195)&gt;=0)*(IF(Q195="",-1,Q195)&lt;=1))*(1-(IF(Q195="",-1,Q195)=0)),IF(C195="peso_corporal",IF(ISNUMBER(E195),E195,0)+O195,O195)*(30+P195)*100+O195,0),IF((S195&gt;=3)*(1-(IF(T195="",-1,T195)&gt;=0)*(IF(T195="",-1,T195)&lt;=1))*(1-(IF(T195="",-1,T195)=0)),IF(C195="peso_corporal",IF(ISNUMBER(E195),E195,0)+R195,R195)*(30+S195)*100+R195,0))</f>
        <v>0</v>
      </c>
      <c r="AB195" s="69">
        <f>IF(AA195=0,0,IF(IF((S195&gt;=3)*(1-(IF(T195="",-1,T195)&gt;=0)*(IF(T195="",-1,T195)&lt;=1))*(1-(IF(T195="",-1,T195)=0)),IF(C195="peso_corporal",IF(ISNUMBER(E195),E195,0)+R195,R195)*(30+S195)*100+R195,0)=AA195,5,IF(IF((P195&gt;=3)*(1-(IF(Q195="",-1,Q195)&gt;=0)*(IF(Q195="",-1,Q195)&lt;=1))*(1-(IF(Q195="",-1,Q195)=0)),IF(C195="peso_corporal",IF(ISNUMBER(E195),E195,0)+O195,O195)*(30+P195)*100+O195,0)=AA195,4,IF(IF((M195&gt;=3)*(1-(IF(N195="",-1,N195)&gt;=0)*(IF(N195="",-1,N195)&lt;=1))*(1-(IF(N195="",-1,N195)=0)),IF(C195="peso_corporal",IF(ISNUMBER(E195),E195,0)+L195,L195)*(30+M195)*100+L195,0)=AA195,3,IF(IF((J195&gt;=3)*(1-(IF(K195="",-1,K195)&gt;=0)*(IF(K195="",-1,K195)&lt;=1))*(1-(IF(K195="",-1,K195)=0)),IF(C195="peso_corporal",IF(ISNUMBER(E195),E195,0)+I195,I195)*(30+J195)*100+I195,0)=AA195,2,IF(IF((G195&gt;=3)*(1-(IF(H195="",-1,H195)&gt;=0)*(IF(H195="",-1,H195)&lt;=1))*(1-(IF(H195="",-1,H195)=0)),IF(C195="peso_corporal",IF(ISNUMBER(E195),E195,0)+F195,F195)*(30+G195)*100+F195,0)=AA195,1,0))))))</f>
        <v>0</v>
      </c>
      <c r="AC195" s="69" t="str">
        <f>IF(X195&gt;0,"A"&amp;X195,IF(Z195&gt;0,"B"&amp;Z195,IF(AB195&gt;0,"C"&amp;AB195,"")))</f>
        <v/>
      </c>
    </row>
    <row r="196" spans="1:29" ht="15" customHeight="1">
      <c r="A196" s="89" t="s">
        <v>138</v>
      </c>
      <c r="B196" s="73"/>
      <c r="C196" s="73"/>
      <c r="D196" s="73"/>
      <c r="E196" s="73"/>
      <c r="F196" s="73"/>
      <c r="G196" s="73"/>
      <c r="H196" s="73"/>
      <c r="I196" s="73"/>
      <c r="J196" s="73"/>
      <c r="K196" s="73"/>
      <c r="L196" s="73"/>
      <c r="M196" s="73"/>
      <c r="N196" s="73"/>
      <c r="O196" s="73"/>
      <c r="P196" s="73"/>
      <c r="Q196" s="73"/>
      <c r="R196" s="73"/>
      <c r="S196" s="73"/>
      <c r="T196" s="73"/>
      <c r="U196" s="73"/>
      <c r="V196" s="73"/>
      <c r="W196" s="69"/>
      <c r="X196" s="69"/>
      <c r="Y196" s="69"/>
      <c r="Z196" s="69"/>
      <c r="AA196" s="69"/>
      <c r="AB196" s="69"/>
      <c r="AC196" s="69"/>
    </row>
    <row r="197" spans="1:29" ht="20.100000000000001" customHeight="1">
      <c r="A197" s="14" t="s">
        <v>139</v>
      </c>
      <c r="B197" s="15" t="s">
        <v>140</v>
      </c>
      <c r="C197" s="16" t="str">
        <f>IFERROR(INDEX(EJERCICIOS!$D$3:$D$75,MATCH(A197&amp;"|"&amp;B197,EJERCICIOS!$G$3:$G$75,0)),"--")</f>
        <v>disco</v>
      </c>
      <c r="D197" s="17">
        <v>3</v>
      </c>
      <c r="E197" s="18">
        <f>IFERROR(LOOKUP(2,1/(MEDIDAS_Y_PESO!$B$3:$B$11&lt;&gt;""),MEDIDAS_Y_PESO!$B$3:$B$11),"--")</f>
        <v>80</v>
      </c>
      <c r="F197" s="19"/>
      <c r="G197" s="20"/>
      <c r="H197" s="21"/>
      <c r="I197" s="19"/>
      <c r="J197" s="20"/>
      <c r="K197" s="21"/>
      <c r="L197" s="19"/>
      <c r="M197" s="20"/>
      <c r="N197" s="21"/>
      <c r="O197" s="19"/>
      <c r="P197" s="20"/>
      <c r="Q197" s="21"/>
      <c r="R197" s="19"/>
      <c r="S197" s="20"/>
      <c r="T197" s="21"/>
      <c r="U197" s="22" t="str">
        <f>IFERROR(IF(IF(X197&gt;0,X197,IF(Z197&gt;0,Z197,IF(AB197&gt;0,AB197,0)))=0,"--",ROUND(CHOOSE(IF(X197&gt;0,X197,IF(Z197&gt;0,Z197,IF(AB197&gt;0,AB197,0))),IF(C197="peso_corporal",IF(ISNUMBER(E197),E197,0)+F197,F197)*(1+G197/30),IF(C197="peso_corporal",IF(ISNUMBER(E197),E197,0)+I197,I197)*(1+J197/30),IF(C197="peso_corporal",IF(ISNUMBER(E197),E197,0)+L197,L197)*(1+M197/30),IF(C197="peso_corporal",IF(ISNUMBER(E197),E197,0)+O197,O197)*(1+P197/30),IF(C197="peso_corporal",IF(ISNUMBER(E197),E197,0)+R197,R197)*(1+S197/30)),1)),"--")</f>
        <v>--</v>
      </c>
      <c r="V197" s="23" t="str">
        <f>IF(SUGERENCIAS!N537="SIN","Sin datos anteriores",IF(SUGERENCIAS!N537="SUBIR_F","^ SUBIR FUERTE | Kg:"&amp;ROUND(SUGERENCIAS!K537,1)&amp;" R:"&amp;ROUND(SUGERENCIAS!L537,0)&amp;" RIR:"&amp;ROUND(SUGERENCIAS!M537,0),IF(SUGERENCIAS!N537="SUBIR_E","^ SUBIR (Est.) | Kg:"&amp;ROUND(SUGERENCIAS!K537,1)&amp;" R:"&amp;ROUND(SUGERENCIAS!L537,0)&amp;" RIR:"&amp;ROUND(SUGERENCIAS!M537,0),IF(SUGERENCIAS!N537="SUBIR","^ SUBIR | Kg:"&amp;ROUND(SUGERENCIAS!K537,1)&amp;" R:"&amp;ROUND(SUGERENCIAS!L537,0)&amp;" RIR:"&amp;ROUND(SUGERENCIAS!M537,0),IF(SUGERENCIAS!N537="BAJAR","v BAJAR | Kg:"&amp;ROUND(SUGERENCIAS!K537,1)&amp;" R:"&amp;ROUND(SUGERENCIAS!L537,0)&amp;" RIR:"&amp;ROUND(SUGERENCIAS!M537,0),"= MANT | Kg:"&amp;ROUND(SUGERENCIAS!K537,1)&amp;" R:"&amp;ROUND(SUGERENCIAS!L537,0)&amp;" RIR:"&amp;ROUND(SUGERENCIAS!M537,0))))))</f>
        <v>Sin datos anteriores</v>
      </c>
      <c r="W197" s="69">
        <f>MAX(IF((G197&gt;0)*(IF(H197="",-1,H197)&gt;=0)*(IF(H197="",-1,H197)&lt;=1),IF(C197="peso_corporal",IF(ISNUMBER(E197),E197,0)+F197,F197)*G197*1000+F197,0),IF((J197&gt;0)*(IF(K197="",-1,K197)&gt;=0)*(IF(K197="",-1,K197)&lt;=1),IF(C197="peso_corporal",IF(ISNUMBER(E197),E197,0)+I197,I197)*J197*1000+I197,0),IF((M197&gt;0)*(IF(N197="",-1,N197)&gt;=0)*(IF(N197="",-1,N197)&lt;=1),IF(C197="peso_corporal",IF(ISNUMBER(E197),E197,0)+L197,L197)*M197*1000+L197,0),IF((P197&gt;0)*(IF(Q197="",-1,Q197)&gt;=0)*(IF(Q197="",-1,Q197)&lt;=1),IF(C197="peso_corporal",IF(ISNUMBER(E197),E197,0)+O197,O197)*P197*1000+O197,0),IF((S197&gt;0)*(IF(T197="",-1,T197)&gt;=0)*(IF(T197="",-1,T197)&lt;=1),IF(C197="peso_corporal",IF(ISNUMBER(E197),E197,0)+R197,R197)*S197*1000+R197,0))</f>
        <v>0</v>
      </c>
      <c r="X197" s="69">
        <f>IF(W197=0,0,IF(IF((S197&gt;0)*(IF(T197="",-1,T197)&gt;=0)*(IF(T197="",-1,T197)&lt;=1),IF(C197="peso_corporal",IF(ISNUMBER(E197),E197,0)+R197,R197)*S197*1000+R197,0)=W197,5,IF(IF((P197&gt;0)*(IF(Q197="",-1,Q197)&gt;=0)*(IF(Q197="",-1,Q197)&lt;=1),IF(C197="peso_corporal",IF(ISNUMBER(E197),E197,0)+O197,O197)*P197*1000+O197,0)=W197,4,IF(IF((M197&gt;0)*(IF(N197="",-1,N197)&gt;=0)*(IF(N197="",-1,N197)&lt;=1),IF(C197="peso_corporal",IF(ISNUMBER(E197),E197,0)+L197,L197)*M197*1000+L197,0)=W197,3,IF(IF((J197&gt;0)*(IF(K197="",-1,K197)&gt;=0)*(IF(K197="",-1,K197)&lt;=1),IF(C197="peso_corporal",IF(ISNUMBER(E197),E197,0)+I197,I197)*J197*1000+I197,0)=W197,2,IF(IF((G197&gt;0)*(IF(H197="",-1,H197)&gt;=0)*(IF(H197="",-1,H197)&lt;=1),IF(C197="peso_corporal",IF(ISNUMBER(E197),E197,0)+F197,F197)*G197*1000+F197,0)=W197,1,0))))))</f>
        <v>0</v>
      </c>
      <c r="Y197" s="69">
        <f>MAX(IF((G197&gt;0)*(IF(H197="",-1,H197)=0)*(1-(IF(H197="",-1,H197)&gt;=0)*(IF(H197="",-1,H197)&lt;=1)),IF(C197="peso_corporal",IF(ISNUMBER(E197),E197,0)+F197,F197)*G197*1000+F197,0),IF((J197&gt;0)*(IF(K197="",-1,K197)=0)*(1-(IF(K197="",-1,K197)&gt;=0)*(IF(K197="",-1,K197)&lt;=1)),IF(C197="peso_corporal",IF(ISNUMBER(E197),E197,0)+I197,I197)*J197*1000+I197,0),IF((M197&gt;0)*(IF(N197="",-1,N197)=0)*(1-(IF(N197="",-1,N197)&gt;=0)*(IF(N197="",-1,N197)&lt;=1)),IF(C197="peso_corporal",IF(ISNUMBER(E197),E197,0)+L197,L197)*M197*1000+L197,0),IF((P197&gt;0)*(IF(Q197="",-1,Q197)=0)*(1-(IF(Q197="",-1,Q197)&gt;=0)*(IF(Q197="",-1,Q197)&lt;=1)),IF(C197="peso_corporal",IF(ISNUMBER(E197),E197,0)+O197,O197)*P197*1000+O197,0),IF((S197&gt;0)*(IF(T197="",-1,T197)=0)*(1-(IF(T197="",-1,T197)&gt;=0)*(IF(T197="",-1,T197)&lt;=1)),IF(C197="peso_corporal",IF(ISNUMBER(E197),E197,0)+R197,R197)*S197*1000+R197,0))</f>
        <v>0</v>
      </c>
      <c r="Z197" s="69">
        <f>IF(Y197=0,0,IF(IF((S197&gt;0)*(IF(T197="",-1,T197)=0)*(1-(IF(T197="",-1,T197)&gt;=0)*(IF(T197="",-1,T197)&lt;=1)),IF(C197="peso_corporal",IF(ISNUMBER(E197),E197,0)+R197,R197)*S197*1000+R197,0)=Y197,5,IF(IF((P197&gt;0)*(IF(Q197="",-1,Q197)=0)*(1-(IF(Q197="",-1,Q197)&gt;=0)*(IF(Q197="",-1,Q197)&lt;=1)),IF(C197="peso_corporal",IF(ISNUMBER(E197),E197,0)+O197,O197)*P197*1000+O197,0)=Y197,4,IF(IF((M197&gt;0)*(IF(N197="",-1,N197)=0)*(1-(IF(N197="",-1,N197)&gt;=0)*(IF(N197="",-1,N197)&lt;=1)),IF(C197="peso_corporal",IF(ISNUMBER(E197),E197,0)+L197,L197)*M197*1000+L197,0)=Y197,3,IF(IF((J197&gt;0)*(IF(K197="",-1,K197)=0)*(1-(IF(K197="",-1,K197)&gt;=0)*(IF(K197="",-1,K197)&lt;=1)),IF(C197="peso_corporal",IF(ISNUMBER(E197),E197,0)+I197,I197)*J197*1000+I197,0)=Y197,2,IF(IF((G197&gt;0)*(IF(H197="",-1,H197)=0)*(1-(IF(H197="",-1,H197)&gt;=0)*(IF(H197="",-1,H197)&lt;=1)),IF(C197="peso_corporal",IF(ISNUMBER(E197),E197,0)+F197,F197)*G197*1000+F197,0)=Y197,1,0))))))</f>
        <v>0</v>
      </c>
      <c r="AA197" s="69">
        <f>MAX(IF((G197&gt;=3)*(1-(IF(H197="",-1,H197)&gt;=0)*(IF(H197="",-1,H197)&lt;=1))*(1-(IF(H197="",-1,H197)=0)),IF(C197="peso_corporal",IF(ISNUMBER(E197),E197,0)+F197,F197)*(30+G197)*100+F197,0),IF((J197&gt;=3)*(1-(IF(K197="",-1,K197)&gt;=0)*(IF(K197="",-1,K197)&lt;=1))*(1-(IF(K197="",-1,K197)=0)),IF(C197="peso_corporal",IF(ISNUMBER(E197),E197,0)+I197,I197)*(30+J197)*100+I197,0),IF((M197&gt;=3)*(1-(IF(N197="",-1,N197)&gt;=0)*(IF(N197="",-1,N197)&lt;=1))*(1-(IF(N197="",-1,N197)=0)),IF(C197="peso_corporal",IF(ISNUMBER(E197),E197,0)+L197,L197)*(30+M197)*100+L197,0),IF((P197&gt;=3)*(1-(IF(Q197="",-1,Q197)&gt;=0)*(IF(Q197="",-1,Q197)&lt;=1))*(1-(IF(Q197="",-1,Q197)=0)),IF(C197="peso_corporal",IF(ISNUMBER(E197),E197,0)+O197,O197)*(30+P197)*100+O197,0),IF((S197&gt;=3)*(1-(IF(T197="",-1,T197)&gt;=0)*(IF(T197="",-1,T197)&lt;=1))*(1-(IF(T197="",-1,T197)=0)),IF(C197="peso_corporal",IF(ISNUMBER(E197),E197,0)+R197,R197)*(30+S197)*100+R197,0))</f>
        <v>0</v>
      </c>
      <c r="AB197" s="69">
        <f>IF(AA197=0,0,IF(IF((S197&gt;=3)*(1-(IF(T197="",-1,T197)&gt;=0)*(IF(T197="",-1,T197)&lt;=1))*(1-(IF(T197="",-1,T197)=0)),IF(C197="peso_corporal",IF(ISNUMBER(E197),E197,0)+R197,R197)*(30+S197)*100+R197,0)=AA197,5,IF(IF((P197&gt;=3)*(1-(IF(Q197="",-1,Q197)&gt;=0)*(IF(Q197="",-1,Q197)&lt;=1))*(1-(IF(Q197="",-1,Q197)=0)),IF(C197="peso_corporal",IF(ISNUMBER(E197),E197,0)+O197,O197)*(30+P197)*100+O197,0)=AA197,4,IF(IF((M197&gt;=3)*(1-(IF(N197="",-1,N197)&gt;=0)*(IF(N197="",-1,N197)&lt;=1))*(1-(IF(N197="",-1,N197)=0)),IF(C197="peso_corporal",IF(ISNUMBER(E197),E197,0)+L197,L197)*(30+M197)*100+L197,0)=AA197,3,IF(IF((J197&gt;=3)*(1-(IF(K197="",-1,K197)&gt;=0)*(IF(K197="",-1,K197)&lt;=1))*(1-(IF(K197="",-1,K197)=0)),IF(C197="peso_corporal",IF(ISNUMBER(E197),E197,0)+I197,I197)*(30+J197)*100+I197,0)=AA197,2,IF(IF((G197&gt;=3)*(1-(IF(H197="",-1,H197)&gt;=0)*(IF(H197="",-1,H197)&lt;=1))*(1-(IF(H197="",-1,H197)=0)),IF(C197="peso_corporal",IF(ISNUMBER(E197),E197,0)+F197,F197)*(30+G197)*100+F197,0)=AA197,1,0))))))</f>
        <v>0</v>
      </c>
      <c r="AC197" s="69" t="str">
        <f>IF(X197&gt;0,"A"&amp;X197,IF(Z197&gt;0,"B"&amp;Z197,IF(AB197&gt;0,"C"&amp;AB197,"")))</f>
        <v/>
      </c>
    </row>
    <row r="198" spans="1:29" ht="20.100000000000001" customHeight="1">
      <c r="A198" s="14" t="s">
        <v>139</v>
      </c>
      <c r="B198" s="15" t="s">
        <v>141</v>
      </c>
      <c r="C198" s="16" t="str">
        <f>IFERROR(INDEX(EJERCICIOS!$D$3:$D$75,MATCH(A198&amp;"|"&amp;B198,EJERCICIOS!$G$3:$G$75,0)),"--")</f>
        <v>disco</v>
      </c>
      <c r="D198" s="17">
        <v>3</v>
      </c>
      <c r="E198" s="18">
        <f>IFERROR(LOOKUP(2,1/(MEDIDAS_Y_PESO!$B$3:$B$11&lt;&gt;""),MEDIDAS_Y_PESO!$B$3:$B$11),"--")</f>
        <v>80</v>
      </c>
      <c r="F198" s="19"/>
      <c r="G198" s="20"/>
      <c r="H198" s="21"/>
      <c r="I198" s="19"/>
      <c r="J198" s="20"/>
      <c r="K198" s="21"/>
      <c r="L198" s="19"/>
      <c r="M198" s="20"/>
      <c r="N198" s="21"/>
      <c r="O198" s="19"/>
      <c r="P198" s="20"/>
      <c r="Q198" s="21"/>
      <c r="R198" s="19"/>
      <c r="S198" s="20"/>
      <c r="T198" s="21"/>
      <c r="U198" s="22" t="str">
        <f>IFERROR(IF(IF(X198&gt;0,X198,IF(Z198&gt;0,Z198,IF(AB198&gt;0,AB198,0)))=0,"--",ROUND(CHOOSE(IF(X198&gt;0,X198,IF(Z198&gt;0,Z198,IF(AB198&gt;0,AB198,0))),IF(C198="peso_corporal",IF(ISNUMBER(E198),E198,0)+F198,F198)*(1+G198/30),IF(C198="peso_corporal",IF(ISNUMBER(E198),E198,0)+I198,I198)*(1+J198/30),IF(C198="peso_corporal",IF(ISNUMBER(E198),E198,0)+L198,L198)*(1+M198/30),IF(C198="peso_corporal",IF(ISNUMBER(E198),E198,0)+O198,O198)*(1+P198/30),IF(C198="peso_corporal",IF(ISNUMBER(E198),E198,0)+R198,R198)*(1+S198/30)),1)),"--")</f>
        <v>--</v>
      </c>
      <c r="V198" s="23" t="str">
        <f>IF(SUGERENCIAS!N538="SIN","Sin datos anteriores",IF(SUGERENCIAS!N538="SUBIR_F","^ SUBIR FUERTE | Kg:"&amp;ROUND(SUGERENCIAS!K538,1)&amp;" R:"&amp;ROUND(SUGERENCIAS!L538,0)&amp;" RIR:"&amp;ROUND(SUGERENCIAS!M538,0),IF(SUGERENCIAS!N538="SUBIR_E","^ SUBIR (Est.) | Kg:"&amp;ROUND(SUGERENCIAS!K538,1)&amp;" R:"&amp;ROUND(SUGERENCIAS!L538,0)&amp;" RIR:"&amp;ROUND(SUGERENCIAS!M538,0),IF(SUGERENCIAS!N538="SUBIR","^ SUBIR | Kg:"&amp;ROUND(SUGERENCIAS!K538,1)&amp;" R:"&amp;ROUND(SUGERENCIAS!L538,0)&amp;" RIR:"&amp;ROUND(SUGERENCIAS!M538,0),IF(SUGERENCIAS!N538="BAJAR","v BAJAR | Kg:"&amp;ROUND(SUGERENCIAS!K538,1)&amp;" R:"&amp;ROUND(SUGERENCIAS!L538,0)&amp;" RIR:"&amp;ROUND(SUGERENCIAS!M538,0),"= MANT | Kg:"&amp;ROUND(SUGERENCIAS!K538,1)&amp;" R:"&amp;ROUND(SUGERENCIAS!L538,0)&amp;" RIR:"&amp;ROUND(SUGERENCIAS!M538,0))))))</f>
        <v>Sin datos anteriores</v>
      </c>
      <c r="W198" s="69">
        <f>MAX(IF((G198&gt;0)*(IF(H198="",-1,H198)&gt;=0)*(IF(H198="",-1,H198)&lt;=1),IF(C198="peso_corporal",IF(ISNUMBER(E198),E198,0)+F198,F198)*G198*1000+F198,0),IF((J198&gt;0)*(IF(K198="",-1,K198)&gt;=0)*(IF(K198="",-1,K198)&lt;=1),IF(C198="peso_corporal",IF(ISNUMBER(E198),E198,0)+I198,I198)*J198*1000+I198,0),IF((M198&gt;0)*(IF(N198="",-1,N198)&gt;=0)*(IF(N198="",-1,N198)&lt;=1),IF(C198="peso_corporal",IF(ISNUMBER(E198),E198,0)+L198,L198)*M198*1000+L198,0),IF((P198&gt;0)*(IF(Q198="",-1,Q198)&gt;=0)*(IF(Q198="",-1,Q198)&lt;=1),IF(C198="peso_corporal",IF(ISNUMBER(E198),E198,0)+O198,O198)*P198*1000+O198,0),IF((S198&gt;0)*(IF(T198="",-1,T198)&gt;=0)*(IF(T198="",-1,T198)&lt;=1),IF(C198="peso_corporal",IF(ISNUMBER(E198),E198,0)+R198,R198)*S198*1000+R198,0))</f>
        <v>0</v>
      </c>
      <c r="X198" s="69">
        <f>IF(W198=0,0,IF(IF((S198&gt;0)*(IF(T198="",-1,T198)&gt;=0)*(IF(T198="",-1,T198)&lt;=1),IF(C198="peso_corporal",IF(ISNUMBER(E198),E198,0)+R198,R198)*S198*1000+R198,0)=W198,5,IF(IF((P198&gt;0)*(IF(Q198="",-1,Q198)&gt;=0)*(IF(Q198="",-1,Q198)&lt;=1),IF(C198="peso_corporal",IF(ISNUMBER(E198),E198,0)+O198,O198)*P198*1000+O198,0)=W198,4,IF(IF((M198&gt;0)*(IF(N198="",-1,N198)&gt;=0)*(IF(N198="",-1,N198)&lt;=1),IF(C198="peso_corporal",IF(ISNUMBER(E198),E198,0)+L198,L198)*M198*1000+L198,0)=W198,3,IF(IF((J198&gt;0)*(IF(K198="",-1,K198)&gt;=0)*(IF(K198="",-1,K198)&lt;=1),IF(C198="peso_corporal",IF(ISNUMBER(E198),E198,0)+I198,I198)*J198*1000+I198,0)=W198,2,IF(IF((G198&gt;0)*(IF(H198="",-1,H198)&gt;=0)*(IF(H198="",-1,H198)&lt;=1),IF(C198="peso_corporal",IF(ISNUMBER(E198),E198,0)+F198,F198)*G198*1000+F198,0)=W198,1,0))))))</f>
        <v>0</v>
      </c>
      <c r="Y198" s="69">
        <f>MAX(IF((G198&gt;0)*(IF(H198="",-1,H198)=0)*(1-(IF(H198="",-1,H198)&gt;=0)*(IF(H198="",-1,H198)&lt;=1)),IF(C198="peso_corporal",IF(ISNUMBER(E198),E198,0)+F198,F198)*G198*1000+F198,0),IF((J198&gt;0)*(IF(K198="",-1,K198)=0)*(1-(IF(K198="",-1,K198)&gt;=0)*(IF(K198="",-1,K198)&lt;=1)),IF(C198="peso_corporal",IF(ISNUMBER(E198),E198,0)+I198,I198)*J198*1000+I198,0),IF((M198&gt;0)*(IF(N198="",-1,N198)=0)*(1-(IF(N198="",-1,N198)&gt;=0)*(IF(N198="",-1,N198)&lt;=1)),IF(C198="peso_corporal",IF(ISNUMBER(E198),E198,0)+L198,L198)*M198*1000+L198,0),IF((P198&gt;0)*(IF(Q198="",-1,Q198)=0)*(1-(IF(Q198="",-1,Q198)&gt;=0)*(IF(Q198="",-1,Q198)&lt;=1)),IF(C198="peso_corporal",IF(ISNUMBER(E198),E198,0)+O198,O198)*P198*1000+O198,0),IF((S198&gt;0)*(IF(T198="",-1,T198)=0)*(1-(IF(T198="",-1,T198)&gt;=0)*(IF(T198="",-1,T198)&lt;=1)),IF(C198="peso_corporal",IF(ISNUMBER(E198),E198,0)+R198,R198)*S198*1000+R198,0))</f>
        <v>0</v>
      </c>
      <c r="Z198" s="69">
        <f>IF(Y198=0,0,IF(IF((S198&gt;0)*(IF(T198="",-1,T198)=0)*(1-(IF(T198="",-1,T198)&gt;=0)*(IF(T198="",-1,T198)&lt;=1)),IF(C198="peso_corporal",IF(ISNUMBER(E198),E198,0)+R198,R198)*S198*1000+R198,0)=Y198,5,IF(IF((P198&gt;0)*(IF(Q198="",-1,Q198)=0)*(1-(IF(Q198="",-1,Q198)&gt;=0)*(IF(Q198="",-1,Q198)&lt;=1)),IF(C198="peso_corporal",IF(ISNUMBER(E198),E198,0)+O198,O198)*P198*1000+O198,0)=Y198,4,IF(IF((M198&gt;0)*(IF(N198="",-1,N198)=0)*(1-(IF(N198="",-1,N198)&gt;=0)*(IF(N198="",-1,N198)&lt;=1)),IF(C198="peso_corporal",IF(ISNUMBER(E198),E198,0)+L198,L198)*M198*1000+L198,0)=Y198,3,IF(IF((J198&gt;0)*(IF(K198="",-1,K198)=0)*(1-(IF(K198="",-1,K198)&gt;=0)*(IF(K198="",-1,K198)&lt;=1)),IF(C198="peso_corporal",IF(ISNUMBER(E198),E198,0)+I198,I198)*J198*1000+I198,0)=Y198,2,IF(IF((G198&gt;0)*(IF(H198="",-1,H198)=0)*(1-(IF(H198="",-1,H198)&gt;=0)*(IF(H198="",-1,H198)&lt;=1)),IF(C198="peso_corporal",IF(ISNUMBER(E198),E198,0)+F198,F198)*G198*1000+F198,0)=Y198,1,0))))))</f>
        <v>0</v>
      </c>
      <c r="AA198" s="69">
        <f>MAX(IF((G198&gt;=3)*(1-(IF(H198="",-1,H198)&gt;=0)*(IF(H198="",-1,H198)&lt;=1))*(1-(IF(H198="",-1,H198)=0)),IF(C198="peso_corporal",IF(ISNUMBER(E198),E198,0)+F198,F198)*(30+G198)*100+F198,0),IF((J198&gt;=3)*(1-(IF(K198="",-1,K198)&gt;=0)*(IF(K198="",-1,K198)&lt;=1))*(1-(IF(K198="",-1,K198)=0)),IF(C198="peso_corporal",IF(ISNUMBER(E198),E198,0)+I198,I198)*(30+J198)*100+I198,0),IF((M198&gt;=3)*(1-(IF(N198="",-1,N198)&gt;=0)*(IF(N198="",-1,N198)&lt;=1))*(1-(IF(N198="",-1,N198)=0)),IF(C198="peso_corporal",IF(ISNUMBER(E198),E198,0)+L198,L198)*(30+M198)*100+L198,0),IF((P198&gt;=3)*(1-(IF(Q198="",-1,Q198)&gt;=0)*(IF(Q198="",-1,Q198)&lt;=1))*(1-(IF(Q198="",-1,Q198)=0)),IF(C198="peso_corporal",IF(ISNUMBER(E198),E198,0)+O198,O198)*(30+P198)*100+O198,0),IF((S198&gt;=3)*(1-(IF(T198="",-1,T198)&gt;=0)*(IF(T198="",-1,T198)&lt;=1))*(1-(IF(T198="",-1,T198)=0)),IF(C198="peso_corporal",IF(ISNUMBER(E198),E198,0)+R198,R198)*(30+S198)*100+R198,0))</f>
        <v>0</v>
      </c>
      <c r="AB198" s="69">
        <f>IF(AA198=0,0,IF(IF((S198&gt;=3)*(1-(IF(T198="",-1,T198)&gt;=0)*(IF(T198="",-1,T198)&lt;=1))*(1-(IF(T198="",-1,T198)=0)),IF(C198="peso_corporal",IF(ISNUMBER(E198),E198,0)+R198,R198)*(30+S198)*100+R198,0)=AA198,5,IF(IF((P198&gt;=3)*(1-(IF(Q198="",-1,Q198)&gt;=0)*(IF(Q198="",-1,Q198)&lt;=1))*(1-(IF(Q198="",-1,Q198)=0)),IF(C198="peso_corporal",IF(ISNUMBER(E198),E198,0)+O198,O198)*(30+P198)*100+O198,0)=AA198,4,IF(IF((M198&gt;=3)*(1-(IF(N198="",-1,N198)&gt;=0)*(IF(N198="",-1,N198)&lt;=1))*(1-(IF(N198="",-1,N198)=0)),IF(C198="peso_corporal",IF(ISNUMBER(E198),E198,0)+L198,L198)*(30+M198)*100+L198,0)=AA198,3,IF(IF((J198&gt;=3)*(1-(IF(K198="",-1,K198)&gt;=0)*(IF(K198="",-1,K198)&lt;=1))*(1-(IF(K198="",-1,K198)=0)),IF(C198="peso_corporal",IF(ISNUMBER(E198),E198,0)+I198,I198)*(30+J198)*100+I198,0)=AA198,2,IF(IF((G198&gt;=3)*(1-(IF(H198="",-1,H198)&gt;=0)*(IF(H198="",-1,H198)&lt;=1))*(1-(IF(H198="",-1,H198)=0)),IF(C198="peso_corporal",IF(ISNUMBER(E198),E198,0)+F198,F198)*(30+G198)*100+F198,0)=AA198,1,0))))))</f>
        <v>0</v>
      </c>
      <c r="AC198" s="69" t="str">
        <f>IF(X198&gt;0,"A"&amp;X198,IF(Z198&gt;0,"B"&amp;Z198,IF(AB198&gt;0,"C"&amp;AB198,"")))</f>
        <v/>
      </c>
    </row>
    <row r="199" spans="1:29" ht="15" customHeight="1">
      <c r="A199" s="90" t="s">
        <v>142</v>
      </c>
      <c r="B199" s="73"/>
      <c r="C199" s="73"/>
      <c r="D199" s="73"/>
      <c r="E199" s="73"/>
      <c r="F199" s="73"/>
      <c r="G199" s="73"/>
      <c r="H199" s="73"/>
      <c r="I199" s="73"/>
      <c r="J199" s="73"/>
      <c r="K199" s="73"/>
      <c r="L199" s="73"/>
      <c r="M199" s="73"/>
      <c r="N199" s="73"/>
      <c r="O199" s="73"/>
      <c r="P199" s="73"/>
      <c r="Q199" s="73"/>
      <c r="R199" s="73"/>
      <c r="S199" s="73"/>
      <c r="T199" s="73"/>
      <c r="U199" s="73"/>
      <c r="V199" s="73"/>
      <c r="W199" s="69"/>
      <c r="X199" s="69"/>
      <c r="Y199" s="69"/>
      <c r="Z199" s="69"/>
      <c r="AA199" s="69"/>
      <c r="AB199" s="69"/>
      <c r="AC199" s="69"/>
    </row>
    <row r="200" spans="1:29" ht="20.100000000000001" customHeight="1">
      <c r="A200" s="14" t="s">
        <v>24</v>
      </c>
      <c r="B200" s="15" t="s">
        <v>143</v>
      </c>
      <c r="C200" s="16" t="str">
        <f>IFERROR(INDEX(EJERCICIOS!$D$3:$D$75,MATCH(A200&amp;"|"&amp;B200,EJERCICIOS!$G$3:$G$75,0)),"--")</f>
        <v>peso_corporal</v>
      </c>
      <c r="D200" s="17">
        <v>3</v>
      </c>
      <c r="E200" s="18">
        <f>IFERROR(LOOKUP(2,1/(MEDIDAS_Y_PESO!$B$3:$B$11&lt;&gt;""),MEDIDAS_Y_PESO!$B$3:$B$11),"--")</f>
        <v>80</v>
      </c>
      <c r="F200" s="19"/>
      <c r="G200" s="20"/>
      <c r="H200" s="21"/>
      <c r="I200" s="19"/>
      <c r="J200" s="20"/>
      <c r="K200" s="21"/>
      <c r="L200" s="19"/>
      <c r="M200" s="20"/>
      <c r="N200" s="21"/>
      <c r="O200" s="19"/>
      <c r="P200" s="20"/>
      <c r="Q200" s="21"/>
      <c r="R200" s="19"/>
      <c r="S200" s="20"/>
      <c r="T200" s="21"/>
      <c r="U200" s="22" t="str">
        <f>IFERROR(IF(IF(X200&gt;0,X200,IF(Z200&gt;0,Z200,IF(AB200&gt;0,AB200,0)))=0,"--",ROUND(CHOOSE(IF(X200&gt;0,X200,IF(Z200&gt;0,Z200,IF(AB200&gt;0,AB200,0))),IF(C200="peso_corporal",IF(ISNUMBER(E200),E200,0)+F200,F200)*(1+G200/30),IF(C200="peso_corporal",IF(ISNUMBER(E200),E200,0)+I200,I200)*(1+J200/30),IF(C200="peso_corporal",IF(ISNUMBER(E200),E200,0)+L200,L200)*(1+M200/30),IF(C200="peso_corporal",IF(ISNUMBER(E200),E200,0)+O200,O200)*(1+P200/30),IF(C200="peso_corporal",IF(ISNUMBER(E200),E200,0)+R200,R200)*(1+S200/30)),1)),"--")</f>
        <v>--</v>
      </c>
      <c r="V200" s="23" t="str">
        <f>IF(SUGERENCIAS!N539="SIN","Sin datos anteriores",IF(SUGERENCIAS!N539="SUBIR_F","^ SUBIR FUERTE | Kg:"&amp;ROUND(SUGERENCIAS!K539,1)&amp;" R:"&amp;ROUND(SUGERENCIAS!L539,0)&amp;" RIR:"&amp;ROUND(SUGERENCIAS!M539,0),IF(SUGERENCIAS!N539="SUBIR_E","^ SUBIR (Est.) | Kg:"&amp;ROUND(SUGERENCIAS!K539,1)&amp;" R:"&amp;ROUND(SUGERENCIAS!L539,0)&amp;" RIR:"&amp;ROUND(SUGERENCIAS!M539,0),IF(SUGERENCIAS!N539="SUBIR","^ SUBIR | Kg:"&amp;ROUND(SUGERENCIAS!K539,1)&amp;" R:"&amp;ROUND(SUGERENCIAS!L539,0)&amp;" RIR:"&amp;ROUND(SUGERENCIAS!M539,0),IF(SUGERENCIAS!N539="BAJAR","v BAJAR | Kg:"&amp;ROUND(SUGERENCIAS!K539,1)&amp;" R:"&amp;ROUND(SUGERENCIAS!L539,0)&amp;" RIR:"&amp;ROUND(SUGERENCIAS!M539,0),"= MANT | Kg:"&amp;ROUND(SUGERENCIAS!K539,1)&amp;" R:"&amp;ROUND(SUGERENCIAS!L539,0)&amp;" RIR:"&amp;ROUND(SUGERENCIAS!M539,0))))))</f>
        <v>Sin datos anteriores</v>
      </c>
      <c r="W200" s="69">
        <f>MAX(IF((G200&gt;0)*(IF(H200="",-1,H200)&gt;=0)*(IF(H200="",-1,H200)&lt;=1),IF(C200="peso_corporal",IF(ISNUMBER(E200),E200,0)+F200,F200)*G200*1000+F200,0),IF((J200&gt;0)*(IF(K200="",-1,K200)&gt;=0)*(IF(K200="",-1,K200)&lt;=1),IF(C200="peso_corporal",IF(ISNUMBER(E200),E200,0)+I200,I200)*J200*1000+I200,0),IF((M200&gt;0)*(IF(N200="",-1,N200)&gt;=0)*(IF(N200="",-1,N200)&lt;=1),IF(C200="peso_corporal",IF(ISNUMBER(E200),E200,0)+L200,L200)*M200*1000+L200,0),IF((P200&gt;0)*(IF(Q200="",-1,Q200)&gt;=0)*(IF(Q200="",-1,Q200)&lt;=1),IF(C200="peso_corporal",IF(ISNUMBER(E200),E200,0)+O200,O200)*P200*1000+O200,0),IF((S200&gt;0)*(IF(T200="",-1,T200)&gt;=0)*(IF(T200="",-1,T200)&lt;=1),IF(C200="peso_corporal",IF(ISNUMBER(E200),E200,0)+R200,R200)*S200*1000+R200,0))</f>
        <v>0</v>
      </c>
      <c r="X200" s="69">
        <f>IF(W200=0,0,IF(IF((S200&gt;0)*(IF(T200="",-1,T200)&gt;=0)*(IF(T200="",-1,T200)&lt;=1),IF(C200="peso_corporal",IF(ISNUMBER(E200),E200,0)+R200,R200)*S200*1000+R200,0)=W200,5,IF(IF((P200&gt;0)*(IF(Q200="",-1,Q200)&gt;=0)*(IF(Q200="",-1,Q200)&lt;=1),IF(C200="peso_corporal",IF(ISNUMBER(E200),E200,0)+O200,O200)*P200*1000+O200,0)=W200,4,IF(IF((M200&gt;0)*(IF(N200="",-1,N200)&gt;=0)*(IF(N200="",-1,N200)&lt;=1),IF(C200="peso_corporal",IF(ISNUMBER(E200),E200,0)+L200,L200)*M200*1000+L200,0)=W200,3,IF(IF((J200&gt;0)*(IF(K200="",-1,K200)&gt;=0)*(IF(K200="",-1,K200)&lt;=1),IF(C200="peso_corporal",IF(ISNUMBER(E200),E200,0)+I200,I200)*J200*1000+I200,0)=W200,2,IF(IF((G200&gt;0)*(IF(H200="",-1,H200)&gt;=0)*(IF(H200="",-1,H200)&lt;=1),IF(C200="peso_corporal",IF(ISNUMBER(E200),E200,0)+F200,F200)*G200*1000+F200,0)=W200,1,0))))))</f>
        <v>0</v>
      </c>
      <c r="Y200" s="69">
        <f>MAX(IF((G200&gt;0)*(IF(H200="",-1,H200)=0)*(1-(IF(H200="",-1,H200)&gt;=0)*(IF(H200="",-1,H200)&lt;=1)),IF(C200="peso_corporal",IF(ISNUMBER(E200),E200,0)+F200,F200)*G200*1000+F200,0),IF((J200&gt;0)*(IF(K200="",-1,K200)=0)*(1-(IF(K200="",-1,K200)&gt;=0)*(IF(K200="",-1,K200)&lt;=1)),IF(C200="peso_corporal",IF(ISNUMBER(E200),E200,0)+I200,I200)*J200*1000+I200,0),IF((M200&gt;0)*(IF(N200="",-1,N200)=0)*(1-(IF(N200="",-1,N200)&gt;=0)*(IF(N200="",-1,N200)&lt;=1)),IF(C200="peso_corporal",IF(ISNUMBER(E200),E200,0)+L200,L200)*M200*1000+L200,0),IF((P200&gt;0)*(IF(Q200="",-1,Q200)=0)*(1-(IF(Q200="",-1,Q200)&gt;=0)*(IF(Q200="",-1,Q200)&lt;=1)),IF(C200="peso_corporal",IF(ISNUMBER(E200),E200,0)+O200,O200)*P200*1000+O200,0),IF((S200&gt;0)*(IF(T200="",-1,T200)=0)*(1-(IF(T200="",-1,T200)&gt;=0)*(IF(T200="",-1,T200)&lt;=1)),IF(C200="peso_corporal",IF(ISNUMBER(E200),E200,0)+R200,R200)*S200*1000+R200,0))</f>
        <v>0</v>
      </c>
      <c r="Z200" s="69">
        <f>IF(Y200=0,0,IF(IF((S200&gt;0)*(IF(T200="",-1,T200)=0)*(1-(IF(T200="",-1,T200)&gt;=0)*(IF(T200="",-1,T200)&lt;=1)),IF(C200="peso_corporal",IF(ISNUMBER(E200),E200,0)+R200,R200)*S200*1000+R200,0)=Y200,5,IF(IF((P200&gt;0)*(IF(Q200="",-1,Q200)=0)*(1-(IF(Q200="",-1,Q200)&gt;=0)*(IF(Q200="",-1,Q200)&lt;=1)),IF(C200="peso_corporal",IF(ISNUMBER(E200),E200,0)+O200,O200)*P200*1000+O200,0)=Y200,4,IF(IF((M200&gt;0)*(IF(N200="",-1,N200)=0)*(1-(IF(N200="",-1,N200)&gt;=0)*(IF(N200="",-1,N200)&lt;=1)),IF(C200="peso_corporal",IF(ISNUMBER(E200),E200,0)+L200,L200)*M200*1000+L200,0)=Y200,3,IF(IF((J200&gt;0)*(IF(K200="",-1,K200)=0)*(1-(IF(K200="",-1,K200)&gt;=0)*(IF(K200="",-1,K200)&lt;=1)),IF(C200="peso_corporal",IF(ISNUMBER(E200),E200,0)+I200,I200)*J200*1000+I200,0)=Y200,2,IF(IF((G200&gt;0)*(IF(H200="",-1,H200)=0)*(1-(IF(H200="",-1,H200)&gt;=0)*(IF(H200="",-1,H200)&lt;=1)),IF(C200="peso_corporal",IF(ISNUMBER(E200),E200,0)+F200,F200)*G200*1000+F200,0)=Y200,1,0))))))</f>
        <v>0</v>
      </c>
      <c r="AA200" s="69">
        <f>MAX(IF((G200&gt;=3)*(1-(IF(H200="",-1,H200)&gt;=0)*(IF(H200="",-1,H200)&lt;=1))*(1-(IF(H200="",-1,H200)=0)),IF(C200="peso_corporal",IF(ISNUMBER(E200),E200,0)+F200,F200)*(30+G200)*100+F200,0),IF((J200&gt;=3)*(1-(IF(K200="",-1,K200)&gt;=0)*(IF(K200="",-1,K200)&lt;=1))*(1-(IF(K200="",-1,K200)=0)),IF(C200="peso_corporal",IF(ISNUMBER(E200),E200,0)+I200,I200)*(30+J200)*100+I200,0),IF((M200&gt;=3)*(1-(IF(N200="",-1,N200)&gt;=0)*(IF(N200="",-1,N200)&lt;=1))*(1-(IF(N200="",-1,N200)=0)),IF(C200="peso_corporal",IF(ISNUMBER(E200),E200,0)+L200,L200)*(30+M200)*100+L200,0),IF((P200&gt;=3)*(1-(IF(Q200="",-1,Q200)&gt;=0)*(IF(Q200="",-1,Q200)&lt;=1))*(1-(IF(Q200="",-1,Q200)=0)),IF(C200="peso_corporal",IF(ISNUMBER(E200),E200,0)+O200,O200)*(30+P200)*100+O200,0),IF((S200&gt;=3)*(1-(IF(T200="",-1,T200)&gt;=0)*(IF(T200="",-1,T200)&lt;=1))*(1-(IF(T200="",-1,T200)=0)),IF(C200="peso_corporal",IF(ISNUMBER(E200),E200,0)+R200,R200)*(30+S200)*100+R200,0))</f>
        <v>0</v>
      </c>
      <c r="AB200" s="69">
        <f>IF(AA200=0,0,IF(IF((S200&gt;=3)*(1-(IF(T200="",-1,T200)&gt;=0)*(IF(T200="",-1,T200)&lt;=1))*(1-(IF(T200="",-1,T200)=0)),IF(C200="peso_corporal",IF(ISNUMBER(E200),E200,0)+R200,R200)*(30+S200)*100+R200,0)=AA200,5,IF(IF((P200&gt;=3)*(1-(IF(Q200="",-1,Q200)&gt;=0)*(IF(Q200="",-1,Q200)&lt;=1))*(1-(IF(Q200="",-1,Q200)=0)),IF(C200="peso_corporal",IF(ISNUMBER(E200),E200,0)+O200,O200)*(30+P200)*100+O200,0)=AA200,4,IF(IF((M200&gt;=3)*(1-(IF(N200="",-1,N200)&gt;=0)*(IF(N200="",-1,N200)&lt;=1))*(1-(IF(N200="",-1,N200)=0)),IF(C200="peso_corporal",IF(ISNUMBER(E200),E200,0)+L200,L200)*(30+M200)*100+L200,0)=AA200,3,IF(IF((J200&gt;=3)*(1-(IF(K200="",-1,K200)&gt;=0)*(IF(K200="",-1,K200)&lt;=1))*(1-(IF(K200="",-1,K200)=0)),IF(C200="peso_corporal",IF(ISNUMBER(E200),E200,0)+I200,I200)*(30+J200)*100+I200,0)=AA200,2,IF(IF((G200&gt;=3)*(1-(IF(H200="",-1,H200)&gt;=0)*(IF(H200="",-1,H200)&lt;=1))*(1-(IF(H200="",-1,H200)=0)),IF(C200="peso_corporal",IF(ISNUMBER(E200),E200,0)+F200,F200)*(30+G200)*100+F200,0)=AA200,1,0))))))</f>
        <v>0</v>
      </c>
      <c r="AC200" s="69" t="str">
        <f>IF(X200&gt;0,"A"&amp;X200,IF(Z200&gt;0,"B"&amp;Z200,IF(AB200&gt;0,"C"&amp;AB200,"")))</f>
        <v/>
      </c>
    </row>
    <row r="201" spans="1:29" ht="20.100000000000001" customHeight="1">
      <c r="A201" s="14" t="s">
        <v>144</v>
      </c>
      <c r="B201" s="15" t="s">
        <v>60</v>
      </c>
      <c r="C201" s="16" t="str">
        <f>IFERROR(INDEX(EJERCICIOS!$D$3:$D$75,MATCH(A201&amp;"|"&amp;B201,EJERCICIOS!$G$3:$G$75,0)),"--")</f>
        <v>disco</v>
      </c>
      <c r="D201" s="17">
        <v>3</v>
      </c>
      <c r="E201" s="18">
        <f>IFERROR(LOOKUP(2,1/(MEDIDAS_Y_PESO!$B$3:$B$11&lt;&gt;""),MEDIDAS_Y_PESO!$B$3:$B$11),"--")</f>
        <v>80</v>
      </c>
      <c r="F201" s="19"/>
      <c r="G201" s="20"/>
      <c r="H201" s="21"/>
      <c r="I201" s="19"/>
      <c r="J201" s="20"/>
      <c r="K201" s="21"/>
      <c r="L201" s="19"/>
      <c r="M201" s="20"/>
      <c r="N201" s="21"/>
      <c r="O201" s="19"/>
      <c r="P201" s="20"/>
      <c r="Q201" s="21"/>
      <c r="R201" s="19"/>
      <c r="S201" s="20"/>
      <c r="T201" s="21"/>
      <c r="U201" s="22" t="str">
        <f>IFERROR(IF(IF(X201&gt;0,X201,IF(Z201&gt;0,Z201,IF(AB201&gt;0,AB201,0)))=0,"--",ROUND(CHOOSE(IF(X201&gt;0,X201,IF(Z201&gt;0,Z201,IF(AB201&gt;0,AB201,0))),IF(C201="peso_corporal",IF(ISNUMBER(E201),E201,0)+F201,F201)*(1+G201/30),IF(C201="peso_corporal",IF(ISNUMBER(E201),E201,0)+I201,I201)*(1+J201/30),IF(C201="peso_corporal",IF(ISNUMBER(E201),E201,0)+L201,L201)*(1+M201/30),IF(C201="peso_corporal",IF(ISNUMBER(E201),E201,0)+O201,O201)*(1+P201/30),IF(C201="peso_corporal",IF(ISNUMBER(E201),E201,0)+R201,R201)*(1+S201/30)),1)),"--")</f>
        <v>--</v>
      </c>
      <c r="V201" s="23" t="str">
        <f>IF(SUGERENCIAS!N540="SIN","Sin datos anteriores",IF(SUGERENCIAS!N540="SUBIR_F","^ SUBIR FUERTE | Kg:"&amp;ROUND(SUGERENCIAS!K540,1)&amp;" R:"&amp;ROUND(SUGERENCIAS!L540,0)&amp;" RIR:"&amp;ROUND(SUGERENCIAS!M540,0),IF(SUGERENCIAS!N540="SUBIR_E","^ SUBIR (Est.) | Kg:"&amp;ROUND(SUGERENCIAS!K540,1)&amp;" R:"&amp;ROUND(SUGERENCIAS!L540,0)&amp;" RIR:"&amp;ROUND(SUGERENCIAS!M540,0),IF(SUGERENCIAS!N540="SUBIR","^ SUBIR | Kg:"&amp;ROUND(SUGERENCIAS!K540,1)&amp;" R:"&amp;ROUND(SUGERENCIAS!L540,0)&amp;" RIR:"&amp;ROUND(SUGERENCIAS!M540,0),IF(SUGERENCIAS!N540="BAJAR","v BAJAR | Kg:"&amp;ROUND(SUGERENCIAS!K540,1)&amp;" R:"&amp;ROUND(SUGERENCIAS!L540,0)&amp;" RIR:"&amp;ROUND(SUGERENCIAS!M540,0),"= MANT | Kg:"&amp;ROUND(SUGERENCIAS!K540,1)&amp;" R:"&amp;ROUND(SUGERENCIAS!L540,0)&amp;" RIR:"&amp;ROUND(SUGERENCIAS!M540,0))))))</f>
        <v>Sin datos anteriores</v>
      </c>
      <c r="W201" s="69">
        <f>MAX(IF((G201&gt;0)*(IF(H201="",-1,H201)&gt;=0)*(IF(H201="",-1,H201)&lt;=1),IF(C201="peso_corporal",IF(ISNUMBER(E201),E201,0)+F201,F201)*G201*1000+F201,0),IF((J201&gt;0)*(IF(K201="",-1,K201)&gt;=0)*(IF(K201="",-1,K201)&lt;=1),IF(C201="peso_corporal",IF(ISNUMBER(E201),E201,0)+I201,I201)*J201*1000+I201,0),IF((M201&gt;0)*(IF(N201="",-1,N201)&gt;=0)*(IF(N201="",-1,N201)&lt;=1),IF(C201="peso_corporal",IF(ISNUMBER(E201),E201,0)+L201,L201)*M201*1000+L201,0),IF((P201&gt;0)*(IF(Q201="",-1,Q201)&gt;=0)*(IF(Q201="",-1,Q201)&lt;=1),IF(C201="peso_corporal",IF(ISNUMBER(E201),E201,0)+O201,O201)*P201*1000+O201,0),IF((S201&gt;0)*(IF(T201="",-1,T201)&gt;=0)*(IF(T201="",-1,T201)&lt;=1),IF(C201="peso_corporal",IF(ISNUMBER(E201),E201,0)+R201,R201)*S201*1000+R201,0))</f>
        <v>0</v>
      </c>
      <c r="X201" s="69">
        <f>IF(W201=0,0,IF(IF((S201&gt;0)*(IF(T201="",-1,T201)&gt;=0)*(IF(T201="",-1,T201)&lt;=1),IF(C201="peso_corporal",IF(ISNUMBER(E201),E201,0)+R201,R201)*S201*1000+R201,0)=W201,5,IF(IF((P201&gt;0)*(IF(Q201="",-1,Q201)&gt;=0)*(IF(Q201="",-1,Q201)&lt;=1),IF(C201="peso_corporal",IF(ISNUMBER(E201),E201,0)+O201,O201)*P201*1000+O201,0)=W201,4,IF(IF((M201&gt;0)*(IF(N201="",-1,N201)&gt;=0)*(IF(N201="",-1,N201)&lt;=1),IF(C201="peso_corporal",IF(ISNUMBER(E201),E201,0)+L201,L201)*M201*1000+L201,0)=W201,3,IF(IF((J201&gt;0)*(IF(K201="",-1,K201)&gt;=0)*(IF(K201="",-1,K201)&lt;=1),IF(C201="peso_corporal",IF(ISNUMBER(E201),E201,0)+I201,I201)*J201*1000+I201,0)=W201,2,IF(IF((G201&gt;0)*(IF(H201="",-1,H201)&gt;=0)*(IF(H201="",-1,H201)&lt;=1),IF(C201="peso_corporal",IF(ISNUMBER(E201),E201,0)+F201,F201)*G201*1000+F201,0)=W201,1,0))))))</f>
        <v>0</v>
      </c>
      <c r="Y201" s="69">
        <f>MAX(IF((G201&gt;0)*(IF(H201="",-1,H201)=0)*(1-(IF(H201="",-1,H201)&gt;=0)*(IF(H201="",-1,H201)&lt;=1)),IF(C201="peso_corporal",IF(ISNUMBER(E201),E201,0)+F201,F201)*G201*1000+F201,0),IF((J201&gt;0)*(IF(K201="",-1,K201)=0)*(1-(IF(K201="",-1,K201)&gt;=0)*(IF(K201="",-1,K201)&lt;=1)),IF(C201="peso_corporal",IF(ISNUMBER(E201),E201,0)+I201,I201)*J201*1000+I201,0),IF((M201&gt;0)*(IF(N201="",-1,N201)=0)*(1-(IF(N201="",-1,N201)&gt;=0)*(IF(N201="",-1,N201)&lt;=1)),IF(C201="peso_corporal",IF(ISNUMBER(E201),E201,0)+L201,L201)*M201*1000+L201,0),IF((P201&gt;0)*(IF(Q201="",-1,Q201)=0)*(1-(IF(Q201="",-1,Q201)&gt;=0)*(IF(Q201="",-1,Q201)&lt;=1)),IF(C201="peso_corporal",IF(ISNUMBER(E201),E201,0)+O201,O201)*P201*1000+O201,0),IF((S201&gt;0)*(IF(T201="",-1,T201)=0)*(1-(IF(T201="",-1,T201)&gt;=0)*(IF(T201="",-1,T201)&lt;=1)),IF(C201="peso_corporal",IF(ISNUMBER(E201),E201,0)+R201,R201)*S201*1000+R201,0))</f>
        <v>0</v>
      </c>
      <c r="Z201" s="69">
        <f>IF(Y201=0,0,IF(IF((S201&gt;0)*(IF(T201="",-1,T201)=0)*(1-(IF(T201="",-1,T201)&gt;=0)*(IF(T201="",-1,T201)&lt;=1)),IF(C201="peso_corporal",IF(ISNUMBER(E201),E201,0)+R201,R201)*S201*1000+R201,0)=Y201,5,IF(IF((P201&gt;0)*(IF(Q201="",-1,Q201)=0)*(1-(IF(Q201="",-1,Q201)&gt;=0)*(IF(Q201="",-1,Q201)&lt;=1)),IF(C201="peso_corporal",IF(ISNUMBER(E201),E201,0)+O201,O201)*P201*1000+O201,0)=Y201,4,IF(IF((M201&gt;0)*(IF(N201="",-1,N201)=0)*(1-(IF(N201="",-1,N201)&gt;=0)*(IF(N201="",-1,N201)&lt;=1)),IF(C201="peso_corporal",IF(ISNUMBER(E201),E201,0)+L201,L201)*M201*1000+L201,0)=Y201,3,IF(IF((J201&gt;0)*(IF(K201="",-1,K201)=0)*(1-(IF(K201="",-1,K201)&gt;=0)*(IF(K201="",-1,K201)&lt;=1)),IF(C201="peso_corporal",IF(ISNUMBER(E201),E201,0)+I201,I201)*J201*1000+I201,0)=Y201,2,IF(IF((G201&gt;0)*(IF(H201="",-1,H201)=0)*(1-(IF(H201="",-1,H201)&gt;=0)*(IF(H201="",-1,H201)&lt;=1)),IF(C201="peso_corporal",IF(ISNUMBER(E201),E201,0)+F201,F201)*G201*1000+F201,0)=Y201,1,0))))))</f>
        <v>0</v>
      </c>
      <c r="AA201" s="69">
        <f>MAX(IF((G201&gt;=3)*(1-(IF(H201="",-1,H201)&gt;=0)*(IF(H201="",-1,H201)&lt;=1))*(1-(IF(H201="",-1,H201)=0)),IF(C201="peso_corporal",IF(ISNUMBER(E201),E201,0)+F201,F201)*(30+G201)*100+F201,0),IF((J201&gt;=3)*(1-(IF(K201="",-1,K201)&gt;=0)*(IF(K201="",-1,K201)&lt;=1))*(1-(IF(K201="",-1,K201)=0)),IF(C201="peso_corporal",IF(ISNUMBER(E201),E201,0)+I201,I201)*(30+J201)*100+I201,0),IF((M201&gt;=3)*(1-(IF(N201="",-1,N201)&gt;=0)*(IF(N201="",-1,N201)&lt;=1))*(1-(IF(N201="",-1,N201)=0)),IF(C201="peso_corporal",IF(ISNUMBER(E201),E201,0)+L201,L201)*(30+M201)*100+L201,0),IF((P201&gt;=3)*(1-(IF(Q201="",-1,Q201)&gt;=0)*(IF(Q201="",-1,Q201)&lt;=1))*(1-(IF(Q201="",-1,Q201)=0)),IF(C201="peso_corporal",IF(ISNUMBER(E201),E201,0)+O201,O201)*(30+P201)*100+O201,0),IF((S201&gt;=3)*(1-(IF(T201="",-1,T201)&gt;=0)*(IF(T201="",-1,T201)&lt;=1))*(1-(IF(T201="",-1,T201)=0)),IF(C201="peso_corporal",IF(ISNUMBER(E201),E201,0)+R201,R201)*(30+S201)*100+R201,0))</f>
        <v>0</v>
      </c>
      <c r="AB201" s="69">
        <f>IF(AA201=0,0,IF(IF((S201&gt;=3)*(1-(IF(T201="",-1,T201)&gt;=0)*(IF(T201="",-1,T201)&lt;=1))*(1-(IF(T201="",-1,T201)=0)),IF(C201="peso_corporal",IF(ISNUMBER(E201),E201,0)+R201,R201)*(30+S201)*100+R201,0)=AA201,5,IF(IF((P201&gt;=3)*(1-(IF(Q201="",-1,Q201)&gt;=0)*(IF(Q201="",-1,Q201)&lt;=1))*(1-(IF(Q201="",-1,Q201)=0)),IF(C201="peso_corporal",IF(ISNUMBER(E201),E201,0)+O201,O201)*(30+P201)*100+O201,0)=AA201,4,IF(IF((M201&gt;=3)*(1-(IF(N201="",-1,N201)&gt;=0)*(IF(N201="",-1,N201)&lt;=1))*(1-(IF(N201="",-1,N201)=0)),IF(C201="peso_corporal",IF(ISNUMBER(E201),E201,0)+L201,L201)*(30+M201)*100+L201,0)=AA201,3,IF(IF((J201&gt;=3)*(1-(IF(K201="",-1,K201)&gt;=0)*(IF(K201="",-1,K201)&lt;=1))*(1-(IF(K201="",-1,K201)=0)),IF(C201="peso_corporal",IF(ISNUMBER(E201),E201,0)+I201,I201)*(30+J201)*100+I201,0)=AA201,2,IF(IF((G201&gt;=3)*(1-(IF(H201="",-1,H201)&gt;=0)*(IF(H201="",-1,H201)&lt;=1))*(1-(IF(H201="",-1,H201)=0)),IF(C201="peso_corporal",IF(ISNUMBER(E201),E201,0)+F201,F201)*(30+G201)*100+F201,0)=AA201,1,0))))))</f>
        <v>0</v>
      </c>
      <c r="AC201" s="69" t="str">
        <f>IF(X201&gt;0,"A"&amp;X201,IF(Z201&gt;0,"B"&amp;Z201,IF(AB201&gt;0,"C"&amp;AB201,"")))</f>
        <v/>
      </c>
    </row>
    <row r="202" spans="1:29" ht="15" customHeight="1">
      <c r="A202" s="91" t="s">
        <v>145</v>
      </c>
      <c r="B202" s="73"/>
      <c r="C202" s="73"/>
      <c r="D202" s="73"/>
      <c r="E202" s="73"/>
      <c r="F202" s="73"/>
      <c r="G202" s="73"/>
      <c r="H202" s="73"/>
      <c r="I202" s="73"/>
      <c r="J202" s="73"/>
      <c r="K202" s="73"/>
      <c r="L202" s="73"/>
      <c r="M202" s="73"/>
      <c r="N202" s="73"/>
      <c r="O202" s="73"/>
      <c r="P202" s="73"/>
      <c r="Q202" s="73"/>
      <c r="R202" s="73"/>
      <c r="S202" s="73"/>
      <c r="T202" s="73"/>
      <c r="U202" s="73"/>
      <c r="V202" s="73"/>
      <c r="W202" s="69"/>
      <c r="X202" s="69"/>
      <c r="Y202" s="69"/>
      <c r="Z202" s="69"/>
      <c r="AA202" s="69"/>
      <c r="AB202" s="69"/>
      <c r="AC202" s="69"/>
    </row>
    <row r="203" spans="1:29" ht="20.100000000000001" customHeight="1">
      <c r="A203" s="14" t="s">
        <v>57</v>
      </c>
      <c r="B203" s="15" t="s">
        <v>58</v>
      </c>
      <c r="C203" s="16" t="str">
        <f>IFERROR(INDEX(EJERCICIOS!$D$3:$D$75,MATCH(A203&amp;"|"&amp;B203,EJERCICIOS!$G$3:$G$75,0)),"--")</f>
        <v>polea</v>
      </c>
      <c r="D203" s="17">
        <v>3</v>
      </c>
      <c r="E203" s="18">
        <f>IFERROR(LOOKUP(2,1/(MEDIDAS_Y_PESO!$B$3:$B$11&lt;&gt;""),MEDIDAS_Y_PESO!$B$3:$B$11),"--")</f>
        <v>80</v>
      </c>
      <c r="F203" s="19"/>
      <c r="G203" s="20"/>
      <c r="H203" s="21"/>
      <c r="I203" s="19"/>
      <c r="J203" s="20"/>
      <c r="K203" s="21"/>
      <c r="L203" s="19"/>
      <c r="M203" s="20"/>
      <c r="N203" s="21"/>
      <c r="O203" s="19"/>
      <c r="P203" s="20"/>
      <c r="Q203" s="21"/>
      <c r="R203" s="19"/>
      <c r="S203" s="20"/>
      <c r="T203" s="21"/>
      <c r="U203" s="22" t="str">
        <f>IFERROR(IF(IF(X203&gt;0,X203,IF(Z203&gt;0,Z203,IF(AB203&gt;0,AB203,0)))=0,"--",ROUND(CHOOSE(IF(X203&gt;0,X203,IF(Z203&gt;0,Z203,IF(AB203&gt;0,AB203,0))),IF(C203="peso_corporal",IF(ISNUMBER(E203),E203,0)+F203,F203)*(1+G203/30),IF(C203="peso_corporal",IF(ISNUMBER(E203),E203,0)+I203,I203)*(1+J203/30),IF(C203="peso_corporal",IF(ISNUMBER(E203),E203,0)+L203,L203)*(1+M203/30),IF(C203="peso_corporal",IF(ISNUMBER(E203),E203,0)+O203,O203)*(1+P203/30),IF(C203="peso_corporal",IF(ISNUMBER(E203),E203,0)+R203,R203)*(1+S203/30)),1)),"--")</f>
        <v>--</v>
      </c>
      <c r="V203" s="23" t="str">
        <f>IF(SUGERENCIAS!N541="SIN","Sin datos anteriores",IF(SUGERENCIAS!N541="SUBIR_F","^ SUBIR FUERTE | Kg:"&amp;ROUND(SUGERENCIAS!K541,1)&amp;" R:"&amp;ROUND(SUGERENCIAS!L541,0)&amp;" RIR:"&amp;ROUND(SUGERENCIAS!M541,0),IF(SUGERENCIAS!N541="SUBIR_E","^ SUBIR (Est.) | Kg:"&amp;ROUND(SUGERENCIAS!K541,1)&amp;" R:"&amp;ROUND(SUGERENCIAS!L541,0)&amp;" RIR:"&amp;ROUND(SUGERENCIAS!M541,0),IF(SUGERENCIAS!N541="SUBIR","^ SUBIR | Kg:"&amp;ROUND(SUGERENCIAS!K541,1)&amp;" R:"&amp;ROUND(SUGERENCIAS!L541,0)&amp;" RIR:"&amp;ROUND(SUGERENCIAS!M541,0),IF(SUGERENCIAS!N541="BAJAR","v BAJAR | Kg:"&amp;ROUND(SUGERENCIAS!K541,1)&amp;" R:"&amp;ROUND(SUGERENCIAS!L541,0)&amp;" RIR:"&amp;ROUND(SUGERENCIAS!M541,0),"= MANT | Kg:"&amp;ROUND(SUGERENCIAS!K541,1)&amp;" R:"&amp;ROUND(SUGERENCIAS!L541,0)&amp;" RIR:"&amp;ROUND(SUGERENCIAS!M541,0))))))</f>
        <v>Sin datos anteriores</v>
      </c>
      <c r="W203" s="69">
        <f>MAX(IF((G203&gt;0)*(IF(H203="",-1,H203)&gt;=0)*(IF(H203="",-1,H203)&lt;=1),IF(C203="peso_corporal",IF(ISNUMBER(E203),E203,0)+F203,F203)*G203*1000+F203,0),IF((J203&gt;0)*(IF(K203="",-1,K203)&gt;=0)*(IF(K203="",-1,K203)&lt;=1),IF(C203="peso_corporal",IF(ISNUMBER(E203),E203,0)+I203,I203)*J203*1000+I203,0),IF((M203&gt;0)*(IF(N203="",-1,N203)&gt;=0)*(IF(N203="",-1,N203)&lt;=1),IF(C203="peso_corporal",IF(ISNUMBER(E203),E203,0)+L203,L203)*M203*1000+L203,0),IF((P203&gt;0)*(IF(Q203="",-1,Q203)&gt;=0)*(IF(Q203="",-1,Q203)&lt;=1),IF(C203="peso_corporal",IF(ISNUMBER(E203),E203,0)+O203,O203)*P203*1000+O203,0),IF((S203&gt;0)*(IF(T203="",-1,T203)&gt;=0)*(IF(T203="",-1,T203)&lt;=1),IF(C203="peso_corporal",IF(ISNUMBER(E203),E203,0)+R203,R203)*S203*1000+R203,0))</f>
        <v>0</v>
      </c>
      <c r="X203" s="69">
        <f>IF(W203=0,0,IF(IF((S203&gt;0)*(IF(T203="",-1,T203)&gt;=0)*(IF(T203="",-1,T203)&lt;=1),IF(C203="peso_corporal",IF(ISNUMBER(E203),E203,0)+R203,R203)*S203*1000+R203,0)=W203,5,IF(IF((P203&gt;0)*(IF(Q203="",-1,Q203)&gt;=0)*(IF(Q203="",-1,Q203)&lt;=1),IF(C203="peso_corporal",IF(ISNUMBER(E203),E203,0)+O203,O203)*P203*1000+O203,0)=W203,4,IF(IF((M203&gt;0)*(IF(N203="",-1,N203)&gt;=0)*(IF(N203="",-1,N203)&lt;=1),IF(C203="peso_corporal",IF(ISNUMBER(E203),E203,0)+L203,L203)*M203*1000+L203,0)=W203,3,IF(IF((J203&gt;0)*(IF(K203="",-1,K203)&gt;=0)*(IF(K203="",-1,K203)&lt;=1),IF(C203="peso_corporal",IF(ISNUMBER(E203),E203,0)+I203,I203)*J203*1000+I203,0)=W203,2,IF(IF((G203&gt;0)*(IF(H203="",-1,H203)&gt;=0)*(IF(H203="",-1,H203)&lt;=1),IF(C203="peso_corporal",IF(ISNUMBER(E203),E203,0)+F203,F203)*G203*1000+F203,0)=W203,1,0))))))</f>
        <v>0</v>
      </c>
      <c r="Y203" s="69">
        <f>MAX(IF((G203&gt;0)*(IF(H203="",-1,H203)=0)*(1-(IF(H203="",-1,H203)&gt;=0)*(IF(H203="",-1,H203)&lt;=1)),IF(C203="peso_corporal",IF(ISNUMBER(E203),E203,0)+F203,F203)*G203*1000+F203,0),IF((J203&gt;0)*(IF(K203="",-1,K203)=0)*(1-(IF(K203="",-1,K203)&gt;=0)*(IF(K203="",-1,K203)&lt;=1)),IF(C203="peso_corporal",IF(ISNUMBER(E203),E203,0)+I203,I203)*J203*1000+I203,0),IF((M203&gt;0)*(IF(N203="",-1,N203)=0)*(1-(IF(N203="",-1,N203)&gt;=0)*(IF(N203="",-1,N203)&lt;=1)),IF(C203="peso_corporal",IF(ISNUMBER(E203),E203,0)+L203,L203)*M203*1000+L203,0),IF((P203&gt;0)*(IF(Q203="",-1,Q203)=0)*(1-(IF(Q203="",-1,Q203)&gt;=0)*(IF(Q203="",-1,Q203)&lt;=1)),IF(C203="peso_corporal",IF(ISNUMBER(E203),E203,0)+O203,O203)*P203*1000+O203,0),IF((S203&gt;0)*(IF(T203="",-1,T203)=0)*(1-(IF(T203="",-1,T203)&gt;=0)*(IF(T203="",-1,T203)&lt;=1)),IF(C203="peso_corporal",IF(ISNUMBER(E203),E203,0)+R203,R203)*S203*1000+R203,0))</f>
        <v>0</v>
      </c>
      <c r="Z203" s="69">
        <f>IF(Y203=0,0,IF(IF((S203&gt;0)*(IF(T203="",-1,T203)=0)*(1-(IF(T203="",-1,T203)&gt;=0)*(IF(T203="",-1,T203)&lt;=1)),IF(C203="peso_corporal",IF(ISNUMBER(E203),E203,0)+R203,R203)*S203*1000+R203,0)=Y203,5,IF(IF((P203&gt;0)*(IF(Q203="",-1,Q203)=0)*(1-(IF(Q203="",-1,Q203)&gt;=0)*(IF(Q203="",-1,Q203)&lt;=1)),IF(C203="peso_corporal",IF(ISNUMBER(E203),E203,0)+O203,O203)*P203*1000+O203,0)=Y203,4,IF(IF((M203&gt;0)*(IF(N203="",-1,N203)=0)*(1-(IF(N203="",-1,N203)&gt;=0)*(IF(N203="",-1,N203)&lt;=1)),IF(C203="peso_corporal",IF(ISNUMBER(E203),E203,0)+L203,L203)*M203*1000+L203,0)=Y203,3,IF(IF((J203&gt;0)*(IF(K203="",-1,K203)=0)*(1-(IF(K203="",-1,K203)&gt;=0)*(IF(K203="",-1,K203)&lt;=1)),IF(C203="peso_corporal",IF(ISNUMBER(E203),E203,0)+I203,I203)*J203*1000+I203,0)=Y203,2,IF(IF((G203&gt;0)*(IF(H203="",-1,H203)=0)*(1-(IF(H203="",-1,H203)&gt;=0)*(IF(H203="",-1,H203)&lt;=1)),IF(C203="peso_corporal",IF(ISNUMBER(E203),E203,0)+F203,F203)*G203*1000+F203,0)=Y203,1,0))))))</f>
        <v>0</v>
      </c>
      <c r="AA203" s="69">
        <f>MAX(IF((G203&gt;=3)*(1-(IF(H203="",-1,H203)&gt;=0)*(IF(H203="",-1,H203)&lt;=1))*(1-(IF(H203="",-1,H203)=0)),IF(C203="peso_corporal",IF(ISNUMBER(E203),E203,0)+F203,F203)*(30+G203)*100+F203,0),IF((J203&gt;=3)*(1-(IF(K203="",-1,K203)&gt;=0)*(IF(K203="",-1,K203)&lt;=1))*(1-(IF(K203="",-1,K203)=0)),IF(C203="peso_corporal",IF(ISNUMBER(E203),E203,0)+I203,I203)*(30+J203)*100+I203,0),IF((M203&gt;=3)*(1-(IF(N203="",-1,N203)&gt;=0)*(IF(N203="",-1,N203)&lt;=1))*(1-(IF(N203="",-1,N203)=0)),IF(C203="peso_corporal",IF(ISNUMBER(E203),E203,0)+L203,L203)*(30+M203)*100+L203,0),IF((P203&gt;=3)*(1-(IF(Q203="",-1,Q203)&gt;=0)*(IF(Q203="",-1,Q203)&lt;=1))*(1-(IF(Q203="",-1,Q203)=0)),IF(C203="peso_corporal",IF(ISNUMBER(E203),E203,0)+O203,O203)*(30+P203)*100+O203,0),IF((S203&gt;=3)*(1-(IF(T203="",-1,T203)&gt;=0)*(IF(T203="",-1,T203)&lt;=1))*(1-(IF(T203="",-1,T203)=0)),IF(C203="peso_corporal",IF(ISNUMBER(E203),E203,0)+R203,R203)*(30+S203)*100+R203,0))</f>
        <v>0</v>
      </c>
      <c r="AB203" s="69">
        <f>IF(AA203=0,0,IF(IF((S203&gt;=3)*(1-(IF(T203="",-1,T203)&gt;=0)*(IF(T203="",-1,T203)&lt;=1))*(1-(IF(T203="",-1,T203)=0)),IF(C203="peso_corporal",IF(ISNUMBER(E203),E203,0)+R203,R203)*(30+S203)*100+R203,0)=AA203,5,IF(IF((P203&gt;=3)*(1-(IF(Q203="",-1,Q203)&gt;=0)*(IF(Q203="",-1,Q203)&lt;=1))*(1-(IF(Q203="",-1,Q203)=0)),IF(C203="peso_corporal",IF(ISNUMBER(E203),E203,0)+O203,O203)*(30+P203)*100+O203,0)=AA203,4,IF(IF((M203&gt;=3)*(1-(IF(N203="",-1,N203)&gt;=0)*(IF(N203="",-1,N203)&lt;=1))*(1-(IF(N203="",-1,N203)=0)),IF(C203="peso_corporal",IF(ISNUMBER(E203),E203,0)+L203,L203)*(30+M203)*100+L203,0)=AA203,3,IF(IF((J203&gt;=3)*(1-(IF(K203="",-1,K203)&gt;=0)*(IF(K203="",-1,K203)&lt;=1))*(1-(IF(K203="",-1,K203)=0)),IF(C203="peso_corporal",IF(ISNUMBER(E203),E203,0)+I203,I203)*(30+J203)*100+I203,0)=AA203,2,IF(IF((G203&gt;=3)*(1-(IF(H203="",-1,H203)&gt;=0)*(IF(H203="",-1,H203)&lt;=1))*(1-(IF(H203="",-1,H203)=0)),IF(C203="peso_corporal",IF(ISNUMBER(E203),E203,0)+F203,F203)*(30+G203)*100+F203,0)=AA203,1,0))))))</f>
        <v>0</v>
      </c>
      <c r="AC203" s="69" t="str">
        <f>IF(X203&gt;0,"A"&amp;X203,IF(Z203&gt;0,"B"&amp;Z203,IF(AB203&gt;0,"C"&amp;AB203,"")))</f>
        <v/>
      </c>
    </row>
    <row r="204" spans="1:29" ht="20.100000000000001" customHeight="1">
      <c r="A204" s="14" t="s">
        <v>146</v>
      </c>
      <c r="B204" s="15" t="s">
        <v>152</v>
      </c>
      <c r="C204" s="16" t="str">
        <f>IFERROR(INDEX(EJERCICIOS!$D$3:$D$75,MATCH(A204&amp;"|"&amp;B204,EJERCICIOS!$G$3:$G$75,0)),"--")</f>
        <v>--</v>
      </c>
      <c r="D204" s="17">
        <v>3</v>
      </c>
      <c r="E204" s="18">
        <f>IFERROR(LOOKUP(2,1/(MEDIDAS_Y_PESO!$B$3:$B$11&lt;&gt;""),MEDIDAS_Y_PESO!$B$3:$B$11),"--")</f>
        <v>80</v>
      </c>
      <c r="F204" s="19"/>
      <c r="G204" s="20"/>
      <c r="H204" s="21"/>
      <c r="I204" s="19"/>
      <c r="J204" s="20"/>
      <c r="K204" s="21"/>
      <c r="L204" s="19"/>
      <c r="M204" s="20"/>
      <c r="N204" s="21"/>
      <c r="O204" s="19"/>
      <c r="P204" s="20"/>
      <c r="Q204" s="21"/>
      <c r="R204" s="19"/>
      <c r="S204" s="20"/>
      <c r="T204" s="21"/>
      <c r="U204" s="22" t="str">
        <f>IFERROR(IF(IF(X204&gt;0,X204,IF(Z204&gt;0,Z204,IF(AB204&gt;0,AB204,0)))=0,"--",ROUND(CHOOSE(IF(X204&gt;0,X204,IF(Z204&gt;0,Z204,IF(AB204&gt;0,AB204,0))),IF(C204="peso_corporal",IF(ISNUMBER(E204),E204,0)+F204,F204)*(1+G204/30),IF(C204="peso_corporal",IF(ISNUMBER(E204),E204,0)+I204,I204)*(1+J204/30),IF(C204="peso_corporal",IF(ISNUMBER(E204),E204,0)+L204,L204)*(1+M204/30),IF(C204="peso_corporal",IF(ISNUMBER(E204),E204,0)+O204,O204)*(1+P204/30),IF(C204="peso_corporal",IF(ISNUMBER(E204),E204,0)+R204,R204)*(1+S204/30)),1)),"--")</f>
        <v>--</v>
      </c>
      <c r="V204" s="23" t="str">
        <f>IF(SUGERENCIAS!N542="SIN","Sin datos anteriores",IF(SUGERENCIAS!N542="SUBIR_F","^ SUBIR FUERTE | Kg:"&amp;ROUND(SUGERENCIAS!K542,1)&amp;" R:"&amp;ROUND(SUGERENCIAS!L542,0)&amp;" RIR:"&amp;ROUND(SUGERENCIAS!M542,0),IF(SUGERENCIAS!N542="SUBIR_E","^ SUBIR (Est.) | Kg:"&amp;ROUND(SUGERENCIAS!K542,1)&amp;" R:"&amp;ROUND(SUGERENCIAS!L542,0)&amp;" RIR:"&amp;ROUND(SUGERENCIAS!M542,0),IF(SUGERENCIAS!N542="SUBIR","^ SUBIR | Kg:"&amp;ROUND(SUGERENCIAS!K542,1)&amp;" R:"&amp;ROUND(SUGERENCIAS!L542,0)&amp;" RIR:"&amp;ROUND(SUGERENCIAS!M542,0),IF(SUGERENCIAS!N542="BAJAR","v BAJAR | Kg:"&amp;ROUND(SUGERENCIAS!K542,1)&amp;" R:"&amp;ROUND(SUGERENCIAS!L542,0)&amp;" RIR:"&amp;ROUND(SUGERENCIAS!M542,0),"= MANT | Kg:"&amp;ROUND(SUGERENCIAS!K542,1)&amp;" R:"&amp;ROUND(SUGERENCIAS!L542,0)&amp;" RIR:"&amp;ROUND(SUGERENCIAS!M542,0))))))</f>
        <v>Sin datos anteriores</v>
      </c>
      <c r="W204" s="69">
        <f>MAX(IF((G204&gt;0)*(IF(H204="",-1,H204)&gt;=0)*(IF(H204="",-1,H204)&lt;=1),IF(C204="peso_corporal",IF(ISNUMBER(E204),E204,0)+F204,F204)*G204*1000+F204,0),IF((J204&gt;0)*(IF(K204="",-1,K204)&gt;=0)*(IF(K204="",-1,K204)&lt;=1),IF(C204="peso_corporal",IF(ISNUMBER(E204),E204,0)+I204,I204)*J204*1000+I204,0),IF((M204&gt;0)*(IF(N204="",-1,N204)&gt;=0)*(IF(N204="",-1,N204)&lt;=1),IF(C204="peso_corporal",IF(ISNUMBER(E204),E204,0)+L204,L204)*M204*1000+L204,0),IF((P204&gt;0)*(IF(Q204="",-1,Q204)&gt;=0)*(IF(Q204="",-1,Q204)&lt;=1),IF(C204="peso_corporal",IF(ISNUMBER(E204),E204,0)+O204,O204)*P204*1000+O204,0),IF((S204&gt;0)*(IF(T204="",-1,T204)&gt;=0)*(IF(T204="",-1,T204)&lt;=1),IF(C204="peso_corporal",IF(ISNUMBER(E204),E204,0)+R204,R204)*S204*1000+R204,0))</f>
        <v>0</v>
      </c>
      <c r="X204" s="69">
        <f>IF(W204=0,0,IF(IF((S204&gt;0)*(IF(T204="",-1,T204)&gt;=0)*(IF(T204="",-1,T204)&lt;=1),IF(C204="peso_corporal",IF(ISNUMBER(E204),E204,0)+R204,R204)*S204*1000+R204,0)=W204,5,IF(IF((P204&gt;0)*(IF(Q204="",-1,Q204)&gt;=0)*(IF(Q204="",-1,Q204)&lt;=1),IF(C204="peso_corporal",IF(ISNUMBER(E204),E204,0)+O204,O204)*P204*1000+O204,0)=W204,4,IF(IF((M204&gt;0)*(IF(N204="",-1,N204)&gt;=0)*(IF(N204="",-1,N204)&lt;=1),IF(C204="peso_corporal",IF(ISNUMBER(E204),E204,0)+L204,L204)*M204*1000+L204,0)=W204,3,IF(IF((J204&gt;0)*(IF(K204="",-1,K204)&gt;=0)*(IF(K204="",-1,K204)&lt;=1),IF(C204="peso_corporal",IF(ISNUMBER(E204),E204,0)+I204,I204)*J204*1000+I204,0)=W204,2,IF(IF((G204&gt;0)*(IF(H204="",-1,H204)&gt;=0)*(IF(H204="",-1,H204)&lt;=1),IF(C204="peso_corporal",IF(ISNUMBER(E204),E204,0)+F204,F204)*G204*1000+F204,0)=W204,1,0))))))</f>
        <v>0</v>
      </c>
      <c r="Y204" s="69">
        <f>MAX(IF((G204&gt;0)*(IF(H204="",-1,H204)=0)*(1-(IF(H204="",-1,H204)&gt;=0)*(IF(H204="",-1,H204)&lt;=1)),IF(C204="peso_corporal",IF(ISNUMBER(E204),E204,0)+F204,F204)*G204*1000+F204,0),IF((J204&gt;0)*(IF(K204="",-1,K204)=0)*(1-(IF(K204="",-1,K204)&gt;=0)*(IF(K204="",-1,K204)&lt;=1)),IF(C204="peso_corporal",IF(ISNUMBER(E204),E204,0)+I204,I204)*J204*1000+I204,0),IF((M204&gt;0)*(IF(N204="",-1,N204)=0)*(1-(IF(N204="",-1,N204)&gt;=0)*(IF(N204="",-1,N204)&lt;=1)),IF(C204="peso_corporal",IF(ISNUMBER(E204),E204,0)+L204,L204)*M204*1000+L204,0),IF((P204&gt;0)*(IF(Q204="",-1,Q204)=0)*(1-(IF(Q204="",-1,Q204)&gt;=0)*(IF(Q204="",-1,Q204)&lt;=1)),IF(C204="peso_corporal",IF(ISNUMBER(E204),E204,0)+O204,O204)*P204*1000+O204,0),IF((S204&gt;0)*(IF(T204="",-1,T204)=0)*(1-(IF(T204="",-1,T204)&gt;=0)*(IF(T204="",-1,T204)&lt;=1)),IF(C204="peso_corporal",IF(ISNUMBER(E204),E204,0)+R204,R204)*S204*1000+R204,0))</f>
        <v>0</v>
      </c>
      <c r="Z204" s="69">
        <f>IF(Y204=0,0,IF(IF((S204&gt;0)*(IF(T204="",-1,T204)=0)*(1-(IF(T204="",-1,T204)&gt;=0)*(IF(T204="",-1,T204)&lt;=1)),IF(C204="peso_corporal",IF(ISNUMBER(E204),E204,0)+R204,R204)*S204*1000+R204,0)=Y204,5,IF(IF((P204&gt;0)*(IF(Q204="",-1,Q204)=0)*(1-(IF(Q204="",-1,Q204)&gt;=0)*(IF(Q204="",-1,Q204)&lt;=1)),IF(C204="peso_corporal",IF(ISNUMBER(E204),E204,0)+O204,O204)*P204*1000+O204,0)=Y204,4,IF(IF((M204&gt;0)*(IF(N204="",-1,N204)=0)*(1-(IF(N204="",-1,N204)&gt;=0)*(IF(N204="",-1,N204)&lt;=1)),IF(C204="peso_corporal",IF(ISNUMBER(E204),E204,0)+L204,L204)*M204*1000+L204,0)=Y204,3,IF(IF((J204&gt;0)*(IF(K204="",-1,K204)=0)*(1-(IF(K204="",-1,K204)&gt;=0)*(IF(K204="",-1,K204)&lt;=1)),IF(C204="peso_corporal",IF(ISNUMBER(E204),E204,0)+I204,I204)*J204*1000+I204,0)=Y204,2,IF(IF((G204&gt;0)*(IF(H204="",-1,H204)=0)*(1-(IF(H204="",-1,H204)&gt;=0)*(IF(H204="",-1,H204)&lt;=1)),IF(C204="peso_corporal",IF(ISNUMBER(E204),E204,0)+F204,F204)*G204*1000+F204,0)=Y204,1,0))))))</f>
        <v>0</v>
      </c>
      <c r="AA204" s="69">
        <f>MAX(IF((G204&gt;=3)*(1-(IF(H204="",-1,H204)&gt;=0)*(IF(H204="",-1,H204)&lt;=1))*(1-(IF(H204="",-1,H204)=0)),IF(C204="peso_corporal",IF(ISNUMBER(E204),E204,0)+F204,F204)*(30+G204)*100+F204,0),IF((J204&gt;=3)*(1-(IF(K204="",-1,K204)&gt;=0)*(IF(K204="",-1,K204)&lt;=1))*(1-(IF(K204="",-1,K204)=0)),IF(C204="peso_corporal",IF(ISNUMBER(E204),E204,0)+I204,I204)*(30+J204)*100+I204,0),IF((M204&gt;=3)*(1-(IF(N204="",-1,N204)&gt;=0)*(IF(N204="",-1,N204)&lt;=1))*(1-(IF(N204="",-1,N204)=0)),IF(C204="peso_corporal",IF(ISNUMBER(E204),E204,0)+L204,L204)*(30+M204)*100+L204,0),IF((P204&gt;=3)*(1-(IF(Q204="",-1,Q204)&gt;=0)*(IF(Q204="",-1,Q204)&lt;=1))*(1-(IF(Q204="",-1,Q204)=0)),IF(C204="peso_corporal",IF(ISNUMBER(E204),E204,0)+O204,O204)*(30+P204)*100+O204,0),IF((S204&gt;=3)*(1-(IF(T204="",-1,T204)&gt;=0)*(IF(T204="",-1,T204)&lt;=1))*(1-(IF(T204="",-1,T204)=0)),IF(C204="peso_corporal",IF(ISNUMBER(E204),E204,0)+R204,R204)*(30+S204)*100+R204,0))</f>
        <v>0</v>
      </c>
      <c r="AB204" s="69">
        <f>IF(AA204=0,0,IF(IF((S204&gt;=3)*(1-(IF(T204="",-1,T204)&gt;=0)*(IF(T204="",-1,T204)&lt;=1))*(1-(IF(T204="",-1,T204)=0)),IF(C204="peso_corporal",IF(ISNUMBER(E204),E204,0)+R204,R204)*(30+S204)*100+R204,0)=AA204,5,IF(IF((P204&gt;=3)*(1-(IF(Q204="",-1,Q204)&gt;=0)*(IF(Q204="",-1,Q204)&lt;=1))*(1-(IF(Q204="",-1,Q204)=0)),IF(C204="peso_corporal",IF(ISNUMBER(E204),E204,0)+O204,O204)*(30+P204)*100+O204,0)=AA204,4,IF(IF((M204&gt;=3)*(1-(IF(N204="",-1,N204)&gt;=0)*(IF(N204="",-1,N204)&lt;=1))*(1-(IF(N204="",-1,N204)=0)),IF(C204="peso_corporal",IF(ISNUMBER(E204),E204,0)+L204,L204)*(30+M204)*100+L204,0)=AA204,3,IF(IF((J204&gt;=3)*(1-(IF(K204="",-1,K204)&gt;=0)*(IF(K204="",-1,K204)&lt;=1))*(1-(IF(K204="",-1,K204)=0)),IF(C204="peso_corporal",IF(ISNUMBER(E204),E204,0)+I204,I204)*(30+J204)*100+I204,0)=AA204,2,IF(IF((G204&gt;=3)*(1-(IF(H204="",-1,H204)&gt;=0)*(IF(H204="",-1,H204)&lt;=1))*(1-(IF(H204="",-1,H204)=0)),IF(C204="peso_corporal",IF(ISNUMBER(E204),E204,0)+F204,F204)*(30+G204)*100+F204,0)=AA204,1,0))))))</f>
        <v>0</v>
      </c>
      <c r="AC204" s="69" t="str">
        <f>IF(X204&gt;0,"A"&amp;X204,IF(Z204&gt;0,"B"&amp;Z204,IF(AB204&gt;0,"C"&amp;AB204,"")))</f>
        <v/>
      </c>
    </row>
    <row r="205" spans="1:29" ht="20.100000000000001" customHeight="1">
      <c r="A205" s="14" t="s">
        <v>148</v>
      </c>
      <c r="B205" s="15" t="s">
        <v>149</v>
      </c>
      <c r="C205" s="16" t="str">
        <f>IFERROR(INDEX(EJERCICIOS!$D$3:$D$75,MATCH(A205&amp;"|"&amp;B205,EJERCICIOS!$G$3:$G$75,0)),"--")</f>
        <v>--</v>
      </c>
      <c r="D205" s="17">
        <v>3</v>
      </c>
      <c r="E205" s="18">
        <f>IFERROR(LOOKUP(2,1/(MEDIDAS_Y_PESO!$B$3:$B$11&lt;&gt;""),MEDIDAS_Y_PESO!$B$3:$B$11),"--")</f>
        <v>80</v>
      </c>
      <c r="F205" s="19"/>
      <c r="G205" s="20"/>
      <c r="H205" s="21"/>
      <c r="I205" s="19"/>
      <c r="J205" s="20"/>
      <c r="K205" s="21"/>
      <c r="L205" s="19"/>
      <c r="M205" s="20"/>
      <c r="N205" s="21"/>
      <c r="O205" s="19"/>
      <c r="P205" s="20"/>
      <c r="Q205" s="21"/>
      <c r="R205" s="19"/>
      <c r="S205" s="20"/>
      <c r="T205" s="21"/>
      <c r="U205" s="22" t="str">
        <f>IFERROR(IF(IF(X205&gt;0,X205,IF(Z205&gt;0,Z205,IF(AB205&gt;0,AB205,0)))=0,"--",ROUND(CHOOSE(IF(X205&gt;0,X205,IF(Z205&gt;0,Z205,IF(AB205&gt;0,AB205,0))),IF(C205="peso_corporal",IF(ISNUMBER(E205),E205,0)+F205,F205)*(1+G205/30),IF(C205="peso_corporal",IF(ISNUMBER(E205),E205,0)+I205,I205)*(1+J205/30),IF(C205="peso_corporal",IF(ISNUMBER(E205),E205,0)+L205,L205)*(1+M205/30),IF(C205="peso_corporal",IF(ISNUMBER(E205),E205,0)+O205,O205)*(1+P205/30),IF(C205="peso_corporal",IF(ISNUMBER(E205),E205,0)+R205,R205)*(1+S205/30)),1)),"--")</f>
        <v>--</v>
      </c>
      <c r="V205" s="23" t="str">
        <f>IF(SUGERENCIAS!N543="SIN","Sin datos anteriores",IF(SUGERENCIAS!N543="SUBIR_F","^ SUBIR FUERTE | Kg:"&amp;ROUND(SUGERENCIAS!K543,1)&amp;" R:"&amp;ROUND(SUGERENCIAS!L543,0)&amp;" RIR:"&amp;ROUND(SUGERENCIAS!M543,0),IF(SUGERENCIAS!N543="SUBIR_E","^ SUBIR (Est.) | Kg:"&amp;ROUND(SUGERENCIAS!K543,1)&amp;" R:"&amp;ROUND(SUGERENCIAS!L543,0)&amp;" RIR:"&amp;ROUND(SUGERENCIAS!M543,0),IF(SUGERENCIAS!N543="SUBIR","^ SUBIR | Kg:"&amp;ROUND(SUGERENCIAS!K543,1)&amp;" R:"&amp;ROUND(SUGERENCIAS!L543,0)&amp;" RIR:"&amp;ROUND(SUGERENCIAS!M543,0),IF(SUGERENCIAS!N543="BAJAR","v BAJAR | Kg:"&amp;ROUND(SUGERENCIAS!K543,1)&amp;" R:"&amp;ROUND(SUGERENCIAS!L543,0)&amp;" RIR:"&amp;ROUND(SUGERENCIAS!M543,0),"= MANT | Kg:"&amp;ROUND(SUGERENCIAS!K543,1)&amp;" R:"&amp;ROUND(SUGERENCIAS!L543,0)&amp;" RIR:"&amp;ROUND(SUGERENCIAS!M543,0))))))</f>
        <v>Sin datos anteriores</v>
      </c>
      <c r="W205" s="69">
        <f>MAX(IF((G205&gt;0)*(IF(H205="",-1,H205)&gt;=0)*(IF(H205="",-1,H205)&lt;=1),IF(C205="peso_corporal",IF(ISNUMBER(E205),E205,0)+F205,F205)*G205*1000+F205,0),IF((J205&gt;0)*(IF(K205="",-1,K205)&gt;=0)*(IF(K205="",-1,K205)&lt;=1),IF(C205="peso_corporal",IF(ISNUMBER(E205),E205,0)+I205,I205)*J205*1000+I205,0),IF((M205&gt;0)*(IF(N205="",-1,N205)&gt;=0)*(IF(N205="",-1,N205)&lt;=1),IF(C205="peso_corporal",IF(ISNUMBER(E205),E205,0)+L205,L205)*M205*1000+L205,0),IF((P205&gt;0)*(IF(Q205="",-1,Q205)&gt;=0)*(IF(Q205="",-1,Q205)&lt;=1),IF(C205="peso_corporal",IF(ISNUMBER(E205),E205,0)+O205,O205)*P205*1000+O205,0),IF((S205&gt;0)*(IF(T205="",-1,T205)&gt;=0)*(IF(T205="",-1,T205)&lt;=1),IF(C205="peso_corporal",IF(ISNUMBER(E205),E205,0)+R205,R205)*S205*1000+R205,0))</f>
        <v>0</v>
      </c>
      <c r="X205" s="69">
        <f>IF(W205=0,0,IF(IF((S205&gt;0)*(IF(T205="",-1,T205)&gt;=0)*(IF(T205="",-1,T205)&lt;=1),IF(C205="peso_corporal",IF(ISNUMBER(E205),E205,0)+R205,R205)*S205*1000+R205,0)=W205,5,IF(IF((P205&gt;0)*(IF(Q205="",-1,Q205)&gt;=0)*(IF(Q205="",-1,Q205)&lt;=1),IF(C205="peso_corporal",IF(ISNUMBER(E205),E205,0)+O205,O205)*P205*1000+O205,0)=W205,4,IF(IF((M205&gt;0)*(IF(N205="",-1,N205)&gt;=0)*(IF(N205="",-1,N205)&lt;=1),IF(C205="peso_corporal",IF(ISNUMBER(E205),E205,0)+L205,L205)*M205*1000+L205,0)=W205,3,IF(IF((J205&gt;0)*(IF(K205="",-1,K205)&gt;=0)*(IF(K205="",-1,K205)&lt;=1),IF(C205="peso_corporal",IF(ISNUMBER(E205),E205,0)+I205,I205)*J205*1000+I205,0)=W205,2,IF(IF((G205&gt;0)*(IF(H205="",-1,H205)&gt;=0)*(IF(H205="",-1,H205)&lt;=1),IF(C205="peso_corporal",IF(ISNUMBER(E205),E205,0)+F205,F205)*G205*1000+F205,0)=W205,1,0))))))</f>
        <v>0</v>
      </c>
      <c r="Y205" s="69">
        <f>MAX(IF((G205&gt;0)*(IF(H205="",-1,H205)=0)*(1-(IF(H205="",-1,H205)&gt;=0)*(IF(H205="",-1,H205)&lt;=1)),IF(C205="peso_corporal",IF(ISNUMBER(E205),E205,0)+F205,F205)*G205*1000+F205,0),IF((J205&gt;0)*(IF(K205="",-1,K205)=0)*(1-(IF(K205="",-1,K205)&gt;=0)*(IF(K205="",-1,K205)&lt;=1)),IF(C205="peso_corporal",IF(ISNUMBER(E205),E205,0)+I205,I205)*J205*1000+I205,0),IF((M205&gt;0)*(IF(N205="",-1,N205)=0)*(1-(IF(N205="",-1,N205)&gt;=0)*(IF(N205="",-1,N205)&lt;=1)),IF(C205="peso_corporal",IF(ISNUMBER(E205),E205,0)+L205,L205)*M205*1000+L205,0),IF((P205&gt;0)*(IF(Q205="",-1,Q205)=0)*(1-(IF(Q205="",-1,Q205)&gt;=0)*(IF(Q205="",-1,Q205)&lt;=1)),IF(C205="peso_corporal",IF(ISNUMBER(E205),E205,0)+O205,O205)*P205*1000+O205,0),IF((S205&gt;0)*(IF(T205="",-1,T205)=0)*(1-(IF(T205="",-1,T205)&gt;=0)*(IF(T205="",-1,T205)&lt;=1)),IF(C205="peso_corporal",IF(ISNUMBER(E205),E205,0)+R205,R205)*S205*1000+R205,0))</f>
        <v>0</v>
      </c>
      <c r="Z205" s="69">
        <f>IF(Y205=0,0,IF(IF((S205&gt;0)*(IF(T205="",-1,T205)=0)*(1-(IF(T205="",-1,T205)&gt;=0)*(IF(T205="",-1,T205)&lt;=1)),IF(C205="peso_corporal",IF(ISNUMBER(E205),E205,0)+R205,R205)*S205*1000+R205,0)=Y205,5,IF(IF((P205&gt;0)*(IF(Q205="",-1,Q205)=0)*(1-(IF(Q205="",-1,Q205)&gt;=0)*(IF(Q205="",-1,Q205)&lt;=1)),IF(C205="peso_corporal",IF(ISNUMBER(E205),E205,0)+O205,O205)*P205*1000+O205,0)=Y205,4,IF(IF((M205&gt;0)*(IF(N205="",-1,N205)=0)*(1-(IF(N205="",-1,N205)&gt;=0)*(IF(N205="",-1,N205)&lt;=1)),IF(C205="peso_corporal",IF(ISNUMBER(E205),E205,0)+L205,L205)*M205*1000+L205,0)=Y205,3,IF(IF((J205&gt;0)*(IF(K205="",-1,K205)=0)*(1-(IF(K205="",-1,K205)&gt;=0)*(IF(K205="",-1,K205)&lt;=1)),IF(C205="peso_corporal",IF(ISNUMBER(E205),E205,0)+I205,I205)*J205*1000+I205,0)=Y205,2,IF(IF((G205&gt;0)*(IF(H205="",-1,H205)=0)*(1-(IF(H205="",-1,H205)&gt;=0)*(IF(H205="",-1,H205)&lt;=1)),IF(C205="peso_corporal",IF(ISNUMBER(E205),E205,0)+F205,F205)*G205*1000+F205,0)=Y205,1,0))))))</f>
        <v>0</v>
      </c>
      <c r="AA205" s="69">
        <f>MAX(IF((G205&gt;=3)*(1-(IF(H205="",-1,H205)&gt;=0)*(IF(H205="",-1,H205)&lt;=1))*(1-(IF(H205="",-1,H205)=0)),IF(C205="peso_corporal",IF(ISNUMBER(E205),E205,0)+F205,F205)*(30+G205)*100+F205,0),IF((J205&gt;=3)*(1-(IF(K205="",-1,K205)&gt;=0)*(IF(K205="",-1,K205)&lt;=1))*(1-(IF(K205="",-1,K205)=0)),IF(C205="peso_corporal",IF(ISNUMBER(E205),E205,0)+I205,I205)*(30+J205)*100+I205,0),IF((M205&gt;=3)*(1-(IF(N205="",-1,N205)&gt;=0)*(IF(N205="",-1,N205)&lt;=1))*(1-(IF(N205="",-1,N205)=0)),IF(C205="peso_corporal",IF(ISNUMBER(E205),E205,0)+L205,L205)*(30+M205)*100+L205,0),IF((P205&gt;=3)*(1-(IF(Q205="",-1,Q205)&gt;=0)*(IF(Q205="",-1,Q205)&lt;=1))*(1-(IF(Q205="",-1,Q205)=0)),IF(C205="peso_corporal",IF(ISNUMBER(E205),E205,0)+O205,O205)*(30+P205)*100+O205,0),IF((S205&gt;=3)*(1-(IF(T205="",-1,T205)&gt;=0)*(IF(T205="",-1,T205)&lt;=1))*(1-(IF(T205="",-1,T205)=0)),IF(C205="peso_corporal",IF(ISNUMBER(E205),E205,0)+R205,R205)*(30+S205)*100+R205,0))</f>
        <v>0</v>
      </c>
      <c r="AB205" s="69">
        <f>IF(AA205=0,0,IF(IF((S205&gt;=3)*(1-(IF(T205="",-1,T205)&gt;=0)*(IF(T205="",-1,T205)&lt;=1))*(1-(IF(T205="",-1,T205)=0)),IF(C205="peso_corporal",IF(ISNUMBER(E205),E205,0)+R205,R205)*(30+S205)*100+R205,0)=AA205,5,IF(IF((P205&gt;=3)*(1-(IF(Q205="",-1,Q205)&gt;=0)*(IF(Q205="",-1,Q205)&lt;=1))*(1-(IF(Q205="",-1,Q205)=0)),IF(C205="peso_corporal",IF(ISNUMBER(E205),E205,0)+O205,O205)*(30+P205)*100+O205,0)=AA205,4,IF(IF((M205&gt;=3)*(1-(IF(N205="",-1,N205)&gt;=0)*(IF(N205="",-1,N205)&lt;=1))*(1-(IF(N205="",-1,N205)=0)),IF(C205="peso_corporal",IF(ISNUMBER(E205),E205,0)+L205,L205)*(30+M205)*100+L205,0)=AA205,3,IF(IF((J205&gt;=3)*(1-(IF(K205="",-1,K205)&gt;=0)*(IF(K205="",-1,K205)&lt;=1))*(1-(IF(K205="",-1,K205)=0)),IF(C205="peso_corporal",IF(ISNUMBER(E205),E205,0)+I205,I205)*(30+J205)*100+I205,0)=AA205,2,IF(IF((G205&gt;=3)*(1-(IF(H205="",-1,H205)&gt;=0)*(IF(H205="",-1,H205)&lt;=1))*(1-(IF(H205="",-1,H205)=0)),IF(C205="peso_corporal",IF(ISNUMBER(E205),E205,0)+F205,F205)*(30+G205)*100+F205,0)=AA205,1,0))))))</f>
        <v>0</v>
      </c>
      <c r="AC205" s="69" t="str">
        <f>IF(X205&gt;0,"A"&amp;X205,IF(Z205&gt;0,"B"&amp;Z205,IF(AB205&gt;0,"C"&amp;AB205,"")))</f>
        <v/>
      </c>
    </row>
    <row r="206" spans="1:29" ht="20.100000000000001" customHeight="1">
      <c r="A206" s="14" t="s">
        <v>150</v>
      </c>
      <c r="B206" s="15" t="s">
        <v>151</v>
      </c>
      <c r="C206" s="16" t="str">
        <f>IFERROR(INDEX(EJERCICIOS!$D$3:$D$75,MATCH(A206&amp;"|"&amp;B206,EJERCICIOS!$G$3:$G$75,0)),"--")</f>
        <v>peso_corporal</v>
      </c>
      <c r="D206" s="17">
        <v>3</v>
      </c>
      <c r="E206" s="18">
        <f>IFERROR(LOOKUP(2,1/(MEDIDAS_Y_PESO!$B$3:$B$11&lt;&gt;""),MEDIDAS_Y_PESO!$B$3:$B$11),"--")</f>
        <v>80</v>
      </c>
      <c r="F206" s="19"/>
      <c r="G206" s="20"/>
      <c r="H206" s="21"/>
      <c r="I206" s="19"/>
      <c r="J206" s="20"/>
      <c r="K206" s="21"/>
      <c r="L206" s="19"/>
      <c r="M206" s="20"/>
      <c r="N206" s="21"/>
      <c r="O206" s="19"/>
      <c r="P206" s="20"/>
      <c r="Q206" s="21"/>
      <c r="R206" s="19"/>
      <c r="S206" s="20"/>
      <c r="T206" s="21"/>
      <c r="U206" s="22" t="str">
        <f>IFERROR(IF(IF(X206&gt;0,X206,IF(Z206&gt;0,Z206,IF(AB206&gt;0,AB206,0)))=0,"--",ROUND(CHOOSE(IF(X206&gt;0,X206,IF(Z206&gt;0,Z206,IF(AB206&gt;0,AB206,0))),IF(C206="peso_corporal",IF(ISNUMBER(E206),E206,0)+F206,F206)*(1+G206/30),IF(C206="peso_corporal",IF(ISNUMBER(E206),E206,0)+I206,I206)*(1+J206/30),IF(C206="peso_corporal",IF(ISNUMBER(E206),E206,0)+L206,L206)*(1+M206/30),IF(C206="peso_corporal",IF(ISNUMBER(E206),E206,0)+O206,O206)*(1+P206/30),IF(C206="peso_corporal",IF(ISNUMBER(E206),E206,0)+R206,R206)*(1+S206/30)),1)),"--")</f>
        <v>--</v>
      </c>
      <c r="V206" s="23" t="str">
        <f>IF(SUGERENCIAS!N544="SIN","Sin datos anteriores",IF(SUGERENCIAS!N544="SUBIR_F","^ SUBIR FUERTE | Kg:"&amp;ROUND(SUGERENCIAS!K544,1)&amp;" R:"&amp;ROUND(SUGERENCIAS!L544,0)&amp;" RIR:"&amp;ROUND(SUGERENCIAS!M544,0),IF(SUGERENCIAS!N544="SUBIR_E","^ SUBIR (Est.) | Kg:"&amp;ROUND(SUGERENCIAS!K544,1)&amp;" R:"&amp;ROUND(SUGERENCIAS!L544,0)&amp;" RIR:"&amp;ROUND(SUGERENCIAS!M544,0),IF(SUGERENCIAS!N544="SUBIR","^ SUBIR | Kg:"&amp;ROUND(SUGERENCIAS!K544,1)&amp;" R:"&amp;ROUND(SUGERENCIAS!L544,0)&amp;" RIR:"&amp;ROUND(SUGERENCIAS!M544,0),IF(SUGERENCIAS!N544="BAJAR","v BAJAR | Kg:"&amp;ROUND(SUGERENCIAS!K544,1)&amp;" R:"&amp;ROUND(SUGERENCIAS!L544,0)&amp;" RIR:"&amp;ROUND(SUGERENCIAS!M544,0),"= MANT | Kg:"&amp;ROUND(SUGERENCIAS!K544,1)&amp;" R:"&amp;ROUND(SUGERENCIAS!L544,0)&amp;" RIR:"&amp;ROUND(SUGERENCIAS!M544,0))))))</f>
        <v>Sin datos anteriores</v>
      </c>
      <c r="W206" s="69">
        <f>MAX(IF((G206&gt;0)*(IF(H206="",-1,H206)&gt;=0)*(IF(H206="",-1,H206)&lt;=1),IF(C206="peso_corporal",IF(ISNUMBER(E206),E206,0)+F206,F206)*G206*1000+F206,0),IF((J206&gt;0)*(IF(K206="",-1,K206)&gt;=0)*(IF(K206="",-1,K206)&lt;=1),IF(C206="peso_corporal",IF(ISNUMBER(E206),E206,0)+I206,I206)*J206*1000+I206,0),IF((M206&gt;0)*(IF(N206="",-1,N206)&gt;=0)*(IF(N206="",-1,N206)&lt;=1),IF(C206="peso_corporal",IF(ISNUMBER(E206),E206,0)+L206,L206)*M206*1000+L206,0),IF((P206&gt;0)*(IF(Q206="",-1,Q206)&gt;=0)*(IF(Q206="",-1,Q206)&lt;=1),IF(C206="peso_corporal",IF(ISNUMBER(E206),E206,0)+O206,O206)*P206*1000+O206,0),IF((S206&gt;0)*(IF(T206="",-1,T206)&gt;=0)*(IF(T206="",-1,T206)&lt;=1),IF(C206="peso_corporal",IF(ISNUMBER(E206),E206,0)+R206,R206)*S206*1000+R206,0))</f>
        <v>0</v>
      </c>
      <c r="X206" s="69">
        <f>IF(W206=0,0,IF(IF((S206&gt;0)*(IF(T206="",-1,T206)&gt;=0)*(IF(T206="",-1,T206)&lt;=1),IF(C206="peso_corporal",IF(ISNUMBER(E206),E206,0)+R206,R206)*S206*1000+R206,0)=W206,5,IF(IF((P206&gt;0)*(IF(Q206="",-1,Q206)&gt;=0)*(IF(Q206="",-1,Q206)&lt;=1),IF(C206="peso_corporal",IF(ISNUMBER(E206),E206,0)+O206,O206)*P206*1000+O206,0)=W206,4,IF(IF((M206&gt;0)*(IF(N206="",-1,N206)&gt;=0)*(IF(N206="",-1,N206)&lt;=1),IF(C206="peso_corporal",IF(ISNUMBER(E206),E206,0)+L206,L206)*M206*1000+L206,0)=W206,3,IF(IF((J206&gt;0)*(IF(K206="",-1,K206)&gt;=0)*(IF(K206="",-1,K206)&lt;=1),IF(C206="peso_corporal",IF(ISNUMBER(E206),E206,0)+I206,I206)*J206*1000+I206,0)=W206,2,IF(IF((G206&gt;0)*(IF(H206="",-1,H206)&gt;=0)*(IF(H206="",-1,H206)&lt;=1),IF(C206="peso_corporal",IF(ISNUMBER(E206),E206,0)+F206,F206)*G206*1000+F206,0)=W206,1,0))))))</f>
        <v>0</v>
      </c>
      <c r="Y206" s="69">
        <f>MAX(IF((G206&gt;0)*(IF(H206="",-1,H206)=0)*(1-(IF(H206="",-1,H206)&gt;=0)*(IF(H206="",-1,H206)&lt;=1)),IF(C206="peso_corporal",IF(ISNUMBER(E206),E206,0)+F206,F206)*G206*1000+F206,0),IF((J206&gt;0)*(IF(K206="",-1,K206)=0)*(1-(IF(K206="",-1,K206)&gt;=0)*(IF(K206="",-1,K206)&lt;=1)),IF(C206="peso_corporal",IF(ISNUMBER(E206),E206,0)+I206,I206)*J206*1000+I206,0),IF((M206&gt;0)*(IF(N206="",-1,N206)=0)*(1-(IF(N206="",-1,N206)&gt;=0)*(IF(N206="",-1,N206)&lt;=1)),IF(C206="peso_corporal",IF(ISNUMBER(E206),E206,0)+L206,L206)*M206*1000+L206,0),IF((P206&gt;0)*(IF(Q206="",-1,Q206)=0)*(1-(IF(Q206="",-1,Q206)&gt;=0)*(IF(Q206="",-1,Q206)&lt;=1)),IF(C206="peso_corporal",IF(ISNUMBER(E206),E206,0)+O206,O206)*P206*1000+O206,0),IF((S206&gt;0)*(IF(T206="",-1,T206)=0)*(1-(IF(T206="",-1,T206)&gt;=0)*(IF(T206="",-1,T206)&lt;=1)),IF(C206="peso_corporal",IF(ISNUMBER(E206),E206,0)+R206,R206)*S206*1000+R206,0))</f>
        <v>0</v>
      </c>
      <c r="Z206" s="69">
        <f>IF(Y206=0,0,IF(IF((S206&gt;0)*(IF(T206="",-1,T206)=0)*(1-(IF(T206="",-1,T206)&gt;=0)*(IF(T206="",-1,T206)&lt;=1)),IF(C206="peso_corporal",IF(ISNUMBER(E206),E206,0)+R206,R206)*S206*1000+R206,0)=Y206,5,IF(IF((P206&gt;0)*(IF(Q206="",-1,Q206)=0)*(1-(IF(Q206="",-1,Q206)&gt;=0)*(IF(Q206="",-1,Q206)&lt;=1)),IF(C206="peso_corporal",IF(ISNUMBER(E206),E206,0)+O206,O206)*P206*1000+O206,0)=Y206,4,IF(IF((M206&gt;0)*(IF(N206="",-1,N206)=0)*(1-(IF(N206="",-1,N206)&gt;=0)*(IF(N206="",-1,N206)&lt;=1)),IF(C206="peso_corporal",IF(ISNUMBER(E206),E206,0)+L206,L206)*M206*1000+L206,0)=Y206,3,IF(IF((J206&gt;0)*(IF(K206="",-1,K206)=0)*(1-(IF(K206="",-1,K206)&gt;=0)*(IF(K206="",-1,K206)&lt;=1)),IF(C206="peso_corporal",IF(ISNUMBER(E206),E206,0)+I206,I206)*J206*1000+I206,0)=Y206,2,IF(IF((G206&gt;0)*(IF(H206="",-1,H206)=0)*(1-(IF(H206="",-1,H206)&gt;=0)*(IF(H206="",-1,H206)&lt;=1)),IF(C206="peso_corporal",IF(ISNUMBER(E206),E206,0)+F206,F206)*G206*1000+F206,0)=Y206,1,0))))))</f>
        <v>0</v>
      </c>
      <c r="AA206" s="69">
        <f>MAX(IF((G206&gt;=3)*(1-(IF(H206="",-1,H206)&gt;=0)*(IF(H206="",-1,H206)&lt;=1))*(1-(IF(H206="",-1,H206)=0)),IF(C206="peso_corporal",IF(ISNUMBER(E206),E206,0)+F206,F206)*(30+G206)*100+F206,0),IF((J206&gt;=3)*(1-(IF(K206="",-1,K206)&gt;=0)*(IF(K206="",-1,K206)&lt;=1))*(1-(IF(K206="",-1,K206)=0)),IF(C206="peso_corporal",IF(ISNUMBER(E206),E206,0)+I206,I206)*(30+J206)*100+I206,0),IF((M206&gt;=3)*(1-(IF(N206="",-1,N206)&gt;=0)*(IF(N206="",-1,N206)&lt;=1))*(1-(IF(N206="",-1,N206)=0)),IF(C206="peso_corporal",IF(ISNUMBER(E206),E206,0)+L206,L206)*(30+M206)*100+L206,0),IF((P206&gt;=3)*(1-(IF(Q206="",-1,Q206)&gt;=0)*(IF(Q206="",-1,Q206)&lt;=1))*(1-(IF(Q206="",-1,Q206)=0)),IF(C206="peso_corporal",IF(ISNUMBER(E206),E206,0)+O206,O206)*(30+P206)*100+O206,0),IF((S206&gt;=3)*(1-(IF(T206="",-1,T206)&gt;=0)*(IF(T206="",-1,T206)&lt;=1))*(1-(IF(T206="",-1,T206)=0)),IF(C206="peso_corporal",IF(ISNUMBER(E206),E206,0)+R206,R206)*(30+S206)*100+R206,0))</f>
        <v>0</v>
      </c>
      <c r="AB206" s="69">
        <f>IF(AA206=0,0,IF(IF((S206&gt;=3)*(1-(IF(T206="",-1,T206)&gt;=0)*(IF(T206="",-1,T206)&lt;=1))*(1-(IF(T206="",-1,T206)=0)),IF(C206="peso_corporal",IF(ISNUMBER(E206),E206,0)+R206,R206)*(30+S206)*100+R206,0)=AA206,5,IF(IF((P206&gt;=3)*(1-(IF(Q206="",-1,Q206)&gt;=0)*(IF(Q206="",-1,Q206)&lt;=1))*(1-(IF(Q206="",-1,Q206)=0)),IF(C206="peso_corporal",IF(ISNUMBER(E206),E206,0)+O206,O206)*(30+P206)*100+O206,0)=AA206,4,IF(IF((M206&gt;=3)*(1-(IF(N206="",-1,N206)&gt;=0)*(IF(N206="",-1,N206)&lt;=1))*(1-(IF(N206="",-1,N206)=0)),IF(C206="peso_corporal",IF(ISNUMBER(E206),E206,0)+L206,L206)*(30+M206)*100+L206,0)=AA206,3,IF(IF((J206&gt;=3)*(1-(IF(K206="",-1,K206)&gt;=0)*(IF(K206="",-1,K206)&lt;=1))*(1-(IF(K206="",-1,K206)=0)),IF(C206="peso_corporal",IF(ISNUMBER(E206),E206,0)+I206,I206)*(30+J206)*100+I206,0)=AA206,2,IF(IF((G206&gt;=3)*(1-(IF(H206="",-1,H206)&gt;=0)*(IF(H206="",-1,H206)&lt;=1))*(1-(IF(H206="",-1,H206)=0)),IF(C206="peso_corporal",IF(ISNUMBER(E206),E206,0)+F206,F206)*(30+G206)*100+F206,0)=AA206,1,0))))))</f>
        <v>0</v>
      </c>
      <c r="AC206" s="69" t="str">
        <f>IF(X206&gt;0,"A"&amp;X206,IF(Z206&gt;0,"B"&amp;Z206,IF(AB206&gt;0,"C"&amp;AB206,"")))</f>
        <v/>
      </c>
    </row>
    <row r="207" spans="1:29" ht="6"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69"/>
      <c r="X207" s="69"/>
      <c r="Y207" s="69"/>
      <c r="Z207" s="69"/>
      <c r="AA207" s="69"/>
      <c r="AB207" s="69"/>
      <c r="AC207" s="69"/>
    </row>
    <row r="208" spans="1:29" ht="18" customHeight="1">
      <c r="A208" s="85" t="s">
        <v>75</v>
      </c>
      <c r="B208" s="73"/>
      <c r="C208" s="73"/>
      <c r="D208" s="73"/>
      <c r="E208" s="73"/>
      <c r="F208" s="73"/>
      <c r="G208" s="73"/>
      <c r="H208" s="73"/>
      <c r="I208" s="73"/>
      <c r="J208" s="73"/>
      <c r="K208" s="73"/>
      <c r="L208" s="73"/>
      <c r="M208" s="73"/>
      <c r="N208" s="73"/>
      <c r="O208" s="73"/>
      <c r="P208" s="73"/>
      <c r="Q208" s="73"/>
      <c r="R208" s="73"/>
      <c r="S208" s="73"/>
      <c r="T208" s="73"/>
      <c r="U208" s="73"/>
      <c r="V208" s="73"/>
      <c r="W208" s="69"/>
      <c r="X208" s="69"/>
      <c r="Y208" s="69"/>
      <c r="Z208" s="69"/>
      <c r="AA208" s="69"/>
      <c r="AB208" s="69"/>
      <c r="AC208" s="69"/>
    </row>
    <row r="209" spans="1:29" ht="15" customHeight="1">
      <c r="A209" s="88" t="s">
        <v>129</v>
      </c>
      <c r="B209" s="73"/>
      <c r="C209" s="73"/>
      <c r="D209" s="73"/>
      <c r="E209" s="73"/>
      <c r="F209" s="73"/>
      <c r="G209" s="73"/>
      <c r="H209" s="73"/>
      <c r="I209" s="73"/>
      <c r="J209" s="73"/>
      <c r="K209" s="73"/>
      <c r="L209" s="73"/>
      <c r="M209" s="73"/>
      <c r="N209" s="73"/>
      <c r="O209" s="73"/>
      <c r="P209" s="73"/>
      <c r="Q209" s="73"/>
      <c r="R209" s="73"/>
      <c r="S209" s="73"/>
      <c r="T209" s="73"/>
      <c r="U209" s="73"/>
      <c r="V209" s="73"/>
      <c r="W209" s="69"/>
      <c r="X209" s="69"/>
      <c r="Y209" s="69"/>
      <c r="Z209" s="69"/>
      <c r="AA209" s="69"/>
      <c r="AB209" s="69"/>
      <c r="AC209" s="69"/>
    </row>
    <row r="210" spans="1:29" ht="20.100000000000001" customHeight="1">
      <c r="A210" s="14" t="s">
        <v>130</v>
      </c>
      <c r="B210" s="15" t="s">
        <v>131</v>
      </c>
      <c r="C210" s="16" t="str">
        <f>IFERROR(INDEX(EJERCICIOS!$D$3:$D$75,MATCH(A210&amp;"|"&amp;B210,EJERCICIOS!$G$3:$G$75,0)),"--")</f>
        <v>polea</v>
      </c>
      <c r="D210" s="17">
        <v>3</v>
      </c>
      <c r="E210" s="18">
        <f>IFERROR(LOOKUP(2,1/(MEDIDAS_Y_PESO!$B$3:$B$12&lt;&gt;""),MEDIDAS_Y_PESO!$B$3:$B$12),"--")</f>
        <v>80</v>
      </c>
      <c r="F210" s="19"/>
      <c r="G210" s="20"/>
      <c r="H210" s="21"/>
      <c r="I210" s="19"/>
      <c r="J210" s="20"/>
      <c r="K210" s="21"/>
      <c r="L210" s="19"/>
      <c r="M210" s="20"/>
      <c r="N210" s="21"/>
      <c r="O210" s="19"/>
      <c r="P210" s="20"/>
      <c r="Q210" s="21"/>
      <c r="R210" s="19"/>
      <c r="S210" s="20"/>
      <c r="T210" s="21"/>
      <c r="U210" s="22" t="str">
        <f>IFERROR(IF(IF(X210&gt;0,X210,IF(Z210&gt;0,Z210,IF(AB210&gt;0,AB210,0)))=0,"--",ROUND(CHOOSE(IF(X210&gt;0,X210,IF(Z210&gt;0,Z210,IF(AB210&gt;0,AB210,0))),IF(C210="peso_corporal",IF(ISNUMBER(E210),E210,0)+F210,F210)*(1+G210/30),IF(C210="peso_corporal",IF(ISNUMBER(E210),E210,0)+I210,I210)*(1+J210/30),IF(C210="peso_corporal",IF(ISNUMBER(E210),E210,0)+L210,L210)*(1+M210/30),IF(C210="peso_corporal",IF(ISNUMBER(E210),E210,0)+O210,O210)*(1+P210/30),IF(C210="peso_corporal",IF(ISNUMBER(E210),E210,0)+R210,R210)*(1+S210/30)),1)),"--")</f>
        <v>--</v>
      </c>
      <c r="V210" s="23" t="str">
        <f>IF(SUGERENCIAS!N593="SIN","Sin datos anteriores",IF(SUGERENCIAS!N593="SUBIR_F","^ SUBIR FUERTE | Kg:"&amp;ROUND(SUGERENCIAS!K593,1)&amp;" R:"&amp;ROUND(SUGERENCIAS!L593,0)&amp;" RIR:"&amp;ROUND(SUGERENCIAS!M593,0),IF(SUGERENCIAS!N593="SUBIR_E","^ SUBIR (Est.) | Kg:"&amp;ROUND(SUGERENCIAS!K593,1)&amp;" R:"&amp;ROUND(SUGERENCIAS!L593,0)&amp;" RIR:"&amp;ROUND(SUGERENCIAS!M593,0),IF(SUGERENCIAS!N593="SUBIR","^ SUBIR | Kg:"&amp;ROUND(SUGERENCIAS!K593,1)&amp;" R:"&amp;ROUND(SUGERENCIAS!L593,0)&amp;" RIR:"&amp;ROUND(SUGERENCIAS!M593,0),IF(SUGERENCIAS!N593="BAJAR","v BAJAR | Kg:"&amp;ROUND(SUGERENCIAS!K593,1)&amp;" R:"&amp;ROUND(SUGERENCIAS!L593,0)&amp;" RIR:"&amp;ROUND(SUGERENCIAS!M593,0),"= MANT | Kg:"&amp;ROUND(SUGERENCIAS!K593,1)&amp;" R:"&amp;ROUND(SUGERENCIAS!L593,0)&amp;" RIR:"&amp;ROUND(SUGERENCIAS!M593,0))))))</f>
        <v>Sin datos anteriores</v>
      </c>
      <c r="W210" s="69">
        <f>MAX(IF((G210&gt;0)*(IF(H210="",-1,H210)&gt;=1)*(IF(H210="",-1,H210)&lt;=3),IF(C210="peso_corporal",IF(ISNUMBER(E210),E210,0)+F210,F210)*G210*1000+F210,0),IF((J210&gt;0)*(IF(K210="",-1,K210)&gt;=1)*(IF(K210="",-1,K210)&lt;=3),IF(C210="peso_corporal",IF(ISNUMBER(E210),E210,0)+I210,I210)*J210*1000+I210,0),IF((M210&gt;0)*(IF(N210="",-1,N210)&gt;=1)*(IF(N210="",-1,N210)&lt;=3),IF(C210="peso_corporal",IF(ISNUMBER(E210),E210,0)+L210,L210)*M210*1000+L210,0),IF((P210&gt;0)*(IF(Q210="",-1,Q210)&gt;=1)*(IF(Q210="",-1,Q210)&lt;=3),IF(C210="peso_corporal",IF(ISNUMBER(E210),E210,0)+O210,O210)*P210*1000+O210,0),IF((S210&gt;0)*(IF(T210="",-1,T210)&gt;=1)*(IF(T210="",-1,T210)&lt;=3),IF(C210="peso_corporal",IF(ISNUMBER(E210),E210,0)+R210,R210)*S210*1000+R210,0))</f>
        <v>0</v>
      </c>
      <c r="X210" s="69">
        <f>IF(W210=0,0,IF(IF((S210&gt;0)*(IF(T210="",-1,T210)&gt;=1)*(IF(T210="",-1,T210)&lt;=3),IF(C210="peso_corporal",IF(ISNUMBER(E210),E210,0)+R210,R210)*S210*1000+R210,0)=W210,5,IF(IF((P210&gt;0)*(IF(Q210="",-1,Q210)&gt;=1)*(IF(Q210="",-1,Q210)&lt;=3),IF(C210="peso_corporal",IF(ISNUMBER(E210),E210,0)+O210,O210)*P210*1000+O210,0)=W210,4,IF(IF((M210&gt;0)*(IF(N210="",-1,N210)&gt;=1)*(IF(N210="",-1,N210)&lt;=3),IF(C210="peso_corporal",IF(ISNUMBER(E210),E210,0)+L210,L210)*M210*1000+L210,0)=W210,3,IF(IF((J210&gt;0)*(IF(K210="",-1,K210)&gt;=1)*(IF(K210="",-1,K210)&lt;=3),IF(C210="peso_corporal",IF(ISNUMBER(E210),E210,0)+I210,I210)*J210*1000+I210,0)=W210,2,IF(IF((G210&gt;0)*(IF(H210="",-1,H210)&gt;=1)*(IF(H210="",-1,H210)&lt;=3),IF(C210="peso_corporal",IF(ISNUMBER(E210),E210,0)+F210,F210)*G210*1000+F210,0)=W210,1,0))))))</f>
        <v>0</v>
      </c>
      <c r="Y210" s="69">
        <f>MAX(IF((G210&gt;0)*(IF(H210="",-1,H210)=0)*(1-(IF(H210="",-1,H210)&gt;=1)*(IF(H210="",-1,H210)&lt;=3)),IF(C210="peso_corporal",IF(ISNUMBER(E210),E210,0)+F210,F210)*G210*1000+F210,0),IF((J210&gt;0)*(IF(K210="",-1,K210)=0)*(1-(IF(K210="",-1,K210)&gt;=1)*(IF(K210="",-1,K210)&lt;=3)),IF(C210="peso_corporal",IF(ISNUMBER(E210),E210,0)+I210,I210)*J210*1000+I210,0),IF((M210&gt;0)*(IF(N210="",-1,N210)=0)*(1-(IF(N210="",-1,N210)&gt;=1)*(IF(N210="",-1,N210)&lt;=3)),IF(C210="peso_corporal",IF(ISNUMBER(E210),E210,0)+L210,L210)*M210*1000+L210,0),IF((P210&gt;0)*(IF(Q210="",-1,Q210)=0)*(1-(IF(Q210="",-1,Q210)&gt;=1)*(IF(Q210="",-1,Q210)&lt;=3)),IF(C210="peso_corporal",IF(ISNUMBER(E210),E210,0)+O210,O210)*P210*1000+O210,0),IF((S210&gt;0)*(IF(T210="",-1,T210)=0)*(1-(IF(T210="",-1,T210)&gt;=1)*(IF(T210="",-1,T210)&lt;=3)),IF(C210="peso_corporal",IF(ISNUMBER(E210),E210,0)+R210,R210)*S210*1000+R210,0))</f>
        <v>0</v>
      </c>
      <c r="Z210" s="69">
        <f>IF(Y210=0,0,IF(IF((S210&gt;0)*(IF(T210="",-1,T210)=0)*(1-(IF(T210="",-1,T210)&gt;=1)*(IF(T210="",-1,T210)&lt;=3)),IF(C210="peso_corporal",IF(ISNUMBER(E210),E210,0)+R210,R210)*S210*1000+R210,0)=Y210,5,IF(IF((P210&gt;0)*(IF(Q210="",-1,Q210)=0)*(1-(IF(Q210="",-1,Q210)&gt;=1)*(IF(Q210="",-1,Q210)&lt;=3)),IF(C210="peso_corporal",IF(ISNUMBER(E210),E210,0)+O210,O210)*P210*1000+O210,0)=Y210,4,IF(IF((M210&gt;0)*(IF(N210="",-1,N210)=0)*(1-(IF(N210="",-1,N210)&gt;=1)*(IF(N210="",-1,N210)&lt;=3)),IF(C210="peso_corporal",IF(ISNUMBER(E210),E210,0)+L210,L210)*M210*1000+L210,0)=Y210,3,IF(IF((J210&gt;0)*(IF(K210="",-1,K210)=0)*(1-(IF(K210="",-1,K210)&gt;=1)*(IF(K210="",-1,K210)&lt;=3)),IF(C210="peso_corporal",IF(ISNUMBER(E210),E210,0)+I210,I210)*J210*1000+I210,0)=Y210,2,IF(IF((G210&gt;0)*(IF(H210="",-1,H210)=0)*(1-(IF(H210="",-1,H210)&gt;=1)*(IF(H210="",-1,H210)&lt;=3)),IF(C210="peso_corporal",IF(ISNUMBER(E210),E210,0)+F210,F210)*G210*1000+F210,0)=Y210,1,0))))))</f>
        <v>0</v>
      </c>
      <c r="AA210" s="69">
        <f>MAX(IF((G210&gt;=6)*(1-(IF(H210="",-1,H210)&gt;=1)*(IF(H210="",-1,H210)&lt;=3))*(1-(IF(H210="",-1,H210)=0)),IF(C210="peso_corporal",IF(ISNUMBER(E210),E210,0)+F210,F210)*(30+G210)*100+F210,0),IF((J210&gt;=6)*(1-(IF(K210="",-1,K210)&gt;=1)*(IF(K210="",-1,K210)&lt;=3))*(1-(IF(K210="",-1,K210)=0)),IF(C210="peso_corporal",IF(ISNUMBER(E210),E210,0)+I210,I210)*(30+J210)*100+I210,0),IF((M210&gt;=6)*(1-(IF(N210="",-1,N210)&gt;=1)*(IF(N210="",-1,N210)&lt;=3))*(1-(IF(N210="",-1,N210)=0)),IF(C210="peso_corporal",IF(ISNUMBER(E210),E210,0)+L210,L210)*(30+M210)*100+L210,0),IF((P210&gt;=6)*(1-(IF(Q210="",-1,Q210)&gt;=1)*(IF(Q210="",-1,Q210)&lt;=3))*(1-(IF(Q210="",-1,Q210)=0)),IF(C210="peso_corporal",IF(ISNUMBER(E210),E210,0)+O210,O210)*(30+P210)*100+O210,0),IF((S210&gt;=6)*(1-(IF(T210="",-1,T210)&gt;=1)*(IF(T210="",-1,T210)&lt;=3))*(1-(IF(T210="",-1,T210)=0)),IF(C210="peso_corporal",IF(ISNUMBER(E210),E210,0)+R210,R210)*(30+S210)*100+R210,0))</f>
        <v>0</v>
      </c>
      <c r="AB210" s="69">
        <f>IF(AA210=0,0,IF(IF((S210&gt;=6)*(1-(IF(T210="",-1,T210)&gt;=1)*(IF(T210="",-1,T210)&lt;=3))*(1-(IF(T210="",-1,T210)=0)),IF(C210="peso_corporal",IF(ISNUMBER(E210),E210,0)+R210,R210)*(30+S210)*100+R210,0)=AA210,5,IF(IF((P210&gt;=6)*(1-(IF(Q210="",-1,Q210)&gt;=1)*(IF(Q210="",-1,Q210)&lt;=3))*(1-(IF(Q210="",-1,Q210)=0)),IF(C210="peso_corporal",IF(ISNUMBER(E210),E210,0)+O210,O210)*(30+P210)*100+O210,0)=AA210,4,IF(IF((M210&gt;=6)*(1-(IF(N210="",-1,N210)&gt;=1)*(IF(N210="",-1,N210)&lt;=3))*(1-(IF(N210="",-1,N210)=0)),IF(C210="peso_corporal",IF(ISNUMBER(E210),E210,0)+L210,L210)*(30+M210)*100+L210,0)=AA210,3,IF(IF((J210&gt;=6)*(1-(IF(K210="",-1,K210)&gt;=1)*(IF(K210="",-1,K210)&lt;=3))*(1-(IF(K210="",-1,K210)=0)),IF(C210="peso_corporal",IF(ISNUMBER(E210),E210,0)+I210,I210)*(30+J210)*100+I210,0)=AA210,2,IF(IF((G210&gt;=6)*(1-(IF(H210="",-1,H210)&gt;=1)*(IF(H210="",-1,H210)&lt;=3))*(1-(IF(H210="",-1,H210)=0)),IF(C210="peso_corporal",IF(ISNUMBER(E210),E210,0)+F210,F210)*(30+G210)*100+F210,0)=AA210,1,0))))))</f>
        <v>0</v>
      </c>
      <c r="AC210" s="69" t="str">
        <f>IF(X210&gt;0,"A"&amp;X210,IF(Z210&gt;0,"B"&amp;Z210,IF(AB210&gt;0,"C"&amp;AB210,"")))</f>
        <v/>
      </c>
    </row>
    <row r="211" spans="1:29" ht="20.100000000000001" customHeight="1">
      <c r="A211" s="14" t="s">
        <v>130</v>
      </c>
      <c r="B211" s="15" t="s">
        <v>132</v>
      </c>
      <c r="C211" s="16" t="str">
        <f>IFERROR(INDEX(EJERCICIOS!$D$3:$D$75,MATCH(A211&amp;"|"&amp;B211,EJERCICIOS!$G$3:$G$75,0)),"--")</f>
        <v>polea</v>
      </c>
      <c r="D211" s="17">
        <v>3</v>
      </c>
      <c r="E211" s="18">
        <f>IFERROR(LOOKUP(2,1/(MEDIDAS_Y_PESO!$B$3:$B$12&lt;&gt;""),MEDIDAS_Y_PESO!$B$3:$B$12),"--")</f>
        <v>80</v>
      </c>
      <c r="F211" s="19"/>
      <c r="G211" s="20"/>
      <c r="H211" s="21"/>
      <c r="I211" s="19"/>
      <c r="J211" s="20"/>
      <c r="K211" s="21"/>
      <c r="L211" s="19"/>
      <c r="M211" s="20"/>
      <c r="N211" s="21"/>
      <c r="O211" s="19"/>
      <c r="P211" s="20"/>
      <c r="Q211" s="21"/>
      <c r="R211" s="19"/>
      <c r="S211" s="20"/>
      <c r="T211" s="21"/>
      <c r="U211" s="22" t="str">
        <f>IFERROR(IF(IF(X211&gt;0,X211,IF(Z211&gt;0,Z211,IF(AB211&gt;0,AB211,0)))=0,"--",ROUND(CHOOSE(IF(X211&gt;0,X211,IF(Z211&gt;0,Z211,IF(AB211&gt;0,AB211,0))),IF(C211="peso_corporal",IF(ISNUMBER(E211),E211,0)+F211,F211)*(1+G211/30),IF(C211="peso_corporal",IF(ISNUMBER(E211),E211,0)+I211,I211)*(1+J211/30),IF(C211="peso_corporal",IF(ISNUMBER(E211),E211,0)+L211,L211)*(1+M211/30),IF(C211="peso_corporal",IF(ISNUMBER(E211),E211,0)+O211,O211)*(1+P211/30),IF(C211="peso_corporal",IF(ISNUMBER(E211),E211,0)+R211,R211)*(1+S211/30)),1)),"--")</f>
        <v>--</v>
      </c>
      <c r="V211" s="23" t="str">
        <f>IF(SUGERENCIAS!N594="SIN","Sin datos anteriores",IF(SUGERENCIAS!N594="SUBIR_F","^ SUBIR FUERTE | Kg:"&amp;ROUND(SUGERENCIAS!K594,1)&amp;" R:"&amp;ROUND(SUGERENCIAS!L594,0)&amp;" RIR:"&amp;ROUND(SUGERENCIAS!M594,0),IF(SUGERENCIAS!N594="SUBIR_E","^ SUBIR (Est.) | Kg:"&amp;ROUND(SUGERENCIAS!K594,1)&amp;" R:"&amp;ROUND(SUGERENCIAS!L594,0)&amp;" RIR:"&amp;ROUND(SUGERENCIAS!M594,0),IF(SUGERENCIAS!N594="SUBIR","^ SUBIR | Kg:"&amp;ROUND(SUGERENCIAS!K594,1)&amp;" R:"&amp;ROUND(SUGERENCIAS!L594,0)&amp;" RIR:"&amp;ROUND(SUGERENCIAS!M594,0),IF(SUGERENCIAS!N594="BAJAR","v BAJAR | Kg:"&amp;ROUND(SUGERENCIAS!K594,1)&amp;" R:"&amp;ROUND(SUGERENCIAS!L594,0)&amp;" RIR:"&amp;ROUND(SUGERENCIAS!M594,0),"= MANT | Kg:"&amp;ROUND(SUGERENCIAS!K594,1)&amp;" R:"&amp;ROUND(SUGERENCIAS!L594,0)&amp;" RIR:"&amp;ROUND(SUGERENCIAS!M594,0))))))</f>
        <v>Sin datos anteriores</v>
      </c>
      <c r="W211" s="69">
        <f>MAX(IF((G211&gt;0)*(IF(H211="",-1,H211)&gt;=1)*(IF(H211="",-1,H211)&lt;=3),IF(C211="peso_corporal",IF(ISNUMBER(E211),E211,0)+F211,F211)*G211*1000+F211,0),IF((J211&gt;0)*(IF(K211="",-1,K211)&gt;=1)*(IF(K211="",-1,K211)&lt;=3),IF(C211="peso_corporal",IF(ISNUMBER(E211),E211,0)+I211,I211)*J211*1000+I211,0),IF((M211&gt;0)*(IF(N211="",-1,N211)&gt;=1)*(IF(N211="",-1,N211)&lt;=3),IF(C211="peso_corporal",IF(ISNUMBER(E211),E211,0)+L211,L211)*M211*1000+L211,0),IF((P211&gt;0)*(IF(Q211="",-1,Q211)&gt;=1)*(IF(Q211="",-1,Q211)&lt;=3),IF(C211="peso_corporal",IF(ISNUMBER(E211),E211,0)+O211,O211)*P211*1000+O211,0),IF((S211&gt;0)*(IF(T211="",-1,T211)&gt;=1)*(IF(T211="",-1,T211)&lt;=3),IF(C211="peso_corporal",IF(ISNUMBER(E211),E211,0)+R211,R211)*S211*1000+R211,0))</f>
        <v>0</v>
      </c>
      <c r="X211" s="69">
        <f>IF(W211=0,0,IF(IF((S211&gt;0)*(IF(T211="",-1,T211)&gt;=1)*(IF(T211="",-1,T211)&lt;=3),IF(C211="peso_corporal",IF(ISNUMBER(E211),E211,0)+R211,R211)*S211*1000+R211,0)=W211,5,IF(IF((P211&gt;0)*(IF(Q211="",-1,Q211)&gt;=1)*(IF(Q211="",-1,Q211)&lt;=3),IF(C211="peso_corporal",IF(ISNUMBER(E211),E211,0)+O211,O211)*P211*1000+O211,0)=W211,4,IF(IF((M211&gt;0)*(IF(N211="",-1,N211)&gt;=1)*(IF(N211="",-1,N211)&lt;=3),IF(C211="peso_corporal",IF(ISNUMBER(E211),E211,0)+L211,L211)*M211*1000+L211,0)=W211,3,IF(IF((J211&gt;0)*(IF(K211="",-1,K211)&gt;=1)*(IF(K211="",-1,K211)&lt;=3),IF(C211="peso_corporal",IF(ISNUMBER(E211),E211,0)+I211,I211)*J211*1000+I211,0)=W211,2,IF(IF((G211&gt;0)*(IF(H211="",-1,H211)&gt;=1)*(IF(H211="",-1,H211)&lt;=3),IF(C211="peso_corporal",IF(ISNUMBER(E211),E211,0)+F211,F211)*G211*1000+F211,0)=W211,1,0))))))</f>
        <v>0</v>
      </c>
      <c r="Y211" s="69">
        <f>MAX(IF((G211&gt;0)*(IF(H211="",-1,H211)=0)*(1-(IF(H211="",-1,H211)&gt;=1)*(IF(H211="",-1,H211)&lt;=3)),IF(C211="peso_corporal",IF(ISNUMBER(E211),E211,0)+F211,F211)*G211*1000+F211,0),IF((J211&gt;0)*(IF(K211="",-1,K211)=0)*(1-(IF(K211="",-1,K211)&gt;=1)*(IF(K211="",-1,K211)&lt;=3)),IF(C211="peso_corporal",IF(ISNUMBER(E211),E211,0)+I211,I211)*J211*1000+I211,0),IF((M211&gt;0)*(IF(N211="",-1,N211)=0)*(1-(IF(N211="",-1,N211)&gt;=1)*(IF(N211="",-1,N211)&lt;=3)),IF(C211="peso_corporal",IF(ISNUMBER(E211),E211,0)+L211,L211)*M211*1000+L211,0),IF((P211&gt;0)*(IF(Q211="",-1,Q211)=0)*(1-(IF(Q211="",-1,Q211)&gt;=1)*(IF(Q211="",-1,Q211)&lt;=3)),IF(C211="peso_corporal",IF(ISNUMBER(E211),E211,0)+O211,O211)*P211*1000+O211,0),IF((S211&gt;0)*(IF(T211="",-1,T211)=0)*(1-(IF(T211="",-1,T211)&gt;=1)*(IF(T211="",-1,T211)&lt;=3)),IF(C211="peso_corporal",IF(ISNUMBER(E211),E211,0)+R211,R211)*S211*1000+R211,0))</f>
        <v>0</v>
      </c>
      <c r="Z211" s="69">
        <f>IF(Y211=0,0,IF(IF((S211&gt;0)*(IF(T211="",-1,T211)=0)*(1-(IF(T211="",-1,T211)&gt;=1)*(IF(T211="",-1,T211)&lt;=3)),IF(C211="peso_corporal",IF(ISNUMBER(E211),E211,0)+R211,R211)*S211*1000+R211,0)=Y211,5,IF(IF((P211&gt;0)*(IF(Q211="",-1,Q211)=0)*(1-(IF(Q211="",-1,Q211)&gt;=1)*(IF(Q211="",-1,Q211)&lt;=3)),IF(C211="peso_corporal",IF(ISNUMBER(E211),E211,0)+O211,O211)*P211*1000+O211,0)=Y211,4,IF(IF((M211&gt;0)*(IF(N211="",-1,N211)=0)*(1-(IF(N211="",-1,N211)&gt;=1)*(IF(N211="",-1,N211)&lt;=3)),IF(C211="peso_corporal",IF(ISNUMBER(E211),E211,0)+L211,L211)*M211*1000+L211,0)=Y211,3,IF(IF((J211&gt;0)*(IF(K211="",-1,K211)=0)*(1-(IF(K211="",-1,K211)&gt;=1)*(IF(K211="",-1,K211)&lt;=3)),IF(C211="peso_corporal",IF(ISNUMBER(E211),E211,0)+I211,I211)*J211*1000+I211,0)=Y211,2,IF(IF((G211&gt;0)*(IF(H211="",-1,H211)=0)*(1-(IF(H211="",-1,H211)&gt;=1)*(IF(H211="",-1,H211)&lt;=3)),IF(C211="peso_corporal",IF(ISNUMBER(E211),E211,0)+F211,F211)*G211*1000+F211,0)=Y211,1,0))))))</f>
        <v>0</v>
      </c>
      <c r="AA211" s="69">
        <f>MAX(IF((G211&gt;=6)*(1-(IF(H211="",-1,H211)&gt;=1)*(IF(H211="",-1,H211)&lt;=3))*(1-(IF(H211="",-1,H211)=0)),IF(C211="peso_corporal",IF(ISNUMBER(E211),E211,0)+F211,F211)*(30+G211)*100+F211,0),IF((J211&gt;=6)*(1-(IF(K211="",-1,K211)&gt;=1)*(IF(K211="",-1,K211)&lt;=3))*(1-(IF(K211="",-1,K211)=0)),IF(C211="peso_corporal",IF(ISNUMBER(E211),E211,0)+I211,I211)*(30+J211)*100+I211,0),IF((M211&gt;=6)*(1-(IF(N211="",-1,N211)&gt;=1)*(IF(N211="",-1,N211)&lt;=3))*(1-(IF(N211="",-1,N211)=0)),IF(C211="peso_corporal",IF(ISNUMBER(E211),E211,0)+L211,L211)*(30+M211)*100+L211,0),IF((P211&gt;=6)*(1-(IF(Q211="",-1,Q211)&gt;=1)*(IF(Q211="",-1,Q211)&lt;=3))*(1-(IF(Q211="",-1,Q211)=0)),IF(C211="peso_corporal",IF(ISNUMBER(E211),E211,0)+O211,O211)*(30+P211)*100+O211,0),IF((S211&gt;=6)*(1-(IF(T211="",-1,T211)&gt;=1)*(IF(T211="",-1,T211)&lt;=3))*(1-(IF(T211="",-1,T211)=0)),IF(C211="peso_corporal",IF(ISNUMBER(E211),E211,0)+R211,R211)*(30+S211)*100+R211,0))</f>
        <v>0</v>
      </c>
      <c r="AB211" s="69">
        <f>IF(AA211=0,0,IF(IF((S211&gt;=6)*(1-(IF(T211="",-1,T211)&gt;=1)*(IF(T211="",-1,T211)&lt;=3))*(1-(IF(T211="",-1,T211)=0)),IF(C211="peso_corporal",IF(ISNUMBER(E211),E211,0)+R211,R211)*(30+S211)*100+R211,0)=AA211,5,IF(IF((P211&gt;=6)*(1-(IF(Q211="",-1,Q211)&gt;=1)*(IF(Q211="",-1,Q211)&lt;=3))*(1-(IF(Q211="",-1,Q211)=0)),IF(C211="peso_corporal",IF(ISNUMBER(E211),E211,0)+O211,O211)*(30+P211)*100+O211,0)=AA211,4,IF(IF((M211&gt;=6)*(1-(IF(N211="",-1,N211)&gt;=1)*(IF(N211="",-1,N211)&lt;=3))*(1-(IF(N211="",-1,N211)=0)),IF(C211="peso_corporal",IF(ISNUMBER(E211),E211,0)+L211,L211)*(30+M211)*100+L211,0)=AA211,3,IF(IF((J211&gt;=6)*(1-(IF(K211="",-1,K211)&gt;=1)*(IF(K211="",-1,K211)&lt;=3))*(1-(IF(K211="",-1,K211)=0)),IF(C211="peso_corporal",IF(ISNUMBER(E211),E211,0)+I211,I211)*(30+J211)*100+I211,0)=AA211,2,IF(IF((G211&gt;=6)*(1-(IF(H211="",-1,H211)&gt;=1)*(IF(H211="",-1,H211)&lt;=3))*(1-(IF(H211="",-1,H211)=0)),IF(C211="peso_corporal",IF(ISNUMBER(E211),E211,0)+F211,F211)*(30+G211)*100+F211,0)=AA211,1,0))))))</f>
        <v>0</v>
      </c>
      <c r="AC211" s="69" t="str">
        <f>IF(X211&gt;0,"A"&amp;X211,IF(Z211&gt;0,"B"&amp;Z211,IF(AB211&gt;0,"C"&amp;AB211,"")))</f>
        <v/>
      </c>
    </row>
    <row r="212" spans="1:29" ht="20.100000000000001" customHeight="1">
      <c r="A212" s="14" t="s">
        <v>133</v>
      </c>
      <c r="B212" s="15" t="s">
        <v>31</v>
      </c>
      <c r="C212" s="16" t="str">
        <f>IFERROR(INDEX(EJERCICIOS!$D$3:$D$75,MATCH(A212&amp;"|"&amp;B212,EJERCICIOS!$G$3:$G$75,0)),"--")</f>
        <v>mancuerna</v>
      </c>
      <c r="D212" s="17">
        <v>3</v>
      </c>
      <c r="E212" s="18">
        <f>IFERROR(LOOKUP(2,1/(MEDIDAS_Y_PESO!$B$3:$B$12&lt;&gt;""),MEDIDAS_Y_PESO!$B$3:$B$12),"--")</f>
        <v>80</v>
      </c>
      <c r="F212" s="19"/>
      <c r="G212" s="20"/>
      <c r="H212" s="21"/>
      <c r="I212" s="19"/>
      <c r="J212" s="20"/>
      <c r="K212" s="21"/>
      <c r="L212" s="19"/>
      <c r="M212" s="20"/>
      <c r="N212" s="21"/>
      <c r="O212" s="19"/>
      <c r="P212" s="20"/>
      <c r="Q212" s="21"/>
      <c r="R212" s="19"/>
      <c r="S212" s="20"/>
      <c r="T212" s="21"/>
      <c r="U212" s="22" t="str">
        <f>IFERROR(IF(IF(X212&gt;0,X212,IF(Z212&gt;0,Z212,IF(AB212&gt;0,AB212,0)))=0,"--",ROUND(CHOOSE(IF(X212&gt;0,X212,IF(Z212&gt;0,Z212,IF(AB212&gt;0,AB212,0))),IF(C212="peso_corporal",IF(ISNUMBER(E212),E212,0)+F212,F212)*(1+G212/30),IF(C212="peso_corporal",IF(ISNUMBER(E212),E212,0)+I212,I212)*(1+J212/30),IF(C212="peso_corporal",IF(ISNUMBER(E212),E212,0)+L212,L212)*(1+M212/30),IF(C212="peso_corporal",IF(ISNUMBER(E212),E212,0)+O212,O212)*(1+P212/30),IF(C212="peso_corporal",IF(ISNUMBER(E212),E212,0)+R212,R212)*(1+S212/30)),1)),"--")</f>
        <v>--</v>
      </c>
      <c r="V212" s="23" t="str">
        <f>IF(SUGERENCIAS!N595="SIN","Sin datos anteriores",IF(SUGERENCIAS!N595="SUBIR_F","^ SUBIR FUERTE | Kg:"&amp;ROUND(SUGERENCIAS!K595,1)&amp;" R:"&amp;ROUND(SUGERENCIAS!L595,0)&amp;" RIR:"&amp;ROUND(SUGERENCIAS!M595,0),IF(SUGERENCIAS!N595="SUBIR_E","^ SUBIR (Est.) | Kg:"&amp;ROUND(SUGERENCIAS!K595,1)&amp;" R:"&amp;ROUND(SUGERENCIAS!L595,0)&amp;" RIR:"&amp;ROUND(SUGERENCIAS!M595,0),IF(SUGERENCIAS!N595="SUBIR","^ SUBIR | Kg:"&amp;ROUND(SUGERENCIAS!K595,1)&amp;" R:"&amp;ROUND(SUGERENCIAS!L595,0)&amp;" RIR:"&amp;ROUND(SUGERENCIAS!M595,0),IF(SUGERENCIAS!N595="BAJAR","v BAJAR | Kg:"&amp;ROUND(SUGERENCIAS!K595,1)&amp;" R:"&amp;ROUND(SUGERENCIAS!L595,0)&amp;" RIR:"&amp;ROUND(SUGERENCIAS!M595,0),"= MANT | Kg:"&amp;ROUND(SUGERENCIAS!K595,1)&amp;" R:"&amp;ROUND(SUGERENCIAS!L595,0)&amp;" RIR:"&amp;ROUND(SUGERENCIAS!M595,0))))))</f>
        <v>Sin datos anteriores</v>
      </c>
      <c r="W212" s="69">
        <f>MAX(IF((G212&gt;0)*(IF(H212="",-1,H212)&gt;=1)*(IF(H212="",-1,H212)&lt;=3),IF(C212="peso_corporal",IF(ISNUMBER(E212),E212,0)+F212,F212)*G212*1000+F212,0),IF((J212&gt;0)*(IF(K212="",-1,K212)&gt;=1)*(IF(K212="",-1,K212)&lt;=3),IF(C212="peso_corporal",IF(ISNUMBER(E212),E212,0)+I212,I212)*J212*1000+I212,0),IF((M212&gt;0)*(IF(N212="",-1,N212)&gt;=1)*(IF(N212="",-1,N212)&lt;=3),IF(C212="peso_corporal",IF(ISNUMBER(E212),E212,0)+L212,L212)*M212*1000+L212,0),IF((P212&gt;0)*(IF(Q212="",-1,Q212)&gt;=1)*(IF(Q212="",-1,Q212)&lt;=3),IF(C212="peso_corporal",IF(ISNUMBER(E212),E212,0)+O212,O212)*P212*1000+O212,0),IF((S212&gt;0)*(IF(T212="",-1,T212)&gt;=1)*(IF(T212="",-1,T212)&lt;=3),IF(C212="peso_corporal",IF(ISNUMBER(E212),E212,0)+R212,R212)*S212*1000+R212,0))</f>
        <v>0</v>
      </c>
      <c r="X212" s="69">
        <f>IF(W212=0,0,IF(IF((S212&gt;0)*(IF(T212="",-1,T212)&gt;=1)*(IF(T212="",-1,T212)&lt;=3),IF(C212="peso_corporal",IF(ISNUMBER(E212),E212,0)+R212,R212)*S212*1000+R212,0)=W212,5,IF(IF((P212&gt;0)*(IF(Q212="",-1,Q212)&gt;=1)*(IF(Q212="",-1,Q212)&lt;=3),IF(C212="peso_corporal",IF(ISNUMBER(E212),E212,0)+O212,O212)*P212*1000+O212,0)=W212,4,IF(IF((M212&gt;0)*(IF(N212="",-1,N212)&gt;=1)*(IF(N212="",-1,N212)&lt;=3),IF(C212="peso_corporal",IF(ISNUMBER(E212),E212,0)+L212,L212)*M212*1000+L212,0)=W212,3,IF(IF((J212&gt;0)*(IF(K212="",-1,K212)&gt;=1)*(IF(K212="",-1,K212)&lt;=3),IF(C212="peso_corporal",IF(ISNUMBER(E212),E212,0)+I212,I212)*J212*1000+I212,0)=W212,2,IF(IF((G212&gt;0)*(IF(H212="",-1,H212)&gt;=1)*(IF(H212="",-1,H212)&lt;=3),IF(C212="peso_corporal",IF(ISNUMBER(E212),E212,0)+F212,F212)*G212*1000+F212,0)=W212,1,0))))))</f>
        <v>0</v>
      </c>
      <c r="Y212" s="69">
        <f>MAX(IF((G212&gt;0)*(IF(H212="",-1,H212)=0)*(1-(IF(H212="",-1,H212)&gt;=1)*(IF(H212="",-1,H212)&lt;=3)),IF(C212="peso_corporal",IF(ISNUMBER(E212),E212,0)+F212,F212)*G212*1000+F212,0),IF((J212&gt;0)*(IF(K212="",-1,K212)=0)*(1-(IF(K212="",-1,K212)&gt;=1)*(IF(K212="",-1,K212)&lt;=3)),IF(C212="peso_corporal",IF(ISNUMBER(E212),E212,0)+I212,I212)*J212*1000+I212,0),IF((M212&gt;0)*(IF(N212="",-1,N212)=0)*(1-(IF(N212="",-1,N212)&gt;=1)*(IF(N212="",-1,N212)&lt;=3)),IF(C212="peso_corporal",IF(ISNUMBER(E212),E212,0)+L212,L212)*M212*1000+L212,0),IF((P212&gt;0)*(IF(Q212="",-1,Q212)=0)*(1-(IF(Q212="",-1,Q212)&gt;=1)*(IF(Q212="",-1,Q212)&lt;=3)),IF(C212="peso_corporal",IF(ISNUMBER(E212),E212,0)+O212,O212)*P212*1000+O212,0),IF((S212&gt;0)*(IF(T212="",-1,T212)=0)*(1-(IF(T212="",-1,T212)&gt;=1)*(IF(T212="",-1,T212)&lt;=3)),IF(C212="peso_corporal",IF(ISNUMBER(E212),E212,0)+R212,R212)*S212*1000+R212,0))</f>
        <v>0</v>
      </c>
      <c r="Z212" s="69">
        <f>IF(Y212=0,0,IF(IF((S212&gt;0)*(IF(T212="",-1,T212)=0)*(1-(IF(T212="",-1,T212)&gt;=1)*(IF(T212="",-1,T212)&lt;=3)),IF(C212="peso_corporal",IF(ISNUMBER(E212),E212,0)+R212,R212)*S212*1000+R212,0)=Y212,5,IF(IF((P212&gt;0)*(IF(Q212="",-1,Q212)=0)*(1-(IF(Q212="",-1,Q212)&gt;=1)*(IF(Q212="",-1,Q212)&lt;=3)),IF(C212="peso_corporal",IF(ISNUMBER(E212),E212,0)+O212,O212)*P212*1000+O212,0)=Y212,4,IF(IF((M212&gt;0)*(IF(N212="",-1,N212)=0)*(1-(IF(N212="",-1,N212)&gt;=1)*(IF(N212="",-1,N212)&lt;=3)),IF(C212="peso_corporal",IF(ISNUMBER(E212),E212,0)+L212,L212)*M212*1000+L212,0)=Y212,3,IF(IF((J212&gt;0)*(IF(K212="",-1,K212)=0)*(1-(IF(K212="",-1,K212)&gt;=1)*(IF(K212="",-1,K212)&lt;=3)),IF(C212="peso_corporal",IF(ISNUMBER(E212),E212,0)+I212,I212)*J212*1000+I212,0)=Y212,2,IF(IF((G212&gt;0)*(IF(H212="",-1,H212)=0)*(1-(IF(H212="",-1,H212)&gt;=1)*(IF(H212="",-1,H212)&lt;=3)),IF(C212="peso_corporal",IF(ISNUMBER(E212),E212,0)+F212,F212)*G212*1000+F212,0)=Y212,1,0))))))</f>
        <v>0</v>
      </c>
      <c r="AA212" s="69">
        <f>MAX(IF((G212&gt;=6)*(1-(IF(H212="",-1,H212)&gt;=1)*(IF(H212="",-1,H212)&lt;=3))*(1-(IF(H212="",-1,H212)=0)),IF(C212="peso_corporal",IF(ISNUMBER(E212),E212,0)+F212,F212)*(30+G212)*100+F212,0),IF((J212&gt;=6)*(1-(IF(K212="",-1,K212)&gt;=1)*(IF(K212="",-1,K212)&lt;=3))*(1-(IF(K212="",-1,K212)=0)),IF(C212="peso_corporal",IF(ISNUMBER(E212),E212,0)+I212,I212)*(30+J212)*100+I212,0),IF((M212&gt;=6)*(1-(IF(N212="",-1,N212)&gt;=1)*(IF(N212="",-1,N212)&lt;=3))*(1-(IF(N212="",-1,N212)=0)),IF(C212="peso_corporal",IF(ISNUMBER(E212),E212,0)+L212,L212)*(30+M212)*100+L212,0),IF((P212&gt;=6)*(1-(IF(Q212="",-1,Q212)&gt;=1)*(IF(Q212="",-1,Q212)&lt;=3))*(1-(IF(Q212="",-1,Q212)=0)),IF(C212="peso_corporal",IF(ISNUMBER(E212),E212,0)+O212,O212)*(30+P212)*100+O212,0),IF((S212&gt;=6)*(1-(IF(T212="",-1,T212)&gt;=1)*(IF(T212="",-1,T212)&lt;=3))*(1-(IF(T212="",-1,T212)=0)),IF(C212="peso_corporal",IF(ISNUMBER(E212),E212,0)+R212,R212)*(30+S212)*100+R212,0))</f>
        <v>0</v>
      </c>
      <c r="AB212" s="69">
        <f>IF(AA212=0,0,IF(IF((S212&gt;=6)*(1-(IF(T212="",-1,T212)&gt;=1)*(IF(T212="",-1,T212)&lt;=3))*(1-(IF(T212="",-1,T212)=0)),IF(C212="peso_corporal",IF(ISNUMBER(E212),E212,0)+R212,R212)*(30+S212)*100+R212,0)=AA212,5,IF(IF((P212&gt;=6)*(1-(IF(Q212="",-1,Q212)&gt;=1)*(IF(Q212="",-1,Q212)&lt;=3))*(1-(IF(Q212="",-1,Q212)=0)),IF(C212="peso_corporal",IF(ISNUMBER(E212),E212,0)+O212,O212)*(30+P212)*100+O212,0)=AA212,4,IF(IF((M212&gt;=6)*(1-(IF(N212="",-1,N212)&gt;=1)*(IF(N212="",-1,N212)&lt;=3))*(1-(IF(N212="",-1,N212)=0)),IF(C212="peso_corporal",IF(ISNUMBER(E212),E212,0)+L212,L212)*(30+M212)*100+L212,0)=AA212,3,IF(IF((J212&gt;=6)*(1-(IF(K212="",-1,K212)&gt;=1)*(IF(K212="",-1,K212)&lt;=3))*(1-(IF(K212="",-1,K212)=0)),IF(C212="peso_corporal",IF(ISNUMBER(E212),E212,0)+I212,I212)*(30+J212)*100+I212,0)=AA212,2,IF(IF((G212&gt;=6)*(1-(IF(H212="",-1,H212)&gt;=1)*(IF(H212="",-1,H212)&lt;=3))*(1-(IF(H212="",-1,H212)=0)),IF(C212="peso_corporal",IF(ISNUMBER(E212),E212,0)+F212,F212)*(30+G212)*100+F212,0)=AA212,1,0))))))</f>
        <v>0</v>
      </c>
      <c r="AC212" s="69" t="str">
        <f>IF(X212&gt;0,"A"&amp;X212,IF(Z212&gt;0,"B"&amp;Z212,IF(AB212&gt;0,"C"&amp;AB212,"")))</f>
        <v/>
      </c>
    </row>
    <row r="213" spans="1:29" ht="15" customHeight="1">
      <c r="A213" s="88" t="s">
        <v>50</v>
      </c>
      <c r="B213" s="73"/>
      <c r="C213" s="73"/>
      <c r="D213" s="73"/>
      <c r="E213" s="73"/>
      <c r="F213" s="73"/>
      <c r="G213" s="73"/>
      <c r="H213" s="73"/>
      <c r="I213" s="73"/>
      <c r="J213" s="73"/>
      <c r="K213" s="73"/>
      <c r="L213" s="73"/>
      <c r="M213" s="73"/>
      <c r="N213" s="73"/>
      <c r="O213" s="73"/>
      <c r="P213" s="73"/>
      <c r="Q213" s="73"/>
      <c r="R213" s="73"/>
      <c r="S213" s="73"/>
      <c r="T213" s="73"/>
      <c r="U213" s="73"/>
      <c r="V213" s="73"/>
      <c r="W213" s="69"/>
      <c r="X213" s="69"/>
      <c r="Y213" s="69"/>
      <c r="Z213" s="69"/>
      <c r="AA213" s="69"/>
      <c r="AB213" s="69"/>
      <c r="AC213" s="69"/>
    </row>
    <row r="214" spans="1:29" ht="20.100000000000001" customHeight="1">
      <c r="A214" s="14" t="s">
        <v>51</v>
      </c>
      <c r="B214" s="15" t="s">
        <v>134</v>
      </c>
      <c r="C214" s="16" t="str">
        <f>IFERROR(INDEX(EJERCICIOS!$D$3:$D$75,MATCH(A214&amp;"|"&amp;B214,EJERCICIOS!$G$3:$G$75,0)),"--")</f>
        <v>--</v>
      </c>
      <c r="D214" s="17">
        <v>3</v>
      </c>
      <c r="E214" s="18">
        <f>IFERROR(LOOKUP(2,1/(MEDIDAS_Y_PESO!$B$3:$B$12&lt;&gt;""),MEDIDAS_Y_PESO!$B$3:$B$12),"--")</f>
        <v>80</v>
      </c>
      <c r="F214" s="19"/>
      <c r="G214" s="20"/>
      <c r="H214" s="21"/>
      <c r="I214" s="19"/>
      <c r="J214" s="20"/>
      <c r="K214" s="21"/>
      <c r="L214" s="19"/>
      <c r="M214" s="20"/>
      <c r="N214" s="21"/>
      <c r="O214" s="19"/>
      <c r="P214" s="20"/>
      <c r="Q214" s="21"/>
      <c r="R214" s="19"/>
      <c r="S214" s="20"/>
      <c r="T214" s="21"/>
      <c r="U214" s="22" t="str">
        <f>IFERROR(IF(IF(X214&gt;0,X214,IF(Z214&gt;0,Z214,IF(AB214&gt;0,AB214,0)))=0,"--",ROUND(CHOOSE(IF(X214&gt;0,X214,IF(Z214&gt;0,Z214,IF(AB214&gt;0,AB214,0))),IF(C214="peso_corporal",IF(ISNUMBER(E214),E214,0)+F214,F214)*(1+G214/30),IF(C214="peso_corporal",IF(ISNUMBER(E214),E214,0)+I214,I214)*(1+J214/30),IF(C214="peso_corporal",IF(ISNUMBER(E214),E214,0)+L214,L214)*(1+M214/30),IF(C214="peso_corporal",IF(ISNUMBER(E214),E214,0)+O214,O214)*(1+P214/30),IF(C214="peso_corporal",IF(ISNUMBER(E214),E214,0)+R214,R214)*(1+S214/30)),1)),"--")</f>
        <v>--</v>
      </c>
      <c r="V214" s="23" t="str">
        <f>IF(SUGERENCIAS!N596="SIN","Sin datos anteriores",IF(SUGERENCIAS!N596="SUBIR_F","^ SUBIR FUERTE | Kg:"&amp;ROUND(SUGERENCIAS!K596,1)&amp;" R:"&amp;ROUND(SUGERENCIAS!L596,0)&amp;" RIR:"&amp;ROUND(SUGERENCIAS!M596,0),IF(SUGERENCIAS!N596="SUBIR_E","^ SUBIR (Est.) | Kg:"&amp;ROUND(SUGERENCIAS!K596,1)&amp;" R:"&amp;ROUND(SUGERENCIAS!L596,0)&amp;" RIR:"&amp;ROUND(SUGERENCIAS!M596,0),IF(SUGERENCIAS!N596="SUBIR","^ SUBIR | Kg:"&amp;ROUND(SUGERENCIAS!K596,1)&amp;" R:"&amp;ROUND(SUGERENCIAS!L596,0)&amp;" RIR:"&amp;ROUND(SUGERENCIAS!M596,0),IF(SUGERENCIAS!N596="BAJAR","v BAJAR | Kg:"&amp;ROUND(SUGERENCIAS!K596,1)&amp;" R:"&amp;ROUND(SUGERENCIAS!L596,0)&amp;" RIR:"&amp;ROUND(SUGERENCIAS!M596,0),"= MANT | Kg:"&amp;ROUND(SUGERENCIAS!K596,1)&amp;" R:"&amp;ROUND(SUGERENCIAS!L596,0)&amp;" RIR:"&amp;ROUND(SUGERENCIAS!M596,0))))))</f>
        <v>Sin datos anteriores</v>
      </c>
      <c r="W214" s="69">
        <f>MAX(IF((G214&gt;0)*(IF(H214="",-1,H214)&gt;=1)*(IF(H214="",-1,H214)&lt;=3),IF(C214="peso_corporal",IF(ISNUMBER(E214),E214,0)+F214,F214)*G214*1000+F214,0),IF((J214&gt;0)*(IF(K214="",-1,K214)&gt;=1)*(IF(K214="",-1,K214)&lt;=3),IF(C214="peso_corporal",IF(ISNUMBER(E214),E214,0)+I214,I214)*J214*1000+I214,0),IF((M214&gt;0)*(IF(N214="",-1,N214)&gt;=1)*(IF(N214="",-1,N214)&lt;=3),IF(C214="peso_corporal",IF(ISNUMBER(E214),E214,0)+L214,L214)*M214*1000+L214,0),IF((P214&gt;0)*(IF(Q214="",-1,Q214)&gt;=1)*(IF(Q214="",-1,Q214)&lt;=3),IF(C214="peso_corporal",IF(ISNUMBER(E214),E214,0)+O214,O214)*P214*1000+O214,0),IF((S214&gt;0)*(IF(T214="",-1,T214)&gt;=1)*(IF(T214="",-1,T214)&lt;=3),IF(C214="peso_corporal",IF(ISNUMBER(E214),E214,0)+R214,R214)*S214*1000+R214,0))</f>
        <v>0</v>
      </c>
      <c r="X214" s="69">
        <f>IF(W214=0,0,IF(IF((S214&gt;0)*(IF(T214="",-1,T214)&gt;=1)*(IF(T214="",-1,T214)&lt;=3),IF(C214="peso_corporal",IF(ISNUMBER(E214),E214,0)+R214,R214)*S214*1000+R214,0)=W214,5,IF(IF((P214&gt;0)*(IF(Q214="",-1,Q214)&gt;=1)*(IF(Q214="",-1,Q214)&lt;=3),IF(C214="peso_corporal",IF(ISNUMBER(E214),E214,0)+O214,O214)*P214*1000+O214,0)=W214,4,IF(IF((M214&gt;0)*(IF(N214="",-1,N214)&gt;=1)*(IF(N214="",-1,N214)&lt;=3),IF(C214="peso_corporal",IF(ISNUMBER(E214),E214,0)+L214,L214)*M214*1000+L214,0)=W214,3,IF(IF((J214&gt;0)*(IF(K214="",-1,K214)&gt;=1)*(IF(K214="",-1,K214)&lt;=3),IF(C214="peso_corporal",IF(ISNUMBER(E214),E214,0)+I214,I214)*J214*1000+I214,0)=W214,2,IF(IF((G214&gt;0)*(IF(H214="",-1,H214)&gt;=1)*(IF(H214="",-1,H214)&lt;=3),IF(C214="peso_corporal",IF(ISNUMBER(E214),E214,0)+F214,F214)*G214*1000+F214,0)=W214,1,0))))))</f>
        <v>0</v>
      </c>
      <c r="Y214" s="69">
        <f>MAX(IF((G214&gt;0)*(IF(H214="",-1,H214)=0)*(1-(IF(H214="",-1,H214)&gt;=1)*(IF(H214="",-1,H214)&lt;=3)),IF(C214="peso_corporal",IF(ISNUMBER(E214),E214,0)+F214,F214)*G214*1000+F214,0),IF((J214&gt;0)*(IF(K214="",-1,K214)=0)*(1-(IF(K214="",-1,K214)&gt;=1)*(IF(K214="",-1,K214)&lt;=3)),IF(C214="peso_corporal",IF(ISNUMBER(E214),E214,0)+I214,I214)*J214*1000+I214,0),IF((M214&gt;0)*(IF(N214="",-1,N214)=0)*(1-(IF(N214="",-1,N214)&gt;=1)*(IF(N214="",-1,N214)&lt;=3)),IF(C214="peso_corporal",IF(ISNUMBER(E214),E214,0)+L214,L214)*M214*1000+L214,0),IF((P214&gt;0)*(IF(Q214="",-1,Q214)=0)*(1-(IF(Q214="",-1,Q214)&gt;=1)*(IF(Q214="",-1,Q214)&lt;=3)),IF(C214="peso_corporal",IF(ISNUMBER(E214),E214,0)+O214,O214)*P214*1000+O214,0),IF((S214&gt;0)*(IF(T214="",-1,T214)=0)*(1-(IF(T214="",-1,T214)&gt;=1)*(IF(T214="",-1,T214)&lt;=3)),IF(C214="peso_corporal",IF(ISNUMBER(E214),E214,0)+R214,R214)*S214*1000+R214,0))</f>
        <v>0</v>
      </c>
      <c r="Z214" s="69">
        <f>IF(Y214=0,0,IF(IF((S214&gt;0)*(IF(T214="",-1,T214)=0)*(1-(IF(T214="",-1,T214)&gt;=1)*(IF(T214="",-1,T214)&lt;=3)),IF(C214="peso_corporal",IF(ISNUMBER(E214),E214,0)+R214,R214)*S214*1000+R214,0)=Y214,5,IF(IF((P214&gt;0)*(IF(Q214="",-1,Q214)=0)*(1-(IF(Q214="",-1,Q214)&gt;=1)*(IF(Q214="",-1,Q214)&lt;=3)),IF(C214="peso_corporal",IF(ISNUMBER(E214),E214,0)+O214,O214)*P214*1000+O214,0)=Y214,4,IF(IF((M214&gt;0)*(IF(N214="",-1,N214)=0)*(1-(IF(N214="",-1,N214)&gt;=1)*(IF(N214="",-1,N214)&lt;=3)),IF(C214="peso_corporal",IF(ISNUMBER(E214),E214,0)+L214,L214)*M214*1000+L214,0)=Y214,3,IF(IF((J214&gt;0)*(IF(K214="",-1,K214)=0)*(1-(IF(K214="",-1,K214)&gt;=1)*(IF(K214="",-1,K214)&lt;=3)),IF(C214="peso_corporal",IF(ISNUMBER(E214),E214,0)+I214,I214)*J214*1000+I214,0)=Y214,2,IF(IF((G214&gt;0)*(IF(H214="",-1,H214)=0)*(1-(IF(H214="",-1,H214)&gt;=1)*(IF(H214="",-1,H214)&lt;=3)),IF(C214="peso_corporal",IF(ISNUMBER(E214),E214,0)+F214,F214)*G214*1000+F214,0)=Y214,1,0))))))</f>
        <v>0</v>
      </c>
      <c r="AA214" s="69">
        <f>MAX(IF((G214&gt;=6)*(1-(IF(H214="",-1,H214)&gt;=1)*(IF(H214="",-1,H214)&lt;=3))*(1-(IF(H214="",-1,H214)=0)),IF(C214="peso_corporal",IF(ISNUMBER(E214),E214,0)+F214,F214)*(30+G214)*100+F214,0),IF((J214&gt;=6)*(1-(IF(K214="",-1,K214)&gt;=1)*(IF(K214="",-1,K214)&lt;=3))*(1-(IF(K214="",-1,K214)=0)),IF(C214="peso_corporal",IF(ISNUMBER(E214),E214,0)+I214,I214)*(30+J214)*100+I214,0),IF((M214&gt;=6)*(1-(IF(N214="",-1,N214)&gt;=1)*(IF(N214="",-1,N214)&lt;=3))*(1-(IF(N214="",-1,N214)=0)),IF(C214="peso_corporal",IF(ISNUMBER(E214),E214,0)+L214,L214)*(30+M214)*100+L214,0),IF((P214&gt;=6)*(1-(IF(Q214="",-1,Q214)&gt;=1)*(IF(Q214="",-1,Q214)&lt;=3))*(1-(IF(Q214="",-1,Q214)=0)),IF(C214="peso_corporal",IF(ISNUMBER(E214),E214,0)+O214,O214)*(30+P214)*100+O214,0),IF((S214&gt;=6)*(1-(IF(T214="",-1,T214)&gt;=1)*(IF(T214="",-1,T214)&lt;=3))*(1-(IF(T214="",-1,T214)=0)),IF(C214="peso_corporal",IF(ISNUMBER(E214),E214,0)+R214,R214)*(30+S214)*100+R214,0))</f>
        <v>0</v>
      </c>
      <c r="AB214" s="69">
        <f>IF(AA214=0,0,IF(IF((S214&gt;=6)*(1-(IF(T214="",-1,T214)&gt;=1)*(IF(T214="",-1,T214)&lt;=3))*(1-(IF(T214="",-1,T214)=0)),IF(C214="peso_corporal",IF(ISNUMBER(E214),E214,0)+R214,R214)*(30+S214)*100+R214,0)=AA214,5,IF(IF((P214&gt;=6)*(1-(IF(Q214="",-1,Q214)&gt;=1)*(IF(Q214="",-1,Q214)&lt;=3))*(1-(IF(Q214="",-1,Q214)=0)),IF(C214="peso_corporal",IF(ISNUMBER(E214),E214,0)+O214,O214)*(30+P214)*100+O214,0)=AA214,4,IF(IF((M214&gt;=6)*(1-(IF(N214="",-1,N214)&gt;=1)*(IF(N214="",-1,N214)&lt;=3))*(1-(IF(N214="",-1,N214)=0)),IF(C214="peso_corporal",IF(ISNUMBER(E214),E214,0)+L214,L214)*(30+M214)*100+L214,0)=AA214,3,IF(IF((J214&gt;=6)*(1-(IF(K214="",-1,K214)&gt;=1)*(IF(K214="",-1,K214)&lt;=3))*(1-(IF(K214="",-1,K214)=0)),IF(C214="peso_corporal",IF(ISNUMBER(E214),E214,0)+I214,I214)*(30+J214)*100+I214,0)=AA214,2,IF(IF((G214&gt;=6)*(1-(IF(H214="",-1,H214)&gt;=1)*(IF(H214="",-1,H214)&lt;=3))*(1-(IF(H214="",-1,H214)=0)),IF(C214="peso_corporal",IF(ISNUMBER(E214),E214,0)+F214,F214)*(30+G214)*100+F214,0)=AA214,1,0))))))</f>
        <v>0</v>
      </c>
      <c r="AC214" s="69" t="str">
        <f>IF(X214&gt;0,"A"&amp;X214,IF(Z214&gt;0,"B"&amp;Z214,IF(AB214&gt;0,"C"&amp;AB214,"")))</f>
        <v/>
      </c>
    </row>
    <row r="215" spans="1:29" ht="20.100000000000001" customHeight="1">
      <c r="A215" s="14" t="s">
        <v>135</v>
      </c>
      <c r="B215" s="15" t="s">
        <v>136</v>
      </c>
      <c r="C215" s="16" t="str">
        <f>IFERROR(INDEX(EJERCICIOS!$D$3:$D$75,MATCH(A215&amp;"|"&amp;B215,EJERCICIOS!$G$3:$G$75,0)),"--")</f>
        <v>--</v>
      </c>
      <c r="D215" s="17">
        <v>3</v>
      </c>
      <c r="E215" s="18">
        <f>IFERROR(LOOKUP(2,1/(MEDIDAS_Y_PESO!$B$3:$B$12&lt;&gt;""),MEDIDAS_Y_PESO!$B$3:$B$12),"--")</f>
        <v>80</v>
      </c>
      <c r="F215" s="19"/>
      <c r="G215" s="20"/>
      <c r="H215" s="21"/>
      <c r="I215" s="19"/>
      <c r="J215" s="20"/>
      <c r="K215" s="21"/>
      <c r="L215" s="19"/>
      <c r="M215" s="20"/>
      <c r="N215" s="21"/>
      <c r="O215" s="19"/>
      <c r="P215" s="20"/>
      <c r="Q215" s="21"/>
      <c r="R215" s="19"/>
      <c r="S215" s="20"/>
      <c r="T215" s="21"/>
      <c r="U215" s="22" t="str">
        <f>IFERROR(IF(IF(X215&gt;0,X215,IF(Z215&gt;0,Z215,IF(AB215&gt;0,AB215,0)))=0,"--",ROUND(CHOOSE(IF(X215&gt;0,X215,IF(Z215&gt;0,Z215,IF(AB215&gt;0,AB215,0))),IF(C215="peso_corporal",IF(ISNUMBER(E215),E215,0)+F215,F215)*(1+G215/30),IF(C215="peso_corporal",IF(ISNUMBER(E215),E215,0)+I215,I215)*(1+J215/30),IF(C215="peso_corporal",IF(ISNUMBER(E215),E215,0)+L215,L215)*(1+M215/30),IF(C215="peso_corporal",IF(ISNUMBER(E215),E215,0)+O215,O215)*(1+P215/30),IF(C215="peso_corporal",IF(ISNUMBER(E215),E215,0)+R215,R215)*(1+S215/30)),1)),"--")</f>
        <v>--</v>
      </c>
      <c r="V215" s="23" t="str">
        <f>IF(SUGERENCIAS!N597="SIN","Sin datos anteriores",IF(SUGERENCIAS!N597="SUBIR_F","^ SUBIR FUERTE | Kg:"&amp;ROUND(SUGERENCIAS!K597,1)&amp;" R:"&amp;ROUND(SUGERENCIAS!L597,0)&amp;" RIR:"&amp;ROUND(SUGERENCIAS!M597,0),IF(SUGERENCIAS!N597="SUBIR_E","^ SUBIR (Est.) | Kg:"&amp;ROUND(SUGERENCIAS!K597,1)&amp;" R:"&amp;ROUND(SUGERENCIAS!L597,0)&amp;" RIR:"&amp;ROUND(SUGERENCIAS!M597,0),IF(SUGERENCIAS!N597="SUBIR","^ SUBIR | Kg:"&amp;ROUND(SUGERENCIAS!K597,1)&amp;" R:"&amp;ROUND(SUGERENCIAS!L597,0)&amp;" RIR:"&amp;ROUND(SUGERENCIAS!M597,0),IF(SUGERENCIAS!N597="BAJAR","v BAJAR | Kg:"&amp;ROUND(SUGERENCIAS!K597,1)&amp;" R:"&amp;ROUND(SUGERENCIAS!L597,0)&amp;" RIR:"&amp;ROUND(SUGERENCIAS!M597,0),"= MANT | Kg:"&amp;ROUND(SUGERENCIAS!K597,1)&amp;" R:"&amp;ROUND(SUGERENCIAS!L597,0)&amp;" RIR:"&amp;ROUND(SUGERENCIAS!M597,0))))))</f>
        <v>Sin datos anteriores</v>
      </c>
      <c r="W215" s="69">
        <f>MAX(IF((G215&gt;0)*(IF(H215="",-1,H215)&gt;=1)*(IF(H215="",-1,H215)&lt;=3),IF(C215="peso_corporal",IF(ISNUMBER(E215),E215,0)+F215,F215)*G215*1000+F215,0),IF((J215&gt;0)*(IF(K215="",-1,K215)&gt;=1)*(IF(K215="",-1,K215)&lt;=3),IF(C215="peso_corporal",IF(ISNUMBER(E215),E215,0)+I215,I215)*J215*1000+I215,0),IF((M215&gt;0)*(IF(N215="",-1,N215)&gt;=1)*(IF(N215="",-1,N215)&lt;=3),IF(C215="peso_corporal",IF(ISNUMBER(E215),E215,0)+L215,L215)*M215*1000+L215,0),IF((P215&gt;0)*(IF(Q215="",-1,Q215)&gt;=1)*(IF(Q215="",-1,Q215)&lt;=3),IF(C215="peso_corporal",IF(ISNUMBER(E215),E215,0)+O215,O215)*P215*1000+O215,0),IF((S215&gt;0)*(IF(T215="",-1,T215)&gt;=1)*(IF(T215="",-1,T215)&lt;=3),IF(C215="peso_corporal",IF(ISNUMBER(E215),E215,0)+R215,R215)*S215*1000+R215,0))</f>
        <v>0</v>
      </c>
      <c r="X215" s="69">
        <f>IF(W215=0,0,IF(IF((S215&gt;0)*(IF(T215="",-1,T215)&gt;=1)*(IF(T215="",-1,T215)&lt;=3),IF(C215="peso_corporal",IF(ISNUMBER(E215),E215,0)+R215,R215)*S215*1000+R215,0)=W215,5,IF(IF((P215&gt;0)*(IF(Q215="",-1,Q215)&gt;=1)*(IF(Q215="",-1,Q215)&lt;=3),IF(C215="peso_corporal",IF(ISNUMBER(E215),E215,0)+O215,O215)*P215*1000+O215,0)=W215,4,IF(IF((M215&gt;0)*(IF(N215="",-1,N215)&gt;=1)*(IF(N215="",-1,N215)&lt;=3),IF(C215="peso_corporal",IF(ISNUMBER(E215),E215,0)+L215,L215)*M215*1000+L215,0)=W215,3,IF(IF((J215&gt;0)*(IF(K215="",-1,K215)&gt;=1)*(IF(K215="",-1,K215)&lt;=3),IF(C215="peso_corporal",IF(ISNUMBER(E215),E215,0)+I215,I215)*J215*1000+I215,0)=W215,2,IF(IF((G215&gt;0)*(IF(H215="",-1,H215)&gt;=1)*(IF(H215="",-1,H215)&lt;=3),IF(C215="peso_corporal",IF(ISNUMBER(E215),E215,0)+F215,F215)*G215*1000+F215,0)=W215,1,0))))))</f>
        <v>0</v>
      </c>
      <c r="Y215" s="69">
        <f>MAX(IF((G215&gt;0)*(IF(H215="",-1,H215)=0)*(1-(IF(H215="",-1,H215)&gt;=1)*(IF(H215="",-1,H215)&lt;=3)),IF(C215="peso_corporal",IF(ISNUMBER(E215),E215,0)+F215,F215)*G215*1000+F215,0),IF((J215&gt;0)*(IF(K215="",-1,K215)=0)*(1-(IF(K215="",-1,K215)&gt;=1)*(IF(K215="",-1,K215)&lt;=3)),IF(C215="peso_corporal",IF(ISNUMBER(E215),E215,0)+I215,I215)*J215*1000+I215,0),IF((M215&gt;0)*(IF(N215="",-1,N215)=0)*(1-(IF(N215="",-1,N215)&gt;=1)*(IF(N215="",-1,N215)&lt;=3)),IF(C215="peso_corporal",IF(ISNUMBER(E215),E215,0)+L215,L215)*M215*1000+L215,0),IF((P215&gt;0)*(IF(Q215="",-1,Q215)=0)*(1-(IF(Q215="",-1,Q215)&gt;=1)*(IF(Q215="",-1,Q215)&lt;=3)),IF(C215="peso_corporal",IF(ISNUMBER(E215),E215,0)+O215,O215)*P215*1000+O215,0),IF((S215&gt;0)*(IF(T215="",-1,T215)=0)*(1-(IF(T215="",-1,T215)&gt;=1)*(IF(T215="",-1,T215)&lt;=3)),IF(C215="peso_corporal",IF(ISNUMBER(E215),E215,0)+R215,R215)*S215*1000+R215,0))</f>
        <v>0</v>
      </c>
      <c r="Z215" s="69">
        <f>IF(Y215=0,0,IF(IF((S215&gt;0)*(IF(T215="",-1,T215)=0)*(1-(IF(T215="",-1,T215)&gt;=1)*(IF(T215="",-1,T215)&lt;=3)),IF(C215="peso_corporal",IF(ISNUMBER(E215),E215,0)+R215,R215)*S215*1000+R215,0)=Y215,5,IF(IF((P215&gt;0)*(IF(Q215="",-1,Q215)=0)*(1-(IF(Q215="",-1,Q215)&gt;=1)*(IF(Q215="",-1,Q215)&lt;=3)),IF(C215="peso_corporal",IF(ISNUMBER(E215),E215,0)+O215,O215)*P215*1000+O215,0)=Y215,4,IF(IF((M215&gt;0)*(IF(N215="",-1,N215)=0)*(1-(IF(N215="",-1,N215)&gt;=1)*(IF(N215="",-1,N215)&lt;=3)),IF(C215="peso_corporal",IF(ISNUMBER(E215),E215,0)+L215,L215)*M215*1000+L215,0)=Y215,3,IF(IF((J215&gt;0)*(IF(K215="",-1,K215)=0)*(1-(IF(K215="",-1,K215)&gt;=1)*(IF(K215="",-1,K215)&lt;=3)),IF(C215="peso_corporal",IF(ISNUMBER(E215),E215,0)+I215,I215)*J215*1000+I215,0)=Y215,2,IF(IF((G215&gt;0)*(IF(H215="",-1,H215)=0)*(1-(IF(H215="",-1,H215)&gt;=1)*(IF(H215="",-1,H215)&lt;=3)),IF(C215="peso_corporal",IF(ISNUMBER(E215),E215,0)+F215,F215)*G215*1000+F215,0)=Y215,1,0))))))</f>
        <v>0</v>
      </c>
      <c r="AA215" s="69">
        <f>MAX(IF((G215&gt;=6)*(1-(IF(H215="",-1,H215)&gt;=1)*(IF(H215="",-1,H215)&lt;=3))*(1-(IF(H215="",-1,H215)=0)),IF(C215="peso_corporal",IF(ISNUMBER(E215),E215,0)+F215,F215)*(30+G215)*100+F215,0),IF((J215&gt;=6)*(1-(IF(K215="",-1,K215)&gt;=1)*(IF(K215="",-1,K215)&lt;=3))*(1-(IF(K215="",-1,K215)=0)),IF(C215="peso_corporal",IF(ISNUMBER(E215),E215,0)+I215,I215)*(30+J215)*100+I215,0),IF((M215&gt;=6)*(1-(IF(N215="",-1,N215)&gt;=1)*(IF(N215="",-1,N215)&lt;=3))*(1-(IF(N215="",-1,N215)=0)),IF(C215="peso_corporal",IF(ISNUMBER(E215),E215,0)+L215,L215)*(30+M215)*100+L215,0),IF((P215&gt;=6)*(1-(IF(Q215="",-1,Q215)&gt;=1)*(IF(Q215="",-1,Q215)&lt;=3))*(1-(IF(Q215="",-1,Q215)=0)),IF(C215="peso_corporal",IF(ISNUMBER(E215),E215,0)+O215,O215)*(30+P215)*100+O215,0),IF((S215&gt;=6)*(1-(IF(T215="",-1,T215)&gt;=1)*(IF(T215="",-1,T215)&lt;=3))*(1-(IF(T215="",-1,T215)=0)),IF(C215="peso_corporal",IF(ISNUMBER(E215),E215,0)+R215,R215)*(30+S215)*100+R215,0))</f>
        <v>0</v>
      </c>
      <c r="AB215" s="69">
        <f>IF(AA215=0,0,IF(IF((S215&gt;=6)*(1-(IF(T215="",-1,T215)&gt;=1)*(IF(T215="",-1,T215)&lt;=3))*(1-(IF(T215="",-1,T215)=0)),IF(C215="peso_corporal",IF(ISNUMBER(E215),E215,0)+R215,R215)*(30+S215)*100+R215,0)=AA215,5,IF(IF((P215&gt;=6)*(1-(IF(Q215="",-1,Q215)&gt;=1)*(IF(Q215="",-1,Q215)&lt;=3))*(1-(IF(Q215="",-1,Q215)=0)),IF(C215="peso_corporal",IF(ISNUMBER(E215),E215,0)+O215,O215)*(30+P215)*100+O215,0)=AA215,4,IF(IF((M215&gt;=6)*(1-(IF(N215="",-1,N215)&gt;=1)*(IF(N215="",-1,N215)&lt;=3))*(1-(IF(N215="",-1,N215)=0)),IF(C215="peso_corporal",IF(ISNUMBER(E215),E215,0)+L215,L215)*(30+M215)*100+L215,0)=AA215,3,IF(IF((J215&gt;=6)*(1-(IF(K215="",-1,K215)&gt;=1)*(IF(K215="",-1,K215)&lt;=3))*(1-(IF(K215="",-1,K215)=0)),IF(C215="peso_corporal",IF(ISNUMBER(E215),E215,0)+I215,I215)*(30+J215)*100+I215,0)=AA215,2,IF(IF((G215&gt;=6)*(1-(IF(H215="",-1,H215)&gt;=1)*(IF(H215="",-1,H215)&lt;=3))*(1-(IF(H215="",-1,H215)=0)),IF(C215="peso_corporal",IF(ISNUMBER(E215),E215,0)+F215,F215)*(30+G215)*100+F215,0)=AA215,1,0))))))</f>
        <v>0</v>
      </c>
      <c r="AC215" s="69" t="str">
        <f>IF(X215&gt;0,"A"&amp;X215,IF(Z215&gt;0,"B"&amp;Z215,IF(AB215&gt;0,"C"&amp;AB215,"")))</f>
        <v/>
      </c>
    </row>
    <row r="216" spans="1:29" ht="20.100000000000001" customHeight="1">
      <c r="A216" s="14" t="s">
        <v>65</v>
      </c>
      <c r="B216" s="15" t="s">
        <v>66</v>
      </c>
      <c r="C216" s="16" t="str">
        <f>IFERROR(INDEX(EJERCICIOS!$D$3:$D$75,MATCH(A216&amp;"|"&amp;B216,EJERCICIOS!$G$3:$G$75,0)),"--")</f>
        <v>--</v>
      </c>
      <c r="D216" s="17">
        <v>3</v>
      </c>
      <c r="E216" s="18">
        <f>IFERROR(LOOKUP(2,1/(MEDIDAS_Y_PESO!$B$3:$B$12&lt;&gt;""),MEDIDAS_Y_PESO!$B$3:$B$12),"--")</f>
        <v>80</v>
      </c>
      <c r="F216" s="19"/>
      <c r="G216" s="20"/>
      <c r="H216" s="21"/>
      <c r="I216" s="19"/>
      <c r="J216" s="20"/>
      <c r="K216" s="21"/>
      <c r="L216" s="19"/>
      <c r="M216" s="20"/>
      <c r="N216" s="21"/>
      <c r="O216" s="19"/>
      <c r="P216" s="20"/>
      <c r="Q216" s="21"/>
      <c r="R216" s="19"/>
      <c r="S216" s="20"/>
      <c r="T216" s="21"/>
      <c r="U216" s="22" t="str">
        <f>IFERROR(IF(IF(X216&gt;0,X216,IF(Z216&gt;0,Z216,IF(AB216&gt;0,AB216,0)))=0,"--",ROUND(CHOOSE(IF(X216&gt;0,X216,IF(Z216&gt;0,Z216,IF(AB216&gt;0,AB216,0))),IF(C216="peso_corporal",IF(ISNUMBER(E216),E216,0)+F216,F216)*(1+G216/30),IF(C216="peso_corporal",IF(ISNUMBER(E216),E216,0)+I216,I216)*(1+J216/30),IF(C216="peso_corporal",IF(ISNUMBER(E216),E216,0)+L216,L216)*(1+M216/30),IF(C216="peso_corporal",IF(ISNUMBER(E216),E216,0)+O216,O216)*(1+P216/30),IF(C216="peso_corporal",IF(ISNUMBER(E216),E216,0)+R216,R216)*(1+S216/30)),1)),"--")</f>
        <v>--</v>
      </c>
      <c r="V216" s="23" t="str">
        <f>IF(SUGERENCIAS!N598="SIN","Sin datos anteriores",IF(SUGERENCIAS!N598="SUBIR_F","^ SUBIR FUERTE | Kg:"&amp;ROUND(SUGERENCIAS!K598,1)&amp;" R:"&amp;ROUND(SUGERENCIAS!L598,0)&amp;" RIR:"&amp;ROUND(SUGERENCIAS!M598,0),IF(SUGERENCIAS!N598="SUBIR_E","^ SUBIR (Est.) | Kg:"&amp;ROUND(SUGERENCIAS!K598,1)&amp;" R:"&amp;ROUND(SUGERENCIAS!L598,0)&amp;" RIR:"&amp;ROUND(SUGERENCIAS!M598,0),IF(SUGERENCIAS!N598="SUBIR","^ SUBIR | Kg:"&amp;ROUND(SUGERENCIAS!K598,1)&amp;" R:"&amp;ROUND(SUGERENCIAS!L598,0)&amp;" RIR:"&amp;ROUND(SUGERENCIAS!M598,0),IF(SUGERENCIAS!N598="BAJAR","v BAJAR | Kg:"&amp;ROUND(SUGERENCIAS!K598,1)&amp;" R:"&amp;ROUND(SUGERENCIAS!L598,0)&amp;" RIR:"&amp;ROUND(SUGERENCIAS!M598,0),"= MANT | Kg:"&amp;ROUND(SUGERENCIAS!K598,1)&amp;" R:"&amp;ROUND(SUGERENCIAS!L598,0)&amp;" RIR:"&amp;ROUND(SUGERENCIAS!M598,0))))))</f>
        <v>Sin datos anteriores</v>
      </c>
      <c r="W216" s="69">
        <f>MAX(IF((G216&gt;0)*(IF(H216="",-1,H216)&gt;=1)*(IF(H216="",-1,H216)&lt;=3),IF(C216="peso_corporal",IF(ISNUMBER(E216),E216,0)+F216,F216)*G216*1000+F216,0),IF((J216&gt;0)*(IF(K216="",-1,K216)&gt;=1)*(IF(K216="",-1,K216)&lt;=3),IF(C216="peso_corporal",IF(ISNUMBER(E216),E216,0)+I216,I216)*J216*1000+I216,0),IF((M216&gt;0)*(IF(N216="",-1,N216)&gt;=1)*(IF(N216="",-1,N216)&lt;=3),IF(C216="peso_corporal",IF(ISNUMBER(E216),E216,0)+L216,L216)*M216*1000+L216,0),IF((P216&gt;0)*(IF(Q216="",-1,Q216)&gt;=1)*(IF(Q216="",-1,Q216)&lt;=3),IF(C216="peso_corporal",IF(ISNUMBER(E216),E216,0)+O216,O216)*P216*1000+O216,0),IF((S216&gt;0)*(IF(T216="",-1,T216)&gt;=1)*(IF(T216="",-1,T216)&lt;=3),IF(C216="peso_corporal",IF(ISNUMBER(E216),E216,0)+R216,R216)*S216*1000+R216,0))</f>
        <v>0</v>
      </c>
      <c r="X216" s="69">
        <f>IF(W216=0,0,IF(IF((S216&gt;0)*(IF(T216="",-1,T216)&gt;=1)*(IF(T216="",-1,T216)&lt;=3),IF(C216="peso_corporal",IF(ISNUMBER(E216),E216,0)+R216,R216)*S216*1000+R216,0)=W216,5,IF(IF((P216&gt;0)*(IF(Q216="",-1,Q216)&gt;=1)*(IF(Q216="",-1,Q216)&lt;=3),IF(C216="peso_corporal",IF(ISNUMBER(E216),E216,0)+O216,O216)*P216*1000+O216,0)=W216,4,IF(IF((M216&gt;0)*(IF(N216="",-1,N216)&gt;=1)*(IF(N216="",-1,N216)&lt;=3),IF(C216="peso_corporal",IF(ISNUMBER(E216),E216,0)+L216,L216)*M216*1000+L216,0)=W216,3,IF(IF((J216&gt;0)*(IF(K216="",-1,K216)&gt;=1)*(IF(K216="",-1,K216)&lt;=3),IF(C216="peso_corporal",IF(ISNUMBER(E216),E216,0)+I216,I216)*J216*1000+I216,0)=W216,2,IF(IF((G216&gt;0)*(IF(H216="",-1,H216)&gt;=1)*(IF(H216="",-1,H216)&lt;=3),IF(C216="peso_corporal",IF(ISNUMBER(E216),E216,0)+F216,F216)*G216*1000+F216,0)=W216,1,0))))))</f>
        <v>0</v>
      </c>
      <c r="Y216" s="69">
        <f>MAX(IF((G216&gt;0)*(IF(H216="",-1,H216)=0)*(1-(IF(H216="",-1,H216)&gt;=1)*(IF(H216="",-1,H216)&lt;=3)),IF(C216="peso_corporal",IF(ISNUMBER(E216),E216,0)+F216,F216)*G216*1000+F216,0),IF((J216&gt;0)*(IF(K216="",-1,K216)=0)*(1-(IF(K216="",-1,K216)&gt;=1)*(IF(K216="",-1,K216)&lt;=3)),IF(C216="peso_corporal",IF(ISNUMBER(E216),E216,0)+I216,I216)*J216*1000+I216,0),IF((M216&gt;0)*(IF(N216="",-1,N216)=0)*(1-(IF(N216="",-1,N216)&gt;=1)*(IF(N216="",-1,N216)&lt;=3)),IF(C216="peso_corporal",IF(ISNUMBER(E216),E216,0)+L216,L216)*M216*1000+L216,0),IF((P216&gt;0)*(IF(Q216="",-1,Q216)=0)*(1-(IF(Q216="",-1,Q216)&gt;=1)*(IF(Q216="",-1,Q216)&lt;=3)),IF(C216="peso_corporal",IF(ISNUMBER(E216),E216,0)+O216,O216)*P216*1000+O216,0),IF((S216&gt;0)*(IF(T216="",-1,T216)=0)*(1-(IF(T216="",-1,T216)&gt;=1)*(IF(T216="",-1,T216)&lt;=3)),IF(C216="peso_corporal",IF(ISNUMBER(E216),E216,0)+R216,R216)*S216*1000+R216,0))</f>
        <v>0</v>
      </c>
      <c r="Z216" s="69">
        <f>IF(Y216=0,0,IF(IF((S216&gt;0)*(IF(T216="",-1,T216)=0)*(1-(IF(T216="",-1,T216)&gt;=1)*(IF(T216="",-1,T216)&lt;=3)),IF(C216="peso_corporal",IF(ISNUMBER(E216),E216,0)+R216,R216)*S216*1000+R216,0)=Y216,5,IF(IF((P216&gt;0)*(IF(Q216="",-1,Q216)=0)*(1-(IF(Q216="",-1,Q216)&gt;=1)*(IF(Q216="",-1,Q216)&lt;=3)),IF(C216="peso_corporal",IF(ISNUMBER(E216),E216,0)+O216,O216)*P216*1000+O216,0)=Y216,4,IF(IF((M216&gt;0)*(IF(N216="",-1,N216)=0)*(1-(IF(N216="",-1,N216)&gt;=1)*(IF(N216="",-1,N216)&lt;=3)),IF(C216="peso_corporal",IF(ISNUMBER(E216),E216,0)+L216,L216)*M216*1000+L216,0)=Y216,3,IF(IF((J216&gt;0)*(IF(K216="",-1,K216)=0)*(1-(IF(K216="",-1,K216)&gt;=1)*(IF(K216="",-1,K216)&lt;=3)),IF(C216="peso_corporal",IF(ISNUMBER(E216),E216,0)+I216,I216)*J216*1000+I216,0)=Y216,2,IF(IF((G216&gt;0)*(IF(H216="",-1,H216)=0)*(1-(IF(H216="",-1,H216)&gt;=1)*(IF(H216="",-1,H216)&lt;=3)),IF(C216="peso_corporal",IF(ISNUMBER(E216),E216,0)+F216,F216)*G216*1000+F216,0)=Y216,1,0))))))</f>
        <v>0</v>
      </c>
      <c r="AA216" s="69">
        <f>MAX(IF((G216&gt;=6)*(1-(IF(H216="",-1,H216)&gt;=1)*(IF(H216="",-1,H216)&lt;=3))*(1-(IF(H216="",-1,H216)=0)),IF(C216="peso_corporal",IF(ISNUMBER(E216),E216,0)+F216,F216)*(30+G216)*100+F216,0),IF((J216&gt;=6)*(1-(IF(K216="",-1,K216)&gt;=1)*(IF(K216="",-1,K216)&lt;=3))*(1-(IF(K216="",-1,K216)=0)),IF(C216="peso_corporal",IF(ISNUMBER(E216),E216,0)+I216,I216)*(30+J216)*100+I216,0),IF((M216&gt;=6)*(1-(IF(N216="",-1,N216)&gt;=1)*(IF(N216="",-1,N216)&lt;=3))*(1-(IF(N216="",-1,N216)=0)),IF(C216="peso_corporal",IF(ISNUMBER(E216),E216,0)+L216,L216)*(30+M216)*100+L216,0),IF((P216&gt;=6)*(1-(IF(Q216="",-1,Q216)&gt;=1)*(IF(Q216="",-1,Q216)&lt;=3))*(1-(IF(Q216="",-1,Q216)=0)),IF(C216="peso_corporal",IF(ISNUMBER(E216),E216,0)+O216,O216)*(30+P216)*100+O216,0),IF((S216&gt;=6)*(1-(IF(T216="",-1,T216)&gt;=1)*(IF(T216="",-1,T216)&lt;=3))*(1-(IF(T216="",-1,T216)=0)),IF(C216="peso_corporal",IF(ISNUMBER(E216),E216,0)+R216,R216)*(30+S216)*100+R216,0))</f>
        <v>0</v>
      </c>
      <c r="AB216" s="69">
        <f>IF(AA216=0,0,IF(IF((S216&gt;=6)*(1-(IF(T216="",-1,T216)&gt;=1)*(IF(T216="",-1,T216)&lt;=3))*(1-(IF(T216="",-1,T216)=0)),IF(C216="peso_corporal",IF(ISNUMBER(E216),E216,0)+R216,R216)*(30+S216)*100+R216,0)=AA216,5,IF(IF((P216&gt;=6)*(1-(IF(Q216="",-1,Q216)&gt;=1)*(IF(Q216="",-1,Q216)&lt;=3))*(1-(IF(Q216="",-1,Q216)=0)),IF(C216="peso_corporal",IF(ISNUMBER(E216),E216,0)+O216,O216)*(30+P216)*100+O216,0)=AA216,4,IF(IF((M216&gt;=6)*(1-(IF(N216="",-1,N216)&gt;=1)*(IF(N216="",-1,N216)&lt;=3))*(1-(IF(N216="",-1,N216)=0)),IF(C216="peso_corporal",IF(ISNUMBER(E216),E216,0)+L216,L216)*(30+M216)*100+L216,0)=AA216,3,IF(IF((J216&gt;=6)*(1-(IF(K216="",-1,K216)&gt;=1)*(IF(K216="",-1,K216)&lt;=3))*(1-(IF(K216="",-1,K216)=0)),IF(C216="peso_corporal",IF(ISNUMBER(E216),E216,0)+I216,I216)*(30+J216)*100+I216,0)=AA216,2,IF(IF((G216&gt;=6)*(1-(IF(H216="",-1,H216)&gt;=1)*(IF(H216="",-1,H216)&lt;=3))*(1-(IF(H216="",-1,H216)=0)),IF(C216="peso_corporal",IF(ISNUMBER(E216),E216,0)+F216,F216)*(30+G216)*100+F216,0)=AA216,1,0))))))</f>
        <v>0</v>
      </c>
      <c r="AC216" s="69" t="str">
        <f>IF(X216&gt;0,"A"&amp;X216,IF(Z216&gt;0,"B"&amp;Z216,IF(AB216&gt;0,"C"&amp;AB216,"")))</f>
        <v/>
      </c>
    </row>
    <row r="217" spans="1:29" ht="20.100000000000001" customHeight="1">
      <c r="A217" s="14" t="s">
        <v>65</v>
      </c>
      <c r="B217" s="15" t="s">
        <v>137</v>
      </c>
      <c r="C217" s="16" t="str">
        <f>IFERROR(INDEX(EJERCICIOS!$D$3:$D$75,MATCH(A217&amp;"|"&amp;B217,EJERCICIOS!$G$3:$G$75,0)),"--")</f>
        <v>--</v>
      </c>
      <c r="D217" s="17">
        <v>3</v>
      </c>
      <c r="E217" s="18">
        <f>IFERROR(LOOKUP(2,1/(MEDIDAS_Y_PESO!$B$3:$B$12&lt;&gt;""),MEDIDAS_Y_PESO!$B$3:$B$12),"--")</f>
        <v>80</v>
      </c>
      <c r="F217" s="19"/>
      <c r="G217" s="20"/>
      <c r="H217" s="21"/>
      <c r="I217" s="19"/>
      <c r="J217" s="20"/>
      <c r="K217" s="21"/>
      <c r="L217" s="19"/>
      <c r="M217" s="20"/>
      <c r="N217" s="21"/>
      <c r="O217" s="19"/>
      <c r="P217" s="20"/>
      <c r="Q217" s="21"/>
      <c r="R217" s="19"/>
      <c r="S217" s="20"/>
      <c r="T217" s="21"/>
      <c r="U217" s="22" t="str">
        <f>IFERROR(IF(IF(X217&gt;0,X217,IF(Z217&gt;0,Z217,IF(AB217&gt;0,AB217,0)))=0,"--",ROUND(CHOOSE(IF(X217&gt;0,X217,IF(Z217&gt;0,Z217,IF(AB217&gt;0,AB217,0))),IF(C217="peso_corporal",IF(ISNUMBER(E217),E217,0)+F217,F217)*(1+G217/30),IF(C217="peso_corporal",IF(ISNUMBER(E217),E217,0)+I217,I217)*(1+J217/30),IF(C217="peso_corporal",IF(ISNUMBER(E217),E217,0)+L217,L217)*(1+M217/30),IF(C217="peso_corporal",IF(ISNUMBER(E217),E217,0)+O217,O217)*(1+P217/30),IF(C217="peso_corporal",IF(ISNUMBER(E217),E217,0)+R217,R217)*(1+S217/30)),1)),"--")</f>
        <v>--</v>
      </c>
      <c r="V217" s="23" t="str">
        <f>IF(SUGERENCIAS!N599="SIN","Sin datos anteriores",IF(SUGERENCIAS!N599="SUBIR_F","^ SUBIR FUERTE | Kg:"&amp;ROUND(SUGERENCIAS!K599,1)&amp;" R:"&amp;ROUND(SUGERENCIAS!L599,0)&amp;" RIR:"&amp;ROUND(SUGERENCIAS!M599,0),IF(SUGERENCIAS!N599="SUBIR_E","^ SUBIR (Est.) | Kg:"&amp;ROUND(SUGERENCIAS!K599,1)&amp;" R:"&amp;ROUND(SUGERENCIAS!L599,0)&amp;" RIR:"&amp;ROUND(SUGERENCIAS!M599,0),IF(SUGERENCIAS!N599="SUBIR","^ SUBIR | Kg:"&amp;ROUND(SUGERENCIAS!K599,1)&amp;" R:"&amp;ROUND(SUGERENCIAS!L599,0)&amp;" RIR:"&amp;ROUND(SUGERENCIAS!M599,0),IF(SUGERENCIAS!N599="BAJAR","v BAJAR | Kg:"&amp;ROUND(SUGERENCIAS!K599,1)&amp;" R:"&amp;ROUND(SUGERENCIAS!L599,0)&amp;" RIR:"&amp;ROUND(SUGERENCIAS!M599,0),"= MANT | Kg:"&amp;ROUND(SUGERENCIAS!K599,1)&amp;" R:"&amp;ROUND(SUGERENCIAS!L599,0)&amp;" RIR:"&amp;ROUND(SUGERENCIAS!M599,0))))))</f>
        <v>Sin datos anteriores</v>
      </c>
      <c r="W217" s="69">
        <f>MAX(IF((G217&gt;0)*(IF(H217="",-1,H217)&gt;=1)*(IF(H217="",-1,H217)&lt;=3),IF(C217="peso_corporal",IF(ISNUMBER(E217),E217,0)+F217,F217)*G217*1000+F217,0),IF((J217&gt;0)*(IF(K217="",-1,K217)&gt;=1)*(IF(K217="",-1,K217)&lt;=3),IF(C217="peso_corporal",IF(ISNUMBER(E217),E217,0)+I217,I217)*J217*1000+I217,0),IF((M217&gt;0)*(IF(N217="",-1,N217)&gt;=1)*(IF(N217="",-1,N217)&lt;=3),IF(C217="peso_corporal",IF(ISNUMBER(E217),E217,0)+L217,L217)*M217*1000+L217,0),IF((P217&gt;0)*(IF(Q217="",-1,Q217)&gt;=1)*(IF(Q217="",-1,Q217)&lt;=3),IF(C217="peso_corporal",IF(ISNUMBER(E217),E217,0)+O217,O217)*P217*1000+O217,0),IF((S217&gt;0)*(IF(T217="",-1,T217)&gt;=1)*(IF(T217="",-1,T217)&lt;=3),IF(C217="peso_corporal",IF(ISNUMBER(E217),E217,0)+R217,R217)*S217*1000+R217,0))</f>
        <v>0</v>
      </c>
      <c r="X217" s="69">
        <f>IF(W217=0,0,IF(IF((S217&gt;0)*(IF(T217="",-1,T217)&gt;=1)*(IF(T217="",-1,T217)&lt;=3),IF(C217="peso_corporal",IF(ISNUMBER(E217),E217,0)+R217,R217)*S217*1000+R217,0)=W217,5,IF(IF((P217&gt;0)*(IF(Q217="",-1,Q217)&gt;=1)*(IF(Q217="",-1,Q217)&lt;=3),IF(C217="peso_corporal",IF(ISNUMBER(E217),E217,0)+O217,O217)*P217*1000+O217,0)=W217,4,IF(IF((M217&gt;0)*(IF(N217="",-1,N217)&gt;=1)*(IF(N217="",-1,N217)&lt;=3),IF(C217="peso_corporal",IF(ISNUMBER(E217),E217,0)+L217,L217)*M217*1000+L217,0)=W217,3,IF(IF((J217&gt;0)*(IF(K217="",-1,K217)&gt;=1)*(IF(K217="",-1,K217)&lt;=3),IF(C217="peso_corporal",IF(ISNUMBER(E217),E217,0)+I217,I217)*J217*1000+I217,0)=W217,2,IF(IF((G217&gt;0)*(IF(H217="",-1,H217)&gt;=1)*(IF(H217="",-1,H217)&lt;=3),IF(C217="peso_corporal",IF(ISNUMBER(E217),E217,0)+F217,F217)*G217*1000+F217,0)=W217,1,0))))))</f>
        <v>0</v>
      </c>
      <c r="Y217" s="69">
        <f>MAX(IF((G217&gt;0)*(IF(H217="",-1,H217)=0)*(1-(IF(H217="",-1,H217)&gt;=1)*(IF(H217="",-1,H217)&lt;=3)),IF(C217="peso_corporal",IF(ISNUMBER(E217),E217,0)+F217,F217)*G217*1000+F217,0),IF((J217&gt;0)*(IF(K217="",-1,K217)=0)*(1-(IF(K217="",-1,K217)&gt;=1)*(IF(K217="",-1,K217)&lt;=3)),IF(C217="peso_corporal",IF(ISNUMBER(E217),E217,0)+I217,I217)*J217*1000+I217,0),IF((M217&gt;0)*(IF(N217="",-1,N217)=0)*(1-(IF(N217="",-1,N217)&gt;=1)*(IF(N217="",-1,N217)&lt;=3)),IF(C217="peso_corporal",IF(ISNUMBER(E217),E217,0)+L217,L217)*M217*1000+L217,0),IF((P217&gt;0)*(IF(Q217="",-1,Q217)=0)*(1-(IF(Q217="",-1,Q217)&gt;=1)*(IF(Q217="",-1,Q217)&lt;=3)),IF(C217="peso_corporal",IF(ISNUMBER(E217),E217,0)+O217,O217)*P217*1000+O217,0),IF((S217&gt;0)*(IF(T217="",-1,T217)=0)*(1-(IF(T217="",-1,T217)&gt;=1)*(IF(T217="",-1,T217)&lt;=3)),IF(C217="peso_corporal",IF(ISNUMBER(E217),E217,0)+R217,R217)*S217*1000+R217,0))</f>
        <v>0</v>
      </c>
      <c r="Z217" s="69">
        <f>IF(Y217=0,0,IF(IF((S217&gt;0)*(IF(T217="",-1,T217)=0)*(1-(IF(T217="",-1,T217)&gt;=1)*(IF(T217="",-1,T217)&lt;=3)),IF(C217="peso_corporal",IF(ISNUMBER(E217),E217,0)+R217,R217)*S217*1000+R217,0)=Y217,5,IF(IF((P217&gt;0)*(IF(Q217="",-1,Q217)=0)*(1-(IF(Q217="",-1,Q217)&gt;=1)*(IF(Q217="",-1,Q217)&lt;=3)),IF(C217="peso_corporal",IF(ISNUMBER(E217),E217,0)+O217,O217)*P217*1000+O217,0)=Y217,4,IF(IF((M217&gt;0)*(IF(N217="",-1,N217)=0)*(1-(IF(N217="",-1,N217)&gt;=1)*(IF(N217="",-1,N217)&lt;=3)),IF(C217="peso_corporal",IF(ISNUMBER(E217),E217,0)+L217,L217)*M217*1000+L217,0)=Y217,3,IF(IF((J217&gt;0)*(IF(K217="",-1,K217)=0)*(1-(IF(K217="",-1,K217)&gt;=1)*(IF(K217="",-1,K217)&lt;=3)),IF(C217="peso_corporal",IF(ISNUMBER(E217),E217,0)+I217,I217)*J217*1000+I217,0)=Y217,2,IF(IF((G217&gt;0)*(IF(H217="",-1,H217)=0)*(1-(IF(H217="",-1,H217)&gt;=1)*(IF(H217="",-1,H217)&lt;=3)),IF(C217="peso_corporal",IF(ISNUMBER(E217),E217,0)+F217,F217)*G217*1000+F217,0)=Y217,1,0))))))</f>
        <v>0</v>
      </c>
      <c r="AA217" s="69">
        <f>MAX(IF((G217&gt;=6)*(1-(IF(H217="",-1,H217)&gt;=1)*(IF(H217="",-1,H217)&lt;=3))*(1-(IF(H217="",-1,H217)=0)),IF(C217="peso_corporal",IF(ISNUMBER(E217),E217,0)+F217,F217)*(30+G217)*100+F217,0),IF((J217&gt;=6)*(1-(IF(K217="",-1,K217)&gt;=1)*(IF(K217="",-1,K217)&lt;=3))*(1-(IF(K217="",-1,K217)=0)),IF(C217="peso_corporal",IF(ISNUMBER(E217),E217,0)+I217,I217)*(30+J217)*100+I217,0),IF((M217&gt;=6)*(1-(IF(N217="",-1,N217)&gt;=1)*(IF(N217="",-1,N217)&lt;=3))*(1-(IF(N217="",-1,N217)=0)),IF(C217="peso_corporal",IF(ISNUMBER(E217),E217,0)+L217,L217)*(30+M217)*100+L217,0),IF((P217&gt;=6)*(1-(IF(Q217="",-1,Q217)&gt;=1)*(IF(Q217="",-1,Q217)&lt;=3))*(1-(IF(Q217="",-1,Q217)=0)),IF(C217="peso_corporal",IF(ISNUMBER(E217),E217,0)+O217,O217)*(30+P217)*100+O217,0),IF((S217&gt;=6)*(1-(IF(T217="",-1,T217)&gt;=1)*(IF(T217="",-1,T217)&lt;=3))*(1-(IF(T217="",-1,T217)=0)),IF(C217="peso_corporal",IF(ISNUMBER(E217),E217,0)+R217,R217)*(30+S217)*100+R217,0))</f>
        <v>0</v>
      </c>
      <c r="AB217" s="69">
        <f>IF(AA217=0,0,IF(IF((S217&gt;=6)*(1-(IF(T217="",-1,T217)&gt;=1)*(IF(T217="",-1,T217)&lt;=3))*(1-(IF(T217="",-1,T217)=0)),IF(C217="peso_corporal",IF(ISNUMBER(E217),E217,0)+R217,R217)*(30+S217)*100+R217,0)=AA217,5,IF(IF((P217&gt;=6)*(1-(IF(Q217="",-1,Q217)&gt;=1)*(IF(Q217="",-1,Q217)&lt;=3))*(1-(IF(Q217="",-1,Q217)=0)),IF(C217="peso_corporal",IF(ISNUMBER(E217),E217,0)+O217,O217)*(30+P217)*100+O217,0)=AA217,4,IF(IF((M217&gt;=6)*(1-(IF(N217="",-1,N217)&gt;=1)*(IF(N217="",-1,N217)&lt;=3))*(1-(IF(N217="",-1,N217)=0)),IF(C217="peso_corporal",IF(ISNUMBER(E217),E217,0)+L217,L217)*(30+M217)*100+L217,0)=AA217,3,IF(IF((J217&gt;=6)*(1-(IF(K217="",-1,K217)&gt;=1)*(IF(K217="",-1,K217)&lt;=3))*(1-(IF(K217="",-1,K217)=0)),IF(C217="peso_corporal",IF(ISNUMBER(E217),E217,0)+I217,I217)*(30+J217)*100+I217,0)=AA217,2,IF(IF((G217&gt;=6)*(1-(IF(H217="",-1,H217)&gt;=1)*(IF(H217="",-1,H217)&lt;=3))*(1-(IF(H217="",-1,H217)=0)),IF(C217="peso_corporal",IF(ISNUMBER(E217),E217,0)+F217,F217)*(30+G217)*100+F217,0)=AA217,1,0))))))</f>
        <v>0</v>
      </c>
      <c r="AC217" s="69" t="str">
        <f>IF(X217&gt;0,"A"&amp;X217,IF(Z217&gt;0,"B"&amp;Z217,IF(AB217&gt;0,"C"&amp;AB217,"")))</f>
        <v/>
      </c>
    </row>
    <row r="218" spans="1:29" ht="15" customHeight="1">
      <c r="A218" s="89" t="s">
        <v>138</v>
      </c>
      <c r="B218" s="73"/>
      <c r="C218" s="73"/>
      <c r="D218" s="73"/>
      <c r="E218" s="73"/>
      <c r="F218" s="73"/>
      <c r="G218" s="73"/>
      <c r="H218" s="73"/>
      <c r="I218" s="73"/>
      <c r="J218" s="73"/>
      <c r="K218" s="73"/>
      <c r="L218" s="73"/>
      <c r="M218" s="73"/>
      <c r="N218" s="73"/>
      <c r="O218" s="73"/>
      <c r="P218" s="73"/>
      <c r="Q218" s="73"/>
      <c r="R218" s="73"/>
      <c r="S218" s="73"/>
      <c r="T218" s="73"/>
      <c r="U218" s="73"/>
      <c r="V218" s="73"/>
      <c r="W218" s="69"/>
      <c r="X218" s="69"/>
      <c r="Y218" s="69"/>
      <c r="Z218" s="69"/>
      <c r="AA218" s="69"/>
      <c r="AB218" s="69"/>
      <c r="AC218" s="69"/>
    </row>
    <row r="219" spans="1:29" ht="20.100000000000001" customHeight="1">
      <c r="A219" s="14" t="s">
        <v>139</v>
      </c>
      <c r="B219" s="15" t="s">
        <v>140</v>
      </c>
      <c r="C219" s="16" t="str">
        <f>IFERROR(INDEX(EJERCICIOS!$D$3:$D$75,MATCH(A219&amp;"|"&amp;B219,EJERCICIOS!$G$3:$G$75,0)),"--")</f>
        <v>disco</v>
      </c>
      <c r="D219" s="17">
        <v>3</v>
      </c>
      <c r="E219" s="18">
        <f>IFERROR(LOOKUP(2,1/(MEDIDAS_Y_PESO!$B$3:$B$12&lt;&gt;""),MEDIDAS_Y_PESO!$B$3:$B$12),"--")</f>
        <v>80</v>
      </c>
      <c r="F219" s="19"/>
      <c r="G219" s="20"/>
      <c r="H219" s="21"/>
      <c r="I219" s="19"/>
      <c r="J219" s="20"/>
      <c r="K219" s="21"/>
      <c r="L219" s="19"/>
      <c r="M219" s="20"/>
      <c r="N219" s="21"/>
      <c r="O219" s="19"/>
      <c r="P219" s="20"/>
      <c r="Q219" s="21"/>
      <c r="R219" s="19"/>
      <c r="S219" s="20"/>
      <c r="T219" s="21"/>
      <c r="U219" s="22" t="str">
        <f>IFERROR(IF(IF(X219&gt;0,X219,IF(Z219&gt;0,Z219,IF(AB219&gt;0,AB219,0)))=0,"--",ROUND(CHOOSE(IF(X219&gt;0,X219,IF(Z219&gt;0,Z219,IF(AB219&gt;0,AB219,0))),IF(C219="peso_corporal",IF(ISNUMBER(E219),E219,0)+F219,F219)*(1+G219/30),IF(C219="peso_corporal",IF(ISNUMBER(E219),E219,0)+I219,I219)*(1+J219/30),IF(C219="peso_corporal",IF(ISNUMBER(E219),E219,0)+L219,L219)*(1+M219/30),IF(C219="peso_corporal",IF(ISNUMBER(E219),E219,0)+O219,O219)*(1+P219/30),IF(C219="peso_corporal",IF(ISNUMBER(E219),E219,0)+R219,R219)*(1+S219/30)),1)),"--")</f>
        <v>--</v>
      </c>
      <c r="V219" s="23" t="str">
        <f>IF(SUGERENCIAS!N600="SIN","Sin datos anteriores",IF(SUGERENCIAS!N600="SUBIR_F","^ SUBIR FUERTE | Kg:"&amp;ROUND(SUGERENCIAS!K600,1)&amp;" R:"&amp;ROUND(SUGERENCIAS!L600,0)&amp;" RIR:"&amp;ROUND(SUGERENCIAS!M600,0),IF(SUGERENCIAS!N600="SUBIR_E","^ SUBIR (Est.) | Kg:"&amp;ROUND(SUGERENCIAS!K600,1)&amp;" R:"&amp;ROUND(SUGERENCIAS!L600,0)&amp;" RIR:"&amp;ROUND(SUGERENCIAS!M600,0),IF(SUGERENCIAS!N600="SUBIR","^ SUBIR | Kg:"&amp;ROUND(SUGERENCIAS!K600,1)&amp;" R:"&amp;ROUND(SUGERENCIAS!L600,0)&amp;" RIR:"&amp;ROUND(SUGERENCIAS!M600,0),IF(SUGERENCIAS!N600="BAJAR","v BAJAR | Kg:"&amp;ROUND(SUGERENCIAS!K600,1)&amp;" R:"&amp;ROUND(SUGERENCIAS!L600,0)&amp;" RIR:"&amp;ROUND(SUGERENCIAS!M600,0),"= MANT | Kg:"&amp;ROUND(SUGERENCIAS!K600,1)&amp;" R:"&amp;ROUND(SUGERENCIAS!L600,0)&amp;" RIR:"&amp;ROUND(SUGERENCIAS!M600,0))))))</f>
        <v>Sin datos anteriores</v>
      </c>
      <c r="W219" s="69">
        <f>MAX(IF((G219&gt;0)*(IF(H219="",-1,H219)&gt;=1)*(IF(H219="",-1,H219)&lt;=3),IF(C219="peso_corporal",IF(ISNUMBER(E219),E219,0)+F219,F219)*G219*1000+F219,0),IF((J219&gt;0)*(IF(K219="",-1,K219)&gt;=1)*(IF(K219="",-1,K219)&lt;=3),IF(C219="peso_corporal",IF(ISNUMBER(E219),E219,0)+I219,I219)*J219*1000+I219,0),IF((M219&gt;0)*(IF(N219="",-1,N219)&gt;=1)*(IF(N219="",-1,N219)&lt;=3),IF(C219="peso_corporal",IF(ISNUMBER(E219),E219,0)+L219,L219)*M219*1000+L219,0),IF((P219&gt;0)*(IF(Q219="",-1,Q219)&gt;=1)*(IF(Q219="",-1,Q219)&lt;=3),IF(C219="peso_corporal",IF(ISNUMBER(E219),E219,0)+O219,O219)*P219*1000+O219,0),IF((S219&gt;0)*(IF(T219="",-1,T219)&gt;=1)*(IF(T219="",-1,T219)&lt;=3),IF(C219="peso_corporal",IF(ISNUMBER(E219),E219,0)+R219,R219)*S219*1000+R219,0))</f>
        <v>0</v>
      </c>
      <c r="X219" s="69">
        <f>IF(W219=0,0,IF(IF((S219&gt;0)*(IF(T219="",-1,T219)&gt;=1)*(IF(T219="",-1,T219)&lt;=3),IF(C219="peso_corporal",IF(ISNUMBER(E219),E219,0)+R219,R219)*S219*1000+R219,0)=W219,5,IF(IF((P219&gt;0)*(IF(Q219="",-1,Q219)&gt;=1)*(IF(Q219="",-1,Q219)&lt;=3),IF(C219="peso_corporal",IF(ISNUMBER(E219),E219,0)+O219,O219)*P219*1000+O219,0)=W219,4,IF(IF((M219&gt;0)*(IF(N219="",-1,N219)&gt;=1)*(IF(N219="",-1,N219)&lt;=3),IF(C219="peso_corporal",IF(ISNUMBER(E219),E219,0)+L219,L219)*M219*1000+L219,0)=W219,3,IF(IF((J219&gt;0)*(IF(K219="",-1,K219)&gt;=1)*(IF(K219="",-1,K219)&lt;=3),IF(C219="peso_corporal",IF(ISNUMBER(E219),E219,0)+I219,I219)*J219*1000+I219,0)=W219,2,IF(IF((G219&gt;0)*(IF(H219="",-1,H219)&gt;=1)*(IF(H219="",-1,H219)&lt;=3),IF(C219="peso_corporal",IF(ISNUMBER(E219),E219,0)+F219,F219)*G219*1000+F219,0)=W219,1,0))))))</f>
        <v>0</v>
      </c>
      <c r="Y219" s="69">
        <f>MAX(IF((G219&gt;0)*(IF(H219="",-1,H219)=0)*(1-(IF(H219="",-1,H219)&gt;=1)*(IF(H219="",-1,H219)&lt;=3)),IF(C219="peso_corporal",IF(ISNUMBER(E219),E219,0)+F219,F219)*G219*1000+F219,0),IF((J219&gt;0)*(IF(K219="",-1,K219)=0)*(1-(IF(K219="",-1,K219)&gt;=1)*(IF(K219="",-1,K219)&lt;=3)),IF(C219="peso_corporal",IF(ISNUMBER(E219),E219,0)+I219,I219)*J219*1000+I219,0),IF((M219&gt;0)*(IF(N219="",-1,N219)=0)*(1-(IF(N219="",-1,N219)&gt;=1)*(IF(N219="",-1,N219)&lt;=3)),IF(C219="peso_corporal",IF(ISNUMBER(E219),E219,0)+L219,L219)*M219*1000+L219,0),IF((P219&gt;0)*(IF(Q219="",-1,Q219)=0)*(1-(IF(Q219="",-1,Q219)&gt;=1)*(IF(Q219="",-1,Q219)&lt;=3)),IF(C219="peso_corporal",IF(ISNUMBER(E219),E219,0)+O219,O219)*P219*1000+O219,0),IF((S219&gt;0)*(IF(T219="",-1,T219)=0)*(1-(IF(T219="",-1,T219)&gt;=1)*(IF(T219="",-1,T219)&lt;=3)),IF(C219="peso_corporal",IF(ISNUMBER(E219),E219,0)+R219,R219)*S219*1000+R219,0))</f>
        <v>0</v>
      </c>
      <c r="Z219" s="69">
        <f>IF(Y219=0,0,IF(IF((S219&gt;0)*(IF(T219="",-1,T219)=0)*(1-(IF(T219="",-1,T219)&gt;=1)*(IF(T219="",-1,T219)&lt;=3)),IF(C219="peso_corporal",IF(ISNUMBER(E219),E219,0)+R219,R219)*S219*1000+R219,0)=Y219,5,IF(IF((P219&gt;0)*(IF(Q219="",-1,Q219)=0)*(1-(IF(Q219="",-1,Q219)&gt;=1)*(IF(Q219="",-1,Q219)&lt;=3)),IF(C219="peso_corporal",IF(ISNUMBER(E219),E219,0)+O219,O219)*P219*1000+O219,0)=Y219,4,IF(IF((M219&gt;0)*(IF(N219="",-1,N219)=0)*(1-(IF(N219="",-1,N219)&gt;=1)*(IF(N219="",-1,N219)&lt;=3)),IF(C219="peso_corporal",IF(ISNUMBER(E219),E219,0)+L219,L219)*M219*1000+L219,0)=Y219,3,IF(IF((J219&gt;0)*(IF(K219="",-1,K219)=0)*(1-(IF(K219="",-1,K219)&gt;=1)*(IF(K219="",-1,K219)&lt;=3)),IF(C219="peso_corporal",IF(ISNUMBER(E219),E219,0)+I219,I219)*J219*1000+I219,0)=Y219,2,IF(IF((G219&gt;0)*(IF(H219="",-1,H219)=0)*(1-(IF(H219="",-1,H219)&gt;=1)*(IF(H219="",-1,H219)&lt;=3)),IF(C219="peso_corporal",IF(ISNUMBER(E219),E219,0)+F219,F219)*G219*1000+F219,0)=Y219,1,0))))))</f>
        <v>0</v>
      </c>
      <c r="AA219" s="69">
        <f>MAX(IF((G219&gt;=6)*(1-(IF(H219="",-1,H219)&gt;=1)*(IF(H219="",-1,H219)&lt;=3))*(1-(IF(H219="",-1,H219)=0)),IF(C219="peso_corporal",IF(ISNUMBER(E219),E219,0)+F219,F219)*(30+G219)*100+F219,0),IF((J219&gt;=6)*(1-(IF(K219="",-1,K219)&gt;=1)*(IF(K219="",-1,K219)&lt;=3))*(1-(IF(K219="",-1,K219)=0)),IF(C219="peso_corporal",IF(ISNUMBER(E219),E219,0)+I219,I219)*(30+J219)*100+I219,0),IF((M219&gt;=6)*(1-(IF(N219="",-1,N219)&gt;=1)*(IF(N219="",-1,N219)&lt;=3))*(1-(IF(N219="",-1,N219)=0)),IF(C219="peso_corporal",IF(ISNUMBER(E219),E219,0)+L219,L219)*(30+M219)*100+L219,0),IF((P219&gt;=6)*(1-(IF(Q219="",-1,Q219)&gt;=1)*(IF(Q219="",-1,Q219)&lt;=3))*(1-(IF(Q219="",-1,Q219)=0)),IF(C219="peso_corporal",IF(ISNUMBER(E219),E219,0)+O219,O219)*(30+P219)*100+O219,0),IF((S219&gt;=6)*(1-(IF(T219="",-1,T219)&gt;=1)*(IF(T219="",-1,T219)&lt;=3))*(1-(IF(T219="",-1,T219)=0)),IF(C219="peso_corporal",IF(ISNUMBER(E219),E219,0)+R219,R219)*(30+S219)*100+R219,0))</f>
        <v>0</v>
      </c>
      <c r="AB219" s="69">
        <f>IF(AA219=0,0,IF(IF((S219&gt;=6)*(1-(IF(T219="",-1,T219)&gt;=1)*(IF(T219="",-1,T219)&lt;=3))*(1-(IF(T219="",-1,T219)=0)),IF(C219="peso_corporal",IF(ISNUMBER(E219),E219,0)+R219,R219)*(30+S219)*100+R219,0)=AA219,5,IF(IF((P219&gt;=6)*(1-(IF(Q219="",-1,Q219)&gt;=1)*(IF(Q219="",-1,Q219)&lt;=3))*(1-(IF(Q219="",-1,Q219)=0)),IF(C219="peso_corporal",IF(ISNUMBER(E219),E219,0)+O219,O219)*(30+P219)*100+O219,0)=AA219,4,IF(IF((M219&gt;=6)*(1-(IF(N219="",-1,N219)&gt;=1)*(IF(N219="",-1,N219)&lt;=3))*(1-(IF(N219="",-1,N219)=0)),IF(C219="peso_corporal",IF(ISNUMBER(E219),E219,0)+L219,L219)*(30+M219)*100+L219,0)=AA219,3,IF(IF((J219&gt;=6)*(1-(IF(K219="",-1,K219)&gt;=1)*(IF(K219="",-1,K219)&lt;=3))*(1-(IF(K219="",-1,K219)=0)),IF(C219="peso_corporal",IF(ISNUMBER(E219),E219,0)+I219,I219)*(30+J219)*100+I219,0)=AA219,2,IF(IF((G219&gt;=6)*(1-(IF(H219="",-1,H219)&gt;=1)*(IF(H219="",-1,H219)&lt;=3))*(1-(IF(H219="",-1,H219)=0)),IF(C219="peso_corporal",IF(ISNUMBER(E219),E219,0)+F219,F219)*(30+G219)*100+F219,0)=AA219,1,0))))))</f>
        <v>0</v>
      </c>
      <c r="AC219" s="69" t="str">
        <f>IF(X219&gt;0,"A"&amp;X219,IF(Z219&gt;0,"B"&amp;Z219,IF(AB219&gt;0,"C"&amp;AB219,"")))</f>
        <v/>
      </c>
    </row>
    <row r="220" spans="1:29" ht="20.100000000000001" customHeight="1">
      <c r="A220" s="14" t="s">
        <v>139</v>
      </c>
      <c r="B220" s="15" t="s">
        <v>141</v>
      </c>
      <c r="C220" s="16" t="str">
        <f>IFERROR(INDEX(EJERCICIOS!$D$3:$D$75,MATCH(A220&amp;"|"&amp;B220,EJERCICIOS!$G$3:$G$75,0)),"--")</f>
        <v>disco</v>
      </c>
      <c r="D220" s="17">
        <v>3</v>
      </c>
      <c r="E220" s="18">
        <f>IFERROR(LOOKUP(2,1/(MEDIDAS_Y_PESO!$B$3:$B$12&lt;&gt;""),MEDIDAS_Y_PESO!$B$3:$B$12),"--")</f>
        <v>80</v>
      </c>
      <c r="F220" s="19"/>
      <c r="G220" s="20"/>
      <c r="H220" s="21"/>
      <c r="I220" s="19"/>
      <c r="J220" s="20"/>
      <c r="K220" s="21"/>
      <c r="L220" s="19"/>
      <c r="M220" s="20"/>
      <c r="N220" s="21"/>
      <c r="O220" s="19"/>
      <c r="P220" s="20"/>
      <c r="Q220" s="21"/>
      <c r="R220" s="19"/>
      <c r="S220" s="20"/>
      <c r="T220" s="21"/>
      <c r="U220" s="22" t="str">
        <f>IFERROR(IF(IF(X220&gt;0,X220,IF(Z220&gt;0,Z220,IF(AB220&gt;0,AB220,0)))=0,"--",ROUND(CHOOSE(IF(X220&gt;0,X220,IF(Z220&gt;0,Z220,IF(AB220&gt;0,AB220,0))),IF(C220="peso_corporal",IF(ISNUMBER(E220),E220,0)+F220,F220)*(1+G220/30),IF(C220="peso_corporal",IF(ISNUMBER(E220),E220,0)+I220,I220)*(1+J220/30),IF(C220="peso_corporal",IF(ISNUMBER(E220),E220,0)+L220,L220)*(1+M220/30),IF(C220="peso_corporal",IF(ISNUMBER(E220),E220,0)+O220,O220)*(1+P220/30),IF(C220="peso_corporal",IF(ISNUMBER(E220),E220,0)+R220,R220)*(1+S220/30)),1)),"--")</f>
        <v>--</v>
      </c>
      <c r="V220" s="23" t="str">
        <f>IF(SUGERENCIAS!N601="SIN","Sin datos anteriores",IF(SUGERENCIAS!N601="SUBIR_F","^ SUBIR FUERTE | Kg:"&amp;ROUND(SUGERENCIAS!K601,1)&amp;" R:"&amp;ROUND(SUGERENCIAS!L601,0)&amp;" RIR:"&amp;ROUND(SUGERENCIAS!M601,0),IF(SUGERENCIAS!N601="SUBIR_E","^ SUBIR (Est.) | Kg:"&amp;ROUND(SUGERENCIAS!K601,1)&amp;" R:"&amp;ROUND(SUGERENCIAS!L601,0)&amp;" RIR:"&amp;ROUND(SUGERENCIAS!M601,0),IF(SUGERENCIAS!N601="SUBIR","^ SUBIR | Kg:"&amp;ROUND(SUGERENCIAS!K601,1)&amp;" R:"&amp;ROUND(SUGERENCIAS!L601,0)&amp;" RIR:"&amp;ROUND(SUGERENCIAS!M601,0),IF(SUGERENCIAS!N601="BAJAR","v BAJAR | Kg:"&amp;ROUND(SUGERENCIAS!K601,1)&amp;" R:"&amp;ROUND(SUGERENCIAS!L601,0)&amp;" RIR:"&amp;ROUND(SUGERENCIAS!M601,0),"= MANT | Kg:"&amp;ROUND(SUGERENCIAS!K601,1)&amp;" R:"&amp;ROUND(SUGERENCIAS!L601,0)&amp;" RIR:"&amp;ROUND(SUGERENCIAS!M601,0))))))</f>
        <v>Sin datos anteriores</v>
      </c>
      <c r="W220" s="69">
        <f>MAX(IF((G220&gt;0)*(IF(H220="",-1,H220)&gt;=1)*(IF(H220="",-1,H220)&lt;=3),IF(C220="peso_corporal",IF(ISNUMBER(E220),E220,0)+F220,F220)*G220*1000+F220,0),IF((J220&gt;0)*(IF(K220="",-1,K220)&gt;=1)*(IF(K220="",-1,K220)&lt;=3),IF(C220="peso_corporal",IF(ISNUMBER(E220),E220,0)+I220,I220)*J220*1000+I220,0),IF((M220&gt;0)*(IF(N220="",-1,N220)&gt;=1)*(IF(N220="",-1,N220)&lt;=3),IF(C220="peso_corporal",IF(ISNUMBER(E220),E220,0)+L220,L220)*M220*1000+L220,0),IF((P220&gt;0)*(IF(Q220="",-1,Q220)&gt;=1)*(IF(Q220="",-1,Q220)&lt;=3),IF(C220="peso_corporal",IF(ISNUMBER(E220),E220,0)+O220,O220)*P220*1000+O220,0),IF((S220&gt;0)*(IF(T220="",-1,T220)&gt;=1)*(IF(T220="",-1,T220)&lt;=3),IF(C220="peso_corporal",IF(ISNUMBER(E220),E220,0)+R220,R220)*S220*1000+R220,0))</f>
        <v>0</v>
      </c>
      <c r="X220" s="69">
        <f>IF(W220=0,0,IF(IF((S220&gt;0)*(IF(T220="",-1,T220)&gt;=1)*(IF(T220="",-1,T220)&lt;=3),IF(C220="peso_corporal",IF(ISNUMBER(E220),E220,0)+R220,R220)*S220*1000+R220,0)=W220,5,IF(IF((P220&gt;0)*(IF(Q220="",-1,Q220)&gt;=1)*(IF(Q220="",-1,Q220)&lt;=3),IF(C220="peso_corporal",IF(ISNUMBER(E220),E220,0)+O220,O220)*P220*1000+O220,0)=W220,4,IF(IF((M220&gt;0)*(IF(N220="",-1,N220)&gt;=1)*(IF(N220="",-1,N220)&lt;=3),IF(C220="peso_corporal",IF(ISNUMBER(E220),E220,0)+L220,L220)*M220*1000+L220,0)=W220,3,IF(IF((J220&gt;0)*(IF(K220="",-1,K220)&gt;=1)*(IF(K220="",-1,K220)&lt;=3),IF(C220="peso_corporal",IF(ISNUMBER(E220),E220,0)+I220,I220)*J220*1000+I220,0)=W220,2,IF(IF((G220&gt;0)*(IF(H220="",-1,H220)&gt;=1)*(IF(H220="",-1,H220)&lt;=3),IF(C220="peso_corporal",IF(ISNUMBER(E220),E220,0)+F220,F220)*G220*1000+F220,0)=W220,1,0))))))</f>
        <v>0</v>
      </c>
      <c r="Y220" s="69">
        <f>MAX(IF((G220&gt;0)*(IF(H220="",-1,H220)=0)*(1-(IF(H220="",-1,H220)&gt;=1)*(IF(H220="",-1,H220)&lt;=3)),IF(C220="peso_corporal",IF(ISNUMBER(E220),E220,0)+F220,F220)*G220*1000+F220,0),IF((J220&gt;0)*(IF(K220="",-1,K220)=0)*(1-(IF(K220="",-1,K220)&gt;=1)*(IF(K220="",-1,K220)&lt;=3)),IF(C220="peso_corporal",IF(ISNUMBER(E220),E220,0)+I220,I220)*J220*1000+I220,0),IF((M220&gt;0)*(IF(N220="",-1,N220)=0)*(1-(IF(N220="",-1,N220)&gt;=1)*(IF(N220="",-1,N220)&lt;=3)),IF(C220="peso_corporal",IF(ISNUMBER(E220),E220,0)+L220,L220)*M220*1000+L220,0),IF((P220&gt;0)*(IF(Q220="",-1,Q220)=0)*(1-(IF(Q220="",-1,Q220)&gt;=1)*(IF(Q220="",-1,Q220)&lt;=3)),IF(C220="peso_corporal",IF(ISNUMBER(E220),E220,0)+O220,O220)*P220*1000+O220,0),IF((S220&gt;0)*(IF(T220="",-1,T220)=0)*(1-(IF(T220="",-1,T220)&gt;=1)*(IF(T220="",-1,T220)&lt;=3)),IF(C220="peso_corporal",IF(ISNUMBER(E220),E220,0)+R220,R220)*S220*1000+R220,0))</f>
        <v>0</v>
      </c>
      <c r="Z220" s="69">
        <f>IF(Y220=0,0,IF(IF((S220&gt;0)*(IF(T220="",-1,T220)=0)*(1-(IF(T220="",-1,T220)&gt;=1)*(IF(T220="",-1,T220)&lt;=3)),IF(C220="peso_corporal",IF(ISNUMBER(E220),E220,0)+R220,R220)*S220*1000+R220,0)=Y220,5,IF(IF((P220&gt;0)*(IF(Q220="",-1,Q220)=0)*(1-(IF(Q220="",-1,Q220)&gt;=1)*(IF(Q220="",-1,Q220)&lt;=3)),IF(C220="peso_corporal",IF(ISNUMBER(E220),E220,0)+O220,O220)*P220*1000+O220,0)=Y220,4,IF(IF((M220&gt;0)*(IF(N220="",-1,N220)=0)*(1-(IF(N220="",-1,N220)&gt;=1)*(IF(N220="",-1,N220)&lt;=3)),IF(C220="peso_corporal",IF(ISNUMBER(E220),E220,0)+L220,L220)*M220*1000+L220,0)=Y220,3,IF(IF((J220&gt;0)*(IF(K220="",-1,K220)=0)*(1-(IF(K220="",-1,K220)&gt;=1)*(IF(K220="",-1,K220)&lt;=3)),IF(C220="peso_corporal",IF(ISNUMBER(E220),E220,0)+I220,I220)*J220*1000+I220,0)=Y220,2,IF(IF((G220&gt;0)*(IF(H220="",-1,H220)=0)*(1-(IF(H220="",-1,H220)&gt;=1)*(IF(H220="",-1,H220)&lt;=3)),IF(C220="peso_corporal",IF(ISNUMBER(E220),E220,0)+F220,F220)*G220*1000+F220,0)=Y220,1,0))))))</f>
        <v>0</v>
      </c>
      <c r="AA220" s="69">
        <f>MAX(IF((G220&gt;=6)*(1-(IF(H220="",-1,H220)&gt;=1)*(IF(H220="",-1,H220)&lt;=3))*(1-(IF(H220="",-1,H220)=0)),IF(C220="peso_corporal",IF(ISNUMBER(E220),E220,0)+F220,F220)*(30+G220)*100+F220,0),IF((J220&gt;=6)*(1-(IF(K220="",-1,K220)&gt;=1)*(IF(K220="",-1,K220)&lt;=3))*(1-(IF(K220="",-1,K220)=0)),IF(C220="peso_corporal",IF(ISNUMBER(E220),E220,0)+I220,I220)*(30+J220)*100+I220,0),IF((M220&gt;=6)*(1-(IF(N220="",-1,N220)&gt;=1)*(IF(N220="",-1,N220)&lt;=3))*(1-(IF(N220="",-1,N220)=0)),IF(C220="peso_corporal",IF(ISNUMBER(E220),E220,0)+L220,L220)*(30+M220)*100+L220,0),IF((P220&gt;=6)*(1-(IF(Q220="",-1,Q220)&gt;=1)*(IF(Q220="",-1,Q220)&lt;=3))*(1-(IF(Q220="",-1,Q220)=0)),IF(C220="peso_corporal",IF(ISNUMBER(E220),E220,0)+O220,O220)*(30+P220)*100+O220,0),IF((S220&gt;=6)*(1-(IF(T220="",-1,T220)&gt;=1)*(IF(T220="",-1,T220)&lt;=3))*(1-(IF(T220="",-1,T220)=0)),IF(C220="peso_corporal",IF(ISNUMBER(E220),E220,0)+R220,R220)*(30+S220)*100+R220,0))</f>
        <v>0</v>
      </c>
      <c r="AB220" s="69">
        <f>IF(AA220=0,0,IF(IF((S220&gt;=6)*(1-(IF(T220="",-1,T220)&gt;=1)*(IF(T220="",-1,T220)&lt;=3))*(1-(IF(T220="",-1,T220)=0)),IF(C220="peso_corporal",IF(ISNUMBER(E220),E220,0)+R220,R220)*(30+S220)*100+R220,0)=AA220,5,IF(IF((P220&gt;=6)*(1-(IF(Q220="",-1,Q220)&gt;=1)*(IF(Q220="",-1,Q220)&lt;=3))*(1-(IF(Q220="",-1,Q220)=0)),IF(C220="peso_corporal",IF(ISNUMBER(E220),E220,0)+O220,O220)*(30+P220)*100+O220,0)=AA220,4,IF(IF((M220&gt;=6)*(1-(IF(N220="",-1,N220)&gt;=1)*(IF(N220="",-1,N220)&lt;=3))*(1-(IF(N220="",-1,N220)=0)),IF(C220="peso_corporal",IF(ISNUMBER(E220),E220,0)+L220,L220)*(30+M220)*100+L220,0)=AA220,3,IF(IF((J220&gt;=6)*(1-(IF(K220="",-1,K220)&gt;=1)*(IF(K220="",-1,K220)&lt;=3))*(1-(IF(K220="",-1,K220)=0)),IF(C220="peso_corporal",IF(ISNUMBER(E220),E220,0)+I220,I220)*(30+J220)*100+I220,0)=AA220,2,IF(IF((G220&gt;=6)*(1-(IF(H220="",-1,H220)&gt;=1)*(IF(H220="",-1,H220)&lt;=3))*(1-(IF(H220="",-1,H220)=0)),IF(C220="peso_corporal",IF(ISNUMBER(E220),E220,0)+F220,F220)*(30+G220)*100+F220,0)=AA220,1,0))))))</f>
        <v>0</v>
      </c>
      <c r="AC220" s="69" t="str">
        <f>IF(X220&gt;0,"A"&amp;X220,IF(Z220&gt;0,"B"&amp;Z220,IF(AB220&gt;0,"C"&amp;AB220,"")))</f>
        <v/>
      </c>
    </row>
    <row r="221" spans="1:29" ht="15" customHeight="1">
      <c r="A221" s="90" t="s">
        <v>142</v>
      </c>
      <c r="B221" s="73"/>
      <c r="C221" s="73"/>
      <c r="D221" s="73"/>
      <c r="E221" s="73"/>
      <c r="F221" s="73"/>
      <c r="G221" s="73"/>
      <c r="H221" s="73"/>
      <c r="I221" s="73"/>
      <c r="J221" s="73"/>
      <c r="K221" s="73"/>
      <c r="L221" s="73"/>
      <c r="M221" s="73"/>
      <c r="N221" s="73"/>
      <c r="O221" s="73"/>
      <c r="P221" s="73"/>
      <c r="Q221" s="73"/>
      <c r="R221" s="73"/>
      <c r="S221" s="73"/>
      <c r="T221" s="73"/>
      <c r="U221" s="73"/>
      <c r="V221" s="73"/>
      <c r="W221" s="69"/>
      <c r="X221" s="69"/>
      <c r="Y221" s="69"/>
      <c r="Z221" s="69"/>
      <c r="AA221" s="69"/>
      <c r="AB221" s="69"/>
      <c r="AC221" s="69"/>
    </row>
    <row r="222" spans="1:29" ht="20.100000000000001" customHeight="1">
      <c r="A222" s="14" t="s">
        <v>24</v>
      </c>
      <c r="B222" s="15" t="s">
        <v>143</v>
      </c>
      <c r="C222" s="16" t="str">
        <f>IFERROR(INDEX(EJERCICIOS!$D$3:$D$75,MATCH(A222&amp;"|"&amp;B222,EJERCICIOS!$G$3:$G$75,0)),"--")</f>
        <v>peso_corporal</v>
      </c>
      <c r="D222" s="17">
        <v>3</v>
      </c>
      <c r="E222" s="18">
        <f>IFERROR(LOOKUP(2,1/(MEDIDAS_Y_PESO!$B$3:$B$12&lt;&gt;""),MEDIDAS_Y_PESO!$B$3:$B$12),"--")</f>
        <v>80</v>
      </c>
      <c r="F222" s="19"/>
      <c r="G222" s="20"/>
      <c r="H222" s="21"/>
      <c r="I222" s="19"/>
      <c r="J222" s="20"/>
      <c r="K222" s="21"/>
      <c r="L222" s="19"/>
      <c r="M222" s="20"/>
      <c r="N222" s="21"/>
      <c r="O222" s="19"/>
      <c r="P222" s="20"/>
      <c r="Q222" s="21"/>
      <c r="R222" s="19"/>
      <c r="S222" s="20"/>
      <c r="T222" s="21"/>
      <c r="U222" s="22" t="str">
        <f>IFERROR(IF(IF(X222&gt;0,X222,IF(Z222&gt;0,Z222,IF(AB222&gt;0,AB222,0)))=0,"--",ROUND(CHOOSE(IF(X222&gt;0,X222,IF(Z222&gt;0,Z222,IF(AB222&gt;0,AB222,0))),IF(C222="peso_corporal",IF(ISNUMBER(E222),E222,0)+F222,F222)*(1+G222/30),IF(C222="peso_corporal",IF(ISNUMBER(E222),E222,0)+I222,I222)*(1+J222/30),IF(C222="peso_corporal",IF(ISNUMBER(E222),E222,0)+L222,L222)*(1+M222/30),IF(C222="peso_corporal",IF(ISNUMBER(E222),E222,0)+O222,O222)*(1+P222/30),IF(C222="peso_corporal",IF(ISNUMBER(E222),E222,0)+R222,R222)*(1+S222/30)),1)),"--")</f>
        <v>--</v>
      </c>
      <c r="V222" s="23" t="str">
        <f>IF(SUGERENCIAS!N602="SIN","Sin datos anteriores",IF(SUGERENCIAS!N602="SUBIR_F","^ SUBIR FUERTE | Kg:"&amp;ROUND(SUGERENCIAS!K602,1)&amp;" R:"&amp;ROUND(SUGERENCIAS!L602,0)&amp;" RIR:"&amp;ROUND(SUGERENCIAS!M602,0),IF(SUGERENCIAS!N602="SUBIR_E","^ SUBIR (Est.) | Kg:"&amp;ROUND(SUGERENCIAS!K602,1)&amp;" R:"&amp;ROUND(SUGERENCIAS!L602,0)&amp;" RIR:"&amp;ROUND(SUGERENCIAS!M602,0),IF(SUGERENCIAS!N602="SUBIR","^ SUBIR | Kg:"&amp;ROUND(SUGERENCIAS!K602,1)&amp;" R:"&amp;ROUND(SUGERENCIAS!L602,0)&amp;" RIR:"&amp;ROUND(SUGERENCIAS!M602,0),IF(SUGERENCIAS!N602="BAJAR","v BAJAR | Kg:"&amp;ROUND(SUGERENCIAS!K602,1)&amp;" R:"&amp;ROUND(SUGERENCIAS!L602,0)&amp;" RIR:"&amp;ROUND(SUGERENCIAS!M602,0),"= MANT | Kg:"&amp;ROUND(SUGERENCIAS!K602,1)&amp;" R:"&amp;ROUND(SUGERENCIAS!L602,0)&amp;" RIR:"&amp;ROUND(SUGERENCIAS!M602,0))))))</f>
        <v>Sin datos anteriores</v>
      </c>
      <c r="W222" s="69">
        <f>MAX(IF((G222&gt;0)*(IF(H222="",-1,H222)&gt;=1)*(IF(H222="",-1,H222)&lt;=3),IF(C222="peso_corporal",IF(ISNUMBER(E222),E222,0)+F222,F222)*G222*1000+F222,0),IF((J222&gt;0)*(IF(K222="",-1,K222)&gt;=1)*(IF(K222="",-1,K222)&lt;=3),IF(C222="peso_corporal",IF(ISNUMBER(E222),E222,0)+I222,I222)*J222*1000+I222,0),IF((M222&gt;0)*(IF(N222="",-1,N222)&gt;=1)*(IF(N222="",-1,N222)&lt;=3),IF(C222="peso_corporal",IF(ISNUMBER(E222),E222,0)+L222,L222)*M222*1000+L222,0),IF((P222&gt;0)*(IF(Q222="",-1,Q222)&gt;=1)*(IF(Q222="",-1,Q222)&lt;=3),IF(C222="peso_corporal",IF(ISNUMBER(E222),E222,0)+O222,O222)*P222*1000+O222,0),IF((S222&gt;0)*(IF(T222="",-1,T222)&gt;=1)*(IF(T222="",-1,T222)&lt;=3),IF(C222="peso_corporal",IF(ISNUMBER(E222),E222,0)+R222,R222)*S222*1000+R222,0))</f>
        <v>0</v>
      </c>
      <c r="X222" s="69">
        <f>IF(W222=0,0,IF(IF((S222&gt;0)*(IF(T222="",-1,T222)&gt;=1)*(IF(T222="",-1,T222)&lt;=3),IF(C222="peso_corporal",IF(ISNUMBER(E222),E222,0)+R222,R222)*S222*1000+R222,0)=W222,5,IF(IF((P222&gt;0)*(IF(Q222="",-1,Q222)&gt;=1)*(IF(Q222="",-1,Q222)&lt;=3),IF(C222="peso_corporal",IF(ISNUMBER(E222),E222,0)+O222,O222)*P222*1000+O222,0)=W222,4,IF(IF((M222&gt;0)*(IF(N222="",-1,N222)&gt;=1)*(IF(N222="",-1,N222)&lt;=3),IF(C222="peso_corporal",IF(ISNUMBER(E222),E222,0)+L222,L222)*M222*1000+L222,0)=W222,3,IF(IF((J222&gt;0)*(IF(K222="",-1,K222)&gt;=1)*(IF(K222="",-1,K222)&lt;=3),IF(C222="peso_corporal",IF(ISNUMBER(E222),E222,0)+I222,I222)*J222*1000+I222,0)=W222,2,IF(IF((G222&gt;0)*(IF(H222="",-1,H222)&gt;=1)*(IF(H222="",-1,H222)&lt;=3),IF(C222="peso_corporal",IF(ISNUMBER(E222),E222,0)+F222,F222)*G222*1000+F222,0)=W222,1,0))))))</f>
        <v>0</v>
      </c>
      <c r="Y222" s="69">
        <f>MAX(IF((G222&gt;0)*(IF(H222="",-1,H222)=0)*(1-(IF(H222="",-1,H222)&gt;=1)*(IF(H222="",-1,H222)&lt;=3)),IF(C222="peso_corporal",IF(ISNUMBER(E222),E222,0)+F222,F222)*G222*1000+F222,0),IF((J222&gt;0)*(IF(K222="",-1,K222)=0)*(1-(IF(K222="",-1,K222)&gt;=1)*(IF(K222="",-1,K222)&lt;=3)),IF(C222="peso_corporal",IF(ISNUMBER(E222),E222,0)+I222,I222)*J222*1000+I222,0),IF((M222&gt;0)*(IF(N222="",-1,N222)=0)*(1-(IF(N222="",-1,N222)&gt;=1)*(IF(N222="",-1,N222)&lt;=3)),IF(C222="peso_corporal",IF(ISNUMBER(E222),E222,0)+L222,L222)*M222*1000+L222,0),IF((P222&gt;0)*(IF(Q222="",-1,Q222)=0)*(1-(IF(Q222="",-1,Q222)&gt;=1)*(IF(Q222="",-1,Q222)&lt;=3)),IF(C222="peso_corporal",IF(ISNUMBER(E222),E222,0)+O222,O222)*P222*1000+O222,0),IF((S222&gt;0)*(IF(T222="",-1,T222)=0)*(1-(IF(T222="",-1,T222)&gt;=1)*(IF(T222="",-1,T222)&lt;=3)),IF(C222="peso_corporal",IF(ISNUMBER(E222),E222,0)+R222,R222)*S222*1000+R222,0))</f>
        <v>0</v>
      </c>
      <c r="Z222" s="69">
        <f>IF(Y222=0,0,IF(IF((S222&gt;0)*(IF(T222="",-1,T222)=0)*(1-(IF(T222="",-1,T222)&gt;=1)*(IF(T222="",-1,T222)&lt;=3)),IF(C222="peso_corporal",IF(ISNUMBER(E222),E222,0)+R222,R222)*S222*1000+R222,0)=Y222,5,IF(IF((P222&gt;0)*(IF(Q222="",-1,Q222)=0)*(1-(IF(Q222="",-1,Q222)&gt;=1)*(IF(Q222="",-1,Q222)&lt;=3)),IF(C222="peso_corporal",IF(ISNUMBER(E222),E222,0)+O222,O222)*P222*1000+O222,0)=Y222,4,IF(IF((M222&gt;0)*(IF(N222="",-1,N222)=0)*(1-(IF(N222="",-1,N222)&gt;=1)*(IF(N222="",-1,N222)&lt;=3)),IF(C222="peso_corporal",IF(ISNUMBER(E222),E222,0)+L222,L222)*M222*1000+L222,0)=Y222,3,IF(IF((J222&gt;0)*(IF(K222="",-1,K222)=0)*(1-(IF(K222="",-1,K222)&gt;=1)*(IF(K222="",-1,K222)&lt;=3)),IF(C222="peso_corporal",IF(ISNUMBER(E222),E222,0)+I222,I222)*J222*1000+I222,0)=Y222,2,IF(IF((G222&gt;0)*(IF(H222="",-1,H222)=0)*(1-(IF(H222="",-1,H222)&gt;=1)*(IF(H222="",-1,H222)&lt;=3)),IF(C222="peso_corporal",IF(ISNUMBER(E222),E222,0)+F222,F222)*G222*1000+F222,0)=Y222,1,0))))))</f>
        <v>0</v>
      </c>
      <c r="AA222" s="69">
        <f>MAX(IF((G222&gt;=6)*(1-(IF(H222="",-1,H222)&gt;=1)*(IF(H222="",-1,H222)&lt;=3))*(1-(IF(H222="",-1,H222)=0)),IF(C222="peso_corporal",IF(ISNUMBER(E222),E222,0)+F222,F222)*(30+G222)*100+F222,0),IF((J222&gt;=6)*(1-(IF(K222="",-1,K222)&gt;=1)*(IF(K222="",-1,K222)&lt;=3))*(1-(IF(K222="",-1,K222)=0)),IF(C222="peso_corporal",IF(ISNUMBER(E222),E222,0)+I222,I222)*(30+J222)*100+I222,0),IF((M222&gt;=6)*(1-(IF(N222="",-1,N222)&gt;=1)*(IF(N222="",-1,N222)&lt;=3))*(1-(IF(N222="",-1,N222)=0)),IF(C222="peso_corporal",IF(ISNUMBER(E222),E222,0)+L222,L222)*(30+M222)*100+L222,0),IF((P222&gt;=6)*(1-(IF(Q222="",-1,Q222)&gt;=1)*(IF(Q222="",-1,Q222)&lt;=3))*(1-(IF(Q222="",-1,Q222)=0)),IF(C222="peso_corporal",IF(ISNUMBER(E222),E222,0)+O222,O222)*(30+P222)*100+O222,0),IF((S222&gt;=6)*(1-(IF(T222="",-1,T222)&gt;=1)*(IF(T222="",-1,T222)&lt;=3))*(1-(IF(T222="",-1,T222)=0)),IF(C222="peso_corporal",IF(ISNUMBER(E222),E222,0)+R222,R222)*(30+S222)*100+R222,0))</f>
        <v>0</v>
      </c>
      <c r="AB222" s="69">
        <f>IF(AA222=0,0,IF(IF((S222&gt;=6)*(1-(IF(T222="",-1,T222)&gt;=1)*(IF(T222="",-1,T222)&lt;=3))*(1-(IF(T222="",-1,T222)=0)),IF(C222="peso_corporal",IF(ISNUMBER(E222),E222,0)+R222,R222)*(30+S222)*100+R222,0)=AA222,5,IF(IF((P222&gt;=6)*(1-(IF(Q222="",-1,Q222)&gt;=1)*(IF(Q222="",-1,Q222)&lt;=3))*(1-(IF(Q222="",-1,Q222)=0)),IF(C222="peso_corporal",IF(ISNUMBER(E222),E222,0)+O222,O222)*(30+P222)*100+O222,0)=AA222,4,IF(IF((M222&gt;=6)*(1-(IF(N222="",-1,N222)&gt;=1)*(IF(N222="",-1,N222)&lt;=3))*(1-(IF(N222="",-1,N222)=0)),IF(C222="peso_corporal",IF(ISNUMBER(E222),E222,0)+L222,L222)*(30+M222)*100+L222,0)=AA222,3,IF(IF((J222&gt;=6)*(1-(IF(K222="",-1,K222)&gt;=1)*(IF(K222="",-1,K222)&lt;=3))*(1-(IF(K222="",-1,K222)=0)),IF(C222="peso_corporal",IF(ISNUMBER(E222),E222,0)+I222,I222)*(30+J222)*100+I222,0)=AA222,2,IF(IF((G222&gt;=6)*(1-(IF(H222="",-1,H222)&gt;=1)*(IF(H222="",-1,H222)&lt;=3))*(1-(IF(H222="",-1,H222)=0)),IF(C222="peso_corporal",IF(ISNUMBER(E222),E222,0)+F222,F222)*(30+G222)*100+F222,0)=AA222,1,0))))))</f>
        <v>0</v>
      </c>
      <c r="AC222" s="69" t="str">
        <f>IF(X222&gt;0,"A"&amp;X222,IF(Z222&gt;0,"B"&amp;Z222,IF(AB222&gt;0,"C"&amp;AB222,"")))</f>
        <v/>
      </c>
    </row>
    <row r="223" spans="1:29" ht="20.100000000000001" customHeight="1">
      <c r="A223" s="14" t="s">
        <v>144</v>
      </c>
      <c r="B223" s="15" t="s">
        <v>60</v>
      </c>
      <c r="C223" s="16" t="str">
        <f>IFERROR(INDEX(EJERCICIOS!$D$3:$D$75,MATCH(A223&amp;"|"&amp;B223,EJERCICIOS!$G$3:$G$75,0)),"--")</f>
        <v>disco</v>
      </c>
      <c r="D223" s="17">
        <v>3</v>
      </c>
      <c r="E223" s="18">
        <f>IFERROR(LOOKUP(2,1/(MEDIDAS_Y_PESO!$B$3:$B$12&lt;&gt;""),MEDIDAS_Y_PESO!$B$3:$B$12),"--")</f>
        <v>80</v>
      </c>
      <c r="F223" s="19"/>
      <c r="G223" s="20"/>
      <c r="H223" s="21"/>
      <c r="I223" s="19"/>
      <c r="J223" s="20"/>
      <c r="K223" s="21"/>
      <c r="L223" s="19"/>
      <c r="M223" s="20"/>
      <c r="N223" s="21"/>
      <c r="O223" s="19"/>
      <c r="P223" s="20"/>
      <c r="Q223" s="21"/>
      <c r="R223" s="19"/>
      <c r="S223" s="20"/>
      <c r="T223" s="21"/>
      <c r="U223" s="22" t="str">
        <f>IFERROR(IF(IF(X223&gt;0,X223,IF(Z223&gt;0,Z223,IF(AB223&gt;0,AB223,0)))=0,"--",ROUND(CHOOSE(IF(X223&gt;0,X223,IF(Z223&gt;0,Z223,IF(AB223&gt;0,AB223,0))),IF(C223="peso_corporal",IF(ISNUMBER(E223),E223,0)+F223,F223)*(1+G223/30),IF(C223="peso_corporal",IF(ISNUMBER(E223),E223,0)+I223,I223)*(1+J223/30),IF(C223="peso_corporal",IF(ISNUMBER(E223),E223,0)+L223,L223)*(1+M223/30),IF(C223="peso_corporal",IF(ISNUMBER(E223),E223,0)+O223,O223)*(1+P223/30),IF(C223="peso_corporal",IF(ISNUMBER(E223),E223,0)+R223,R223)*(1+S223/30)),1)),"--")</f>
        <v>--</v>
      </c>
      <c r="V223" s="23" t="str">
        <f>IF(SUGERENCIAS!N603="SIN","Sin datos anteriores",IF(SUGERENCIAS!N603="SUBIR_F","^ SUBIR FUERTE | Kg:"&amp;ROUND(SUGERENCIAS!K603,1)&amp;" R:"&amp;ROUND(SUGERENCIAS!L603,0)&amp;" RIR:"&amp;ROUND(SUGERENCIAS!M603,0),IF(SUGERENCIAS!N603="SUBIR_E","^ SUBIR (Est.) | Kg:"&amp;ROUND(SUGERENCIAS!K603,1)&amp;" R:"&amp;ROUND(SUGERENCIAS!L603,0)&amp;" RIR:"&amp;ROUND(SUGERENCIAS!M603,0),IF(SUGERENCIAS!N603="SUBIR","^ SUBIR | Kg:"&amp;ROUND(SUGERENCIAS!K603,1)&amp;" R:"&amp;ROUND(SUGERENCIAS!L603,0)&amp;" RIR:"&amp;ROUND(SUGERENCIAS!M603,0),IF(SUGERENCIAS!N603="BAJAR","v BAJAR | Kg:"&amp;ROUND(SUGERENCIAS!K603,1)&amp;" R:"&amp;ROUND(SUGERENCIAS!L603,0)&amp;" RIR:"&amp;ROUND(SUGERENCIAS!M603,0),"= MANT | Kg:"&amp;ROUND(SUGERENCIAS!K603,1)&amp;" R:"&amp;ROUND(SUGERENCIAS!L603,0)&amp;" RIR:"&amp;ROUND(SUGERENCIAS!M603,0))))))</f>
        <v>Sin datos anteriores</v>
      </c>
      <c r="W223" s="69">
        <f>MAX(IF((G223&gt;0)*(IF(H223="",-1,H223)&gt;=1)*(IF(H223="",-1,H223)&lt;=3),IF(C223="peso_corporal",IF(ISNUMBER(E223),E223,0)+F223,F223)*G223*1000+F223,0),IF((J223&gt;0)*(IF(K223="",-1,K223)&gt;=1)*(IF(K223="",-1,K223)&lt;=3),IF(C223="peso_corporal",IF(ISNUMBER(E223),E223,0)+I223,I223)*J223*1000+I223,0),IF((M223&gt;0)*(IF(N223="",-1,N223)&gt;=1)*(IF(N223="",-1,N223)&lt;=3),IF(C223="peso_corporal",IF(ISNUMBER(E223),E223,0)+L223,L223)*M223*1000+L223,0),IF((P223&gt;0)*(IF(Q223="",-1,Q223)&gt;=1)*(IF(Q223="",-1,Q223)&lt;=3),IF(C223="peso_corporal",IF(ISNUMBER(E223),E223,0)+O223,O223)*P223*1000+O223,0),IF((S223&gt;0)*(IF(T223="",-1,T223)&gt;=1)*(IF(T223="",-1,T223)&lt;=3),IF(C223="peso_corporal",IF(ISNUMBER(E223),E223,0)+R223,R223)*S223*1000+R223,0))</f>
        <v>0</v>
      </c>
      <c r="X223" s="69">
        <f>IF(W223=0,0,IF(IF((S223&gt;0)*(IF(T223="",-1,T223)&gt;=1)*(IF(T223="",-1,T223)&lt;=3),IF(C223="peso_corporal",IF(ISNUMBER(E223),E223,0)+R223,R223)*S223*1000+R223,0)=W223,5,IF(IF((P223&gt;0)*(IF(Q223="",-1,Q223)&gt;=1)*(IF(Q223="",-1,Q223)&lt;=3),IF(C223="peso_corporal",IF(ISNUMBER(E223),E223,0)+O223,O223)*P223*1000+O223,0)=W223,4,IF(IF((M223&gt;0)*(IF(N223="",-1,N223)&gt;=1)*(IF(N223="",-1,N223)&lt;=3),IF(C223="peso_corporal",IF(ISNUMBER(E223),E223,0)+L223,L223)*M223*1000+L223,0)=W223,3,IF(IF((J223&gt;0)*(IF(K223="",-1,K223)&gt;=1)*(IF(K223="",-1,K223)&lt;=3),IF(C223="peso_corporal",IF(ISNUMBER(E223),E223,0)+I223,I223)*J223*1000+I223,0)=W223,2,IF(IF((G223&gt;0)*(IF(H223="",-1,H223)&gt;=1)*(IF(H223="",-1,H223)&lt;=3),IF(C223="peso_corporal",IF(ISNUMBER(E223),E223,0)+F223,F223)*G223*1000+F223,0)=W223,1,0))))))</f>
        <v>0</v>
      </c>
      <c r="Y223" s="69">
        <f>MAX(IF((G223&gt;0)*(IF(H223="",-1,H223)=0)*(1-(IF(H223="",-1,H223)&gt;=1)*(IF(H223="",-1,H223)&lt;=3)),IF(C223="peso_corporal",IF(ISNUMBER(E223),E223,0)+F223,F223)*G223*1000+F223,0),IF((J223&gt;0)*(IF(K223="",-1,K223)=0)*(1-(IF(K223="",-1,K223)&gt;=1)*(IF(K223="",-1,K223)&lt;=3)),IF(C223="peso_corporal",IF(ISNUMBER(E223),E223,0)+I223,I223)*J223*1000+I223,0),IF((M223&gt;0)*(IF(N223="",-1,N223)=0)*(1-(IF(N223="",-1,N223)&gt;=1)*(IF(N223="",-1,N223)&lt;=3)),IF(C223="peso_corporal",IF(ISNUMBER(E223),E223,0)+L223,L223)*M223*1000+L223,0),IF((P223&gt;0)*(IF(Q223="",-1,Q223)=0)*(1-(IF(Q223="",-1,Q223)&gt;=1)*(IF(Q223="",-1,Q223)&lt;=3)),IF(C223="peso_corporal",IF(ISNUMBER(E223),E223,0)+O223,O223)*P223*1000+O223,0),IF((S223&gt;0)*(IF(T223="",-1,T223)=0)*(1-(IF(T223="",-1,T223)&gt;=1)*(IF(T223="",-1,T223)&lt;=3)),IF(C223="peso_corporal",IF(ISNUMBER(E223),E223,0)+R223,R223)*S223*1000+R223,0))</f>
        <v>0</v>
      </c>
      <c r="Z223" s="69">
        <f>IF(Y223=0,0,IF(IF((S223&gt;0)*(IF(T223="",-1,T223)=0)*(1-(IF(T223="",-1,T223)&gt;=1)*(IF(T223="",-1,T223)&lt;=3)),IF(C223="peso_corporal",IF(ISNUMBER(E223),E223,0)+R223,R223)*S223*1000+R223,0)=Y223,5,IF(IF((P223&gt;0)*(IF(Q223="",-1,Q223)=0)*(1-(IF(Q223="",-1,Q223)&gt;=1)*(IF(Q223="",-1,Q223)&lt;=3)),IF(C223="peso_corporal",IF(ISNUMBER(E223),E223,0)+O223,O223)*P223*1000+O223,0)=Y223,4,IF(IF((M223&gt;0)*(IF(N223="",-1,N223)=0)*(1-(IF(N223="",-1,N223)&gt;=1)*(IF(N223="",-1,N223)&lt;=3)),IF(C223="peso_corporal",IF(ISNUMBER(E223),E223,0)+L223,L223)*M223*1000+L223,0)=Y223,3,IF(IF((J223&gt;0)*(IF(K223="",-1,K223)=0)*(1-(IF(K223="",-1,K223)&gt;=1)*(IF(K223="",-1,K223)&lt;=3)),IF(C223="peso_corporal",IF(ISNUMBER(E223),E223,0)+I223,I223)*J223*1000+I223,0)=Y223,2,IF(IF((G223&gt;0)*(IF(H223="",-1,H223)=0)*(1-(IF(H223="",-1,H223)&gt;=1)*(IF(H223="",-1,H223)&lt;=3)),IF(C223="peso_corporal",IF(ISNUMBER(E223),E223,0)+F223,F223)*G223*1000+F223,0)=Y223,1,0))))))</f>
        <v>0</v>
      </c>
      <c r="AA223" s="69">
        <f>MAX(IF((G223&gt;=6)*(1-(IF(H223="",-1,H223)&gt;=1)*(IF(H223="",-1,H223)&lt;=3))*(1-(IF(H223="",-1,H223)=0)),IF(C223="peso_corporal",IF(ISNUMBER(E223),E223,0)+F223,F223)*(30+G223)*100+F223,0),IF((J223&gt;=6)*(1-(IF(K223="",-1,K223)&gt;=1)*(IF(K223="",-1,K223)&lt;=3))*(1-(IF(K223="",-1,K223)=0)),IF(C223="peso_corporal",IF(ISNUMBER(E223),E223,0)+I223,I223)*(30+J223)*100+I223,0),IF((M223&gt;=6)*(1-(IF(N223="",-1,N223)&gt;=1)*(IF(N223="",-1,N223)&lt;=3))*(1-(IF(N223="",-1,N223)=0)),IF(C223="peso_corporal",IF(ISNUMBER(E223),E223,0)+L223,L223)*(30+M223)*100+L223,0),IF((P223&gt;=6)*(1-(IF(Q223="",-1,Q223)&gt;=1)*(IF(Q223="",-1,Q223)&lt;=3))*(1-(IF(Q223="",-1,Q223)=0)),IF(C223="peso_corporal",IF(ISNUMBER(E223),E223,0)+O223,O223)*(30+P223)*100+O223,0),IF((S223&gt;=6)*(1-(IF(T223="",-1,T223)&gt;=1)*(IF(T223="",-1,T223)&lt;=3))*(1-(IF(T223="",-1,T223)=0)),IF(C223="peso_corporal",IF(ISNUMBER(E223),E223,0)+R223,R223)*(30+S223)*100+R223,0))</f>
        <v>0</v>
      </c>
      <c r="AB223" s="69">
        <f>IF(AA223=0,0,IF(IF((S223&gt;=6)*(1-(IF(T223="",-1,T223)&gt;=1)*(IF(T223="",-1,T223)&lt;=3))*(1-(IF(T223="",-1,T223)=0)),IF(C223="peso_corporal",IF(ISNUMBER(E223),E223,0)+R223,R223)*(30+S223)*100+R223,0)=AA223,5,IF(IF((P223&gt;=6)*(1-(IF(Q223="",-1,Q223)&gt;=1)*(IF(Q223="",-1,Q223)&lt;=3))*(1-(IF(Q223="",-1,Q223)=0)),IF(C223="peso_corporal",IF(ISNUMBER(E223),E223,0)+O223,O223)*(30+P223)*100+O223,0)=AA223,4,IF(IF((M223&gt;=6)*(1-(IF(N223="",-1,N223)&gt;=1)*(IF(N223="",-1,N223)&lt;=3))*(1-(IF(N223="",-1,N223)=0)),IF(C223="peso_corporal",IF(ISNUMBER(E223),E223,0)+L223,L223)*(30+M223)*100+L223,0)=AA223,3,IF(IF((J223&gt;=6)*(1-(IF(K223="",-1,K223)&gt;=1)*(IF(K223="",-1,K223)&lt;=3))*(1-(IF(K223="",-1,K223)=0)),IF(C223="peso_corporal",IF(ISNUMBER(E223),E223,0)+I223,I223)*(30+J223)*100+I223,0)=AA223,2,IF(IF((G223&gt;=6)*(1-(IF(H223="",-1,H223)&gt;=1)*(IF(H223="",-1,H223)&lt;=3))*(1-(IF(H223="",-1,H223)=0)),IF(C223="peso_corporal",IF(ISNUMBER(E223),E223,0)+F223,F223)*(30+G223)*100+F223,0)=AA223,1,0))))))</f>
        <v>0</v>
      </c>
      <c r="AC223" s="69" t="str">
        <f>IF(X223&gt;0,"A"&amp;X223,IF(Z223&gt;0,"B"&amp;Z223,IF(AB223&gt;0,"C"&amp;AB223,"")))</f>
        <v/>
      </c>
    </row>
    <row r="224" spans="1:29" ht="15" customHeight="1">
      <c r="A224" s="91" t="s">
        <v>145</v>
      </c>
      <c r="B224" s="73"/>
      <c r="C224" s="73"/>
      <c r="D224" s="73"/>
      <c r="E224" s="73"/>
      <c r="F224" s="73"/>
      <c r="G224" s="73"/>
      <c r="H224" s="73"/>
      <c r="I224" s="73"/>
      <c r="J224" s="73"/>
      <c r="K224" s="73"/>
      <c r="L224" s="73"/>
      <c r="M224" s="73"/>
      <c r="N224" s="73"/>
      <c r="O224" s="73"/>
      <c r="P224" s="73"/>
      <c r="Q224" s="73"/>
      <c r="R224" s="73"/>
      <c r="S224" s="73"/>
      <c r="T224" s="73"/>
      <c r="U224" s="73"/>
      <c r="V224" s="73"/>
      <c r="W224" s="69"/>
      <c r="X224" s="69"/>
      <c r="Y224" s="69"/>
      <c r="Z224" s="69"/>
      <c r="AA224" s="69"/>
      <c r="AB224" s="69"/>
      <c r="AC224" s="69"/>
    </row>
    <row r="225" spans="1:29" ht="20.100000000000001" customHeight="1">
      <c r="A225" s="14" t="s">
        <v>57</v>
      </c>
      <c r="B225" s="15" t="s">
        <v>58</v>
      </c>
      <c r="C225" s="16" t="str">
        <f>IFERROR(INDEX(EJERCICIOS!$D$3:$D$75,MATCH(A225&amp;"|"&amp;B225,EJERCICIOS!$G$3:$G$75,0)),"--")</f>
        <v>polea</v>
      </c>
      <c r="D225" s="17">
        <v>3</v>
      </c>
      <c r="E225" s="18">
        <f>IFERROR(LOOKUP(2,1/(MEDIDAS_Y_PESO!$B$3:$B$12&lt;&gt;""),MEDIDAS_Y_PESO!$B$3:$B$12),"--")</f>
        <v>80</v>
      </c>
      <c r="F225" s="19"/>
      <c r="G225" s="20"/>
      <c r="H225" s="21"/>
      <c r="I225" s="19"/>
      <c r="J225" s="20"/>
      <c r="K225" s="21"/>
      <c r="L225" s="19"/>
      <c r="M225" s="20"/>
      <c r="N225" s="21"/>
      <c r="O225" s="19"/>
      <c r="P225" s="20"/>
      <c r="Q225" s="21"/>
      <c r="R225" s="19"/>
      <c r="S225" s="20"/>
      <c r="T225" s="21"/>
      <c r="U225" s="22" t="str">
        <f>IFERROR(IF(IF(X225&gt;0,X225,IF(Z225&gt;0,Z225,IF(AB225&gt;0,AB225,0)))=0,"--",ROUND(CHOOSE(IF(X225&gt;0,X225,IF(Z225&gt;0,Z225,IF(AB225&gt;0,AB225,0))),IF(C225="peso_corporal",IF(ISNUMBER(E225),E225,0)+F225,F225)*(1+G225/30),IF(C225="peso_corporal",IF(ISNUMBER(E225),E225,0)+I225,I225)*(1+J225/30),IF(C225="peso_corporal",IF(ISNUMBER(E225),E225,0)+L225,L225)*(1+M225/30),IF(C225="peso_corporal",IF(ISNUMBER(E225),E225,0)+O225,O225)*(1+P225/30),IF(C225="peso_corporal",IF(ISNUMBER(E225),E225,0)+R225,R225)*(1+S225/30)),1)),"--")</f>
        <v>--</v>
      </c>
      <c r="V225" s="23" t="str">
        <f>IF(SUGERENCIAS!N604="SIN","Sin datos anteriores",IF(SUGERENCIAS!N604="SUBIR_F","^ SUBIR FUERTE | Kg:"&amp;ROUND(SUGERENCIAS!K604,1)&amp;" R:"&amp;ROUND(SUGERENCIAS!L604,0)&amp;" RIR:"&amp;ROUND(SUGERENCIAS!M604,0),IF(SUGERENCIAS!N604="SUBIR_E","^ SUBIR (Est.) | Kg:"&amp;ROUND(SUGERENCIAS!K604,1)&amp;" R:"&amp;ROUND(SUGERENCIAS!L604,0)&amp;" RIR:"&amp;ROUND(SUGERENCIAS!M604,0),IF(SUGERENCIAS!N604="SUBIR","^ SUBIR | Kg:"&amp;ROUND(SUGERENCIAS!K604,1)&amp;" R:"&amp;ROUND(SUGERENCIAS!L604,0)&amp;" RIR:"&amp;ROUND(SUGERENCIAS!M604,0),IF(SUGERENCIAS!N604="BAJAR","v BAJAR | Kg:"&amp;ROUND(SUGERENCIAS!K604,1)&amp;" R:"&amp;ROUND(SUGERENCIAS!L604,0)&amp;" RIR:"&amp;ROUND(SUGERENCIAS!M604,0),"= MANT | Kg:"&amp;ROUND(SUGERENCIAS!K604,1)&amp;" R:"&amp;ROUND(SUGERENCIAS!L604,0)&amp;" RIR:"&amp;ROUND(SUGERENCIAS!M604,0))))))</f>
        <v>Sin datos anteriores</v>
      </c>
      <c r="W225" s="69">
        <f>MAX(IF((G225&gt;0)*(IF(H225="",-1,H225)&gt;=1)*(IF(H225="",-1,H225)&lt;=3),IF(C225="peso_corporal",IF(ISNUMBER(E225),E225,0)+F225,F225)*G225*1000+F225,0),IF((J225&gt;0)*(IF(K225="",-1,K225)&gt;=1)*(IF(K225="",-1,K225)&lt;=3),IF(C225="peso_corporal",IF(ISNUMBER(E225),E225,0)+I225,I225)*J225*1000+I225,0),IF((M225&gt;0)*(IF(N225="",-1,N225)&gt;=1)*(IF(N225="",-1,N225)&lt;=3),IF(C225="peso_corporal",IF(ISNUMBER(E225),E225,0)+L225,L225)*M225*1000+L225,0),IF((P225&gt;0)*(IF(Q225="",-1,Q225)&gt;=1)*(IF(Q225="",-1,Q225)&lt;=3),IF(C225="peso_corporal",IF(ISNUMBER(E225),E225,0)+O225,O225)*P225*1000+O225,0),IF((S225&gt;0)*(IF(T225="",-1,T225)&gt;=1)*(IF(T225="",-1,T225)&lt;=3),IF(C225="peso_corporal",IF(ISNUMBER(E225),E225,0)+R225,R225)*S225*1000+R225,0))</f>
        <v>0</v>
      </c>
      <c r="X225" s="69">
        <f>IF(W225=0,0,IF(IF((S225&gt;0)*(IF(T225="",-1,T225)&gt;=1)*(IF(T225="",-1,T225)&lt;=3),IF(C225="peso_corporal",IF(ISNUMBER(E225),E225,0)+R225,R225)*S225*1000+R225,0)=W225,5,IF(IF((P225&gt;0)*(IF(Q225="",-1,Q225)&gt;=1)*(IF(Q225="",-1,Q225)&lt;=3),IF(C225="peso_corporal",IF(ISNUMBER(E225),E225,0)+O225,O225)*P225*1000+O225,0)=W225,4,IF(IF((M225&gt;0)*(IF(N225="",-1,N225)&gt;=1)*(IF(N225="",-1,N225)&lt;=3),IF(C225="peso_corporal",IF(ISNUMBER(E225),E225,0)+L225,L225)*M225*1000+L225,0)=W225,3,IF(IF((J225&gt;0)*(IF(K225="",-1,K225)&gt;=1)*(IF(K225="",-1,K225)&lt;=3),IF(C225="peso_corporal",IF(ISNUMBER(E225),E225,0)+I225,I225)*J225*1000+I225,0)=W225,2,IF(IF((G225&gt;0)*(IF(H225="",-1,H225)&gt;=1)*(IF(H225="",-1,H225)&lt;=3),IF(C225="peso_corporal",IF(ISNUMBER(E225),E225,0)+F225,F225)*G225*1000+F225,0)=W225,1,0))))))</f>
        <v>0</v>
      </c>
      <c r="Y225" s="69">
        <f>MAX(IF((G225&gt;0)*(IF(H225="",-1,H225)=0)*(1-(IF(H225="",-1,H225)&gt;=1)*(IF(H225="",-1,H225)&lt;=3)),IF(C225="peso_corporal",IF(ISNUMBER(E225),E225,0)+F225,F225)*G225*1000+F225,0),IF((J225&gt;0)*(IF(K225="",-1,K225)=0)*(1-(IF(K225="",-1,K225)&gt;=1)*(IF(K225="",-1,K225)&lt;=3)),IF(C225="peso_corporal",IF(ISNUMBER(E225),E225,0)+I225,I225)*J225*1000+I225,0),IF((M225&gt;0)*(IF(N225="",-1,N225)=0)*(1-(IF(N225="",-1,N225)&gt;=1)*(IF(N225="",-1,N225)&lt;=3)),IF(C225="peso_corporal",IF(ISNUMBER(E225),E225,0)+L225,L225)*M225*1000+L225,0),IF((P225&gt;0)*(IF(Q225="",-1,Q225)=0)*(1-(IF(Q225="",-1,Q225)&gt;=1)*(IF(Q225="",-1,Q225)&lt;=3)),IF(C225="peso_corporal",IF(ISNUMBER(E225),E225,0)+O225,O225)*P225*1000+O225,0),IF((S225&gt;0)*(IF(T225="",-1,T225)=0)*(1-(IF(T225="",-1,T225)&gt;=1)*(IF(T225="",-1,T225)&lt;=3)),IF(C225="peso_corporal",IF(ISNUMBER(E225),E225,0)+R225,R225)*S225*1000+R225,0))</f>
        <v>0</v>
      </c>
      <c r="Z225" s="69">
        <f>IF(Y225=0,0,IF(IF((S225&gt;0)*(IF(T225="",-1,T225)=0)*(1-(IF(T225="",-1,T225)&gt;=1)*(IF(T225="",-1,T225)&lt;=3)),IF(C225="peso_corporal",IF(ISNUMBER(E225),E225,0)+R225,R225)*S225*1000+R225,0)=Y225,5,IF(IF((P225&gt;0)*(IF(Q225="",-1,Q225)=0)*(1-(IF(Q225="",-1,Q225)&gt;=1)*(IF(Q225="",-1,Q225)&lt;=3)),IF(C225="peso_corporal",IF(ISNUMBER(E225),E225,0)+O225,O225)*P225*1000+O225,0)=Y225,4,IF(IF((M225&gt;0)*(IF(N225="",-1,N225)=0)*(1-(IF(N225="",-1,N225)&gt;=1)*(IF(N225="",-1,N225)&lt;=3)),IF(C225="peso_corporal",IF(ISNUMBER(E225),E225,0)+L225,L225)*M225*1000+L225,0)=Y225,3,IF(IF((J225&gt;0)*(IF(K225="",-1,K225)=0)*(1-(IF(K225="",-1,K225)&gt;=1)*(IF(K225="",-1,K225)&lt;=3)),IF(C225="peso_corporal",IF(ISNUMBER(E225),E225,0)+I225,I225)*J225*1000+I225,0)=Y225,2,IF(IF((G225&gt;0)*(IF(H225="",-1,H225)=0)*(1-(IF(H225="",-1,H225)&gt;=1)*(IF(H225="",-1,H225)&lt;=3)),IF(C225="peso_corporal",IF(ISNUMBER(E225),E225,0)+F225,F225)*G225*1000+F225,0)=Y225,1,0))))))</f>
        <v>0</v>
      </c>
      <c r="AA225" s="69">
        <f>MAX(IF((G225&gt;=6)*(1-(IF(H225="",-1,H225)&gt;=1)*(IF(H225="",-1,H225)&lt;=3))*(1-(IF(H225="",-1,H225)=0)),IF(C225="peso_corporal",IF(ISNUMBER(E225),E225,0)+F225,F225)*(30+G225)*100+F225,0),IF((J225&gt;=6)*(1-(IF(K225="",-1,K225)&gt;=1)*(IF(K225="",-1,K225)&lt;=3))*(1-(IF(K225="",-1,K225)=0)),IF(C225="peso_corporal",IF(ISNUMBER(E225),E225,0)+I225,I225)*(30+J225)*100+I225,0),IF((M225&gt;=6)*(1-(IF(N225="",-1,N225)&gt;=1)*(IF(N225="",-1,N225)&lt;=3))*(1-(IF(N225="",-1,N225)=0)),IF(C225="peso_corporal",IF(ISNUMBER(E225),E225,0)+L225,L225)*(30+M225)*100+L225,0),IF((P225&gt;=6)*(1-(IF(Q225="",-1,Q225)&gt;=1)*(IF(Q225="",-1,Q225)&lt;=3))*(1-(IF(Q225="",-1,Q225)=0)),IF(C225="peso_corporal",IF(ISNUMBER(E225),E225,0)+O225,O225)*(30+P225)*100+O225,0),IF((S225&gt;=6)*(1-(IF(T225="",-1,T225)&gt;=1)*(IF(T225="",-1,T225)&lt;=3))*(1-(IF(T225="",-1,T225)=0)),IF(C225="peso_corporal",IF(ISNUMBER(E225),E225,0)+R225,R225)*(30+S225)*100+R225,0))</f>
        <v>0</v>
      </c>
      <c r="AB225" s="69">
        <f>IF(AA225=0,0,IF(IF((S225&gt;=6)*(1-(IF(T225="",-1,T225)&gt;=1)*(IF(T225="",-1,T225)&lt;=3))*(1-(IF(T225="",-1,T225)=0)),IF(C225="peso_corporal",IF(ISNUMBER(E225),E225,0)+R225,R225)*(30+S225)*100+R225,0)=AA225,5,IF(IF((P225&gt;=6)*(1-(IF(Q225="",-1,Q225)&gt;=1)*(IF(Q225="",-1,Q225)&lt;=3))*(1-(IF(Q225="",-1,Q225)=0)),IF(C225="peso_corporal",IF(ISNUMBER(E225),E225,0)+O225,O225)*(30+P225)*100+O225,0)=AA225,4,IF(IF((M225&gt;=6)*(1-(IF(N225="",-1,N225)&gt;=1)*(IF(N225="",-1,N225)&lt;=3))*(1-(IF(N225="",-1,N225)=0)),IF(C225="peso_corporal",IF(ISNUMBER(E225),E225,0)+L225,L225)*(30+M225)*100+L225,0)=AA225,3,IF(IF((J225&gt;=6)*(1-(IF(K225="",-1,K225)&gt;=1)*(IF(K225="",-1,K225)&lt;=3))*(1-(IF(K225="",-1,K225)=0)),IF(C225="peso_corporal",IF(ISNUMBER(E225),E225,0)+I225,I225)*(30+J225)*100+I225,0)=AA225,2,IF(IF((G225&gt;=6)*(1-(IF(H225="",-1,H225)&gt;=1)*(IF(H225="",-1,H225)&lt;=3))*(1-(IF(H225="",-1,H225)=0)),IF(C225="peso_corporal",IF(ISNUMBER(E225),E225,0)+F225,F225)*(30+G225)*100+F225,0)=AA225,1,0))))))</f>
        <v>0</v>
      </c>
      <c r="AC225" s="69" t="str">
        <f>IF(X225&gt;0,"A"&amp;X225,IF(Z225&gt;0,"B"&amp;Z225,IF(AB225&gt;0,"C"&amp;AB225,"")))</f>
        <v/>
      </c>
    </row>
    <row r="226" spans="1:29" ht="20.100000000000001" customHeight="1">
      <c r="A226" s="14" t="s">
        <v>146</v>
      </c>
      <c r="B226" s="15" t="s">
        <v>152</v>
      </c>
      <c r="C226" s="16" t="str">
        <f>IFERROR(INDEX(EJERCICIOS!$D$3:$D$75,MATCH(A226&amp;"|"&amp;B226,EJERCICIOS!$G$3:$G$75,0)),"--")</f>
        <v>--</v>
      </c>
      <c r="D226" s="17">
        <v>3</v>
      </c>
      <c r="E226" s="18">
        <f>IFERROR(LOOKUP(2,1/(MEDIDAS_Y_PESO!$B$3:$B$12&lt;&gt;""),MEDIDAS_Y_PESO!$B$3:$B$12),"--")</f>
        <v>80</v>
      </c>
      <c r="F226" s="19"/>
      <c r="G226" s="20"/>
      <c r="H226" s="21"/>
      <c r="I226" s="19"/>
      <c r="J226" s="20"/>
      <c r="K226" s="21"/>
      <c r="L226" s="19"/>
      <c r="M226" s="20"/>
      <c r="N226" s="21"/>
      <c r="O226" s="19"/>
      <c r="P226" s="20"/>
      <c r="Q226" s="21"/>
      <c r="R226" s="19"/>
      <c r="S226" s="20"/>
      <c r="T226" s="21"/>
      <c r="U226" s="22" t="str">
        <f>IFERROR(IF(IF(X226&gt;0,X226,IF(Z226&gt;0,Z226,IF(AB226&gt;0,AB226,0)))=0,"--",ROUND(CHOOSE(IF(X226&gt;0,X226,IF(Z226&gt;0,Z226,IF(AB226&gt;0,AB226,0))),IF(C226="peso_corporal",IF(ISNUMBER(E226),E226,0)+F226,F226)*(1+G226/30),IF(C226="peso_corporal",IF(ISNUMBER(E226),E226,0)+I226,I226)*(1+J226/30),IF(C226="peso_corporal",IF(ISNUMBER(E226),E226,0)+L226,L226)*(1+M226/30),IF(C226="peso_corporal",IF(ISNUMBER(E226),E226,0)+O226,O226)*(1+P226/30),IF(C226="peso_corporal",IF(ISNUMBER(E226),E226,0)+R226,R226)*(1+S226/30)),1)),"--")</f>
        <v>--</v>
      </c>
      <c r="V226" s="23" t="str">
        <f>IF(SUGERENCIAS!N605="SIN","Sin datos anteriores",IF(SUGERENCIAS!N605="SUBIR_F","^ SUBIR FUERTE | Kg:"&amp;ROUND(SUGERENCIAS!K605,1)&amp;" R:"&amp;ROUND(SUGERENCIAS!L605,0)&amp;" RIR:"&amp;ROUND(SUGERENCIAS!M605,0),IF(SUGERENCIAS!N605="SUBIR_E","^ SUBIR (Est.) | Kg:"&amp;ROUND(SUGERENCIAS!K605,1)&amp;" R:"&amp;ROUND(SUGERENCIAS!L605,0)&amp;" RIR:"&amp;ROUND(SUGERENCIAS!M605,0),IF(SUGERENCIAS!N605="SUBIR","^ SUBIR | Kg:"&amp;ROUND(SUGERENCIAS!K605,1)&amp;" R:"&amp;ROUND(SUGERENCIAS!L605,0)&amp;" RIR:"&amp;ROUND(SUGERENCIAS!M605,0),IF(SUGERENCIAS!N605="BAJAR","v BAJAR | Kg:"&amp;ROUND(SUGERENCIAS!K605,1)&amp;" R:"&amp;ROUND(SUGERENCIAS!L605,0)&amp;" RIR:"&amp;ROUND(SUGERENCIAS!M605,0),"= MANT | Kg:"&amp;ROUND(SUGERENCIAS!K605,1)&amp;" R:"&amp;ROUND(SUGERENCIAS!L605,0)&amp;" RIR:"&amp;ROUND(SUGERENCIAS!M605,0))))))</f>
        <v>Sin datos anteriores</v>
      </c>
      <c r="W226" s="69">
        <f>MAX(IF((G226&gt;0)*(IF(H226="",-1,H226)&gt;=1)*(IF(H226="",-1,H226)&lt;=3),IF(C226="peso_corporal",IF(ISNUMBER(E226),E226,0)+F226,F226)*G226*1000+F226,0),IF((J226&gt;0)*(IF(K226="",-1,K226)&gt;=1)*(IF(K226="",-1,K226)&lt;=3),IF(C226="peso_corporal",IF(ISNUMBER(E226),E226,0)+I226,I226)*J226*1000+I226,0),IF((M226&gt;0)*(IF(N226="",-1,N226)&gt;=1)*(IF(N226="",-1,N226)&lt;=3),IF(C226="peso_corporal",IF(ISNUMBER(E226),E226,0)+L226,L226)*M226*1000+L226,0),IF((P226&gt;0)*(IF(Q226="",-1,Q226)&gt;=1)*(IF(Q226="",-1,Q226)&lt;=3),IF(C226="peso_corporal",IF(ISNUMBER(E226),E226,0)+O226,O226)*P226*1000+O226,0),IF((S226&gt;0)*(IF(T226="",-1,T226)&gt;=1)*(IF(T226="",-1,T226)&lt;=3),IF(C226="peso_corporal",IF(ISNUMBER(E226),E226,0)+R226,R226)*S226*1000+R226,0))</f>
        <v>0</v>
      </c>
      <c r="X226" s="69">
        <f>IF(W226=0,0,IF(IF((S226&gt;0)*(IF(T226="",-1,T226)&gt;=1)*(IF(T226="",-1,T226)&lt;=3),IF(C226="peso_corporal",IF(ISNUMBER(E226),E226,0)+R226,R226)*S226*1000+R226,0)=W226,5,IF(IF((P226&gt;0)*(IF(Q226="",-1,Q226)&gt;=1)*(IF(Q226="",-1,Q226)&lt;=3),IF(C226="peso_corporal",IF(ISNUMBER(E226),E226,0)+O226,O226)*P226*1000+O226,0)=W226,4,IF(IF((M226&gt;0)*(IF(N226="",-1,N226)&gt;=1)*(IF(N226="",-1,N226)&lt;=3),IF(C226="peso_corporal",IF(ISNUMBER(E226),E226,0)+L226,L226)*M226*1000+L226,0)=W226,3,IF(IF((J226&gt;0)*(IF(K226="",-1,K226)&gt;=1)*(IF(K226="",-1,K226)&lt;=3),IF(C226="peso_corporal",IF(ISNUMBER(E226),E226,0)+I226,I226)*J226*1000+I226,0)=W226,2,IF(IF((G226&gt;0)*(IF(H226="",-1,H226)&gt;=1)*(IF(H226="",-1,H226)&lt;=3),IF(C226="peso_corporal",IF(ISNUMBER(E226),E226,0)+F226,F226)*G226*1000+F226,0)=W226,1,0))))))</f>
        <v>0</v>
      </c>
      <c r="Y226" s="69">
        <f>MAX(IF((G226&gt;0)*(IF(H226="",-1,H226)=0)*(1-(IF(H226="",-1,H226)&gt;=1)*(IF(H226="",-1,H226)&lt;=3)),IF(C226="peso_corporal",IF(ISNUMBER(E226),E226,0)+F226,F226)*G226*1000+F226,0),IF((J226&gt;0)*(IF(K226="",-1,K226)=0)*(1-(IF(K226="",-1,K226)&gt;=1)*(IF(K226="",-1,K226)&lt;=3)),IF(C226="peso_corporal",IF(ISNUMBER(E226),E226,0)+I226,I226)*J226*1000+I226,0),IF((M226&gt;0)*(IF(N226="",-1,N226)=0)*(1-(IF(N226="",-1,N226)&gt;=1)*(IF(N226="",-1,N226)&lt;=3)),IF(C226="peso_corporal",IF(ISNUMBER(E226),E226,0)+L226,L226)*M226*1000+L226,0),IF((P226&gt;0)*(IF(Q226="",-1,Q226)=0)*(1-(IF(Q226="",-1,Q226)&gt;=1)*(IF(Q226="",-1,Q226)&lt;=3)),IF(C226="peso_corporal",IF(ISNUMBER(E226),E226,0)+O226,O226)*P226*1000+O226,0),IF((S226&gt;0)*(IF(T226="",-1,T226)=0)*(1-(IF(T226="",-1,T226)&gt;=1)*(IF(T226="",-1,T226)&lt;=3)),IF(C226="peso_corporal",IF(ISNUMBER(E226),E226,0)+R226,R226)*S226*1000+R226,0))</f>
        <v>0</v>
      </c>
      <c r="Z226" s="69">
        <f>IF(Y226=0,0,IF(IF((S226&gt;0)*(IF(T226="",-1,T226)=0)*(1-(IF(T226="",-1,T226)&gt;=1)*(IF(T226="",-1,T226)&lt;=3)),IF(C226="peso_corporal",IF(ISNUMBER(E226),E226,0)+R226,R226)*S226*1000+R226,0)=Y226,5,IF(IF((P226&gt;0)*(IF(Q226="",-1,Q226)=0)*(1-(IF(Q226="",-1,Q226)&gt;=1)*(IF(Q226="",-1,Q226)&lt;=3)),IF(C226="peso_corporal",IF(ISNUMBER(E226),E226,0)+O226,O226)*P226*1000+O226,0)=Y226,4,IF(IF((M226&gt;0)*(IF(N226="",-1,N226)=0)*(1-(IF(N226="",-1,N226)&gt;=1)*(IF(N226="",-1,N226)&lt;=3)),IF(C226="peso_corporal",IF(ISNUMBER(E226),E226,0)+L226,L226)*M226*1000+L226,0)=Y226,3,IF(IF((J226&gt;0)*(IF(K226="",-1,K226)=0)*(1-(IF(K226="",-1,K226)&gt;=1)*(IF(K226="",-1,K226)&lt;=3)),IF(C226="peso_corporal",IF(ISNUMBER(E226),E226,0)+I226,I226)*J226*1000+I226,0)=Y226,2,IF(IF((G226&gt;0)*(IF(H226="",-1,H226)=0)*(1-(IF(H226="",-1,H226)&gt;=1)*(IF(H226="",-1,H226)&lt;=3)),IF(C226="peso_corporal",IF(ISNUMBER(E226),E226,0)+F226,F226)*G226*1000+F226,0)=Y226,1,0))))))</f>
        <v>0</v>
      </c>
      <c r="AA226" s="69">
        <f>MAX(IF((G226&gt;=6)*(1-(IF(H226="",-1,H226)&gt;=1)*(IF(H226="",-1,H226)&lt;=3))*(1-(IF(H226="",-1,H226)=0)),IF(C226="peso_corporal",IF(ISNUMBER(E226),E226,0)+F226,F226)*(30+G226)*100+F226,0),IF((J226&gt;=6)*(1-(IF(K226="",-1,K226)&gt;=1)*(IF(K226="",-1,K226)&lt;=3))*(1-(IF(K226="",-1,K226)=0)),IF(C226="peso_corporal",IF(ISNUMBER(E226),E226,0)+I226,I226)*(30+J226)*100+I226,0),IF((M226&gt;=6)*(1-(IF(N226="",-1,N226)&gt;=1)*(IF(N226="",-1,N226)&lt;=3))*(1-(IF(N226="",-1,N226)=0)),IF(C226="peso_corporal",IF(ISNUMBER(E226),E226,0)+L226,L226)*(30+M226)*100+L226,0),IF((P226&gt;=6)*(1-(IF(Q226="",-1,Q226)&gt;=1)*(IF(Q226="",-1,Q226)&lt;=3))*(1-(IF(Q226="",-1,Q226)=0)),IF(C226="peso_corporal",IF(ISNUMBER(E226),E226,0)+O226,O226)*(30+P226)*100+O226,0),IF((S226&gt;=6)*(1-(IF(T226="",-1,T226)&gt;=1)*(IF(T226="",-1,T226)&lt;=3))*(1-(IF(T226="",-1,T226)=0)),IF(C226="peso_corporal",IF(ISNUMBER(E226),E226,0)+R226,R226)*(30+S226)*100+R226,0))</f>
        <v>0</v>
      </c>
      <c r="AB226" s="69">
        <f>IF(AA226=0,0,IF(IF((S226&gt;=6)*(1-(IF(T226="",-1,T226)&gt;=1)*(IF(T226="",-1,T226)&lt;=3))*(1-(IF(T226="",-1,T226)=0)),IF(C226="peso_corporal",IF(ISNUMBER(E226),E226,0)+R226,R226)*(30+S226)*100+R226,0)=AA226,5,IF(IF((P226&gt;=6)*(1-(IF(Q226="",-1,Q226)&gt;=1)*(IF(Q226="",-1,Q226)&lt;=3))*(1-(IF(Q226="",-1,Q226)=0)),IF(C226="peso_corporal",IF(ISNUMBER(E226),E226,0)+O226,O226)*(30+P226)*100+O226,0)=AA226,4,IF(IF((M226&gt;=6)*(1-(IF(N226="",-1,N226)&gt;=1)*(IF(N226="",-1,N226)&lt;=3))*(1-(IF(N226="",-1,N226)=0)),IF(C226="peso_corporal",IF(ISNUMBER(E226),E226,0)+L226,L226)*(30+M226)*100+L226,0)=AA226,3,IF(IF((J226&gt;=6)*(1-(IF(K226="",-1,K226)&gt;=1)*(IF(K226="",-1,K226)&lt;=3))*(1-(IF(K226="",-1,K226)=0)),IF(C226="peso_corporal",IF(ISNUMBER(E226),E226,0)+I226,I226)*(30+J226)*100+I226,0)=AA226,2,IF(IF((G226&gt;=6)*(1-(IF(H226="",-1,H226)&gt;=1)*(IF(H226="",-1,H226)&lt;=3))*(1-(IF(H226="",-1,H226)=0)),IF(C226="peso_corporal",IF(ISNUMBER(E226),E226,0)+F226,F226)*(30+G226)*100+F226,0)=AA226,1,0))))))</f>
        <v>0</v>
      </c>
      <c r="AC226" s="69" t="str">
        <f>IF(X226&gt;0,"A"&amp;X226,IF(Z226&gt;0,"B"&amp;Z226,IF(AB226&gt;0,"C"&amp;AB226,"")))</f>
        <v/>
      </c>
    </row>
    <row r="227" spans="1:29" ht="20.100000000000001" customHeight="1">
      <c r="A227" s="14" t="s">
        <v>148</v>
      </c>
      <c r="B227" s="15" t="s">
        <v>149</v>
      </c>
      <c r="C227" s="16" t="str">
        <f>IFERROR(INDEX(EJERCICIOS!$D$3:$D$75,MATCH(A227&amp;"|"&amp;B227,EJERCICIOS!$G$3:$G$75,0)),"--")</f>
        <v>--</v>
      </c>
      <c r="D227" s="17">
        <v>3</v>
      </c>
      <c r="E227" s="18">
        <f>IFERROR(LOOKUP(2,1/(MEDIDAS_Y_PESO!$B$3:$B$12&lt;&gt;""),MEDIDAS_Y_PESO!$B$3:$B$12),"--")</f>
        <v>80</v>
      </c>
      <c r="F227" s="19"/>
      <c r="G227" s="20"/>
      <c r="H227" s="21"/>
      <c r="I227" s="19"/>
      <c r="J227" s="20"/>
      <c r="K227" s="21"/>
      <c r="L227" s="19"/>
      <c r="M227" s="20"/>
      <c r="N227" s="21"/>
      <c r="O227" s="19"/>
      <c r="P227" s="20"/>
      <c r="Q227" s="21"/>
      <c r="R227" s="19"/>
      <c r="S227" s="20"/>
      <c r="T227" s="21"/>
      <c r="U227" s="22" t="str">
        <f>IFERROR(IF(IF(X227&gt;0,X227,IF(Z227&gt;0,Z227,IF(AB227&gt;0,AB227,0)))=0,"--",ROUND(CHOOSE(IF(X227&gt;0,X227,IF(Z227&gt;0,Z227,IF(AB227&gt;0,AB227,0))),IF(C227="peso_corporal",IF(ISNUMBER(E227),E227,0)+F227,F227)*(1+G227/30),IF(C227="peso_corporal",IF(ISNUMBER(E227),E227,0)+I227,I227)*(1+J227/30),IF(C227="peso_corporal",IF(ISNUMBER(E227),E227,0)+L227,L227)*(1+M227/30),IF(C227="peso_corporal",IF(ISNUMBER(E227),E227,0)+O227,O227)*(1+P227/30),IF(C227="peso_corporal",IF(ISNUMBER(E227),E227,0)+R227,R227)*(1+S227/30)),1)),"--")</f>
        <v>--</v>
      </c>
      <c r="V227" s="23" t="str">
        <f>IF(SUGERENCIAS!N606="SIN","Sin datos anteriores",IF(SUGERENCIAS!N606="SUBIR_F","^ SUBIR FUERTE | Kg:"&amp;ROUND(SUGERENCIAS!K606,1)&amp;" R:"&amp;ROUND(SUGERENCIAS!L606,0)&amp;" RIR:"&amp;ROUND(SUGERENCIAS!M606,0),IF(SUGERENCIAS!N606="SUBIR_E","^ SUBIR (Est.) | Kg:"&amp;ROUND(SUGERENCIAS!K606,1)&amp;" R:"&amp;ROUND(SUGERENCIAS!L606,0)&amp;" RIR:"&amp;ROUND(SUGERENCIAS!M606,0),IF(SUGERENCIAS!N606="SUBIR","^ SUBIR | Kg:"&amp;ROUND(SUGERENCIAS!K606,1)&amp;" R:"&amp;ROUND(SUGERENCIAS!L606,0)&amp;" RIR:"&amp;ROUND(SUGERENCIAS!M606,0),IF(SUGERENCIAS!N606="BAJAR","v BAJAR | Kg:"&amp;ROUND(SUGERENCIAS!K606,1)&amp;" R:"&amp;ROUND(SUGERENCIAS!L606,0)&amp;" RIR:"&amp;ROUND(SUGERENCIAS!M606,0),"= MANT | Kg:"&amp;ROUND(SUGERENCIAS!K606,1)&amp;" R:"&amp;ROUND(SUGERENCIAS!L606,0)&amp;" RIR:"&amp;ROUND(SUGERENCIAS!M606,0))))))</f>
        <v>Sin datos anteriores</v>
      </c>
      <c r="W227" s="69">
        <f>MAX(IF((G227&gt;0)*(IF(H227="",-1,H227)&gt;=1)*(IF(H227="",-1,H227)&lt;=3),IF(C227="peso_corporal",IF(ISNUMBER(E227),E227,0)+F227,F227)*G227*1000+F227,0),IF((J227&gt;0)*(IF(K227="",-1,K227)&gt;=1)*(IF(K227="",-1,K227)&lt;=3),IF(C227="peso_corporal",IF(ISNUMBER(E227),E227,0)+I227,I227)*J227*1000+I227,0),IF((M227&gt;0)*(IF(N227="",-1,N227)&gt;=1)*(IF(N227="",-1,N227)&lt;=3),IF(C227="peso_corporal",IF(ISNUMBER(E227),E227,0)+L227,L227)*M227*1000+L227,0),IF((P227&gt;0)*(IF(Q227="",-1,Q227)&gt;=1)*(IF(Q227="",-1,Q227)&lt;=3),IF(C227="peso_corporal",IF(ISNUMBER(E227),E227,0)+O227,O227)*P227*1000+O227,0),IF((S227&gt;0)*(IF(T227="",-1,T227)&gt;=1)*(IF(T227="",-1,T227)&lt;=3),IF(C227="peso_corporal",IF(ISNUMBER(E227),E227,0)+R227,R227)*S227*1000+R227,0))</f>
        <v>0</v>
      </c>
      <c r="X227" s="69">
        <f>IF(W227=0,0,IF(IF((S227&gt;0)*(IF(T227="",-1,T227)&gt;=1)*(IF(T227="",-1,T227)&lt;=3),IF(C227="peso_corporal",IF(ISNUMBER(E227),E227,0)+R227,R227)*S227*1000+R227,0)=W227,5,IF(IF((P227&gt;0)*(IF(Q227="",-1,Q227)&gt;=1)*(IF(Q227="",-1,Q227)&lt;=3),IF(C227="peso_corporal",IF(ISNUMBER(E227),E227,0)+O227,O227)*P227*1000+O227,0)=W227,4,IF(IF((M227&gt;0)*(IF(N227="",-1,N227)&gt;=1)*(IF(N227="",-1,N227)&lt;=3),IF(C227="peso_corporal",IF(ISNUMBER(E227),E227,0)+L227,L227)*M227*1000+L227,0)=W227,3,IF(IF((J227&gt;0)*(IF(K227="",-1,K227)&gt;=1)*(IF(K227="",-1,K227)&lt;=3),IF(C227="peso_corporal",IF(ISNUMBER(E227),E227,0)+I227,I227)*J227*1000+I227,0)=W227,2,IF(IF((G227&gt;0)*(IF(H227="",-1,H227)&gt;=1)*(IF(H227="",-1,H227)&lt;=3),IF(C227="peso_corporal",IF(ISNUMBER(E227),E227,0)+F227,F227)*G227*1000+F227,0)=W227,1,0))))))</f>
        <v>0</v>
      </c>
      <c r="Y227" s="69">
        <f>MAX(IF((G227&gt;0)*(IF(H227="",-1,H227)=0)*(1-(IF(H227="",-1,H227)&gt;=1)*(IF(H227="",-1,H227)&lt;=3)),IF(C227="peso_corporal",IF(ISNUMBER(E227),E227,0)+F227,F227)*G227*1000+F227,0),IF((J227&gt;0)*(IF(K227="",-1,K227)=0)*(1-(IF(K227="",-1,K227)&gt;=1)*(IF(K227="",-1,K227)&lt;=3)),IF(C227="peso_corporal",IF(ISNUMBER(E227),E227,0)+I227,I227)*J227*1000+I227,0),IF((M227&gt;0)*(IF(N227="",-1,N227)=0)*(1-(IF(N227="",-1,N227)&gt;=1)*(IF(N227="",-1,N227)&lt;=3)),IF(C227="peso_corporal",IF(ISNUMBER(E227),E227,0)+L227,L227)*M227*1000+L227,0),IF((P227&gt;0)*(IF(Q227="",-1,Q227)=0)*(1-(IF(Q227="",-1,Q227)&gt;=1)*(IF(Q227="",-1,Q227)&lt;=3)),IF(C227="peso_corporal",IF(ISNUMBER(E227),E227,0)+O227,O227)*P227*1000+O227,0),IF((S227&gt;0)*(IF(T227="",-1,T227)=0)*(1-(IF(T227="",-1,T227)&gt;=1)*(IF(T227="",-1,T227)&lt;=3)),IF(C227="peso_corporal",IF(ISNUMBER(E227),E227,0)+R227,R227)*S227*1000+R227,0))</f>
        <v>0</v>
      </c>
      <c r="Z227" s="69">
        <f>IF(Y227=0,0,IF(IF((S227&gt;0)*(IF(T227="",-1,T227)=0)*(1-(IF(T227="",-1,T227)&gt;=1)*(IF(T227="",-1,T227)&lt;=3)),IF(C227="peso_corporal",IF(ISNUMBER(E227),E227,0)+R227,R227)*S227*1000+R227,0)=Y227,5,IF(IF((P227&gt;0)*(IF(Q227="",-1,Q227)=0)*(1-(IF(Q227="",-1,Q227)&gt;=1)*(IF(Q227="",-1,Q227)&lt;=3)),IF(C227="peso_corporal",IF(ISNUMBER(E227),E227,0)+O227,O227)*P227*1000+O227,0)=Y227,4,IF(IF((M227&gt;0)*(IF(N227="",-1,N227)=0)*(1-(IF(N227="",-1,N227)&gt;=1)*(IF(N227="",-1,N227)&lt;=3)),IF(C227="peso_corporal",IF(ISNUMBER(E227),E227,0)+L227,L227)*M227*1000+L227,0)=Y227,3,IF(IF((J227&gt;0)*(IF(K227="",-1,K227)=0)*(1-(IF(K227="",-1,K227)&gt;=1)*(IF(K227="",-1,K227)&lt;=3)),IF(C227="peso_corporal",IF(ISNUMBER(E227),E227,0)+I227,I227)*J227*1000+I227,0)=Y227,2,IF(IF((G227&gt;0)*(IF(H227="",-1,H227)=0)*(1-(IF(H227="",-1,H227)&gt;=1)*(IF(H227="",-1,H227)&lt;=3)),IF(C227="peso_corporal",IF(ISNUMBER(E227),E227,0)+F227,F227)*G227*1000+F227,0)=Y227,1,0))))))</f>
        <v>0</v>
      </c>
      <c r="AA227" s="69">
        <f>MAX(IF((G227&gt;=6)*(1-(IF(H227="",-1,H227)&gt;=1)*(IF(H227="",-1,H227)&lt;=3))*(1-(IF(H227="",-1,H227)=0)),IF(C227="peso_corporal",IF(ISNUMBER(E227),E227,0)+F227,F227)*(30+G227)*100+F227,0),IF((J227&gt;=6)*(1-(IF(K227="",-1,K227)&gt;=1)*(IF(K227="",-1,K227)&lt;=3))*(1-(IF(K227="",-1,K227)=0)),IF(C227="peso_corporal",IF(ISNUMBER(E227),E227,0)+I227,I227)*(30+J227)*100+I227,0),IF((M227&gt;=6)*(1-(IF(N227="",-1,N227)&gt;=1)*(IF(N227="",-1,N227)&lt;=3))*(1-(IF(N227="",-1,N227)=0)),IF(C227="peso_corporal",IF(ISNUMBER(E227),E227,0)+L227,L227)*(30+M227)*100+L227,0),IF((P227&gt;=6)*(1-(IF(Q227="",-1,Q227)&gt;=1)*(IF(Q227="",-1,Q227)&lt;=3))*(1-(IF(Q227="",-1,Q227)=0)),IF(C227="peso_corporal",IF(ISNUMBER(E227),E227,0)+O227,O227)*(30+P227)*100+O227,0),IF((S227&gt;=6)*(1-(IF(T227="",-1,T227)&gt;=1)*(IF(T227="",-1,T227)&lt;=3))*(1-(IF(T227="",-1,T227)=0)),IF(C227="peso_corporal",IF(ISNUMBER(E227),E227,0)+R227,R227)*(30+S227)*100+R227,0))</f>
        <v>0</v>
      </c>
      <c r="AB227" s="69">
        <f>IF(AA227=0,0,IF(IF((S227&gt;=6)*(1-(IF(T227="",-1,T227)&gt;=1)*(IF(T227="",-1,T227)&lt;=3))*(1-(IF(T227="",-1,T227)=0)),IF(C227="peso_corporal",IF(ISNUMBER(E227),E227,0)+R227,R227)*(30+S227)*100+R227,0)=AA227,5,IF(IF((P227&gt;=6)*(1-(IF(Q227="",-1,Q227)&gt;=1)*(IF(Q227="",-1,Q227)&lt;=3))*(1-(IF(Q227="",-1,Q227)=0)),IF(C227="peso_corporal",IF(ISNUMBER(E227),E227,0)+O227,O227)*(30+P227)*100+O227,0)=AA227,4,IF(IF((M227&gt;=6)*(1-(IF(N227="",-1,N227)&gt;=1)*(IF(N227="",-1,N227)&lt;=3))*(1-(IF(N227="",-1,N227)=0)),IF(C227="peso_corporal",IF(ISNUMBER(E227),E227,0)+L227,L227)*(30+M227)*100+L227,0)=AA227,3,IF(IF((J227&gt;=6)*(1-(IF(K227="",-1,K227)&gt;=1)*(IF(K227="",-1,K227)&lt;=3))*(1-(IF(K227="",-1,K227)=0)),IF(C227="peso_corporal",IF(ISNUMBER(E227),E227,0)+I227,I227)*(30+J227)*100+I227,0)=AA227,2,IF(IF((G227&gt;=6)*(1-(IF(H227="",-1,H227)&gt;=1)*(IF(H227="",-1,H227)&lt;=3))*(1-(IF(H227="",-1,H227)=0)),IF(C227="peso_corporal",IF(ISNUMBER(E227),E227,0)+F227,F227)*(30+G227)*100+F227,0)=AA227,1,0))))))</f>
        <v>0</v>
      </c>
      <c r="AC227" s="69" t="str">
        <f>IF(X227&gt;0,"A"&amp;X227,IF(Z227&gt;0,"B"&amp;Z227,IF(AB227&gt;0,"C"&amp;AB227,"")))</f>
        <v/>
      </c>
    </row>
    <row r="228" spans="1:29" ht="20.100000000000001" customHeight="1">
      <c r="A228" s="14" t="s">
        <v>150</v>
      </c>
      <c r="B228" s="15" t="s">
        <v>151</v>
      </c>
      <c r="C228" s="16" t="str">
        <f>IFERROR(INDEX(EJERCICIOS!$D$3:$D$75,MATCH(A228&amp;"|"&amp;B228,EJERCICIOS!$G$3:$G$75,0)),"--")</f>
        <v>peso_corporal</v>
      </c>
      <c r="D228" s="17">
        <v>3</v>
      </c>
      <c r="E228" s="18">
        <f>IFERROR(LOOKUP(2,1/(MEDIDAS_Y_PESO!$B$3:$B$12&lt;&gt;""),MEDIDAS_Y_PESO!$B$3:$B$12),"--")</f>
        <v>80</v>
      </c>
      <c r="F228" s="19"/>
      <c r="G228" s="20"/>
      <c r="H228" s="21"/>
      <c r="I228" s="19"/>
      <c r="J228" s="20"/>
      <c r="K228" s="21"/>
      <c r="L228" s="19"/>
      <c r="M228" s="20"/>
      <c r="N228" s="21"/>
      <c r="O228" s="19"/>
      <c r="P228" s="20"/>
      <c r="Q228" s="21"/>
      <c r="R228" s="19"/>
      <c r="S228" s="20"/>
      <c r="T228" s="21"/>
      <c r="U228" s="22" t="str">
        <f>IFERROR(IF(IF(X228&gt;0,X228,IF(Z228&gt;0,Z228,IF(AB228&gt;0,AB228,0)))=0,"--",ROUND(CHOOSE(IF(X228&gt;0,X228,IF(Z228&gt;0,Z228,IF(AB228&gt;0,AB228,0))),IF(C228="peso_corporal",IF(ISNUMBER(E228),E228,0)+F228,F228)*(1+G228/30),IF(C228="peso_corporal",IF(ISNUMBER(E228),E228,0)+I228,I228)*(1+J228/30),IF(C228="peso_corporal",IF(ISNUMBER(E228),E228,0)+L228,L228)*(1+M228/30),IF(C228="peso_corporal",IF(ISNUMBER(E228),E228,0)+O228,O228)*(1+P228/30),IF(C228="peso_corporal",IF(ISNUMBER(E228),E228,0)+R228,R228)*(1+S228/30)),1)),"--")</f>
        <v>--</v>
      </c>
      <c r="V228" s="23" t="str">
        <f>IF(SUGERENCIAS!N607="SIN","Sin datos anteriores",IF(SUGERENCIAS!N607="SUBIR_F","^ SUBIR FUERTE | Kg:"&amp;ROUND(SUGERENCIAS!K607,1)&amp;" R:"&amp;ROUND(SUGERENCIAS!L607,0)&amp;" RIR:"&amp;ROUND(SUGERENCIAS!M607,0),IF(SUGERENCIAS!N607="SUBIR_E","^ SUBIR (Est.) | Kg:"&amp;ROUND(SUGERENCIAS!K607,1)&amp;" R:"&amp;ROUND(SUGERENCIAS!L607,0)&amp;" RIR:"&amp;ROUND(SUGERENCIAS!M607,0),IF(SUGERENCIAS!N607="SUBIR","^ SUBIR | Kg:"&amp;ROUND(SUGERENCIAS!K607,1)&amp;" R:"&amp;ROUND(SUGERENCIAS!L607,0)&amp;" RIR:"&amp;ROUND(SUGERENCIAS!M607,0),IF(SUGERENCIAS!N607="BAJAR","v BAJAR | Kg:"&amp;ROUND(SUGERENCIAS!K607,1)&amp;" R:"&amp;ROUND(SUGERENCIAS!L607,0)&amp;" RIR:"&amp;ROUND(SUGERENCIAS!M607,0),"= MANT | Kg:"&amp;ROUND(SUGERENCIAS!K607,1)&amp;" R:"&amp;ROUND(SUGERENCIAS!L607,0)&amp;" RIR:"&amp;ROUND(SUGERENCIAS!M607,0))))))</f>
        <v>Sin datos anteriores</v>
      </c>
      <c r="W228" s="69">
        <f>MAX(IF((G228&gt;0)*(IF(H228="",-1,H228)&gt;=1)*(IF(H228="",-1,H228)&lt;=3),IF(C228="peso_corporal",IF(ISNUMBER(E228),E228,0)+F228,F228)*G228*1000+F228,0),IF((J228&gt;0)*(IF(K228="",-1,K228)&gt;=1)*(IF(K228="",-1,K228)&lt;=3),IF(C228="peso_corporal",IF(ISNUMBER(E228),E228,0)+I228,I228)*J228*1000+I228,0),IF((M228&gt;0)*(IF(N228="",-1,N228)&gt;=1)*(IF(N228="",-1,N228)&lt;=3),IF(C228="peso_corporal",IF(ISNUMBER(E228),E228,0)+L228,L228)*M228*1000+L228,0),IF((P228&gt;0)*(IF(Q228="",-1,Q228)&gt;=1)*(IF(Q228="",-1,Q228)&lt;=3),IF(C228="peso_corporal",IF(ISNUMBER(E228),E228,0)+O228,O228)*P228*1000+O228,0),IF((S228&gt;0)*(IF(T228="",-1,T228)&gt;=1)*(IF(T228="",-1,T228)&lt;=3),IF(C228="peso_corporal",IF(ISNUMBER(E228),E228,0)+R228,R228)*S228*1000+R228,0))</f>
        <v>0</v>
      </c>
      <c r="X228" s="69">
        <f>IF(W228=0,0,IF(IF((S228&gt;0)*(IF(T228="",-1,T228)&gt;=1)*(IF(T228="",-1,T228)&lt;=3),IF(C228="peso_corporal",IF(ISNUMBER(E228),E228,0)+R228,R228)*S228*1000+R228,0)=W228,5,IF(IF((P228&gt;0)*(IF(Q228="",-1,Q228)&gt;=1)*(IF(Q228="",-1,Q228)&lt;=3),IF(C228="peso_corporal",IF(ISNUMBER(E228),E228,0)+O228,O228)*P228*1000+O228,0)=W228,4,IF(IF((M228&gt;0)*(IF(N228="",-1,N228)&gt;=1)*(IF(N228="",-1,N228)&lt;=3),IF(C228="peso_corporal",IF(ISNUMBER(E228),E228,0)+L228,L228)*M228*1000+L228,0)=W228,3,IF(IF((J228&gt;0)*(IF(K228="",-1,K228)&gt;=1)*(IF(K228="",-1,K228)&lt;=3),IF(C228="peso_corporal",IF(ISNUMBER(E228),E228,0)+I228,I228)*J228*1000+I228,0)=W228,2,IF(IF((G228&gt;0)*(IF(H228="",-1,H228)&gt;=1)*(IF(H228="",-1,H228)&lt;=3),IF(C228="peso_corporal",IF(ISNUMBER(E228),E228,0)+F228,F228)*G228*1000+F228,0)=W228,1,0))))))</f>
        <v>0</v>
      </c>
      <c r="Y228" s="69">
        <f>MAX(IF((G228&gt;0)*(IF(H228="",-1,H228)=0)*(1-(IF(H228="",-1,H228)&gt;=1)*(IF(H228="",-1,H228)&lt;=3)),IF(C228="peso_corporal",IF(ISNUMBER(E228),E228,0)+F228,F228)*G228*1000+F228,0),IF((J228&gt;0)*(IF(K228="",-1,K228)=0)*(1-(IF(K228="",-1,K228)&gt;=1)*(IF(K228="",-1,K228)&lt;=3)),IF(C228="peso_corporal",IF(ISNUMBER(E228),E228,0)+I228,I228)*J228*1000+I228,0),IF((M228&gt;0)*(IF(N228="",-1,N228)=0)*(1-(IF(N228="",-1,N228)&gt;=1)*(IF(N228="",-1,N228)&lt;=3)),IF(C228="peso_corporal",IF(ISNUMBER(E228),E228,0)+L228,L228)*M228*1000+L228,0),IF((P228&gt;0)*(IF(Q228="",-1,Q228)=0)*(1-(IF(Q228="",-1,Q228)&gt;=1)*(IF(Q228="",-1,Q228)&lt;=3)),IF(C228="peso_corporal",IF(ISNUMBER(E228),E228,0)+O228,O228)*P228*1000+O228,0),IF((S228&gt;0)*(IF(T228="",-1,T228)=0)*(1-(IF(T228="",-1,T228)&gt;=1)*(IF(T228="",-1,T228)&lt;=3)),IF(C228="peso_corporal",IF(ISNUMBER(E228),E228,0)+R228,R228)*S228*1000+R228,0))</f>
        <v>0</v>
      </c>
      <c r="Z228" s="69">
        <f>IF(Y228=0,0,IF(IF((S228&gt;0)*(IF(T228="",-1,T228)=0)*(1-(IF(T228="",-1,T228)&gt;=1)*(IF(T228="",-1,T228)&lt;=3)),IF(C228="peso_corporal",IF(ISNUMBER(E228),E228,0)+R228,R228)*S228*1000+R228,0)=Y228,5,IF(IF((P228&gt;0)*(IF(Q228="",-1,Q228)=0)*(1-(IF(Q228="",-1,Q228)&gt;=1)*(IF(Q228="",-1,Q228)&lt;=3)),IF(C228="peso_corporal",IF(ISNUMBER(E228),E228,0)+O228,O228)*P228*1000+O228,0)=Y228,4,IF(IF((M228&gt;0)*(IF(N228="",-1,N228)=0)*(1-(IF(N228="",-1,N228)&gt;=1)*(IF(N228="",-1,N228)&lt;=3)),IF(C228="peso_corporal",IF(ISNUMBER(E228),E228,0)+L228,L228)*M228*1000+L228,0)=Y228,3,IF(IF((J228&gt;0)*(IF(K228="",-1,K228)=0)*(1-(IF(K228="",-1,K228)&gt;=1)*(IF(K228="",-1,K228)&lt;=3)),IF(C228="peso_corporal",IF(ISNUMBER(E228),E228,0)+I228,I228)*J228*1000+I228,0)=Y228,2,IF(IF((G228&gt;0)*(IF(H228="",-1,H228)=0)*(1-(IF(H228="",-1,H228)&gt;=1)*(IF(H228="",-1,H228)&lt;=3)),IF(C228="peso_corporal",IF(ISNUMBER(E228),E228,0)+F228,F228)*G228*1000+F228,0)=Y228,1,0))))))</f>
        <v>0</v>
      </c>
      <c r="AA228" s="69">
        <f>MAX(IF((G228&gt;=6)*(1-(IF(H228="",-1,H228)&gt;=1)*(IF(H228="",-1,H228)&lt;=3))*(1-(IF(H228="",-1,H228)=0)),IF(C228="peso_corporal",IF(ISNUMBER(E228),E228,0)+F228,F228)*(30+G228)*100+F228,0),IF((J228&gt;=6)*(1-(IF(K228="",-1,K228)&gt;=1)*(IF(K228="",-1,K228)&lt;=3))*(1-(IF(K228="",-1,K228)=0)),IF(C228="peso_corporal",IF(ISNUMBER(E228),E228,0)+I228,I228)*(30+J228)*100+I228,0),IF((M228&gt;=6)*(1-(IF(N228="",-1,N228)&gt;=1)*(IF(N228="",-1,N228)&lt;=3))*(1-(IF(N228="",-1,N228)=0)),IF(C228="peso_corporal",IF(ISNUMBER(E228),E228,0)+L228,L228)*(30+M228)*100+L228,0),IF((P228&gt;=6)*(1-(IF(Q228="",-1,Q228)&gt;=1)*(IF(Q228="",-1,Q228)&lt;=3))*(1-(IF(Q228="",-1,Q228)=0)),IF(C228="peso_corporal",IF(ISNUMBER(E228),E228,0)+O228,O228)*(30+P228)*100+O228,0),IF((S228&gt;=6)*(1-(IF(T228="",-1,T228)&gt;=1)*(IF(T228="",-1,T228)&lt;=3))*(1-(IF(T228="",-1,T228)=0)),IF(C228="peso_corporal",IF(ISNUMBER(E228),E228,0)+R228,R228)*(30+S228)*100+R228,0))</f>
        <v>0</v>
      </c>
      <c r="AB228" s="69">
        <f>IF(AA228=0,0,IF(IF((S228&gt;=6)*(1-(IF(T228="",-1,T228)&gt;=1)*(IF(T228="",-1,T228)&lt;=3))*(1-(IF(T228="",-1,T228)=0)),IF(C228="peso_corporal",IF(ISNUMBER(E228),E228,0)+R228,R228)*(30+S228)*100+R228,0)=AA228,5,IF(IF((P228&gt;=6)*(1-(IF(Q228="",-1,Q228)&gt;=1)*(IF(Q228="",-1,Q228)&lt;=3))*(1-(IF(Q228="",-1,Q228)=0)),IF(C228="peso_corporal",IF(ISNUMBER(E228),E228,0)+O228,O228)*(30+P228)*100+O228,0)=AA228,4,IF(IF((M228&gt;=6)*(1-(IF(N228="",-1,N228)&gt;=1)*(IF(N228="",-1,N228)&lt;=3))*(1-(IF(N228="",-1,N228)=0)),IF(C228="peso_corporal",IF(ISNUMBER(E228),E228,0)+L228,L228)*(30+M228)*100+L228,0)=AA228,3,IF(IF((J228&gt;=6)*(1-(IF(K228="",-1,K228)&gt;=1)*(IF(K228="",-1,K228)&lt;=3))*(1-(IF(K228="",-1,K228)=0)),IF(C228="peso_corporal",IF(ISNUMBER(E228),E228,0)+I228,I228)*(30+J228)*100+I228,0)=AA228,2,IF(IF((G228&gt;=6)*(1-(IF(H228="",-1,H228)&gt;=1)*(IF(H228="",-1,H228)&lt;=3))*(1-(IF(H228="",-1,H228)=0)),IF(C228="peso_corporal",IF(ISNUMBER(E228),E228,0)+F228,F228)*(30+G228)*100+F228,0)=AA228,1,0))))))</f>
        <v>0</v>
      </c>
      <c r="AC228" s="69" t="str">
        <f>IF(X228&gt;0,"A"&amp;X228,IF(Z228&gt;0,"B"&amp;Z228,IF(AB228&gt;0,"C"&amp;AB228,"")))</f>
        <v/>
      </c>
    </row>
    <row r="229" spans="1:29" ht="6"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69"/>
      <c r="X229" s="69"/>
      <c r="Y229" s="69"/>
      <c r="Z229" s="69"/>
      <c r="AA229" s="69"/>
      <c r="AB229" s="69"/>
      <c r="AC229" s="69"/>
    </row>
    <row r="230" spans="1:29" ht="18" customHeight="1">
      <c r="A230" s="85" t="s">
        <v>76</v>
      </c>
      <c r="B230" s="73"/>
      <c r="C230" s="73"/>
      <c r="D230" s="73"/>
      <c r="E230" s="73"/>
      <c r="F230" s="73"/>
      <c r="G230" s="73"/>
      <c r="H230" s="73"/>
      <c r="I230" s="73"/>
      <c r="J230" s="73"/>
      <c r="K230" s="73"/>
      <c r="L230" s="73"/>
      <c r="M230" s="73"/>
      <c r="N230" s="73"/>
      <c r="O230" s="73"/>
      <c r="P230" s="73"/>
      <c r="Q230" s="73"/>
      <c r="R230" s="73"/>
      <c r="S230" s="73"/>
      <c r="T230" s="73"/>
      <c r="U230" s="73"/>
      <c r="V230" s="73"/>
      <c r="W230" s="69"/>
      <c r="X230" s="69"/>
      <c r="Y230" s="69"/>
      <c r="Z230" s="69"/>
      <c r="AA230" s="69"/>
      <c r="AB230" s="69"/>
      <c r="AC230" s="69"/>
    </row>
    <row r="231" spans="1:29" ht="15" customHeight="1">
      <c r="A231" s="88" t="s">
        <v>129</v>
      </c>
      <c r="B231" s="73"/>
      <c r="C231" s="73"/>
      <c r="D231" s="73"/>
      <c r="E231" s="73"/>
      <c r="F231" s="73"/>
      <c r="G231" s="73"/>
      <c r="H231" s="73"/>
      <c r="I231" s="73"/>
      <c r="J231" s="73"/>
      <c r="K231" s="73"/>
      <c r="L231" s="73"/>
      <c r="M231" s="73"/>
      <c r="N231" s="73"/>
      <c r="O231" s="73"/>
      <c r="P231" s="73"/>
      <c r="Q231" s="73"/>
      <c r="R231" s="73"/>
      <c r="S231" s="73"/>
      <c r="T231" s="73"/>
      <c r="U231" s="73"/>
      <c r="V231" s="73"/>
      <c r="W231" s="69"/>
      <c r="X231" s="69"/>
      <c r="Y231" s="69"/>
      <c r="Z231" s="69"/>
      <c r="AA231" s="69"/>
      <c r="AB231" s="69"/>
      <c r="AC231" s="69"/>
    </row>
    <row r="232" spans="1:29" ht="20.100000000000001" customHeight="1">
      <c r="A232" s="14" t="s">
        <v>130</v>
      </c>
      <c r="B232" s="15" t="s">
        <v>131</v>
      </c>
      <c r="C232" s="16" t="str">
        <f>IFERROR(INDEX(EJERCICIOS!$D$3:$D$75,MATCH(A232&amp;"|"&amp;B232,EJERCICIOS!$G$3:$G$75,0)),"--")</f>
        <v>polea</v>
      </c>
      <c r="D232" s="17">
        <v>3</v>
      </c>
      <c r="E232" s="18">
        <f>IFERROR(LOOKUP(2,1/(MEDIDAS_Y_PESO!$B$3:$B$13&lt;&gt;""),MEDIDAS_Y_PESO!$B$3:$B$13),"--")</f>
        <v>80</v>
      </c>
      <c r="F232" s="19"/>
      <c r="G232" s="20"/>
      <c r="H232" s="21"/>
      <c r="I232" s="19"/>
      <c r="J232" s="20"/>
      <c r="K232" s="21"/>
      <c r="L232" s="19"/>
      <c r="M232" s="20"/>
      <c r="N232" s="21"/>
      <c r="O232" s="19"/>
      <c r="P232" s="20"/>
      <c r="Q232" s="21"/>
      <c r="R232" s="19"/>
      <c r="S232" s="20"/>
      <c r="T232" s="21"/>
      <c r="U232" s="22" t="str">
        <f>IFERROR(IF(IF(X232&gt;0,X232,IF(Z232&gt;0,Z232,IF(AB232&gt;0,AB232,0)))=0,"--",ROUND(CHOOSE(IF(X232&gt;0,X232,IF(Z232&gt;0,Z232,IF(AB232&gt;0,AB232,0))),IF(C232="peso_corporal",IF(ISNUMBER(E232),E232,0)+F232,F232)*(1+G232/30),IF(C232="peso_corporal",IF(ISNUMBER(E232),E232,0)+I232,I232)*(1+J232/30),IF(C232="peso_corporal",IF(ISNUMBER(E232),E232,0)+L232,L232)*(1+M232/30),IF(C232="peso_corporal",IF(ISNUMBER(E232),E232,0)+O232,O232)*(1+P232/30),IF(C232="peso_corporal",IF(ISNUMBER(E232),E232,0)+R232,R232)*(1+S232/30)),1)),"--")</f>
        <v>--</v>
      </c>
      <c r="V232" s="23" t="str">
        <f>IF(SUGERENCIAS!N656="SIN","Sin datos anteriores",IF(SUGERENCIAS!N656="SUBIR_F","^ SUBIR FUERTE | Kg:"&amp;ROUND(SUGERENCIAS!K656,1)&amp;" R:"&amp;ROUND(SUGERENCIAS!L656,0)&amp;" RIR:"&amp;ROUND(SUGERENCIAS!M656,0),IF(SUGERENCIAS!N656="SUBIR_E","^ SUBIR (Est.) | Kg:"&amp;ROUND(SUGERENCIAS!K656,1)&amp;" R:"&amp;ROUND(SUGERENCIAS!L656,0)&amp;" RIR:"&amp;ROUND(SUGERENCIAS!M656,0),IF(SUGERENCIAS!N656="SUBIR","^ SUBIR | Kg:"&amp;ROUND(SUGERENCIAS!K656,1)&amp;" R:"&amp;ROUND(SUGERENCIAS!L656,0)&amp;" RIR:"&amp;ROUND(SUGERENCIAS!M656,0),IF(SUGERENCIAS!N656="BAJAR","v BAJAR | Kg:"&amp;ROUND(SUGERENCIAS!K656,1)&amp;" R:"&amp;ROUND(SUGERENCIAS!L656,0)&amp;" RIR:"&amp;ROUND(SUGERENCIAS!M656,0),"= MANT | Kg:"&amp;ROUND(SUGERENCIAS!K656,1)&amp;" R:"&amp;ROUND(SUGERENCIAS!L656,0)&amp;" RIR:"&amp;ROUND(SUGERENCIAS!M656,0))))))</f>
        <v>Sin datos anteriores</v>
      </c>
      <c r="W232" s="69">
        <f>MAX(IF((G232&gt;0)*(IF(H232="",-1,H232)&gt;=0)*(IF(H232="",-1,H232)&lt;=1),IF(C232="peso_corporal",IF(ISNUMBER(E232),E232,0)+F232,F232)*G232*1000+F232,0),IF((J232&gt;0)*(IF(K232="",-1,K232)&gt;=0)*(IF(K232="",-1,K232)&lt;=1),IF(C232="peso_corporal",IF(ISNUMBER(E232),E232,0)+I232,I232)*J232*1000+I232,0),IF((M232&gt;0)*(IF(N232="",-1,N232)&gt;=0)*(IF(N232="",-1,N232)&lt;=1),IF(C232="peso_corporal",IF(ISNUMBER(E232),E232,0)+L232,L232)*M232*1000+L232,0),IF((P232&gt;0)*(IF(Q232="",-1,Q232)&gt;=0)*(IF(Q232="",-1,Q232)&lt;=1),IF(C232="peso_corporal",IF(ISNUMBER(E232),E232,0)+O232,O232)*P232*1000+O232,0),IF((S232&gt;0)*(IF(T232="",-1,T232)&gt;=0)*(IF(T232="",-1,T232)&lt;=1),IF(C232="peso_corporal",IF(ISNUMBER(E232),E232,0)+R232,R232)*S232*1000+R232,0))</f>
        <v>0</v>
      </c>
      <c r="X232" s="69">
        <f>IF(W232=0,0,IF(IF((S232&gt;0)*(IF(T232="",-1,T232)&gt;=0)*(IF(T232="",-1,T232)&lt;=1),IF(C232="peso_corporal",IF(ISNUMBER(E232),E232,0)+R232,R232)*S232*1000+R232,0)=W232,5,IF(IF((P232&gt;0)*(IF(Q232="",-1,Q232)&gt;=0)*(IF(Q232="",-1,Q232)&lt;=1),IF(C232="peso_corporal",IF(ISNUMBER(E232),E232,0)+O232,O232)*P232*1000+O232,0)=W232,4,IF(IF((M232&gt;0)*(IF(N232="",-1,N232)&gt;=0)*(IF(N232="",-1,N232)&lt;=1),IF(C232="peso_corporal",IF(ISNUMBER(E232),E232,0)+L232,L232)*M232*1000+L232,0)=W232,3,IF(IF((J232&gt;0)*(IF(K232="",-1,K232)&gt;=0)*(IF(K232="",-1,K232)&lt;=1),IF(C232="peso_corporal",IF(ISNUMBER(E232),E232,0)+I232,I232)*J232*1000+I232,0)=W232,2,IF(IF((G232&gt;0)*(IF(H232="",-1,H232)&gt;=0)*(IF(H232="",-1,H232)&lt;=1),IF(C232="peso_corporal",IF(ISNUMBER(E232),E232,0)+F232,F232)*G232*1000+F232,0)=W232,1,0))))))</f>
        <v>0</v>
      </c>
      <c r="Y232" s="69">
        <f>MAX(IF((G232&gt;0)*(IF(H232="",-1,H232)=0)*(1-(IF(H232="",-1,H232)&gt;=0)*(IF(H232="",-1,H232)&lt;=1)),IF(C232="peso_corporal",IF(ISNUMBER(E232),E232,0)+F232,F232)*G232*1000+F232,0),IF((J232&gt;0)*(IF(K232="",-1,K232)=0)*(1-(IF(K232="",-1,K232)&gt;=0)*(IF(K232="",-1,K232)&lt;=1)),IF(C232="peso_corporal",IF(ISNUMBER(E232),E232,0)+I232,I232)*J232*1000+I232,0),IF((M232&gt;0)*(IF(N232="",-1,N232)=0)*(1-(IF(N232="",-1,N232)&gt;=0)*(IF(N232="",-1,N232)&lt;=1)),IF(C232="peso_corporal",IF(ISNUMBER(E232),E232,0)+L232,L232)*M232*1000+L232,0),IF((P232&gt;0)*(IF(Q232="",-1,Q232)=0)*(1-(IF(Q232="",-1,Q232)&gt;=0)*(IF(Q232="",-1,Q232)&lt;=1)),IF(C232="peso_corporal",IF(ISNUMBER(E232),E232,0)+O232,O232)*P232*1000+O232,0),IF((S232&gt;0)*(IF(T232="",-1,T232)=0)*(1-(IF(T232="",-1,T232)&gt;=0)*(IF(T232="",-1,T232)&lt;=1)),IF(C232="peso_corporal",IF(ISNUMBER(E232),E232,0)+R232,R232)*S232*1000+R232,0))</f>
        <v>0</v>
      </c>
      <c r="Z232" s="69">
        <f>IF(Y232=0,0,IF(IF((S232&gt;0)*(IF(T232="",-1,T232)=0)*(1-(IF(T232="",-1,T232)&gt;=0)*(IF(T232="",-1,T232)&lt;=1)),IF(C232="peso_corporal",IF(ISNUMBER(E232),E232,0)+R232,R232)*S232*1000+R232,0)=Y232,5,IF(IF((P232&gt;0)*(IF(Q232="",-1,Q232)=0)*(1-(IF(Q232="",-1,Q232)&gt;=0)*(IF(Q232="",-1,Q232)&lt;=1)),IF(C232="peso_corporal",IF(ISNUMBER(E232),E232,0)+O232,O232)*P232*1000+O232,0)=Y232,4,IF(IF((M232&gt;0)*(IF(N232="",-1,N232)=0)*(1-(IF(N232="",-1,N232)&gt;=0)*(IF(N232="",-1,N232)&lt;=1)),IF(C232="peso_corporal",IF(ISNUMBER(E232),E232,0)+L232,L232)*M232*1000+L232,0)=Y232,3,IF(IF((J232&gt;0)*(IF(K232="",-1,K232)=0)*(1-(IF(K232="",-1,K232)&gt;=0)*(IF(K232="",-1,K232)&lt;=1)),IF(C232="peso_corporal",IF(ISNUMBER(E232),E232,0)+I232,I232)*J232*1000+I232,0)=Y232,2,IF(IF((G232&gt;0)*(IF(H232="",-1,H232)=0)*(1-(IF(H232="",-1,H232)&gt;=0)*(IF(H232="",-1,H232)&lt;=1)),IF(C232="peso_corporal",IF(ISNUMBER(E232),E232,0)+F232,F232)*G232*1000+F232,0)=Y232,1,0))))))</f>
        <v>0</v>
      </c>
      <c r="AA232" s="69">
        <f>MAX(IF((G232&gt;=3)*(1-(IF(H232="",-1,H232)&gt;=0)*(IF(H232="",-1,H232)&lt;=1))*(1-(IF(H232="",-1,H232)=0)),IF(C232="peso_corporal",IF(ISNUMBER(E232),E232,0)+F232,F232)*(30+G232)*100+F232,0),IF((J232&gt;=3)*(1-(IF(K232="",-1,K232)&gt;=0)*(IF(K232="",-1,K232)&lt;=1))*(1-(IF(K232="",-1,K232)=0)),IF(C232="peso_corporal",IF(ISNUMBER(E232),E232,0)+I232,I232)*(30+J232)*100+I232,0),IF((M232&gt;=3)*(1-(IF(N232="",-1,N232)&gt;=0)*(IF(N232="",-1,N232)&lt;=1))*(1-(IF(N232="",-1,N232)=0)),IF(C232="peso_corporal",IF(ISNUMBER(E232),E232,0)+L232,L232)*(30+M232)*100+L232,0),IF((P232&gt;=3)*(1-(IF(Q232="",-1,Q232)&gt;=0)*(IF(Q232="",-1,Q232)&lt;=1))*(1-(IF(Q232="",-1,Q232)=0)),IF(C232="peso_corporal",IF(ISNUMBER(E232),E232,0)+O232,O232)*(30+P232)*100+O232,0),IF((S232&gt;=3)*(1-(IF(T232="",-1,T232)&gt;=0)*(IF(T232="",-1,T232)&lt;=1))*(1-(IF(T232="",-1,T232)=0)),IF(C232="peso_corporal",IF(ISNUMBER(E232),E232,0)+R232,R232)*(30+S232)*100+R232,0))</f>
        <v>0</v>
      </c>
      <c r="AB232" s="69">
        <f>IF(AA232=0,0,IF(IF((S232&gt;=3)*(1-(IF(T232="",-1,T232)&gt;=0)*(IF(T232="",-1,T232)&lt;=1))*(1-(IF(T232="",-1,T232)=0)),IF(C232="peso_corporal",IF(ISNUMBER(E232),E232,0)+R232,R232)*(30+S232)*100+R232,0)=AA232,5,IF(IF((P232&gt;=3)*(1-(IF(Q232="",-1,Q232)&gt;=0)*(IF(Q232="",-1,Q232)&lt;=1))*(1-(IF(Q232="",-1,Q232)=0)),IF(C232="peso_corporal",IF(ISNUMBER(E232),E232,0)+O232,O232)*(30+P232)*100+O232,0)=AA232,4,IF(IF((M232&gt;=3)*(1-(IF(N232="",-1,N232)&gt;=0)*(IF(N232="",-1,N232)&lt;=1))*(1-(IF(N232="",-1,N232)=0)),IF(C232="peso_corporal",IF(ISNUMBER(E232),E232,0)+L232,L232)*(30+M232)*100+L232,0)=AA232,3,IF(IF((J232&gt;=3)*(1-(IF(K232="",-1,K232)&gt;=0)*(IF(K232="",-1,K232)&lt;=1))*(1-(IF(K232="",-1,K232)=0)),IF(C232="peso_corporal",IF(ISNUMBER(E232),E232,0)+I232,I232)*(30+J232)*100+I232,0)=AA232,2,IF(IF((G232&gt;=3)*(1-(IF(H232="",-1,H232)&gt;=0)*(IF(H232="",-1,H232)&lt;=1))*(1-(IF(H232="",-1,H232)=0)),IF(C232="peso_corporal",IF(ISNUMBER(E232),E232,0)+F232,F232)*(30+G232)*100+F232,0)=AA232,1,0))))))</f>
        <v>0</v>
      </c>
      <c r="AC232" s="69" t="str">
        <f>IF(X232&gt;0,"A"&amp;X232,IF(Z232&gt;0,"B"&amp;Z232,IF(AB232&gt;0,"C"&amp;AB232,"")))</f>
        <v/>
      </c>
    </row>
    <row r="233" spans="1:29" ht="20.100000000000001" customHeight="1">
      <c r="A233" s="14" t="s">
        <v>130</v>
      </c>
      <c r="B233" s="15" t="s">
        <v>132</v>
      </c>
      <c r="C233" s="16" t="str">
        <f>IFERROR(INDEX(EJERCICIOS!$D$3:$D$75,MATCH(A233&amp;"|"&amp;B233,EJERCICIOS!$G$3:$G$75,0)),"--")</f>
        <v>polea</v>
      </c>
      <c r="D233" s="17">
        <v>3</v>
      </c>
      <c r="E233" s="18">
        <f>IFERROR(LOOKUP(2,1/(MEDIDAS_Y_PESO!$B$3:$B$13&lt;&gt;""),MEDIDAS_Y_PESO!$B$3:$B$13),"--")</f>
        <v>80</v>
      </c>
      <c r="F233" s="19"/>
      <c r="G233" s="20"/>
      <c r="H233" s="21"/>
      <c r="I233" s="19"/>
      <c r="J233" s="20"/>
      <c r="K233" s="21"/>
      <c r="L233" s="19"/>
      <c r="M233" s="20"/>
      <c r="N233" s="21"/>
      <c r="O233" s="19"/>
      <c r="P233" s="20"/>
      <c r="Q233" s="21"/>
      <c r="R233" s="19"/>
      <c r="S233" s="20"/>
      <c r="T233" s="21"/>
      <c r="U233" s="22" t="str">
        <f>IFERROR(IF(IF(X233&gt;0,X233,IF(Z233&gt;0,Z233,IF(AB233&gt;0,AB233,0)))=0,"--",ROUND(CHOOSE(IF(X233&gt;0,X233,IF(Z233&gt;0,Z233,IF(AB233&gt;0,AB233,0))),IF(C233="peso_corporal",IF(ISNUMBER(E233),E233,0)+F233,F233)*(1+G233/30),IF(C233="peso_corporal",IF(ISNUMBER(E233),E233,0)+I233,I233)*(1+J233/30),IF(C233="peso_corporal",IF(ISNUMBER(E233),E233,0)+L233,L233)*(1+M233/30),IF(C233="peso_corporal",IF(ISNUMBER(E233),E233,0)+O233,O233)*(1+P233/30),IF(C233="peso_corporal",IF(ISNUMBER(E233),E233,0)+R233,R233)*(1+S233/30)),1)),"--")</f>
        <v>--</v>
      </c>
      <c r="V233" s="23" t="str">
        <f>IF(SUGERENCIAS!N657="SIN","Sin datos anteriores",IF(SUGERENCIAS!N657="SUBIR_F","^ SUBIR FUERTE | Kg:"&amp;ROUND(SUGERENCIAS!K657,1)&amp;" R:"&amp;ROUND(SUGERENCIAS!L657,0)&amp;" RIR:"&amp;ROUND(SUGERENCIAS!M657,0),IF(SUGERENCIAS!N657="SUBIR_E","^ SUBIR (Est.) | Kg:"&amp;ROUND(SUGERENCIAS!K657,1)&amp;" R:"&amp;ROUND(SUGERENCIAS!L657,0)&amp;" RIR:"&amp;ROUND(SUGERENCIAS!M657,0),IF(SUGERENCIAS!N657="SUBIR","^ SUBIR | Kg:"&amp;ROUND(SUGERENCIAS!K657,1)&amp;" R:"&amp;ROUND(SUGERENCIAS!L657,0)&amp;" RIR:"&amp;ROUND(SUGERENCIAS!M657,0),IF(SUGERENCIAS!N657="BAJAR","v BAJAR | Kg:"&amp;ROUND(SUGERENCIAS!K657,1)&amp;" R:"&amp;ROUND(SUGERENCIAS!L657,0)&amp;" RIR:"&amp;ROUND(SUGERENCIAS!M657,0),"= MANT | Kg:"&amp;ROUND(SUGERENCIAS!K657,1)&amp;" R:"&amp;ROUND(SUGERENCIAS!L657,0)&amp;" RIR:"&amp;ROUND(SUGERENCIAS!M657,0))))))</f>
        <v>Sin datos anteriores</v>
      </c>
      <c r="W233" s="69">
        <f>MAX(IF((G233&gt;0)*(IF(H233="",-1,H233)&gt;=0)*(IF(H233="",-1,H233)&lt;=1),IF(C233="peso_corporal",IF(ISNUMBER(E233),E233,0)+F233,F233)*G233*1000+F233,0),IF((J233&gt;0)*(IF(K233="",-1,K233)&gt;=0)*(IF(K233="",-1,K233)&lt;=1),IF(C233="peso_corporal",IF(ISNUMBER(E233),E233,0)+I233,I233)*J233*1000+I233,0),IF((M233&gt;0)*(IF(N233="",-1,N233)&gt;=0)*(IF(N233="",-1,N233)&lt;=1),IF(C233="peso_corporal",IF(ISNUMBER(E233),E233,0)+L233,L233)*M233*1000+L233,0),IF((P233&gt;0)*(IF(Q233="",-1,Q233)&gt;=0)*(IF(Q233="",-1,Q233)&lt;=1),IF(C233="peso_corporal",IF(ISNUMBER(E233),E233,0)+O233,O233)*P233*1000+O233,0),IF((S233&gt;0)*(IF(T233="",-1,T233)&gt;=0)*(IF(T233="",-1,T233)&lt;=1),IF(C233="peso_corporal",IF(ISNUMBER(E233),E233,0)+R233,R233)*S233*1000+R233,0))</f>
        <v>0</v>
      </c>
      <c r="X233" s="69">
        <f>IF(W233=0,0,IF(IF((S233&gt;0)*(IF(T233="",-1,T233)&gt;=0)*(IF(T233="",-1,T233)&lt;=1),IF(C233="peso_corporal",IF(ISNUMBER(E233),E233,0)+R233,R233)*S233*1000+R233,0)=W233,5,IF(IF((P233&gt;0)*(IF(Q233="",-1,Q233)&gt;=0)*(IF(Q233="",-1,Q233)&lt;=1),IF(C233="peso_corporal",IF(ISNUMBER(E233),E233,0)+O233,O233)*P233*1000+O233,0)=W233,4,IF(IF((M233&gt;0)*(IF(N233="",-1,N233)&gt;=0)*(IF(N233="",-1,N233)&lt;=1),IF(C233="peso_corporal",IF(ISNUMBER(E233),E233,0)+L233,L233)*M233*1000+L233,0)=W233,3,IF(IF((J233&gt;0)*(IF(K233="",-1,K233)&gt;=0)*(IF(K233="",-1,K233)&lt;=1),IF(C233="peso_corporal",IF(ISNUMBER(E233),E233,0)+I233,I233)*J233*1000+I233,0)=W233,2,IF(IF((G233&gt;0)*(IF(H233="",-1,H233)&gt;=0)*(IF(H233="",-1,H233)&lt;=1),IF(C233="peso_corporal",IF(ISNUMBER(E233),E233,0)+F233,F233)*G233*1000+F233,0)=W233,1,0))))))</f>
        <v>0</v>
      </c>
      <c r="Y233" s="69">
        <f>MAX(IF((G233&gt;0)*(IF(H233="",-1,H233)=0)*(1-(IF(H233="",-1,H233)&gt;=0)*(IF(H233="",-1,H233)&lt;=1)),IF(C233="peso_corporal",IF(ISNUMBER(E233),E233,0)+F233,F233)*G233*1000+F233,0),IF((J233&gt;0)*(IF(K233="",-1,K233)=0)*(1-(IF(K233="",-1,K233)&gt;=0)*(IF(K233="",-1,K233)&lt;=1)),IF(C233="peso_corporal",IF(ISNUMBER(E233),E233,0)+I233,I233)*J233*1000+I233,0),IF((M233&gt;0)*(IF(N233="",-1,N233)=0)*(1-(IF(N233="",-1,N233)&gt;=0)*(IF(N233="",-1,N233)&lt;=1)),IF(C233="peso_corporal",IF(ISNUMBER(E233),E233,0)+L233,L233)*M233*1000+L233,0),IF((P233&gt;0)*(IF(Q233="",-1,Q233)=0)*(1-(IF(Q233="",-1,Q233)&gt;=0)*(IF(Q233="",-1,Q233)&lt;=1)),IF(C233="peso_corporal",IF(ISNUMBER(E233),E233,0)+O233,O233)*P233*1000+O233,0),IF((S233&gt;0)*(IF(T233="",-1,T233)=0)*(1-(IF(T233="",-1,T233)&gt;=0)*(IF(T233="",-1,T233)&lt;=1)),IF(C233="peso_corporal",IF(ISNUMBER(E233),E233,0)+R233,R233)*S233*1000+R233,0))</f>
        <v>0</v>
      </c>
      <c r="Z233" s="69">
        <f>IF(Y233=0,0,IF(IF((S233&gt;0)*(IF(T233="",-1,T233)=0)*(1-(IF(T233="",-1,T233)&gt;=0)*(IF(T233="",-1,T233)&lt;=1)),IF(C233="peso_corporal",IF(ISNUMBER(E233),E233,0)+R233,R233)*S233*1000+R233,0)=Y233,5,IF(IF((P233&gt;0)*(IF(Q233="",-1,Q233)=0)*(1-(IF(Q233="",-1,Q233)&gt;=0)*(IF(Q233="",-1,Q233)&lt;=1)),IF(C233="peso_corporal",IF(ISNUMBER(E233),E233,0)+O233,O233)*P233*1000+O233,0)=Y233,4,IF(IF((M233&gt;0)*(IF(N233="",-1,N233)=0)*(1-(IF(N233="",-1,N233)&gt;=0)*(IF(N233="",-1,N233)&lt;=1)),IF(C233="peso_corporal",IF(ISNUMBER(E233),E233,0)+L233,L233)*M233*1000+L233,0)=Y233,3,IF(IF((J233&gt;0)*(IF(K233="",-1,K233)=0)*(1-(IF(K233="",-1,K233)&gt;=0)*(IF(K233="",-1,K233)&lt;=1)),IF(C233="peso_corporal",IF(ISNUMBER(E233),E233,0)+I233,I233)*J233*1000+I233,0)=Y233,2,IF(IF((G233&gt;0)*(IF(H233="",-1,H233)=0)*(1-(IF(H233="",-1,H233)&gt;=0)*(IF(H233="",-1,H233)&lt;=1)),IF(C233="peso_corporal",IF(ISNUMBER(E233),E233,0)+F233,F233)*G233*1000+F233,0)=Y233,1,0))))))</f>
        <v>0</v>
      </c>
      <c r="AA233" s="69">
        <f>MAX(IF((G233&gt;=3)*(1-(IF(H233="",-1,H233)&gt;=0)*(IF(H233="",-1,H233)&lt;=1))*(1-(IF(H233="",-1,H233)=0)),IF(C233="peso_corporal",IF(ISNUMBER(E233),E233,0)+F233,F233)*(30+G233)*100+F233,0),IF((J233&gt;=3)*(1-(IF(K233="",-1,K233)&gt;=0)*(IF(K233="",-1,K233)&lt;=1))*(1-(IF(K233="",-1,K233)=0)),IF(C233="peso_corporal",IF(ISNUMBER(E233),E233,0)+I233,I233)*(30+J233)*100+I233,0),IF((M233&gt;=3)*(1-(IF(N233="",-1,N233)&gt;=0)*(IF(N233="",-1,N233)&lt;=1))*(1-(IF(N233="",-1,N233)=0)),IF(C233="peso_corporal",IF(ISNUMBER(E233),E233,0)+L233,L233)*(30+M233)*100+L233,0),IF((P233&gt;=3)*(1-(IF(Q233="",-1,Q233)&gt;=0)*(IF(Q233="",-1,Q233)&lt;=1))*(1-(IF(Q233="",-1,Q233)=0)),IF(C233="peso_corporal",IF(ISNUMBER(E233),E233,0)+O233,O233)*(30+P233)*100+O233,0),IF((S233&gt;=3)*(1-(IF(T233="",-1,T233)&gt;=0)*(IF(T233="",-1,T233)&lt;=1))*(1-(IF(T233="",-1,T233)=0)),IF(C233="peso_corporal",IF(ISNUMBER(E233),E233,0)+R233,R233)*(30+S233)*100+R233,0))</f>
        <v>0</v>
      </c>
      <c r="AB233" s="69">
        <f>IF(AA233=0,0,IF(IF((S233&gt;=3)*(1-(IF(T233="",-1,T233)&gt;=0)*(IF(T233="",-1,T233)&lt;=1))*(1-(IF(T233="",-1,T233)=0)),IF(C233="peso_corporal",IF(ISNUMBER(E233),E233,0)+R233,R233)*(30+S233)*100+R233,0)=AA233,5,IF(IF((P233&gt;=3)*(1-(IF(Q233="",-1,Q233)&gt;=0)*(IF(Q233="",-1,Q233)&lt;=1))*(1-(IF(Q233="",-1,Q233)=0)),IF(C233="peso_corporal",IF(ISNUMBER(E233),E233,0)+O233,O233)*(30+P233)*100+O233,0)=AA233,4,IF(IF((M233&gt;=3)*(1-(IF(N233="",-1,N233)&gt;=0)*(IF(N233="",-1,N233)&lt;=1))*(1-(IF(N233="",-1,N233)=0)),IF(C233="peso_corporal",IF(ISNUMBER(E233),E233,0)+L233,L233)*(30+M233)*100+L233,0)=AA233,3,IF(IF((J233&gt;=3)*(1-(IF(K233="",-1,K233)&gt;=0)*(IF(K233="",-1,K233)&lt;=1))*(1-(IF(K233="",-1,K233)=0)),IF(C233="peso_corporal",IF(ISNUMBER(E233),E233,0)+I233,I233)*(30+J233)*100+I233,0)=AA233,2,IF(IF((G233&gt;=3)*(1-(IF(H233="",-1,H233)&gt;=0)*(IF(H233="",-1,H233)&lt;=1))*(1-(IF(H233="",-1,H233)=0)),IF(C233="peso_corporal",IF(ISNUMBER(E233),E233,0)+F233,F233)*(30+G233)*100+F233,0)=AA233,1,0))))))</f>
        <v>0</v>
      </c>
      <c r="AC233" s="69" t="str">
        <f>IF(X233&gt;0,"A"&amp;X233,IF(Z233&gt;0,"B"&amp;Z233,IF(AB233&gt;0,"C"&amp;AB233,"")))</f>
        <v/>
      </c>
    </row>
    <row r="234" spans="1:29" ht="20.100000000000001" customHeight="1">
      <c r="A234" s="14" t="s">
        <v>133</v>
      </c>
      <c r="B234" s="15" t="s">
        <v>31</v>
      </c>
      <c r="C234" s="16" t="str">
        <f>IFERROR(INDEX(EJERCICIOS!$D$3:$D$75,MATCH(A234&amp;"|"&amp;B234,EJERCICIOS!$G$3:$G$75,0)),"--")</f>
        <v>mancuerna</v>
      </c>
      <c r="D234" s="17">
        <v>3</v>
      </c>
      <c r="E234" s="18">
        <f>IFERROR(LOOKUP(2,1/(MEDIDAS_Y_PESO!$B$3:$B$13&lt;&gt;""),MEDIDAS_Y_PESO!$B$3:$B$13),"--")</f>
        <v>80</v>
      </c>
      <c r="F234" s="19"/>
      <c r="G234" s="20"/>
      <c r="H234" s="21"/>
      <c r="I234" s="19"/>
      <c r="J234" s="20"/>
      <c r="K234" s="21"/>
      <c r="L234" s="19"/>
      <c r="M234" s="20"/>
      <c r="N234" s="21"/>
      <c r="O234" s="19"/>
      <c r="P234" s="20"/>
      <c r="Q234" s="21"/>
      <c r="R234" s="19"/>
      <c r="S234" s="20"/>
      <c r="T234" s="21"/>
      <c r="U234" s="22" t="str">
        <f>IFERROR(IF(IF(X234&gt;0,X234,IF(Z234&gt;0,Z234,IF(AB234&gt;0,AB234,0)))=0,"--",ROUND(CHOOSE(IF(X234&gt;0,X234,IF(Z234&gt;0,Z234,IF(AB234&gt;0,AB234,0))),IF(C234="peso_corporal",IF(ISNUMBER(E234),E234,0)+F234,F234)*(1+G234/30),IF(C234="peso_corporal",IF(ISNUMBER(E234),E234,0)+I234,I234)*(1+J234/30),IF(C234="peso_corporal",IF(ISNUMBER(E234),E234,0)+L234,L234)*(1+M234/30),IF(C234="peso_corporal",IF(ISNUMBER(E234),E234,0)+O234,O234)*(1+P234/30),IF(C234="peso_corporal",IF(ISNUMBER(E234),E234,0)+R234,R234)*(1+S234/30)),1)),"--")</f>
        <v>--</v>
      </c>
      <c r="V234" s="23" t="str">
        <f>IF(SUGERENCIAS!N658="SIN","Sin datos anteriores",IF(SUGERENCIAS!N658="SUBIR_F","^ SUBIR FUERTE | Kg:"&amp;ROUND(SUGERENCIAS!K658,1)&amp;" R:"&amp;ROUND(SUGERENCIAS!L658,0)&amp;" RIR:"&amp;ROUND(SUGERENCIAS!M658,0),IF(SUGERENCIAS!N658="SUBIR_E","^ SUBIR (Est.) | Kg:"&amp;ROUND(SUGERENCIAS!K658,1)&amp;" R:"&amp;ROUND(SUGERENCIAS!L658,0)&amp;" RIR:"&amp;ROUND(SUGERENCIAS!M658,0),IF(SUGERENCIAS!N658="SUBIR","^ SUBIR | Kg:"&amp;ROUND(SUGERENCIAS!K658,1)&amp;" R:"&amp;ROUND(SUGERENCIAS!L658,0)&amp;" RIR:"&amp;ROUND(SUGERENCIAS!M658,0),IF(SUGERENCIAS!N658="BAJAR","v BAJAR | Kg:"&amp;ROUND(SUGERENCIAS!K658,1)&amp;" R:"&amp;ROUND(SUGERENCIAS!L658,0)&amp;" RIR:"&amp;ROUND(SUGERENCIAS!M658,0),"= MANT | Kg:"&amp;ROUND(SUGERENCIAS!K658,1)&amp;" R:"&amp;ROUND(SUGERENCIAS!L658,0)&amp;" RIR:"&amp;ROUND(SUGERENCIAS!M658,0))))))</f>
        <v>Sin datos anteriores</v>
      </c>
      <c r="W234" s="69">
        <f>MAX(IF((G234&gt;0)*(IF(H234="",-1,H234)&gt;=0)*(IF(H234="",-1,H234)&lt;=1),IF(C234="peso_corporal",IF(ISNUMBER(E234),E234,0)+F234,F234)*G234*1000+F234,0),IF((J234&gt;0)*(IF(K234="",-1,K234)&gt;=0)*(IF(K234="",-1,K234)&lt;=1),IF(C234="peso_corporal",IF(ISNUMBER(E234),E234,0)+I234,I234)*J234*1000+I234,0),IF((M234&gt;0)*(IF(N234="",-1,N234)&gt;=0)*(IF(N234="",-1,N234)&lt;=1),IF(C234="peso_corporal",IF(ISNUMBER(E234),E234,0)+L234,L234)*M234*1000+L234,0),IF((P234&gt;0)*(IF(Q234="",-1,Q234)&gt;=0)*(IF(Q234="",-1,Q234)&lt;=1),IF(C234="peso_corporal",IF(ISNUMBER(E234),E234,0)+O234,O234)*P234*1000+O234,0),IF((S234&gt;0)*(IF(T234="",-1,T234)&gt;=0)*(IF(T234="",-1,T234)&lt;=1),IF(C234="peso_corporal",IF(ISNUMBER(E234),E234,0)+R234,R234)*S234*1000+R234,0))</f>
        <v>0</v>
      </c>
      <c r="X234" s="69">
        <f>IF(W234=0,0,IF(IF((S234&gt;0)*(IF(T234="",-1,T234)&gt;=0)*(IF(T234="",-1,T234)&lt;=1),IF(C234="peso_corporal",IF(ISNUMBER(E234),E234,0)+R234,R234)*S234*1000+R234,0)=W234,5,IF(IF((P234&gt;0)*(IF(Q234="",-1,Q234)&gt;=0)*(IF(Q234="",-1,Q234)&lt;=1),IF(C234="peso_corporal",IF(ISNUMBER(E234),E234,0)+O234,O234)*P234*1000+O234,0)=W234,4,IF(IF((M234&gt;0)*(IF(N234="",-1,N234)&gt;=0)*(IF(N234="",-1,N234)&lt;=1),IF(C234="peso_corporal",IF(ISNUMBER(E234),E234,0)+L234,L234)*M234*1000+L234,0)=W234,3,IF(IF((J234&gt;0)*(IF(K234="",-1,K234)&gt;=0)*(IF(K234="",-1,K234)&lt;=1),IF(C234="peso_corporal",IF(ISNUMBER(E234),E234,0)+I234,I234)*J234*1000+I234,0)=W234,2,IF(IF((G234&gt;0)*(IF(H234="",-1,H234)&gt;=0)*(IF(H234="",-1,H234)&lt;=1),IF(C234="peso_corporal",IF(ISNUMBER(E234),E234,0)+F234,F234)*G234*1000+F234,0)=W234,1,0))))))</f>
        <v>0</v>
      </c>
      <c r="Y234" s="69">
        <f>MAX(IF((G234&gt;0)*(IF(H234="",-1,H234)=0)*(1-(IF(H234="",-1,H234)&gt;=0)*(IF(H234="",-1,H234)&lt;=1)),IF(C234="peso_corporal",IF(ISNUMBER(E234),E234,0)+F234,F234)*G234*1000+F234,0),IF((J234&gt;0)*(IF(K234="",-1,K234)=0)*(1-(IF(K234="",-1,K234)&gt;=0)*(IF(K234="",-1,K234)&lt;=1)),IF(C234="peso_corporal",IF(ISNUMBER(E234),E234,0)+I234,I234)*J234*1000+I234,0),IF((M234&gt;0)*(IF(N234="",-1,N234)=0)*(1-(IF(N234="",-1,N234)&gt;=0)*(IF(N234="",-1,N234)&lt;=1)),IF(C234="peso_corporal",IF(ISNUMBER(E234),E234,0)+L234,L234)*M234*1000+L234,0),IF((P234&gt;0)*(IF(Q234="",-1,Q234)=0)*(1-(IF(Q234="",-1,Q234)&gt;=0)*(IF(Q234="",-1,Q234)&lt;=1)),IF(C234="peso_corporal",IF(ISNUMBER(E234),E234,0)+O234,O234)*P234*1000+O234,0),IF((S234&gt;0)*(IF(T234="",-1,T234)=0)*(1-(IF(T234="",-1,T234)&gt;=0)*(IF(T234="",-1,T234)&lt;=1)),IF(C234="peso_corporal",IF(ISNUMBER(E234),E234,0)+R234,R234)*S234*1000+R234,0))</f>
        <v>0</v>
      </c>
      <c r="Z234" s="69">
        <f>IF(Y234=0,0,IF(IF((S234&gt;0)*(IF(T234="",-1,T234)=0)*(1-(IF(T234="",-1,T234)&gt;=0)*(IF(T234="",-1,T234)&lt;=1)),IF(C234="peso_corporal",IF(ISNUMBER(E234),E234,0)+R234,R234)*S234*1000+R234,0)=Y234,5,IF(IF((P234&gt;0)*(IF(Q234="",-1,Q234)=0)*(1-(IF(Q234="",-1,Q234)&gt;=0)*(IF(Q234="",-1,Q234)&lt;=1)),IF(C234="peso_corporal",IF(ISNUMBER(E234),E234,0)+O234,O234)*P234*1000+O234,0)=Y234,4,IF(IF((M234&gt;0)*(IF(N234="",-1,N234)=0)*(1-(IF(N234="",-1,N234)&gt;=0)*(IF(N234="",-1,N234)&lt;=1)),IF(C234="peso_corporal",IF(ISNUMBER(E234),E234,0)+L234,L234)*M234*1000+L234,0)=Y234,3,IF(IF((J234&gt;0)*(IF(K234="",-1,K234)=0)*(1-(IF(K234="",-1,K234)&gt;=0)*(IF(K234="",-1,K234)&lt;=1)),IF(C234="peso_corporal",IF(ISNUMBER(E234),E234,0)+I234,I234)*J234*1000+I234,0)=Y234,2,IF(IF((G234&gt;0)*(IF(H234="",-1,H234)=0)*(1-(IF(H234="",-1,H234)&gt;=0)*(IF(H234="",-1,H234)&lt;=1)),IF(C234="peso_corporal",IF(ISNUMBER(E234),E234,0)+F234,F234)*G234*1000+F234,0)=Y234,1,0))))))</f>
        <v>0</v>
      </c>
      <c r="AA234" s="69">
        <f>MAX(IF((G234&gt;=3)*(1-(IF(H234="",-1,H234)&gt;=0)*(IF(H234="",-1,H234)&lt;=1))*(1-(IF(H234="",-1,H234)=0)),IF(C234="peso_corporal",IF(ISNUMBER(E234),E234,0)+F234,F234)*(30+G234)*100+F234,0),IF((J234&gt;=3)*(1-(IF(K234="",-1,K234)&gt;=0)*(IF(K234="",-1,K234)&lt;=1))*(1-(IF(K234="",-1,K234)=0)),IF(C234="peso_corporal",IF(ISNUMBER(E234),E234,0)+I234,I234)*(30+J234)*100+I234,0),IF((M234&gt;=3)*(1-(IF(N234="",-1,N234)&gt;=0)*(IF(N234="",-1,N234)&lt;=1))*(1-(IF(N234="",-1,N234)=0)),IF(C234="peso_corporal",IF(ISNUMBER(E234),E234,0)+L234,L234)*(30+M234)*100+L234,0),IF((P234&gt;=3)*(1-(IF(Q234="",-1,Q234)&gt;=0)*(IF(Q234="",-1,Q234)&lt;=1))*(1-(IF(Q234="",-1,Q234)=0)),IF(C234="peso_corporal",IF(ISNUMBER(E234),E234,0)+O234,O234)*(30+P234)*100+O234,0),IF((S234&gt;=3)*(1-(IF(T234="",-1,T234)&gt;=0)*(IF(T234="",-1,T234)&lt;=1))*(1-(IF(T234="",-1,T234)=0)),IF(C234="peso_corporal",IF(ISNUMBER(E234),E234,0)+R234,R234)*(30+S234)*100+R234,0))</f>
        <v>0</v>
      </c>
      <c r="AB234" s="69">
        <f>IF(AA234=0,0,IF(IF((S234&gt;=3)*(1-(IF(T234="",-1,T234)&gt;=0)*(IF(T234="",-1,T234)&lt;=1))*(1-(IF(T234="",-1,T234)=0)),IF(C234="peso_corporal",IF(ISNUMBER(E234),E234,0)+R234,R234)*(30+S234)*100+R234,0)=AA234,5,IF(IF((P234&gt;=3)*(1-(IF(Q234="",-1,Q234)&gt;=0)*(IF(Q234="",-1,Q234)&lt;=1))*(1-(IF(Q234="",-1,Q234)=0)),IF(C234="peso_corporal",IF(ISNUMBER(E234),E234,0)+O234,O234)*(30+P234)*100+O234,0)=AA234,4,IF(IF((M234&gt;=3)*(1-(IF(N234="",-1,N234)&gt;=0)*(IF(N234="",-1,N234)&lt;=1))*(1-(IF(N234="",-1,N234)=0)),IF(C234="peso_corporal",IF(ISNUMBER(E234),E234,0)+L234,L234)*(30+M234)*100+L234,0)=AA234,3,IF(IF((J234&gt;=3)*(1-(IF(K234="",-1,K234)&gt;=0)*(IF(K234="",-1,K234)&lt;=1))*(1-(IF(K234="",-1,K234)=0)),IF(C234="peso_corporal",IF(ISNUMBER(E234),E234,0)+I234,I234)*(30+J234)*100+I234,0)=AA234,2,IF(IF((G234&gt;=3)*(1-(IF(H234="",-1,H234)&gt;=0)*(IF(H234="",-1,H234)&lt;=1))*(1-(IF(H234="",-1,H234)=0)),IF(C234="peso_corporal",IF(ISNUMBER(E234),E234,0)+F234,F234)*(30+G234)*100+F234,0)=AA234,1,0))))))</f>
        <v>0</v>
      </c>
      <c r="AC234" s="69" t="str">
        <f>IF(X234&gt;0,"A"&amp;X234,IF(Z234&gt;0,"B"&amp;Z234,IF(AB234&gt;0,"C"&amp;AB234,"")))</f>
        <v/>
      </c>
    </row>
    <row r="235" spans="1:29" ht="15" customHeight="1">
      <c r="A235" s="88" t="s">
        <v>50</v>
      </c>
      <c r="B235" s="73"/>
      <c r="C235" s="73"/>
      <c r="D235" s="73"/>
      <c r="E235" s="73"/>
      <c r="F235" s="73"/>
      <c r="G235" s="73"/>
      <c r="H235" s="73"/>
      <c r="I235" s="73"/>
      <c r="J235" s="73"/>
      <c r="K235" s="73"/>
      <c r="L235" s="73"/>
      <c r="M235" s="73"/>
      <c r="N235" s="73"/>
      <c r="O235" s="73"/>
      <c r="P235" s="73"/>
      <c r="Q235" s="73"/>
      <c r="R235" s="73"/>
      <c r="S235" s="73"/>
      <c r="T235" s="73"/>
      <c r="U235" s="73"/>
      <c r="V235" s="73"/>
      <c r="W235" s="69"/>
      <c r="X235" s="69"/>
      <c r="Y235" s="69"/>
      <c r="Z235" s="69"/>
      <c r="AA235" s="69"/>
      <c r="AB235" s="69"/>
      <c r="AC235" s="69"/>
    </row>
    <row r="236" spans="1:29" ht="20.100000000000001" customHeight="1">
      <c r="A236" s="14" t="s">
        <v>51</v>
      </c>
      <c r="B236" s="15" t="s">
        <v>134</v>
      </c>
      <c r="C236" s="16" t="str">
        <f>IFERROR(INDEX(EJERCICIOS!$D$3:$D$75,MATCH(A236&amp;"|"&amp;B236,EJERCICIOS!$G$3:$G$75,0)),"--")</f>
        <v>--</v>
      </c>
      <c r="D236" s="17">
        <v>3</v>
      </c>
      <c r="E236" s="18">
        <f>IFERROR(LOOKUP(2,1/(MEDIDAS_Y_PESO!$B$3:$B$13&lt;&gt;""),MEDIDAS_Y_PESO!$B$3:$B$13),"--")</f>
        <v>80</v>
      </c>
      <c r="F236" s="19"/>
      <c r="G236" s="20"/>
      <c r="H236" s="21"/>
      <c r="I236" s="19"/>
      <c r="J236" s="20"/>
      <c r="K236" s="21"/>
      <c r="L236" s="19"/>
      <c r="M236" s="20"/>
      <c r="N236" s="21"/>
      <c r="O236" s="19"/>
      <c r="P236" s="20"/>
      <c r="Q236" s="21"/>
      <c r="R236" s="19"/>
      <c r="S236" s="20"/>
      <c r="T236" s="21"/>
      <c r="U236" s="22" t="str">
        <f>IFERROR(IF(IF(X236&gt;0,X236,IF(Z236&gt;0,Z236,IF(AB236&gt;0,AB236,0)))=0,"--",ROUND(CHOOSE(IF(X236&gt;0,X236,IF(Z236&gt;0,Z236,IF(AB236&gt;0,AB236,0))),IF(C236="peso_corporal",IF(ISNUMBER(E236),E236,0)+F236,F236)*(1+G236/30),IF(C236="peso_corporal",IF(ISNUMBER(E236),E236,0)+I236,I236)*(1+J236/30),IF(C236="peso_corporal",IF(ISNUMBER(E236),E236,0)+L236,L236)*(1+M236/30),IF(C236="peso_corporal",IF(ISNUMBER(E236),E236,0)+O236,O236)*(1+P236/30),IF(C236="peso_corporal",IF(ISNUMBER(E236),E236,0)+R236,R236)*(1+S236/30)),1)),"--")</f>
        <v>--</v>
      </c>
      <c r="V236" s="23" t="str">
        <f>IF(SUGERENCIAS!N659="SIN","Sin datos anteriores",IF(SUGERENCIAS!N659="SUBIR_F","^ SUBIR FUERTE | Kg:"&amp;ROUND(SUGERENCIAS!K659,1)&amp;" R:"&amp;ROUND(SUGERENCIAS!L659,0)&amp;" RIR:"&amp;ROUND(SUGERENCIAS!M659,0),IF(SUGERENCIAS!N659="SUBIR_E","^ SUBIR (Est.) | Kg:"&amp;ROUND(SUGERENCIAS!K659,1)&amp;" R:"&amp;ROUND(SUGERENCIAS!L659,0)&amp;" RIR:"&amp;ROUND(SUGERENCIAS!M659,0),IF(SUGERENCIAS!N659="SUBIR","^ SUBIR | Kg:"&amp;ROUND(SUGERENCIAS!K659,1)&amp;" R:"&amp;ROUND(SUGERENCIAS!L659,0)&amp;" RIR:"&amp;ROUND(SUGERENCIAS!M659,0),IF(SUGERENCIAS!N659="BAJAR","v BAJAR | Kg:"&amp;ROUND(SUGERENCIAS!K659,1)&amp;" R:"&amp;ROUND(SUGERENCIAS!L659,0)&amp;" RIR:"&amp;ROUND(SUGERENCIAS!M659,0),"= MANT | Kg:"&amp;ROUND(SUGERENCIAS!K659,1)&amp;" R:"&amp;ROUND(SUGERENCIAS!L659,0)&amp;" RIR:"&amp;ROUND(SUGERENCIAS!M659,0))))))</f>
        <v>Sin datos anteriores</v>
      </c>
      <c r="W236" s="69">
        <f>MAX(IF((G236&gt;0)*(IF(H236="",-1,H236)&gt;=0)*(IF(H236="",-1,H236)&lt;=1),IF(C236="peso_corporal",IF(ISNUMBER(E236),E236,0)+F236,F236)*G236*1000+F236,0),IF((J236&gt;0)*(IF(K236="",-1,K236)&gt;=0)*(IF(K236="",-1,K236)&lt;=1),IF(C236="peso_corporal",IF(ISNUMBER(E236),E236,0)+I236,I236)*J236*1000+I236,0),IF((M236&gt;0)*(IF(N236="",-1,N236)&gt;=0)*(IF(N236="",-1,N236)&lt;=1),IF(C236="peso_corporal",IF(ISNUMBER(E236),E236,0)+L236,L236)*M236*1000+L236,0),IF((P236&gt;0)*(IF(Q236="",-1,Q236)&gt;=0)*(IF(Q236="",-1,Q236)&lt;=1),IF(C236="peso_corporal",IF(ISNUMBER(E236),E236,0)+O236,O236)*P236*1000+O236,0),IF((S236&gt;0)*(IF(T236="",-1,T236)&gt;=0)*(IF(T236="",-1,T236)&lt;=1),IF(C236="peso_corporal",IF(ISNUMBER(E236),E236,0)+R236,R236)*S236*1000+R236,0))</f>
        <v>0</v>
      </c>
      <c r="X236" s="69">
        <f>IF(W236=0,0,IF(IF((S236&gt;0)*(IF(T236="",-1,T236)&gt;=0)*(IF(T236="",-1,T236)&lt;=1),IF(C236="peso_corporal",IF(ISNUMBER(E236),E236,0)+R236,R236)*S236*1000+R236,0)=W236,5,IF(IF((P236&gt;0)*(IF(Q236="",-1,Q236)&gt;=0)*(IF(Q236="",-1,Q236)&lt;=1),IF(C236="peso_corporal",IF(ISNUMBER(E236),E236,0)+O236,O236)*P236*1000+O236,0)=W236,4,IF(IF((M236&gt;0)*(IF(N236="",-1,N236)&gt;=0)*(IF(N236="",-1,N236)&lt;=1),IF(C236="peso_corporal",IF(ISNUMBER(E236),E236,0)+L236,L236)*M236*1000+L236,0)=W236,3,IF(IF((J236&gt;0)*(IF(K236="",-1,K236)&gt;=0)*(IF(K236="",-1,K236)&lt;=1),IF(C236="peso_corporal",IF(ISNUMBER(E236),E236,0)+I236,I236)*J236*1000+I236,0)=W236,2,IF(IF((G236&gt;0)*(IF(H236="",-1,H236)&gt;=0)*(IF(H236="",-1,H236)&lt;=1),IF(C236="peso_corporal",IF(ISNUMBER(E236),E236,0)+F236,F236)*G236*1000+F236,0)=W236,1,0))))))</f>
        <v>0</v>
      </c>
      <c r="Y236" s="69">
        <f>MAX(IF((G236&gt;0)*(IF(H236="",-1,H236)=0)*(1-(IF(H236="",-1,H236)&gt;=0)*(IF(H236="",-1,H236)&lt;=1)),IF(C236="peso_corporal",IF(ISNUMBER(E236),E236,0)+F236,F236)*G236*1000+F236,0),IF((J236&gt;0)*(IF(K236="",-1,K236)=0)*(1-(IF(K236="",-1,K236)&gt;=0)*(IF(K236="",-1,K236)&lt;=1)),IF(C236="peso_corporal",IF(ISNUMBER(E236),E236,0)+I236,I236)*J236*1000+I236,0),IF((M236&gt;0)*(IF(N236="",-1,N236)=0)*(1-(IF(N236="",-1,N236)&gt;=0)*(IF(N236="",-1,N236)&lt;=1)),IF(C236="peso_corporal",IF(ISNUMBER(E236),E236,0)+L236,L236)*M236*1000+L236,0),IF((P236&gt;0)*(IF(Q236="",-1,Q236)=0)*(1-(IF(Q236="",-1,Q236)&gt;=0)*(IF(Q236="",-1,Q236)&lt;=1)),IF(C236="peso_corporal",IF(ISNUMBER(E236),E236,0)+O236,O236)*P236*1000+O236,0),IF((S236&gt;0)*(IF(T236="",-1,T236)=0)*(1-(IF(T236="",-1,T236)&gt;=0)*(IF(T236="",-1,T236)&lt;=1)),IF(C236="peso_corporal",IF(ISNUMBER(E236),E236,0)+R236,R236)*S236*1000+R236,0))</f>
        <v>0</v>
      </c>
      <c r="Z236" s="69">
        <f>IF(Y236=0,0,IF(IF((S236&gt;0)*(IF(T236="",-1,T236)=0)*(1-(IF(T236="",-1,T236)&gt;=0)*(IF(T236="",-1,T236)&lt;=1)),IF(C236="peso_corporal",IF(ISNUMBER(E236),E236,0)+R236,R236)*S236*1000+R236,0)=Y236,5,IF(IF((P236&gt;0)*(IF(Q236="",-1,Q236)=0)*(1-(IF(Q236="",-1,Q236)&gt;=0)*(IF(Q236="",-1,Q236)&lt;=1)),IF(C236="peso_corporal",IF(ISNUMBER(E236),E236,0)+O236,O236)*P236*1000+O236,0)=Y236,4,IF(IF((M236&gt;0)*(IF(N236="",-1,N236)=0)*(1-(IF(N236="",-1,N236)&gt;=0)*(IF(N236="",-1,N236)&lt;=1)),IF(C236="peso_corporal",IF(ISNUMBER(E236),E236,0)+L236,L236)*M236*1000+L236,0)=Y236,3,IF(IF((J236&gt;0)*(IF(K236="",-1,K236)=0)*(1-(IF(K236="",-1,K236)&gt;=0)*(IF(K236="",-1,K236)&lt;=1)),IF(C236="peso_corporal",IF(ISNUMBER(E236),E236,0)+I236,I236)*J236*1000+I236,0)=Y236,2,IF(IF((G236&gt;0)*(IF(H236="",-1,H236)=0)*(1-(IF(H236="",-1,H236)&gt;=0)*(IF(H236="",-1,H236)&lt;=1)),IF(C236="peso_corporal",IF(ISNUMBER(E236),E236,0)+F236,F236)*G236*1000+F236,0)=Y236,1,0))))))</f>
        <v>0</v>
      </c>
      <c r="AA236" s="69">
        <f>MAX(IF((G236&gt;=3)*(1-(IF(H236="",-1,H236)&gt;=0)*(IF(H236="",-1,H236)&lt;=1))*(1-(IF(H236="",-1,H236)=0)),IF(C236="peso_corporal",IF(ISNUMBER(E236),E236,0)+F236,F236)*(30+G236)*100+F236,0),IF((J236&gt;=3)*(1-(IF(K236="",-1,K236)&gt;=0)*(IF(K236="",-1,K236)&lt;=1))*(1-(IF(K236="",-1,K236)=0)),IF(C236="peso_corporal",IF(ISNUMBER(E236),E236,0)+I236,I236)*(30+J236)*100+I236,0),IF((M236&gt;=3)*(1-(IF(N236="",-1,N236)&gt;=0)*(IF(N236="",-1,N236)&lt;=1))*(1-(IF(N236="",-1,N236)=0)),IF(C236="peso_corporal",IF(ISNUMBER(E236),E236,0)+L236,L236)*(30+M236)*100+L236,0),IF((P236&gt;=3)*(1-(IF(Q236="",-1,Q236)&gt;=0)*(IF(Q236="",-1,Q236)&lt;=1))*(1-(IF(Q236="",-1,Q236)=0)),IF(C236="peso_corporal",IF(ISNUMBER(E236),E236,0)+O236,O236)*(30+P236)*100+O236,0),IF((S236&gt;=3)*(1-(IF(T236="",-1,T236)&gt;=0)*(IF(T236="",-1,T236)&lt;=1))*(1-(IF(T236="",-1,T236)=0)),IF(C236="peso_corporal",IF(ISNUMBER(E236),E236,0)+R236,R236)*(30+S236)*100+R236,0))</f>
        <v>0</v>
      </c>
      <c r="AB236" s="69">
        <f>IF(AA236=0,0,IF(IF((S236&gt;=3)*(1-(IF(T236="",-1,T236)&gt;=0)*(IF(T236="",-1,T236)&lt;=1))*(1-(IF(T236="",-1,T236)=0)),IF(C236="peso_corporal",IF(ISNUMBER(E236),E236,0)+R236,R236)*(30+S236)*100+R236,0)=AA236,5,IF(IF((P236&gt;=3)*(1-(IF(Q236="",-1,Q236)&gt;=0)*(IF(Q236="",-1,Q236)&lt;=1))*(1-(IF(Q236="",-1,Q236)=0)),IF(C236="peso_corporal",IF(ISNUMBER(E236),E236,0)+O236,O236)*(30+P236)*100+O236,0)=AA236,4,IF(IF((M236&gt;=3)*(1-(IF(N236="",-1,N236)&gt;=0)*(IF(N236="",-1,N236)&lt;=1))*(1-(IF(N236="",-1,N236)=0)),IF(C236="peso_corporal",IF(ISNUMBER(E236),E236,0)+L236,L236)*(30+M236)*100+L236,0)=AA236,3,IF(IF((J236&gt;=3)*(1-(IF(K236="",-1,K236)&gt;=0)*(IF(K236="",-1,K236)&lt;=1))*(1-(IF(K236="",-1,K236)=0)),IF(C236="peso_corporal",IF(ISNUMBER(E236),E236,0)+I236,I236)*(30+J236)*100+I236,0)=AA236,2,IF(IF((G236&gt;=3)*(1-(IF(H236="",-1,H236)&gt;=0)*(IF(H236="",-1,H236)&lt;=1))*(1-(IF(H236="",-1,H236)=0)),IF(C236="peso_corporal",IF(ISNUMBER(E236),E236,0)+F236,F236)*(30+G236)*100+F236,0)=AA236,1,0))))))</f>
        <v>0</v>
      </c>
      <c r="AC236" s="69" t="str">
        <f>IF(X236&gt;0,"A"&amp;X236,IF(Z236&gt;0,"B"&amp;Z236,IF(AB236&gt;0,"C"&amp;AB236,"")))</f>
        <v/>
      </c>
    </row>
    <row r="237" spans="1:29" ht="20.100000000000001" customHeight="1">
      <c r="A237" s="14" t="s">
        <v>135</v>
      </c>
      <c r="B237" s="15" t="s">
        <v>136</v>
      </c>
      <c r="C237" s="16" t="str">
        <f>IFERROR(INDEX(EJERCICIOS!$D$3:$D$75,MATCH(A237&amp;"|"&amp;B237,EJERCICIOS!$G$3:$G$75,0)),"--")</f>
        <v>--</v>
      </c>
      <c r="D237" s="17">
        <v>3</v>
      </c>
      <c r="E237" s="18">
        <f>IFERROR(LOOKUP(2,1/(MEDIDAS_Y_PESO!$B$3:$B$13&lt;&gt;""),MEDIDAS_Y_PESO!$B$3:$B$13),"--")</f>
        <v>80</v>
      </c>
      <c r="F237" s="19"/>
      <c r="G237" s="20"/>
      <c r="H237" s="21"/>
      <c r="I237" s="19"/>
      <c r="J237" s="20"/>
      <c r="K237" s="21"/>
      <c r="L237" s="19"/>
      <c r="M237" s="20"/>
      <c r="N237" s="21"/>
      <c r="O237" s="19"/>
      <c r="P237" s="20"/>
      <c r="Q237" s="21"/>
      <c r="R237" s="19"/>
      <c r="S237" s="20"/>
      <c r="T237" s="21"/>
      <c r="U237" s="22" t="str">
        <f>IFERROR(IF(IF(X237&gt;0,X237,IF(Z237&gt;0,Z237,IF(AB237&gt;0,AB237,0)))=0,"--",ROUND(CHOOSE(IF(X237&gt;0,X237,IF(Z237&gt;0,Z237,IF(AB237&gt;0,AB237,0))),IF(C237="peso_corporal",IF(ISNUMBER(E237),E237,0)+F237,F237)*(1+G237/30),IF(C237="peso_corporal",IF(ISNUMBER(E237),E237,0)+I237,I237)*(1+J237/30),IF(C237="peso_corporal",IF(ISNUMBER(E237),E237,0)+L237,L237)*(1+M237/30),IF(C237="peso_corporal",IF(ISNUMBER(E237),E237,0)+O237,O237)*(1+P237/30),IF(C237="peso_corporal",IF(ISNUMBER(E237),E237,0)+R237,R237)*(1+S237/30)),1)),"--")</f>
        <v>--</v>
      </c>
      <c r="V237" s="23" t="str">
        <f>IF(SUGERENCIAS!N660="SIN","Sin datos anteriores",IF(SUGERENCIAS!N660="SUBIR_F","^ SUBIR FUERTE | Kg:"&amp;ROUND(SUGERENCIAS!K660,1)&amp;" R:"&amp;ROUND(SUGERENCIAS!L660,0)&amp;" RIR:"&amp;ROUND(SUGERENCIAS!M660,0),IF(SUGERENCIAS!N660="SUBIR_E","^ SUBIR (Est.) | Kg:"&amp;ROUND(SUGERENCIAS!K660,1)&amp;" R:"&amp;ROUND(SUGERENCIAS!L660,0)&amp;" RIR:"&amp;ROUND(SUGERENCIAS!M660,0),IF(SUGERENCIAS!N660="SUBIR","^ SUBIR | Kg:"&amp;ROUND(SUGERENCIAS!K660,1)&amp;" R:"&amp;ROUND(SUGERENCIAS!L660,0)&amp;" RIR:"&amp;ROUND(SUGERENCIAS!M660,0),IF(SUGERENCIAS!N660="BAJAR","v BAJAR | Kg:"&amp;ROUND(SUGERENCIAS!K660,1)&amp;" R:"&amp;ROUND(SUGERENCIAS!L660,0)&amp;" RIR:"&amp;ROUND(SUGERENCIAS!M660,0),"= MANT | Kg:"&amp;ROUND(SUGERENCIAS!K660,1)&amp;" R:"&amp;ROUND(SUGERENCIAS!L660,0)&amp;" RIR:"&amp;ROUND(SUGERENCIAS!M660,0))))))</f>
        <v>Sin datos anteriores</v>
      </c>
      <c r="W237" s="69">
        <f>MAX(IF((G237&gt;0)*(IF(H237="",-1,H237)&gt;=0)*(IF(H237="",-1,H237)&lt;=1),IF(C237="peso_corporal",IF(ISNUMBER(E237),E237,0)+F237,F237)*G237*1000+F237,0),IF((J237&gt;0)*(IF(K237="",-1,K237)&gt;=0)*(IF(K237="",-1,K237)&lt;=1),IF(C237="peso_corporal",IF(ISNUMBER(E237),E237,0)+I237,I237)*J237*1000+I237,0),IF((M237&gt;0)*(IF(N237="",-1,N237)&gt;=0)*(IF(N237="",-1,N237)&lt;=1),IF(C237="peso_corporal",IF(ISNUMBER(E237),E237,0)+L237,L237)*M237*1000+L237,0),IF((P237&gt;0)*(IF(Q237="",-1,Q237)&gt;=0)*(IF(Q237="",-1,Q237)&lt;=1),IF(C237="peso_corporal",IF(ISNUMBER(E237),E237,0)+O237,O237)*P237*1000+O237,0),IF((S237&gt;0)*(IF(T237="",-1,T237)&gt;=0)*(IF(T237="",-1,T237)&lt;=1),IF(C237="peso_corporal",IF(ISNUMBER(E237),E237,0)+R237,R237)*S237*1000+R237,0))</f>
        <v>0</v>
      </c>
      <c r="X237" s="69">
        <f>IF(W237=0,0,IF(IF((S237&gt;0)*(IF(T237="",-1,T237)&gt;=0)*(IF(T237="",-1,T237)&lt;=1),IF(C237="peso_corporal",IF(ISNUMBER(E237),E237,0)+R237,R237)*S237*1000+R237,0)=W237,5,IF(IF((P237&gt;0)*(IF(Q237="",-1,Q237)&gt;=0)*(IF(Q237="",-1,Q237)&lt;=1),IF(C237="peso_corporal",IF(ISNUMBER(E237),E237,0)+O237,O237)*P237*1000+O237,0)=W237,4,IF(IF((M237&gt;0)*(IF(N237="",-1,N237)&gt;=0)*(IF(N237="",-1,N237)&lt;=1),IF(C237="peso_corporal",IF(ISNUMBER(E237),E237,0)+L237,L237)*M237*1000+L237,0)=W237,3,IF(IF((J237&gt;0)*(IF(K237="",-1,K237)&gt;=0)*(IF(K237="",-1,K237)&lt;=1),IF(C237="peso_corporal",IF(ISNUMBER(E237),E237,0)+I237,I237)*J237*1000+I237,0)=W237,2,IF(IF((G237&gt;0)*(IF(H237="",-1,H237)&gt;=0)*(IF(H237="",-1,H237)&lt;=1),IF(C237="peso_corporal",IF(ISNUMBER(E237),E237,0)+F237,F237)*G237*1000+F237,0)=W237,1,0))))))</f>
        <v>0</v>
      </c>
      <c r="Y237" s="69">
        <f>MAX(IF((G237&gt;0)*(IF(H237="",-1,H237)=0)*(1-(IF(H237="",-1,H237)&gt;=0)*(IF(H237="",-1,H237)&lt;=1)),IF(C237="peso_corporal",IF(ISNUMBER(E237),E237,0)+F237,F237)*G237*1000+F237,0),IF((J237&gt;0)*(IF(K237="",-1,K237)=0)*(1-(IF(K237="",-1,K237)&gt;=0)*(IF(K237="",-1,K237)&lt;=1)),IF(C237="peso_corporal",IF(ISNUMBER(E237),E237,0)+I237,I237)*J237*1000+I237,0),IF((M237&gt;0)*(IF(N237="",-1,N237)=0)*(1-(IF(N237="",-1,N237)&gt;=0)*(IF(N237="",-1,N237)&lt;=1)),IF(C237="peso_corporal",IF(ISNUMBER(E237),E237,0)+L237,L237)*M237*1000+L237,0),IF((P237&gt;0)*(IF(Q237="",-1,Q237)=0)*(1-(IF(Q237="",-1,Q237)&gt;=0)*(IF(Q237="",-1,Q237)&lt;=1)),IF(C237="peso_corporal",IF(ISNUMBER(E237),E237,0)+O237,O237)*P237*1000+O237,0),IF((S237&gt;0)*(IF(T237="",-1,T237)=0)*(1-(IF(T237="",-1,T237)&gt;=0)*(IF(T237="",-1,T237)&lt;=1)),IF(C237="peso_corporal",IF(ISNUMBER(E237),E237,0)+R237,R237)*S237*1000+R237,0))</f>
        <v>0</v>
      </c>
      <c r="Z237" s="69">
        <f>IF(Y237=0,0,IF(IF((S237&gt;0)*(IF(T237="",-1,T237)=0)*(1-(IF(T237="",-1,T237)&gt;=0)*(IF(T237="",-1,T237)&lt;=1)),IF(C237="peso_corporal",IF(ISNUMBER(E237),E237,0)+R237,R237)*S237*1000+R237,0)=Y237,5,IF(IF((P237&gt;0)*(IF(Q237="",-1,Q237)=0)*(1-(IF(Q237="",-1,Q237)&gt;=0)*(IF(Q237="",-1,Q237)&lt;=1)),IF(C237="peso_corporal",IF(ISNUMBER(E237),E237,0)+O237,O237)*P237*1000+O237,0)=Y237,4,IF(IF((M237&gt;0)*(IF(N237="",-1,N237)=0)*(1-(IF(N237="",-1,N237)&gt;=0)*(IF(N237="",-1,N237)&lt;=1)),IF(C237="peso_corporal",IF(ISNUMBER(E237),E237,0)+L237,L237)*M237*1000+L237,0)=Y237,3,IF(IF((J237&gt;0)*(IF(K237="",-1,K237)=0)*(1-(IF(K237="",-1,K237)&gt;=0)*(IF(K237="",-1,K237)&lt;=1)),IF(C237="peso_corporal",IF(ISNUMBER(E237),E237,0)+I237,I237)*J237*1000+I237,0)=Y237,2,IF(IF((G237&gt;0)*(IF(H237="",-1,H237)=0)*(1-(IF(H237="",-1,H237)&gt;=0)*(IF(H237="",-1,H237)&lt;=1)),IF(C237="peso_corporal",IF(ISNUMBER(E237),E237,0)+F237,F237)*G237*1000+F237,0)=Y237,1,0))))))</f>
        <v>0</v>
      </c>
      <c r="AA237" s="69">
        <f>MAX(IF((G237&gt;=3)*(1-(IF(H237="",-1,H237)&gt;=0)*(IF(H237="",-1,H237)&lt;=1))*(1-(IF(H237="",-1,H237)=0)),IF(C237="peso_corporal",IF(ISNUMBER(E237),E237,0)+F237,F237)*(30+G237)*100+F237,0),IF((J237&gt;=3)*(1-(IF(K237="",-1,K237)&gt;=0)*(IF(K237="",-1,K237)&lt;=1))*(1-(IF(K237="",-1,K237)=0)),IF(C237="peso_corporal",IF(ISNUMBER(E237),E237,0)+I237,I237)*(30+J237)*100+I237,0),IF((M237&gt;=3)*(1-(IF(N237="",-1,N237)&gt;=0)*(IF(N237="",-1,N237)&lt;=1))*(1-(IF(N237="",-1,N237)=0)),IF(C237="peso_corporal",IF(ISNUMBER(E237),E237,0)+L237,L237)*(30+M237)*100+L237,0),IF((P237&gt;=3)*(1-(IF(Q237="",-1,Q237)&gt;=0)*(IF(Q237="",-1,Q237)&lt;=1))*(1-(IF(Q237="",-1,Q237)=0)),IF(C237="peso_corporal",IF(ISNUMBER(E237),E237,0)+O237,O237)*(30+P237)*100+O237,0),IF((S237&gt;=3)*(1-(IF(T237="",-1,T237)&gt;=0)*(IF(T237="",-1,T237)&lt;=1))*(1-(IF(T237="",-1,T237)=0)),IF(C237="peso_corporal",IF(ISNUMBER(E237),E237,0)+R237,R237)*(30+S237)*100+R237,0))</f>
        <v>0</v>
      </c>
      <c r="AB237" s="69">
        <f>IF(AA237=0,0,IF(IF((S237&gt;=3)*(1-(IF(T237="",-1,T237)&gt;=0)*(IF(T237="",-1,T237)&lt;=1))*(1-(IF(T237="",-1,T237)=0)),IF(C237="peso_corporal",IF(ISNUMBER(E237),E237,0)+R237,R237)*(30+S237)*100+R237,0)=AA237,5,IF(IF((P237&gt;=3)*(1-(IF(Q237="",-1,Q237)&gt;=0)*(IF(Q237="",-1,Q237)&lt;=1))*(1-(IF(Q237="",-1,Q237)=0)),IF(C237="peso_corporal",IF(ISNUMBER(E237),E237,0)+O237,O237)*(30+P237)*100+O237,0)=AA237,4,IF(IF((M237&gt;=3)*(1-(IF(N237="",-1,N237)&gt;=0)*(IF(N237="",-1,N237)&lt;=1))*(1-(IF(N237="",-1,N237)=0)),IF(C237="peso_corporal",IF(ISNUMBER(E237),E237,0)+L237,L237)*(30+M237)*100+L237,0)=AA237,3,IF(IF((J237&gt;=3)*(1-(IF(K237="",-1,K237)&gt;=0)*(IF(K237="",-1,K237)&lt;=1))*(1-(IF(K237="",-1,K237)=0)),IF(C237="peso_corporal",IF(ISNUMBER(E237),E237,0)+I237,I237)*(30+J237)*100+I237,0)=AA237,2,IF(IF((G237&gt;=3)*(1-(IF(H237="",-1,H237)&gt;=0)*(IF(H237="",-1,H237)&lt;=1))*(1-(IF(H237="",-1,H237)=0)),IF(C237="peso_corporal",IF(ISNUMBER(E237),E237,0)+F237,F237)*(30+G237)*100+F237,0)=AA237,1,0))))))</f>
        <v>0</v>
      </c>
      <c r="AC237" s="69" t="str">
        <f>IF(X237&gt;0,"A"&amp;X237,IF(Z237&gt;0,"B"&amp;Z237,IF(AB237&gt;0,"C"&amp;AB237,"")))</f>
        <v/>
      </c>
    </row>
    <row r="238" spans="1:29" ht="20.100000000000001" customHeight="1">
      <c r="A238" s="14" t="s">
        <v>65</v>
      </c>
      <c r="B238" s="15" t="s">
        <v>66</v>
      </c>
      <c r="C238" s="16" t="str">
        <f>IFERROR(INDEX(EJERCICIOS!$D$3:$D$75,MATCH(A238&amp;"|"&amp;B238,EJERCICIOS!$G$3:$G$75,0)),"--")</f>
        <v>--</v>
      </c>
      <c r="D238" s="17">
        <v>3</v>
      </c>
      <c r="E238" s="18">
        <f>IFERROR(LOOKUP(2,1/(MEDIDAS_Y_PESO!$B$3:$B$13&lt;&gt;""),MEDIDAS_Y_PESO!$B$3:$B$13),"--")</f>
        <v>80</v>
      </c>
      <c r="F238" s="19"/>
      <c r="G238" s="20"/>
      <c r="H238" s="21"/>
      <c r="I238" s="19"/>
      <c r="J238" s="20"/>
      <c r="K238" s="21"/>
      <c r="L238" s="19"/>
      <c r="M238" s="20"/>
      <c r="N238" s="21"/>
      <c r="O238" s="19"/>
      <c r="P238" s="20"/>
      <c r="Q238" s="21"/>
      <c r="R238" s="19"/>
      <c r="S238" s="20"/>
      <c r="T238" s="21"/>
      <c r="U238" s="22" t="str">
        <f>IFERROR(IF(IF(X238&gt;0,X238,IF(Z238&gt;0,Z238,IF(AB238&gt;0,AB238,0)))=0,"--",ROUND(CHOOSE(IF(X238&gt;0,X238,IF(Z238&gt;0,Z238,IF(AB238&gt;0,AB238,0))),IF(C238="peso_corporal",IF(ISNUMBER(E238),E238,0)+F238,F238)*(1+G238/30),IF(C238="peso_corporal",IF(ISNUMBER(E238),E238,0)+I238,I238)*(1+J238/30),IF(C238="peso_corporal",IF(ISNUMBER(E238),E238,0)+L238,L238)*(1+M238/30),IF(C238="peso_corporal",IF(ISNUMBER(E238),E238,0)+O238,O238)*(1+P238/30),IF(C238="peso_corporal",IF(ISNUMBER(E238),E238,0)+R238,R238)*(1+S238/30)),1)),"--")</f>
        <v>--</v>
      </c>
      <c r="V238" s="23" t="str">
        <f>IF(SUGERENCIAS!N661="SIN","Sin datos anteriores",IF(SUGERENCIAS!N661="SUBIR_F","^ SUBIR FUERTE | Kg:"&amp;ROUND(SUGERENCIAS!K661,1)&amp;" R:"&amp;ROUND(SUGERENCIAS!L661,0)&amp;" RIR:"&amp;ROUND(SUGERENCIAS!M661,0),IF(SUGERENCIAS!N661="SUBIR_E","^ SUBIR (Est.) | Kg:"&amp;ROUND(SUGERENCIAS!K661,1)&amp;" R:"&amp;ROUND(SUGERENCIAS!L661,0)&amp;" RIR:"&amp;ROUND(SUGERENCIAS!M661,0),IF(SUGERENCIAS!N661="SUBIR","^ SUBIR | Kg:"&amp;ROUND(SUGERENCIAS!K661,1)&amp;" R:"&amp;ROUND(SUGERENCIAS!L661,0)&amp;" RIR:"&amp;ROUND(SUGERENCIAS!M661,0),IF(SUGERENCIAS!N661="BAJAR","v BAJAR | Kg:"&amp;ROUND(SUGERENCIAS!K661,1)&amp;" R:"&amp;ROUND(SUGERENCIAS!L661,0)&amp;" RIR:"&amp;ROUND(SUGERENCIAS!M661,0),"= MANT | Kg:"&amp;ROUND(SUGERENCIAS!K661,1)&amp;" R:"&amp;ROUND(SUGERENCIAS!L661,0)&amp;" RIR:"&amp;ROUND(SUGERENCIAS!M661,0))))))</f>
        <v>Sin datos anteriores</v>
      </c>
      <c r="W238" s="69">
        <f>MAX(IF((G238&gt;0)*(IF(H238="",-1,H238)&gt;=0)*(IF(H238="",-1,H238)&lt;=1),IF(C238="peso_corporal",IF(ISNUMBER(E238),E238,0)+F238,F238)*G238*1000+F238,0),IF((J238&gt;0)*(IF(K238="",-1,K238)&gt;=0)*(IF(K238="",-1,K238)&lt;=1),IF(C238="peso_corporal",IF(ISNUMBER(E238),E238,0)+I238,I238)*J238*1000+I238,0),IF((M238&gt;0)*(IF(N238="",-1,N238)&gt;=0)*(IF(N238="",-1,N238)&lt;=1),IF(C238="peso_corporal",IF(ISNUMBER(E238),E238,0)+L238,L238)*M238*1000+L238,0),IF((P238&gt;0)*(IF(Q238="",-1,Q238)&gt;=0)*(IF(Q238="",-1,Q238)&lt;=1),IF(C238="peso_corporal",IF(ISNUMBER(E238),E238,0)+O238,O238)*P238*1000+O238,0),IF((S238&gt;0)*(IF(T238="",-1,T238)&gt;=0)*(IF(T238="",-1,T238)&lt;=1),IF(C238="peso_corporal",IF(ISNUMBER(E238),E238,0)+R238,R238)*S238*1000+R238,0))</f>
        <v>0</v>
      </c>
      <c r="X238" s="69">
        <f>IF(W238=0,0,IF(IF((S238&gt;0)*(IF(T238="",-1,T238)&gt;=0)*(IF(T238="",-1,T238)&lt;=1),IF(C238="peso_corporal",IF(ISNUMBER(E238),E238,0)+R238,R238)*S238*1000+R238,0)=W238,5,IF(IF((P238&gt;0)*(IF(Q238="",-1,Q238)&gt;=0)*(IF(Q238="",-1,Q238)&lt;=1),IF(C238="peso_corporal",IF(ISNUMBER(E238),E238,0)+O238,O238)*P238*1000+O238,0)=W238,4,IF(IF((M238&gt;0)*(IF(N238="",-1,N238)&gt;=0)*(IF(N238="",-1,N238)&lt;=1),IF(C238="peso_corporal",IF(ISNUMBER(E238),E238,0)+L238,L238)*M238*1000+L238,0)=W238,3,IF(IF((J238&gt;0)*(IF(K238="",-1,K238)&gt;=0)*(IF(K238="",-1,K238)&lt;=1),IF(C238="peso_corporal",IF(ISNUMBER(E238),E238,0)+I238,I238)*J238*1000+I238,0)=W238,2,IF(IF((G238&gt;0)*(IF(H238="",-1,H238)&gt;=0)*(IF(H238="",-1,H238)&lt;=1),IF(C238="peso_corporal",IF(ISNUMBER(E238),E238,0)+F238,F238)*G238*1000+F238,0)=W238,1,0))))))</f>
        <v>0</v>
      </c>
      <c r="Y238" s="69">
        <f>MAX(IF((G238&gt;0)*(IF(H238="",-1,H238)=0)*(1-(IF(H238="",-1,H238)&gt;=0)*(IF(H238="",-1,H238)&lt;=1)),IF(C238="peso_corporal",IF(ISNUMBER(E238),E238,0)+F238,F238)*G238*1000+F238,0),IF((J238&gt;0)*(IF(K238="",-1,K238)=0)*(1-(IF(K238="",-1,K238)&gt;=0)*(IF(K238="",-1,K238)&lt;=1)),IF(C238="peso_corporal",IF(ISNUMBER(E238),E238,0)+I238,I238)*J238*1000+I238,0),IF((M238&gt;0)*(IF(N238="",-1,N238)=0)*(1-(IF(N238="",-1,N238)&gt;=0)*(IF(N238="",-1,N238)&lt;=1)),IF(C238="peso_corporal",IF(ISNUMBER(E238),E238,0)+L238,L238)*M238*1000+L238,0),IF((P238&gt;0)*(IF(Q238="",-1,Q238)=0)*(1-(IF(Q238="",-1,Q238)&gt;=0)*(IF(Q238="",-1,Q238)&lt;=1)),IF(C238="peso_corporal",IF(ISNUMBER(E238),E238,0)+O238,O238)*P238*1000+O238,0),IF((S238&gt;0)*(IF(T238="",-1,T238)=0)*(1-(IF(T238="",-1,T238)&gt;=0)*(IF(T238="",-1,T238)&lt;=1)),IF(C238="peso_corporal",IF(ISNUMBER(E238),E238,0)+R238,R238)*S238*1000+R238,0))</f>
        <v>0</v>
      </c>
      <c r="Z238" s="69">
        <f>IF(Y238=0,0,IF(IF((S238&gt;0)*(IF(T238="",-1,T238)=0)*(1-(IF(T238="",-1,T238)&gt;=0)*(IF(T238="",-1,T238)&lt;=1)),IF(C238="peso_corporal",IF(ISNUMBER(E238),E238,0)+R238,R238)*S238*1000+R238,0)=Y238,5,IF(IF((P238&gt;0)*(IF(Q238="",-1,Q238)=0)*(1-(IF(Q238="",-1,Q238)&gt;=0)*(IF(Q238="",-1,Q238)&lt;=1)),IF(C238="peso_corporal",IF(ISNUMBER(E238),E238,0)+O238,O238)*P238*1000+O238,0)=Y238,4,IF(IF((M238&gt;0)*(IF(N238="",-1,N238)=0)*(1-(IF(N238="",-1,N238)&gt;=0)*(IF(N238="",-1,N238)&lt;=1)),IF(C238="peso_corporal",IF(ISNUMBER(E238),E238,0)+L238,L238)*M238*1000+L238,0)=Y238,3,IF(IF((J238&gt;0)*(IF(K238="",-1,K238)=0)*(1-(IF(K238="",-1,K238)&gt;=0)*(IF(K238="",-1,K238)&lt;=1)),IF(C238="peso_corporal",IF(ISNUMBER(E238),E238,0)+I238,I238)*J238*1000+I238,0)=Y238,2,IF(IF((G238&gt;0)*(IF(H238="",-1,H238)=0)*(1-(IF(H238="",-1,H238)&gt;=0)*(IF(H238="",-1,H238)&lt;=1)),IF(C238="peso_corporal",IF(ISNUMBER(E238),E238,0)+F238,F238)*G238*1000+F238,0)=Y238,1,0))))))</f>
        <v>0</v>
      </c>
      <c r="AA238" s="69">
        <f>MAX(IF((G238&gt;=3)*(1-(IF(H238="",-1,H238)&gt;=0)*(IF(H238="",-1,H238)&lt;=1))*(1-(IF(H238="",-1,H238)=0)),IF(C238="peso_corporal",IF(ISNUMBER(E238),E238,0)+F238,F238)*(30+G238)*100+F238,0),IF((J238&gt;=3)*(1-(IF(K238="",-1,K238)&gt;=0)*(IF(K238="",-1,K238)&lt;=1))*(1-(IF(K238="",-1,K238)=0)),IF(C238="peso_corporal",IF(ISNUMBER(E238),E238,0)+I238,I238)*(30+J238)*100+I238,0),IF((M238&gt;=3)*(1-(IF(N238="",-1,N238)&gt;=0)*(IF(N238="",-1,N238)&lt;=1))*(1-(IF(N238="",-1,N238)=0)),IF(C238="peso_corporal",IF(ISNUMBER(E238),E238,0)+L238,L238)*(30+M238)*100+L238,0),IF((P238&gt;=3)*(1-(IF(Q238="",-1,Q238)&gt;=0)*(IF(Q238="",-1,Q238)&lt;=1))*(1-(IF(Q238="",-1,Q238)=0)),IF(C238="peso_corporal",IF(ISNUMBER(E238),E238,0)+O238,O238)*(30+P238)*100+O238,0),IF((S238&gt;=3)*(1-(IF(T238="",-1,T238)&gt;=0)*(IF(T238="",-1,T238)&lt;=1))*(1-(IF(T238="",-1,T238)=0)),IF(C238="peso_corporal",IF(ISNUMBER(E238),E238,0)+R238,R238)*(30+S238)*100+R238,0))</f>
        <v>0</v>
      </c>
      <c r="AB238" s="69">
        <f>IF(AA238=0,0,IF(IF((S238&gt;=3)*(1-(IF(T238="",-1,T238)&gt;=0)*(IF(T238="",-1,T238)&lt;=1))*(1-(IF(T238="",-1,T238)=0)),IF(C238="peso_corporal",IF(ISNUMBER(E238),E238,0)+R238,R238)*(30+S238)*100+R238,0)=AA238,5,IF(IF((P238&gt;=3)*(1-(IF(Q238="",-1,Q238)&gt;=0)*(IF(Q238="",-1,Q238)&lt;=1))*(1-(IF(Q238="",-1,Q238)=0)),IF(C238="peso_corporal",IF(ISNUMBER(E238),E238,0)+O238,O238)*(30+P238)*100+O238,0)=AA238,4,IF(IF((M238&gt;=3)*(1-(IF(N238="",-1,N238)&gt;=0)*(IF(N238="",-1,N238)&lt;=1))*(1-(IF(N238="",-1,N238)=0)),IF(C238="peso_corporal",IF(ISNUMBER(E238),E238,0)+L238,L238)*(30+M238)*100+L238,0)=AA238,3,IF(IF((J238&gt;=3)*(1-(IF(K238="",-1,K238)&gt;=0)*(IF(K238="",-1,K238)&lt;=1))*(1-(IF(K238="",-1,K238)=0)),IF(C238="peso_corporal",IF(ISNUMBER(E238),E238,0)+I238,I238)*(30+J238)*100+I238,0)=AA238,2,IF(IF((G238&gt;=3)*(1-(IF(H238="",-1,H238)&gt;=0)*(IF(H238="",-1,H238)&lt;=1))*(1-(IF(H238="",-1,H238)=0)),IF(C238="peso_corporal",IF(ISNUMBER(E238),E238,0)+F238,F238)*(30+G238)*100+F238,0)=AA238,1,0))))))</f>
        <v>0</v>
      </c>
      <c r="AC238" s="69" t="str">
        <f>IF(X238&gt;0,"A"&amp;X238,IF(Z238&gt;0,"B"&amp;Z238,IF(AB238&gt;0,"C"&amp;AB238,"")))</f>
        <v/>
      </c>
    </row>
    <row r="239" spans="1:29" ht="20.100000000000001" customHeight="1">
      <c r="A239" s="14" t="s">
        <v>65</v>
      </c>
      <c r="B239" s="15" t="s">
        <v>137</v>
      </c>
      <c r="C239" s="16" t="str">
        <f>IFERROR(INDEX(EJERCICIOS!$D$3:$D$75,MATCH(A239&amp;"|"&amp;B239,EJERCICIOS!$G$3:$G$75,0)),"--")</f>
        <v>--</v>
      </c>
      <c r="D239" s="17">
        <v>3</v>
      </c>
      <c r="E239" s="18">
        <f>IFERROR(LOOKUP(2,1/(MEDIDAS_Y_PESO!$B$3:$B$13&lt;&gt;""),MEDIDAS_Y_PESO!$B$3:$B$13),"--")</f>
        <v>80</v>
      </c>
      <c r="F239" s="19"/>
      <c r="G239" s="20"/>
      <c r="H239" s="21"/>
      <c r="I239" s="19"/>
      <c r="J239" s="20"/>
      <c r="K239" s="21"/>
      <c r="L239" s="19"/>
      <c r="M239" s="20"/>
      <c r="N239" s="21"/>
      <c r="O239" s="19"/>
      <c r="P239" s="20"/>
      <c r="Q239" s="21"/>
      <c r="R239" s="19"/>
      <c r="S239" s="20"/>
      <c r="T239" s="21"/>
      <c r="U239" s="22" t="str">
        <f>IFERROR(IF(IF(X239&gt;0,X239,IF(Z239&gt;0,Z239,IF(AB239&gt;0,AB239,0)))=0,"--",ROUND(CHOOSE(IF(X239&gt;0,X239,IF(Z239&gt;0,Z239,IF(AB239&gt;0,AB239,0))),IF(C239="peso_corporal",IF(ISNUMBER(E239),E239,0)+F239,F239)*(1+G239/30),IF(C239="peso_corporal",IF(ISNUMBER(E239),E239,0)+I239,I239)*(1+J239/30),IF(C239="peso_corporal",IF(ISNUMBER(E239),E239,0)+L239,L239)*(1+M239/30),IF(C239="peso_corporal",IF(ISNUMBER(E239),E239,0)+O239,O239)*(1+P239/30),IF(C239="peso_corporal",IF(ISNUMBER(E239),E239,0)+R239,R239)*(1+S239/30)),1)),"--")</f>
        <v>--</v>
      </c>
      <c r="V239" s="23" t="str">
        <f>IF(SUGERENCIAS!N662="SIN","Sin datos anteriores",IF(SUGERENCIAS!N662="SUBIR_F","^ SUBIR FUERTE | Kg:"&amp;ROUND(SUGERENCIAS!K662,1)&amp;" R:"&amp;ROUND(SUGERENCIAS!L662,0)&amp;" RIR:"&amp;ROUND(SUGERENCIAS!M662,0),IF(SUGERENCIAS!N662="SUBIR_E","^ SUBIR (Est.) | Kg:"&amp;ROUND(SUGERENCIAS!K662,1)&amp;" R:"&amp;ROUND(SUGERENCIAS!L662,0)&amp;" RIR:"&amp;ROUND(SUGERENCIAS!M662,0),IF(SUGERENCIAS!N662="SUBIR","^ SUBIR | Kg:"&amp;ROUND(SUGERENCIAS!K662,1)&amp;" R:"&amp;ROUND(SUGERENCIAS!L662,0)&amp;" RIR:"&amp;ROUND(SUGERENCIAS!M662,0),IF(SUGERENCIAS!N662="BAJAR","v BAJAR | Kg:"&amp;ROUND(SUGERENCIAS!K662,1)&amp;" R:"&amp;ROUND(SUGERENCIAS!L662,0)&amp;" RIR:"&amp;ROUND(SUGERENCIAS!M662,0),"= MANT | Kg:"&amp;ROUND(SUGERENCIAS!K662,1)&amp;" R:"&amp;ROUND(SUGERENCIAS!L662,0)&amp;" RIR:"&amp;ROUND(SUGERENCIAS!M662,0))))))</f>
        <v>Sin datos anteriores</v>
      </c>
      <c r="W239" s="69">
        <f>MAX(IF((G239&gt;0)*(IF(H239="",-1,H239)&gt;=0)*(IF(H239="",-1,H239)&lt;=1),IF(C239="peso_corporal",IF(ISNUMBER(E239),E239,0)+F239,F239)*G239*1000+F239,0),IF((J239&gt;0)*(IF(K239="",-1,K239)&gt;=0)*(IF(K239="",-1,K239)&lt;=1),IF(C239="peso_corporal",IF(ISNUMBER(E239),E239,0)+I239,I239)*J239*1000+I239,0),IF((M239&gt;0)*(IF(N239="",-1,N239)&gt;=0)*(IF(N239="",-1,N239)&lt;=1),IF(C239="peso_corporal",IF(ISNUMBER(E239),E239,0)+L239,L239)*M239*1000+L239,0),IF((P239&gt;0)*(IF(Q239="",-1,Q239)&gt;=0)*(IF(Q239="",-1,Q239)&lt;=1),IF(C239="peso_corporal",IF(ISNUMBER(E239),E239,0)+O239,O239)*P239*1000+O239,0),IF((S239&gt;0)*(IF(T239="",-1,T239)&gt;=0)*(IF(T239="",-1,T239)&lt;=1),IF(C239="peso_corporal",IF(ISNUMBER(E239),E239,0)+R239,R239)*S239*1000+R239,0))</f>
        <v>0</v>
      </c>
      <c r="X239" s="69">
        <f>IF(W239=0,0,IF(IF((S239&gt;0)*(IF(T239="",-1,T239)&gt;=0)*(IF(T239="",-1,T239)&lt;=1),IF(C239="peso_corporal",IF(ISNUMBER(E239),E239,0)+R239,R239)*S239*1000+R239,0)=W239,5,IF(IF((P239&gt;0)*(IF(Q239="",-1,Q239)&gt;=0)*(IF(Q239="",-1,Q239)&lt;=1),IF(C239="peso_corporal",IF(ISNUMBER(E239),E239,0)+O239,O239)*P239*1000+O239,0)=W239,4,IF(IF((M239&gt;0)*(IF(N239="",-1,N239)&gt;=0)*(IF(N239="",-1,N239)&lt;=1),IF(C239="peso_corporal",IF(ISNUMBER(E239),E239,0)+L239,L239)*M239*1000+L239,0)=W239,3,IF(IF((J239&gt;0)*(IF(K239="",-1,K239)&gt;=0)*(IF(K239="",-1,K239)&lt;=1),IF(C239="peso_corporal",IF(ISNUMBER(E239),E239,0)+I239,I239)*J239*1000+I239,0)=W239,2,IF(IF((G239&gt;0)*(IF(H239="",-1,H239)&gt;=0)*(IF(H239="",-1,H239)&lt;=1),IF(C239="peso_corporal",IF(ISNUMBER(E239),E239,0)+F239,F239)*G239*1000+F239,0)=W239,1,0))))))</f>
        <v>0</v>
      </c>
      <c r="Y239" s="69">
        <f>MAX(IF((G239&gt;0)*(IF(H239="",-1,H239)=0)*(1-(IF(H239="",-1,H239)&gt;=0)*(IF(H239="",-1,H239)&lt;=1)),IF(C239="peso_corporal",IF(ISNUMBER(E239),E239,0)+F239,F239)*G239*1000+F239,0),IF((J239&gt;0)*(IF(K239="",-1,K239)=0)*(1-(IF(K239="",-1,K239)&gt;=0)*(IF(K239="",-1,K239)&lt;=1)),IF(C239="peso_corporal",IF(ISNUMBER(E239),E239,0)+I239,I239)*J239*1000+I239,0),IF((M239&gt;0)*(IF(N239="",-1,N239)=0)*(1-(IF(N239="",-1,N239)&gt;=0)*(IF(N239="",-1,N239)&lt;=1)),IF(C239="peso_corporal",IF(ISNUMBER(E239),E239,0)+L239,L239)*M239*1000+L239,0),IF((P239&gt;0)*(IF(Q239="",-1,Q239)=0)*(1-(IF(Q239="",-1,Q239)&gt;=0)*(IF(Q239="",-1,Q239)&lt;=1)),IF(C239="peso_corporal",IF(ISNUMBER(E239),E239,0)+O239,O239)*P239*1000+O239,0),IF((S239&gt;0)*(IF(T239="",-1,T239)=0)*(1-(IF(T239="",-1,T239)&gt;=0)*(IF(T239="",-1,T239)&lt;=1)),IF(C239="peso_corporal",IF(ISNUMBER(E239),E239,0)+R239,R239)*S239*1000+R239,0))</f>
        <v>0</v>
      </c>
      <c r="Z239" s="69">
        <f>IF(Y239=0,0,IF(IF((S239&gt;0)*(IF(T239="",-1,T239)=0)*(1-(IF(T239="",-1,T239)&gt;=0)*(IF(T239="",-1,T239)&lt;=1)),IF(C239="peso_corporal",IF(ISNUMBER(E239),E239,0)+R239,R239)*S239*1000+R239,0)=Y239,5,IF(IF((P239&gt;0)*(IF(Q239="",-1,Q239)=0)*(1-(IF(Q239="",-1,Q239)&gt;=0)*(IF(Q239="",-1,Q239)&lt;=1)),IF(C239="peso_corporal",IF(ISNUMBER(E239),E239,0)+O239,O239)*P239*1000+O239,0)=Y239,4,IF(IF((M239&gt;0)*(IF(N239="",-1,N239)=0)*(1-(IF(N239="",-1,N239)&gt;=0)*(IF(N239="",-1,N239)&lt;=1)),IF(C239="peso_corporal",IF(ISNUMBER(E239),E239,0)+L239,L239)*M239*1000+L239,0)=Y239,3,IF(IF((J239&gt;0)*(IF(K239="",-1,K239)=0)*(1-(IF(K239="",-1,K239)&gt;=0)*(IF(K239="",-1,K239)&lt;=1)),IF(C239="peso_corporal",IF(ISNUMBER(E239),E239,0)+I239,I239)*J239*1000+I239,0)=Y239,2,IF(IF((G239&gt;0)*(IF(H239="",-1,H239)=0)*(1-(IF(H239="",-1,H239)&gt;=0)*(IF(H239="",-1,H239)&lt;=1)),IF(C239="peso_corporal",IF(ISNUMBER(E239),E239,0)+F239,F239)*G239*1000+F239,0)=Y239,1,0))))))</f>
        <v>0</v>
      </c>
      <c r="AA239" s="69">
        <f>MAX(IF((G239&gt;=3)*(1-(IF(H239="",-1,H239)&gt;=0)*(IF(H239="",-1,H239)&lt;=1))*(1-(IF(H239="",-1,H239)=0)),IF(C239="peso_corporal",IF(ISNUMBER(E239),E239,0)+F239,F239)*(30+G239)*100+F239,0),IF((J239&gt;=3)*(1-(IF(K239="",-1,K239)&gt;=0)*(IF(K239="",-1,K239)&lt;=1))*(1-(IF(K239="",-1,K239)=0)),IF(C239="peso_corporal",IF(ISNUMBER(E239),E239,0)+I239,I239)*(30+J239)*100+I239,0),IF((M239&gt;=3)*(1-(IF(N239="",-1,N239)&gt;=0)*(IF(N239="",-1,N239)&lt;=1))*(1-(IF(N239="",-1,N239)=0)),IF(C239="peso_corporal",IF(ISNUMBER(E239),E239,0)+L239,L239)*(30+M239)*100+L239,0),IF((P239&gt;=3)*(1-(IF(Q239="",-1,Q239)&gt;=0)*(IF(Q239="",-1,Q239)&lt;=1))*(1-(IF(Q239="",-1,Q239)=0)),IF(C239="peso_corporal",IF(ISNUMBER(E239),E239,0)+O239,O239)*(30+P239)*100+O239,0),IF((S239&gt;=3)*(1-(IF(T239="",-1,T239)&gt;=0)*(IF(T239="",-1,T239)&lt;=1))*(1-(IF(T239="",-1,T239)=0)),IF(C239="peso_corporal",IF(ISNUMBER(E239),E239,0)+R239,R239)*(30+S239)*100+R239,0))</f>
        <v>0</v>
      </c>
      <c r="AB239" s="69">
        <f>IF(AA239=0,0,IF(IF((S239&gt;=3)*(1-(IF(T239="",-1,T239)&gt;=0)*(IF(T239="",-1,T239)&lt;=1))*(1-(IF(T239="",-1,T239)=0)),IF(C239="peso_corporal",IF(ISNUMBER(E239),E239,0)+R239,R239)*(30+S239)*100+R239,0)=AA239,5,IF(IF((P239&gt;=3)*(1-(IF(Q239="",-1,Q239)&gt;=0)*(IF(Q239="",-1,Q239)&lt;=1))*(1-(IF(Q239="",-1,Q239)=0)),IF(C239="peso_corporal",IF(ISNUMBER(E239),E239,0)+O239,O239)*(30+P239)*100+O239,0)=AA239,4,IF(IF((M239&gt;=3)*(1-(IF(N239="",-1,N239)&gt;=0)*(IF(N239="",-1,N239)&lt;=1))*(1-(IF(N239="",-1,N239)=0)),IF(C239="peso_corporal",IF(ISNUMBER(E239),E239,0)+L239,L239)*(30+M239)*100+L239,0)=AA239,3,IF(IF((J239&gt;=3)*(1-(IF(K239="",-1,K239)&gt;=0)*(IF(K239="",-1,K239)&lt;=1))*(1-(IF(K239="",-1,K239)=0)),IF(C239="peso_corporal",IF(ISNUMBER(E239),E239,0)+I239,I239)*(30+J239)*100+I239,0)=AA239,2,IF(IF((G239&gt;=3)*(1-(IF(H239="",-1,H239)&gt;=0)*(IF(H239="",-1,H239)&lt;=1))*(1-(IF(H239="",-1,H239)=0)),IF(C239="peso_corporal",IF(ISNUMBER(E239),E239,0)+F239,F239)*(30+G239)*100+F239,0)=AA239,1,0))))))</f>
        <v>0</v>
      </c>
      <c r="AC239" s="69" t="str">
        <f>IF(X239&gt;0,"A"&amp;X239,IF(Z239&gt;0,"B"&amp;Z239,IF(AB239&gt;0,"C"&amp;AB239,"")))</f>
        <v/>
      </c>
    </row>
    <row r="240" spans="1:29" ht="15" customHeight="1">
      <c r="A240" s="89" t="s">
        <v>138</v>
      </c>
      <c r="B240" s="73"/>
      <c r="C240" s="73"/>
      <c r="D240" s="73"/>
      <c r="E240" s="73"/>
      <c r="F240" s="73"/>
      <c r="G240" s="73"/>
      <c r="H240" s="73"/>
      <c r="I240" s="73"/>
      <c r="J240" s="73"/>
      <c r="K240" s="73"/>
      <c r="L240" s="73"/>
      <c r="M240" s="73"/>
      <c r="N240" s="73"/>
      <c r="O240" s="73"/>
      <c r="P240" s="73"/>
      <c r="Q240" s="73"/>
      <c r="R240" s="73"/>
      <c r="S240" s="73"/>
      <c r="T240" s="73"/>
      <c r="U240" s="73"/>
      <c r="V240" s="73"/>
      <c r="W240" s="69"/>
      <c r="X240" s="69"/>
      <c r="Y240" s="69"/>
      <c r="Z240" s="69"/>
      <c r="AA240" s="69"/>
      <c r="AB240" s="69"/>
      <c r="AC240" s="69"/>
    </row>
    <row r="241" spans="1:29" ht="20.100000000000001" customHeight="1">
      <c r="A241" s="14" t="s">
        <v>139</v>
      </c>
      <c r="B241" s="15" t="s">
        <v>140</v>
      </c>
      <c r="C241" s="16" t="str">
        <f>IFERROR(INDEX(EJERCICIOS!$D$3:$D$75,MATCH(A241&amp;"|"&amp;B241,EJERCICIOS!$G$3:$G$75,0)),"--")</f>
        <v>disco</v>
      </c>
      <c r="D241" s="17">
        <v>3</v>
      </c>
      <c r="E241" s="18">
        <f>IFERROR(LOOKUP(2,1/(MEDIDAS_Y_PESO!$B$3:$B$13&lt;&gt;""),MEDIDAS_Y_PESO!$B$3:$B$13),"--")</f>
        <v>80</v>
      </c>
      <c r="F241" s="19"/>
      <c r="G241" s="20"/>
      <c r="H241" s="21"/>
      <c r="I241" s="19"/>
      <c r="J241" s="20"/>
      <c r="K241" s="21"/>
      <c r="L241" s="19"/>
      <c r="M241" s="20"/>
      <c r="N241" s="21"/>
      <c r="O241" s="19"/>
      <c r="P241" s="20"/>
      <c r="Q241" s="21"/>
      <c r="R241" s="19"/>
      <c r="S241" s="20"/>
      <c r="T241" s="21"/>
      <c r="U241" s="22" t="str">
        <f>IFERROR(IF(IF(X241&gt;0,X241,IF(Z241&gt;0,Z241,IF(AB241&gt;0,AB241,0)))=0,"--",ROUND(CHOOSE(IF(X241&gt;0,X241,IF(Z241&gt;0,Z241,IF(AB241&gt;0,AB241,0))),IF(C241="peso_corporal",IF(ISNUMBER(E241),E241,0)+F241,F241)*(1+G241/30),IF(C241="peso_corporal",IF(ISNUMBER(E241),E241,0)+I241,I241)*(1+J241/30),IF(C241="peso_corporal",IF(ISNUMBER(E241),E241,0)+L241,L241)*(1+M241/30),IF(C241="peso_corporal",IF(ISNUMBER(E241),E241,0)+O241,O241)*(1+P241/30),IF(C241="peso_corporal",IF(ISNUMBER(E241),E241,0)+R241,R241)*(1+S241/30)),1)),"--")</f>
        <v>--</v>
      </c>
      <c r="V241" s="23" t="str">
        <f>IF(SUGERENCIAS!N663="SIN","Sin datos anteriores",IF(SUGERENCIAS!N663="SUBIR_F","^ SUBIR FUERTE | Kg:"&amp;ROUND(SUGERENCIAS!K663,1)&amp;" R:"&amp;ROUND(SUGERENCIAS!L663,0)&amp;" RIR:"&amp;ROUND(SUGERENCIAS!M663,0),IF(SUGERENCIAS!N663="SUBIR_E","^ SUBIR (Est.) | Kg:"&amp;ROUND(SUGERENCIAS!K663,1)&amp;" R:"&amp;ROUND(SUGERENCIAS!L663,0)&amp;" RIR:"&amp;ROUND(SUGERENCIAS!M663,0),IF(SUGERENCIAS!N663="SUBIR","^ SUBIR | Kg:"&amp;ROUND(SUGERENCIAS!K663,1)&amp;" R:"&amp;ROUND(SUGERENCIAS!L663,0)&amp;" RIR:"&amp;ROUND(SUGERENCIAS!M663,0),IF(SUGERENCIAS!N663="BAJAR","v BAJAR | Kg:"&amp;ROUND(SUGERENCIAS!K663,1)&amp;" R:"&amp;ROUND(SUGERENCIAS!L663,0)&amp;" RIR:"&amp;ROUND(SUGERENCIAS!M663,0),"= MANT | Kg:"&amp;ROUND(SUGERENCIAS!K663,1)&amp;" R:"&amp;ROUND(SUGERENCIAS!L663,0)&amp;" RIR:"&amp;ROUND(SUGERENCIAS!M663,0))))))</f>
        <v>Sin datos anteriores</v>
      </c>
      <c r="W241" s="69">
        <f>MAX(IF((G241&gt;0)*(IF(H241="",-1,H241)&gt;=0)*(IF(H241="",-1,H241)&lt;=1),IF(C241="peso_corporal",IF(ISNUMBER(E241),E241,0)+F241,F241)*G241*1000+F241,0),IF((J241&gt;0)*(IF(K241="",-1,K241)&gt;=0)*(IF(K241="",-1,K241)&lt;=1),IF(C241="peso_corporal",IF(ISNUMBER(E241),E241,0)+I241,I241)*J241*1000+I241,0),IF((M241&gt;0)*(IF(N241="",-1,N241)&gt;=0)*(IF(N241="",-1,N241)&lt;=1),IF(C241="peso_corporal",IF(ISNUMBER(E241),E241,0)+L241,L241)*M241*1000+L241,0),IF((P241&gt;0)*(IF(Q241="",-1,Q241)&gt;=0)*(IF(Q241="",-1,Q241)&lt;=1),IF(C241="peso_corporal",IF(ISNUMBER(E241),E241,0)+O241,O241)*P241*1000+O241,0),IF((S241&gt;0)*(IF(T241="",-1,T241)&gt;=0)*(IF(T241="",-1,T241)&lt;=1),IF(C241="peso_corporal",IF(ISNUMBER(E241),E241,0)+R241,R241)*S241*1000+R241,0))</f>
        <v>0</v>
      </c>
      <c r="X241" s="69">
        <f>IF(W241=0,0,IF(IF((S241&gt;0)*(IF(T241="",-1,T241)&gt;=0)*(IF(T241="",-1,T241)&lt;=1),IF(C241="peso_corporal",IF(ISNUMBER(E241),E241,0)+R241,R241)*S241*1000+R241,0)=W241,5,IF(IF((P241&gt;0)*(IF(Q241="",-1,Q241)&gt;=0)*(IF(Q241="",-1,Q241)&lt;=1),IF(C241="peso_corporal",IF(ISNUMBER(E241),E241,0)+O241,O241)*P241*1000+O241,0)=W241,4,IF(IF((M241&gt;0)*(IF(N241="",-1,N241)&gt;=0)*(IF(N241="",-1,N241)&lt;=1),IF(C241="peso_corporal",IF(ISNUMBER(E241),E241,0)+L241,L241)*M241*1000+L241,0)=W241,3,IF(IF((J241&gt;0)*(IF(K241="",-1,K241)&gt;=0)*(IF(K241="",-1,K241)&lt;=1),IF(C241="peso_corporal",IF(ISNUMBER(E241),E241,0)+I241,I241)*J241*1000+I241,0)=W241,2,IF(IF((G241&gt;0)*(IF(H241="",-1,H241)&gt;=0)*(IF(H241="",-1,H241)&lt;=1),IF(C241="peso_corporal",IF(ISNUMBER(E241),E241,0)+F241,F241)*G241*1000+F241,0)=W241,1,0))))))</f>
        <v>0</v>
      </c>
      <c r="Y241" s="69">
        <f>MAX(IF((G241&gt;0)*(IF(H241="",-1,H241)=0)*(1-(IF(H241="",-1,H241)&gt;=0)*(IF(H241="",-1,H241)&lt;=1)),IF(C241="peso_corporal",IF(ISNUMBER(E241),E241,0)+F241,F241)*G241*1000+F241,0),IF((J241&gt;0)*(IF(K241="",-1,K241)=0)*(1-(IF(K241="",-1,K241)&gt;=0)*(IF(K241="",-1,K241)&lt;=1)),IF(C241="peso_corporal",IF(ISNUMBER(E241),E241,0)+I241,I241)*J241*1000+I241,0),IF((M241&gt;0)*(IF(N241="",-1,N241)=0)*(1-(IF(N241="",-1,N241)&gt;=0)*(IF(N241="",-1,N241)&lt;=1)),IF(C241="peso_corporal",IF(ISNUMBER(E241),E241,0)+L241,L241)*M241*1000+L241,0),IF((P241&gt;0)*(IF(Q241="",-1,Q241)=0)*(1-(IF(Q241="",-1,Q241)&gt;=0)*(IF(Q241="",-1,Q241)&lt;=1)),IF(C241="peso_corporal",IF(ISNUMBER(E241),E241,0)+O241,O241)*P241*1000+O241,0),IF((S241&gt;0)*(IF(T241="",-1,T241)=0)*(1-(IF(T241="",-1,T241)&gt;=0)*(IF(T241="",-1,T241)&lt;=1)),IF(C241="peso_corporal",IF(ISNUMBER(E241),E241,0)+R241,R241)*S241*1000+R241,0))</f>
        <v>0</v>
      </c>
      <c r="Z241" s="69">
        <f>IF(Y241=0,0,IF(IF((S241&gt;0)*(IF(T241="",-1,T241)=0)*(1-(IF(T241="",-1,T241)&gt;=0)*(IF(T241="",-1,T241)&lt;=1)),IF(C241="peso_corporal",IF(ISNUMBER(E241),E241,0)+R241,R241)*S241*1000+R241,0)=Y241,5,IF(IF((P241&gt;0)*(IF(Q241="",-1,Q241)=0)*(1-(IF(Q241="",-1,Q241)&gt;=0)*(IF(Q241="",-1,Q241)&lt;=1)),IF(C241="peso_corporal",IF(ISNUMBER(E241),E241,0)+O241,O241)*P241*1000+O241,0)=Y241,4,IF(IF((M241&gt;0)*(IF(N241="",-1,N241)=0)*(1-(IF(N241="",-1,N241)&gt;=0)*(IF(N241="",-1,N241)&lt;=1)),IF(C241="peso_corporal",IF(ISNUMBER(E241),E241,0)+L241,L241)*M241*1000+L241,0)=Y241,3,IF(IF((J241&gt;0)*(IF(K241="",-1,K241)=0)*(1-(IF(K241="",-1,K241)&gt;=0)*(IF(K241="",-1,K241)&lt;=1)),IF(C241="peso_corporal",IF(ISNUMBER(E241),E241,0)+I241,I241)*J241*1000+I241,0)=Y241,2,IF(IF((G241&gt;0)*(IF(H241="",-1,H241)=0)*(1-(IF(H241="",-1,H241)&gt;=0)*(IF(H241="",-1,H241)&lt;=1)),IF(C241="peso_corporal",IF(ISNUMBER(E241),E241,0)+F241,F241)*G241*1000+F241,0)=Y241,1,0))))))</f>
        <v>0</v>
      </c>
      <c r="AA241" s="69">
        <f>MAX(IF((G241&gt;=3)*(1-(IF(H241="",-1,H241)&gt;=0)*(IF(H241="",-1,H241)&lt;=1))*(1-(IF(H241="",-1,H241)=0)),IF(C241="peso_corporal",IF(ISNUMBER(E241),E241,0)+F241,F241)*(30+G241)*100+F241,0),IF((J241&gt;=3)*(1-(IF(K241="",-1,K241)&gt;=0)*(IF(K241="",-1,K241)&lt;=1))*(1-(IF(K241="",-1,K241)=0)),IF(C241="peso_corporal",IF(ISNUMBER(E241),E241,0)+I241,I241)*(30+J241)*100+I241,0),IF((M241&gt;=3)*(1-(IF(N241="",-1,N241)&gt;=0)*(IF(N241="",-1,N241)&lt;=1))*(1-(IF(N241="",-1,N241)=0)),IF(C241="peso_corporal",IF(ISNUMBER(E241),E241,0)+L241,L241)*(30+M241)*100+L241,0),IF((P241&gt;=3)*(1-(IF(Q241="",-1,Q241)&gt;=0)*(IF(Q241="",-1,Q241)&lt;=1))*(1-(IF(Q241="",-1,Q241)=0)),IF(C241="peso_corporal",IF(ISNUMBER(E241),E241,0)+O241,O241)*(30+P241)*100+O241,0),IF((S241&gt;=3)*(1-(IF(T241="",-1,T241)&gt;=0)*(IF(T241="",-1,T241)&lt;=1))*(1-(IF(T241="",-1,T241)=0)),IF(C241="peso_corporal",IF(ISNUMBER(E241),E241,0)+R241,R241)*(30+S241)*100+R241,0))</f>
        <v>0</v>
      </c>
      <c r="AB241" s="69">
        <f>IF(AA241=0,0,IF(IF((S241&gt;=3)*(1-(IF(T241="",-1,T241)&gt;=0)*(IF(T241="",-1,T241)&lt;=1))*(1-(IF(T241="",-1,T241)=0)),IF(C241="peso_corporal",IF(ISNUMBER(E241),E241,0)+R241,R241)*(30+S241)*100+R241,0)=AA241,5,IF(IF((P241&gt;=3)*(1-(IF(Q241="",-1,Q241)&gt;=0)*(IF(Q241="",-1,Q241)&lt;=1))*(1-(IF(Q241="",-1,Q241)=0)),IF(C241="peso_corporal",IF(ISNUMBER(E241),E241,0)+O241,O241)*(30+P241)*100+O241,0)=AA241,4,IF(IF((M241&gt;=3)*(1-(IF(N241="",-1,N241)&gt;=0)*(IF(N241="",-1,N241)&lt;=1))*(1-(IF(N241="",-1,N241)=0)),IF(C241="peso_corporal",IF(ISNUMBER(E241),E241,0)+L241,L241)*(30+M241)*100+L241,0)=AA241,3,IF(IF((J241&gt;=3)*(1-(IF(K241="",-1,K241)&gt;=0)*(IF(K241="",-1,K241)&lt;=1))*(1-(IF(K241="",-1,K241)=0)),IF(C241="peso_corporal",IF(ISNUMBER(E241),E241,0)+I241,I241)*(30+J241)*100+I241,0)=AA241,2,IF(IF((G241&gt;=3)*(1-(IF(H241="",-1,H241)&gt;=0)*(IF(H241="",-1,H241)&lt;=1))*(1-(IF(H241="",-1,H241)=0)),IF(C241="peso_corporal",IF(ISNUMBER(E241),E241,0)+F241,F241)*(30+G241)*100+F241,0)=AA241,1,0))))))</f>
        <v>0</v>
      </c>
      <c r="AC241" s="69" t="str">
        <f>IF(X241&gt;0,"A"&amp;X241,IF(Z241&gt;0,"B"&amp;Z241,IF(AB241&gt;0,"C"&amp;AB241,"")))</f>
        <v/>
      </c>
    </row>
    <row r="242" spans="1:29" ht="20.100000000000001" customHeight="1">
      <c r="A242" s="14" t="s">
        <v>139</v>
      </c>
      <c r="B242" s="15" t="s">
        <v>141</v>
      </c>
      <c r="C242" s="16" t="str">
        <f>IFERROR(INDEX(EJERCICIOS!$D$3:$D$75,MATCH(A242&amp;"|"&amp;B242,EJERCICIOS!$G$3:$G$75,0)),"--")</f>
        <v>disco</v>
      </c>
      <c r="D242" s="17">
        <v>3</v>
      </c>
      <c r="E242" s="18">
        <f>IFERROR(LOOKUP(2,1/(MEDIDAS_Y_PESO!$B$3:$B$13&lt;&gt;""),MEDIDAS_Y_PESO!$B$3:$B$13),"--")</f>
        <v>80</v>
      </c>
      <c r="F242" s="19"/>
      <c r="G242" s="20"/>
      <c r="H242" s="21"/>
      <c r="I242" s="19"/>
      <c r="J242" s="20"/>
      <c r="K242" s="21"/>
      <c r="L242" s="19"/>
      <c r="M242" s="20"/>
      <c r="N242" s="21"/>
      <c r="O242" s="19"/>
      <c r="P242" s="20"/>
      <c r="Q242" s="21"/>
      <c r="R242" s="19"/>
      <c r="S242" s="20"/>
      <c r="T242" s="21"/>
      <c r="U242" s="22" t="str">
        <f>IFERROR(IF(IF(X242&gt;0,X242,IF(Z242&gt;0,Z242,IF(AB242&gt;0,AB242,0)))=0,"--",ROUND(CHOOSE(IF(X242&gt;0,X242,IF(Z242&gt;0,Z242,IF(AB242&gt;0,AB242,0))),IF(C242="peso_corporal",IF(ISNUMBER(E242),E242,0)+F242,F242)*(1+G242/30),IF(C242="peso_corporal",IF(ISNUMBER(E242),E242,0)+I242,I242)*(1+J242/30),IF(C242="peso_corporal",IF(ISNUMBER(E242),E242,0)+L242,L242)*(1+M242/30),IF(C242="peso_corporal",IF(ISNUMBER(E242),E242,0)+O242,O242)*(1+P242/30),IF(C242="peso_corporal",IF(ISNUMBER(E242),E242,0)+R242,R242)*(1+S242/30)),1)),"--")</f>
        <v>--</v>
      </c>
      <c r="V242" s="23" t="str">
        <f>IF(SUGERENCIAS!N664="SIN","Sin datos anteriores",IF(SUGERENCIAS!N664="SUBIR_F","^ SUBIR FUERTE | Kg:"&amp;ROUND(SUGERENCIAS!K664,1)&amp;" R:"&amp;ROUND(SUGERENCIAS!L664,0)&amp;" RIR:"&amp;ROUND(SUGERENCIAS!M664,0),IF(SUGERENCIAS!N664="SUBIR_E","^ SUBIR (Est.) | Kg:"&amp;ROUND(SUGERENCIAS!K664,1)&amp;" R:"&amp;ROUND(SUGERENCIAS!L664,0)&amp;" RIR:"&amp;ROUND(SUGERENCIAS!M664,0),IF(SUGERENCIAS!N664="SUBIR","^ SUBIR | Kg:"&amp;ROUND(SUGERENCIAS!K664,1)&amp;" R:"&amp;ROUND(SUGERENCIAS!L664,0)&amp;" RIR:"&amp;ROUND(SUGERENCIAS!M664,0),IF(SUGERENCIAS!N664="BAJAR","v BAJAR | Kg:"&amp;ROUND(SUGERENCIAS!K664,1)&amp;" R:"&amp;ROUND(SUGERENCIAS!L664,0)&amp;" RIR:"&amp;ROUND(SUGERENCIAS!M664,0),"= MANT | Kg:"&amp;ROUND(SUGERENCIAS!K664,1)&amp;" R:"&amp;ROUND(SUGERENCIAS!L664,0)&amp;" RIR:"&amp;ROUND(SUGERENCIAS!M664,0))))))</f>
        <v>Sin datos anteriores</v>
      </c>
      <c r="W242" s="69">
        <f>MAX(IF((G242&gt;0)*(IF(H242="",-1,H242)&gt;=0)*(IF(H242="",-1,H242)&lt;=1),IF(C242="peso_corporal",IF(ISNUMBER(E242),E242,0)+F242,F242)*G242*1000+F242,0),IF((J242&gt;0)*(IF(K242="",-1,K242)&gt;=0)*(IF(K242="",-1,K242)&lt;=1),IF(C242="peso_corporal",IF(ISNUMBER(E242),E242,0)+I242,I242)*J242*1000+I242,0),IF((M242&gt;0)*(IF(N242="",-1,N242)&gt;=0)*(IF(N242="",-1,N242)&lt;=1),IF(C242="peso_corporal",IF(ISNUMBER(E242),E242,0)+L242,L242)*M242*1000+L242,0),IF((P242&gt;0)*(IF(Q242="",-1,Q242)&gt;=0)*(IF(Q242="",-1,Q242)&lt;=1),IF(C242="peso_corporal",IF(ISNUMBER(E242),E242,0)+O242,O242)*P242*1000+O242,0),IF((S242&gt;0)*(IF(T242="",-1,T242)&gt;=0)*(IF(T242="",-1,T242)&lt;=1),IF(C242="peso_corporal",IF(ISNUMBER(E242),E242,0)+R242,R242)*S242*1000+R242,0))</f>
        <v>0</v>
      </c>
      <c r="X242" s="69">
        <f>IF(W242=0,0,IF(IF((S242&gt;0)*(IF(T242="",-1,T242)&gt;=0)*(IF(T242="",-1,T242)&lt;=1),IF(C242="peso_corporal",IF(ISNUMBER(E242),E242,0)+R242,R242)*S242*1000+R242,0)=W242,5,IF(IF((P242&gt;0)*(IF(Q242="",-1,Q242)&gt;=0)*(IF(Q242="",-1,Q242)&lt;=1),IF(C242="peso_corporal",IF(ISNUMBER(E242),E242,0)+O242,O242)*P242*1000+O242,0)=W242,4,IF(IF((M242&gt;0)*(IF(N242="",-1,N242)&gt;=0)*(IF(N242="",-1,N242)&lt;=1),IF(C242="peso_corporal",IF(ISNUMBER(E242),E242,0)+L242,L242)*M242*1000+L242,0)=W242,3,IF(IF((J242&gt;0)*(IF(K242="",-1,K242)&gt;=0)*(IF(K242="",-1,K242)&lt;=1),IF(C242="peso_corporal",IF(ISNUMBER(E242),E242,0)+I242,I242)*J242*1000+I242,0)=W242,2,IF(IF((G242&gt;0)*(IF(H242="",-1,H242)&gt;=0)*(IF(H242="",-1,H242)&lt;=1),IF(C242="peso_corporal",IF(ISNUMBER(E242),E242,0)+F242,F242)*G242*1000+F242,0)=W242,1,0))))))</f>
        <v>0</v>
      </c>
      <c r="Y242" s="69">
        <f>MAX(IF((G242&gt;0)*(IF(H242="",-1,H242)=0)*(1-(IF(H242="",-1,H242)&gt;=0)*(IF(H242="",-1,H242)&lt;=1)),IF(C242="peso_corporal",IF(ISNUMBER(E242),E242,0)+F242,F242)*G242*1000+F242,0),IF((J242&gt;0)*(IF(K242="",-1,K242)=0)*(1-(IF(K242="",-1,K242)&gt;=0)*(IF(K242="",-1,K242)&lt;=1)),IF(C242="peso_corporal",IF(ISNUMBER(E242),E242,0)+I242,I242)*J242*1000+I242,0),IF((M242&gt;0)*(IF(N242="",-1,N242)=0)*(1-(IF(N242="",-1,N242)&gt;=0)*(IF(N242="",-1,N242)&lt;=1)),IF(C242="peso_corporal",IF(ISNUMBER(E242),E242,0)+L242,L242)*M242*1000+L242,0),IF((P242&gt;0)*(IF(Q242="",-1,Q242)=0)*(1-(IF(Q242="",-1,Q242)&gt;=0)*(IF(Q242="",-1,Q242)&lt;=1)),IF(C242="peso_corporal",IF(ISNUMBER(E242),E242,0)+O242,O242)*P242*1000+O242,0),IF((S242&gt;0)*(IF(T242="",-1,T242)=0)*(1-(IF(T242="",-1,T242)&gt;=0)*(IF(T242="",-1,T242)&lt;=1)),IF(C242="peso_corporal",IF(ISNUMBER(E242),E242,0)+R242,R242)*S242*1000+R242,0))</f>
        <v>0</v>
      </c>
      <c r="Z242" s="69">
        <f>IF(Y242=0,0,IF(IF((S242&gt;0)*(IF(T242="",-1,T242)=0)*(1-(IF(T242="",-1,T242)&gt;=0)*(IF(T242="",-1,T242)&lt;=1)),IF(C242="peso_corporal",IF(ISNUMBER(E242),E242,0)+R242,R242)*S242*1000+R242,0)=Y242,5,IF(IF((P242&gt;0)*(IF(Q242="",-1,Q242)=0)*(1-(IF(Q242="",-1,Q242)&gt;=0)*(IF(Q242="",-1,Q242)&lt;=1)),IF(C242="peso_corporal",IF(ISNUMBER(E242),E242,0)+O242,O242)*P242*1000+O242,0)=Y242,4,IF(IF((M242&gt;0)*(IF(N242="",-1,N242)=0)*(1-(IF(N242="",-1,N242)&gt;=0)*(IF(N242="",-1,N242)&lt;=1)),IF(C242="peso_corporal",IF(ISNUMBER(E242),E242,0)+L242,L242)*M242*1000+L242,0)=Y242,3,IF(IF((J242&gt;0)*(IF(K242="",-1,K242)=0)*(1-(IF(K242="",-1,K242)&gt;=0)*(IF(K242="",-1,K242)&lt;=1)),IF(C242="peso_corporal",IF(ISNUMBER(E242),E242,0)+I242,I242)*J242*1000+I242,0)=Y242,2,IF(IF((G242&gt;0)*(IF(H242="",-1,H242)=0)*(1-(IF(H242="",-1,H242)&gt;=0)*(IF(H242="",-1,H242)&lt;=1)),IF(C242="peso_corporal",IF(ISNUMBER(E242),E242,0)+F242,F242)*G242*1000+F242,0)=Y242,1,0))))))</f>
        <v>0</v>
      </c>
      <c r="AA242" s="69">
        <f>MAX(IF((G242&gt;=3)*(1-(IF(H242="",-1,H242)&gt;=0)*(IF(H242="",-1,H242)&lt;=1))*(1-(IF(H242="",-1,H242)=0)),IF(C242="peso_corporal",IF(ISNUMBER(E242),E242,0)+F242,F242)*(30+G242)*100+F242,0),IF((J242&gt;=3)*(1-(IF(K242="",-1,K242)&gt;=0)*(IF(K242="",-1,K242)&lt;=1))*(1-(IF(K242="",-1,K242)=0)),IF(C242="peso_corporal",IF(ISNUMBER(E242),E242,0)+I242,I242)*(30+J242)*100+I242,0),IF((M242&gt;=3)*(1-(IF(N242="",-1,N242)&gt;=0)*(IF(N242="",-1,N242)&lt;=1))*(1-(IF(N242="",-1,N242)=0)),IF(C242="peso_corporal",IF(ISNUMBER(E242),E242,0)+L242,L242)*(30+M242)*100+L242,0),IF((P242&gt;=3)*(1-(IF(Q242="",-1,Q242)&gt;=0)*(IF(Q242="",-1,Q242)&lt;=1))*(1-(IF(Q242="",-1,Q242)=0)),IF(C242="peso_corporal",IF(ISNUMBER(E242),E242,0)+O242,O242)*(30+P242)*100+O242,0),IF((S242&gt;=3)*(1-(IF(T242="",-1,T242)&gt;=0)*(IF(T242="",-1,T242)&lt;=1))*(1-(IF(T242="",-1,T242)=0)),IF(C242="peso_corporal",IF(ISNUMBER(E242),E242,0)+R242,R242)*(30+S242)*100+R242,0))</f>
        <v>0</v>
      </c>
      <c r="AB242" s="69">
        <f>IF(AA242=0,0,IF(IF((S242&gt;=3)*(1-(IF(T242="",-1,T242)&gt;=0)*(IF(T242="",-1,T242)&lt;=1))*(1-(IF(T242="",-1,T242)=0)),IF(C242="peso_corporal",IF(ISNUMBER(E242),E242,0)+R242,R242)*(30+S242)*100+R242,0)=AA242,5,IF(IF((P242&gt;=3)*(1-(IF(Q242="",-1,Q242)&gt;=0)*(IF(Q242="",-1,Q242)&lt;=1))*(1-(IF(Q242="",-1,Q242)=0)),IF(C242="peso_corporal",IF(ISNUMBER(E242),E242,0)+O242,O242)*(30+P242)*100+O242,0)=AA242,4,IF(IF((M242&gt;=3)*(1-(IF(N242="",-1,N242)&gt;=0)*(IF(N242="",-1,N242)&lt;=1))*(1-(IF(N242="",-1,N242)=0)),IF(C242="peso_corporal",IF(ISNUMBER(E242),E242,0)+L242,L242)*(30+M242)*100+L242,0)=AA242,3,IF(IF((J242&gt;=3)*(1-(IF(K242="",-1,K242)&gt;=0)*(IF(K242="",-1,K242)&lt;=1))*(1-(IF(K242="",-1,K242)=0)),IF(C242="peso_corporal",IF(ISNUMBER(E242),E242,0)+I242,I242)*(30+J242)*100+I242,0)=AA242,2,IF(IF((G242&gt;=3)*(1-(IF(H242="",-1,H242)&gt;=0)*(IF(H242="",-1,H242)&lt;=1))*(1-(IF(H242="",-1,H242)=0)),IF(C242="peso_corporal",IF(ISNUMBER(E242),E242,0)+F242,F242)*(30+G242)*100+F242,0)=AA242,1,0))))))</f>
        <v>0</v>
      </c>
      <c r="AC242" s="69" t="str">
        <f>IF(X242&gt;0,"A"&amp;X242,IF(Z242&gt;0,"B"&amp;Z242,IF(AB242&gt;0,"C"&amp;AB242,"")))</f>
        <v/>
      </c>
    </row>
    <row r="243" spans="1:29" ht="15" customHeight="1">
      <c r="A243" s="90" t="s">
        <v>142</v>
      </c>
      <c r="B243" s="73"/>
      <c r="C243" s="73"/>
      <c r="D243" s="73"/>
      <c r="E243" s="73"/>
      <c r="F243" s="73"/>
      <c r="G243" s="73"/>
      <c r="H243" s="73"/>
      <c r="I243" s="73"/>
      <c r="J243" s="73"/>
      <c r="K243" s="73"/>
      <c r="L243" s="73"/>
      <c r="M243" s="73"/>
      <c r="N243" s="73"/>
      <c r="O243" s="73"/>
      <c r="P243" s="73"/>
      <c r="Q243" s="73"/>
      <c r="R243" s="73"/>
      <c r="S243" s="73"/>
      <c r="T243" s="73"/>
      <c r="U243" s="73"/>
      <c r="V243" s="73"/>
      <c r="W243" s="69"/>
      <c r="X243" s="69"/>
      <c r="Y243" s="69"/>
      <c r="Z243" s="69"/>
      <c r="AA243" s="69"/>
      <c r="AB243" s="69"/>
      <c r="AC243" s="69"/>
    </row>
    <row r="244" spans="1:29" ht="20.100000000000001" customHeight="1">
      <c r="A244" s="14" t="s">
        <v>24</v>
      </c>
      <c r="B244" s="15" t="s">
        <v>143</v>
      </c>
      <c r="C244" s="16" t="str">
        <f>IFERROR(INDEX(EJERCICIOS!$D$3:$D$75,MATCH(A244&amp;"|"&amp;B244,EJERCICIOS!$G$3:$G$75,0)),"--")</f>
        <v>peso_corporal</v>
      </c>
      <c r="D244" s="17">
        <v>3</v>
      </c>
      <c r="E244" s="18">
        <f>IFERROR(LOOKUP(2,1/(MEDIDAS_Y_PESO!$B$3:$B$13&lt;&gt;""),MEDIDAS_Y_PESO!$B$3:$B$13),"--")</f>
        <v>80</v>
      </c>
      <c r="F244" s="19"/>
      <c r="G244" s="20"/>
      <c r="H244" s="21"/>
      <c r="I244" s="19"/>
      <c r="J244" s="20"/>
      <c r="K244" s="21"/>
      <c r="L244" s="19"/>
      <c r="M244" s="20"/>
      <c r="N244" s="21"/>
      <c r="O244" s="19"/>
      <c r="P244" s="20"/>
      <c r="Q244" s="21"/>
      <c r="R244" s="19"/>
      <c r="S244" s="20"/>
      <c r="T244" s="21"/>
      <c r="U244" s="22" t="str">
        <f>IFERROR(IF(IF(X244&gt;0,X244,IF(Z244&gt;0,Z244,IF(AB244&gt;0,AB244,0)))=0,"--",ROUND(CHOOSE(IF(X244&gt;0,X244,IF(Z244&gt;0,Z244,IF(AB244&gt;0,AB244,0))),IF(C244="peso_corporal",IF(ISNUMBER(E244),E244,0)+F244,F244)*(1+G244/30),IF(C244="peso_corporal",IF(ISNUMBER(E244),E244,0)+I244,I244)*(1+J244/30),IF(C244="peso_corporal",IF(ISNUMBER(E244),E244,0)+L244,L244)*(1+M244/30),IF(C244="peso_corporal",IF(ISNUMBER(E244),E244,0)+O244,O244)*(1+P244/30),IF(C244="peso_corporal",IF(ISNUMBER(E244),E244,0)+R244,R244)*(1+S244/30)),1)),"--")</f>
        <v>--</v>
      </c>
      <c r="V244" s="23" t="str">
        <f>IF(SUGERENCIAS!N665="SIN","Sin datos anteriores",IF(SUGERENCIAS!N665="SUBIR_F","^ SUBIR FUERTE | Kg:"&amp;ROUND(SUGERENCIAS!K665,1)&amp;" R:"&amp;ROUND(SUGERENCIAS!L665,0)&amp;" RIR:"&amp;ROUND(SUGERENCIAS!M665,0),IF(SUGERENCIAS!N665="SUBIR_E","^ SUBIR (Est.) | Kg:"&amp;ROUND(SUGERENCIAS!K665,1)&amp;" R:"&amp;ROUND(SUGERENCIAS!L665,0)&amp;" RIR:"&amp;ROUND(SUGERENCIAS!M665,0),IF(SUGERENCIAS!N665="SUBIR","^ SUBIR | Kg:"&amp;ROUND(SUGERENCIAS!K665,1)&amp;" R:"&amp;ROUND(SUGERENCIAS!L665,0)&amp;" RIR:"&amp;ROUND(SUGERENCIAS!M665,0),IF(SUGERENCIAS!N665="BAJAR","v BAJAR | Kg:"&amp;ROUND(SUGERENCIAS!K665,1)&amp;" R:"&amp;ROUND(SUGERENCIAS!L665,0)&amp;" RIR:"&amp;ROUND(SUGERENCIAS!M665,0),"= MANT | Kg:"&amp;ROUND(SUGERENCIAS!K665,1)&amp;" R:"&amp;ROUND(SUGERENCIAS!L665,0)&amp;" RIR:"&amp;ROUND(SUGERENCIAS!M665,0))))))</f>
        <v>Sin datos anteriores</v>
      </c>
      <c r="W244" s="69">
        <f>MAX(IF((G244&gt;0)*(IF(H244="",-1,H244)&gt;=0)*(IF(H244="",-1,H244)&lt;=1),IF(C244="peso_corporal",IF(ISNUMBER(E244),E244,0)+F244,F244)*G244*1000+F244,0),IF((J244&gt;0)*(IF(K244="",-1,K244)&gt;=0)*(IF(K244="",-1,K244)&lt;=1),IF(C244="peso_corporal",IF(ISNUMBER(E244),E244,0)+I244,I244)*J244*1000+I244,0),IF((M244&gt;0)*(IF(N244="",-1,N244)&gt;=0)*(IF(N244="",-1,N244)&lt;=1),IF(C244="peso_corporal",IF(ISNUMBER(E244),E244,0)+L244,L244)*M244*1000+L244,0),IF((P244&gt;0)*(IF(Q244="",-1,Q244)&gt;=0)*(IF(Q244="",-1,Q244)&lt;=1),IF(C244="peso_corporal",IF(ISNUMBER(E244),E244,0)+O244,O244)*P244*1000+O244,0),IF((S244&gt;0)*(IF(T244="",-1,T244)&gt;=0)*(IF(T244="",-1,T244)&lt;=1),IF(C244="peso_corporal",IF(ISNUMBER(E244),E244,0)+R244,R244)*S244*1000+R244,0))</f>
        <v>0</v>
      </c>
      <c r="X244" s="69">
        <f>IF(W244=0,0,IF(IF((S244&gt;0)*(IF(T244="",-1,T244)&gt;=0)*(IF(T244="",-1,T244)&lt;=1),IF(C244="peso_corporal",IF(ISNUMBER(E244),E244,0)+R244,R244)*S244*1000+R244,0)=W244,5,IF(IF((P244&gt;0)*(IF(Q244="",-1,Q244)&gt;=0)*(IF(Q244="",-1,Q244)&lt;=1),IF(C244="peso_corporal",IF(ISNUMBER(E244),E244,0)+O244,O244)*P244*1000+O244,0)=W244,4,IF(IF((M244&gt;0)*(IF(N244="",-1,N244)&gt;=0)*(IF(N244="",-1,N244)&lt;=1),IF(C244="peso_corporal",IF(ISNUMBER(E244),E244,0)+L244,L244)*M244*1000+L244,0)=W244,3,IF(IF((J244&gt;0)*(IF(K244="",-1,K244)&gt;=0)*(IF(K244="",-1,K244)&lt;=1),IF(C244="peso_corporal",IF(ISNUMBER(E244),E244,0)+I244,I244)*J244*1000+I244,0)=W244,2,IF(IF((G244&gt;0)*(IF(H244="",-1,H244)&gt;=0)*(IF(H244="",-1,H244)&lt;=1),IF(C244="peso_corporal",IF(ISNUMBER(E244),E244,0)+F244,F244)*G244*1000+F244,0)=W244,1,0))))))</f>
        <v>0</v>
      </c>
      <c r="Y244" s="69">
        <f>MAX(IF((G244&gt;0)*(IF(H244="",-1,H244)=0)*(1-(IF(H244="",-1,H244)&gt;=0)*(IF(H244="",-1,H244)&lt;=1)),IF(C244="peso_corporal",IF(ISNUMBER(E244),E244,0)+F244,F244)*G244*1000+F244,0),IF((J244&gt;0)*(IF(K244="",-1,K244)=0)*(1-(IF(K244="",-1,K244)&gt;=0)*(IF(K244="",-1,K244)&lt;=1)),IF(C244="peso_corporal",IF(ISNUMBER(E244),E244,0)+I244,I244)*J244*1000+I244,0),IF((M244&gt;0)*(IF(N244="",-1,N244)=0)*(1-(IF(N244="",-1,N244)&gt;=0)*(IF(N244="",-1,N244)&lt;=1)),IF(C244="peso_corporal",IF(ISNUMBER(E244),E244,0)+L244,L244)*M244*1000+L244,0),IF((P244&gt;0)*(IF(Q244="",-1,Q244)=0)*(1-(IF(Q244="",-1,Q244)&gt;=0)*(IF(Q244="",-1,Q244)&lt;=1)),IF(C244="peso_corporal",IF(ISNUMBER(E244),E244,0)+O244,O244)*P244*1000+O244,0),IF((S244&gt;0)*(IF(T244="",-1,T244)=0)*(1-(IF(T244="",-1,T244)&gt;=0)*(IF(T244="",-1,T244)&lt;=1)),IF(C244="peso_corporal",IF(ISNUMBER(E244),E244,0)+R244,R244)*S244*1000+R244,0))</f>
        <v>0</v>
      </c>
      <c r="Z244" s="69">
        <f>IF(Y244=0,0,IF(IF((S244&gt;0)*(IF(T244="",-1,T244)=0)*(1-(IF(T244="",-1,T244)&gt;=0)*(IF(T244="",-1,T244)&lt;=1)),IF(C244="peso_corporal",IF(ISNUMBER(E244),E244,0)+R244,R244)*S244*1000+R244,0)=Y244,5,IF(IF((P244&gt;0)*(IF(Q244="",-1,Q244)=0)*(1-(IF(Q244="",-1,Q244)&gt;=0)*(IF(Q244="",-1,Q244)&lt;=1)),IF(C244="peso_corporal",IF(ISNUMBER(E244),E244,0)+O244,O244)*P244*1000+O244,0)=Y244,4,IF(IF((M244&gt;0)*(IF(N244="",-1,N244)=0)*(1-(IF(N244="",-1,N244)&gt;=0)*(IF(N244="",-1,N244)&lt;=1)),IF(C244="peso_corporal",IF(ISNUMBER(E244),E244,0)+L244,L244)*M244*1000+L244,0)=Y244,3,IF(IF((J244&gt;0)*(IF(K244="",-1,K244)=0)*(1-(IF(K244="",-1,K244)&gt;=0)*(IF(K244="",-1,K244)&lt;=1)),IF(C244="peso_corporal",IF(ISNUMBER(E244),E244,0)+I244,I244)*J244*1000+I244,0)=Y244,2,IF(IF((G244&gt;0)*(IF(H244="",-1,H244)=0)*(1-(IF(H244="",-1,H244)&gt;=0)*(IF(H244="",-1,H244)&lt;=1)),IF(C244="peso_corporal",IF(ISNUMBER(E244),E244,0)+F244,F244)*G244*1000+F244,0)=Y244,1,0))))))</f>
        <v>0</v>
      </c>
      <c r="AA244" s="69">
        <f>MAX(IF((G244&gt;=3)*(1-(IF(H244="",-1,H244)&gt;=0)*(IF(H244="",-1,H244)&lt;=1))*(1-(IF(H244="",-1,H244)=0)),IF(C244="peso_corporal",IF(ISNUMBER(E244),E244,0)+F244,F244)*(30+G244)*100+F244,0),IF((J244&gt;=3)*(1-(IF(K244="",-1,K244)&gt;=0)*(IF(K244="",-1,K244)&lt;=1))*(1-(IF(K244="",-1,K244)=0)),IF(C244="peso_corporal",IF(ISNUMBER(E244),E244,0)+I244,I244)*(30+J244)*100+I244,0),IF((M244&gt;=3)*(1-(IF(N244="",-1,N244)&gt;=0)*(IF(N244="",-1,N244)&lt;=1))*(1-(IF(N244="",-1,N244)=0)),IF(C244="peso_corporal",IF(ISNUMBER(E244),E244,0)+L244,L244)*(30+M244)*100+L244,0),IF((P244&gt;=3)*(1-(IF(Q244="",-1,Q244)&gt;=0)*(IF(Q244="",-1,Q244)&lt;=1))*(1-(IF(Q244="",-1,Q244)=0)),IF(C244="peso_corporal",IF(ISNUMBER(E244),E244,0)+O244,O244)*(30+P244)*100+O244,0),IF((S244&gt;=3)*(1-(IF(T244="",-1,T244)&gt;=0)*(IF(T244="",-1,T244)&lt;=1))*(1-(IF(T244="",-1,T244)=0)),IF(C244="peso_corporal",IF(ISNUMBER(E244),E244,0)+R244,R244)*(30+S244)*100+R244,0))</f>
        <v>0</v>
      </c>
      <c r="AB244" s="69">
        <f>IF(AA244=0,0,IF(IF((S244&gt;=3)*(1-(IF(T244="",-1,T244)&gt;=0)*(IF(T244="",-1,T244)&lt;=1))*(1-(IF(T244="",-1,T244)=0)),IF(C244="peso_corporal",IF(ISNUMBER(E244),E244,0)+R244,R244)*(30+S244)*100+R244,0)=AA244,5,IF(IF((P244&gt;=3)*(1-(IF(Q244="",-1,Q244)&gt;=0)*(IF(Q244="",-1,Q244)&lt;=1))*(1-(IF(Q244="",-1,Q244)=0)),IF(C244="peso_corporal",IF(ISNUMBER(E244),E244,0)+O244,O244)*(30+P244)*100+O244,0)=AA244,4,IF(IF((M244&gt;=3)*(1-(IF(N244="",-1,N244)&gt;=0)*(IF(N244="",-1,N244)&lt;=1))*(1-(IF(N244="",-1,N244)=0)),IF(C244="peso_corporal",IF(ISNUMBER(E244),E244,0)+L244,L244)*(30+M244)*100+L244,0)=AA244,3,IF(IF((J244&gt;=3)*(1-(IF(K244="",-1,K244)&gt;=0)*(IF(K244="",-1,K244)&lt;=1))*(1-(IF(K244="",-1,K244)=0)),IF(C244="peso_corporal",IF(ISNUMBER(E244),E244,0)+I244,I244)*(30+J244)*100+I244,0)=AA244,2,IF(IF((G244&gt;=3)*(1-(IF(H244="",-1,H244)&gt;=0)*(IF(H244="",-1,H244)&lt;=1))*(1-(IF(H244="",-1,H244)=0)),IF(C244="peso_corporal",IF(ISNUMBER(E244),E244,0)+F244,F244)*(30+G244)*100+F244,0)=AA244,1,0))))))</f>
        <v>0</v>
      </c>
      <c r="AC244" s="69" t="str">
        <f>IF(X244&gt;0,"A"&amp;X244,IF(Z244&gt;0,"B"&amp;Z244,IF(AB244&gt;0,"C"&amp;AB244,"")))</f>
        <v/>
      </c>
    </row>
    <row r="245" spans="1:29" ht="20.100000000000001" customHeight="1">
      <c r="A245" s="14" t="s">
        <v>144</v>
      </c>
      <c r="B245" s="15" t="s">
        <v>60</v>
      </c>
      <c r="C245" s="16" t="str">
        <f>IFERROR(INDEX(EJERCICIOS!$D$3:$D$75,MATCH(A245&amp;"|"&amp;B245,EJERCICIOS!$G$3:$G$75,0)),"--")</f>
        <v>disco</v>
      </c>
      <c r="D245" s="17">
        <v>3</v>
      </c>
      <c r="E245" s="18">
        <f>IFERROR(LOOKUP(2,1/(MEDIDAS_Y_PESO!$B$3:$B$13&lt;&gt;""),MEDIDAS_Y_PESO!$B$3:$B$13),"--")</f>
        <v>80</v>
      </c>
      <c r="F245" s="19"/>
      <c r="G245" s="20"/>
      <c r="H245" s="21"/>
      <c r="I245" s="19"/>
      <c r="J245" s="20"/>
      <c r="K245" s="21"/>
      <c r="L245" s="19"/>
      <c r="M245" s="20"/>
      <c r="N245" s="21"/>
      <c r="O245" s="19"/>
      <c r="P245" s="20"/>
      <c r="Q245" s="21"/>
      <c r="R245" s="19"/>
      <c r="S245" s="20"/>
      <c r="T245" s="21"/>
      <c r="U245" s="22" t="str">
        <f>IFERROR(IF(IF(X245&gt;0,X245,IF(Z245&gt;0,Z245,IF(AB245&gt;0,AB245,0)))=0,"--",ROUND(CHOOSE(IF(X245&gt;0,X245,IF(Z245&gt;0,Z245,IF(AB245&gt;0,AB245,0))),IF(C245="peso_corporal",IF(ISNUMBER(E245),E245,0)+F245,F245)*(1+G245/30),IF(C245="peso_corporal",IF(ISNUMBER(E245),E245,0)+I245,I245)*(1+J245/30),IF(C245="peso_corporal",IF(ISNUMBER(E245),E245,0)+L245,L245)*(1+M245/30),IF(C245="peso_corporal",IF(ISNUMBER(E245),E245,0)+O245,O245)*(1+P245/30),IF(C245="peso_corporal",IF(ISNUMBER(E245),E245,0)+R245,R245)*(1+S245/30)),1)),"--")</f>
        <v>--</v>
      </c>
      <c r="V245" s="23" t="str">
        <f>IF(SUGERENCIAS!N666="SIN","Sin datos anteriores",IF(SUGERENCIAS!N666="SUBIR_F","^ SUBIR FUERTE | Kg:"&amp;ROUND(SUGERENCIAS!K666,1)&amp;" R:"&amp;ROUND(SUGERENCIAS!L666,0)&amp;" RIR:"&amp;ROUND(SUGERENCIAS!M666,0),IF(SUGERENCIAS!N666="SUBIR_E","^ SUBIR (Est.) | Kg:"&amp;ROUND(SUGERENCIAS!K666,1)&amp;" R:"&amp;ROUND(SUGERENCIAS!L666,0)&amp;" RIR:"&amp;ROUND(SUGERENCIAS!M666,0),IF(SUGERENCIAS!N666="SUBIR","^ SUBIR | Kg:"&amp;ROUND(SUGERENCIAS!K666,1)&amp;" R:"&amp;ROUND(SUGERENCIAS!L666,0)&amp;" RIR:"&amp;ROUND(SUGERENCIAS!M666,0),IF(SUGERENCIAS!N666="BAJAR","v BAJAR | Kg:"&amp;ROUND(SUGERENCIAS!K666,1)&amp;" R:"&amp;ROUND(SUGERENCIAS!L666,0)&amp;" RIR:"&amp;ROUND(SUGERENCIAS!M666,0),"= MANT | Kg:"&amp;ROUND(SUGERENCIAS!K666,1)&amp;" R:"&amp;ROUND(SUGERENCIAS!L666,0)&amp;" RIR:"&amp;ROUND(SUGERENCIAS!M666,0))))))</f>
        <v>Sin datos anteriores</v>
      </c>
      <c r="W245" s="69">
        <f>MAX(IF((G245&gt;0)*(IF(H245="",-1,H245)&gt;=0)*(IF(H245="",-1,H245)&lt;=1),IF(C245="peso_corporal",IF(ISNUMBER(E245),E245,0)+F245,F245)*G245*1000+F245,0),IF((J245&gt;0)*(IF(K245="",-1,K245)&gt;=0)*(IF(K245="",-1,K245)&lt;=1),IF(C245="peso_corporal",IF(ISNUMBER(E245),E245,0)+I245,I245)*J245*1000+I245,0),IF((M245&gt;0)*(IF(N245="",-1,N245)&gt;=0)*(IF(N245="",-1,N245)&lt;=1),IF(C245="peso_corporal",IF(ISNUMBER(E245),E245,0)+L245,L245)*M245*1000+L245,0),IF((P245&gt;0)*(IF(Q245="",-1,Q245)&gt;=0)*(IF(Q245="",-1,Q245)&lt;=1),IF(C245="peso_corporal",IF(ISNUMBER(E245),E245,0)+O245,O245)*P245*1000+O245,0),IF((S245&gt;0)*(IF(T245="",-1,T245)&gt;=0)*(IF(T245="",-1,T245)&lt;=1),IF(C245="peso_corporal",IF(ISNUMBER(E245),E245,0)+R245,R245)*S245*1000+R245,0))</f>
        <v>0</v>
      </c>
      <c r="X245" s="69">
        <f>IF(W245=0,0,IF(IF((S245&gt;0)*(IF(T245="",-1,T245)&gt;=0)*(IF(T245="",-1,T245)&lt;=1),IF(C245="peso_corporal",IF(ISNUMBER(E245),E245,0)+R245,R245)*S245*1000+R245,0)=W245,5,IF(IF((P245&gt;0)*(IF(Q245="",-1,Q245)&gt;=0)*(IF(Q245="",-1,Q245)&lt;=1),IF(C245="peso_corporal",IF(ISNUMBER(E245),E245,0)+O245,O245)*P245*1000+O245,0)=W245,4,IF(IF((M245&gt;0)*(IF(N245="",-1,N245)&gt;=0)*(IF(N245="",-1,N245)&lt;=1),IF(C245="peso_corporal",IF(ISNUMBER(E245),E245,0)+L245,L245)*M245*1000+L245,0)=W245,3,IF(IF((J245&gt;0)*(IF(K245="",-1,K245)&gt;=0)*(IF(K245="",-1,K245)&lt;=1),IF(C245="peso_corporal",IF(ISNUMBER(E245),E245,0)+I245,I245)*J245*1000+I245,0)=W245,2,IF(IF((G245&gt;0)*(IF(H245="",-1,H245)&gt;=0)*(IF(H245="",-1,H245)&lt;=1),IF(C245="peso_corporal",IF(ISNUMBER(E245),E245,0)+F245,F245)*G245*1000+F245,0)=W245,1,0))))))</f>
        <v>0</v>
      </c>
      <c r="Y245" s="69">
        <f>MAX(IF((G245&gt;0)*(IF(H245="",-1,H245)=0)*(1-(IF(H245="",-1,H245)&gt;=0)*(IF(H245="",-1,H245)&lt;=1)),IF(C245="peso_corporal",IF(ISNUMBER(E245),E245,0)+F245,F245)*G245*1000+F245,0),IF((J245&gt;0)*(IF(K245="",-1,K245)=0)*(1-(IF(K245="",-1,K245)&gt;=0)*(IF(K245="",-1,K245)&lt;=1)),IF(C245="peso_corporal",IF(ISNUMBER(E245),E245,0)+I245,I245)*J245*1000+I245,0),IF((M245&gt;0)*(IF(N245="",-1,N245)=0)*(1-(IF(N245="",-1,N245)&gt;=0)*(IF(N245="",-1,N245)&lt;=1)),IF(C245="peso_corporal",IF(ISNUMBER(E245),E245,0)+L245,L245)*M245*1000+L245,0),IF((P245&gt;0)*(IF(Q245="",-1,Q245)=0)*(1-(IF(Q245="",-1,Q245)&gt;=0)*(IF(Q245="",-1,Q245)&lt;=1)),IF(C245="peso_corporal",IF(ISNUMBER(E245),E245,0)+O245,O245)*P245*1000+O245,0),IF((S245&gt;0)*(IF(T245="",-1,T245)=0)*(1-(IF(T245="",-1,T245)&gt;=0)*(IF(T245="",-1,T245)&lt;=1)),IF(C245="peso_corporal",IF(ISNUMBER(E245),E245,0)+R245,R245)*S245*1000+R245,0))</f>
        <v>0</v>
      </c>
      <c r="Z245" s="69">
        <f>IF(Y245=0,0,IF(IF((S245&gt;0)*(IF(T245="",-1,T245)=0)*(1-(IF(T245="",-1,T245)&gt;=0)*(IF(T245="",-1,T245)&lt;=1)),IF(C245="peso_corporal",IF(ISNUMBER(E245),E245,0)+R245,R245)*S245*1000+R245,0)=Y245,5,IF(IF((P245&gt;0)*(IF(Q245="",-1,Q245)=0)*(1-(IF(Q245="",-1,Q245)&gt;=0)*(IF(Q245="",-1,Q245)&lt;=1)),IF(C245="peso_corporal",IF(ISNUMBER(E245),E245,0)+O245,O245)*P245*1000+O245,0)=Y245,4,IF(IF((M245&gt;0)*(IF(N245="",-1,N245)=0)*(1-(IF(N245="",-1,N245)&gt;=0)*(IF(N245="",-1,N245)&lt;=1)),IF(C245="peso_corporal",IF(ISNUMBER(E245),E245,0)+L245,L245)*M245*1000+L245,0)=Y245,3,IF(IF((J245&gt;0)*(IF(K245="",-1,K245)=0)*(1-(IF(K245="",-1,K245)&gt;=0)*(IF(K245="",-1,K245)&lt;=1)),IF(C245="peso_corporal",IF(ISNUMBER(E245),E245,0)+I245,I245)*J245*1000+I245,0)=Y245,2,IF(IF((G245&gt;0)*(IF(H245="",-1,H245)=0)*(1-(IF(H245="",-1,H245)&gt;=0)*(IF(H245="",-1,H245)&lt;=1)),IF(C245="peso_corporal",IF(ISNUMBER(E245),E245,0)+F245,F245)*G245*1000+F245,0)=Y245,1,0))))))</f>
        <v>0</v>
      </c>
      <c r="AA245" s="69">
        <f>MAX(IF((G245&gt;=3)*(1-(IF(H245="",-1,H245)&gt;=0)*(IF(H245="",-1,H245)&lt;=1))*(1-(IF(H245="",-1,H245)=0)),IF(C245="peso_corporal",IF(ISNUMBER(E245),E245,0)+F245,F245)*(30+G245)*100+F245,0),IF((J245&gt;=3)*(1-(IF(K245="",-1,K245)&gt;=0)*(IF(K245="",-1,K245)&lt;=1))*(1-(IF(K245="",-1,K245)=0)),IF(C245="peso_corporal",IF(ISNUMBER(E245),E245,0)+I245,I245)*(30+J245)*100+I245,0),IF((M245&gt;=3)*(1-(IF(N245="",-1,N245)&gt;=0)*(IF(N245="",-1,N245)&lt;=1))*(1-(IF(N245="",-1,N245)=0)),IF(C245="peso_corporal",IF(ISNUMBER(E245),E245,0)+L245,L245)*(30+M245)*100+L245,0),IF((P245&gt;=3)*(1-(IF(Q245="",-1,Q245)&gt;=0)*(IF(Q245="",-1,Q245)&lt;=1))*(1-(IF(Q245="",-1,Q245)=0)),IF(C245="peso_corporal",IF(ISNUMBER(E245),E245,0)+O245,O245)*(30+P245)*100+O245,0),IF((S245&gt;=3)*(1-(IF(T245="",-1,T245)&gt;=0)*(IF(T245="",-1,T245)&lt;=1))*(1-(IF(T245="",-1,T245)=0)),IF(C245="peso_corporal",IF(ISNUMBER(E245),E245,0)+R245,R245)*(30+S245)*100+R245,0))</f>
        <v>0</v>
      </c>
      <c r="AB245" s="69">
        <f>IF(AA245=0,0,IF(IF((S245&gt;=3)*(1-(IF(T245="",-1,T245)&gt;=0)*(IF(T245="",-1,T245)&lt;=1))*(1-(IF(T245="",-1,T245)=0)),IF(C245="peso_corporal",IF(ISNUMBER(E245),E245,0)+R245,R245)*(30+S245)*100+R245,0)=AA245,5,IF(IF((P245&gt;=3)*(1-(IF(Q245="",-1,Q245)&gt;=0)*(IF(Q245="",-1,Q245)&lt;=1))*(1-(IF(Q245="",-1,Q245)=0)),IF(C245="peso_corporal",IF(ISNUMBER(E245),E245,0)+O245,O245)*(30+P245)*100+O245,0)=AA245,4,IF(IF((M245&gt;=3)*(1-(IF(N245="",-1,N245)&gt;=0)*(IF(N245="",-1,N245)&lt;=1))*(1-(IF(N245="",-1,N245)=0)),IF(C245="peso_corporal",IF(ISNUMBER(E245),E245,0)+L245,L245)*(30+M245)*100+L245,0)=AA245,3,IF(IF((J245&gt;=3)*(1-(IF(K245="",-1,K245)&gt;=0)*(IF(K245="",-1,K245)&lt;=1))*(1-(IF(K245="",-1,K245)=0)),IF(C245="peso_corporal",IF(ISNUMBER(E245),E245,0)+I245,I245)*(30+J245)*100+I245,0)=AA245,2,IF(IF((G245&gt;=3)*(1-(IF(H245="",-1,H245)&gt;=0)*(IF(H245="",-1,H245)&lt;=1))*(1-(IF(H245="",-1,H245)=0)),IF(C245="peso_corporal",IF(ISNUMBER(E245),E245,0)+F245,F245)*(30+G245)*100+F245,0)=AA245,1,0))))))</f>
        <v>0</v>
      </c>
      <c r="AC245" s="69" t="str">
        <f>IF(X245&gt;0,"A"&amp;X245,IF(Z245&gt;0,"B"&amp;Z245,IF(AB245&gt;0,"C"&amp;AB245,"")))</f>
        <v/>
      </c>
    </row>
    <row r="246" spans="1:29" ht="15" customHeight="1">
      <c r="A246" s="91" t="s">
        <v>145</v>
      </c>
      <c r="B246" s="73"/>
      <c r="C246" s="73"/>
      <c r="D246" s="73"/>
      <c r="E246" s="73"/>
      <c r="F246" s="73"/>
      <c r="G246" s="73"/>
      <c r="H246" s="73"/>
      <c r="I246" s="73"/>
      <c r="J246" s="73"/>
      <c r="K246" s="73"/>
      <c r="L246" s="73"/>
      <c r="M246" s="73"/>
      <c r="N246" s="73"/>
      <c r="O246" s="73"/>
      <c r="P246" s="73"/>
      <c r="Q246" s="73"/>
      <c r="R246" s="73"/>
      <c r="S246" s="73"/>
      <c r="T246" s="73"/>
      <c r="U246" s="73"/>
      <c r="V246" s="73"/>
      <c r="W246" s="69"/>
      <c r="X246" s="69"/>
      <c r="Y246" s="69"/>
      <c r="Z246" s="69"/>
      <c r="AA246" s="69"/>
      <c r="AB246" s="69"/>
      <c r="AC246" s="69"/>
    </row>
    <row r="247" spans="1:29" ht="20.100000000000001" customHeight="1">
      <c r="A247" s="14" t="s">
        <v>57</v>
      </c>
      <c r="B247" s="15" t="s">
        <v>58</v>
      </c>
      <c r="C247" s="16" t="str">
        <f>IFERROR(INDEX(EJERCICIOS!$D$3:$D$75,MATCH(A247&amp;"|"&amp;B247,EJERCICIOS!$G$3:$G$75,0)),"--")</f>
        <v>polea</v>
      </c>
      <c r="D247" s="17">
        <v>3</v>
      </c>
      <c r="E247" s="18">
        <f>IFERROR(LOOKUP(2,1/(MEDIDAS_Y_PESO!$B$3:$B$13&lt;&gt;""),MEDIDAS_Y_PESO!$B$3:$B$13),"--")</f>
        <v>80</v>
      </c>
      <c r="F247" s="19"/>
      <c r="G247" s="20"/>
      <c r="H247" s="21"/>
      <c r="I247" s="19"/>
      <c r="J247" s="20"/>
      <c r="K247" s="21"/>
      <c r="L247" s="19"/>
      <c r="M247" s="20"/>
      <c r="N247" s="21"/>
      <c r="O247" s="19"/>
      <c r="P247" s="20"/>
      <c r="Q247" s="21"/>
      <c r="R247" s="19"/>
      <c r="S247" s="20"/>
      <c r="T247" s="21"/>
      <c r="U247" s="22" t="str">
        <f>IFERROR(IF(IF(X247&gt;0,X247,IF(Z247&gt;0,Z247,IF(AB247&gt;0,AB247,0)))=0,"--",ROUND(CHOOSE(IF(X247&gt;0,X247,IF(Z247&gt;0,Z247,IF(AB247&gt;0,AB247,0))),IF(C247="peso_corporal",IF(ISNUMBER(E247),E247,0)+F247,F247)*(1+G247/30),IF(C247="peso_corporal",IF(ISNUMBER(E247),E247,0)+I247,I247)*(1+J247/30),IF(C247="peso_corporal",IF(ISNUMBER(E247),E247,0)+L247,L247)*(1+M247/30),IF(C247="peso_corporal",IF(ISNUMBER(E247),E247,0)+O247,O247)*(1+P247/30),IF(C247="peso_corporal",IF(ISNUMBER(E247),E247,0)+R247,R247)*(1+S247/30)),1)),"--")</f>
        <v>--</v>
      </c>
      <c r="V247" s="23" t="str">
        <f>IF(SUGERENCIAS!N667="SIN","Sin datos anteriores",IF(SUGERENCIAS!N667="SUBIR_F","^ SUBIR FUERTE | Kg:"&amp;ROUND(SUGERENCIAS!K667,1)&amp;" R:"&amp;ROUND(SUGERENCIAS!L667,0)&amp;" RIR:"&amp;ROUND(SUGERENCIAS!M667,0),IF(SUGERENCIAS!N667="SUBIR_E","^ SUBIR (Est.) | Kg:"&amp;ROUND(SUGERENCIAS!K667,1)&amp;" R:"&amp;ROUND(SUGERENCIAS!L667,0)&amp;" RIR:"&amp;ROUND(SUGERENCIAS!M667,0),IF(SUGERENCIAS!N667="SUBIR","^ SUBIR | Kg:"&amp;ROUND(SUGERENCIAS!K667,1)&amp;" R:"&amp;ROUND(SUGERENCIAS!L667,0)&amp;" RIR:"&amp;ROUND(SUGERENCIAS!M667,0),IF(SUGERENCIAS!N667="BAJAR","v BAJAR | Kg:"&amp;ROUND(SUGERENCIAS!K667,1)&amp;" R:"&amp;ROUND(SUGERENCIAS!L667,0)&amp;" RIR:"&amp;ROUND(SUGERENCIAS!M667,0),"= MANT | Kg:"&amp;ROUND(SUGERENCIAS!K667,1)&amp;" R:"&amp;ROUND(SUGERENCIAS!L667,0)&amp;" RIR:"&amp;ROUND(SUGERENCIAS!M667,0))))))</f>
        <v>Sin datos anteriores</v>
      </c>
      <c r="W247" s="69">
        <f>MAX(IF((G247&gt;0)*(IF(H247="",-1,H247)&gt;=0)*(IF(H247="",-1,H247)&lt;=1),IF(C247="peso_corporal",IF(ISNUMBER(E247),E247,0)+F247,F247)*G247*1000+F247,0),IF((J247&gt;0)*(IF(K247="",-1,K247)&gt;=0)*(IF(K247="",-1,K247)&lt;=1),IF(C247="peso_corporal",IF(ISNUMBER(E247),E247,0)+I247,I247)*J247*1000+I247,0),IF((M247&gt;0)*(IF(N247="",-1,N247)&gt;=0)*(IF(N247="",-1,N247)&lt;=1),IF(C247="peso_corporal",IF(ISNUMBER(E247),E247,0)+L247,L247)*M247*1000+L247,0),IF((P247&gt;0)*(IF(Q247="",-1,Q247)&gt;=0)*(IF(Q247="",-1,Q247)&lt;=1),IF(C247="peso_corporal",IF(ISNUMBER(E247),E247,0)+O247,O247)*P247*1000+O247,0),IF((S247&gt;0)*(IF(T247="",-1,T247)&gt;=0)*(IF(T247="",-1,T247)&lt;=1),IF(C247="peso_corporal",IF(ISNUMBER(E247),E247,0)+R247,R247)*S247*1000+R247,0))</f>
        <v>0</v>
      </c>
      <c r="X247" s="69">
        <f>IF(W247=0,0,IF(IF((S247&gt;0)*(IF(T247="",-1,T247)&gt;=0)*(IF(T247="",-1,T247)&lt;=1),IF(C247="peso_corporal",IF(ISNUMBER(E247),E247,0)+R247,R247)*S247*1000+R247,0)=W247,5,IF(IF((P247&gt;0)*(IF(Q247="",-1,Q247)&gt;=0)*(IF(Q247="",-1,Q247)&lt;=1),IF(C247="peso_corporal",IF(ISNUMBER(E247),E247,0)+O247,O247)*P247*1000+O247,0)=W247,4,IF(IF((M247&gt;0)*(IF(N247="",-1,N247)&gt;=0)*(IF(N247="",-1,N247)&lt;=1),IF(C247="peso_corporal",IF(ISNUMBER(E247),E247,0)+L247,L247)*M247*1000+L247,0)=W247,3,IF(IF((J247&gt;0)*(IF(K247="",-1,K247)&gt;=0)*(IF(K247="",-1,K247)&lt;=1),IF(C247="peso_corporal",IF(ISNUMBER(E247),E247,0)+I247,I247)*J247*1000+I247,0)=W247,2,IF(IF((G247&gt;0)*(IF(H247="",-1,H247)&gt;=0)*(IF(H247="",-1,H247)&lt;=1),IF(C247="peso_corporal",IF(ISNUMBER(E247),E247,0)+F247,F247)*G247*1000+F247,0)=W247,1,0))))))</f>
        <v>0</v>
      </c>
      <c r="Y247" s="69">
        <f>MAX(IF((G247&gt;0)*(IF(H247="",-1,H247)=0)*(1-(IF(H247="",-1,H247)&gt;=0)*(IF(H247="",-1,H247)&lt;=1)),IF(C247="peso_corporal",IF(ISNUMBER(E247),E247,0)+F247,F247)*G247*1000+F247,0),IF((J247&gt;0)*(IF(K247="",-1,K247)=0)*(1-(IF(K247="",-1,K247)&gt;=0)*(IF(K247="",-1,K247)&lt;=1)),IF(C247="peso_corporal",IF(ISNUMBER(E247),E247,0)+I247,I247)*J247*1000+I247,0),IF((M247&gt;0)*(IF(N247="",-1,N247)=0)*(1-(IF(N247="",-1,N247)&gt;=0)*(IF(N247="",-1,N247)&lt;=1)),IF(C247="peso_corporal",IF(ISNUMBER(E247),E247,0)+L247,L247)*M247*1000+L247,0),IF((P247&gt;0)*(IF(Q247="",-1,Q247)=0)*(1-(IF(Q247="",-1,Q247)&gt;=0)*(IF(Q247="",-1,Q247)&lt;=1)),IF(C247="peso_corporal",IF(ISNUMBER(E247),E247,0)+O247,O247)*P247*1000+O247,0),IF((S247&gt;0)*(IF(T247="",-1,T247)=0)*(1-(IF(T247="",-1,T247)&gt;=0)*(IF(T247="",-1,T247)&lt;=1)),IF(C247="peso_corporal",IF(ISNUMBER(E247),E247,0)+R247,R247)*S247*1000+R247,0))</f>
        <v>0</v>
      </c>
      <c r="Z247" s="69">
        <f>IF(Y247=0,0,IF(IF((S247&gt;0)*(IF(T247="",-1,T247)=0)*(1-(IF(T247="",-1,T247)&gt;=0)*(IF(T247="",-1,T247)&lt;=1)),IF(C247="peso_corporal",IF(ISNUMBER(E247),E247,0)+R247,R247)*S247*1000+R247,0)=Y247,5,IF(IF((P247&gt;0)*(IF(Q247="",-1,Q247)=0)*(1-(IF(Q247="",-1,Q247)&gt;=0)*(IF(Q247="",-1,Q247)&lt;=1)),IF(C247="peso_corporal",IF(ISNUMBER(E247),E247,0)+O247,O247)*P247*1000+O247,0)=Y247,4,IF(IF((M247&gt;0)*(IF(N247="",-1,N247)=0)*(1-(IF(N247="",-1,N247)&gt;=0)*(IF(N247="",-1,N247)&lt;=1)),IF(C247="peso_corporal",IF(ISNUMBER(E247),E247,0)+L247,L247)*M247*1000+L247,0)=Y247,3,IF(IF((J247&gt;0)*(IF(K247="",-1,K247)=0)*(1-(IF(K247="",-1,K247)&gt;=0)*(IF(K247="",-1,K247)&lt;=1)),IF(C247="peso_corporal",IF(ISNUMBER(E247),E247,0)+I247,I247)*J247*1000+I247,0)=Y247,2,IF(IF((G247&gt;0)*(IF(H247="",-1,H247)=0)*(1-(IF(H247="",-1,H247)&gt;=0)*(IF(H247="",-1,H247)&lt;=1)),IF(C247="peso_corporal",IF(ISNUMBER(E247),E247,0)+F247,F247)*G247*1000+F247,0)=Y247,1,0))))))</f>
        <v>0</v>
      </c>
      <c r="AA247" s="69">
        <f>MAX(IF((G247&gt;=3)*(1-(IF(H247="",-1,H247)&gt;=0)*(IF(H247="",-1,H247)&lt;=1))*(1-(IF(H247="",-1,H247)=0)),IF(C247="peso_corporal",IF(ISNUMBER(E247),E247,0)+F247,F247)*(30+G247)*100+F247,0),IF((J247&gt;=3)*(1-(IF(K247="",-1,K247)&gt;=0)*(IF(K247="",-1,K247)&lt;=1))*(1-(IF(K247="",-1,K247)=0)),IF(C247="peso_corporal",IF(ISNUMBER(E247),E247,0)+I247,I247)*(30+J247)*100+I247,0),IF((M247&gt;=3)*(1-(IF(N247="",-1,N247)&gt;=0)*(IF(N247="",-1,N247)&lt;=1))*(1-(IF(N247="",-1,N247)=0)),IF(C247="peso_corporal",IF(ISNUMBER(E247),E247,0)+L247,L247)*(30+M247)*100+L247,0),IF((P247&gt;=3)*(1-(IF(Q247="",-1,Q247)&gt;=0)*(IF(Q247="",-1,Q247)&lt;=1))*(1-(IF(Q247="",-1,Q247)=0)),IF(C247="peso_corporal",IF(ISNUMBER(E247),E247,0)+O247,O247)*(30+P247)*100+O247,0),IF((S247&gt;=3)*(1-(IF(T247="",-1,T247)&gt;=0)*(IF(T247="",-1,T247)&lt;=1))*(1-(IF(T247="",-1,T247)=0)),IF(C247="peso_corporal",IF(ISNUMBER(E247),E247,0)+R247,R247)*(30+S247)*100+R247,0))</f>
        <v>0</v>
      </c>
      <c r="AB247" s="69">
        <f>IF(AA247=0,0,IF(IF((S247&gt;=3)*(1-(IF(T247="",-1,T247)&gt;=0)*(IF(T247="",-1,T247)&lt;=1))*(1-(IF(T247="",-1,T247)=0)),IF(C247="peso_corporal",IF(ISNUMBER(E247),E247,0)+R247,R247)*(30+S247)*100+R247,0)=AA247,5,IF(IF((P247&gt;=3)*(1-(IF(Q247="",-1,Q247)&gt;=0)*(IF(Q247="",-1,Q247)&lt;=1))*(1-(IF(Q247="",-1,Q247)=0)),IF(C247="peso_corporal",IF(ISNUMBER(E247),E247,0)+O247,O247)*(30+P247)*100+O247,0)=AA247,4,IF(IF((M247&gt;=3)*(1-(IF(N247="",-1,N247)&gt;=0)*(IF(N247="",-1,N247)&lt;=1))*(1-(IF(N247="",-1,N247)=0)),IF(C247="peso_corporal",IF(ISNUMBER(E247),E247,0)+L247,L247)*(30+M247)*100+L247,0)=AA247,3,IF(IF((J247&gt;=3)*(1-(IF(K247="",-1,K247)&gt;=0)*(IF(K247="",-1,K247)&lt;=1))*(1-(IF(K247="",-1,K247)=0)),IF(C247="peso_corporal",IF(ISNUMBER(E247),E247,0)+I247,I247)*(30+J247)*100+I247,0)=AA247,2,IF(IF((G247&gt;=3)*(1-(IF(H247="",-1,H247)&gt;=0)*(IF(H247="",-1,H247)&lt;=1))*(1-(IF(H247="",-1,H247)=0)),IF(C247="peso_corporal",IF(ISNUMBER(E247),E247,0)+F247,F247)*(30+G247)*100+F247,0)=AA247,1,0))))))</f>
        <v>0</v>
      </c>
      <c r="AC247" s="69" t="str">
        <f>IF(X247&gt;0,"A"&amp;X247,IF(Z247&gt;0,"B"&amp;Z247,IF(AB247&gt;0,"C"&amp;AB247,"")))</f>
        <v/>
      </c>
    </row>
    <row r="248" spans="1:29" ht="20.100000000000001" customHeight="1">
      <c r="A248" s="14" t="s">
        <v>146</v>
      </c>
      <c r="B248" s="15" t="s">
        <v>152</v>
      </c>
      <c r="C248" s="16" t="str">
        <f>IFERROR(INDEX(EJERCICIOS!$D$3:$D$75,MATCH(A248&amp;"|"&amp;B248,EJERCICIOS!$G$3:$G$75,0)),"--")</f>
        <v>--</v>
      </c>
      <c r="D248" s="17">
        <v>3</v>
      </c>
      <c r="E248" s="18">
        <f>IFERROR(LOOKUP(2,1/(MEDIDAS_Y_PESO!$B$3:$B$13&lt;&gt;""),MEDIDAS_Y_PESO!$B$3:$B$13),"--")</f>
        <v>80</v>
      </c>
      <c r="F248" s="19"/>
      <c r="G248" s="20"/>
      <c r="H248" s="21"/>
      <c r="I248" s="19"/>
      <c r="J248" s="20"/>
      <c r="K248" s="21"/>
      <c r="L248" s="19"/>
      <c r="M248" s="20"/>
      <c r="N248" s="21"/>
      <c r="O248" s="19"/>
      <c r="P248" s="20"/>
      <c r="Q248" s="21"/>
      <c r="R248" s="19"/>
      <c r="S248" s="20"/>
      <c r="T248" s="21"/>
      <c r="U248" s="22" t="str">
        <f>IFERROR(IF(IF(X248&gt;0,X248,IF(Z248&gt;0,Z248,IF(AB248&gt;0,AB248,0)))=0,"--",ROUND(CHOOSE(IF(X248&gt;0,X248,IF(Z248&gt;0,Z248,IF(AB248&gt;0,AB248,0))),IF(C248="peso_corporal",IF(ISNUMBER(E248),E248,0)+F248,F248)*(1+G248/30),IF(C248="peso_corporal",IF(ISNUMBER(E248),E248,0)+I248,I248)*(1+J248/30),IF(C248="peso_corporal",IF(ISNUMBER(E248),E248,0)+L248,L248)*(1+M248/30),IF(C248="peso_corporal",IF(ISNUMBER(E248),E248,0)+O248,O248)*(1+P248/30),IF(C248="peso_corporal",IF(ISNUMBER(E248),E248,0)+R248,R248)*(1+S248/30)),1)),"--")</f>
        <v>--</v>
      </c>
      <c r="V248" s="23" t="str">
        <f>IF(SUGERENCIAS!N668="SIN","Sin datos anteriores",IF(SUGERENCIAS!N668="SUBIR_F","^ SUBIR FUERTE | Kg:"&amp;ROUND(SUGERENCIAS!K668,1)&amp;" R:"&amp;ROUND(SUGERENCIAS!L668,0)&amp;" RIR:"&amp;ROUND(SUGERENCIAS!M668,0),IF(SUGERENCIAS!N668="SUBIR_E","^ SUBIR (Est.) | Kg:"&amp;ROUND(SUGERENCIAS!K668,1)&amp;" R:"&amp;ROUND(SUGERENCIAS!L668,0)&amp;" RIR:"&amp;ROUND(SUGERENCIAS!M668,0),IF(SUGERENCIAS!N668="SUBIR","^ SUBIR | Kg:"&amp;ROUND(SUGERENCIAS!K668,1)&amp;" R:"&amp;ROUND(SUGERENCIAS!L668,0)&amp;" RIR:"&amp;ROUND(SUGERENCIAS!M668,0),IF(SUGERENCIAS!N668="BAJAR","v BAJAR | Kg:"&amp;ROUND(SUGERENCIAS!K668,1)&amp;" R:"&amp;ROUND(SUGERENCIAS!L668,0)&amp;" RIR:"&amp;ROUND(SUGERENCIAS!M668,0),"= MANT | Kg:"&amp;ROUND(SUGERENCIAS!K668,1)&amp;" R:"&amp;ROUND(SUGERENCIAS!L668,0)&amp;" RIR:"&amp;ROUND(SUGERENCIAS!M668,0))))))</f>
        <v>Sin datos anteriores</v>
      </c>
      <c r="W248" s="69">
        <f>MAX(IF((G248&gt;0)*(IF(H248="",-1,H248)&gt;=0)*(IF(H248="",-1,H248)&lt;=1),IF(C248="peso_corporal",IF(ISNUMBER(E248),E248,0)+F248,F248)*G248*1000+F248,0),IF((J248&gt;0)*(IF(K248="",-1,K248)&gt;=0)*(IF(K248="",-1,K248)&lt;=1),IF(C248="peso_corporal",IF(ISNUMBER(E248),E248,0)+I248,I248)*J248*1000+I248,0),IF((M248&gt;0)*(IF(N248="",-1,N248)&gt;=0)*(IF(N248="",-1,N248)&lt;=1),IF(C248="peso_corporal",IF(ISNUMBER(E248),E248,0)+L248,L248)*M248*1000+L248,0),IF((P248&gt;0)*(IF(Q248="",-1,Q248)&gt;=0)*(IF(Q248="",-1,Q248)&lt;=1),IF(C248="peso_corporal",IF(ISNUMBER(E248),E248,0)+O248,O248)*P248*1000+O248,0),IF((S248&gt;0)*(IF(T248="",-1,T248)&gt;=0)*(IF(T248="",-1,T248)&lt;=1),IF(C248="peso_corporal",IF(ISNUMBER(E248),E248,0)+R248,R248)*S248*1000+R248,0))</f>
        <v>0</v>
      </c>
      <c r="X248" s="69">
        <f>IF(W248=0,0,IF(IF((S248&gt;0)*(IF(T248="",-1,T248)&gt;=0)*(IF(T248="",-1,T248)&lt;=1),IF(C248="peso_corporal",IF(ISNUMBER(E248),E248,0)+R248,R248)*S248*1000+R248,0)=W248,5,IF(IF((P248&gt;0)*(IF(Q248="",-1,Q248)&gt;=0)*(IF(Q248="",-1,Q248)&lt;=1),IF(C248="peso_corporal",IF(ISNUMBER(E248),E248,0)+O248,O248)*P248*1000+O248,0)=W248,4,IF(IF((M248&gt;0)*(IF(N248="",-1,N248)&gt;=0)*(IF(N248="",-1,N248)&lt;=1),IF(C248="peso_corporal",IF(ISNUMBER(E248),E248,0)+L248,L248)*M248*1000+L248,0)=W248,3,IF(IF((J248&gt;0)*(IF(K248="",-1,K248)&gt;=0)*(IF(K248="",-1,K248)&lt;=1),IF(C248="peso_corporal",IF(ISNUMBER(E248),E248,0)+I248,I248)*J248*1000+I248,0)=W248,2,IF(IF((G248&gt;0)*(IF(H248="",-1,H248)&gt;=0)*(IF(H248="",-1,H248)&lt;=1),IF(C248="peso_corporal",IF(ISNUMBER(E248),E248,0)+F248,F248)*G248*1000+F248,0)=W248,1,0))))))</f>
        <v>0</v>
      </c>
      <c r="Y248" s="69">
        <f>MAX(IF((G248&gt;0)*(IF(H248="",-1,H248)=0)*(1-(IF(H248="",-1,H248)&gt;=0)*(IF(H248="",-1,H248)&lt;=1)),IF(C248="peso_corporal",IF(ISNUMBER(E248),E248,0)+F248,F248)*G248*1000+F248,0),IF((J248&gt;0)*(IF(K248="",-1,K248)=0)*(1-(IF(K248="",-1,K248)&gt;=0)*(IF(K248="",-1,K248)&lt;=1)),IF(C248="peso_corporal",IF(ISNUMBER(E248),E248,0)+I248,I248)*J248*1000+I248,0),IF((M248&gt;0)*(IF(N248="",-1,N248)=0)*(1-(IF(N248="",-1,N248)&gt;=0)*(IF(N248="",-1,N248)&lt;=1)),IF(C248="peso_corporal",IF(ISNUMBER(E248),E248,0)+L248,L248)*M248*1000+L248,0),IF((P248&gt;0)*(IF(Q248="",-1,Q248)=0)*(1-(IF(Q248="",-1,Q248)&gt;=0)*(IF(Q248="",-1,Q248)&lt;=1)),IF(C248="peso_corporal",IF(ISNUMBER(E248),E248,0)+O248,O248)*P248*1000+O248,0),IF((S248&gt;0)*(IF(T248="",-1,T248)=0)*(1-(IF(T248="",-1,T248)&gt;=0)*(IF(T248="",-1,T248)&lt;=1)),IF(C248="peso_corporal",IF(ISNUMBER(E248),E248,0)+R248,R248)*S248*1000+R248,0))</f>
        <v>0</v>
      </c>
      <c r="Z248" s="69">
        <f>IF(Y248=0,0,IF(IF((S248&gt;0)*(IF(T248="",-1,T248)=0)*(1-(IF(T248="",-1,T248)&gt;=0)*(IF(T248="",-1,T248)&lt;=1)),IF(C248="peso_corporal",IF(ISNUMBER(E248),E248,0)+R248,R248)*S248*1000+R248,0)=Y248,5,IF(IF((P248&gt;0)*(IF(Q248="",-1,Q248)=0)*(1-(IF(Q248="",-1,Q248)&gt;=0)*(IF(Q248="",-1,Q248)&lt;=1)),IF(C248="peso_corporal",IF(ISNUMBER(E248),E248,0)+O248,O248)*P248*1000+O248,0)=Y248,4,IF(IF((M248&gt;0)*(IF(N248="",-1,N248)=0)*(1-(IF(N248="",-1,N248)&gt;=0)*(IF(N248="",-1,N248)&lt;=1)),IF(C248="peso_corporal",IF(ISNUMBER(E248),E248,0)+L248,L248)*M248*1000+L248,0)=Y248,3,IF(IF((J248&gt;0)*(IF(K248="",-1,K248)=0)*(1-(IF(K248="",-1,K248)&gt;=0)*(IF(K248="",-1,K248)&lt;=1)),IF(C248="peso_corporal",IF(ISNUMBER(E248),E248,0)+I248,I248)*J248*1000+I248,0)=Y248,2,IF(IF((G248&gt;0)*(IF(H248="",-1,H248)=0)*(1-(IF(H248="",-1,H248)&gt;=0)*(IF(H248="",-1,H248)&lt;=1)),IF(C248="peso_corporal",IF(ISNUMBER(E248),E248,0)+F248,F248)*G248*1000+F248,0)=Y248,1,0))))))</f>
        <v>0</v>
      </c>
      <c r="AA248" s="69">
        <f>MAX(IF((G248&gt;=3)*(1-(IF(H248="",-1,H248)&gt;=0)*(IF(H248="",-1,H248)&lt;=1))*(1-(IF(H248="",-1,H248)=0)),IF(C248="peso_corporal",IF(ISNUMBER(E248),E248,0)+F248,F248)*(30+G248)*100+F248,0),IF((J248&gt;=3)*(1-(IF(K248="",-1,K248)&gt;=0)*(IF(K248="",-1,K248)&lt;=1))*(1-(IF(K248="",-1,K248)=0)),IF(C248="peso_corporal",IF(ISNUMBER(E248),E248,0)+I248,I248)*(30+J248)*100+I248,0),IF((M248&gt;=3)*(1-(IF(N248="",-1,N248)&gt;=0)*(IF(N248="",-1,N248)&lt;=1))*(1-(IF(N248="",-1,N248)=0)),IF(C248="peso_corporal",IF(ISNUMBER(E248),E248,0)+L248,L248)*(30+M248)*100+L248,0),IF((P248&gt;=3)*(1-(IF(Q248="",-1,Q248)&gt;=0)*(IF(Q248="",-1,Q248)&lt;=1))*(1-(IF(Q248="",-1,Q248)=0)),IF(C248="peso_corporal",IF(ISNUMBER(E248),E248,0)+O248,O248)*(30+P248)*100+O248,0),IF((S248&gt;=3)*(1-(IF(T248="",-1,T248)&gt;=0)*(IF(T248="",-1,T248)&lt;=1))*(1-(IF(T248="",-1,T248)=0)),IF(C248="peso_corporal",IF(ISNUMBER(E248),E248,0)+R248,R248)*(30+S248)*100+R248,0))</f>
        <v>0</v>
      </c>
      <c r="AB248" s="69">
        <f>IF(AA248=0,0,IF(IF((S248&gt;=3)*(1-(IF(T248="",-1,T248)&gt;=0)*(IF(T248="",-1,T248)&lt;=1))*(1-(IF(T248="",-1,T248)=0)),IF(C248="peso_corporal",IF(ISNUMBER(E248),E248,0)+R248,R248)*(30+S248)*100+R248,0)=AA248,5,IF(IF((P248&gt;=3)*(1-(IF(Q248="",-1,Q248)&gt;=0)*(IF(Q248="",-1,Q248)&lt;=1))*(1-(IF(Q248="",-1,Q248)=0)),IF(C248="peso_corporal",IF(ISNUMBER(E248),E248,0)+O248,O248)*(30+P248)*100+O248,0)=AA248,4,IF(IF((M248&gt;=3)*(1-(IF(N248="",-1,N248)&gt;=0)*(IF(N248="",-1,N248)&lt;=1))*(1-(IF(N248="",-1,N248)=0)),IF(C248="peso_corporal",IF(ISNUMBER(E248),E248,0)+L248,L248)*(30+M248)*100+L248,0)=AA248,3,IF(IF((J248&gt;=3)*(1-(IF(K248="",-1,K248)&gt;=0)*(IF(K248="",-1,K248)&lt;=1))*(1-(IF(K248="",-1,K248)=0)),IF(C248="peso_corporal",IF(ISNUMBER(E248),E248,0)+I248,I248)*(30+J248)*100+I248,0)=AA248,2,IF(IF((G248&gt;=3)*(1-(IF(H248="",-1,H248)&gt;=0)*(IF(H248="",-1,H248)&lt;=1))*(1-(IF(H248="",-1,H248)=0)),IF(C248="peso_corporal",IF(ISNUMBER(E248),E248,0)+F248,F248)*(30+G248)*100+F248,0)=AA248,1,0))))))</f>
        <v>0</v>
      </c>
      <c r="AC248" s="69" t="str">
        <f>IF(X248&gt;0,"A"&amp;X248,IF(Z248&gt;0,"B"&amp;Z248,IF(AB248&gt;0,"C"&amp;AB248,"")))</f>
        <v/>
      </c>
    </row>
    <row r="249" spans="1:29" ht="20.100000000000001" customHeight="1">
      <c r="A249" s="14" t="s">
        <v>148</v>
      </c>
      <c r="B249" s="15" t="s">
        <v>149</v>
      </c>
      <c r="C249" s="16" t="str">
        <f>IFERROR(INDEX(EJERCICIOS!$D$3:$D$75,MATCH(A249&amp;"|"&amp;B249,EJERCICIOS!$G$3:$G$75,0)),"--")</f>
        <v>--</v>
      </c>
      <c r="D249" s="17">
        <v>3</v>
      </c>
      <c r="E249" s="18">
        <f>IFERROR(LOOKUP(2,1/(MEDIDAS_Y_PESO!$B$3:$B$13&lt;&gt;""),MEDIDAS_Y_PESO!$B$3:$B$13),"--")</f>
        <v>80</v>
      </c>
      <c r="F249" s="19"/>
      <c r="G249" s="20"/>
      <c r="H249" s="21"/>
      <c r="I249" s="19"/>
      <c r="J249" s="20"/>
      <c r="K249" s="21"/>
      <c r="L249" s="19"/>
      <c r="M249" s="20"/>
      <c r="N249" s="21"/>
      <c r="O249" s="19"/>
      <c r="P249" s="20"/>
      <c r="Q249" s="21"/>
      <c r="R249" s="19"/>
      <c r="S249" s="20"/>
      <c r="T249" s="21"/>
      <c r="U249" s="22" t="str">
        <f>IFERROR(IF(IF(X249&gt;0,X249,IF(Z249&gt;0,Z249,IF(AB249&gt;0,AB249,0)))=0,"--",ROUND(CHOOSE(IF(X249&gt;0,X249,IF(Z249&gt;0,Z249,IF(AB249&gt;0,AB249,0))),IF(C249="peso_corporal",IF(ISNUMBER(E249),E249,0)+F249,F249)*(1+G249/30),IF(C249="peso_corporal",IF(ISNUMBER(E249),E249,0)+I249,I249)*(1+J249/30),IF(C249="peso_corporal",IF(ISNUMBER(E249),E249,0)+L249,L249)*(1+M249/30),IF(C249="peso_corporal",IF(ISNUMBER(E249),E249,0)+O249,O249)*(1+P249/30),IF(C249="peso_corporal",IF(ISNUMBER(E249),E249,0)+R249,R249)*(1+S249/30)),1)),"--")</f>
        <v>--</v>
      </c>
      <c r="V249" s="23" t="str">
        <f>IF(SUGERENCIAS!N669="SIN","Sin datos anteriores",IF(SUGERENCIAS!N669="SUBIR_F","^ SUBIR FUERTE | Kg:"&amp;ROUND(SUGERENCIAS!K669,1)&amp;" R:"&amp;ROUND(SUGERENCIAS!L669,0)&amp;" RIR:"&amp;ROUND(SUGERENCIAS!M669,0),IF(SUGERENCIAS!N669="SUBIR_E","^ SUBIR (Est.) | Kg:"&amp;ROUND(SUGERENCIAS!K669,1)&amp;" R:"&amp;ROUND(SUGERENCIAS!L669,0)&amp;" RIR:"&amp;ROUND(SUGERENCIAS!M669,0),IF(SUGERENCIAS!N669="SUBIR","^ SUBIR | Kg:"&amp;ROUND(SUGERENCIAS!K669,1)&amp;" R:"&amp;ROUND(SUGERENCIAS!L669,0)&amp;" RIR:"&amp;ROUND(SUGERENCIAS!M669,0),IF(SUGERENCIAS!N669="BAJAR","v BAJAR | Kg:"&amp;ROUND(SUGERENCIAS!K669,1)&amp;" R:"&amp;ROUND(SUGERENCIAS!L669,0)&amp;" RIR:"&amp;ROUND(SUGERENCIAS!M669,0),"= MANT | Kg:"&amp;ROUND(SUGERENCIAS!K669,1)&amp;" R:"&amp;ROUND(SUGERENCIAS!L669,0)&amp;" RIR:"&amp;ROUND(SUGERENCIAS!M669,0))))))</f>
        <v>Sin datos anteriores</v>
      </c>
      <c r="W249" s="69">
        <f>MAX(IF((G249&gt;0)*(IF(H249="",-1,H249)&gt;=0)*(IF(H249="",-1,H249)&lt;=1),IF(C249="peso_corporal",IF(ISNUMBER(E249),E249,0)+F249,F249)*G249*1000+F249,0),IF((J249&gt;0)*(IF(K249="",-1,K249)&gt;=0)*(IF(K249="",-1,K249)&lt;=1),IF(C249="peso_corporal",IF(ISNUMBER(E249),E249,0)+I249,I249)*J249*1000+I249,0),IF((M249&gt;0)*(IF(N249="",-1,N249)&gt;=0)*(IF(N249="",-1,N249)&lt;=1),IF(C249="peso_corporal",IF(ISNUMBER(E249),E249,0)+L249,L249)*M249*1000+L249,0),IF((P249&gt;0)*(IF(Q249="",-1,Q249)&gt;=0)*(IF(Q249="",-1,Q249)&lt;=1),IF(C249="peso_corporal",IF(ISNUMBER(E249),E249,0)+O249,O249)*P249*1000+O249,0),IF((S249&gt;0)*(IF(T249="",-1,T249)&gt;=0)*(IF(T249="",-1,T249)&lt;=1),IF(C249="peso_corporal",IF(ISNUMBER(E249),E249,0)+R249,R249)*S249*1000+R249,0))</f>
        <v>0</v>
      </c>
      <c r="X249" s="69">
        <f>IF(W249=0,0,IF(IF((S249&gt;0)*(IF(T249="",-1,T249)&gt;=0)*(IF(T249="",-1,T249)&lt;=1),IF(C249="peso_corporal",IF(ISNUMBER(E249),E249,0)+R249,R249)*S249*1000+R249,0)=W249,5,IF(IF((P249&gt;0)*(IF(Q249="",-1,Q249)&gt;=0)*(IF(Q249="",-1,Q249)&lt;=1),IF(C249="peso_corporal",IF(ISNUMBER(E249),E249,0)+O249,O249)*P249*1000+O249,0)=W249,4,IF(IF((M249&gt;0)*(IF(N249="",-1,N249)&gt;=0)*(IF(N249="",-1,N249)&lt;=1),IF(C249="peso_corporal",IF(ISNUMBER(E249),E249,0)+L249,L249)*M249*1000+L249,0)=W249,3,IF(IF((J249&gt;0)*(IF(K249="",-1,K249)&gt;=0)*(IF(K249="",-1,K249)&lt;=1),IF(C249="peso_corporal",IF(ISNUMBER(E249),E249,0)+I249,I249)*J249*1000+I249,0)=W249,2,IF(IF((G249&gt;0)*(IF(H249="",-1,H249)&gt;=0)*(IF(H249="",-1,H249)&lt;=1),IF(C249="peso_corporal",IF(ISNUMBER(E249),E249,0)+F249,F249)*G249*1000+F249,0)=W249,1,0))))))</f>
        <v>0</v>
      </c>
      <c r="Y249" s="69">
        <f>MAX(IF((G249&gt;0)*(IF(H249="",-1,H249)=0)*(1-(IF(H249="",-1,H249)&gt;=0)*(IF(H249="",-1,H249)&lt;=1)),IF(C249="peso_corporal",IF(ISNUMBER(E249),E249,0)+F249,F249)*G249*1000+F249,0),IF((J249&gt;0)*(IF(K249="",-1,K249)=0)*(1-(IF(K249="",-1,K249)&gt;=0)*(IF(K249="",-1,K249)&lt;=1)),IF(C249="peso_corporal",IF(ISNUMBER(E249),E249,0)+I249,I249)*J249*1000+I249,0),IF((M249&gt;0)*(IF(N249="",-1,N249)=0)*(1-(IF(N249="",-1,N249)&gt;=0)*(IF(N249="",-1,N249)&lt;=1)),IF(C249="peso_corporal",IF(ISNUMBER(E249),E249,0)+L249,L249)*M249*1000+L249,0),IF((P249&gt;0)*(IF(Q249="",-1,Q249)=0)*(1-(IF(Q249="",-1,Q249)&gt;=0)*(IF(Q249="",-1,Q249)&lt;=1)),IF(C249="peso_corporal",IF(ISNUMBER(E249),E249,0)+O249,O249)*P249*1000+O249,0),IF((S249&gt;0)*(IF(T249="",-1,T249)=0)*(1-(IF(T249="",-1,T249)&gt;=0)*(IF(T249="",-1,T249)&lt;=1)),IF(C249="peso_corporal",IF(ISNUMBER(E249),E249,0)+R249,R249)*S249*1000+R249,0))</f>
        <v>0</v>
      </c>
      <c r="Z249" s="69">
        <f>IF(Y249=0,0,IF(IF((S249&gt;0)*(IF(T249="",-1,T249)=0)*(1-(IF(T249="",-1,T249)&gt;=0)*(IF(T249="",-1,T249)&lt;=1)),IF(C249="peso_corporal",IF(ISNUMBER(E249),E249,0)+R249,R249)*S249*1000+R249,0)=Y249,5,IF(IF((P249&gt;0)*(IF(Q249="",-1,Q249)=0)*(1-(IF(Q249="",-1,Q249)&gt;=0)*(IF(Q249="",-1,Q249)&lt;=1)),IF(C249="peso_corporal",IF(ISNUMBER(E249),E249,0)+O249,O249)*P249*1000+O249,0)=Y249,4,IF(IF((M249&gt;0)*(IF(N249="",-1,N249)=0)*(1-(IF(N249="",-1,N249)&gt;=0)*(IF(N249="",-1,N249)&lt;=1)),IF(C249="peso_corporal",IF(ISNUMBER(E249),E249,0)+L249,L249)*M249*1000+L249,0)=Y249,3,IF(IF((J249&gt;0)*(IF(K249="",-1,K249)=0)*(1-(IF(K249="",-1,K249)&gt;=0)*(IF(K249="",-1,K249)&lt;=1)),IF(C249="peso_corporal",IF(ISNUMBER(E249),E249,0)+I249,I249)*J249*1000+I249,0)=Y249,2,IF(IF((G249&gt;0)*(IF(H249="",-1,H249)=0)*(1-(IF(H249="",-1,H249)&gt;=0)*(IF(H249="",-1,H249)&lt;=1)),IF(C249="peso_corporal",IF(ISNUMBER(E249),E249,0)+F249,F249)*G249*1000+F249,0)=Y249,1,0))))))</f>
        <v>0</v>
      </c>
      <c r="AA249" s="69">
        <f>MAX(IF((G249&gt;=3)*(1-(IF(H249="",-1,H249)&gt;=0)*(IF(H249="",-1,H249)&lt;=1))*(1-(IF(H249="",-1,H249)=0)),IF(C249="peso_corporal",IF(ISNUMBER(E249),E249,0)+F249,F249)*(30+G249)*100+F249,0),IF((J249&gt;=3)*(1-(IF(K249="",-1,K249)&gt;=0)*(IF(K249="",-1,K249)&lt;=1))*(1-(IF(K249="",-1,K249)=0)),IF(C249="peso_corporal",IF(ISNUMBER(E249),E249,0)+I249,I249)*(30+J249)*100+I249,0),IF((M249&gt;=3)*(1-(IF(N249="",-1,N249)&gt;=0)*(IF(N249="",-1,N249)&lt;=1))*(1-(IF(N249="",-1,N249)=0)),IF(C249="peso_corporal",IF(ISNUMBER(E249),E249,0)+L249,L249)*(30+M249)*100+L249,0),IF((P249&gt;=3)*(1-(IF(Q249="",-1,Q249)&gt;=0)*(IF(Q249="",-1,Q249)&lt;=1))*(1-(IF(Q249="",-1,Q249)=0)),IF(C249="peso_corporal",IF(ISNUMBER(E249),E249,0)+O249,O249)*(30+P249)*100+O249,0),IF((S249&gt;=3)*(1-(IF(T249="",-1,T249)&gt;=0)*(IF(T249="",-1,T249)&lt;=1))*(1-(IF(T249="",-1,T249)=0)),IF(C249="peso_corporal",IF(ISNUMBER(E249),E249,0)+R249,R249)*(30+S249)*100+R249,0))</f>
        <v>0</v>
      </c>
      <c r="AB249" s="69">
        <f>IF(AA249=0,0,IF(IF((S249&gt;=3)*(1-(IF(T249="",-1,T249)&gt;=0)*(IF(T249="",-1,T249)&lt;=1))*(1-(IF(T249="",-1,T249)=0)),IF(C249="peso_corporal",IF(ISNUMBER(E249),E249,0)+R249,R249)*(30+S249)*100+R249,0)=AA249,5,IF(IF((P249&gt;=3)*(1-(IF(Q249="",-1,Q249)&gt;=0)*(IF(Q249="",-1,Q249)&lt;=1))*(1-(IF(Q249="",-1,Q249)=0)),IF(C249="peso_corporal",IF(ISNUMBER(E249),E249,0)+O249,O249)*(30+P249)*100+O249,0)=AA249,4,IF(IF((M249&gt;=3)*(1-(IF(N249="",-1,N249)&gt;=0)*(IF(N249="",-1,N249)&lt;=1))*(1-(IF(N249="",-1,N249)=0)),IF(C249="peso_corporal",IF(ISNUMBER(E249),E249,0)+L249,L249)*(30+M249)*100+L249,0)=AA249,3,IF(IF((J249&gt;=3)*(1-(IF(K249="",-1,K249)&gt;=0)*(IF(K249="",-1,K249)&lt;=1))*(1-(IF(K249="",-1,K249)=0)),IF(C249="peso_corporal",IF(ISNUMBER(E249),E249,0)+I249,I249)*(30+J249)*100+I249,0)=AA249,2,IF(IF((G249&gt;=3)*(1-(IF(H249="",-1,H249)&gt;=0)*(IF(H249="",-1,H249)&lt;=1))*(1-(IF(H249="",-1,H249)=0)),IF(C249="peso_corporal",IF(ISNUMBER(E249),E249,0)+F249,F249)*(30+G249)*100+F249,0)=AA249,1,0))))))</f>
        <v>0</v>
      </c>
      <c r="AC249" s="69" t="str">
        <f>IF(X249&gt;0,"A"&amp;X249,IF(Z249&gt;0,"B"&amp;Z249,IF(AB249&gt;0,"C"&amp;AB249,"")))</f>
        <v/>
      </c>
    </row>
    <row r="250" spans="1:29" ht="20.100000000000001" customHeight="1">
      <c r="A250" s="14" t="s">
        <v>150</v>
      </c>
      <c r="B250" s="15" t="s">
        <v>151</v>
      </c>
      <c r="C250" s="16" t="str">
        <f>IFERROR(INDEX(EJERCICIOS!$D$3:$D$75,MATCH(A250&amp;"|"&amp;B250,EJERCICIOS!$G$3:$G$75,0)),"--")</f>
        <v>peso_corporal</v>
      </c>
      <c r="D250" s="17">
        <v>3</v>
      </c>
      <c r="E250" s="18">
        <f>IFERROR(LOOKUP(2,1/(MEDIDAS_Y_PESO!$B$3:$B$13&lt;&gt;""),MEDIDAS_Y_PESO!$B$3:$B$13),"--")</f>
        <v>80</v>
      </c>
      <c r="F250" s="19"/>
      <c r="G250" s="20"/>
      <c r="H250" s="21"/>
      <c r="I250" s="19"/>
      <c r="J250" s="20"/>
      <c r="K250" s="21"/>
      <c r="L250" s="19"/>
      <c r="M250" s="20"/>
      <c r="N250" s="21"/>
      <c r="O250" s="19"/>
      <c r="P250" s="20"/>
      <c r="Q250" s="21"/>
      <c r="R250" s="19"/>
      <c r="S250" s="20"/>
      <c r="T250" s="21"/>
      <c r="U250" s="22" t="str">
        <f>IFERROR(IF(IF(X250&gt;0,X250,IF(Z250&gt;0,Z250,IF(AB250&gt;0,AB250,0)))=0,"--",ROUND(CHOOSE(IF(X250&gt;0,X250,IF(Z250&gt;0,Z250,IF(AB250&gt;0,AB250,0))),IF(C250="peso_corporal",IF(ISNUMBER(E250),E250,0)+F250,F250)*(1+G250/30),IF(C250="peso_corporal",IF(ISNUMBER(E250),E250,0)+I250,I250)*(1+J250/30),IF(C250="peso_corporal",IF(ISNUMBER(E250),E250,0)+L250,L250)*(1+M250/30),IF(C250="peso_corporal",IF(ISNUMBER(E250),E250,0)+O250,O250)*(1+P250/30),IF(C250="peso_corporal",IF(ISNUMBER(E250),E250,0)+R250,R250)*(1+S250/30)),1)),"--")</f>
        <v>--</v>
      </c>
      <c r="V250" s="23" t="str">
        <f>IF(SUGERENCIAS!N670="SIN","Sin datos anteriores",IF(SUGERENCIAS!N670="SUBIR_F","^ SUBIR FUERTE | Kg:"&amp;ROUND(SUGERENCIAS!K670,1)&amp;" R:"&amp;ROUND(SUGERENCIAS!L670,0)&amp;" RIR:"&amp;ROUND(SUGERENCIAS!M670,0),IF(SUGERENCIAS!N670="SUBIR_E","^ SUBIR (Est.) | Kg:"&amp;ROUND(SUGERENCIAS!K670,1)&amp;" R:"&amp;ROUND(SUGERENCIAS!L670,0)&amp;" RIR:"&amp;ROUND(SUGERENCIAS!M670,0),IF(SUGERENCIAS!N670="SUBIR","^ SUBIR | Kg:"&amp;ROUND(SUGERENCIAS!K670,1)&amp;" R:"&amp;ROUND(SUGERENCIAS!L670,0)&amp;" RIR:"&amp;ROUND(SUGERENCIAS!M670,0),IF(SUGERENCIAS!N670="BAJAR","v BAJAR | Kg:"&amp;ROUND(SUGERENCIAS!K670,1)&amp;" R:"&amp;ROUND(SUGERENCIAS!L670,0)&amp;" RIR:"&amp;ROUND(SUGERENCIAS!M670,0),"= MANT | Kg:"&amp;ROUND(SUGERENCIAS!K670,1)&amp;" R:"&amp;ROUND(SUGERENCIAS!L670,0)&amp;" RIR:"&amp;ROUND(SUGERENCIAS!M670,0))))))</f>
        <v>Sin datos anteriores</v>
      </c>
      <c r="W250" s="69">
        <f>MAX(IF((G250&gt;0)*(IF(H250="",-1,H250)&gt;=0)*(IF(H250="",-1,H250)&lt;=1),IF(C250="peso_corporal",IF(ISNUMBER(E250),E250,0)+F250,F250)*G250*1000+F250,0),IF((J250&gt;0)*(IF(K250="",-1,K250)&gt;=0)*(IF(K250="",-1,K250)&lt;=1),IF(C250="peso_corporal",IF(ISNUMBER(E250),E250,0)+I250,I250)*J250*1000+I250,0),IF((M250&gt;0)*(IF(N250="",-1,N250)&gt;=0)*(IF(N250="",-1,N250)&lt;=1),IF(C250="peso_corporal",IF(ISNUMBER(E250),E250,0)+L250,L250)*M250*1000+L250,0),IF((P250&gt;0)*(IF(Q250="",-1,Q250)&gt;=0)*(IF(Q250="",-1,Q250)&lt;=1),IF(C250="peso_corporal",IF(ISNUMBER(E250),E250,0)+O250,O250)*P250*1000+O250,0),IF((S250&gt;0)*(IF(T250="",-1,T250)&gt;=0)*(IF(T250="",-1,T250)&lt;=1),IF(C250="peso_corporal",IF(ISNUMBER(E250),E250,0)+R250,R250)*S250*1000+R250,0))</f>
        <v>0</v>
      </c>
      <c r="X250" s="69">
        <f>IF(W250=0,0,IF(IF((S250&gt;0)*(IF(T250="",-1,T250)&gt;=0)*(IF(T250="",-1,T250)&lt;=1),IF(C250="peso_corporal",IF(ISNUMBER(E250),E250,0)+R250,R250)*S250*1000+R250,0)=W250,5,IF(IF((P250&gt;0)*(IF(Q250="",-1,Q250)&gt;=0)*(IF(Q250="",-1,Q250)&lt;=1),IF(C250="peso_corporal",IF(ISNUMBER(E250),E250,0)+O250,O250)*P250*1000+O250,0)=W250,4,IF(IF((M250&gt;0)*(IF(N250="",-1,N250)&gt;=0)*(IF(N250="",-1,N250)&lt;=1),IF(C250="peso_corporal",IF(ISNUMBER(E250),E250,0)+L250,L250)*M250*1000+L250,0)=W250,3,IF(IF((J250&gt;0)*(IF(K250="",-1,K250)&gt;=0)*(IF(K250="",-1,K250)&lt;=1),IF(C250="peso_corporal",IF(ISNUMBER(E250),E250,0)+I250,I250)*J250*1000+I250,0)=W250,2,IF(IF((G250&gt;0)*(IF(H250="",-1,H250)&gt;=0)*(IF(H250="",-1,H250)&lt;=1),IF(C250="peso_corporal",IF(ISNUMBER(E250),E250,0)+F250,F250)*G250*1000+F250,0)=W250,1,0))))))</f>
        <v>0</v>
      </c>
      <c r="Y250" s="69">
        <f>MAX(IF((G250&gt;0)*(IF(H250="",-1,H250)=0)*(1-(IF(H250="",-1,H250)&gt;=0)*(IF(H250="",-1,H250)&lt;=1)),IF(C250="peso_corporal",IF(ISNUMBER(E250),E250,0)+F250,F250)*G250*1000+F250,0),IF((J250&gt;0)*(IF(K250="",-1,K250)=0)*(1-(IF(K250="",-1,K250)&gt;=0)*(IF(K250="",-1,K250)&lt;=1)),IF(C250="peso_corporal",IF(ISNUMBER(E250),E250,0)+I250,I250)*J250*1000+I250,0),IF((M250&gt;0)*(IF(N250="",-1,N250)=0)*(1-(IF(N250="",-1,N250)&gt;=0)*(IF(N250="",-1,N250)&lt;=1)),IF(C250="peso_corporal",IF(ISNUMBER(E250),E250,0)+L250,L250)*M250*1000+L250,0),IF((P250&gt;0)*(IF(Q250="",-1,Q250)=0)*(1-(IF(Q250="",-1,Q250)&gt;=0)*(IF(Q250="",-1,Q250)&lt;=1)),IF(C250="peso_corporal",IF(ISNUMBER(E250),E250,0)+O250,O250)*P250*1000+O250,0),IF((S250&gt;0)*(IF(T250="",-1,T250)=0)*(1-(IF(T250="",-1,T250)&gt;=0)*(IF(T250="",-1,T250)&lt;=1)),IF(C250="peso_corporal",IF(ISNUMBER(E250),E250,0)+R250,R250)*S250*1000+R250,0))</f>
        <v>0</v>
      </c>
      <c r="Z250" s="69">
        <f>IF(Y250=0,0,IF(IF((S250&gt;0)*(IF(T250="",-1,T250)=0)*(1-(IF(T250="",-1,T250)&gt;=0)*(IF(T250="",-1,T250)&lt;=1)),IF(C250="peso_corporal",IF(ISNUMBER(E250),E250,0)+R250,R250)*S250*1000+R250,0)=Y250,5,IF(IF((P250&gt;0)*(IF(Q250="",-1,Q250)=0)*(1-(IF(Q250="",-1,Q250)&gt;=0)*(IF(Q250="",-1,Q250)&lt;=1)),IF(C250="peso_corporal",IF(ISNUMBER(E250),E250,0)+O250,O250)*P250*1000+O250,0)=Y250,4,IF(IF((M250&gt;0)*(IF(N250="",-1,N250)=0)*(1-(IF(N250="",-1,N250)&gt;=0)*(IF(N250="",-1,N250)&lt;=1)),IF(C250="peso_corporal",IF(ISNUMBER(E250),E250,0)+L250,L250)*M250*1000+L250,0)=Y250,3,IF(IF((J250&gt;0)*(IF(K250="",-1,K250)=0)*(1-(IF(K250="",-1,K250)&gt;=0)*(IF(K250="",-1,K250)&lt;=1)),IF(C250="peso_corporal",IF(ISNUMBER(E250),E250,0)+I250,I250)*J250*1000+I250,0)=Y250,2,IF(IF((G250&gt;0)*(IF(H250="",-1,H250)=0)*(1-(IF(H250="",-1,H250)&gt;=0)*(IF(H250="",-1,H250)&lt;=1)),IF(C250="peso_corporal",IF(ISNUMBER(E250),E250,0)+F250,F250)*G250*1000+F250,0)=Y250,1,0))))))</f>
        <v>0</v>
      </c>
      <c r="AA250" s="69">
        <f>MAX(IF((G250&gt;=3)*(1-(IF(H250="",-1,H250)&gt;=0)*(IF(H250="",-1,H250)&lt;=1))*(1-(IF(H250="",-1,H250)=0)),IF(C250="peso_corporal",IF(ISNUMBER(E250),E250,0)+F250,F250)*(30+G250)*100+F250,0),IF((J250&gt;=3)*(1-(IF(K250="",-1,K250)&gt;=0)*(IF(K250="",-1,K250)&lt;=1))*(1-(IF(K250="",-1,K250)=0)),IF(C250="peso_corporal",IF(ISNUMBER(E250),E250,0)+I250,I250)*(30+J250)*100+I250,0),IF((M250&gt;=3)*(1-(IF(N250="",-1,N250)&gt;=0)*(IF(N250="",-1,N250)&lt;=1))*(1-(IF(N250="",-1,N250)=0)),IF(C250="peso_corporal",IF(ISNUMBER(E250),E250,0)+L250,L250)*(30+M250)*100+L250,0),IF((P250&gt;=3)*(1-(IF(Q250="",-1,Q250)&gt;=0)*(IF(Q250="",-1,Q250)&lt;=1))*(1-(IF(Q250="",-1,Q250)=0)),IF(C250="peso_corporal",IF(ISNUMBER(E250),E250,0)+O250,O250)*(30+P250)*100+O250,0),IF((S250&gt;=3)*(1-(IF(T250="",-1,T250)&gt;=0)*(IF(T250="",-1,T250)&lt;=1))*(1-(IF(T250="",-1,T250)=0)),IF(C250="peso_corporal",IF(ISNUMBER(E250),E250,0)+R250,R250)*(30+S250)*100+R250,0))</f>
        <v>0</v>
      </c>
      <c r="AB250" s="69">
        <f>IF(AA250=0,0,IF(IF((S250&gt;=3)*(1-(IF(T250="",-1,T250)&gt;=0)*(IF(T250="",-1,T250)&lt;=1))*(1-(IF(T250="",-1,T250)=0)),IF(C250="peso_corporal",IF(ISNUMBER(E250),E250,0)+R250,R250)*(30+S250)*100+R250,0)=AA250,5,IF(IF((P250&gt;=3)*(1-(IF(Q250="",-1,Q250)&gt;=0)*(IF(Q250="",-1,Q250)&lt;=1))*(1-(IF(Q250="",-1,Q250)=0)),IF(C250="peso_corporal",IF(ISNUMBER(E250),E250,0)+O250,O250)*(30+P250)*100+O250,0)=AA250,4,IF(IF((M250&gt;=3)*(1-(IF(N250="",-1,N250)&gt;=0)*(IF(N250="",-1,N250)&lt;=1))*(1-(IF(N250="",-1,N250)=0)),IF(C250="peso_corporal",IF(ISNUMBER(E250),E250,0)+L250,L250)*(30+M250)*100+L250,0)=AA250,3,IF(IF((J250&gt;=3)*(1-(IF(K250="",-1,K250)&gt;=0)*(IF(K250="",-1,K250)&lt;=1))*(1-(IF(K250="",-1,K250)=0)),IF(C250="peso_corporal",IF(ISNUMBER(E250),E250,0)+I250,I250)*(30+J250)*100+I250,0)=AA250,2,IF(IF((G250&gt;=3)*(1-(IF(H250="",-1,H250)&gt;=0)*(IF(H250="",-1,H250)&lt;=1))*(1-(IF(H250="",-1,H250)=0)),IF(C250="peso_corporal",IF(ISNUMBER(E250),E250,0)+F250,F250)*(30+G250)*100+F250,0)=AA250,1,0))))))</f>
        <v>0</v>
      </c>
      <c r="AC250" s="69" t="str">
        <f>IF(X250&gt;0,"A"&amp;X250,IF(Z250&gt;0,"B"&amp;Z250,IF(AB250&gt;0,"C"&amp;AB250,"")))</f>
        <v/>
      </c>
    </row>
    <row r="251" spans="1:29" ht="6"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69"/>
      <c r="X251" s="69"/>
      <c r="Y251" s="69"/>
      <c r="Z251" s="69"/>
      <c r="AA251" s="69"/>
      <c r="AB251" s="69"/>
      <c r="AC251" s="69"/>
    </row>
    <row r="252" spans="1:29" ht="18" customHeight="1">
      <c r="A252" s="85" t="s">
        <v>77</v>
      </c>
      <c r="B252" s="73"/>
      <c r="C252" s="73"/>
      <c r="D252" s="73"/>
      <c r="E252" s="73"/>
      <c r="F252" s="73"/>
      <c r="G252" s="73"/>
      <c r="H252" s="73"/>
      <c r="I252" s="73"/>
      <c r="J252" s="73"/>
      <c r="K252" s="73"/>
      <c r="L252" s="73"/>
      <c r="M252" s="73"/>
      <c r="N252" s="73"/>
      <c r="O252" s="73"/>
      <c r="P252" s="73"/>
      <c r="Q252" s="73"/>
      <c r="R252" s="73"/>
      <c r="S252" s="73"/>
      <c r="T252" s="73"/>
      <c r="U252" s="73"/>
      <c r="V252" s="73"/>
      <c r="W252" s="69"/>
      <c r="X252" s="69"/>
      <c r="Y252" s="69"/>
      <c r="Z252" s="69"/>
      <c r="AA252" s="69"/>
      <c r="AB252" s="69"/>
      <c r="AC252" s="69"/>
    </row>
    <row r="253" spans="1:29" ht="15" customHeight="1">
      <c r="A253" s="88" t="s">
        <v>129</v>
      </c>
      <c r="B253" s="73"/>
      <c r="C253" s="73"/>
      <c r="D253" s="73"/>
      <c r="E253" s="73"/>
      <c r="F253" s="73"/>
      <c r="G253" s="73"/>
      <c r="H253" s="73"/>
      <c r="I253" s="73"/>
      <c r="J253" s="73"/>
      <c r="K253" s="73"/>
      <c r="L253" s="73"/>
      <c r="M253" s="73"/>
      <c r="N253" s="73"/>
      <c r="O253" s="73"/>
      <c r="P253" s="73"/>
      <c r="Q253" s="73"/>
      <c r="R253" s="73"/>
      <c r="S253" s="73"/>
      <c r="T253" s="73"/>
      <c r="U253" s="73"/>
      <c r="V253" s="73"/>
      <c r="W253" s="69"/>
      <c r="X253" s="69"/>
      <c r="Y253" s="69"/>
      <c r="Z253" s="69"/>
      <c r="AA253" s="69"/>
      <c r="AB253" s="69"/>
      <c r="AC253" s="69"/>
    </row>
    <row r="254" spans="1:29" ht="20.100000000000001" customHeight="1">
      <c r="A254" s="14" t="s">
        <v>130</v>
      </c>
      <c r="B254" s="15" t="s">
        <v>131</v>
      </c>
      <c r="C254" s="16" t="str">
        <f>IFERROR(INDEX(EJERCICIOS!$D$3:$D$75,MATCH(A254&amp;"|"&amp;B254,EJERCICIOS!$G$3:$G$75,0)),"--")</f>
        <v>polea</v>
      </c>
      <c r="D254" s="17">
        <v>3</v>
      </c>
      <c r="E254" s="18">
        <f>IFERROR(LOOKUP(2,1/(MEDIDAS_Y_PESO!$B$3:$B$14&lt;&gt;""),MEDIDAS_Y_PESO!$B$3:$B$14),"--")</f>
        <v>80</v>
      </c>
      <c r="F254" s="19"/>
      <c r="G254" s="20"/>
      <c r="H254" s="21"/>
      <c r="I254" s="19"/>
      <c r="J254" s="20"/>
      <c r="K254" s="21"/>
      <c r="L254" s="19"/>
      <c r="M254" s="20"/>
      <c r="N254" s="21"/>
      <c r="O254" s="19"/>
      <c r="P254" s="20"/>
      <c r="Q254" s="21"/>
      <c r="R254" s="19"/>
      <c r="S254" s="20"/>
      <c r="T254" s="21"/>
      <c r="U254" s="22" t="str">
        <f>IFERROR(IF(IF(X254&gt;0,X254,IF(Z254&gt;0,Z254,IF(AB254&gt;0,AB254,0)))=0,"--",ROUND(CHOOSE(IF(X254&gt;0,X254,IF(Z254&gt;0,Z254,IF(AB254&gt;0,AB254,0))),IF(C254="peso_corporal",IF(ISNUMBER(E254),E254,0)+F254,F254)*(1+G254/30),IF(C254="peso_corporal",IF(ISNUMBER(E254),E254,0)+I254,I254)*(1+J254/30),IF(C254="peso_corporal",IF(ISNUMBER(E254),E254,0)+L254,L254)*(1+M254/30),IF(C254="peso_corporal",IF(ISNUMBER(E254),E254,0)+O254,O254)*(1+P254/30),IF(C254="peso_corporal",IF(ISNUMBER(E254),E254,0)+R254,R254)*(1+S254/30)),1)),"--")</f>
        <v>--</v>
      </c>
      <c r="V254" s="23" t="str">
        <f>IF(SUGERENCIAS!N719="SIN","Sin datos anteriores",IF(SUGERENCIAS!N719="SUBIR_F","^ SUBIR FUERTE | Kg:"&amp;ROUND(SUGERENCIAS!K719,1)&amp;" R:"&amp;ROUND(SUGERENCIAS!L719,0)&amp;" RIR:"&amp;ROUND(SUGERENCIAS!M719,0),IF(SUGERENCIAS!N719="SUBIR_E","^ SUBIR (Est.) | Kg:"&amp;ROUND(SUGERENCIAS!K719,1)&amp;" R:"&amp;ROUND(SUGERENCIAS!L719,0)&amp;" RIR:"&amp;ROUND(SUGERENCIAS!M719,0),IF(SUGERENCIAS!N719="SUBIR","^ SUBIR | Kg:"&amp;ROUND(SUGERENCIAS!K719,1)&amp;" R:"&amp;ROUND(SUGERENCIAS!L719,0)&amp;" RIR:"&amp;ROUND(SUGERENCIAS!M719,0),IF(SUGERENCIAS!N719="BAJAR","v BAJAR | Kg:"&amp;ROUND(SUGERENCIAS!K719,1)&amp;" R:"&amp;ROUND(SUGERENCIAS!L719,0)&amp;" RIR:"&amp;ROUND(SUGERENCIAS!M719,0),"= MANT | Kg:"&amp;ROUND(SUGERENCIAS!K719,1)&amp;" R:"&amp;ROUND(SUGERENCIAS!L719,0)&amp;" RIR:"&amp;ROUND(SUGERENCIAS!M719,0))))))</f>
        <v>Sin datos anteriores</v>
      </c>
      <c r="W254" s="69">
        <f>MAX(IF((G254&gt;0)*(IF(H254="",-1,H254)&gt;=3)*(IF(H254="",-1,H254)&lt;=4),IF(C254="peso_corporal",IF(ISNUMBER(E254),E254,0)+F254,F254)*G254*1000+F254,0),IF((J254&gt;0)*(IF(K254="",-1,K254)&gt;=3)*(IF(K254="",-1,K254)&lt;=4),IF(C254="peso_corporal",IF(ISNUMBER(E254),E254,0)+I254,I254)*J254*1000+I254,0),IF((M254&gt;0)*(IF(N254="",-1,N254)&gt;=3)*(IF(N254="",-1,N254)&lt;=4),IF(C254="peso_corporal",IF(ISNUMBER(E254),E254,0)+L254,L254)*M254*1000+L254,0),IF((P254&gt;0)*(IF(Q254="",-1,Q254)&gt;=3)*(IF(Q254="",-1,Q254)&lt;=4),IF(C254="peso_corporal",IF(ISNUMBER(E254),E254,0)+O254,O254)*P254*1000+O254,0),IF((S254&gt;0)*(IF(T254="",-1,T254)&gt;=3)*(IF(T254="",-1,T254)&lt;=4),IF(C254="peso_corporal",IF(ISNUMBER(E254),E254,0)+R254,R254)*S254*1000+R254,0))</f>
        <v>0</v>
      </c>
      <c r="X254" s="69">
        <f>IF(W254=0,0,IF(IF((S254&gt;0)*(IF(T254="",-1,T254)&gt;=3)*(IF(T254="",-1,T254)&lt;=4),IF(C254="peso_corporal",IF(ISNUMBER(E254),E254,0)+R254,R254)*S254*1000+R254,0)=W254,5,IF(IF((P254&gt;0)*(IF(Q254="",-1,Q254)&gt;=3)*(IF(Q254="",-1,Q254)&lt;=4),IF(C254="peso_corporal",IF(ISNUMBER(E254),E254,0)+O254,O254)*P254*1000+O254,0)=W254,4,IF(IF((M254&gt;0)*(IF(N254="",-1,N254)&gt;=3)*(IF(N254="",-1,N254)&lt;=4),IF(C254="peso_corporal",IF(ISNUMBER(E254),E254,0)+L254,L254)*M254*1000+L254,0)=W254,3,IF(IF((J254&gt;0)*(IF(K254="",-1,K254)&gt;=3)*(IF(K254="",-1,K254)&lt;=4),IF(C254="peso_corporal",IF(ISNUMBER(E254),E254,0)+I254,I254)*J254*1000+I254,0)=W254,2,IF(IF((G254&gt;0)*(IF(H254="",-1,H254)&gt;=3)*(IF(H254="",-1,H254)&lt;=4),IF(C254="peso_corporal",IF(ISNUMBER(E254),E254,0)+F254,F254)*G254*1000+F254,0)=W254,1,0))))))</f>
        <v>0</v>
      </c>
      <c r="Y254" s="69">
        <f>MAX(IF((G254&gt;0)*(IF(H254="",-1,H254)=0)*(1-(IF(H254="",-1,H254)&gt;=3)*(IF(H254="",-1,H254)&lt;=4)),IF(C254="peso_corporal",IF(ISNUMBER(E254),E254,0)+F254,F254)*G254*1000+F254,0),IF((J254&gt;0)*(IF(K254="",-1,K254)=0)*(1-(IF(K254="",-1,K254)&gt;=3)*(IF(K254="",-1,K254)&lt;=4)),IF(C254="peso_corporal",IF(ISNUMBER(E254),E254,0)+I254,I254)*J254*1000+I254,0),IF((M254&gt;0)*(IF(N254="",-1,N254)=0)*(1-(IF(N254="",-1,N254)&gt;=3)*(IF(N254="",-1,N254)&lt;=4)),IF(C254="peso_corporal",IF(ISNUMBER(E254),E254,0)+L254,L254)*M254*1000+L254,0),IF((P254&gt;0)*(IF(Q254="",-1,Q254)=0)*(1-(IF(Q254="",-1,Q254)&gt;=3)*(IF(Q254="",-1,Q254)&lt;=4)),IF(C254="peso_corporal",IF(ISNUMBER(E254),E254,0)+O254,O254)*P254*1000+O254,0),IF((S254&gt;0)*(IF(T254="",-1,T254)=0)*(1-(IF(T254="",-1,T254)&gt;=3)*(IF(T254="",-1,T254)&lt;=4)),IF(C254="peso_corporal",IF(ISNUMBER(E254),E254,0)+R254,R254)*S254*1000+R254,0))</f>
        <v>0</v>
      </c>
      <c r="Z254" s="69">
        <f>IF(Y254=0,0,IF(IF((S254&gt;0)*(IF(T254="",-1,T254)=0)*(1-(IF(T254="",-1,T254)&gt;=3)*(IF(T254="",-1,T254)&lt;=4)),IF(C254="peso_corporal",IF(ISNUMBER(E254),E254,0)+R254,R254)*S254*1000+R254,0)=Y254,5,IF(IF((P254&gt;0)*(IF(Q254="",-1,Q254)=0)*(1-(IF(Q254="",-1,Q254)&gt;=3)*(IF(Q254="",-1,Q254)&lt;=4)),IF(C254="peso_corporal",IF(ISNUMBER(E254),E254,0)+O254,O254)*P254*1000+O254,0)=Y254,4,IF(IF((M254&gt;0)*(IF(N254="",-1,N254)=0)*(1-(IF(N254="",-1,N254)&gt;=3)*(IF(N254="",-1,N254)&lt;=4)),IF(C254="peso_corporal",IF(ISNUMBER(E254),E254,0)+L254,L254)*M254*1000+L254,0)=Y254,3,IF(IF((J254&gt;0)*(IF(K254="",-1,K254)=0)*(1-(IF(K254="",-1,K254)&gt;=3)*(IF(K254="",-1,K254)&lt;=4)),IF(C254="peso_corporal",IF(ISNUMBER(E254),E254,0)+I254,I254)*J254*1000+I254,0)=Y254,2,IF(IF((G254&gt;0)*(IF(H254="",-1,H254)=0)*(1-(IF(H254="",-1,H254)&gt;=3)*(IF(H254="",-1,H254)&lt;=4)),IF(C254="peso_corporal",IF(ISNUMBER(E254),E254,0)+F254,F254)*G254*1000+F254,0)=Y254,1,0))))))</f>
        <v>0</v>
      </c>
      <c r="AA254" s="69">
        <f>MAX(IF((G254&gt;=12)*(1-(IF(H254="",-1,H254)&gt;=3)*(IF(H254="",-1,H254)&lt;=4))*(1-(IF(H254="",-1,H254)=0)),IF(C254="peso_corporal",IF(ISNUMBER(E254),E254,0)+F254,F254)*(30+G254)*100+F254,0),IF((J254&gt;=12)*(1-(IF(K254="",-1,K254)&gt;=3)*(IF(K254="",-1,K254)&lt;=4))*(1-(IF(K254="",-1,K254)=0)),IF(C254="peso_corporal",IF(ISNUMBER(E254),E254,0)+I254,I254)*(30+J254)*100+I254,0),IF((M254&gt;=12)*(1-(IF(N254="",-1,N254)&gt;=3)*(IF(N254="",-1,N254)&lt;=4))*(1-(IF(N254="",-1,N254)=0)),IF(C254="peso_corporal",IF(ISNUMBER(E254),E254,0)+L254,L254)*(30+M254)*100+L254,0),IF((P254&gt;=12)*(1-(IF(Q254="",-1,Q254)&gt;=3)*(IF(Q254="",-1,Q254)&lt;=4))*(1-(IF(Q254="",-1,Q254)=0)),IF(C254="peso_corporal",IF(ISNUMBER(E254),E254,0)+O254,O254)*(30+P254)*100+O254,0),IF((S254&gt;=12)*(1-(IF(T254="",-1,T254)&gt;=3)*(IF(T254="",-1,T254)&lt;=4))*(1-(IF(T254="",-1,T254)=0)),IF(C254="peso_corporal",IF(ISNUMBER(E254),E254,0)+R254,R254)*(30+S254)*100+R254,0))</f>
        <v>0</v>
      </c>
      <c r="AB254" s="69">
        <f>IF(AA254=0,0,IF(IF((S254&gt;=12)*(1-(IF(T254="",-1,T254)&gt;=3)*(IF(T254="",-1,T254)&lt;=4))*(1-(IF(T254="",-1,T254)=0)),IF(C254="peso_corporal",IF(ISNUMBER(E254),E254,0)+R254,R254)*(30+S254)*100+R254,0)=AA254,5,IF(IF((P254&gt;=12)*(1-(IF(Q254="",-1,Q254)&gt;=3)*(IF(Q254="",-1,Q254)&lt;=4))*(1-(IF(Q254="",-1,Q254)=0)),IF(C254="peso_corporal",IF(ISNUMBER(E254),E254,0)+O254,O254)*(30+P254)*100+O254,0)=AA254,4,IF(IF((M254&gt;=12)*(1-(IF(N254="",-1,N254)&gt;=3)*(IF(N254="",-1,N254)&lt;=4))*(1-(IF(N254="",-1,N254)=0)),IF(C254="peso_corporal",IF(ISNUMBER(E254),E254,0)+L254,L254)*(30+M254)*100+L254,0)=AA254,3,IF(IF((J254&gt;=12)*(1-(IF(K254="",-1,K254)&gt;=3)*(IF(K254="",-1,K254)&lt;=4))*(1-(IF(K254="",-1,K254)=0)),IF(C254="peso_corporal",IF(ISNUMBER(E254),E254,0)+I254,I254)*(30+J254)*100+I254,0)=AA254,2,IF(IF((G254&gt;=12)*(1-(IF(H254="",-1,H254)&gt;=3)*(IF(H254="",-1,H254)&lt;=4))*(1-(IF(H254="",-1,H254)=0)),IF(C254="peso_corporal",IF(ISNUMBER(E254),E254,0)+F254,F254)*(30+G254)*100+F254,0)=AA254,1,0))))))</f>
        <v>0</v>
      </c>
      <c r="AC254" s="69" t="str">
        <f>IF(X254&gt;0,"A"&amp;X254,IF(Z254&gt;0,"B"&amp;Z254,IF(AB254&gt;0,"C"&amp;AB254,"")))</f>
        <v/>
      </c>
    </row>
    <row r="255" spans="1:29" ht="20.100000000000001" customHeight="1">
      <c r="A255" s="14" t="s">
        <v>130</v>
      </c>
      <c r="B255" s="15" t="s">
        <v>132</v>
      </c>
      <c r="C255" s="16" t="str">
        <f>IFERROR(INDEX(EJERCICIOS!$D$3:$D$75,MATCH(A255&amp;"|"&amp;B255,EJERCICIOS!$G$3:$G$75,0)),"--")</f>
        <v>polea</v>
      </c>
      <c r="D255" s="17">
        <v>3</v>
      </c>
      <c r="E255" s="18">
        <f>IFERROR(LOOKUP(2,1/(MEDIDAS_Y_PESO!$B$3:$B$14&lt;&gt;""),MEDIDAS_Y_PESO!$B$3:$B$14),"--")</f>
        <v>80</v>
      </c>
      <c r="F255" s="19"/>
      <c r="G255" s="20"/>
      <c r="H255" s="21"/>
      <c r="I255" s="19"/>
      <c r="J255" s="20"/>
      <c r="K255" s="21"/>
      <c r="L255" s="19"/>
      <c r="M255" s="20"/>
      <c r="N255" s="21"/>
      <c r="O255" s="19"/>
      <c r="P255" s="20"/>
      <c r="Q255" s="21"/>
      <c r="R255" s="19"/>
      <c r="S255" s="20"/>
      <c r="T255" s="21"/>
      <c r="U255" s="22" t="str">
        <f>IFERROR(IF(IF(X255&gt;0,X255,IF(Z255&gt;0,Z255,IF(AB255&gt;0,AB255,0)))=0,"--",ROUND(CHOOSE(IF(X255&gt;0,X255,IF(Z255&gt;0,Z255,IF(AB255&gt;0,AB255,0))),IF(C255="peso_corporal",IF(ISNUMBER(E255),E255,0)+F255,F255)*(1+G255/30),IF(C255="peso_corporal",IF(ISNUMBER(E255),E255,0)+I255,I255)*(1+J255/30),IF(C255="peso_corporal",IF(ISNUMBER(E255),E255,0)+L255,L255)*(1+M255/30),IF(C255="peso_corporal",IF(ISNUMBER(E255),E255,0)+O255,O255)*(1+P255/30),IF(C255="peso_corporal",IF(ISNUMBER(E255),E255,0)+R255,R255)*(1+S255/30)),1)),"--")</f>
        <v>--</v>
      </c>
      <c r="V255" s="23" t="str">
        <f>IF(SUGERENCIAS!N720="SIN","Sin datos anteriores",IF(SUGERENCIAS!N720="SUBIR_F","^ SUBIR FUERTE | Kg:"&amp;ROUND(SUGERENCIAS!K720,1)&amp;" R:"&amp;ROUND(SUGERENCIAS!L720,0)&amp;" RIR:"&amp;ROUND(SUGERENCIAS!M720,0),IF(SUGERENCIAS!N720="SUBIR_E","^ SUBIR (Est.) | Kg:"&amp;ROUND(SUGERENCIAS!K720,1)&amp;" R:"&amp;ROUND(SUGERENCIAS!L720,0)&amp;" RIR:"&amp;ROUND(SUGERENCIAS!M720,0),IF(SUGERENCIAS!N720="SUBIR","^ SUBIR | Kg:"&amp;ROUND(SUGERENCIAS!K720,1)&amp;" R:"&amp;ROUND(SUGERENCIAS!L720,0)&amp;" RIR:"&amp;ROUND(SUGERENCIAS!M720,0),IF(SUGERENCIAS!N720="BAJAR","v BAJAR | Kg:"&amp;ROUND(SUGERENCIAS!K720,1)&amp;" R:"&amp;ROUND(SUGERENCIAS!L720,0)&amp;" RIR:"&amp;ROUND(SUGERENCIAS!M720,0),"= MANT | Kg:"&amp;ROUND(SUGERENCIAS!K720,1)&amp;" R:"&amp;ROUND(SUGERENCIAS!L720,0)&amp;" RIR:"&amp;ROUND(SUGERENCIAS!M720,0))))))</f>
        <v>Sin datos anteriores</v>
      </c>
      <c r="W255" s="69">
        <f>MAX(IF((G255&gt;0)*(IF(H255="",-1,H255)&gt;=3)*(IF(H255="",-1,H255)&lt;=4),IF(C255="peso_corporal",IF(ISNUMBER(E255),E255,0)+F255,F255)*G255*1000+F255,0),IF((J255&gt;0)*(IF(K255="",-1,K255)&gt;=3)*(IF(K255="",-1,K255)&lt;=4),IF(C255="peso_corporal",IF(ISNUMBER(E255),E255,0)+I255,I255)*J255*1000+I255,0),IF((M255&gt;0)*(IF(N255="",-1,N255)&gt;=3)*(IF(N255="",-1,N255)&lt;=4),IF(C255="peso_corporal",IF(ISNUMBER(E255),E255,0)+L255,L255)*M255*1000+L255,0),IF((P255&gt;0)*(IF(Q255="",-1,Q255)&gt;=3)*(IF(Q255="",-1,Q255)&lt;=4),IF(C255="peso_corporal",IF(ISNUMBER(E255),E255,0)+O255,O255)*P255*1000+O255,0),IF((S255&gt;0)*(IF(T255="",-1,T255)&gt;=3)*(IF(T255="",-1,T255)&lt;=4),IF(C255="peso_corporal",IF(ISNUMBER(E255),E255,0)+R255,R255)*S255*1000+R255,0))</f>
        <v>0</v>
      </c>
      <c r="X255" s="69">
        <f>IF(W255=0,0,IF(IF((S255&gt;0)*(IF(T255="",-1,T255)&gt;=3)*(IF(T255="",-1,T255)&lt;=4),IF(C255="peso_corporal",IF(ISNUMBER(E255),E255,0)+R255,R255)*S255*1000+R255,0)=W255,5,IF(IF((P255&gt;0)*(IF(Q255="",-1,Q255)&gt;=3)*(IF(Q255="",-1,Q255)&lt;=4),IF(C255="peso_corporal",IF(ISNUMBER(E255),E255,0)+O255,O255)*P255*1000+O255,0)=W255,4,IF(IF((M255&gt;0)*(IF(N255="",-1,N255)&gt;=3)*(IF(N255="",-1,N255)&lt;=4),IF(C255="peso_corporal",IF(ISNUMBER(E255),E255,0)+L255,L255)*M255*1000+L255,0)=W255,3,IF(IF((J255&gt;0)*(IF(K255="",-1,K255)&gt;=3)*(IF(K255="",-1,K255)&lt;=4),IF(C255="peso_corporal",IF(ISNUMBER(E255),E255,0)+I255,I255)*J255*1000+I255,0)=W255,2,IF(IF((G255&gt;0)*(IF(H255="",-1,H255)&gt;=3)*(IF(H255="",-1,H255)&lt;=4),IF(C255="peso_corporal",IF(ISNUMBER(E255),E255,0)+F255,F255)*G255*1000+F255,0)=W255,1,0))))))</f>
        <v>0</v>
      </c>
      <c r="Y255" s="69">
        <f>MAX(IF((G255&gt;0)*(IF(H255="",-1,H255)=0)*(1-(IF(H255="",-1,H255)&gt;=3)*(IF(H255="",-1,H255)&lt;=4)),IF(C255="peso_corporal",IF(ISNUMBER(E255),E255,0)+F255,F255)*G255*1000+F255,0),IF((J255&gt;0)*(IF(K255="",-1,K255)=0)*(1-(IF(K255="",-1,K255)&gt;=3)*(IF(K255="",-1,K255)&lt;=4)),IF(C255="peso_corporal",IF(ISNUMBER(E255),E255,0)+I255,I255)*J255*1000+I255,0),IF((M255&gt;0)*(IF(N255="",-1,N255)=0)*(1-(IF(N255="",-1,N255)&gt;=3)*(IF(N255="",-1,N255)&lt;=4)),IF(C255="peso_corporal",IF(ISNUMBER(E255),E255,0)+L255,L255)*M255*1000+L255,0),IF((P255&gt;0)*(IF(Q255="",-1,Q255)=0)*(1-(IF(Q255="",-1,Q255)&gt;=3)*(IF(Q255="",-1,Q255)&lt;=4)),IF(C255="peso_corporal",IF(ISNUMBER(E255),E255,0)+O255,O255)*P255*1000+O255,0),IF((S255&gt;0)*(IF(T255="",-1,T255)=0)*(1-(IF(T255="",-1,T255)&gt;=3)*(IF(T255="",-1,T255)&lt;=4)),IF(C255="peso_corporal",IF(ISNUMBER(E255),E255,0)+R255,R255)*S255*1000+R255,0))</f>
        <v>0</v>
      </c>
      <c r="Z255" s="69">
        <f>IF(Y255=0,0,IF(IF((S255&gt;0)*(IF(T255="",-1,T255)=0)*(1-(IF(T255="",-1,T255)&gt;=3)*(IF(T255="",-1,T255)&lt;=4)),IF(C255="peso_corporal",IF(ISNUMBER(E255),E255,0)+R255,R255)*S255*1000+R255,0)=Y255,5,IF(IF((P255&gt;0)*(IF(Q255="",-1,Q255)=0)*(1-(IF(Q255="",-1,Q255)&gt;=3)*(IF(Q255="",-1,Q255)&lt;=4)),IF(C255="peso_corporal",IF(ISNUMBER(E255),E255,0)+O255,O255)*P255*1000+O255,0)=Y255,4,IF(IF((M255&gt;0)*(IF(N255="",-1,N255)=0)*(1-(IF(N255="",-1,N255)&gt;=3)*(IF(N255="",-1,N255)&lt;=4)),IF(C255="peso_corporal",IF(ISNUMBER(E255),E255,0)+L255,L255)*M255*1000+L255,0)=Y255,3,IF(IF((J255&gt;0)*(IF(K255="",-1,K255)=0)*(1-(IF(K255="",-1,K255)&gt;=3)*(IF(K255="",-1,K255)&lt;=4)),IF(C255="peso_corporal",IF(ISNUMBER(E255),E255,0)+I255,I255)*J255*1000+I255,0)=Y255,2,IF(IF((G255&gt;0)*(IF(H255="",-1,H255)=0)*(1-(IF(H255="",-1,H255)&gt;=3)*(IF(H255="",-1,H255)&lt;=4)),IF(C255="peso_corporal",IF(ISNUMBER(E255),E255,0)+F255,F255)*G255*1000+F255,0)=Y255,1,0))))))</f>
        <v>0</v>
      </c>
      <c r="AA255" s="69">
        <f>MAX(IF((G255&gt;=12)*(1-(IF(H255="",-1,H255)&gt;=3)*(IF(H255="",-1,H255)&lt;=4))*(1-(IF(H255="",-1,H255)=0)),IF(C255="peso_corporal",IF(ISNUMBER(E255),E255,0)+F255,F255)*(30+G255)*100+F255,0),IF((J255&gt;=12)*(1-(IF(K255="",-1,K255)&gt;=3)*(IF(K255="",-1,K255)&lt;=4))*(1-(IF(K255="",-1,K255)=0)),IF(C255="peso_corporal",IF(ISNUMBER(E255),E255,0)+I255,I255)*(30+J255)*100+I255,0),IF((M255&gt;=12)*(1-(IF(N255="",-1,N255)&gt;=3)*(IF(N255="",-1,N255)&lt;=4))*(1-(IF(N255="",-1,N255)=0)),IF(C255="peso_corporal",IF(ISNUMBER(E255),E255,0)+L255,L255)*(30+M255)*100+L255,0),IF((P255&gt;=12)*(1-(IF(Q255="",-1,Q255)&gt;=3)*(IF(Q255="",-1,Q255)&lt;=4))*(1-(IF(Q255="",-1,Q255)=0)),IF(C255="peso_corporal",IF(ISNUMBER(E255),E255,0)+O255,O255)*(30+P255)*100+O255,0),IF((S255&gt;=12)*(1-(IF(T255="",-1,T255)&gt;=3)*(IF(T255="",-1,T255)&lt;=4))*(1-(IF(T255="",-1,T255)=0)),IF(C255="peso_corporal",IF(ISNUMBER(E255),E255,0)+R255,R255)*(30+S255)*100+R255,0))</f>
        <v>0</v>
      </c>
      <c r="AB255" s="69">
        <f>IF(AA255=0,0,IF(IF((S255&gt;=12)*(1-(IF(T255="",-1,T255)&gt;=3)*(IF(T255="",-1,T255)&lt;=4))*(1-(IF(T255="",-1,T255)=0)),IF(C255="peso_corporal",IF(ISNUMBER(E255),E255,0)+R255,R255)*(30+S255)*100+R255,0)=AA255,5,IF(IF((P255&gt;=12)*(1-(IF(Q255="",-1,Q255)&gt;=3)*(IF(Q255="",-1,Q255)&lt;=4))*(1-(IF(Q255="",-1,Q255)=0)),IF(C255="peso_corporal",IF(ISNUMBER(E255),E255,0)+O255,O255)*(30+P255)*100+O255,0)=AA255,4,IF(IF((M255&gt;=12)*(1-(IF(N255="",-1,N255)&gt;=3)*(IF(N255="",-1,N255)&lt;=4))*(1-(IF(N255="",-1,N255)=0)),IF(C255="peso_corporal",IF(ISNUMBER(E255),E255,0)+L255,L255)*(30+M255)*100+L255,0)=AA255,3,IF(IF((J255&gt;=12)*(1-(IF(K255="",-1,K255)&gt;=3)*(IF(K255="",-1,K255)&lt;=4))*(1-(IF(K255="",-1,K255)=0)),IF(C255="peso_corporal",IF(ISNUMBER(E255),E255,0)+I255,I255)*(30+J255)*100+I255,0)=AA255,2,IF(IF((G255&gt;=12)*(1-(IF(H255="",-1,H255)&gt;=3)*(IF(H255="",-1,H255)&lt;=4))*(1-(IF(H255="",-1,H255)=0)),IF(C255="peso_corporal",IF(ISNUMBER(E255),E255,0)+F255,F255)*(30+G255)*100+F255,0)=AA255,1,0))))))</f>
        <v>0</v>
      </c>
      <c r="AC255" s="69" t="str">
        <f>IF(X255&gt;0,"A"&amp;X255,IF(Z255&gt;0,"B"&amp;Z255,IF(AB255&gt;0,"C"&amp;AB255,"")))</f>
        <v/>
      </c>
    </row>
    <row r="256" spans="1:29" ht="20.100000000000001" customHeight="1">
      <c r="A256" s="14" t="s">
        <v>133</v>
      </c>
      <c r="B256" s="15" t="s">
        <v>31</v>
      </c>
      <c r="C256" s="16" t="str">
        <f>IFERROR(INDEX(EJERCICIOS!$D$3:$D$75,MATCH(A256&amp;"|"&amp;B256,EJERCICIOS!$G$3:$G$75,0)),"--")</f>
        <v>mancuerna</v>
      </c>
      <c r="D256" s="17">
        <v>3</v>
      </c>
      <c r="E256" s="18">
        <f>IFERROR(LOOKUP(2,1/(MEDIDAS_Y_PESO!$B$3:$B$14&lt;&gt;""),MEDIDAS_Y_PESO!$B$3:$B$14),"--")</f>
        <v>80</v>
      </c>
      <c r="F256" s="19"/>
      <c r="G256" s="20"/>
      <c r="H256" s="21"/>
      <c r="I256" s="19"/>
      <c r="J256" s="20"/>
      <c r="K256" s="21"/>
      <c r="L256" s="19"/>
      <c r="M256" s="20"/>
      <c r="N256" s="21"/>
      <c r="O256" s="19"/>
      <c r="P256" s="20"/>
      <c r="Q256" s="21"/>
      <c r="R256" s="19"/>
      <c r="S256" s="20"/>
      <c r="T256" s="21"/>
      <c r="U256" s="22" t="str">
        <f>IFERROR(IF(IF(X256&gt;0,X256,IF(Z256&gt;0,Z256,IF(AB256&gt;0,AB256,0)))=0,"--",ROUND(CHOOSE(IF(X256&gt;0,X256,IF(Z256&gt;0,Z256,IF(AB256&gt;0,AB256,0))),IF(C256="peso_corporal",IF(ISNUMBER(E256),E256,0)+F256,F256)*(1+G256/30),IF(C256="peso_corporal",IF(ISNUMBER(E256),E256,0)+I256,I256)*(1+J256/30),IF(C256="peso_corporal",IF(ISNUMBER(E256),E256,0)+L256,L256)*(1+M256/30),IF(C256="peso_corporal",IF(ISNUMBER(E256),E256,0)+O256,O256)*(1+P256/30),IF(C256="peso_corporal",IF(ISNUMBER(E256),E256,0)+R256,R256)*(1+S256/30)),1)),"--")</f>
        <v>--</v>
      </c>
      <c r="V256" s="23" t="str">
        <f>IF(SUGERENCIAS!N721="SIN","Sin datos anteriores",IF(SUGERENCIAS!N721="SUBIR_F","^ SUBIR FUERTE | Kg:"&amp;ROUND(SUGERENCIAS!K721,1)&amp;" R:"&amp;ROUND(SUGERENCIAS!L721,0)&amp;" RIR:"&amp;ROUND(SUGERENCIAS!M721,0),IF(SUGERENCIAS!N721="SUBIR_E","^ SUBIR (Est.) | Kg:"&amp;ROUND(SUGERENCIAS!K721,1)&amp;" R:"&amp;ROUND(SUGERENCIAS!L721,0)&amp;" RIR:"&amp;ROUND(SUGERENCIAS!M721,0),IF(SUGERENCIAS!N721="SUBIR","^ SUBIR | Kg:"&amp;ROUND(SUGERENCIAS!K721,1)&amp;" R:"&amp;ROUND(SUGERENCIAS!L721,0)&amp;" RIR:"&amp;ROUND(SUGERENCIAS!M721,0),IF(SUGERENCIAS!N721="BAJAR","v BAJAR | Kg:"&amp;ROUND(SUGERENCIAS!K721,1)&amp;" R:"&amp;ROUND(SUGERENCIAS!L721,0)&amp;" RIR:"&amp;ROUND(SUGERENCIAS!M721,0),"= MANT | Kg:"&amp;ROUND(SUGERENCIAS!K721,1)&amp;" R:"&amp;ROUND(SUGERENCIAS!L721,0)&amp;" RIR:"&amp;ROUND(SUGERENCIAS!M721,0))))))</f>
        <v>Sin datos anteriores</v>
      </c>
      <c r="W256" s="69">
        <f>MAX(IF((G256&gt;0)*(IF(H256="",-1,H256)&gt;=3)*(IF(H256="",-1,H256)&lt;=4),IF(C256="peso_corporal",IF(ISNUMBER(E256),E256,0)+F256,F256)*G256*1000+F256,0),IF((J256&gt;0)*(IF(K256="",-1,K256)&gt;=3)*(IF(K256="",-1,K256)&lt;=4),IF(C256="peso_corporal",IF(ISNUMBER(E256),E256,0)+I256,I256)*J256*1000+I256,0),IF((M256&gt;0)*(IF(N256="",-1,N256)&gt;=3)*(IF(N256="",-1,N256)&lt;=4),IF(C256="peso_corporal",IF(ISNUMBER(E256),E256,0)+L256,L256)*M256*1000+L256,0),IF((P256&gt;0)*(IF(Q256="",-1,Q256)&gt;=3)*(IF(Q256="",-1,Q256)&lt;=4),IF(C256="peso_corporal",IF(ISNUMBER(E256),E256,0)+O256,O256)*P256*1000+O256,0),IF((S256&gt;0)*(IF(T256="",-1,T256)&gt;=3)*(IF(T256="",-1,T256)&lt;=4),IF(C256="peso_corporal",IF(ISNUMBER(E256),E256,0)+R256,R256)*S256*1000+R256,0))</f>
        <v>0</v>
      </c>
      <c r="X256" s="69">
        <f>IF(W256=0,0,IF(IF((S256&gt;0)*(IF(T256="",-1,T256)&gt;=3)*(IF(T256="",-1,T256)&lt;=4),IF(C256="peso_corporal",IF(ISNUMBER(E256),E256,0)+R256,R256)*S256*1000+R256,0)=W256,5,IF(IF((P256&gt;0)*(IF(Q256="",-1,Q256)&gt;=3)*(IF(Q256="",-1,Q256)&lt;=4),IF(C256="peso_corporal",IF(ISNUMBER(E256),E256,0)+O256,O256)*P256*1000+O256,0)=W256,4,IF(IF((M256&gt;0)*(IF(N256="",-1,N256)&gt;=3)*(IF(N256="",-1,N256)&lt;=4),IF(C256="peso_corporal",IF(ISNUMBER(E256),E256,0)+L256,L256)*M256*1000+L256,0)=W256,3,IF(IF((J256&gt;0)*(IF(K256="",-1,K256)&gt;=3)*(IF(K256="",-1,K256)&lt;=4),IF(C256="peso_corporal",IF(ISNUMBER(E256),E256,0)+I256,I256)*J256*1000+I256,0)=W256,2,IF(IF((G256&gt;0)*(IF(H256="",-1,H256)&gt;=3)*(IF(H256="",-1,H256)&lt;=4),IF(C256="peso_corporal",IF(ISNUMBER(E256),E256,0)+F256,F256)*G256*1000+F256,0)=W256,1,0))))))</f>
        <v>0</v>
      </c>
      <c r="Y256" s="69">
        <f>MAX(IF((G256&gt;0)*(IF(H256="",-1,H256)=0)*(1-(IF(H256="",-1,H256)&gt;=3)*(IF(H256="",-1,H256)&lt;=4)),IF(C256="peso_corporal",IF(ISNUMBER(E256),E256,0)+F256,F256)*G256*1000+F256,0),IF((J256&gt;0)*(IF(K256="",-1,K256)=0)*(1-(IF(K256="",-1,K256)&gt;=3)*(IF(K256="",-1,K256)&lt;=4)),IF(C256="peso_corporal",IF(ISNUMBER(E256),E256,0)+I256,I256)*J256*1000+I256,0),IF((M256&gt;0)*(IF(N256="",-1,N256)=0)*(1-(IF(N256="",-1,N256)&gt;=3)*(IF(N256="",-1,N256)&lt;=4)),IF(C256="peso_corporal",IF(ISNUMBER(E256),E256,0)+L256,L256)*M256*1000+L256,0),IF((P256&gt;0)*(IF(Q256="",-1,Q256)=0)*(1-(IF(Q256="",-1,Q256)&gt;=3)*(IF(Q256="",-1,Q256)&lt;=4)),IF(C256="peso_corporal",IF(ISNUMBER(E256),E256,0)+O256,O256)*P256*1000+O256,0),IF((S256&gt;0)*(IF(T256="",-1,T256)=0)*(1-(IF(T256="",-1,T256)&gt;=3)*(IF(T256="",-1,T256)&lt;=4)),IF(C256="peso_corporal",IF(ISNUMBER(E256),E256,0)+R256,R256)*S256*1000+R256,0))</f>
        <v>0</v>
      </c>
      <c r="Z256" s="69">
        <f>IF(Y256=0,0,IF(IF((S256&gt;0)*(IF(T256="",-1,T256)=0)*(1-(IF(T256="",-1,T256)&gt;=3)*(IF(T256="",-1,T256)&lt;=4)),IF(C256="peso_corporal",IF(ISNUMBER(E256),E256,0)+R256,R256)*S256*1000+R256,0)=Y256,5,IF(IF((P256&gt;0)*(IF(Q256="",-1,Q256)=0)*(1-(IF(Q256="",-1,Q256)&gt;=3)*(IF(Q256="",-1,Q256)&lt;=4)),IF(C256="peso_corporal",IF(ISNUMBER(E256),E256,0)+O256,O256)*P256*1000+O256,0)=Y256,4,IF(IF((M256&gt;0)*(IF(N256="",-1,N256)=0)*(1-(IF(N256="",-1,N256)&gt;=3)*(IF(N256="",-1,N256)&lt;=4)),IF(C256="peso_corporal",IF(ISNUMBER(E256),E256,0)+L256,L256)*M256*1000+L256,0)=Y256,3,IF(IF((J256&gt;0)*(IF(K256="",-1,K256)=0)*(1-(IF(K256="",-1,K256)&gt;=3)*(IF(K256="",-1,K256)&lt;=4)),IF(C256="peso_corporal",IF(ISNUMBER(E256),E256,0)+I256,I256)*J256*1000+I256,0)=Y256,2,IF(IF((G256&gt;0)*(IF(H256="",-1,H256)=0)*(1-(IF(H256="",-1,H256)&gt;=3)*(IF(H256="",-1,H256)&lt;=4)),IF(C256="peso_corporal",IF(ISNUMBER(E256),E256,0)+F256,F256)*G256*1000+F256,0)=Y256,1,0))))))</f>
        <v>0</v>
      </c>
      <c r="AA256" s="69">
        <f>MAX(IF((G256&gt;=12)*(1-(IF(H256="",-1,H256)&gt;=3)*(IF(H256="",-1,H256)&lt;=4))*(1-(IF(H256="",-1,H256)=0)),IF(C256="peso_corporal",IF(ISNUMBER(E256),E256,0)+F256,F256)*(30+G256)*100+F256,0),IF((J256&gt;=12)*(1-(IF(K256="",-1,K256)&gt;=3)*(IF(K256="",-1,K256)&lt;=4))*(1-(IF(K256="",-1,K256)=0)),IF(C256="peso_corporal",IF(ISNUMBER(E256),E256,0)+I256,I256)*(30+J256)*100+I256,0),IF((M256&gt;=12)*(1-(IF(N256="",-1,N256)&gt;=3)*(IF(N256="",-1,N256)&lt;=4))*(1-(IF(N256="",-1,N256)=0)),IF(C256="peso_corporal",IF(ISNUMBER(E256),E256,0)+L256,L256)*(30+M256)*100+L256,0),IF((P256&gt;=12)*(1-(IF(Q256="",-1,Q256)&gt;=3)*(IF(Q256="",-1,Q256)&lt;=4))*(1-(IF(Q256="",-1,Q256)=0)),IF(C256="peso_corporal",IF(ISNUMBER(E256),E256,0)+O256,O256)*(30+P256)*100+O256,0),IF((S256&gt;=12)*(1-(IF(T256="",-1,T256)&gt;=3)*(IF(T256="",-1,T256)&lt;=4))*(1-(IF(T256="",-1,T256)=0)),IF(C256="peso_corporal",IF(ISNUMBER(E256),E256,0)+R256,R256)*(30+S256)*100+R256,0))</f>
        <v>0</v>
      </c>
      <c r="AB256" s="69">
        <f>IF(AA256=0,0,IF(IF((S256&gt;=12)*(1-(IF(T256="",-1,T256)&gt;=3)*(IF(T256="",-1,T256)&lt;=4))*(1-(IF(T256="",-1,T256)=0)),IF(C256="peso_corporal",IF(ISNUMBER(E256),E256,0)+R256,R256)*(30+S256)*100+R256,0)=AA256,5,IF(IF((P256&gt;=12)*(1-(IF(Q256="",-1,Q256)&gt;=3)*(IF(Q256="",-1,Q256)&lt;=4))*(1-(IF(Q256="",-1,Q256)=0)),IF(C256="peso_corporal",IF(ISNUMBER(E256),E256,0)+O256,O256)*(30+P256)*100+O256,0)=AA256,4,IF(IF((M256&gt;=12)*(1-(IF(N256="",-1,N256)&gt;=3)*(IF(N256="",-1,N256)&lt;=4))*(1-(IF(N256="",-1,N256)=0)),IF(C256="peso_corporal",IF(ISNUMBER(E256),E256,0)+L256,L256)*(30+M256)*100+L256,0)=AA256,3,IF(IF((J256&gt;=12)*(1-(IF(K256="",-1,K256)&gt;=3)*(IF(K256="",-1,K256)&lt;=4))*(1-(IF(K256="",-1,K256)=0)),IF(C256="peso_corporal",IF(ISNUMBER(E256),E256,0)+I256,I256)*(30+J256)*100+I256,0)=AA256,2,IF(IF((G256&gt;=12)*(1-(IF(H256="",-1,H256)&gt;=3)*(IF(H256="",-1,H256)&lt;=4))*(1-(IF(H256="",-1,H256)=0)),IF(C256="peso_corporal",IF(ISNUMBER(E256),E256,0)+F256,F256)*(30+G256)*100+F256,0)=AA256,1,0))))))</f>
        <v>0</v>
      </c>
      <c r="AC256" s="69" t="str">
        <f>IF(X256&gt;0,"A"&amp;X256,IF(Z256&gt;0,"B"&amp;Z256,IF(AB256&gt;0,"C"&amp;AB256,"")))</f>
        <v/>
      </c>
    </row>
    <row r="257" spans="1:29" ht="15" customHeight="1">
      <c r="A257" s="88" t="s">
        <v>50</v>
      </c>
      <c r="B257" s="73"/>
      <c r="C257" s="73"/>
      <c r="D257" s="73"/>
      <c r="E257" s="73"/>
      <c r="F257" s="73"/>
      <c r="G257" s="73"/>
      <c r="H257" s="73"/>
      <c r="I257" s="73"/>
      <c r="J257" s="73"/>
      <c r="K257" s="73"/>
      <c r="L257" s="73"/>
      <c r="M257" s="73"/>
      <c r="N257" s="73"/>
      <c r="O257" s="73"/>
      <c r="P257" s="73"/>
      <c r="Q257" s="73"/>
      <c r="R257" s="73"/>
      <c r="S257" s="73"/>
      <c r="T257" s="73"/>
      <c r="U257" s="73"/>
      <c r="V257" s="73"/>
      <c r="W257" s="69"/>
      <c r="X257" s="69"/>
      <c r="Y257" s="69"/>
      <c r="Z257" s="69"/>
      <c r="AA257" s="69"/>
      <c r="AB257" s="69"/>
      <c r="AC257" s="69"/>
    </row>
    <row r="258" spans="1:29" ht="20.100000000000001" customHeight="1">
      <c r="A258" s="14" t="s">
        <v>51</v>
      </c>
      <c r="B258" s="15" t="s">
        <v>134</v>
      </c>
      <c r="C258" s="16" t="str">
        <f>IFERROR(INDEX(EJERCICIOS!$D$3:$D$75,MATCH(A258&amp;"|"&amp;B258,EJERCICIOS!$G$3:$G$75,0)),"--")</f>
        <v>--</v>
      </c>
      <c r="D258" s="17">
        <v>3</v>
      </c>
      <c r="E258" s="18">
        <f>IFERROR(LOOKUP(2,1/(MEDIDAS_Y_PESO!$B$3:$B$14&lt;&gt;""),MEDIDAS_Y_PESO!$B$3:$B$14),"--")</f>
        <v>80</v>
      </c>
      <c r="F258" s="19"/>
      <c r="G258" s="20"/>
      <c r="H258" s="21"/>
      <c r="I258" s="19"/>
      <c r="J258" s="20"/>
      <c r="K258" s="21"/>
      <c r="L258" s="19"/>
      <c r="M258" s="20"/>
      <c r="N258" s="21"/>
      <c r="O258" s="19"/>
      <c r="P258" s="20"/>
      <c r="Q258" s="21"/>
      <c r="R258" s="19"/>
      <c r="S258" s="20"/>
      <c r="T258" s="21"/>
      <c r="U258" s="22" t="str">
        <f>IFERROR(IF(IF(X258&gt;0,X258,IF(Z258&gt;0,Z258,IF(AB258&gt;0,AB258,0)))=0,"--",ROUND(CHOOSE(IF(X258&gt;0,X258,IF(Z258&gt;0,Z258,IF(AB258&gt;0,AB258,0))),IF(C258="peso_corporal",IF(ISNUMBER(E258),E258,0)+F258,F258)*(1+G258/30),IF(C258="peso_corporal",IF(ISNUMBER(E258),E258,0)+I258,I258)*(1+J258/30),IF(C258="peso_corporal",IF(ISNUMBER(E258),E258,0)+L258,L258)*(1+M258/30),IF(C258="peso_corporal",IF(ISNUMBER(E258),E258,0)+O258,O258)*(1+P258/30),IF(C258="peso_corporal",IF(ISNUMBER(E258),E258,0)+R258,R258)*(1+S258/30)),1)),"--")</f>
        <v>--</v>
      </c>
      <c r="V258" s="23" t="str">
        <f>IF(SUGERENCIAS!N722="SIN","Sin datos anteriores",IF(SUGERENCIAS!N722="SUBIR_F","^ SUBIR FUERTE | Kg:"&amp;ROUND(SUGERENCIAS!K722,1)&amp;" R:"&amp;ROUND(SUGERENCIAS!L722,0)&amp;" RIR:"&amp;ROUND(SUGERENCIAS!M722,0),IF(SUGERENCIAS!N722="SUBIR_E","^ SUBIR (Est.) | Kg:"&amp;ROUND(SUGERENCIAS!K722,1)&amp;" R:"&amp;ROUND(SUGERENCIAS!L722,0)&amp;" RIR:"&amp;ROUND(SUGERENCIAS!M722,0),IF(SUGERENCIAS!N722="SUBIR","^ SUBIR | Kg:"&amp;ROUND(SUGERENCIAS!K722,1)&amp;" R:"&amp;ROUND(SUGERENCIAS!L722,0)&amp;" RIR:"&amp;ROUND(SUGERENCIAS!M722,0),IF(SUGERENCIAS!N722="BAJAR","v BAJAR | Kg:"&amp;ROUND(SUGERENCIAS!K722,1)&amp;" R:"&amp;ROUND(SUGERENCIAS!L722,0)&amp;" RIR:"&amp;ROUND(SUGERENCIAS!M722,0),"= MANT | Kg:"&amp;ROUND(SUGERENCIAS!K722,1)&amp;" R:"&amp;ROUND(SUGERENCIAS!L722,0)&amp;" RIR:"&amp;ROUND(SUGERENCIAS!M722,0))))))</f>
        <v>Sin datos anteriores</v>
      </c>
      <c r="W258" s="69">
        <f>MAX(IF((G258&gt;0)*(IF(H258="",-1,H258)&gt;=3)*(IF(H258="",-1,H258)&lt;=4),IF(C258="peso_corporal",IF(ISNUMBER(E258),E258,0)+F258,F258)*G258*1000+F258,0),IF((J258&gt;0)*(IF(K258="",-1,K258)&gt;=3)*(IF(K258="",-1,K258)&lt;=4),IF(C258="peso_corporal",IF(ISNUMBER(E258),E258,0)+I258,I258)*J258*1000+I258,0),IF((M258&gt;0)*(IF(N258="",-1,N258)&gt;=3)*(IF(N258="",-1,N258)&lt;=4),IF(C258="peso_corporal",IF(ISNUMBER(E258),E258,0)+L258,L258)*M258*1000+L258,0),IF((P258&gt;0)*(IF(Q258="",-1,Q258)&gt;=3)*(IF(Q258="",-1,Q258)&lt;=4),IF(C258="peso_corporal",IF(ISNUMBER(E258),E258,0)+O258,O258)*P258*1000+O258,0),IF((S258&gt;0)*(IF(T258="",-1,T258)&gt;=3)*(IF(T258="",-1,T258)&lt;=4),IF(C258="peso_corporal",IF(ISNUMBER(E258),E258,0)+R258,R258)*S258*1000+R258,0))</f>
        <v>0</v>
      </c>
      <c r="X258" s="69">
        <f>IF(W258=0,0,IF(IF((S258&gt;0)*(IF(T258="",-1,T258)&gt;=3)*(IF(T258="",-1,T258)&lt;=4),IF(C258="peso_corporal",IF(ISNUMBER(E258),E258,0)+R258,R258)*S258*1000+R258,0)=W258,5,IF(IF((P258&gt;0)*(IF(Q258="",-1,Q258)&gt;=3)*(IF(Q258="",-1,Q258)&lt;=4),IF(C258="peso_corporal",IF(ISNUMBER(E258),E258,0)+O258,O258)*P258*1000+O258,0)=W258,4,IF(IF((M258&gt;0)*(IF(N258="",-1,N258)&gt;=3)*(IF(N258="",-1,N258)&lt;=4),IF(C258="peso_corporal",IF(ISNUMBER(E258),E258,0)+L258,L258)*M258*1000+L258,0)=W258,3,IF(IF((J258&gt;0)*(IF(K258="",-1,K258)&gt;=3)*(IF(K258="",-1,K258)&lt;=4),IF(C258="peso_corporal",IF(ISNUMBER(E258),E258,0)+I258,I258)*J258*1000+I258,0)=W258,2,IF(IF((G258&gt;0)*(IF(H258="",-1,H258)&gt;=3)*(IF(H258="",-1,H258)&lt;=4),IF(C258="peso_corporal",IF(ISNUMBER(E258),E258,0)+F258,F258)*G258*1000+F258,0)=W258,1,0))))))</f>
        <v>0</v>
      </c>
      <c r="Y258" s="69">
        <f>MAX(IF((G258&gt;0)*(IF(H258="",-1,H258)=0)*(1-(IF(H258="",-1,H258)&gt;=3)*(IF(H258="",-1,H258)&lt;=4)),IF(C258="peso_corporal",IF(ISNUMBER(E258),E258,0)+F258,F258)*G258*1000+F258,0),IF((J258&gt;0)*(IF(K258="",-1,K258)=0)*(1-(IF(K258="",-1,K258)&gt;=3)*(IF(K258="",-1,K258)&lt;=4)),IF(C258="peso_corporal",IF(ISNUMBER(E258),E258,0)+I258,I258)*J258*1000+I258,0),IF((M258&gt;0)*(IF(N258="",-1,N258)=0)*(1-(IF(N258="",-1,N258)&gt;=3)*(IF(N258="",-1,N258)&lt;=4)),IF(C258="peso_corporal",IF(ISNUMBER(E258),E258,0)+L258,L258)*M258*1000+L258,0),IF((P258&gt;0)*(IF(Q258="",-1,Q258)=0)*(1-(IF(Q258="",-1,Q258)&gt;=3)*(IF(Q258="",-1,Q258)&lt;=4)),IF(C258="peso_corporal",IF(ISNUMBER(E258),E258,0)+O258,O258)*P258*1000+O258,0),IF((S258&gt;0)*(IF(T258="",-1,T258)=0)*(1-(IF(T258="",-1,T258)&gt;=3)*(IF(T258="",-1,T258)&lt;=4)),IF(C258="peso_corporal",IF(ISNUMBER(E258),E258,0)+R258,R258)*S258*1000+R258,0))</f>
        <v>0</v>
      </c>
      <c r="Z258" s="69">
        <f>IF(Y258=0,0,IF(IF((S258&gt;0)*(IF(T258="",-1,T258)=0)*(1-(IF(T258="",-1,T258)&gt;=3)*(IF(T258="",-1,T258)&lt;=4)),IF(C258="peso_corporal",IF(ISNUMBER(E258),E258,0)+R258,R258)*S258*1000+R258,0)=Y258,5,IF(IF((P258&gt;0)*(IF(Q258="",-1,Q258)=0)*(1-(IF(Q258="",-1,Q258)&gt;=3)*(IF(Q258="",-1,Q258)&lt;=4)),IF(C258="peso_corporal",IF(ISNUMBER(E258),E258,0)+O258,O258)*P258*1000+O258,0)=Y258,4,IF(IF((M258&gt;0)*(IF(N258="",-1,N258)=0)*(1-(IF(N258="",-1,N258)&gt;=3)*(IF(N258="",-1,N258)&lt;=4)),IF(C258="peso_corporal",IF(ISNUMBER(E258),E258,0)+L258,L258)*M258*1000+L258,0)=Y258,3,IF(IF((J258&gt;0)*(IF(K258="",-1,K258)=0)*(1-(IF(K258="",-1,K258)&gt;=3)*(IF(K258="",-1,K258)&lt;=4)),IF(C258="peso_corporal",IF(ISNUMBER(E258),E258,0)+I258,I258)*J258*1000+I258,0)=Y258,2,IF(IF((G258&gt;0)*(IF(H258="",-1,H258)=0)*(1-(IF(H258="",-1,H258)&gt;=3)*(IF(H258="",-1,H258)&lt;=4)),IF(C258="peso_corporal",IF(ISNUMBER(E258),E258,0)+F258,F258)*G258*1000+F258,0)=Y258,1,0))))))</f>
        <v>0</v>
      </c>
      <c r="AA258" s="69">
        <f>MAX(IF((G258&gt;=12)*(1-(IF(H258="",-1,H258)&gt;=3)*(IF(H258="",-1,H258)&lt;=4))*(1-(IF(H258="",-1,H258)=0)),IF(C258="peso_corporal",IF(ISNUMBER(E258),E258,0)+F258,F258)*(30+G258)*100+F258,0),IF((J258&gt;=12)*(1-(IF(K258="",-1,K258)&gt;=3)*(IF(K258="",-1,K258)&lt;=4))*(1-(IF(K258="",-1,K258)=0)),IF(C258="peso_corporal",IF(ISNUMBER(E258),E258,0)+I258,I258)*(30+J258)*100+I258,0),IF((M258&gt;=12)*(1-(IF(N258="",-1,N258)&gt;=3)*(IF(N258="",-1,N258)&lt;=4))*(1-(IF(N258="",-1,N258)=0)),IF(C258="peso_corporal",IF(ISNUMBER(E258),E258,0)+L258,L258)*(30+M258)*100+L258,0),IF((P258&gt;=12)*(1-(IF(Q258="",-1,Q258)&gt;=3)*(IF(Q258="",-1,Q258)&lt;=4))*(1-(IF(Q258="",-1,Q258)=0)),IF(C258="peso_corporal",IF(ISNUMBER(E258),E258,0)+O258,O258)*(30+P258)*100+O258,0),IF((S258&gt;=12)*(1-(IF(T258="",-1,T258)&gt;=3)*(IF(T258="",-1,T258)&lt;=4))*(1-(IF(T258="",-1,T258)=0)),IF(C258="peso_corporal",IF(ISNUMBER(E258),E258,0)+R258,R258)*(30+S258)*100+R258,0))</f>
        <v>0</v>
      </c>
      <c r="AB258" s="69">
        <f>IF(AA258=0,0,IF(IF((S258&gt;=12)*(1-(IF(T258="",-1,T258)&gt;=3)*(IF(T258="",-1,T258)&lt;=4))*(1-(IF(T258="",-1,T258)=0)),IF(C258="peso_corporal",IF(ISNUMBER(E258),E258,0)+R258,R258)*(30+S258)*100+R258,0)=AA258,5,IF(IF((P258&gt;=12)*(1-(IF(Q258="",-1,Q258)&gt;=3)*(IF(Q258="",-1,Q258)&lt;=4))*(1-(IF(Q258="",-1,Q258)=0)),IF(C258="peso_corporal",IF(ISNUMBER(E258),E258,0)+O258,O258)*(30+P258)*100+O258,0)=AA258,4,IF(IF((M258&gt;=12)*(1-(IF(N258="",-1,N258)&gt;=3)*(IF(N258="",-1,N258)&lt;=4))*(1-(IF(N258="",-1,N258)=0)),IF(C258="peso_corporal",IF(ISNUMBER(E258),E258,0)+L258,L258)*(30+M258)*100+L258,0)=AA258,3,IF(IF((J258&gt;=12)*(1-(IF(K258="",-1,K258)&gt;=3)*(IF(K258="",-1,K258)&lt;=4))*(1-(IF(K258="",-1,K258)=0)),IF(C258="peso_corporal",IF(ISNUMBER(E258),E258,0)+I258,I258)*(30+J258)*100+I258,0)=AA258,2,IF(IF((G258&gt;=12)*(1-(IF(H258="",-1,H258)&gt;=3)*(IF(H258="",-1,H258)&lt;=4))*(1-(IF(H258="",-1,H258)=0)),IF(C258="peso_corporal",IF(ISNUMBER(E258),E258,0)+F258,F258)*(30+G258)*100+F258,0)=AA258,1,0))))))</f>
        <v>0</v>
      </c>
      <c r="AC258" s="69" t="str">
        <f>IF(X258&gt;0,"A"&amp;X258,IF(Z258&gt;0,"B"&amp;Z258,IF(AB258&gt;0,"C"&amp;AB258,"")))</f>
        <v/>
      </c>
    </row>
    <row r="259" spans="1:29" ht="20.100000000000001" customHeight="1">
      <c r="A259" s="14" t="s">
        <v>135</v>
      </c>
      <c r="B259" s="15" t="s">
        <v>136</v>
      </c>
      <c r="C259" s="16" t="str">
        <f>IFERROR(INDEX(EJERCICIOS!$D$3:$D$75,MATCH(A259&amp;"|"&amp;B259,EJERCICIOS!$G$3:$G$75,0)),"--")</f>
        <v>--</v>
      </c>
      <c r="D259" s="17">
        <v>3</v>
      </c>
      <c r="E259" s="18">
        <f>IFERROR(LOOKUP(2,1/(MEDIDAS_Y_PESO!$B$3:$B$14&lt;&gt;""),MEDIDAS_Y_PESO!$B$3:$B$14),"--")</f>
        <v>80</v>
      </c>
      <c r="F259" s="19"/>
      <c r="G259" s="20"/>
      <c r="H259" s="21"/>
      <c r="I259" s="19"/>
      <c r="J259" s="20"/>
      <c r="K259" s="21"/>
      <c r="L259" s="19"/>
      <c r="M259" s="20"/>
      <c r="N259" s="21"/>
      <c r="O259" s="19"/>
      <c r="P259" s="20"/>
      <c r="Q259" s="21"/>
      <c r="R259" s="19"/>
      <c r="S259" s="20"/>
      <c r="T259" s="21"/>
      <c r="U259" s="22" t="str">
        <f>IFERROR(IF(IF(X259&gt;0,X259,IF(Z259&gt;0,Z259,IF(AB259&gt;0,AB259,0)))=0,"--",ROUND(CHOOSE(IF(X259&gt;0,X259,IF(Z259&gt;0,Z259,IF(AB259&gt;0,AB259,0))),IF(C259="peso_corporal",IF(ISNUMBER(E259),E259,0)+F259,F259)*(1+G259/30),IF(C259="peso_corporal",IF(ISNUMBER(E259),E259,0)+I259,I259)*(1+J259/30),IF(C259="peso_corporal",IF(ISNUMBER(E259),E259,0)+L259,L259)*(1+M259/30),IF(C259="peso_corporal",IF(ISNUMBER(E259),E259,0)+O259,O259)*(1+P259/30),IF(C259="peso_corporal",IF(ISNUMBER(E259),E259,0)+R259,R259)*(1+S259/30)),1)),"--")</f>
        <v>--</v>
      </c>
      <c r="V259" s="23" t="str">
        <f>IF(SUGERENCIAS!N723="SIN","Sin datos anteriores",IF(SUGERENCIAS!N723="SUBIR_F","^ SUBIR FUERTE | Kg:"&amp;ROUND(SUGERENCIAS!K723,1)&amp;" R:"&amp;ROUND(SUGERENCIAS!L723,0)&amp;" RIR:"&amp;ROUND(SUGERENCIAS!M723,0),IF(SUGERENCIAS!N723="SUBIR_E","^ SUBIR (Est.) | Kg:"&amp;ROUND(SUGERENCIAS!K723,1)&amp;" R:"&amp;ROUND(SUGERENCIAS!L723,0)&amp;" RIR:"&amp;ROUND(SUGERENCIAS!M723,0),IF(SUGERENCIAS!N723="SUBIR","^ SUBIR | Kg:"&amp;ROUND(SUGERENCIAS!K723,1)&amp;" R:"&amp;ROUND(SUGERENCIAS!L723,0)&amp;" RIR:"&amp;ROUND(SUGERENCIAS!M723,0),IF(SUGERENCIAS!N723="BAJAR","v BAJAR | Kg:"&amp;ROUND(SUGERENCIAS!K723,1)&amp;" R:"&amp;ROUND(SUGERENCIAS!L723,0)&amp;" RIR:"&amp;ROUND(SUGERENCIAS!M723,0),"= MANT | Kg:"&amp;ROUND(SUGERENCIAS!K723,1)&amp;" R:"&amp;ROUND(SUGERENCIAS!L723,0)&amp;" RIR:"&amp;ROUND(SUGERENCIAS!M723,0))))))</f>
        <v>Sin datos anteriores</v>
      </c>
      <c r="W259" s="69">
        <f>MAX(IF((G259&gt;0)*(IF(H259="",-1,H259)&gt;=3)*(IF(H259="",-1,H259)&lt;=4),IF(C259="peso_corporal",IF(ISNUMBER(E259),E259,0)+F259,F259)*G259*1000+F259,0),IF((J259&gt;0)*(IF(K259="",-1,K259)&gt;=3)*(IF(K259="",-1,K259)&lt;=4),IF(C259="peso_corporal",IF(ISNUMBER(E259),E259,0)+I259,I259)*J259*1000+I259,0),IF((M259&gt;0)*(IF(N259="",-1,N259)&gt;=3)*(IF(N259="",-1,N259)&lt;=4),IF(C259="peso_corporal",IF(ISNUMBER(E259),E259,0)+L259,L259)*M259*1000+L259,0),IF((P259&gt;0)*(IF(Q259="",-1,Q259)&gt;=3)*(IF(Q259="",-1,Q259)&lt;=4),IF(C259="peso_corporal",IF(ISNUMBER(E259),E259,0)+O259,O259)*P259*1000+O259,0),IF((S259&gt;0)*(IF(T259="",-1,T259)&gt;=3)*(IF(T259="",-1,T259)&lt;=4),IF(C259="peso_corporal",IF(ISNUMBER(E259),E259,0)+R259,R259)*S259*1000+R259,0))</f>
        <v>0</v>
      </c>
      <c r="X259" s="69">
        <f>IF(W259=0,0,IF(IF((S259&gt;0)*(IF(T259="",-1,T259)&gt;=3)*(IF(T259="",-1,T259)&lt;=4),IF(C259="peso_corporal",IF(ISNUMBER(E259),E259,0)+R259,R259)*S259*1000+R259,0)=W259,5,IF(IF((P259&gt;0)*(IF(Q259="",-1,Q259)&gt;=3)*(IF(Q259="",-1,Q259)&lt;=4),IF(C259="peso_corporal",IF(ISNUMBER(E259),E259,0)+O259,O259)*P259*1000+O259,0)=W259,4,IF(IF((M259&gt;0)*(IF(N259="",-1,N259)&gt;=3)*(IF(N259="",-1,N259)&lt;=4),IF(C259="peso_corporal",IF(ISNUMBER(E259),E259,0)+L259,L259)*M259*1000+L259,0)=W259,3,IF(IF((J259&gt;0)*(IF(K259="",-1,K259)&gt;=3)*(IF(K259="",-1,K259)&lt;=4),IF(C259="peso_corporal",IF(ISNUMBER(E259),E259,0)+I259,I259)*J259*1000+I259,0)=W259,2,IF(IF((G259&gt;0)*(IF(H259="",-1,H259)&gt;=3)*(IF(H259="",-1,H259)&lt;=4),IF(C259="peso_corporal",IF(ISNUMBER(E259),E259,0)+F259,F259)*G259*1000+F259,0)=W259,1,0))))))</f>
        <v>0</v>
      </c>
      <c r="Y259" s="69">
        <f>MAX(IF((G259&gt;0)*(IF(H259="",-1,H259)=0)*(1-(IF(H259="",-1,H259)&gt;=3)*(IF(H259="",-1,H259)&lt;=4)),IF(C259="peso_corporal",IF(ISNUMBER(E259),E259,0)+F259,F259)*G259*1000+F259,0),IF((J259&gt;0)*(IF(K259="",-1,K259)=0)*(1-(IF(K259="",-1,K259)&gt;=3)*(IF(K259="",-1,K259)&lt;=4)),IF(C259="peso_corporal",IF(ISNUMBER(E259),E259,0)+I259,I259)*J259*1000+I259,0),IF((M259&gt;0)*(IF(N259="",-1,N259)=0)*(1-(IF(N259="",-1,N259)&gt;=3)*(IF(N259="",-1,N259)&lt;=4)),IF(C259="peso_corporal",IF(ISNUMBER(E259),E259,0)+L259,L259)*M259*1000+L259,0),IF((P259&gt;0)*(IF(Q259="",-1,Q259)=0)*(1-(IF(Q259="",-1,Q259)&gt;=3)*(IF(Q259="",-1,Q259)&lt;=4)),IF(C259="peso_corporal",IF(ISNUMBER(E259),E259,0)+O259,O259)*P259*1000+O259,0),IF((S259&gt;0)*(IF(T259="",-1,T259)=0)*(1-(IF(T259="",-1,T259)&gt;=3)*(IF(T259="",-1,T259)&lt;=4)),IF(C259="peso_corporal",IF(ISNUMBER(E259),E259,0)+R259,R259)*S259*1000+R259,0))</f>
        <v>0</v>
      </c>
      <c r="Z259" s="69">
        <f>IF(Y259=0,0,IF(IF((S259&gt;0)*(IF(T259="",-1,T259)=0)*(1-(IF(T259="",-1,T259)&gt;=3)*(IF(T259="",-1,T259)&lt;=4)),IF(C259="peso_corporal",IF(ISNUMBER(E259),E259,0)+R259,R259)*S259*1000+R259,0)=Y259,5,IF(IF((P259&gt;0)*(IF(Q259="",-1,Q259)=0)*(1-(IF(Q259="",-1,Q259)&gt;=3)*(IF(Q259="",-1,Q259)&lt;=4)),IF(C259="peso_corporal",IF(ISNUMBER(E259),E259,0)+O259,O259)*P259*1000+O259,0)=Y259,4,IF(IF((M259&gt;0)*(IF(N259="",-1,N259)=0)*(1-(IF(N259="",-1,N259)&gt;=3)*(IF(N259="",-1,N259)&lt;=4)),IF(C259="peso_corporal",IF(ISNUMBER(E259),E259,0)+L259,L259)*M259*1000+L259,0)=Y259,3,IF(IF((J259&gt;0)*(IF(K259="",-1,K259)=0)*(1-(IF(K259="",-1,K259)&gt;=3)*(IF(K259="",-1,K259)&lt;=4)),IF(C259="peso_corporal",IF(ISNUMBER(E259),E259,0)+I259,I259)*J259*1000+I259,0)=Y259,2,IF(IF((G259&gt;0)*(IF(H259="",-1,H259)=0)*(1-(IF(H259="",-1,H259)&gt;=3)*(IF(H259="",-1,H259)&lt;=4)),IF(C259="peso_corporal",IF(ISNUMBER(E259),E259,0)+F259,F259)*G259*1000+F259,0)=Y259,1,0))))))</f>
        <v>0</v>
      </c>
      <c r="AA259" s="69">
        <f>MAX(IF((G259&gt;=12)*(1-(IF(H259="",-1,H259)&gt;=3)*(IF(H259="",-1,H259)&lt;=4))*(1-(IF(H259="",-1,H259)=0)),IF(C259="peso_corporal",IF(ISNUMBER(E259),E259,0)+F259,F259)*(30+G259)*100+F259,0),IF((J259&gt;=12)*(1-(IF(K259="",-1,K259)&gt;=3)*(IF(K259="",-1,K259)&lt;=4))*(1-(IF(K259="",-1,K259)=0)),IF(C259="peso_corporal",IF(ISNUMBER(E259),E259,0)+I259,I259)*(30+J259)*100+I259,0),IF((M259&gt;=12)*(1-(IF(N259="",-1,N259)&gt;=3)*(IF(N259="",-1,N259)&lt;=4))*(1-(IF(N259="",-1,N259)=0)),IF(C259="peso_corporal",IF(ISNUMBER(E259),E259,0)+L259,L259)*(30+M259)*100+L259,0),IF((P259&gt;=12)*(1-(IF(Q259="",-1,Q259)&gt;=3)*(IF(Q259="",-1,Q259)&lt;=4))*(1-(IF(Q259="",-1,Q259)=0)),IF(C259="peso_corporal",IF(ISNUMBER(E259),E259,0)+O259,O259)*(30+P259)*100+O259,0),IF((S259&gt;=12)*(1-(IF(T259="",-1,T259)&gt;=3)*(IF(T259="",-1,T259)&lt;=4))*(1-(IF(T259="",-1,T259)=0)),IF(C259="peso_corporal",IF(ISNUMBER(E259),E259,0)+R259,R259)*(30+S259)*100+R259,0))</f>
        <v>0</v>
      </c>
      <c r="AB259" s="69">
        <f>IF(AA259=0,0,IF(IF((S259&gt;=12)*(1-(IF(T259="",-1,T259)&gt;=3)*(IF(T259="",-1,T259)&lt;=4))*(1-(IF(T259="",-1,T259)=0)),IF(C259="peso_corporal",IF(ISNUMBER(E259),E259,0)+R259,R259)*(30+S259)*100+R259,0)=AA259,5,IF(IF((P259&gt;=12)*(1-(IF(Q259="",-1,Q259)&gt;=3)*(IF(Q259="",-1,Q259)&lt;=4))*(1-(IF(Q259="",-1,Q259)=0)),IF(C259="peso_corporal",IF(ISNUMBER(E259),E259,0)+O259,O259)*(30+P259)*100+O259,0)=AA259,4,IF(IF((M259&gt;=12)*(1-(IF(N259="",-1,N259)&gt;=3)*(IF(N259="",-1,N259)&lt;=4))*(1-(IF(N259="",-1,N259)=0)),IF(C259="peso_corporal",IF(ISNUMBER(E259),E259,0)+L259,L259)*(30+M259)*100+L259,0)=AA259,3,IF(IF((J259&gt;=12)*(1-(IF(K259="",-1,K259)&gt;=3)*(IF(K259="",-1,K259)&lt;=4))*(1-(IF(K259="",-1,K259)=0)),IF(C259="peso_corporal",IF(ISNUMBER(E259),E259,0)+I259,I259)*(30+J259)*100+I259,0)=AA259,2,IF(IF((G259&gt;=12)*(1-(IF(H259="",-1,H259)&gt;=3)*(IF(H259="",-1,H259)&lt;=4))*(1-(IF(H259="",-1,H259)=0)),IF(C259="peso_corporal",IF(ISNUMBER(E259),E259,0)+F259,F259)*(30+G259)*100+F259,0)=AA259,1,0))))))</f>
        <v>0</v>
      </c>
      <c r="AC259" s="69" t="str">
        <f>IF(X259&gt;0,"A"&amp;X259,IF(Z259&gt;0,"B"&amp;Z259,IF(AB259&gt;0,"C"&amp;AB259,"")))</f>
        <v/>
      </c>
    </row>
    <row r="260" spans="1:29" ht="20.100000000000001" customHeight="1">
      <c r="A260" s="14" t="s">
        <v>65</v>
      </c>
      <c r="B260" s="15" t="s">
        <v>66</v>
      </c>
      <c r="C260" s="16" t="str">
        <f>IFERROR(INDEX(EJERCICIOS!$D$3:$D$75,MATCH(A260&amp;"|"&amp;B260,EJERCICIOS!$G$3:$G$75,0)),"--")</f>
        <v>--</v>
      </c>
      <c r="D260" s="17">
        <v>3</v>
      </c>
      <c r="E260" s="18">
        <f>IFERROR(LOOKUP(2,1/(MEDIDAS_Y_PESO!$B$3:$B$14&lt;&gt;""),MEDIDAS_Y_PESO!$B$3:$B$14),"--")</f>
        <v>80</v>
      </c>
      <c r="F260" s="19"/>
      <c r="G260" s="20"/>
      <c r="H260" s="21"/>
      <c r="I260" s="19"/>
      <c r="J260" s="20"/>
      <c r="K260" s="21"/>
      <c r="L260" s="19"/>
      <c r="M260" s="20"/>
      <c r="N260" s="21"/>
      <c r="O260" s="19"/>
      <c r="P260" s="20"/>
      <c r="Q260" s="21"/>
      <c r="R260" s="19"/>
      <c r="S260" s="20"/>
      <c r="T260" s="21"/>
      <c r="U260" s="22" t="str">
        <f>IFERROR(IF(IF(X260&gt;0,X260,IF(Z260&gt;0,Z260,IF(AB260&gt;0,AB260,0)))=0,"--",ROUND(CHOOSE(IF(X260&gt;0,X260,IF(Z260&gt;0,Z260,IF(AB260&gt;0,AB260,0))),IF(C260="peso_corporal",IF(ISNUMBER(E260),E260,0)+F260,F260)*(1+G260/30),IF(C260="peso_corporal",IF(ISNUMBER(E260),E260,0)+I260,I260)*(1+J260/30),IF(C260="peso_corporal",IF(ISNUMBER(E260),E260,0)+L260,L260)*(1+M260/30),IF(C260="peso_corporal",IF(ISNUMBER(E260),E260,0)+O260,O260)*(1+P260/30),IF(C260="peso_corporal",IF(ISNUMBER(E260),E260,0)+R260,R260)*(1+S260/30)),1)),"--")</f>
        <v>--</v>
      </c>
      <c r="V260" s="23" t="str">
        <f>IF(SUGERENCIAS!N724="SIN","Sin datos anteriores",IF(SUGERENCIAS!N724="SUBIR_F","^ SUBIR FUERTE | Kg:"&amp;ROUND(SUGERENCIAS!K724,1)&amp;" R:"&amp;ROUND(SUGERENCIAS!L724,0)&amp;" RIR:"&amp;ROUND(SUGERENCIAS!M724,0),IF(SUGERENCIAS!N724="SUBIR_E","^ SUBIR (Est.) | Kg:"&amp;ROUND(SUGERENCIAS!K724,1)&amp;" R:"&amp;ROUND(SUGERENCIAS!L724,0)&amp;" RIR:"&amp;ROUND(SUGERENCIAS!M724,0),IF(SUGERENCIAS!N724="SUBIR","^ SUBIR | Kg:"&amp;ROUND(SUGERENCIAS!K724,1)&amp;" R:"&amp;ROUND(SUGERENCIAS!L724,0)&amp;" RIR:"&amp;ROUND(SUGERENCIAS!M724,0),IF(SUGERENCIAS!N724="BAJAR","v BAJAR | Kg:"&amp;ROUND(SUGERENCIAS!K724,1)&amp;" R:"&amp;ROUND(SUGERENCIAS!L724,0)&amp;" RIR:"&amp;ROUND(SUGERENCIAS!M724,0),"= MANT | Kg:"&amp;ROUND(SUGERENCIAS!K724,1)&amp;" R:"&amp;ROUND(SUGERENCIAS!L724,0)&amp;" RIR:"&amp;ROUND(SUGERENCIAS!M724,0))))))</f>
        <v>Sin datos anteriores</v>
      </c>
      <c r="W260" s="69">
        <f>MAX(IF((G260&gt;0)*(IF(H260="",-1,H260)&gt;=3)*(IF(H260="",-1,H260)&lt;=4),IF(C260="peso_corporal",IF(ISNUMBER(E260),E260,0)+F260,F260)*G260*1000+F260,0),IF((J260&gt;0)*(IF(K260="",-1,K260)&gt;=3)*(IF(K260="",-1,K260)&lt;=4),IF(C260="peso_corporal",IF(ISNUMBER(E260),E260,0)+I260,I260)*J260*1000+I260,0),IF((M260&gt;0)*(IF(N260="",-1,N260)&gt;=3)*(IF(N260="",-1,N260)&lt;=4),IF(C260="peso_corporal",IF(ISNUMBER(E260),E260,0)+L260,L260)*M260*1000+L260,0),IF((P260&gt;0)*(IF(Q260="",-1,Q260)&gt;=3)*(IF(Q260="",-1,Q260)&lt;=4),IF(C260="peso_corporal",IF(ISNUMBER(E260),E260,0)+O260,O260)*P260*1000+O260,0),IF((S260&gt;0)*(IF(T260="",-1,T260)&gt;=3)*(IF(T260="",-1,T260)&lt;=4),IF(C260="peso_corporal",IF(ISNUMBER(E260),E260,0)+R260,R260)*S260*1000+R260,0))</f>
        <v>0</v>
      </c>
      <c r="X260" s="69">
        <f>IF(W260=0,0,IF(IF((S260&gt;0)*(IF(T260="",-1,T260)&gt;=3)*(IF(T260="",-1,T260)&lt;=4),IF(C260="peso_corporal",IF(ISNUMBER(E260),E260,0)+R260,R260)*S260*1000+R260,0)=W260,5,IF(IF((P260&gt;0)*(IF(Q260="",-1,Q260)&gt;=3)*(IF(Q260="",-1,Q260)&lt;=4),IF(C260="peso_corporal",IF(ISNUMBER(E260),E260,0)+O260,O260)*P260*1000+O260,0)=W260,4,IF(IF((M260&gt;0)*(IF(N260="",-1,N260)&gt;=3)*(IF(N260="",-1,N260)&lt;=4),IF(C260="peso_corporal",IF(ISNUMBER(E260),E260,0)+L260,L260)*M260*1000+L260,0)=W260,3,IF(IF((J260&gt;0)*(IF(K260="",-1,K260)&gt;=3)*(IF(K260="",-1,K260)&lt;=4),IF(C260="peso_corporal",IF(ISNUMBER(E260),E260,0)+I260,I260)*J260*1000+I260,0)=W260,2,IF(IF((G260&gt;0)*(IF(H260="",-1,H260)&gt;=3)*(IF(H260="",-1,H260)&lt;=4),IF(C260="peso_corporal",IF(ISNUMBER(E260),E260,0)+F260,F260)*G260*1000+F260,0)=W260,1,0))))))</f>
        <v>0</v>
      </c>
      <c r="Y260" s="69">
        <f>MAX(IF((G260&gt;0)*(IF(H260="",-1,H260)=0)*(1-(IF(H260="",-1,H260)&gt;=3)*(IF(H260="",-1,H260)&lt;=4)),IF(C260="peso_corporal",IF(ISNUMBER(E260),E260,0)+F260,F260)*G260*1000+F260,0),IF((J260&gt;0)*(IF(K260="",-1,K260)=0)*(1-(IF(K260="",-1,K260)&gt;=3)*(IF(K260="",-1,K260)&lt;=4)),IF(C260="peso_corporal",IF(ISNUMBER(E260),E260,0)+I260,I260)*J260*1000+I260,0),IF((M260&gt;0)*(IF(N260="",-1,N260)=0)*(1-(IF(N260="",-1,N260)&gt;=3)*(IF(N260="",-1,N260)&lt;=4)),IF(C260="peso_corporal",IF(ISNUMBER(E260),E260,0)+L260,L260)*M260*1000+L260,0),IF((P260&gt;0)*(IF(Q260="",-1,Q260)=0)*(1-(IF(Q260="",-1,Q260)&gt;=3)*(IF(Q260="",-1,Q260)&lt;=4)),IF(C260="peso_corporal",IF(ISNUMBER(E260),E260,0)+O260,O260)*P260*1000+O260,0),IF((S260&gt;0)*(IF(T260="",-1,T260)=0)*(1-(IF(T260="",-1,T260)&gt;=3)*(IF(T260="",-1,T260)&lt;=4)),IF(C260="peso_corporal",IF(ISNUMBER(E260),E260,0)+R260,R260)*S260*1000+R260,0))</f>
        <v>0</v>
      </c>
      <c r="Z260" s="69">
        <f>IF(Y260=0,0,IF(IF((S260&gt;0)*(IF(T260="",-1,T260)=0)*(1-(IF(T260="",-1,T260)&gt;=3)*(IF(T260="",-1,T260)&lt;=4)),IF(C260="peso_corporal",IF(ISNUMBER(E260),E260,0)+R260,R260)*S260*1000+R260,0)=Y260,5,IF(IF((P260&gt;0)*(IF(Q260="",-1,Q260)=0)*(1-(IF(Q260="",-1,Q260)&gt;=3)*(IF(Q260="",-1,Q260)&lt;=4)),IF(C260="peso_corporal",IF(ISNUMBER(E260),E260,0)+O260,O260)*P260*1000+O260,0)=Y260,4,IF(IF((M260&gt;0)*(IF(N260="",-1,N260)=0)*(1-(IF(N260="",-1,N260)&gt;=3)*(IF(N260="",-1,N260)&lt;=4)),IF(C260="peso_corporal",IF(ISNUMBER(E260),E260,0)+L260,L260)*M260*1000+L260,0)=Y260,3,IF(IF((J260&gt;0)*(IF(K260="",-1,K260)=0)*(1-(IF(K260="",-1,K260)&gt;=3)*(IF(K260="",-1,K260)&lt;=4)),IF(C260="peso_corporal",IF(ISNUMBER(E260),E260,0)+I260,I260)*J260*1000+I260,0)=Y260,2,IF(IF((G260&gt;0)*(IF(H260="",-1,H260)=0)*(1-(IF(H260="",-1,H260)&gt;=3)*(IF(H260="",-1,H260)&lt;=4)),IF(C260="peso_corporal",IF(ISNUMBER(E260),E260,0)+F260,F260)*G260*1000+F260,0)=Y260,1,0))))))</f>
        <v>0</v>
      </c>
      <c r="AA260" s="69">
        <f>MAX(IF((G260&gt;=12)*(1-(IF(H260="",-1,H260)&gt;=3)*(IF(H260="",-1,H260)&lt;=4))*(1-(IF(H260="",-1,H260)=0)),IF(C260="peso_corporal",IF(ISNUMBER(E260),E260,0)+F260,F260)*(30+G260)*100+F260,0),IF((J260&gt;=12)*(1-(IF(K260="",-1,K260)&gt;=3)*(IF(K260="",-1,K260)&lt;=4))*(1-(IF(K260="",-1,K260)=0)),IF(C260="peso_corporal",IF(ISNUMBER(E260),E260,0)+I260,I260)*(30+J260)*100+I260,0),IF((M260&gt;=12)*(1-(IF(N260="",-1,N260)&gt;=3)*(IF(N260="",-1,N260)&lt;=4))*(1-(IF(N260="",-1,N260)=0)),IF(C260="peso_corporal",IF(ISNUMBER(E260),E260,0)+L260,L260)*(30+M260)*100+L260,0),IF((P260&gt;=12)*(1-(IF(Q260="",-1,Q260)&gt;=3)*(IF(Q260="",-1,Q260)&lt;=4))*(1-(IF(Q260="",-1,Q260)=0)),IF(C260="peso_corporal",IF(ISNUMBER(E260),E260,0)+O260,O260)*(30+P260)*100+O260,0),IF((S260&gt;=12)*(1-(IF(T260="",-1,T260)&gt;=3)*(IF(T260="",-1,T260)&lt;=4))*(1-(IF(T260="",-1,T260)=0)),IF(C260="peso_corporal",IF(ISNUMBER(E260),E260,0)+R260,R260)*(30+S260)*100+R260,0))</f>
        <v>0</v>
      </c>
      <c r="AB260" s="69">
        <f>IF(AA260=0,0,IF(IF((S260&gt;=12)*(1-(IF(T260="",-1,T260)&gt;=3)*(IF(T260="",-1,T260)&lt;=4))*(1-(IF(T260="",-1,T260)=0)),IF(C260="peso_corporal",IF(ISNUMBER(E260),E260,0)+R260,R260)*(30+S260)*100+R260,0)=AA260,5,IF(IF((P260&gt;=12)*(1-(IF(Q260="",-1,Q260)&gt;=3)*(IF(Q260="",-1,Q260)&lt;=4))*(1-(IF(Q260="",-1,Q260)=0)),IF(C260="peso_corporal",IF(ISNUMBER(E260),E260,0)+O260,O260)*(30+P260)*100+O260,0)=AA260,4,IF(IF((M260&gt;=12)*(1-(IF(N260="",-1,N260)&gt;=3)*(IF(N260="",-1,N260)&lt;=4))*(1-(IF(N260="",-1,N260)=0)),IF(C260="peso_corporal",IF(ISNUMBER(E260),E260,0)+L260,L260)*(30+M260)*100+L260,0)=AA260,3,IF(IF((J260&gt;=12)*(1-(IF(K260="",-1,K260)&gt;=3)*(IF(K260="",-1,K260)&lt;=4))*(1-(IF(K260="",-1,K260)=0)),IF(C260="peso_corporal",IF(ISNUMBER(E260),E260,0)+I260,I260)*(30+J260)*100+I260,0)=AA260,2,IF(IF((G260&gt;=12)*(1-(IF(H260="",-1,H260)&gt;=3)*(IF(H260="",-1,H260)&lt;=4))*(1-(IF(H260="",-1,H260)=0)),IF(C260="peso_corporal",IF(ISNUMBER(E260),E260,0)+F260,F260)*(30+G260)*100+F260,0)=AA260,1,0))))))</f>
        <v>0</v>
      </c>
      <c r="AC260" s="69" t="str">
        <f>IF(X260&gt;0,"A"&amp;X260,IF(Z260&gt;0,"B"&amp;Z260,IF(AB260&gt;0,"C"&amp;AB260,"")))</f>
        <v/>
      </c>
    </row>
    <row r="261" spans="1:29" ht="20.100000000000001" customHeight="1">
      <c r="A261" s="14" t="s">
        <v>65</v>
      </c>
      <c r="B261" s="15" t="s">
        <v>137</v>
      </c>
      <c r="C261" s="16" t="str">
        <f>IFERROR(INDEX(EJERCICIOS!$D$3:$D$75,MATCH(A261&amp;"|"&amp;B261,EJERCICIOS!$G$3:$G$75,0)),"--")</f>
        <v>--</v>
      </c>
      <c r="D261" s="17">
        <v>3</v>
      </c>
      <c r="E261" s="18">
        <f>IFERROR(LOOKUP(2,1/(MEDIDAS_Y_PESO!$B$3:$B$14&lt;&gt;""),MEDIDAS_Y_PESO!$B$3:$B$14),"--")</f>
        <v>80</v>
      </c>
      <c r="F261" s="19"/>
      <c r="G261" s="20"/>
      <c r="H261" s="21"/>
      <c r="I261" s="19"/>
      <c r="J261" s="20"/>
      <c r="K261" s="21"/>
      <c r="L261" s="19"/>
      <c r="M261" s="20"/>
      <c r="N261" s="21"/>
      <c r="O261" s="19"/>
      <c r="P261" s="20"/>
      <c r="Q261" s="21"/>
      <c r="R261" s="19"/>
      <c r="S261" s="20"/>
      <c r="T261" s="21"/>
      <c r="U261" s="22" t="str">
        <f>IFERROR(IF(IF(X261&gt;0,X261,IF(Z261&gt;0,Z261,IF(AB261&gt;0,AB261,0)))=0,"--",ROUND(CHOOSE(IF(X261&gt;0,X261,IF(Z261&gt;0,Z261,IF(AB261&gt;0,AB261,0))),IF(C261="peso_corporal",IF(ISNUMBER(E261),E261,0)+F261,F261)*(1+G261/30),IF(C261="peso_corporal",IF(ISNUMBER(E261),E261,0)+I261,I261)*(1+J261/30),IF(C261="peso_corporal",IF(ISNUMBER(E261),E261,0)+L261,L261)*(1+M261/30),IF(C261="peso_corporal",IF(ISNUMBER(E261),E261,0)+O261,O261)*(1+P261/30),IF(C261="peso_corporal",IF(ISNUMBER(E261),E261,0)+R261,R261)*(1+S261/30)),1)),"--")</f>
        <v>--</v>
      </c>
      <c r="V261" s="23" t="str">
        <f>IF(SUGERENCIAS!N725="SIN","Sin datos anteriores",IF(SUGERENCIAS!N725="SUBIR_F","^ SUBIR FUERTE | Kg:"&amp;ROUND(SUGERENCIAS!K725,1)&amp;" R:"&amp;ROUND(SUGERENCIAS!L725,0)&amp;" RIR:"&amp;ROUND(SUGERENCIAS!M725,0),IF(SUGERENCIAS!N725="SUBIR_E","^ SUBIR (Est.) | Kg:"&amp;ROUND(SUGERENCIAS!K725,1)&amp;" R:"&amp;ROUND(SUGERENCIAS!L725,0)&amp;" RIR:"&amp;ROUND(SUGERENCIAS!M725,0),IF(SUGERENCIAS!N725="SUBIR","^ SUBIR | Kg:"&amp;ROUND(SUGERENCIAS!K725,1)&amp;" R:"&amp;ROUND(SUGERENCIAS!L725,0)&amp;" RIR:"&amp;ROUND(SUGERENCIAS!M725,0),IF(SUGERENCIAS!N725="BAJAR","v BAJAR | Kg:"&amp;ROUND(SUGERENCIAS!K725,1)&amp;" R:"&amp;ROUND(SUGERENCIAS!L725,0)&amp;" RIR:"&amp;ROUND(SUGERENCIAS!M725,0),"= MANT | Kg:"&amp;ROUND(SUGERENCIAS!K725,1)&amp;" R:"&amp;ROUND(SUGERENCIAS!L725,0)&amp;" RIR:"&amp;ROUND(SUGERENCIAS!M725,0))))))</f>
        <v>Sin datos anteriores</v>
      </c>
      <c r="W261" s="69">
        <f>MAX(IF((G261&gt;0)*(IF(H261="",-1,H261)&gt;=3)*(IF(H261="",-1,H261)&lt;=4),IF(C261="peso_corporal",IF(ISNUMBER(E261),E261,0)+F261,F261)*G261*1000+F261,0),IF((J261&gt;0)*(IF(K261="",-1,K261)&gt;=3)*(IF(K261="",-1,K261)&lt;=4),IF(C261="peso_corporal",IF(ISNUMBER(E261),E261,0)+I261,I261)*J261*1000+I261,0),IF((M261&gt;0)*(IF(N261="",-1,N261)&gt;=3)*(IF(N261="",-1,N261)&lt;=4),IF(C261="peso_corporal",IF(ISNUMBER(E261),E261,0)+L261,L261)*M261*1000+L261,0),IF((P261&gt;0)*(IF(Q261="",-1,Q261)&gt;=3)*(IF(Q261="",-1,Q261)&lt;=4),IF(C261="peso_corporal",IF(ISNUMBER(E261),E261,0)+O261,O261)*P261*1000+O261,0),IF((S261&gt;0)*(IF(T261="",-1,T261)&gt;=3)*(IF(T261="",-1,T261)&lt;=4),IF(C261="peso_corporal",IF(ISNUMBER(E261),E261,0)+R261,R261)*S261*1000+R261,0))</f>
        <v>0</v>
      </c>
      <c r="X261" s="69">
        <f>IF(W261=0,0,IF(IF((S261&gt;0)*(IF(T261="",-1,T261)&gt;=3)*(IF(T261="",-1,T261)&lt;=4),IF(C261="peso_corporal",IF(ISNUMBER(E261),E261,0)+R261,R261)*S261*1000+R261,0)=W261,5,IF(IF((P261&gt;0)*(IF(Q261="",-1,Q261)&gt;=3)*(IF(Q261="",-1,Q261)&lt;=4),IF(C261="peso_corporal",IF(ISNUMBER(E261),E261,0)+O261,O261)*P261*1000+O261,0)=W261,4,IF(IF((M261&gt;0)*(IF(N261="",-1,N261)&gt;=3)*(IF(N261="",-1,N261)&lt;=4),IF(C261="peso_corporal",IF(ISNUMBER(E261),E261,0)+L261,L261)*M261*1000+L261,0)=W261,3,IF(IF((J261&gt;0)*(IF(K261="",-1,K261)&gt;=3)*(IF(K261="",-1,K261)&lt;=4),IF(C261="peso_corporal",IF(ISNUMBER(E261),E261,0)+I261,I261)*J261*1000+I261,0)=W261,2,IF(IF((G261&gt;0)*(IF(H261="",-1,H261)&gt;=3)*(IF(H261="",-1,H261)&lt;=4),IF(C261="peso_corporal",IF(ISNUMBER(E261),E261,0)+F261,F261)*G261*1000+F261,0)=W261,1,0))))))</f>
        <v>0</v>
      </c>
      <c r="Y261" s="69">
        <f>MAX(IF((G261&gt;0)*(IF(H261="",-1,H261)=0)*(1-(IF(H261="",-1,H261)&gt;=3)*(IF(H261="",-1,H261)&lt;=4)),IF(C261="peso_corporal",IF(ISNUMBER(E261),E261,0)+F261,F261)*G261*1000+F261,0),IF((J261&gt;0)*(IF(K261="",-1,K261)=0)*(1-(IF(K261="",-1,K261)&gt;=3)*(IF(K261="",-1,K261)&lt;=4)),IF(C261="peso_corporal",IF(ISNUMBER(E261),E261,0)+I261,I261)*J261*1000+I261,0),IF((M261&gt;0)*(IF(N261="",-1,N261)=0)*(1-(IF(N261="",-1,N261)&gt;=3)*(IF(N261="",-1,N261)&lt;=4)),IF(C261="peso_corporal",IF(ISNUMBER(E261),E261,0)+L261,L261)*M261*1000+L261,0),IF((P261&gt;0)*(IF(Q261="",-1,Q261)=0)*(1-(IF(Q261="",-1,Q261)&gt;=3)*(IF(Q261="",-1,Q261)&lt;=4)),IF(C261="peso_corporal",IF(ISNUMBER(E261),E261,0)+O261,O261)*P261*1000+O261,0),IF((S261&gt;0)*(IF(T261="",-1,T261)=0)*(1-(IF(T261="",-1,T261)&gt;=3)*(IF(T261="",-1,T261)&lt;=4)),IF(C261="peso_corporal",IF(ISNUMBER(E261),E261,0)+R261,R261)*S261*1000+R261,0))</f>
        <v>0</v>
      </c>
      <c r="Z261" s="69">
        <f>IF(Y261=0,0,IF(IF((S261&gt;0)*(IF(T261="",-1,T261)=0)*(1-(IF(T261="",-1,T261)&gt;=3)*(IF(T261="",-1,T261)&lt;=4)),IF(C261="peso_corporal",IF(ISNUMBER(E261),E261,0)+R261,R261)*S261*1000+R261,0)=Y261,5,IF(IF((P261&gt;0)*(IF(Q261="",-1,Q261)=0)*(1-(IF(Q261="",-1,Q261)&gt;=3)*(IF(Q261="",-1,Q261)&lt;=4)),IF(C261="peso_corporal",IF(ISNUMBER(E261),E261,0)+O261,O261)*P261*1000+O261,0)=Y261,4,IF(IF((M261&gt;0)*(IF(N261="",-1,N261)=0)*(1-(IF(N261="",-1,N261)&gt;=3)*(IF(N261="",-1,N261)&lt;=4)),IF(C261="peso_corporal",IF(ISNUMBER(E261),E261,0)+L261,L261)*M261*1000+L261,0)=Y261,3,IF(IF((J261&gt;0)*(IF(K261="",-1,K261)=0)*(1-(IF(K261="",-1,K261)&gt;=3)*(IF(K261="",-1,K261)&lt;=4)),IF(C261="peso_corporal",IF(ISNUMBER(E261),E261,0)+I261,I261)*J261*1000+I261,0)=Y261,2,IF(IF((G261&gt;0)*(IF(H261="",-1,H261)=0)*(1-(IF(H261="",-1,H261)&gt;=3)*(IF(H261="",-1,H261)&lt;=4)),IF(C261="peso_corporal",IF(ISNUMBER(E261),E261,0)+F261,F261)*G261*1000+F261,0)=Y261,1,0))))))</f>
        <v>0</v>
      </c>
      <c r="AA261" s="69">
        <f>MAX(IF((G261&gt;=12)*(1-(IF(H261="",-1,H261)&gt;=3)*(IF(H261="",-1,H261)&lt;=4))*(1-(IF(H261="",-1,H261)=0)),IF(C261="peso_corporal",IF(ISNUMBER(E261),E261,0)+F261,F261)*(30+G261)*100+F261,0),IF((J261&gt;=12)*(1-(IF(K261="",-1,K261)&gt;=3)*(IF(K261="",-1,K261)&lt;=4))*(1-(IF(K261="",-1,K261)=0)),IF(C261="peso_corporal",IF(ISNUMBER(E261),E261,0)+I261,I261)*(30+J261)*100+I261,0),IF((M261&gt;=12)*(1-(IF(N261="",-1,N261)&gt;=3)*(IF(N261="",-1,N261)&lt;=4))*(1-(IF(N261="",-1,N261)=0)),IF(C261="peso_corporal",IF(ISNUMBER(E261),E261,0)+L261,L261)*(30+M261)*100+L261,0),IF((P261&gt;=12)*(1-(IF(Q261="",-1,Q261)&gt;=3)*(IF(Q261="",-1,Q261)&lt;=4))*(1-(IF(Q261="",-1,Q261)=0)),IF(C261="peso_corporal",IF(ISNUMBER(E261),E261,0)+O261,O261)*(30+P261)*100+O261,0),IF((S261&gt;=12)*(1-(IF(T261="",-1,T261)&gt;=3)*(IF(T261="",-1,T261)&lt;=4))*(1-(IF(T261="",-1,T261)=0)),IF(C261="peso_corporal",IF(ISNUMBER(E261),E261,0)+R261,R261)*(30+S261)*100+R261,0))</f>
        <v>0</v>
      </c>
      <c r="AB261" s="69">
        <f>IF(AA261=0,0,IF(IF((S261&gt;=12)*(1-(IF(T261="",-1,T261)&gt;=3)*(IF(T261="",-1,T261)&lt;=4))*(1-(IF(T261="",-1,T261)=0)),IF(C261="peso_corporal",IF(ISNUMBER(E261),E261,0)+R261,R261)*(30+S261)*100+R261,0)=AA261,5,IF(IF((P261&gt;=12)*(1-(IF(Q261="",-1,Q261)&gt;=3)*(IF(Q261="",-1,Q261)&lt;=4))*(1-(IF(Q261="",-1,Q261)=0)),IF(C261="peso_corporal",IF(ISNUMBER(E261),E261,0)+O261,O261)*(30+P261)*100+O261,0)=AA261,4,IF(IF((M261&gt;=12)*(1-(IF(N261="",-1,N261)&gt;=3)*(IF(N261="",-1,N261)&lt;=4))*(1-(IF(N261="",-1,N261)=0)),IF(C261="peso_corporal",IF(ISNUMBER(E261),E261,0)+L261,L261)*(30+M261)*100+L261,0)=AA261,3,IF(IF((J261&gt;=12)*(1-(IF(K261="",-1,K261)&gt;=3)*(IF(K261="",-1,K261)&lt;=4))*(1-(IF(K261="",-1,K261)=0)),IF(C261="peso_corporal",IF(ISNUMBER(E261),E261,0)+I261,I261)*(30+J261)*100+I261,0)=AA261,2,IF(IF((G261&gt;=12)*(1-(IF(H261="",-1,H261)&gt;=3)*(IF(H261="",-1,H261)&lt;=4))*(1-(IF(H261="",-1,H261)=0)),IF(C261="peso_corporal",IF(ISNUMBER(E261),E261,0)+F261,F261)*(30+G261)*100+F261,0)=AA261,1,0))))))</f>
        <v>0</v>
      </c>
      <c r="AC261" s="69" t="str">
        <f>IF(X261&gt;0,"A"&amp;X261,IF(Z261&gt;0,"B"&amp;Z261,IF(AB261&gt;0,"C"&amp;AB261,"")))</f>
        <v/>
      </c>
    </row>
    <row r="262" spans="1:29" ht="15" customHeight="1">
      <c r="A262" s="89" t="s">
        <v>138</v>
      </c>
      <c r="B262" s="73"/>
      <c r="C262" s="73"/>
      <c r="D262" s="73"/>
      <c r="E262" s="73"/>
      <c r="F262" s="73"/>
      <c r="G262" s="73"/>
      <c r="H262" s="73"/>
      <c r="I262" s="73"/>
      <c r="J262" s="73"/>
      <c r="K262" s="73"/>
      <c r="L262" s="73"/>
      <c r="M262" s="73"/>
      <c r="N262" s="73"/>
      <c r="O262" s="73"/>
      <c r="P262" s="73"/>
      <c r="Q262" s="73"/>
      <c r="R262" s="73"/>
      <c r="S262" s="73"/>
      <c r="T262" s="73"/>
      <c r="U262" s="73"/>
      <c r="V262" s="73"/>
      <c r="W262" s="69"/>
      <c r="X262" s="69"/>
      <c r="Y262" s="69"/>
      <c r="Z262" s="69"/>
      <c r="AA262" s="69"/>
      <c r="AB262" s="69"/>
      <c r="AC262" s="69"/>
    </row>
    <row r="263" spans="1:29" ht="20.100000000000001" customHeight="1">
      <c r="A263" s="14" t="s">
        <v>139</v>
      </c>
      <c r="B263" s="15" t="s">
        <v>140</v>
      </c>
      <c r="C263" s="16" t="str">
        <f>IFERROR(INDEX(EJERCICIOS!$D$3:$D$75,MATCH(A263&amp;"|"&amp;B263,EJERCICIOS!$G$3:$G$75,0)),"--")</f>
        <v>disco</v>
      </c>
      <c r="D263" s="17">
        <v>3</v>
      </c>
      <c r="E263" s="18">
        <f>IFERROR(LOOKUP(2,1/(MEDIDAS_Y_PESO!$B$3:$B$14&lt;&gt;""),MEDIDAS_Y_PESO!$B$3:$B$14),"--")</f>
        <v>80</v>
      </c>
      <c r="F263" s="19"/>
      <c r="G263" s="20"/>
      <c r="H263" s="21"/>
      <c r="I263" s="19"/>
      <c r="J263" s="20"/>
      <c r="K263" s="21"/>
      <c r="L263" s="19"/>
      <c r="M263" s="20"/>
      <c r="N263" s="21"/>
      <c r="O263" s="19"/>
      <c r="P263" s="20"/>
      <c r="Q263" s="21"/>
      <c r="R263" s="19"/>
      <c r="S263" s="20"/>
      <c r="T263" s="21"/>
      <c r="U263" s="22" t="str">
        <f>IFERROR(IF(IF(X263&gt;0,X263,IF(Z263&gt;0,Z263,IF(AB263&gt;0,AB263,0)))=0,"--",ROUND(CHOOSE(IF(X263&gt;0,X263,IF(Z263&gt;0,Z263,IF(AB263&gt;0,AB263,0))),IF(C263="peso_corporal",IF(ISNUMBER(E263),E263,0)+F263,F263)*(1+G263/30),IF(C263="peso_corporal",IF(ISNUMBER(E263),E263,0)+I263,I263)*(1+J263/30),IF(C263="peso_corporal",IF(ISNUMBER(E263),E263,0)+L263,L263)*(1+M263/30),IF(C263="peso_corporal",IF(ISNUMBER(E263),E263,0)+O263,O263)*(1+P263/30),IF(C263="peso_corporal",IF(ISNUMBER(E263),E263,0)+R263,R263)*(1+S263/30)),1)),"--")</f>
        <v>--</v>
      </c>
      <c r="V263" s="23" t="str">
        <f>IF(SUGERENCIAS!N726="SIN","Sin datos anteriores",IF(SUGERENCIAS!N726="SUBIR_F","^ SUBIR FUERTE | Kg:"&amp;ROUND(SUGERENCIAS!K726,1)&amp;" R:"&amp;ROUND(SUGERENCIAS!L726,0)&amp;" RIR:"&amp;ROUND(SUGERENCIAS!M726,0),IF(SUGERENCIAS!N726="SUBIR_E","^ SUBIR (Est.) | Kg:"&amp;ROUND(SUGERENCIAS!K726,1)&amp;" R:"&amp;ROUND(SUGERENCIAS!L726,0)&amp;" RIR:"&amp;ROUND(SUGERENCIAS!M726,0),IF(SUGERENCIAS!N726="SUBIR","^ SUBIR | Kg:"&amp;ROUND(SUGERENCIAS!K726,1)&amp;" R:"&amp;ROUND(SUGERENCIAS!L726,0)&amp;" RIR:"&amp;ROUND(SUGERENCIAS!M726,0),IF(SUGERENCIAS!N726="BAJAR","v BAJAR | Kg:"&amp;ROUND(SUGERENCIAS!K726,1)&amp;" R:"&amp;ROUND(SUGERENCIAS!L726,0)&amp;" RIR:"&amp;ROUND(SUGERENCIAS!M726,0),"= MANT | Kg:"&amp;ROUND(SUGERENCIAS!K726,1)&amp;" R:"&amp;ROUND(SUGERENCIAS!L726,0)&amp;" RIR:"&amp;ROUND(SUGERENCIAS!M726,0))))))</f>
        <v>Sin datos anteriores</v>
      </c>
      <c r="W263" s="69">
        <f>MAX(IF((G263&gt;0)*(IF(H263="",-1,H263)&gt;=3)*(IF(H263="",-1,H263)&lt;=4),IF(C263="peso_corporal",IF(ISNUMBER(E263),E263,0)+F263,F263)*G263*1000+F263,0),IF((J263&gt;0)*(IF(K263="",-1,K263)&gt;=3)*(IF(K263="",-1,K263)&lt;=4),IF(C263="peso_corporal",IF(ISNUMBER(E263),E263,0)+I263,I263)*J263*1000+I263,0),IF((M263&gt;0)*(IF(N263="",-1,N263)&gt;=3)*(IF(N263="",-1,N263)&lt;=4),IF(C263="peso_corporal",IF(ISNUMBER(E263),E263,0)+L263,L263)*M263*1000+L263,0),IF((P263&gt;0)*(IF(Q263="",-1,Q263)&gt;=3)*(IF(Q263="",-1,Q263)&lt;=4),IF(C263="peso_corporal",IF(ISNUMBER(E263),E263,0)+O263,O263)*P263*1000+O263,0),IF((S263&gt;0)*(IF(T263="",-1,T263)&gt;=3)*(IF(T263="",-1,T263)&lt;=4),IF(C263="peso_corporal",IF(ISNUMBER(E263),E263,0)+R263,R263)*S263*1000+R263,0))</f>
        <v>0</v>
      </c>
      <c r="X263" s="69">
        <f>IF(W263=0,0,IF(IF((S263&gt;0)*(IF(T263="",-1,T263)&gt;=3)*(IF(T263="",-1,T263)&lt;=4),IF(C263="peso_corporal",IF(ISNUMBER(E263),E263,0)+R263,R263)*S263*1000+R263,0)=W263,5,IF(IF((P263&gt;0)*(IF(Q263="",-1,Q263)&gt;=3)*(IF(Q263="",-1,Q263)&lt;=4),IF(C263="peso_corporal",IF(ISNUMBER(E263),E263,0)+O263,O263)*P263*1000+O263,0)=W263,4,IF(IF((M263&gt;0)*(IF(N263="",-1,N263)&gt;=3)*(IF(N263="",-1,N263)&lt;=4),IF(C263="peso_corporal",IF(ISNUMBER(E263),E263,0)+L263,L263)*M263*1000+L263,0)=W263,3,IF(IF((J263&gt;0)*(IF(K263="",-1,K263)&gt;=3)*(IF(K263="",-1,K263)&lt;=4),IF(C263="peso_corporal",IF(ISNUMBER(E263),E263,0)+I263,I263)*J263*1000+I263,0)=W263,2,IF(IF((G263&gt;0)*(IF(H263="",-1,H263)&gt;=3)*(IF(H263="",-1,H263)&lt;=4),IF(C263="peso_corporal",IF(ISNUMBER(E263),E263,0)+F263,F263)*G263*1000+F263,0)=W263,1,0))))))</f>
        <v>0</v>
      </c>
      <c r="Y263" s="69">
        <f>MAX(IF((G263&gt;0)*(IF(H263="",-1,H263)=0)*(1-(IF(H263="",-1,H263)&gt;=3)*(IF(H263="",-1,H263)&lt;=4)),IF(C263="peso_corporal",IF(ISNUMBER(E263),E263,0)+F263,F263)*G263*1000+F263,0),IF((J263&gt;0)*(IF(K263="",-1,K263)=0)*(1-(IF(K263="",-1,K263)&gt;=3)*(IF(K263="",-1,K263)&lt;=4)),IF(C263="peso_corporal",IF(ISNUMBER(E263),E263,0)+I263,I263)*J263*1000+I263,0),IF((M263&gt;0)*(IF(N263="",-1,N263)=0)*(1-(IF(N263="",-1,N263)&gt;=3)*(IF(N263="",-1,N263)&lt;=4)),IF(C263="peso_corporal",IF(ISNUMBER(E263),E263,0)+L263,L263)*M263*1000+L263,0),IF((P263&gt;0)*(IF(Q263="",-1,Q263)=0)*(1-(IF(Q263="",-1,Q263)&gt;=3)*(IF(Q263="",-1,Q263)&lt;=4)),IF(C263="peso_corporal",IF(ISNUMBER(E263),E263,0)+O263,O263)*P263*1000+O263,0),IF((S263&gt;0)*(IF(T263="",-1,T263)=0)*(1-(IF(T263="",-1,T263)&gt;=3)*(IF(T263="",-1,T263)&lt;=4)),IF(C263="peso_corporal",IF(ISNUMBER(E263),E263,0)+R263,R263)*S263*1000+R263,0))</f>
        <v>0</v>
      </c>
      <c r="Z263" s="69">
        <f>IF(Y263=0,0,IF(IF((S263&gt;0)*(IF(T263="",-1,T263)=0)*(1-(IF(T263="",-1,T263)&gt;=3)*(IF(T263="",-1,T263)&lt;=4)),IF(C263="peso_corporal",IF(ISNUMBER(E263),E263,0)+R263,R263)*S263*1000+R263,0)=Y263,5,IF(IF((P263&gt;0)*(IF(Q263="",-1,Q263)=0)*(1-(IF(Q263="",-1,Q263)&gt;=3)*(IF(Q263="",-1,Q263)&lt;=4)),IF(C263="peso_corporal",IF(ISNUMBER(E263),E263,0)+O263,O263)*P263*1000+O263,0)=Y263,4,IF(IF((M263&gt;0)*(IF(N263="",-1,N263)=0)*(1-(IF(N263="",-1,N263)&gt;=3)*(IF(N263="",-1,N263)&lt;=4)),IF(C263="peso_corporal",IF(ISNUMBER(E263),E263,0)+L263,L263)*M263*1000+L263,0)=Y263,3,IF(IF((J263&gt;0)*(IF(K263="",-1,K263)=0)*(1-(IF(K263="",-1,K263)&gt;=3)*(IF(K263="",-1,K263)&lt;=4)),IF(C263="peso_corporal",IF(ISNUMBER(E263),E263,0)+I263,I263)*J263*1000+I263,0)=Y263,2,IF(IF((G263&gt;0)*(IF(H263="",-1,H263)=0)*(1-(IF(H263="",-1,H263)&gt;=3)*(IF(H263="",-1,H263)&lt;=4)),IF(C263="peso_corporal",IF(ISNUMBER(E263),E263,0)+F263,F263)*G263*1000+F263,0)=Y263,1,0))))))</f>
        <v>0</v>
      </c>
      <c r="AA263" s="69">
        <f>MAX(IF((G263&gt;=12)*(1-(IF(H263="",-1,H263)&gt;=3)*(IF(H263="",-1,H263)&lt;=4))*(1-(IF(H263="",-1,H263)=0)),IF(C263="peso_corporal",IF(ISNUMBER(E263),E263,0)+F263,F263)*(30+G263)*100+F263,0),IF((J263&gt;=12)*(1-(IF(K263="",-1,K263)&gt;=3)*(IF(K263="",-1,K263)&lt;=4))*(1-(IF(K263="",-1,K263)=0)),IF(C263="peso_corporal",IF(ISNUMBER(E263),E263,0)+I263,I263)*(30+J263)*100+I263,0),IF((M263&gt;=12)*(1-(IF(N263="",-1,N263)&gt;=3)*(IF(N263="",-1,N263)&lt;=4))*(1-(IF(N263="",-1,N263)=0)),IF(C263="peso_corporal",IF(ISNUMBER(E263),E263,0)+L263,L263)*(30+M263)*100+L263,0),IF((P263&gt;=12)*(1-(IF(Q263="",-1,Q263)&gt;=3)*(IF(Q263="",-1,Q263)&lt;=4))*(1-(IF(Q263="",-1,Q263)=0)),IF(C263="peso_corporal",IF(ISNUMBER(E263),E263,0)+O263,O263)*(30+P263)*100+O263,0),IF((S263&gt;=12)*(1-(IF(T263="",-1,T263)&gt;=3)*(IF(T263="",-1,T263)&lt;=4))*(1-(IF(T263="",-1,T263)=0)),IF(C263="peso_corporal",IF(ISNUMBER(E263),E263,0)+R263,R263)*(30+S263)*100+R263,0))</f>
        <v>0</v>
      </c>
      <c r="AB263" s="69">
        <f>IF(AA263=0,0,IF(IF((S263&gt;=12)*(1-(IF(T263="",-1,T263)&gt;=3)*(IF(T263="",-1,T263)&lt;=4))*(1-(IF(T263="",-1,T263)=0)),IF(C263="peso_corporal",IF(ISNUMBER(E263),E263,0)+R263,R263)*(30+S263)*100+R263,0)=AA263,5,IF(IF((P263&gt;=12)*(1-(IF(Q263="",-1,Q263)&gt;=3)*(IF(Q263="",-1,Q263)&lt;=4))*(1-(IF(Q263="",-1,Q263)=0)),IF(C263="peso_corporal",IF(ISNUMBER(E263),E263,0)+O263,O263)*(30+P263)*100+O263,0)=AA263,4,IF(IF((M263&gt;=12)*(1-(IF(N263="",-1,N263)&gt;=3)*(IF(N263="",-1,N263)&lt;=4))*(1-(IF(N263="",-1,N263)=0)),IF(C263="peso_corporal",IF(ISNUMBER(E263),E263,0)+L263,L263)*(30+M263)*100+L263,0)=AA263,3,IF(IF((J263&gt;=12)*(1-(IF(K263="",-1,K263)&gt;=3)*(IF(K263="",-1,K263)&lt;=4))*(1-(IF(K263="",-1,K263)=0)),IF(C263="peso_corporal",IF(ISNUMBER(E263),E263,0)+I263,I263)*(30+J263)*100+I263,0)=AA263,2,IF(IF((G263&gt;=12)*(1-(IF(H263="",-1,H263)&gt;=3)*(IF(H263="",-1,H263)&lt;=4))*(1-(IF(H263="",-1,H263)=0)),IF(C263="peso_corporal",IF(ISNUMBER(E263),E263,0)+F263,F263)*(30+G263)*100+F263,0)=AA263,1,0))))))</f>
        <v>0</v>
      </c>
      <c r="AC263" s="69" t="str">
        <f>IF(X263&gt;0,"A"&amp;X263,IF(Z263&gt;0,"B"&amp;Z263,IF(AB263&gt;0,"C"&amp;AB263,"")))</f>
        <v/>
      </c>
    </row>
    <row r="264" spans="1:29" ht="20.100000000000001" customHeight="1">
      <c r="A264" s="14" t="s">
        <v>139</v>
      </c>
      <c r="B264" s="15" t="s">
        <v>141</v>
      </c>
      <c r="C264" s="16" t="str">
        <f>IFERROR(INDEX(EJERCICIOS!$D$3:$D$75,MATCH(A264&amp;"|"&amp;B264,EJERCICIOS!$G$3:$G$75,0)),"--")</f>
        <v>disco</v>
      </c>
      <c r="D264" s="17">
        <v>3</v>
      </c>
      <c r="E264" s="18">
        <f>IFERROR(LOOKUP(2,1/(MEDIDAS_Y_PESO!$B$3:$B$14&lt;&gt;""),MEDIDAS_Y_PESO!$B$3:$B$14),"--")</f>
        <v>80</v>
      </c>
      <c r="F264" s="19"/>
      <c r="G264" s="20"/>
      <c r="H264" s="21"/>
      <c r="I264" s="19"/>
      <c r="J264" s="20"/>
      <c r="K264" s="21"/>
      <c r="L264" s="19"/>
      <c r="M264" s="20"/>
      <c r="N264" s="21"/>
      <c r="O264" s="19"/>
      <c r="P264" s="20"/>
      <c r="Q264" s="21"/>
      <c r="R264" s="19"/>
      <c r="S264" s="20"/>
      <c r="T264" s="21"/>
      <c r="U264" s="22" t="str">
        <f>IFERROR(IF(IF(X264&gt;0,X264,IF(Z264&gt;0,Z264,IF(AB264&gt;0,AB264,0)))=0,"--",ROUND(CHOOSE(IF(X264&gt;0,X264,IF(Z264&gt;0,Z264,IF(AB264&gt;0,AB264,0))),IF(C264="peso_corporal",IF(ISNUMBER(E264),E264,0)+F264,F264)*(1+G264/30),IF(C264="peso_corporal",IF(ISNUMBER(E264),E264,0)+I264,I264)*(1+J264/30),IF(C264="peso_corporal",IF(ISNUMBER(E264),E264,0)+L264,L264)*(1+M264/30),IF(C264="peso_corporal",IF(ISNUMBER(E264),E264,0)+O264,O264)*(1+P264/30),IF(C264="peso_corporal",IF(ISNUMBER(E264),E264,0)+R264,R264)*(1+S264/30)),1)),"--")</f>
        <v>--</v>
      </c>
      <c r="V264" s="23" t="str">
        <f>IF(SUGERENCIAS!N727="SIN","Sin datos anteriores",IF(SUGERENCIAS!N727="SUBIR_F","^ SUBIR FUERTE | Kg:"&amp;ROUND(SUGERENCIAS!K727,1)&amp;" R:"&amp;ROUND(SUGERENCIAS!L727,0)&amp;" RIR:"&amp;ROUND(SUGERENCIAS!M727,0),IF(SUGERENCIAS!N727="SUBIR_E","^ SUBIR (Est.) | Kg:"&amp;ROUND(SUGERENCIAS!K727,1)&amp;" R:"&amp;ROUND(SUGERENCIAS!L727,0)&amp;" RIR:"&amp;ROUND(SUGERENCIAS!M727,0),IF(SUGERENCIAS!N727="SUBIR","^ SUBIR | Kg:"&amp;ROUND(SUGERENCIAS!K727,1)&amp;" R:"&amp;ROUND(SUGERENCIAS!L727,0)&amp;" RIR:"&amp;ROUND(SUGERENCIAS!M727,0),IF(SUGERENCIAS!N727="BAJAR","v BAJAR | Kg:"&amp;ROUND(SUGERENCIAS!K727,1)&amp;" R:"&amp;ROUND(SUGERENCIAS!L727,0)&amp;" RIR:"&amp;ROUND(SUGERENCIAS!M727,0),"= MANT | Kg:"&amp;ROUND(SUGERENCIAS!K727,1)&amp;" R:"&amp;ROUND(SUGERENCIAS!L727,0)&amp;" RIR:"&amp;ROUND(SUGERENCIAS!M727,0))))))</f>
        <v>Sin datos anteriores</v>
      </c>
      <c r="W264" s="69">
        <f>MAX(IF((G264&gt;0)*(IF(H264="",-1,H264)&gt;=3)*(IF(H264="",-1,H264)&lt;=4),IF(C264="peso_corporal",IF(ISNUMBER(E264),E264,0)+F264,F264)*G264*1000+F264,0),IF((J264&gt;0)*(IF(K264="",-1,K264)&gt;=3)*(IF(K264="",-1,K264)&lt;=4),IF(C264="peso_corporal",IF(ISNUMBER(E264),E264,0)+I264,I264)*J264*1000+I264,0),IF((M264&gt;0)*(IF(N264="",-1,N264)&gt;=3)*(IF(N264="",-1,N264)&lt;=4),IF(C264="peso_corporal",IF(ISNUMBER(E264),E264,0)+L264,L264)*M264*1000+L264,0),IF((P264&gt;0)*(IF(Q264="",-1,Q264)&gt;=3)*(IF(Q264="",-1,Q264)&lt;=4),IF(C264="peso_corporal",IF(ISNUMBER(E264),E264,0)+O264,O264)*P264*1000+O264,0),IF((S264&gt;0)*(IF(T264="",-1,T264)&gt;=3)*(IF(T264="",-1,T264)&lt;=4),IF(C264="peso_corporal",IF(ISNUMBER(E264),E264,0)+R264,R264)*S264*1000+R264,0))</f>
        <v>0</v>
      </c>
      <c r="X264" s="69">
        <f>IF(W264=0,0,IF(IF((S264&gt;0)*(IF(T264="",-1,T264)&gt;=3)*(IF(T264="",-1,T264)&lt;=4),IF(C264="peso_corporal",IF(ISNUMBER(E264),E264,0)+R264,R264)*S264*1000+R264,0)=W264,5,IF(IF((P264&gt;0)*(IF(Q264="",-1,Q264)&gt;=3)*(IF(Q264="",-1,Q264)&lt;=4),IF(C264="peso_corporal",IF(ISNUMBER(E264),E264,0)+O264,O264)*P264*1000+O264,0)=W264,4,IF(IF((M264&gt;0)*(IF(N264="",-1,N264)&gt;=3)*(IF(N264="",-1,N264)&lt;=4),IF(C264="peso_corporal",IF(ISNUMBER(E264),E264,0)+L264,L264)*M264*1000+L264,0)=W264,3,IF(IF((J264&gt;0)*(IF(K264="",-1,K264)&gt;=3)*(IF(K264="",-1,K264)&lt;=4),IF(C264="peso_corporal",IF(ISNUMBER(E264),E264,0)+I264,I264)*J264*1000+I264,0)=W264,2,IF(IF((G264&gt;0)*(IF(H264="",-1,H264)&gt;=3)*(IF(H264="",-1,H264)&lt;=4),IF(C264="peso_corporal",IF(ISNUMBER(E264),E264,0)+F264,F264)*G264*1000+F264,0)=W264,1,0))))))</f>
        <v>0</v>
      </c>
      <c r="Y264" s="69">
        <f>MAX(IF((G264&gt;0)*(IF(H264="",-1,H264)=0)*(1-(IF(H264="",-1,H264)&gt;=3)*(IF(H264="",-1,H264)&lt;=4)),IF(C264="peso_corporal",IF(ISNUMBER(E264),E264,0)+F264,F264)*G264*1000+F264,0),IF((J264&gt;0)*(IF(K264="",-1,K264)=0)*(1-(IF(K264="",-1,K264)&gt;=3)*(IF(K264="",-1,K264)&lt;=4)),IF(C264="peso_corporal",IF(ISNUMBER(E264),E264,0)+I264,I264)*J264*1000+I264,0),IF((M264&gt;0)*(IF(N264="",-1,N264)=0)*(1-(IF(N264="",-1,N264)&gt;=3)*(IF(N264="",-1,N264)&lt;=4)),IF(C264="peso_corporal",IF(ISNUMBER(E264),E264,0)+L264,L264)*M264*1000+L264,0),IF((P264&gt;0)*(IF(Q264="",-1,Q264)=0)*(1-(IF(Q264="",-1,Q264)&gt;=3)*(IF(Q264="",-1,Q264)&lt;=4)),IF(C264="peso_corporal",IF(ISNUMBER(E264),E264,0)+O264,O264)*P264*1000+O264,0),IF((S264&gt;0)*(IF(T264="",-1,T264)=0)*(1-(IF(T264="",-1,T264)&gt;=3)*(IF(T264="",-1,T264)&lt;=4)),IF(C264="peso_corporal",IF(ISNUMBER(E264),E264,0)+R264,R264)*S264*1000+R264,0))</f>
        <v>0</v>
      </c>
      <c r="Z264" s="69">
        <f>IF(Y264=0,0,IF(IF((S264&gt;0)*(IF(T264="",-1,T264)=0)*(1-(IF(T264="",-1,T264)&gt;=3)*(IF(T264="",-1,T264)&lt;=4)),IF(C264="peso_corporal",IF(ISNUMBER(E264),E264,0)+R264,R264)*S264*1000+R264,0)=Y264,5,IF(IF((P264&gt;0)*(IF(Q264="",-1,Q264)=0)*(1-(IF(Q264="",-1,Q264)&gt;=3)*(IF(Q264="",-1,Q264)&lt;=4)),IF(C264="peso_corporal",IF(ISNUMBER(E264),E264,0)+O264,O264)*P264*1000+O264,0)=Y264,4,IF(IF((M264&gt;0)*(IF(N264="",-1,N264)=0)*(1-(IF(N264="",-1,N264)&gt;=3)*(IF(N264="",-1,N264)&lt;=4)),IF(C264="peso_corporal",IF(ISNUMBER(E264),E264,0)+L264,L264)*M264*1000+L264,0)=Y264,3,IF(IF((J264&gt;0)*(IF(K264="",-1,K264)=0)*(1-(IF(K264="",-1,K264)&gt;=3)*(IF(K264="",-1,K264)&lt;=4)),IF(C264="peso_corporal",IF(ISNUMBER(E264),E264,0)+I264,I264)*J264*1000+I264,0)=Y264,2,IF(IF((G264&gt;0)*(IF(H264="",-1,H264)=0)*(1-(IF(H264="",-1,H264)&gt;=3)*(IF(H264="",-1,H264)&lt;=4)),IF(C264="peso_corporal",IF(ISNUMBER(E264),E264,0)+F264,F264)*G264*1000+F264,0)=Y264,1,0))))))</f>
        <v>0</v>
      </c>
      <c r="AA264" s="69">
        <f>MAX(IF((G264&gt;=12)*(1-(IF(H264="",-1,H264)&gt;=3)*(IF(H264="",-1,H264)&lt;=4))*(1-(IF(H264="",-1,H264)=0)),IF(C264="peso_corporal",IF(ISNUMBER(E264),E264,0)+F264,F264)*(30+G264)*100+F264,0),IF((J264&gt;=12)*(1-(IF(K264="",-1,K264)&gt;=3)*(IF(K264="",-1,K264)&lt;=4))*(1-(IF(K264="",-1,K264)=0)),IF(C264="peso_corporal",IF(ISNUMBER(E264),E264,0)+I264,I264)*(30+J264)*100+I264,0),IF((M264&gt;=12)*(1-(IF(N264="",-1,N264)&gt;=3)*(IF(N264="",-1,N264)&lt;=4))*(1-(IF(N264="",-1,N264)=0)),IF(C264="peso_corporal",IF(ISNUMBER(E264),E264,0)+L264,L264)*(30+M264)*100+L264,0),IF((P264&gt;=12)*(1-(IF(Q264="",-1,Q264)&gt;=3)*(IF(Q264="",-1,Q264)&lt;=4))*(1-(IF(Q264="",-1,Q264)=0)),IF(C264="peso_corporal",IF(ISNUMBER(E264),E264,0)+O264,O264)*(30+P264)*100+O264,0),IF((S264&gt;=12)*(1-(IF(T264="",-1,T264)&gt;=3)*(IF(T264="",-1,T264)&lt;=4))*(1-(IF(T264="",-1,T264)=0)),IF(C264="peso_corporal",IF(ISNUMBER(E264),E264,0)+R264,R264)*(30+S264)*100+R264,0))</f>
        <v>0</v>
      </c>
      <c r="AB264" s="69">
        <f>IF(AA264=0,0,IF(IF((S264&gt;=12)*(1-(IF(T264="",-1,T264)&gt;=3)*(IF(T264="",-1,T264)&lt;=4))*(1-(IF(T264="",-1,T264)=0)),IF(C264="peso_corporal",IF(ISNUMBER(E264),E264,0)+R264,R264)*(30+S264)*100+R264,0)=AA264,5,IF(IF((P264&gt;=12)*(1-(IF(Q264="",-1,Q264)&gt;=3)*(IF(Q264="",-1,Q264)&lt;=4))*(1-(IF(Q264="",-1,Q264)=0)),IF(C264="peso_corporal",IF(ISNUMBER(E264),E264,0)+O264,O264)*(30+P264)*100+O264,0)=AA264,4,IF(IF((M264&gt;=12)*(1-(IF(N264="",-1,N264)&gt;=3)*(IF(N264="",-1,N264)&lt;=4))*(1-(IF(N264="",-1,N264)=0)),IF(C264="peso_corporal",IF(ISNUMBER(E264),E264,0)+L264,L264)*(30+M264)*100+L264,0)=AA264,3,IF(IF((J264&gt;=12)*(1-(IF(K264="",-1,K264)&gt;=3)*(IF(K264="",-1,K264)&lt;=4))*(1-(IF(K264="",-1,K264)=0)),IF(C264="peso_corporal",IF(ISNUMBER(E264),E264,0)+I264,I264)*(30+J264)*100+I264,0)=AA264,2,IF(IF((G264&gt;=12)*(1-(IF(H264="",-1,H264)&gt;=3)*(IF(H264="",-1,H264)&lt;=4))*(1-(IF(H264="",-1,H264)=0)),IF(C264="peso_corporal",IF(ISNUMBER(E264),E264,0)+F264,F264)*(30+G264)*100+F264,0)=AA264,1,0))))))</f>
        <v>0</v>
      </c>
      <c r="AC264" s="69" t="str">
        <f>IF(X264&gt;0,"A"&amp;X264,IF(Z264&gt;0,"B"&amp;Z264,IF(AB264&gt;0,"C"&amp;AB264,"")))</f>
        <v/>
      </c>
    </row>
    <row r="265" spans="1:29" ht="15" customHeight="1">
      <c r="A265" s="90" t="s">
        <v>142</v>
      </c>
      <c r="B265" s="73"/>
      <c r="C265" s="73"/>
      <c r="D265" s="73"/>
      <c r="E265" s="73"/>
      <c r="F265" s="73"/>
      <c r="G265" s="73"/>
      <c r="H265" s="73"/>
      <c r="I265" s="73"/>
      <c r="J265" s="73"/>
      <c r="K265" s="73"/>
      <c r="L265" s="73"/>
      <c r="M265" s="73"/>
      <c r="N265" s="73"/>
      <c r="O265" s="73"/>
      <c r="P265" s="73"/>
      <c r="Q265" s="73"/>
      <c r="R265" s="73"/>
      <c r="S265" s="73"/>
      <c r="T265" s="73"/>
      <c r="U265" s="73"/>
      <c r="V265" s="73"/>
      <c r="W265" s="69"/>
      <c r="X265" s="69"/>
      <c r="Y265" s="69"/>
      <c r="Z265" s="69"/>
      <c r="AA265" s="69"/>
      <c r="AB265" s="69"/>
      <c r="AC265" s="69"/>
    </row>
    <row r="266" spans="1:29" ht="20.100000000000001" customHeight="1">
      <c r="A266" s="14" t="s">
        <v>24</v>
      </c>
      <c r="B266" s="15" t="s">
        <v>143</v>
      </c>
      <c r="C266" s="16" t="str">
        <f>IFERROR(INDEX(EJERCICIOS!$D$3:$D$75,MATCH(A266&amp;"|"&amp;B266,EJERCICIOS!$G$3:$G$75,0)),"--")</f>
        <v>peso_corporal</v>
      </c>
      <c r="D266" s="17">
        <v>3</v>
      </c>
      <c r="E266" s="18">
        <f>IFERROR(LOOKUP(2,1/(MEDIDAS_Y_PESO!$B$3:$B$14&lt;&gt;""),MEDIDAS_Y_PESO!$B$3:$B$14),"--")</f>
        <v>80</v>
      </c>
      <c r="F266" s="19"/>
      <c r="G266" s="20"/>
      <c r="H266" s="21"/>
      <c r="I266" s="19"/>
      <c r="J266" s="20"/>
      <c r="K266" s="21"/>
      <c r="L266" s="19"/>
      <c r="M266" s="20"/>
      <c r="N266" s="21"/>
      <c r="O266" s="19"/>
      <c r="P266" s="20"/>
      <c r="Q266" s="21"/>
      <c r="R266" s="19"/>
      <c r="S266" s="20"/>
      <c r="T266" s="21"/>
      <c r="U266" s="22" t="str">
        <f>IFERROR(IF(IF(X266&gt;0,X266,IF(Z266&gt;0,Z266,IF(AB266&gt;0,AB266,0)))=0,"--",ROUND(CHOOSE(IF(X266&gt;0,X266,IF(Z266&gt;0,Z266,IF(AB266&gt;0,AB266,0))),IF(C266="peso_corporal",IF(ISNUMBER(E266),E266,0)+F266,F266)*(1+G266/30),IF(C266="peso_corporal",IF(ISNUMBER(E266),E266,0)+I266,I266)*(1+J266/30),IF(C266="peso_corporal",IF(ISNUMBER(E266),E266,0)+L266,L266)*(1+M266/30),IF(C266="peso_corporal",IF(ISNUMBER(E266),E266,0)+O266,O266)*(1+P266/30),IF(C266="peso_corporal",IF(ISNUMBER(E266),E266,0)+R266,R266)*(1+S266/30)),1)),"--")</f>
        <v>--</v>
      </c>
      <c r="V266" s="23" t="str">
        <f>IF(SUGERENCIAS!N728="SIN","Sin datos anteriores",IF(SUGERENCIAS!N728="SUBIR_F","^ SUBIR FUERTE | Kg:"&amp;ROUND(SUGERENCIAS!K728,1)&amp;" R:"&amp;ROUND(SUGERENCIAS!L728,0)&amp;" RIR:"&amp;ROUND(SUGERENCIAS!M728,0),IF(SUGERENCIAS!N728="SUBIR_E","^ SUBIR (Est.) | Kg:"&amp;ROUND(SUGERENCIAS!K728,1)&amp;" R:"&amp;ROUND(SUGERENCIAS!L728,0)&amp;" RIR:"&amp;ROUND(SUGERENCIAS!M728,0),IF(SUGERENCIAS!N728="SUBIR","^ SUBIR | Kg:"&amp;ROUND(SUGERENCIAS!K728,1)&amp;" R:"&amp;ROUND(SUGERENCIAS!L728,0)&amp;" RIR:"&amp;ROUND(SUGERENCIAS!M728,0),IF(SUGERENCIAS!N728="BAJAR","v BAJAR | Kg:"&amp;ROUND(SUGERENCIAS!K728,1)&amp;" R:"&amp;ROUND(SUGERENCIAS!L728,0)&amp;" RIR:"&amp;ROUND(SUGERENCIAS!M728,0),"= MANT | Kg:"&amp;ROUND(SUGERENCIAS!K728,1)&amp;" R:"&amp;ROUND(SUGERENCIAS!L728,0)&amp;" RIR:"&amp;ROUND(SUGERENCIAS!M728,0))))))</f>
        <v>Sin datos anteriores</v>
      </c>
      <c r="W266" s="69">
        <f>MAX(IF((G266&gt;0)*(IF(H266="",-1,H266)&gt;=3)*(IF(H266="",-1,H266)&lt;=4),IF(C266="peso_corporal",IF(ISNUMBER(E266),E266,0)+F266,F266)*G266*1000+F266,0),IF((J266&gt;0)*(IF(K266="",-1,K266)&gt;=3)*(IF(K266="",-1,K266)&lt;=4),IF(C266="peso_corporal",IF(ISNUMBER(E266),E266,0)+I266,I266)*J266*1000+I266,0),IF((M266&gt;0)*(IF(N266="",-1,N266)&gt;=3)*(IF(N266="",-1,N266)&lt;=4),IF(C266="peso_corporal",IF(ISNUMBER(E266),E266,0)+L266,L266)*M266*1000+L266,0),IF((P266&gt;0)*(IF(Q266="",-1,Q266)&gt;=3)*(IF(Q266="",-1,Q266)&lt;=4),IF(C266="peso_corporal",IF(ISNUMBER(E266),E266,0)+O266,O266)*P266*1000+O266,0),IF((S266&gt;0)*(IF(T266="",-1,T266)&gt;=3)*(IF(T266="",-1,T266)&lt;=4),IF(C266="peso_corporal",IF(ISNUMBER(E266),E266,0)+R266,R266)*S266*1000+R266,0))</f>
        <v>0</v>
      </c>
      <c r="X266" s="69">
        <f>IF(W266=0,0,IF(IF((S266&gt;0)*(IF(T266="",-1,T266)&gt;=3)*(IF(T266="",-1,T266)&lt;=4),IF(C266="peso_corporal",IF(ISNUMBER(E266),E266,0)+R266,R266)*S266*1000+R266,0)=W266,5,IF(IF((P266&gt;0)*(IF(Q266="",-1,Q266)&gt;=3)*(IF(Q266="",-1,Q266)&lt;=4),IF(C266="peso_corporal",IF(ISNUMBER(E266),E266,0)+O266,O266)*P266*1000+O266,0)=W266,4,IF(IF((M266&gt;0)*(IF(N266="",-1,N266)&gt;=3)*(IF(N266="",-1,N266)&lt;=4),IF(C266="peso_corporal",IF(ISNUMBER(E266),E266,0)+L266,L266)*M266*1000+L266,0)=W266,3,IF(IF((J266&gt;0)*(IF(K266="",-1,K266)&gt;=3)*(IF(K266="",-1,K266)&lt;=4),IF(C266="peso_corporal",IF(ISNUMBER(E266),E266,0)+I266,I266)*J266*1000+I266,0)=W266,2,IF(IF((G266&gt;0)*(IF(H266="",-1,H266)&gt;=3)*(IF(H266="",-1,H266)&lt;=4),IF(C266="peso_corporal",IF(ISNUMBER(E266),E266,0)+F266,F266)*G266*1000+F266,0)=W266,1,0))))))</f>
        <v>0</v>
      </c>
      <c r="Y266" s="69">
        <f>MAX(IF((G266&gt;0)*(IF(H266="",-1,H266)=0)*(1-(IF(H266="",-1,H266)&gt;=3)*(IF(H266="",-1,H266)&lt;=4)),IF(C266="peso_corporal",IF(ISNUMBER(E266),E266,0)+F266,F266)*G266*1000+F266,0),IF((J266&gt;0)*(IF(K266="",-1,K266)=0)*(1-(IF(K266="",-1,K266)&gt;=3)*(IF(K266="",-1,K266)&lt;=4)),IF(C266="peso_corporal",IF(ISNUMBER(E266),E266,0)+I266,I266)*J266*1000+I266,0),IF((M266&gt;0)*(IF(N266="",-1,N266)=0)*(1-(IF(N266="",-1,N266)&gt;=3)*(IF(N266="",-1,N266)&lt;=4)),IF(C266="peso_corporal",IF(ISNUMBER(E266),E266,0)+L266,L266)*M266*1000+L266,0),IF((P266&gt;0)*(IF(Q266="",-1,Q266)=0)*(1-(IF(Q266="",-1,Q266)&gt;=3)*(IF(Q266="",-1,Q266)&lt;=4)),IF(C266="peso_corporal",IF(ISNUMBER(E266),E266,0)+O266,O266)*P266*1000+O266,0),IF((S266&gt;0)*(IF(T266="",-1,T266)=0)*(1-(IF(T266="",-1,T266)&gt;=3)*(IF(T266="",-1,T266)&lt;=4)),IF(C266="peso_corporal",IF(ISNUMBER(E266),E266,0)+R266,R266)*S266*1000+R266,0))</f>
        <v>0</v>
      </c>
      <c r="Z266" s="69">
        <f>IF(Y266=0,0,IF(IF((S266&gt;0)*(IF(T266="",-1,T266)=0)*(1-(IF(T266="",-1,T266)&gt;=3)*(IF(T266="",-1,T266)&lt;=4)),IF(C266="peso_corporal",IF(ISNUMBER(E266),E266,0)+R266,R266)*S266*1000+R266,0)=Y266,5,IF(IF((P266&gt;0)*(IF(Q266="",-1,Q266)=0)*(1-(IF(Q266="",-1,Q266)&gt;=3)*(IF(Q266="",-1,Q266)&lt;=4)),IF(C266="peso_corporal",IF(ISNUMBER(E266),E266,0)+O266,O266)*P266*1000+O266,0)=Y266,4,IF(IF((M266&gt;0)*(IF(N266="",-1,N266)=0)*(1-(IF(N266="",-1,N266)&gt;=3)*(IF(N266="",-1,N266)&lt;=4)),IF(C266="peso_corporal",IF(ISNUMBER(E266),E266,0)+L266,L266)*M266*1000+L266,0)=Y266,3,IF(IF((J266&gt;0)*(IF(K266="",-1,K266)=0)*(1-(IF(K266="",-1,K266)&gt;=3)*(IF(K266="",-1,K266)&lt;=4)),IF(C266="peso_corporal",IF(ISNUMBER(E266),E266,0)+I266,I266)*J266*1000+I266,0)=Y266,2,IF(IF((G266&gt;0)*(IF(H266="",-1,H266)=0)*(1-(IF(H266="",-1,H266)&gt;=3)*(IF(H266="",-1,H266)&lt;=4)),IF(C266="peso_corporal",IF(ISNUMBER(E266),E266,0)+F266,F266)*G266*1000+F266,0)=Y266,1,0))))))</f>
        <v>0</v>
      </c>
      <c r="AA266" s="69">
        <f>MAX(IF((G266&gt;=12)*(1-(IF(H266="",-1,H266)&gt;=3)*(IF(H266="",-1,H266)&lt;=4))*(1-(IF(H266="",-1,H266)=0)),IF(C266="peso_corporal",IF(ISNUMBER(E266),E266,0)+F266,F266)*(30+G266)*100+F266,0),IF((J266&gt;=12)*(1-(IF(K266="",-1,K266)&gt;=3)*(IF(K266="",-1,K266)&lt;=4))*(1-(IF(K266="",-1,K266)=0)),IF(C266="peso_corporal",IF(ISNUMBER(E266),E266,0)+I266,I266)*(30+J266)*100+I266,0),IF((M266&gt;=12)*(1-(IF(N266="",-1,N266)&gt;=3)*(IF(N266="",-1,N266)&lt;=4))*(1-(IF(N266="",-1,N266)=0)),IF(C266="peso_corporal",IF(ISNUMBER(E266),E266,0)+L266,L266)*(30+M266)*100+L266,0),IF((P266&gt;=12)*(1-(IF(Q266="",-1,Q266)&gt;=3)*(IF(Q266="",-1,Q266)&lt;=4))*(1-(IF(Q266="",-1,Q266)=0)),IF(C266="peso_corporal",IF(ISNUMBER(E266),E266,0)+O266,O266)*(30+P266)*100+O266,0),IF((S266&gt;=12)*(1-(IF(T266="",-1,T266)&gt;=3)*(IF(T266="",-1,T266)&lt;=4))*(1-(IF(T266="",-1,T266)=0)),IF(C266="peso_corporal",IF(ISNUMBER(E266),E266,0)+R266,R266)*(30+S266)*100+R266,0))</f>
        <v>0</v>
      </c>
      <c r="AB266" s="69">
        <f>IF(AA266=0,0,IF(IF((S266&gt;=12)*(1-(IF(T266="",-1,T266)&gt;=3)*(IF(T266="",-1,T266)&lt;=4))*(1-(IF(T266="",-1,T266)=0)),IF(C266="peso_corporal",IF(ISNUMBER(E266),E266,0)+R266,R266)*(30+S266)*100+R266,0)=AA266,5,IF(IF((P266&gt;=12)*(1-(IF(Q266="",-1,Q266)&gt;=3)*(IF(Q266="",-1,Q266)&lt;=4))*(1-(IF(Q266="",-1,Q266)=0)),IF(C266="peso_corporal",IF(ISNUMBER(E266),E266,0)+O266,O266)*(30+P266)*100+O266,0)=AA266,4,IF(IF((M266&gt;=12)*(1-(IF(N266="",-1,N266)&gt;=3)*(IF(N266="",-1,N266)&lt;=4))*(1-(IF(N266="",-1,N266)=0)),IF(C266="peso_corporal",IF(ISNUMBER(E266),E266,0)+L266,L266)*(30+M266)*100+L266,0)=AA266,3,IF(IF((J266&gt;=12)*(1-(IF(K266="",-1,K266)&gt;=3)*(IF(K266="",-1,K266)&lt;=4))*(1-(IF(K266="",-1,K266)=0)),IF(C266="peso_corporal",IF(ISNUMBER(E266),E266,0)+I266,I266)*(30+J266)*100+I266,0)=AA266,2,IF(IF((G266&gt;=12)*(1-(IF(H266="",-1,H266)&gt;=3)*(IF(H266="",-1,H266)&lt;=4))*(1-(IF(H266="",-1,H266)=0)),IF(C266="peso_corporal",IF(ISNUMBER(E266),E266,0)+F266,F266)*(30+G266)*100+F266,0)=AA266,1,0))))))</f>
        <v>0</v>
      </c>
      <c r="AC266" s="69" t="str">
        <f>IF(X266&gt;0,"A"&amp;X266,IF(Z266&gt;0,"B"&amp;Z266,IF(AB266&gt;0,"C"&amp;AB266,"")))</f>
        <v/>
      </c>
    </row>
    <row r="267" spans="1:29" ht="20.100000000000001" customHeight="1">
      <c r="A267" s="14" t="s">
        <v>144</v>
      </c>
      <c r="B267" s="15" t="s">
        <v>60</v>
      </c>
      <c r="C267" s="16" t="str">
        <f>IFERROR(INDEX(EJERCICIOS!$D$3:$D$75,MATCH(A267&amp;"|"&amp;B267,EJERCICIOS!$G$3:$G$75,0)),"--")</f>
        <v>disco</v>
      </c>
      <c r="D267" s="17">
        <v>3</v>
      </c>
      <c r="E267" s="18">
        <f>IFERROR(LOOKUP(2,1/(MEDIDAS_Y_PESO!$B$3:$B$14&lt;&gt;""),MEDIDAS_Y_PESO!$B$3:$B$14),"--")</f>
        <v>80</v>
      </c>
      <c r="F267" s="19"/>
      <c r="G267" s="20"/>
      <c r="H267" s="21"/>
      <c r="I267" s="19"/>
      <c r="J267" s="20"/>
      <c r="K267" s="21"/>
      <c r="L267" s="19"/>
      <c r="M267" s="20"/>
      <c r="N267" s="21"/>
      <c r="O267" s="19"/>
      <c r="P267" s="20"/>
      <c r="Q267" s="21"/>
      <c r="R267" s="19"/>
      <c r="S267" s="20"/>
      <c r="T267" s="21"/>
      <c r="U267" s="22" t="str">
        <f>IFERROR(IF(IF(X267&gt;0,X267,IF(Z267&gt;0,Z267,IF(AB267&gt;0,AB267,0)))=0,"--",ROUND(CHOOSE(IF(X267&gt;0,X267,IF(Z267&gt;0,Z267,IF(AB267&gt;0,AB267,0))),IF(C267="peso_corporal",IF(ISNUMBER(E267),E267,0)+F267,F267)*(1+G267/30),IF(C267="peso_corporal",IF(ISNUMBER(E267),E267,0)+I267,I267)*(1+J267/30),IF(C267="peso_corporal",IF(ISNUMBER(E267),E267,0)+L267,L267)*(1+M267/30),IF(C267="peso_corporal",IF(ISNUMBER(E267),E267,0)+O267,O267)*(1+P267/30),IF(C267="peso_corporal",IF(ISNUMBER(E267),E267,0)+R267,R267)*(1+S267/30)),1)),"--")</f>
        <v>--</v>
      </c>
      <c r="V267" s="23" t="str">
        <f>IF(SUGERENCIAS!N729="SIN","Sin datos anteriores",IF(SUGERENCIAS!N729="SUBIR_F","^ SUBIR FUERTE | Kg:"&amp;ROUND(SUGERENCIAS!K729,1)&amp;" R:"&amp;ROUND(SUGERENCIAS!L729,0)&amp;" RIR:"&amp;ROUND(SUGERENCIAS!M729,0),IF(SUGERENCIAS!N729="SUBIR_E","^ SUBIR (Est.) | Kg:"&amp;ROUND(SUGERENCIAS!K729,1)&amp;" R:"&amp;ROUND(SUGERENCIAS!L729,0)&amp;" RIR:"&amp;ROUND(SUGERENCIAS!M729,0),IF(SUGERENCIAS!N729="SUBIR","^ SUBIR | Kg:"&amp;ROUND(SUGERENCIAS!K729,1)&amp;" R:"&amp;ROUND(SUGERENCIAS!L729,0)&amp;" RIR:"&amp;ROUND(SUGERENCIAS!M729,0),IF(SUGERENCIAS!N729="BAJAR","v BAJAR | Kg:"&amp;ROUND(SUGERENCIAS!K729,1)&amp;" R:"&amp;ROUND(SUGERENCIAS!L729,0)&amp;" RIR:"&amp;ROUND(SUGERENCIAS!M729,0),"= MANT | Kg:"&amp;ROUND(SUGERENCIAS!K729,1)&amp;" R:"&amp;ROUND(SUGERENCIAS!L729,0)&amp;" RIR:"&amp;ROUND(SUGERENCIAS!M729,0))))))</f>
        <v>Sin datos anteriores</v>
      </c>
      <c r="W267" s="69">
        <f>MAX(IF((G267&gt;0)*(IF(H267="",-1,H267)&gt;=3)*(IF(H267="",-1,H267)&lt;=4),IF(C267="peso_corporal",IF(ISNUMBER(E267),E267,0)+F267,F267)*G267*1000+F267,0),IF((J267&gt;0)*(IF(K267="",-1,K267)&gt;=3)*(IF(K267="",-1,K267)&lt;=4),IF(C267="peso_corporal",IF(ISNUMBER(E267),E267,0)+I267,I267)*J267*1000+I267,0),IF((M267&gt;0)*(IF(N267="",-1,N267)&gt;=3)*(IF(N267="",-1,N267)&lt;=4),IF(C267="peso_corporal",IF(ISNUMBER(E267),E267,0)+L267,L267)*M267*1000+L267,0),IF((P267&gt;0)*(IF(Q267="",-1,Q267)&gt;=3)*(IF(Q267="",-1,Q267)&lt;=4),IF(C267="peso_corporal",IF(ISNUMBER(E267),E267,0)+O267,O267)*P267*1000+O267,0),IF((S267&gt;0)*(IF(T267="",-1,T267)&gt;=3)*(IF(T267="",-1,T267)&lt;=4),IF(C267="peso_corporal",IF(ISNUMBER(E267),E267,0)+R267,R267)*S267*1000+R267,0))</f>
        <v>0</v>
      </c>
      <c r="X267" s="69">
        <f>IF(W267=0,0,IF(IF((S267&gt;0)*(IF(T267="",-1,T267)&gt;=3)*(IF(T267="",-1,T267)&lt;=4),IF(C267="peso_corporal",IF(ISNUMBER(E267),E267,0)+R267,R267)*S267*1000+R267,0)=W267,5,IF(IF((P267&gt;0)*(IF(Q267="",-1,Q267)&gt;=3)*(IF(Q267="",-1,Q267)&lt;=4),IF(C267="peso_corporal",IF(ISNUMBER(E267),E267,0)+O267,O267)*P267*1000+O267,0)=W267,4,IF(IF((M267&gt;0)*(IF(N267="",-1,N267)&gt;=3)*(IF(N267="",-1,N267)&lt;=4),IF(C267="peso_corporal",IF(ISNUMBER(E267),E267,0)+L267,L267)*M267*1000+L267,0)=W267,3,IF(IF((J267&gt;0)*(IF(K267="",-1,K267)&gt;=3)*(IF(K267="",-1,K267)&lt;=4),IF(C267="peso_corporal",IF(ISNUMBER(E267),E267,0)+I267,I267)*J267*1000+I267,0)=W267,2,IF(IF((G267&gt;0)*(IF(H267="",-1,H267)&gt;=3)*(IF(H267="",-1,H267)&lt;=4),IF(C267="peso_corporal",IF(ISNUMBER(E267),E267,0)+F267,F267)*G267*1000+F267,0)=W267,1,0))))))</f>
        <v>0</v>
      </c>
      <c r="Y267" s="69">
        <f>MAX(IF((G267&gt;0)*(IF(H267="",-1,H267)=0)*(1-(IF(H267="",-1,H267)&gt;=3)*(IF(H267="",-1,H267)&lt;=4)),IF(C267="peso_corporal",IF(ISNUMBER(E267),E267,0)+F267,F267)*G267*1000+F267,0),IF((J267&gt;0)*(IF(K267="",-1,K267)=0)*(1-(IF(K267="",-1,K267)&gt;=3)*(IF(K267="",-1,K267)&lt;=4)),IF(C267="peso_corporal",IF(ISNUMBER(E267),E267,0)+I267,I267)*J267*1000+I267,0),IF((M267&gt;0)*(IF(N267="",-1,N267)=0)*(1-(IF(N267="",-1,N267)&gt;=3)*(IF(N267="",-1,N267)&lt;=4)),IF(C267="peso_corporal",IF(ISNUMBER(E267),E267,0)+L267,L267)*M267*1000+L267,0),IF((P267&gt;0)*(IF(Q267="",-1,Q267)=0)*(1-(IF(Q267="",-1,Q267)&gt;=3)*(IF(Q267="",-1,Q267)&lt;=4)),IF(C267="peso_corporal",IF(ISNUMBER(E267),E267,0)+O267,O267)*P267*1000+O267,0),IF((S267&gt;0)*(IF(T267="",-1,T267)=0)*(1-(IF(T267="",-1,T267)&gt;=3)*(IF(T267="",-1,T267)&lt;=4)),IF(C267="peso_corporal",IF(ISNUMBER(E267),E267,0)+R267,R267)*S267*1000+R267,0))</f>
        <v>0</v>
      </c>
      <c r="Z267" s="69">
        <f>IF(Y267=0,0,IF(IF((S267&gt;0)*(IF(T267="",-1,T267)=0)*(1-(IF(T267="",-1,T267)&gt;=3)*(IF(T267="",-1,T267)&lt;=4)),IF(C267="peso_corporal",IF(ISNUMBER(E267),E267,0)+R267,R267)*S267*1000+R267,0)=Y267,5,IF(IF((P267&gt;0)*(IF(Q267="",-1,Q267)=0)*(1-(IF(Q267="",-1,Q267)&gt;=3)*(IF(Q267="",-1,Q267)&lt;=4)),IF(C267="peso_corporal",IF(ISNUMBER(E267),E267,0)+O267,O267)*P267*1000+O267,0)=Y267,4,IF(IF((M267&gt;0)*(IF(N267="",-1,N267)=0)*(1-(IF(N267="",-1,N267)&gt;=3)*(IF(N267="",-1,N267)&lt;=4)),IF(C267="peso_corporal",IF(ISNUMBER(E267),E267,0)+L267,L267)*M267*1000+L267,0)=Y267,3,IF(IF((J267&gt;0)*(IF(K267="",-1,K267)=0)*(1-(IF(K267="",-1,K267)&gt;=3)*(IF(K267="",-1,K267)&lt;=4)),IF(C267="peso_corporal",IF(ISNUMBER(E267),E267,0)+I267,I267)*J267*1000+I267,0)=Y267,2,IF(IF((G267&gt;0)*(IF(H267="",-1,H267)=0)*(1-(IF(H267="",-1,H267)&gt;=3)*(IF(H267="",-1,H267)&lt;=4)),IF(C267="peso_corporal",IF(ISNUMBER(E267),E267,0)+F267,F267)*G267*1000+F267,0)=Y267,1,0))))))</f>
        <v>0</v>
      </c>
      <c r="AA267" s="69">
        <f>MAX(IF((G267&gt;=12)*(1-(IF(H267="",-1,H267)&gt;=3)*(IF(H267="",-1,H267)&lt;=4))*(1-(IF(H267="",-1,H267)=0)),IF(C267="peso_corporal",IF(ISNUMBER(E267),E267,0)+F267,F267)*(30+G267)*100+F267,0),IF((J267&gt;=12)*(1-(IF(K267="",-1,K267)&gt;=3)*(IF(K267="",-1,K267)&lt;=4))*(1-(IF(K267="",-1,K267)=0)),IF(C267="peso_corporal",IF(ISNUMBER(E267),E267,0)+I267,I267)*(30+J267)*100+I267,0),IF((M267&gt;=12)*(1-(IF(N267="",-1,N267)&gt;=3)*(IF(N267="",-1,N267)&lt;=4))*(1-(IF(N267="",-1,N267)=0)),IF(C267="peso_corporal",IF(ISNUMBER(E267),E267,0)+L267,L267)*(30+M267)*100+L267,0),IF((P267&gt;=12)*(1-(IF(Q267="",-1,Q267)&gt;=3)*(IF(Q267="",-1,Q267)&lt;=4))*(1-(IF(Q267="",-1,Q267)=0)),IF(C267="peso_corporal",IF(ISNUMBER(E267),E267,0)+O267,O267)*(30+P267)*100+O267,0),IF((S267&gt;=12)*(1-(IF(T267="",-1,T267)&gt;=3)*(IF(T267="",-1,T267)&lt;=4))*(1-(IF(T267="",-1,T267)=0)),IF(C267="peso_corporal",IF(ISNUMBER(E267),E267,0)+R267,R267)*(30+S267)*100+R267,0))</f>
        <v>0</v>
      </c>
      <c r="AB267" s="69">
        <f>IF(AA267=0,0,IF(IF((S267&gt;=12)*(1-(IF(T267="",-1,T267)&gt;=3)*(IF(T267="",-1,T267)&lt;=4))*(1-(IF(T267="",-1,T267)=0)),IF(C267="peso_corporal",IF(ISNUMBER(E267),E267,0)+R267,R267)*(30+S267)*100+R267,0)=AA267,5,IF(IF((P267&gt;=12)*(1-(IF(Q267="",-1,Q267)&gt;=3)*(IF(Q267="",-1,Q267)&lt;=4))*(1-(IF(Q267="",-1,Q267)=0)),IF(C267="peso_corporal",IF(ISNUMBER(E267),E267,0)+O267,O267)*(30+P267)*100+O267,0)=AA267,4,IF(IF((M267&gt;=12)*(1-(IF(N267="",-1,N267)&gt;=3)*(IF(N267="",-1,N267)&lt;=4))*(1-(IF(N267="",-1,N267)=0)),IF(C267="peso_corporal",IF(ISNUMBER(E267),E267,0)+L267,L267)*(30+M267)*100+L267,0)=AA267,3,IF(IF((J267&gt;=12)*(1-(IF(K267="",-1,K267)&gt;=3)*(IF(K267="",-1,K267)&lt;=4))*(1-(IF(K267="",-1,K267)=0)),IF(C267="peso_corporal",IF(ISNUMBER(E267),E267,0)+I267,I267)*(30+J267)*100+I267,0)=AA267,2,IF(IF((G267&gt;=12)*(1-(IF(H267="",-1,H267)&gt;=3)*(IF(H267="",-1,H267)&lt;=4))*(1-(IF(H267="",-1,H267)=0)),IF(C267="peso_corporal",IF(ISNUMBER(E267),E267,0)+F267,F267)*(30+G267)*100+F267,0)=AA267,1,0))))))</f>
        <v>0</v>
      </c>
      <c r="AC267" s="69" t="str">
        <f>IF(X267&gt;0,"A"&amp;X267,IF(Z267&gt;0,"B"&amp;Z267,IF(AB267&gt;0,"C"&amp;AB267,"")))</f>
        <v/>
      </c>
    </row>
    <row r="268" spans="1:29" ht="15" customHeight="1">
      <c r="A268" s="91" t="s">
        <v>145</v>
      </c>
      <c r="B268" s="73"/>
      <c r="C268" s="73"/>
      <c r="D268" s="73"/>
      <c r="E268" s="73"/>
      <c r="F268" s="73"/>
      <c r="G268" s="73"/>
      <c r="H268" s="73"/>
      <c r="I268" s="73"/>
      <c r="J268" s="73"/>
      <c r="K268" s="73"/>
      <c r="L268" s="73"/>
      <c r="M268" s="73"/>
      <c r="N268" s="73"/>
      <c r="O268" s="73"/>
      <c r="P268" s="73"/>
      <c r="Q268" s="73"/>
      <c r="R268" s="73"/>
      <c r="S268" s="73"/>
      <c r="T268" s="73"/>
      <c r="U268" s="73"/>
      <c r="V268" s="73"/>
      <c r="W268" s="69"/>
      <c r="X268" s="69"/>
      <c r="Y268" s="69"/>
      <c r="Z268" s="69"/>
      <c r="AA268" s="69"/>
      <c r="AB268" s="69"/>
      <c r="AC268" s="69"/>
    </row>
    <row r="269" spans="1:29" ht="20.100000000000001" customHeight="1">
      <c r="A269" s="14" t="s">
        <v>57</v>
      </c>
      <c r="B269" s="15" t="s">
        <v>58</v>
      </c>
      <c r="C269" s="16" t="str">
        <f>IFERROR(INDEX(EJERCICIOS!$D$3:$D$75,MATCH(A269&amp;"|"&amp;B269,EJERCICIOS!$G$3:$G$75,0)),"--")</f>
        <v>polea</v>
      </c>
      <c r="D269" s="17">
        <v>3</v>
      </c>
      <c r="E269" s="18">
        <f>IFERROR(LOOKUP(2,1/(MEDIDAS_Y_PESO!$B$3:$B$14&lt;&gt;""),MEDIDAS_Y_PESO!$B$3:$B$14),"--")</f>
        <v>80</v>
      </c>
      <c r="F269" s="19"/>
      <c r="G269" s="20"/>
      <c r="H269" s="21"/>
      <c r="I269" s="19"/>
      <c r="J269" s="20"/>
      <c r="K269" s="21"/>
      <c r="L269" s="19"/>
      <c r="M269" s="20"/>
      <c r="N269" s="21"/>
      <c r="O269" s="19"/>
      <c r="P269" s="20"/>
      <c r="Q269" s="21"/>
      <c r="R269" s="19"/>
      <c r="S269" s="20"/>
      <c r="T269" s="21"/>
      <c r="U269" s="22" t="str">
        <f>IFERROR(IF(IF(X269&gt;0,X269,IF(Z269&gt;0,Z269,IF(AB269&gt;0,AB269,0)))=0,"--",ROUND(CHOOSE(IF(X269&gt;0,X269,IF(Z269&gt;0,Z269,IF(AB269&gt;0,AB269,0))),IF(C269="peso_corporal",IF(ISNUMBER(E269),E269,0)+F269,F269)*(1+G269/30),IF(C269="peso_corporal",IF(ISNUMBER(E269),E269,0)+I269,I269)*(1+J269/30),IF(C269="peso_corporal",IF(ISNUMBER(E269),E269,0)+L269,L269)*(1+M269/30),IF(C269="peso_corporal",IF(ISNUMBER(E269),E269,0)+O269,O269)*(1+P269/30),IF(C269="peso_corporal",IF(ISNUMBER(E269),E269,0)+R269,R269)*(1+S269/30)),1)),"--")</f>
        <v>--</v>
      </c>
      <c r="V269" s="23" t="str">
        <f>IF(SUGERENCIAS!N730="SIN","Sin datos anteriores",IF(SUGERENCIAS!N730="SUBIR_F","^ SUBIR FUERTE | Kg:"&amp;ROUND(SUGERENCIAS!K730,1)&amp;" R:"&amp;ROUND(SUGERENCIAS!L730,0)&amp;" RIR:"&amp;ROUND(SUGERENCIAS!M730,0),IF(SUGERENCIAS!N730="SUBIR_E","^ SUBIR (Est.) | Kg:"&amp;ROUND(SUGERENCIAS!K730,1)&amp;" R:"&amp;ROUND(SUGERENCIAS!L730,0)&amp;" RIR:"&amp;ROUND(SUGERENCIAS!M730,0),IF(SUGERENCIAS!N730="SUBIR","^ SUBIR | Kg:"&amp;ROUND(SUGERENCIAS!K730,1)&amp;" R:"&amp;ROUND(SUGERENCIAS!L730,0)&amp;" RIR:"&amp;ROUND(SUGERENCIAS!M730,0),IF(SUGERENCIAS!N730="BAJAR","v BAJAR | Kg:"&amp;ROUND(SUGERENCIAS!K730,1)&amp;" R:"&amp;ROUND(SUGERENCIAS!L730,0)&amp;" RIR:"&amp;ROUND(SUGERENCIAS!M730,0),"= MANT | Kg:"&amp;ROUND(SUGERENCIAS!K730,1)&amp;" R:"&amp;ROUND(SUGERENCIAS!L730,0)&amp;" RIR:"&amp;ROUND(SUGERENCIAS!M730,0))))))</f>
        <v>Sin datos anteriores</v>
      </c>
      <c r="W269" s="69">
        <f>MAX(IF((G269&gt;0)*(IF(H269="",-1,H269)&gt;=3)*(IF(H269="",-1,H269)&lt;=4),IF(C269="peso_corporal",IF(ISNUMBER(E269),E269,0)+F269,F269)*G269*1000+F269,0),IF((J269&gt;0)*(IF(K269="",-1,K269)&gt;=3)*(IF(K269="",-1,K269)&lt;=4),IF(C269="peso_corporal",IF(ISNUMBER(E269),E269,0)+I269,I269)*J269*1000+I269,0),IF((M269&gt;0)*(IF(N269="",-1,N269)&gt;=3)*(IF(N269="",-1,N269)&lt;=4),IF(C269="peso_corporal",IF(ISNUMBER(E269),E269,0)+L269,L269)*M269*1000+L269,0),IF((P269&gt;0)*(IF(Q269="",-1,Q269)&gt;=3)*(IF(Q269="",-1,Q269)&lt;=4),IF(C269="peso_corporal",IF(ISNUMBER(E269),E269,0)+O269,O269)*P269*1000+O269,0),IF((S269&gt;0)*(IF(T269="",-1,T269)&gt;=3)*(IF(T269="",-1,T269)&lt;=4),IF(C269="peso_corporal",IF(ISNUMBER(E269),E269,0)+R269,R269)*S269*1000+R269,0))</f>
        <v>0</v>
      </c>
      <c r="X269" s="69">
        <f>IF(W269=0,0,IF(IF((S269&gt;0)*(IF(T269="",-1,T269)&gt;=3)*(IF(T269="",-1,T269)&lt;=4),IF(C269="peso_corporal",IF(ISNUMBER(E269),E269,0)+R269,R269)*S269*1000+R269,0)=W269,5,IF(IF((P269&gt;0)*(IF(Q269="",-1,Q269)&gt;=3)*(IF(Q269="",-1,Q269)&lt;=4),IF(C269="peso_corporal",IF(ISNUMBER(E269),E269,0)+O269,O269)*P269*1000+O269,0)=W269,4,IF(IF((M269&gt;0)*(IF(N269="",-1,N269)&gt;=3)*(IF(N269="",-1,N269)&lt;=4),IF(C269="peso_corporal",IF(ISNUMBER(E269),E269,0)+L269,L269)*M269*1000+L269,0)=W269,3,IF(IF((J269&gt;0)*(IF(K269="",-1,K269)&gt;=3)*(IF(K269="",-1,K269)&lt;=4),IF(C269="peso_corporal",IF(ISNUMBER(E269),E269,0)+I269,I269)*J269*1000+I269,0)=W269,2,IF(IF((G269&gt;0)*(IF(H269="",-1,H269)&gt;=3)*(IF(H269="",-1,H269)&lt;=4),IF(C269="peso_corporal",IF(ISNUMBER(E269),E269,0)+F269,F269)*G269*1000+F269,0)=W269,1,0))))))</f>
        <v>0</v>
      </c>
      <c r="Y269" s="69">
        <f>MAX(IF((G269&gt;0)*(IF(H269="",-1,H269)=0)*(1-(IF(H269="",-1,H269)&gt;=3)*(IF(H269="",-1,H269)&lt;=4)),IF(C269="peso_corporal",IF(ISNUMBER(E269),E269,0)+F269,F269)*G269*1000+F269,0),IF((J269&gt;0)*(IF(K269="",-1,K269)=0)*(1-(IF(K269="",-1,K269)&gt;=3)*(IF(K269="",-1,K269)&lt;=4)),IF(C269="peso_corporal",IF(ISNUMBER(E269),E269,0)+I269,I269)*J269*1000+I269,0),IF((M269&gt;0)*(IF(N269="",-1,N269)=0)*(1-(IF(N269="",-1,N269)&gt;=3)*(IF(N269="",-1,N269)&lt;=4)),IF(C269="peso_corporal",IF(ISNUMBER(E269),E269,0)+L269,L269)*M269*1000+L269,0),IF((P269&gt;0)*(IF(Q269="",-1,Q269)=0)*(1-(IF(Q269="",-1,Q269)&gt;=3)*(IF(Q269="",-1,Q269)&lt;=4)),IF(C269="peso_corporal",IF(ISNUMBER(E269),E269,0)+O269,O269)*P269*1000+O269,0),IF((S269&gt;0)*(IF(T269="",-1,T269)=0)*(1-(IF(T269="",-1,T269)&gt;=3)*(IF(T269="",-1,T269)&lt;=4)),IF(C269="peso_corporal",IF(ISNUMBER(E269),E269,0)+R269,R269)*S269*1000+R269,0))</f>
        <v>0</v>
      </c>
      <c r="Z269" s="69">
        <f>IF(Y269=0,0,IF(IF((S269&gt;0)*(IF(T269="",-1,T269)=0)*(1-(IF(T269="",-1,T269)&gt;=3)*(IF(T269="",-1,T269)&lt;=4)),IF(C269="peso_corporal",IF(ISNUMBER(E269),E269,0)+R269,R269)*S269*1000+R269,0)=Y269,5,IF(IF((P269&gt;0)*(IF(Q269="",-1,Q269)=0)*(1-(IF(Q269="",-1,Q269)&gt;=3)*(IF(Q269="",-1,Q269)&lt;=4)),IF(C269="peso_corporal",IF(ISNUMBER(E269),E269,0)+O269,O269)*P269*1000+O269,0)=Y269,4,IF(IF((M269&gt;0)*(IF(N269="",-1,N269)=0)*(1-(IF(N269="",-1,N269)&gt;=3)*(IF(N269="",-1,N269)&lt;=4)),IF(C269="peso_corporal",IF(ISNUMBER(E269),E269,0)+L269,L269)*M269*1000+L269,0)=Y269,3,IF(IF((J269&gt;0)*(IF(K269="",-1,K269)=0)*(1-(IF(K269="",-1,K269)&gt;=3)*(IF(K269="",-1,K269)&lt;=4)),IF(C269="peso_corporal",IF(ISNUMBER(E269),E269,0)+I269,I269)*J269*1000+I269,0)=Y269,2,IF(IF((G269&gt;0)*(IF(H269="",-1,H269)=0)*(1-(IF(H269="",-1,H269)&gt;=3)*(IF(H269="",-1,H269)&lt;=4)),IF(C269="peso_corporal",IF(ISNUMBER(E269),E269,0)+F269,F269)*G269*1000+F269,0)=Y269,1,0))))))</f>
        <v>0</v>
      </c>
      <c r="AA269" s="69">
        <f>MAX(IF((G269&gt;=12)*(1-(IF(H269="",-1,H269)&gt;=3)*(IF(H269="",-1,H269)&lt;=4))*(1-(IF(H269="",-1,H269)=0)),IF(C269="peso_corporal",IF(ISNUMBER(E269),E269,0)+F269,F269)*(30+G269)*100+F269,0),IF((J269&gt;=12)*(1-(IF(K269="",-1,K269)&gt;=3)*(IF(K269="",-1,K269)&lt;=4))*(1-(IF(K269="",-1,K269)=0)),IF(C269="peso_corporal",IF(ISNUMBER(E269),E269,0)+I269,I269)*(30+J269)*100+I269,0),IF((M269&gt;=12)*(1-(IF(N269="",-1,N269)&gt;=3)*(IF(N269="",-1,N269)&lt;=4))*(1-(IF(N269="",-1,N269)=0)),IF(C269="peso_corporal",IF(ISNUMBER(E269),E269,0)+L269,L269)*(30+M269)*100+L269,0),IF((P269&gt;=12)*(1-(IF(Q269="",-1,Q269)&gt;=3)*(IF(Q269="",-1,Q269)&lt;=4))*(1-(IF(Q269="",-1,Q269)=0)),IF(C269="peso_corporal",IF(ISNUMBER(E269),E269,0)+O269,O269)*(30+P269)*100+O269,0),IF((S269&gt;=12)*(1-(IF(T269="",-1,T269)&gt;=3)*(IF(T269="",-1,T269)&lt;=4))*(1-(IF(T269="",-1,T269)=0)),IF(C269="peso_corporal",IF(ISNUMBER(E269),E269,0)+R269,R269)*(30+S269)*100+R269,0))</f>
        <v>0</v>
      </c>
      <c r="AB269" s="69">
        <f>IF(AA269=0,0,IF(IF((S269&gt;=12)*(1-(IF(T269="",-1,T269)&gt;=3)*(IF(T269="",-1,T269)&lt;=4))*(1-(IF(T269="",-1,T269)=0)),IF(C269="peso_corporal",IF(ISNUMBER(E269),E269,0)+R269,R269)*(30+S269)*100+R269,0)=AA269,5,IF(IF((P269&gt;=12)*(1-(IF(Q269="",-1,Q269)&gt;=3)*(IF(Q269="",-1,Q269)&lt;=4))*(1-(IF(Q269="",-1,Q269)=0)),IF(C269="peso_corporal",IF(ISNUMBER(E269),E269,0)+O269,O269)*(30+P269)*100+O269,0)=AA269,4,IF(IF((M269&gt;=12)*(1-(IF(N269="",-1,N269)&gt;=3)*(IF(N269="",-1,N269)&lt;=4))*(1-(IF(N269="",-1,N269)=0)),IF(C269="peso_corporal",IF(ISNUMBER(E269),E269,0)+L269,L269)*(30+M269)*100+L269,0)=AA269,3,IF(IF((J269&gt;=12)*(1-(IF(K269="",-1,K269)&gt;=3)*(IF(K269="",-1,K269)&lt;=4))*(1-(IF(K269="",-1,K269)=0)),IF(C269="peso_corporal",IF(ISNUMBER(E269),E269,0)+I269,I269)*(30+J269)*100+I269,0)=AA269,2,IF(IF((G269&gt;=12)*(1-(IF(H269="",-1,H269)&gt;=3)*(IF(H269="",-1,H269)&lt;=4))*(1-(IF(H269="",-1,H269)=0)),IF(C269="peso_corporal",IF(ISNUMBER(E269),E269,0)+F269,F269)*(30+G269)*100+F269,0)=AA269,1,0))))))</f>
        <v>0</v>
      </c>
      <c r="AC269" s="69" t="str">
        <f>IF(X269&gt;0,"A"&amp;X269,IF(Z269&gt;0,"B"&amp;Z269,IF(AB269&gt;0,"C"&amp;AB269,"")))</f>
        <v/>
      </c>
    </row>
    <row r="270" spans="1:29" ht="20.100000000000001" customHeight="1">
      <c r="A270" s="14" t="s">
        <v>146</v>
      </c>
      <c r="B270" s="15" t="s">
        <v>152</v>
      </c>
      <c r="C270" s="16" t="str">
        <f>IFERROR(INDEX(EJERCICIOS!$D$3:$D$75,MATCH(A270&amp;"|"&amp;B270,EJERCICIOS!$G$3:$G$75,0)),"--")</f>
        <v>--</v>
      </c>
      <c r="D270" s="17">
        <v>3</v>
      </c>
      <c r="E270" s="18">
        <f>IFERROR(LOOKUP(2,1/(MEDIDAS_Y_PESO!$B$3:$B$14&lt;&gt;""),MEDIDAS_Y_PESO!$B$3:$B$14),"--")</f>
        <v>80</v>
      </c>
      <c r="F270" s="19"/>
      <c r="G270" s="20"/>
      <c r="H270" s="21"/>
      <c r="I270" s="19"/>
      <c r="J270" s="20"/>
      <c r="K270" s="21"/>
      <c r="L270" s="19"/>
      <c r="M270" s="20"/>
      <c r="N270" s="21"/>
      <c r="O270" s="19"/>
      <c r="P270" s="20"/>
      <c r="Q270" s="21"/>
      <c r="R270" s="19"/>
      <c r="S270" s="20"/>
      <c r="T270" s="21"/>
      <c r="U270" s="22" t="str">
        <f>IFERROR(IF(IF(X270&gt;0,X270,IF(Z270&gt;0,Z270,IF(AB270&gt;0,AB270,0)))=0,"--",ROUND(CHOOSE(IF(X270&gt;0,X270,IF(Z270&gt;0,Z270,IF(AB270&gt;0,AB270,0))),IF(C270="peso_corporal",IF(ISNUMBER(E270),E270,0)+F270,F270)*(1+G270/30),IF(C270="peso_corporal",IF(ISNUMBER(E270),E270,0)+I270,I270)*(1+J270/30),IF(C270="peso_corporal",IF(ISNUMBER(E270),E270,0)+L270,L270)*(1+M270/30),IF(C270="peso_corporal",IF(ISNUMBER(E270),E270,0)+O270,O270)*(1+P270/30),IF(C270="peso_corporal",IF(ISNUMBER(E270),E270,0)+R270,R270)*(1+S270/30)),1)),"--")</f>
        <v>--</v>
      </c>
      <c r="V270" s="23" t="str">
        <f>IF(SUGERENCIAS!N731="SIN","Sin datos anteriores",IF(SUGERENCIAS!N731="SUBIR_F","^ SUBIR FUERTE | Kg:"&amp;ROUND(SUGERENCIAS!K731,1)&amp;" R:"&amp;ROUND(SUGERENCIAS!L731,0)&amp;" RIR:"&amp;ROUND(SUGERENCIAS!M731,0),IF(SUGERENCIAS!N731="SUBIR_E","^ SUBIR (Est.) | Kg:"&amp;ROUND(SUGERENCIAS!K731,1)&amp;" R:"&amp;ROUND(SUGERENCIAS!L731,0)&amp;" RIR:"&amp;ROUND(SUGERENCIAS!M731,0),IF(SUGERENCIAS!N731="SUBIR","^ SUBIR | Kg:"&amp;ROUND(SUGERENCIAS!K731,1)&amp;" R:"&amp;ROUND(SUGERENCIAS!L731,0)&amp;" RIR:"&amp;ROUND(SUGERENCIAS!M731,0),IF(SUGERENCIAS!N731="BAJAR","v BAJAR | Kg:"&amp;ROUND(SUGERENCIAS!K731,1)&amp;" R:"&amp;ROUND(SUGERENCIAS!L731,0)&amp;" RIR:"&amp;ROUND(SUGERENCIAS!M731,0),"= MANT | Kg:"&amp;ROUND(SUGERENCIAS!K731,1)&amp;" R:"&amp;ROUND(SUGERENCIAS!L731,0)&amp;" RIR:"&amp;ROUND(SUGERENCIAS!M731,0))))))</f>
        <v>Sin datos anteriores</v>
      </c>
      <c r="W270" s="69">
        <f>MAX(IF((G270&gt;0)*(IF(H270="",-1,H270)&gt;=3)*(IF(H270="",-1,H270)&lt;=4),IF(C270="peso_corporal",IF(ISNUMBER(E270),E270,0)+F270,F270)*G270*1000+F270,0),IF((J270&gt;0)*(IF(K270="",-1,K270)&gt;=3)*(IF(K270="",-1,K270)&lt;=4),IF(C270="peso_corporal",IF(ISNUMBER(E270),E270,0)+I270,I270)*J270*1000+I270,0),IF((M270&gt;0)*(IF(N270="",-1,N270)&gt;=3)*(IF(N270="",-1,N270)&lt;=4),IF(C270="peso_corporal",IF(ISNUMBER(E270),E270,0)+L270,L270)*M270*1000+L270,0),IF((P270&gt;0)*(IF(Q270="",-1,Q270)&gt;=3)*(IF(Q270="",-1,Q270)&lt;=4),IF(C270="peso_corporal",IF(ISNUMBER(E270),E270,0)+O270,O270)*P270*1000+O270,0),IF((S270&gt;0)*(IF(T270="",-1,T270)&gt;=3)*(IF(T270="",-1,T270)&lt;=4),IF(C270="peso_corporal",IF(ISNUMBER(E270),E270,0)+R270,R270)*S270*1000+R270,0))</f>
        <v>0</v>
      </c>
      <c r="X270" s="69">
        <f>IF(W270=0,0,IF(IF((S270&gt;0)*(IF(T270="",-1,T270)&gt;=3)*(IF(T270="",-1,T270)&lt;=4),IF(C270="peso_corporal",IF(ISNUMBER(E270),E270,0)+R270,R270)*S270*1000+R270,0)=W270,5,IF(IF((P270&gt;0)*(IF(Q270="",-1,Q270)&gt;=3)*(IF(Q270="",-1,Q270)&lt;=4),IF(C270="peso_corporal",IF(ISNUMBER(E270),E270,0)+O270,O270)*P270*1000+O270,0)=W270,4,IF(IF((M270&gt;0)*(IF(N270="",-1,N270)&gt;=3)*(IF(N270="",-1,N270)&lt;=4),IF(C270="peso_corporal",IF(ISNUMBER(E270),E270,0)+L270,L270)*M270*1000+L270,0)=W270,3,IF(IF((J270&gt;0)*(IF(K270="",-1,K270)&gt;=3)*(IF(K270="",-1,K270)&lt;=4),IF(C270="peso_corporal",IF(ISNUMBER(E270),E270,0)+I270,I270)*J270*1000+I270,0)=W270,2,IF(IF((G270&gt;0)*(IF(H270="",-1,H270)&gt;=3)*(IF(H270="",-1,H270)&lt;=4),IF(C270="peso_corporal",IF(ISNUMBER(E270),E270,0)+F270,F270)*G270*1000+F270,0)=W270,1,0))))))</f>
        <v>0</v>
      </c>
      <c r="Y270" s="69">
        <f>MAX(IF((G270&gt;0)*(IF(H270="",-1,H270)=0)*(1-(IF(H270="",-1,H270)&gt;=3)*(IF(H270="",-1,H270)&lt;=4)),IF(C270="peso_corporal",IF(ISNUMBER(E270),E270,0)+F270,F270)*G270*1000+F270,0),IF((J270&gt;0)*(IF(K270="",-1,K270)=0)*(1-(IF(K270="",-1,K270)&gt;=3)*(IF(K270="",-1,K270)&lt;=4)),IF(C270="peso_corporal",IF(ISNUMBER(E270),E270,0)+I270,I270)*J270*1000+I270,0),IF((M270&gt;0)*(IF(N270="",-1,N270)=0)*(1-(IF(N270="",-1,N270)&gt;=3)*(IF(N270="",-1,N270)&lt;=4)),IF(C270="peso_corporal",IF(ISNUMBER(E270),E270,0)+L270,L270)*M270*1000+L270,0),IF((P270&gt;0)*(IF(Q270="",-1,Q270)=0)*(1-(IF(Q270="",-1,Q270)&gt;=3)*(IF(Q270="",-1,Q270)&lt;=4)),IF(C270="peso_corporal",IF(ISNUMBER(E270),E270,0)+O270,O270)*P270*1000+O270,0),IF((S270&gt;0)*(IF(T270="",-1,T270)=0)*(1-(IF(T270="",-1,T270)&gt;=3)*(IF(T270="",-1,T270)&lt;=4)),IF(C270="peso_corporal",IF(ISNUMBER(E270),E270,0)+R270,R270)*S270*1000+R270,0))</f>
        <v>0</v>
      </c>
      <c r="Z270" s="69">
        <f>IF(Y270=0,0,IF(IF((S270&gt;0)*(IF(T270="",-1,T270)=0)*(1-(IF(T270="",-1,T270)&gt;=3)*(IF(T270="",-1,T270)&lt;=4)),IF(C270="peso_corporal",IF(ISNUMBER(E270),E270,0)+R270,R270)*S270*1000+R270,0)=Y270,5,IF(IF((P270&gt;0)*(IF(Q270="",-1,Q270)=0)*(1-(IF(Q270="",-1,Q270)&gt;=3)*(IF(Q270="",-1,Q270)&lt;=4)),IF(C270="peso_corporal",IF(ISNUMBER(E270),E270,0)+O270,O270)*P270*1000+O270,0)=Y270,4,IF(IF((M270&gt;0)*(IF(N270="",-1,N270)=0)*(1-(IF(N270="",-1,N270)&gt;=3)*(IF(N270="",-1,N270)&lt;=4)),IF(C270="peso_corporal",IF(ISNUMBER(E270),E270,0)+L270,L270)*M270*1000+L270,0)=Y270,3,IF(IF((J270&gt;0)*(IF(K270="",-1,K270)=0)*(1-(IF(K270="",-1,K270)&gt;=3)*(IF(K270="",-1,K270)&lt;=4)),IF(C270="peso_corporal",IF(ISNUMBER(E270),E270,0)+I270,I270)*J270*1000+I270,0)=Y270,2,IF(IF((G270&gt;0)*(IF(H270="",-1,H270)=0)*(1-(IF(H270="",-1,H270)&gt;=3)*(IF(H270="",-1,H270)&lt;=4)),IF(C270="peso_corporal",IF(ISNUMBER(E270),E270,0)+F270,F270)*G270*1000+F270,0)=Y270,1,0))))))</f>
        <v>0</v>
      </c>
      <c r="AA270" s="69">
        <f>MAX(IF((G270&gt;=12)*(1-(IF(H270="",-1,H270)&gt;=3)*(IF(H270="",-1,H270)&lt;=4))*(1-(IF(H270="",-1,H270)=0)),IF(C270="peso_corporal",IF(ISNUMBER(E270),E270,0)+F270,F270)*(30+G270)*100+F270,0),IF((J270&gt;=12)*(1-(IF(K270="",-1,K270)&gt;=3)*(IF(K270="",-1,K270)&lt;=4))*(1-(IF(K270="",-1,K270)=0)),IF(C270="peso_corporal",IF(ISNUMBER(E270),E270,0)+I270,I270)*(30+J270)*100+I270,0),IF((M270&gt;=12)*(1-(IF(N270="",-1,N270)&gt;=3)*(IF(N270="",-1,N270)&lt;=4))*(1-(IF(N270="",-1,N270)=0)),IF(C270="peso_corporal",IF(ISNUMBER(E270),E270,0)+L270,L270)*(30+M270)*100+L270,0),IF((P270&gt;=12)*(1-(IF(Q270="",-1,Q270)&gt;=3)*(IF(Q270="",-1,Q270)&lt;=4))*(1-(IF(Q270="",-1,Q270)=0)),IF(C270="peso_corporal",IF(ISNUMBER(E270),E270,0)+O270,O270)*(30+P270)*100+O270,0),IF((S270&gt;=12)*(1-(IF(T270="",-1,T270)&gt;=3)*(IF(T270="",-1,T270)&lt;=4))*(1-(IF(T270="",-1,T270)=0)),IF(C270="peso_corporal",IF(ISNUMBER(E270),E270,0)+R270,R270)*(30+S270)*100+R270,0))</f>
        <v>0</v>
      </c>
      <c r="AB270" s="69">
        <f>IF(AA270=0,0,IF(IF((S270&gt;=12)*(1-(IF(T270="",-1,T270)&gt;=3)*(IF(T270="",-1,T270)&lt;=4))*(1-(IF(T270="",-1,T270)=0)),IF(C270="peso_corporal",IF(ISNUMBER(E270),E270,0)+R270,R270)*(30+S270)*100+R270,0)=AA270,5,IF(IF((P270&gt;=12)*(1-(IF(Q270="",-1,Q270)&gt;=3)*(IF(Q270="",-1,Q270)&lt;=4))*(1-(IF(Q270="",-1,Q270)=0)),IF(C270="peso_corporal",IF(ISNUMBER(E270),E270,0)+O270,O270)*(30+P270)*100+O270,0)=AA270,4,IF(IF((M270&gt;=12)*(1-(IF(N270="",-1,N270)&gt;=3)*(IF(N270="",-1,N270)&lt;=4))*(1-(IF(N270="",-1,N270)=0)),IF(C270="peso_corporal",IF(ISNUMBER(E270),E270,0)+L270,L270)*(30+M270)*100+L270,0)=AA270,3,IF(IF((J270&gt;=12)*(1-(IF(K270="",-1,K270)&gt;=3)*(IF(K270="",-1,K270)&lt;=4))*(1-(IF(K270="",-1,K270)=0)),IF(C270="peso_corporal",IF(ISNUMBER(E270),E270,0)+I270,I270)*(30+J270)*100+I270,0)=AA270,2,IF(IF((G270&gt;=12)*(1-(IF(H270="",-1,H270)&gt;=3)*(IF(H270="",-1,H270)&lt;=4))*(1-(IF(H270="",-1,H270)=0)),IF(C270="peso_corporal",IF(ISNUMBER(E270),E270,0)+F270,F270)*(30+G270)*100+F270,0)=AA270,1,0))))))</f>
        <v>0</v>
      </c>
      <c r="AC270" s="69" t="str">
        <f>IF(X270&gt;0,"A"&amp;X270,IF(Z270&gt;0,"B"&amp;Z270,IF(AB270&gt;0,"C"&amp;AB270,"")))</f>
        <v/>
      </c>
    </row>
    <row r="271" spans="1:29" ht="20.100000000000001" customHeight="1">
      <c r="A271" s="14" t="s">
        <v>148</v>
      </c>
      <c r="B271" s="15" t="s">
        <v>149</v>
      </c>
      <c r="C271" s="16" t="str">
        <f>IFERROR(INDEX(EJERCICIOS!$D$3:$D$75,MATCH(A271&amp;"|"&amp;B271,EJERCICIOS!$G$3:$G$75,0)),"--")</f>
        <v>--</v>
      </c>
      <c r="D271" s="17">
        <v>3</v>
      </c>
      <c r="E271" s="18">
        <f>IFERROR(LOOKUP(2,1/(MEDIDAS_Y_PESO!$B$3:$B$14&lt;&gt;""),MEDIDAS_Y_PESO!$B$3:$B$14),"--")</f>
        <v>80</v>
      </c>
      <c r="F271" s="19"/>
      <c r="G271" s="20"/>
      <c r="H271" s="21"/>
      <c r="I271" s="19"/>
      <c r="J271" s="20"/>
      <c r="K271" s="21"/>
      <c r="L271" s="19"/>
      <c r="M271" s="20"/>
      <c r="N271" s="21"/>
      <c r="O271" s="19"/>
      <c r="P271" s="20"/>
      <c r="Q271" s="21"/>
      <c r="R271" s="19"/>
      <c r="S271" s="20"/>
      <c r="T271" s="21"/>
      <c r="U271" s="22" t="str">
        <f>IFERROR(IF(IF(X271&gt;0,X271,IF(Z271&gt;0,Z271,IF(AB271&gt;0,AB271,0)))=0,"--",ROUND(CHOOSE(IF(X271&gt;0,X271,IF(Z271&gt;0,Z271,IF(AB271&gt;0,AB271,0))),IF(C271="peso_corporal",IF(ISNUMBER(E271),E271,0)+F271,F271)*(1+G271/30),IF(C271="peso_corporal",IF(ISNUMBER(E271),E271,0)+I271,I271)*(1+J271/30),IF(C271="peso_corporal",IF(ISNUMBER(E271),E271,0)+L271,L271)*(1+M271/30),IF(C271="peso_corporal",IF(ISNUMBER(E271),E271,0)+O271,O271)*(1+P271/30),IF(C271="peso_corporal",IF(ISNUMBER(E271),E271,0)+R271,R271)*(1+S271/30)),1)),"--")</f>
        <v>--</v>
      </c>
      <c r="V271" s="23" t="str">
        <f>IF(SUGERENCIAS!N732="SIN","Sin datos anteriores",IF(SUGERENCIAS!N732="SUBIR_F","^ SUBIR FUERTE | Kg:"&amp;ROUND(SUGERENCIAS!K732,1)&amp;" R:"&amp;ROUND(SUGERENCIAS!L732,0)&amp;" RIR:"&amp;ROUND(SUGERENCIAS!M732,0),IF(SUGERENCIAS!N732="SUBIR_E","^ SUBIR (Est.) | Kg:"&amp;ROUND(SUGERENCIAS!K732,1)&amp;" R:"&amp;ROUND(SUGERENCIAS!L732,0)&amp;" RIR:"&amp;ROUND(SUGERENCIAS!M732,0),IF(SUGERENCIAS!N732="SUBIR","^ SUBIR | Kg:"&amp;ROUND(SUGERENCIAS!K732,1)&amp;" R:"&amp;ROUND(SUGERENCIAS!L732,0)&amp;" RIR:"&amp;ROUND(SUGERENCIAS!M732,0),IF(SUGERENCIAS!N732="BAJAR","v BAJAR | Kg:"&amp;ROUND(SUGERENCIAS!K732,1)&amp;" R:"&amp;ROUND(SUGERENCIAS!L732,0)&amp;" RIR:"&amp;ROUND(SUGERENCIAS!M732,0),"= MANT | Kg:"&amp;ROUND(SUGERENCIAS!K732,1)&amp;" R:"&amp;ROUND(SUGERENCIAS!L732,0)&amp;" RIR:"&amp;ROUND(SUGERENCIAS!M732,0))))))</f>
        <v>Sin datos anteriores</v>
      </c>
      <c r="W271" s="69">
        <f>MAX(IF((G271&gt;0)*(IF(H271="",-1,H271)&gt;=3)*(IF(H271="",-1,H271)&lt;=4),IF(C271="peso_corporal",IF(ISNUMBER(E271),E271,0)+F271,F271)*G271*1000+F271,0),IF((J271&gt;0)*(IF(K271="",-1,K271)&gt;=3)*(IF(K271="",-1,K271)&lt;=4),IF(C271="peso_corporal",IF(ISNUMBER(E271),E271,0)+I271,I271)*J271*1000+I271,0),IF((M271&gt;0)*(IF(N271="",-1,N271)&gt;=3)*(IF(N271="",-1,N271)&lt;=4),IF(C271="peso_corporal",IF(ISNUMBER(E271),E271,0)+L271,L271)*M271*1000+L271,0),IF((P271&gt;0)*(IF(Q271="",-1,Q271)&gt;=3)*(IF(Q271="",-1,Q271)&lt;=4),IF(C271="peso_corporal",IF(ISNUMBER(E271),E271,0)+O271,O271)*P271*1000+O271,0),IF((S271&gt;0)*(IF(T271="",-1,T271)&gt;=3)*(IF(T271="",-1,T271)&lt;=4),IF(C271="peso_corporal",IF(ISNUMBER(E271),E271,0)+R271,R271)*S271*1000+R271,0))</f>
        <v>0</v>
      </c>
      <c r="X271" s="69">
        <f>IF(W271=0,0,IF(IF((S271&gt;0)*(IF(T271="",-1,T271)&gt;=3)*(IF(T271="",-1,T271)&lt;=4),IF(C271="peso_corporal",IF(ISNUMBER(E271),E271,0)+R271,R271)*S271*1000+R271,0)=W271,5,IF(IF((P271&gt;0)*(IF(Q271="",-1,Q271)&gt;=3)*(IF(Q271="",-1,Q271)&lt;=4),IF(C271="peso_corporal",IF(ISNUMBER(E271),E271,0)+O271,O271)*P271*1000+O271,0)=W271,4,IF(IF((M271&gt;0)*(IF(N271="",-1,N271)&gt;=3)*(IF(N271="",-1,N271)&lt;=4),IF(C271="peso_corporal",IF(ISNUMBER(E271),E271,0)+L271,L271)*M271*1000+L271,0)=W271,3,IF(IF((J271&gt;0)*(IF(K271="",-1,K271)&gt;=3)*(IF(K271="",-1,K271)&lt;=4),IF(C271="peso_corporal",IF(ISNUMBER(E271),E271,0)+I271,I271)*J271*1000+I271,0)=W271,2,IF(IF((G271&gt;0)*(IF(H271="",-1,H271)&gt;=3)*(IF(H271="",-1,H271)&lt;=4),IF(C271="peso_corporal",IF(ISNUMBER(E271),E271,0)+F271,F271)*G271*1000+F271,0)=W271,1,0))))))</f>
        <v>0</v>
      </c>
      <c r="Y271" s="69">
        <f>MAX(IF((G271&gt;0)*(IF(H271="",-1,H271)=0)*(1-(IF(H271="",-1,H271)&gt;=3)*(IF(H271="",-1,H271)&lt;=4)),IF(C271="peso_corporal",IF(ISNUMBER(E271),E271,0)+F271,F271)*G271*1000+F271,0),IF((J271&gt;0)*(IF(K271="",-1,K271)=0)*(1-(IF(K271="",-1,K271)&gt;=3)*(IF(K271="",-1,K271)&lt;=4)),IF(C271="peso_corporal",IF(ISNUMBER(E271),E271,0)+I271,I271)*J271*1000+I271,0),IF((M271&gt;0)*(IF(N271="",-1,N271)=0)*(1-(IF(N271="",-1,N271)&gt;=3)*(IF(N271="",-1,N271)&lt;=4)),IF(C271="peso_corporal",IF(ISNUMBER(E271),E271,0)+L271,L271)*M271*1000+L271,0),IF((P271&gt;0)*(IF(Q271="",-1,Q271)=0)*(1-(IF(Q271="",-1,Q271)&gt;=3)*(IF(Q271="",-1,Q271)&lt;=4)),IF(C271="peso_corporal",IF(ISNUMBER(E271),E271,0)+O271,O271)*P271*1000+O271,0),IF((S271&gt;0)*(IF(T271="",-1,T271)=0)*(1-(IF(T271="",-1,T271)&gt;=3)*(IF(T271="",-1,T271)&lt;=4)),IF(C271="peso_corporal",IF(ISNUMBER(E271),E271,0)+R271,R271)*S271*1000+R271,0))</f>
        <v>0</v>
      </c>
      <c r="Z271" s="69">
        <f>IF(Y271=0,0,IF(IF((S271&gt;0)*(IF(T271="",-1,T271)=0)*(1-(IF(T271="",-1,T271)&gt;=3)*(IF(T271="",-1,T271)&lt;=4)),IF(C271="peso_corporal",IF(ISNUMBER(E271),E271,0)+R271,R271)*S271*1000+R271,0)=Y271,5,IF(IF((P271&gt;0)*(IF(Q271="",-1,Q271)=0)*(1-(IF(Q271="",-1,Q271)&gt;=3)*(IF(Q271="",-1,Q271)&lt;=4)),IF(C271="peso_corporal",IF(ISNUMBER(E271),E271,0)+O271,O271)*P271*1000+O271,0)=Y271,4,IF(IF((M271&gt;0)*(IF(N271="",-1,N271)=0)*(1-(IF(N271="",-1,N271)&gt;=3)*(IF(N271="",-1,N271)&lt;=4)),IF(C271="peso_corporal",IF(ISNUMBER(E271),E271,0)+L271,L271)*M271*1000+L271,0)=Y271,3,IF(IF((J271&gt;0)*(IF(K271="",-1,K271)=0)*(1-(IF(K271="",-1,K271)&gt;=3)*(IF(K271="",-1,K271)&lt;=4)),IF(C271="peso_corporal",IF(ISNUMBER(E271),E271,0)+I271,I271)*J271*1000+I271,0)=Y271,2,IF(IF((G271&gt;0)*(IF(H271="",-1,H271)=0)*(1-(IF(H271="",-1,H271)&gt;=3)*(IF(H271="",-1,H271)&lt;=4)),IF(C271="peso_corporal",IF(ISNUMBER(E271),E271,0)+F271,F271)*G271*1000+F271,0)=Y271,1,0))))))</f>
        <v>0</v>
      </c>
      <c r="AA271" s="69">
        <f>MAX(IF((G271&gt;=12)*(1-(IF(H271="",-1,H271)&gt;=3)*(IF(H271="",-1,H271)&lt;=4))*(1-(IF(H271="",-1,H271)=0)),IF(C271="peso_corporal",IF(ISNUMBER(E271),E271,0)+F271,F271)*(30+G271)*100+F271,0),IF((J271&gt;=12)*(1-(IF(K271="",-1,K271)&gt;=3)*(IF(K271="",-1,K271)&lt;=4))*(1-(IF(K271="",-1,K271)=0)),IF(C271="peso_corporal",IF(ISNUMBER(E271),E271,0)+I271,I271)*(30+J271)*100+I271,0),IF((M271&gt;=12)*(1-(IF(N271="",-1,N271)&gt;=3)*(IF(N271="",-1,N271)&lt;=4))*(1-(IF(N271="",-1,N271)=0)),IF(C271="peso_corporal",IF(ISNUMBER(E271),E271,0)+L271,L271)*(30+M271)*100+L271,0),IF((P271&gt;=12)*(1-(IF(Q271="",-1,Q271)&gt;=3)*(IF(Q271="",-1,Q271)&lt;=4))*(1-(IF(Q271="",-1,Q271)=0)),IF(C271="peso_corporal",IF(ISNUMBER(E271),E271,0)+O271,O271)*(30+P271)*100+O271,0),IF((S271&gt;=12)*(1-(IF(T271="",-1,T271)&gt;=3)*(IF(T271="",-1,T271)&lt;=4))*(1-(IF(T271="",-1,T271)=0)),IF(C271="peso_corporal",IF(ISNUMBER(E271),E271,0)+R271,R271)*(30+S271)*100+R271,0))</f>
        <v>0</v>
      </c>
      <c r="AB271" s="69">
        <f>IF(AA271=0,0,IF(IF((S271&gt;=12)*(1-(IF(T271="",-1,T271)&gt;=3)*(IF(T271="",-1,T271)&lt;=4))*(1-(IF(T271="",-1,T271)=0)),IF(C271="peso_corporal",IF(ISNUMBER(E271),E271,0)+R271,R271)*(30+S271)*100+R271,0)=AA271,5,IF(IF((P271&gt;=12)*(1-(IF(Q271="",-1,Q271)&gt;=3)*(IF(Q271="",-1,Q271)&lt;=4))*(1-(IF(Q271="",-1,Q271)=0)),IF(C271="peso_corporal",IF(ISNUMBER(E271),E271,0)+O271,O271)*(30+P271)*100+O271,0)=AA271,4,IF(IF((M271&gt;=12)*(1-(IF(N271="",-1,N271)&gt;=3)*(IF(N271="",-1,N271)&lt;=4))*(1-(IF(N271="",-1,N271)=0)),IF(C271="peso_corporal",IF(ISNUMBER(E271),E271,0)+L271,L271)*(30+M271)*100+L271,0)=AA271,3,IF(IF((J271&gt;=12)*(1-(IF(K271="",-1,K271)&gt;=3)*(IF(K271="",-1,K271)&lt;=4))*(1-(IF(K271="",-1,K271)=0)),IF(C271="peso_corporal",IF(ISNUMBER(E271),E271,0)+I271,I271)*(30+J271)*100+I271,0)=AA271,2,IF(IF((G271&gt;=12)*(1-(IF(H271="",-1,H271)&gt;=3)*(IF(H271="",-1,H271)&lt;=4))*(1-(IF(H271="",-1,H271)=0)),IF(C271="peso_corporal",IF(ISNUMBER(E271),E271,0)+F271,F271)*(30+G271)*100+F271,0)=AA271,1,0))))))</f>
        <v>0</v>
      </c>
      <c r="AC271" s="69" t="str">
        <f>IF(X271&gt;0,"A"&amp;X271,IF(Z271&gt;0,"B"&amp;Z271,IF(AB271&gt;0,"C"&amp;AB271,"")))</f>
        <v/>
      </c>
    </row>
    <row r="272" spans="1:29" ht="20.100000000000001" customHeight="1">
      <c r="A272" s="14" t="s">
        <v>150</v>
      </c>
      <c r="B272" s="15" t="s">
        <v>151</v>
      </c>
      <c r="C272" s="16" t="str">
        <f>IFERROR(INDEX(EJERCICIOS!$D$3:$D$75,MATCH(A272&amp;"|"&amp;B272,EJERCICIOS!$G$3:$G$75,0)),"--")</f>
        <v>peso_corporal</v>
      </c>
      <c r="D272" s="17">
        <v>3</v>
      </c>
      <c r="E272" s="18">
        <f>IFERROR(LOOKUP(2,1/(MEDIDAS_Y_PESO!$B$3:$B$14&lt;&gt;""),MEDIDAS_Y_PESO!$B$3:$B$14),"--")</f>
        <v>80</v>
      </c>
      <c r="F272" s="19"/>
      <c r="G272" s="20"/>
      <c r="H272" s="21"/>
      <c r="I272" s="19"/>
      <c r="J272" s="20"/>
      <c r="K272" s="21"/>
      <c r="L272" s="19"/>
      <c r="M272" s="20"/>
      <c r="N272" s="21"/>
      <c r="O272" s="19"/>
      <c r="P272" s="20"/>
      <c r="Q272" s="21"/>
      <c r="R272" s="19"/>
      <c r="S272" s="20"/>
      <c r="T272" s="21"/>
      <c r="U272" s="22" t="str">
        <f>IFERROR(IF(IF(X272&gt;0,X272,IF(Z272&gt;0,Z272,IF(AB272&gt;0,AB272,0)))=0,"--",ROUND(CHOOSE(IF(X272&gt;0,X272,IF(Z272&gt;0,Z272,IF(AB272&gt;0,AB272,0))),IF(C272="peso_corporal",IF(ISNUMBER(E272),E272,0)+F272,F272)*(1+G272/30),IF(C272="peso_corporal",IF(ISNUMBER(E272),E272,0)+I272,I272)*(1+J272/30),IF(C272="peso_corporal",IF(ISNUMBER(E272),E272,0)+L272,L272)*(1+M272/30),IF(C272="peso_corporal",IF(ISNUMBER(E272),E272,0)+O272,O272)*(1+P272/30),IF(C272="peso_corporal",IF(ISNUMBER(E272),E272,0)+R272,R272)*(1+S272/30)),1)),"--")</f>
        <v>--</v>
      </c>
      <c r="V272" s="23" t="str">
        <f>IF(SUGERENCIAS!N733="SIN","Sin datos anteriores",IF(SUGERENCIAS!N733="SUBIR_F","^ SUBIR FUERTE | Kg:"&amp;ROUND(SUGERENCIAS!K733,1)&amp;" R:"&amp;ROUND(SUGERENCIAS!L733,0)&amp;" RIR:"&amp;ROUND(SUGERENCIAS!M733,0),IF(SUGERENCIAS!N733="SUBIR_E","^ SUBIR (Est.) | Kg:"&amp;ROUND(SUGERENCIAS!K733,1)&amp;" R:"&amp;ROUND(SUGERENCIAS!L733,0)&amp;" RIR:"&amp;ROUND(SUGERENCIAS!M733,0),IF(SUGERENCIAS!N733="SUBIR","^ SUBIR | Kg:"&amp;ROUND(SUGERENCIAS!K733,1)&amp;" R:"&amp;ROUND(SUGERENCIAS!L733,0)&amp;" RIR:"&amp;ROUND(SUGERENCIAS!M733,0),IF(SUGERENCIAS!N733="BAJAR","v BAJAR | Kg:"&amp;ROUND(SUGERENCIAS!K733,1)&amp;" R:"&amp;ROUND(SUGERENCIAS!L733,0)&amp;" RIR:"&amp;ROUND(SUGERENCIAS!M733,0),"= MANT | Kg:"&amp;ROUND(SUGERENCIAS!K733,1)&amp;" R:"&amp;ROUND(SUGERENCIAS!L733,0)&amp;" RIR:"&amp;ROUND(SUGERENCIAS!M733,0))))))</f>
        <v>Sin datos anteriores</v>
      </c>
      <c r="W272" s="69">
        <f>MAX(IF((G272&gt;0)*(IF(H272="",-1,H272)&gt;=3)*(IF(H272="",-1,H272)&lt;=4),IF(C272="peso_corporal",IF(ISNUMBER(E272),E272,0)+F272,F272)*G272*1000+F272,0),IF((J272&gt;0)*(IF(K272="",-1,K272)&gt;=3)*(IF(K272="",-1,K272)&lt;=4),IF(C272="peso_corporal",IF(ISNUMBER(E272),E272,0)+I272,I272)*J272*1000+I272,0),IF((M272&gt;0)*(IF(N272="",-1,N272)&gt;=3)*(IF(N272="",-1,N272)&lt;=4),IF(C272="peso_corporal",IF(ISNUMBER(E272),E272,0)+L272,L272)*M272*1000+L272,0),IF((P272&gt;0)*(IF(Q272="",-1,Q272)&gt;=3)*(IF(Q272="",-1,Q272)&lt;=4),IF(C272="peso_corporal",IF(ISNUMBER(E272),E272,0)+O272,O272)*P272*1000+O272,0),IF((S272&gt;0)*(IF(T272="",-1,T272)&gt;=3)*(IF(T272="",-1,T272)&lt;=4),IF(C272="peso_corporal",IF(ISNUMBER(E272),E272,0)+R272,R272)*S272*1000+R272,0))</f>
        <v>0</v>
      </c>
      <c r="X272" s="69">
        <f>IF(W272=0,0,IF(IF((S272&gt;0)*(IF(T272="",-1,T272)&gt;=3)*(IF(T272="",-1,T272)&lt;=4),IF(C272="peso_corporal",IF(ISNUMBER(E272),E272,0)+R272,R272)*S272*1000+R272,0)=W272,5,IF(IF((P272&gt;0)*(IF(Q272="",-1,Q272)&gt;=3)*(IF(Q272="",-1,Q272)&lt;=4),IF(C272="peso_corporal",IF(ISNUMBER(E272),E272,0)+O272,O272)*P272*1000+O272,0)=W272,4,IF(IF((M272&gt;0)*(IF(N272="",-1,N272)&gt;=3)*(IF(N272="",-1,N272)&lt;=4),IF(C272="peso_corporal",IF(ISNUMBER(E272),E272,0)+L272,L272)*M272*1000+L272,0)=W272,3,IF(IF((J272&gt;0)*(IF(K272="",-1,K272)&gt;=3)*(IF(K272="",-1,K272)&lt;=4),IF(C272="peso_corporal",IF(ISNUMBER(E272),E272,0)+I272,I272)*J272*1000+I272,0)=W272,2,IF(IF((G272&gt;0)*(IF(H272="",-1,H272)&gt;=3)*(IF(H272="",-1,H272)&lt;=4),IF(C272="peso_corporal",IF(ISNUMBER(E272),E272,0)+F272,F272)*G272*1000+F272,0)=W272,1,0))))))</f>
        <v>0</v>
      </c>
      <c r="Y272" s="69">
        <f>MAX(IF((G272&gt;0)*(IF(H272="",-1,H272)=0)*(1-(IF(H272="",-1,H272)&gt;=3)*(IF(H272="",-1,H272)&lt;=4)),IF(C272="peso_corporal",IF(ISNUMBER(E272),E272,0)+F272,F272)*G272*1000+F272,0),IF((J272&gt;0)*(IF(K272="",-1,K272)=0)*(1-(IF(K272="",-1,K272)&gt;=3)*(IF(K272="",-1,K272)&lt;=4)),IF(C272="peso_corporal",IF(ISNUMBER(E272),E272,0)+I272,I272)*J272*1000+I272,0),IF((M272&gt;0)*(IF(N272="",-1,N272)=0)*(1-(IF(N272="",-1,N272)&gt;=3)*(IF(N272="",-1,N272)&lt;=4)),IF(C272="peso_corporal",IF(ISNUMBER(E272),E272,0)+L272,L272)*M272*1000+L272,0),IF((P272&gt;0)*(IF(Q272="",-1,Q272)=0)*(1-(IF(Q272="",-1,Q272)&gt;=3)*(IF(Q272="",-1,Q272)&lt;=4)),IF(C272="peso_corporal",IF(ISNUMBER(E272),E272,0)+O272,O272)*P272*1000+O272,0),IF((S272&gt;0)*(IF(T272="",-1,T272)=0)*(1-(IF(T272="",-1,T272)&gt;=3)*(IF(T272="",-1,T272)&lt;=4)),IF(C272="peso_corporal",IF(ISNUMBER(E272),E272,0)+R272,R272)*S272*1000+R272,0))</f>
        <v>0</v>
      </c>
      <c r="Z272" s="69">
        <f>IF(Y272=0,0,IF(IF((S272&gt;0)*(IF(T272="",-1,T272)=0)*(1-(IF(T272="",-1,T272)&gt;=3)*(IF(T272="",-1,T272)&lt;=4)),IF(C272="peso_corporal",IF(ISNUMBER(E272),E272,0)+R272,R272)*S272*1000+R272,0)=Y272,5,IF(IF((P272&gt;0)*(IF(Q272="",-1,Q272)=0)*(1-(IF(Q272="",-1,Q272)&gt;=3)*(IF(Q272="",-1,Q272)&lt;=4)),IF(C272="peso_corporal",IF(ISNUMBER(E272),E272,0)+O272,O272)*P272*1000+O272,0)=Y272,4,IF(IF((M272&gt;0)*(IF(N272="",-1,N272)=0)*(1-(IF(N272="",-1,N272)&gt;=3)*(IF(N272="",-1,N272)&lt;=4)),IF(C272="peso_corporal",IF(ISNUMBER(E272),E272,0)+L272,L272)*M272*1000+L272,0)=Y272,3,IF(IF((J272&gt;0)*(IF(K272="",-1,K272)=0)*(1-(IF(K272="",-1,K272)&gt;=3)*(IF(K272="",-1,K272)&lt;=4)),IF(C272="peso_corporal",IF(ISNUMBER(E272),E272,0)+I272,I272)*J272*1000+I272,0)=Y272,2,IF(IF((G272&gt;0)*(IF(H272="",-1,H272)=0)*(1-(IF(H272="",-1,H272)&gt;=3)*(IF(H272="",-1,H272)&lt;=4)),IF(C272="peso_corporal",IF(ISNUMBER(E272),E272,0)+F272,F272)*G272*1000+F272,0)=Y272,1,0))))))</f>
        <v>0</v>
      </c>
      <c r="AA272" s="69">
        <f>MAX(IF((G272&gt;=12)*(1-(IF(H272="",-1,H272)&gt;=3)*(IF(H272="",-1,H272)&lt;=4))*(1-(IF(H272="",-1,H272)=0)),IF(C272="peso_corporal",IF(ISNUMBER(E272),E272,0)+F272,F272)*(30+G272)*100+F272,0),IF((J272&gt;=12)*(1-(IF(K272="",-1,K272)&gt;=3)*(IF(K272="",-1,K272)&lt;=4))*(1-(IF(K272="",-1,K272)=0)),IF(C272="peso_corporal",IF(ISNUMBER(E272),E272,0)+I272,I272)*(30+J272)*100+I272,0),IF((M272&gt;=12)*(1-(IF(N272="",-1,N272)&gt;=3)*(IF(N272="",-1,N272)&lt;=4))*(1-(IF(N272="",-1,N272)=0)),IF(C272="peso_corporal",IF(ISNUMBER(E272),E272,0)+L272,L272)*(30+M272)*100+L272,0),IF((P272&gt;=12)*(1-(IF(Q272="",-1,Q272)&gt;=3)*(IF(Q272="",-1,Q272)&lt;=4))*(1-(IF(Q272="",-1,Q272)=0)),IF(C272="peso_corporal",IF(ISNUMBER(E272),E272,0)+O272,O272)*(30+P272)*100+O272,0),IF((S272&gt;=12)*(1-(IF(T272="",-1,T272)&gt;=3)*(IF(T272="",-1,T272)&lt;=4))*(1-(IF(T272="",-1,T272)=0)),IF(C272="peso_corporal",IF(ISNUMBER(E272),E272,0)+R272,R272)*(30+S272)*100+R272,0))</f>
        <v>0</v>
      </c>
      <c r="AB272" s="69">
        <f>IF(AA272=0,0,IF(IF((S272&gt;=12)*(1-(IF(T272="",-1,T272)&gt;=3)*(IF(T272="",-1,T272)&lt;=4))*(1-(IF(T272="",-1,T272)=0)),IF(C272="peso_corporal",IF(ISNUMBER(E272),E272,0)+R272,R272)*(30+S272)*100+R272,0)=AA272,5,IF(IF((P272&gt;=12)*(1-(IF(Q272="",-1,Q272)&gt;=3)*(IF(Q272="",-1,Q272)&lt;=4))*(1-(IF(Q272="",-1,Q272)=0)),IF(C272="peso_corporal",IF(ISNUMBER(E272),E272,0)+O272,O272)*(30+P272)*100+O272,0)=AA272,4,IF(IF((M272&gt;=12)*(1-(IF(N272="",-1,N272)&gt;=3)*(IF(N272="",-1,N272)&lt;=4))*(1-(IF(N272="",-1,N272)=0)),IF(C272="peso_corporal",IF(ISNUMBER(E272),E272,0)+L272,L272)*(30+M272)*100+L272,0)=AA272,3,IF(IF((J272&gt;=12)*(1-(IF(K272="",-1,K272)&gt;=3)*(IF(K272="",-1,K272)&lt;=4))*(1-(IF(K272="",-1,K272)=0)),IF(C272="peso_corporal",IF(ISNUMBER(E272),E272,0)+I272,I272)*(30+J272)*100+I272,0)=AA272,2,IF(IF((G272&gt;=12)*(1-(IF(H272="",-1,H272)&gt;=3)*(IF(H272="",-1,H272)&lt;=4))*(1-(IF(H272="",-1,H272)=0)),IF(C272="peso_corporal",IF(ISNUMBER(E272),E272,0)+F272,F272)*(30+G272)*100+F272,0)=AA272,1,0))))))</f>
        <v>0</v>
      </c>
      <c r="AC272" s="69" t="str">
        <f>IF(X272&gt;0,"A"&amp;X272,IF(Z272&gt;0,"B"&amp;Z272,IF(AB272&gt;0,"C"&amp;AB272,"")))</f>
        <v/>
      </c>
    </row>
    <row r="273" spans="1:22" ht="6" customHeight="1">
      <c r="A273" s="13"/>
      <c r="B273" s="13"/>
      <c r="C273" s="13"/>
      <c r="D273" s="13"/>
      <c r="E273" s="13"/>
      <c r="F273" s="13"/>
      <c r="G273" s="13"/>
      <c r="H273" s="13"/>
      <c r="I273" s="13"/>
      <c r="J273" s="13"/>
      <c r="K273" s="13"/>
      <c r="L273" s="13"/>
      <c r="M273" s="13"/>
      <c r="N273" s="13"/>
      <c r="O273" s="13"/>
      <c r="P273" s="13"/>
      <c r="Q273" s="13"/>
      <c r="R273" s="13"/>
      <c r="S273" s="13"/>
      <c r="T273" s="13"/>
      <c r="U273" s="13"/>
      <c r="V273" s="13"/>
    </row>
  </sheetData>
  <mergeCells count="80">
    <mergeCell ref="R2:T2"/>
    <mergeCell ref="A11:V11"/>
    <mergeCell ref="A1:V1"/>
    <mergeCell ref="A103:V103"/>
    <mergeCell ref="A45:V45"/>
    <mergeCell ref="L2:N2"/>
    <mergeCell ref="A37:V37"/>
    <mergeCell ref="A89:V89"/>
    <mergeCell ref="A26:V26"/>
    <mergeCell ref="A23:V23"/>
    <mergeCell ref="A77:V77"/>
    <mergeCell ref="O2:Q2"/>
    <mergeCell ref="A55:V55"/>
    <mergeCell ref="A10:V10"/>
    <mergeCell ref="A33:V33"/>
    <mergeCell ref="A246:V246"/>
    <mergeCell ref="A202:V202"/>
    <mergeCell ref="A186:V186"/>
    <mergeCell ref="A230:V230"/>
    <mergeCell ref="A218:V218"/>
    <mergeCell ref="A208:V208"/>
    <mergeCell ref="A196:V196"/>
    <mergeCell ref="A209:V209"/>
    <mergeCell ref="A268:V268"/>
    <mergeCell ref="A164:V164"/>
    <mergeCell ref="A76:V76"/>
    <mergeCell ref="A59:V59"/>
    <mergeCell ref="A64:V64"/>
    <mergeCell ref="A98:V98"/>
    <mergeCell ref="A191:V191"/>
    <mergeCell ref="A169:V169"/>
    <mergeCell ref="A70:V70"/>
    <mergeCell ref="A265:V265"/>
    <mergeCell ref="A152:V152"/>
    <mergeCell ref="A147:V147"/>
    <mergeCell ref="A121:V121"/>
    <mergeCell ref="A253:V253"/>
    <mergeCell ref="A231:V231"/>
    <mergeCell ref="A180:V180"/>
    <mergeCell ref="A114:V114"/>
    <mergeCell ref="A111:V111"/>
    <mergeCell ref="A262:V262"/>
    <mergeCell ref="A125:V125"/>
    <mergeCell ref="A199:V199"/>
    <mergeCell ref="A224:V224"/>
    <mergeCell ref="A257:V257"/>
    <mergeCell ref="A187:V187"/>
    <mergeCell ref="A243:V243"/>
    <mergeCell ref="A252:V252"/>
    <mergeCell ref="A221:V221"/>
    <mergeCell ref="A213:V213"/>
    <mergeCell ref="A120:V120"/>
    <mergeCell ref="A177:V177"/>
    <mergeCell ref="A240:V240"/>
    <mergeCell ref="A235:V235"/>
    <mergeCell ref="A165:V165"/>
    <mergeCell ref="A155:V155"/>
    <mergeCell ref="A130:V130"/>
    <mergeCell ref="A174:V174"/>
    <mergeCell ref="A133:V133"/>
    <mergeCell ref="A143:V143"/>
    <mergeCell ref="A142:V142"/>
    <mergeCell ref="A136:V136"/>
    <mergeCell ref="A158:V158"/>
    <mergeCell ref="I2:K2"/>
    <mergeCell ref="A108:V108"/>
    <mergeCell ref="A86:V86"/>
    <mergeCell ref="A42:V42"/>
    <mergeCell ref="A20:V20"/>
    <mergeCell ref="A4:V4"/>
    <mergeCell ref="A81:V81"/>
    <mergeCell ref="F2:H2"/>
    <mergeCell ref="A92:V92"/>
    <mergeCell ref="A48:V48"/>
    <mergeCell ref="A67:V67"/>
    <mergeCell ref="A15:V15"/>
    <mergeCell ref="A99:V99"/>
    <mergeCell ref="A5:V5"/>
    <mergeCell ref="A32:V32"/>
    <mergeCell ref="A54:V54"/>
  </mergeCells>
  <conditionalFormatting sqref="I12:K12">
    <cfRule type="expression" dxfId="3518" priority="4">
      <formula>$D$12&lt;2</formula>
    </cfRule>
  </conditionalFormatting>
  <conditionalFormatting sqref="I13:K13">
    <cfRule type="expression" dxfId="3517" priority="19">
      <formula>$D$13&lt;2</formula>
    </cfRule>
  </conditionalFormatting>
  <conditionalFormatting sqref="I14:K14">
    <cfRule type="expression" dxfId="3516" priority="34">
      <formula>$D$14&lt;2</formula>
    </cfRule>
  </conditionalFormatting>
  <conditionalFormatting sqref="I16:K16">
    <cfRule type="expression" dxfId="3515" priority="49">
      <formula>$D$16&lt;2</formula>
    </cfRule>
  </conditionalFormatting>
  <conditionalFormatting sqref="I17:K17">
    <cfRule type="expression" dxfId="3514" priority="64">
      <formula>$D$17&lt;2</formula>
    </cfRule>
  </conditionalFormatting>
  <conditionalFormatting sqref="I18:K18">
    <cfRule type="expression" dxfId="3513" priority="79">
      <formula>$D$18&lt;2</formula>
    </cfRule>
  </conditionalFormatting>
  <conditionalFormatting sqref="I19:K19">
    <cfRule type="expression" dxfId="3512" priority="94">
      <formula>$D$19&lt;2</formula>
    </cfRule>
  </conditionalFormatting>
  <conditionalFormatting sqref="I21:K21">
    <cfRule type="expression" dxfId="3511" priority="109">
      <formula>$D$21&lt;2</formula>
    </cfRule>
  </conditionalFormatting>
  <conditionalFormatting sqref="I22:K22">
    <cfRule type="expression" dxfId="3510" priority="124">
      <formula>$D$22&lt;2</formula>
    </cfRule>
  </conditionalFormatting>
  <conditionalFormatting sqref="I24:K24">
    <cfRule type="expression" dxfId="3509" priority="139">
      <formula>$D$24&lt;2</formula>
    </cfRule>
  </conditionalFormatting>
  <conditionalFormatting sqref="I25:K25">
    <cfRule type="expression" dxfId="3508" priority="154">
      <formula>$D$25&lt;2</formula>
    </cfRule>
  </conditionalFormatting>
  <conditionalFormatting sqref="I27:K27">
    <cfRule type="expression" dxfId="3507" priority="169">
      <formula>$D$27&lt;2</formula>
    </cfRule>
  </conditionalFormatting>
  <conditionalFormatting sqref="I28:K28">
    <cfRule type="expression" dxfId="3506" priority="184">
      <formula>$D$28&lt;2</formula>
    </cfRule>
  </conditionalFormatting>
  <conditionalFormatting sqref="I29:K29">
    <cfRule type="expression" dxfId="3505" priority="199">
      <formula>$D$29&lt;2</formula>
    </cfRule>
  </conditionalFormatting>
  <conditionalFormatting sqref="I30:K30">
    <cfRule type="expression" dxfId="3504" priority="214">
      <formula>$D$30&lt;2</formula>
    </cfRule>
  </conditionalFormatting>
  <conditionalFormatting sqref="I34:K34">
    <cfRule type="expression" dxfId="3503" priority="229">
      <formula>$D$34&lt;2</formula>
    </cfRule>
  </conditionalFormatting>
  <conditionalFormatting sqref="I35:K35">
    <cfRule type="expression" dxfId="3502" priority="244">
      <formula>$D$35&lt;2</formula>
    </cfRule>
  </conditionalFormatting>
  <conditionalFormatting sqref="I36:K36">
    <cfRule type="expression" dxfId="3501" priority="259">
      <formula>$D$36&lt;2</formula>
    </cfRule>
  </conditionalFormatting>
  <conditionalFormatting sqref="I38:K38">
    <cfRule type="expression" dxfId="3500" priority="274">
      <formula>$D$38&lt;2</formula>
    </cfRule>
  </conditionalFormatting>
  <conditionalFormatting sqref="I39:K39">
    <cfRule type="expression" dxfId="3499" priority="289">
      <formula>$D$39&lt;2</formula>
    </cfRule>
  </conditionalFormatting>
  <conditionalFormatting sqref="I40:K40">
    <cfRule type="expression" dxfId="3498" priority="304">
      <formula>$D$40&lt;2</formula>
    </cfRule>
  </conditionalFormatting>
  <conditionalFormatting sqref="I41:K41">
    <cfRule type="expression" dxfId="3497" priority="319">
      <formula>$D$41&lt;2</formula>
    </cfRule>
  </conditionalFormatting>
  <conditionalFormatting sqref="I43:K43">
    <cfRule type="expression" dxfId="3496" priority="334">
      <formula>$D$43&lt;2</formula>
    </cfRule>
  </conditionalFormatting>
  <conditionalFormatting sqref="I44:K44">
    <cfRule type="expression" dxfId="3495" priority="349">
      <formula>$D$44&lt;2</formula>
    </cfRule>
  </conditionalFormatting>
  <conditionalFormatting sqref="I46:K46">
    <cfRule type="expression" dxfId="3494" priority="364">
      <formula>$D$46&lt;2</formula>
    </cfRule>
  </conditionalFormatting>
  <conditionalFormatting sqref="I47:K47">
    <cfRule type="expression" dxfId="3493" priority="379">
      <formula>$D$47&lt;2</formula>
    </cfRule>
  </conditionalFormatting>
  <conditionalFormatting sqref="I49:K49">
    <cfRule type="expression" dxfId="3492" priority="394">
      <formula>$D$49&lt;2</formula>
    </cfRule>
  </conditionalFormatting>
  <conditionalFormatting sqref="I50:K50">
    <cfRule type="expression" dxfId="3491" priority="409">
      <formula>$D$50&lt;2</formula>
    </cfRule>
  </conditionalFormatting>
  <conditionalFormatting sqref="I51:K51">
    <cfRule type="expression" dxfId="3490" priority="424">
      <formula>$D$51&lt;2</formula>
    </cfRule>
  </conditionalFormatting>
  <conditionalFormatting sqref="I52:K52">
    <cfRule type="expression" dxfId="3489" priority="439">
      <formula>$D$52&lt;2</formula>
    </cfRule>
  </conditionalFormatting>
  <conditionalFormatting sqref="I56:K56">
    <cfRule type="expression" dxfId="3488" priority="454">
      <formula>$D$56&lt;2</formula>
    </cfRule>
  </conditionalFormatting>
  <conditionalFormatting sqref="I57:K57">
    <cfRule type="expression" dxfId="3487" priority="469">
      <formula>$D$57&lt;2</formula>
    </cfRule>
  </conditionalFormatting>
  <conditionalFormatting sqref="I58:K58">
    <cfRule type="expression" dxfId="3486" priority="484">
      <formula>$D$58&lt;2</formula>
    </cfRule>
  </conditionalFormatting>
  <conditionalFormatting sqref="I60:K60">
    <cfRule type="expression" dxfId="3485" priority="499">
      <formula>$D$60&lt;2</formula>
    </cfRule>
  </conditionalFormatting>
  <conditionalFormatting sqref="I61:K61">
    <cfRule type="expression" dxfId="3484" priority="514">
      <formula>$D$61&lt;2</formula>
    </cfRule>
  </conditionalFormatting>
  <conditionalFormatting sqref="I62:K62">
    <cfRule type="expression" dxfId="3483" priority="529">
      <formula>$D$62&lt;2</formula>
    </cfRule>
  </conditionalFormatting>
  <conditionalFormatting sqref="I63:K63">
    <cfRule type="expression" dxfId="3482" priority="544">
      <formula>$D$63&lt;2</formula>
    </cfRule>
  </conditionalFormatting>
  <conditionalFormatting sqref="I65:K65">
    <cfRule type="expression" dxfId="3481" priority="559">
      <formula>$D$65&lt;2</formula>
    </cfRule>
  </conditionalFormatting>
  <conditionalFormatting sqref="I66:K66">
    <cfRule type="expression" dxfId="3480" priority="574">
      <formula>$D$66&lt;2</formula>
    </cfRule>
  </conditionalFormatting>
  <conditionalFormatting sqref="I68:K68">
    <cfRule type="expression" dxfId="3479" priority="589">
      <formula>$D$68&lt;2</formula>
    </cfRule>
  </conditionalFormatting>
  <conditionalFormatting sqref="I69:K69">
    <cfRule type="expression" dxfId="3478" priority="604">
      <formula>$D$69&lt;2</formula>
    </cfRule>
  </conditionalFormatting>
  <conditionalFormatting sqref="I71:K71">
    <cfRule type="expression" dxfId="3477" priority="619">
      <formula>$D$71&lt;2</formula>
    </cfRule>
  </conditionalFormatting>
  <conditionalFormatting sqref="I72:K72">
    <cfRule type="expression" dxfId="3476" priority="634">
      <formula>$D$72&lt;2</formula>
    </cfRule>
  </conditionalFormatting>
  <conditionalFormatting sqref="I73:K73">
    <cfRule type="expression" dxfId="3475" priority="649">
      <formula>$D$73&lt;2</formula>
    </cfRule>
  </conditionalFormatting>
  <conditionalFormatting sqref="I74:K74">
    <cfRule type="expression" dxfId="3474" priority="664">
      <formula>$D$74&lt;2</formula>
    </cfRule>
  </conditionalFormatting>
  <conditionalFormatting sqref="I78:K78">
    <cfRule type="expression" dxfId="3473" priority="679">
      <formula>$D$78&lt;2</formula>
    </cfRule>
  </conditionalFormatting>
  <conditionalFormatting sqref="I79:K79">
    <cfRule type="expression" dxfId="3472" priority="694">
      <formula>$D$79&lt;2</formula>
    </cfRule>
  </conditionalFormatting>
  <conditionalFormatting sqref="I80:K80">
    <cfRule type="expression" dxfId="3471" priority="709">
      <formula>$D$80&lt;2</formula>
    </cfRule>
  </conditionalFormatting>
  <conditionalFormatting sqref="I82:K82">
    <cfRule type="expression" dxfId="3470" priority="724">
      <formula>$D$82&lt;2</formula>
    </cfRule>
  </conditionalFormatting>
  <conditionalFormatting sqref="I83:K83">
    <cfRule type="expression" dxfId="3469" priority="739">
      <formula>$D$83&lt;2</formula>
    </cfRule>
  </conditionalFormatting>
  <conditionalFormatting sqref="I84:K84">
    <cfRule type="expression" dxfId="3468" priority="754">
      <formula>$D$84&lt;2</formula>
    </cfRule>
  </conditionalFormatting>
  <conditionalFormatting sqref="I85:K85">
    <cfRule type="expression" dxfId="3467" priority="769">
      <formula>$D$85&lt;2</formula>
    </cfRule>
  </conditionalFormatting>
  <conditionalFormatting sqref="I87:K87">
    <cfRule type="expression" dxfId="3466" priority="784">
      <formula>$D$87&lt;2</formula>
    </cfRule>
  </conditionalFormatting>
  <conditionalFormatting sqref="I88:K88">
    <cfRule type="expression" dxfId="3465" priority="799">
      <formula>$D$88&lt;2</formula>
    </cfRule>
  </conditionalFormatting>
  <conditionalFormatting sqref="I90:K90">
    <cfRule type="expression" dxfId="3464" priority="814">
      <formula>$D$90&lt;2</formula>
    </cfRule>
  </conditionalFormatting>
  <conditionalFormatting sqref="I91:K91">
    <cfRule type="expression" dxfId="3463" priority="829">
      <formula>$D$91&lt;2</formula>
    </cfRule>
  </conditionalFormatting>
  <conditionalFormatting sqref="I93:K93">
    <cfRule type="expression" dxfId="3462" priority="844">
      <formula>$D$93&lt;2</formula>
    </cfRule>
  </conditionalFormatting>
  <conditionalFormatting sqref="I94:K94">
    <cfRule type="expression" dxfId="3461" priority="859">
      <formula>$D$94&lt;2</formula>
    </cfRule>
  </conditionalFormatting>
  <conditionalFormatting sqref="I95:K95">
    <cfRule type="expression" dxfId="3460" priority="874">
      <formula>$D$95&lt;2</formula>
    </cfRule>
  </conditionalFormatting>
  <conditionalFormatting sqref="I96:K96">
    <cfRule type="expression" dxfId="3459" priority="889">
      <formula>$D$96&lt;2</formula>
    </cfRule>
  </conditionalFormatting>
  <conditionalFormatting sqref="I100:K100">
    <cfRule type="expression" dxfId="3458" priority="904">
      <formula>$D$100&lt;2</formula>
    </cfRule>
  </conditionalFormatting>
  <conditionalFormatting sqref="I101:K101">
    <cfRule type="expression" dxfId="3457" priority="919">
      <formula>$D$101&lt;2</formula>
    </cfRule>
  </conditionalFormatting>
  <conditionalFormatting sqref="I102:K102">
    <cfRule type="expression" dxfId="3456" priority="934">
      <formula>$D$102&lt;2</formula>
    </cfRule>
  </conditionalFormatting>
  <conditionalFormatting sqref="I104:K104">
    <cfRule type="expression" dxfId="3455" priority="949">
      <formula>$D$104&lt;2</formula>
    </cfRule>
  </conditionalFormatting>
  <conditionalFormatting sqref="I105:K105">
    <cfRule type="expression" dxfId="3454" priority="964">
      <formula>$D$105&lt;2</formula>
    </cfRule>
  </conditionalFormatting>
  <conditionalFormatting sqref="I106:K106">
    <cfRule type="expression" dxfId="3453" priority="979">
      <formula>$D$106&lt;2</formula>
    </cfRule>
  </conditionalFormatting>
  <conditionalFormatting sqref="I107:K107">
    <cfRule type="expression" dxfId="3452" priority="994">
      <formula>$D$107&lt;2</formula>
    </cfRule>
  </conditionalFormatting>
  <conditionalFormatting sqref="I109:K109">
    <cfRule type="expression" dxfId="3451" priority="1009">
      <formula>$D$109&lt;2</formula>
    </cfRule>
  </conditionalFormatting>
  <conditionalFormatting sqref="I110:K110">
    <cfRule type="expression" dxfId="3450" priority="1024">
      <formula>$D$110&lt;2</formula>
    </cfRule>
  </conditionalFormatting>
  <conditionalFormatting sqref="I112:K112">
    <cfRule type="expression" dxfId="3449" priority="1039">
      <formula>$D$112&lt;2</formula>
    </cfRule>
  </conditionalFormatting>
  <conditionalFormatting sqref="I113:K113">
    <cfRule type="expression" dxfId="3448" priority="1054">
      <formula>$D$113&lt;2</formula>
    </cfRule>
  </conditionalFormatting>
  <conditionalFormatting sqref="I115:K115">
    <cfRule type="expression" dxfId="3447" priority="1069">
      <formula>$D$115&lt;2</formula>
    </cfRule>
  </conditionalFormatting>
  <conditionalFormatting sqref="I116:K116">
    <cfRule type="expression" dxfId="3446" priority="1084">
      <formula>$D$116&lt;2</formula>
    </cfRule>
  </conditionalFormatting>
  <conditionalFormatting sqref="I117:K117">
    <cfRule type="expression" dxfId="3445" priority="1099">
      <formula>$D$117&lt;2</formula>
    </cfRule>
  </conditionalFormatting>
  <conditionalFormatting sqref="I118:K118">
    <cfRule type="expression" dxfId="3444" priority="1114">
      <formula>$D$118&lt;2</formula>
    </cfRule>
  </conditionalFormatting>
  <conditionalFormatting sqref="I122:K122">
    <cfRule type="expression" dxfId="3443" priority="1129">
      <formula>$D$122&lt;2</formula>
    </cfRule>
  </conditionalFormatting>
  <conditionalFormatting sqref="I123:K123">
    <cfRule type="expression" dxfId="3442" priority="1144">
      <formula>$D$123&lt;2</formula>
    </cfRule>
  </conditionalFormatting>
  <conditionalFormatting sqref="I124:K124">
    <cfRule type="expression" dxfId="3441" priority="1159">
      <formula>$D$124&lt;2</formula>
    </cfRule>
  </conditionalFormatting>
  <conditionalFormatting sqref="I126:K126">
    <cfRule type="expression" dxfId="3440" priority="1174">
      <formula>$D$126&lt;2</formula>
    </cfRule>
  </conditionalFormatting>
  <conditionalFormatting sqref="I127:K127">
    <cfRule type="expression" dxfId="3439" priority="1189">
      <formula>$D$127&lt;2</formula>
    </cfRule>
  </conditionalFormatting>
  <conditionalFormatting sqref="I128:K128">
    <cfRule type="expression" dxfId="3438" priority="1204">
      <formula>$D$128&lt;2</formula>
    </cfRule>
  </conditionalFormatting>
  <conditionalFormatting sqref="I129:K129">
    <cfRule type="expression" dxfId="3437" priority="1219">
      <formula>$D$129&lt;2</formula>
    </cfRule>
  </conditionalFormatting>
  <conditionalFormatting sqref="I131:K131">
    <cfRule type="expression" dxfId="3436" priority="1234">
      <formula>$D$131&lt;2</formula>
    </cfRule>
  </conditionalFormatting>
  <conditionalFormatting sqref="I132:K132">
    <cfRule type="expression" dxfId="3435" priority="1249">
      <formula>$D$132&lt;2</formula>
    </cfRule>
  </conditionalFormatting>
  <conditionalFormatting sqref="I134:K134">
    <cfRule type="expression" dxfId="3434" priority="1264">
      <formula>$D$134&lt;2</formula>
    </cfRule>
  </conditionalFormatting>
  <conditionalFormatting sqref="I135:K135">
    <cfRule type="expression" dxfId="3433" priority="1279">
      <formula>$D$135&lt;2</formula>
    </cfRule>
  </conditionalFormatting>
  <conditionalFormatting sqref="I137:K137">
    <cfRule type="expression" dxfId="3432" priority="1294">
      <formula>$D$137&lt;2</formula>
    </cfRule>
  </conditionalFormatting>
  <conditionalFormatting sqref="I138:K138">
    <cfRule type="expression" dxfId="3431" priority="1309">
      <formula>$D$138&lt;2</formula>
    </cfRule>
  </conditionalFormatting>
  <conditionalFormatting sqref="I139:K139">
    <cfRule type="expression" dxfId="3430" priority="1324">
      <formula>$D$139&lt;2</formula>
    </cfRule>
  </conditionalFormatting>
  <conditionalFormatting sqref="I140:K140">
    <cfRule type="expression" dxfId="3429" priority="1339">
      <formula>$D$140&lt;2</formula>
    </cfRule>
  </conditionalFormatting>
  <conditionalFormatting sqref="I144:K144">
    <cfRule type="expression" dxfId="3428" priority="1354">
      <formula>$D$144&lt;2</formula>
    </cfRule>
  </conditionalFormatting>
  <conditionalFormatting sqref="I145:K145">
    <cfRule type="expression" dxfId="3427" priority="1369">
      <formula>$D$145&lt;2</formula>
    </cfRule>
  </conditionalFormatting>
  <conditionalFormatting sqref="I146:K146">
    <cfRule type="expression" dxfId="3426" priority="1384">
      <formula>$D$146&lt;2</formula>
    </cfRule>
  </conditionalFormatting>
  <conditionalFormatting sqref="I148:K148">
    <cfRule type="expression" dxfId="3425" priority="1399">
      <formula>$D$148&lt;2</formula>
    </cfRule>
  </conditionalFormatting>
  <conditionalFormatting sqref="I149:K149">
    <cfRule type="expression" dxfId="3424" priority="1414">
      <formula>$D$149&lt;2</formula>
    </cfRule>
  </conditionalFormatting>
  <conditionalFormatting sqref="I150:K150">
    <cfRule type="expression" dxfId="3423" priority="1429">
      <formula>$D$150&lt;2</formula>
    </cfRule>
  </conditionalFormatting>
  <conditionalFormatting sqref="I151:K151">
    <cfRule type="expression" dxfId="3422" priority="1444">
      <formula>$D$151&lt;2</formula>
    </cfRule>
  </conditionalFormatting>
  <conditionalFormatting sqref="I153:K153">
    <cfRule type="expression" dxfId="3421" priority="1459">
      <formula>$D$153&lt;2</formula>
    </cfRule>
  </conditionalFormatting>
  <conditionalFormatting sqref="I154:K154">
    <cfRule type="expression" dxfId="3420" priority="1474">
      <formula>$D$154&lt;2</formula>
    </cfRule>
  </conditionalFormatting>
  <conditionalFormatting sqref="I156:K156">
    <cfRule type="expression" dxfId="3419" priority="1489">
      <formula>$D$156&lt;2</formula>
    </cfRule>
  </conditionalFormatting>
  <conditionalFormatting sqref="I157:K157">
    <cfRule type="expression" dxfId="3418" priority="1504">
      <formula>$D$157&lt;2</formula>
    </cfRule>
  </conditionalFormatting>
  <conditionalFormatting sqref="I159:K159">
    <cfRule type="expression" dxfId="3417" priority="1519">
      <formula>$D$159&lt;2</formula>
    </cfRule>
  </conditionalFormatting>
  <conditionalFormatting sqref="I160:K160">
    <cfRule type="expression" dxfId="3416" priority="1534">
      <formula>$D$160&lt;2</formula>
    </cfRule>
  </conditionalFormatting>
  <conditionalFormatting sqref="I161:K161">
    <cfRule type="expression" dxfId="3415" priority="1549">
      <formula>$D$161&lt;2</formula>
    </cfRule>
  </conditionalFormatting>
  <conditionalFormatting sqref="I162:K162">
    <cfRule type="expression" dxfId="3414" priority="1564">
      <formula>$D$162&lt;2</formula>
    </cfRule>
  </conditionalFormatting>
  <conditionalFormatting sqref="I166:K166">
    <cfRule type="expression" dxfId="3413" priority="1579">
      <formula>$D$166&lt;2</formula>
    </cfRule>
  </conditionalFormatting>
  <conditionalFormatting sqref="I167:K167">
    <cfRule type="expression" dxfId="3412" priority="1594">
      <formula>$D$167&lt;2</formula>
    </cfRule>
  </conditionalFormatting>
  <conditionalFormatting sqref="I168:K168">
    <cfRule type="expression" dxfId="3411" priority="1609">
      <formula>$D$168&lt;2</formula>
    </cfRule>
  </conditionalFormatting>
  <conditionalFormatting sqref="I170:K170">
    <cfRule type="expression" dxfId="3410" priority="1624">
      <formula>$D$170&lt;2</formula>
    </cfRule>
  </conditionalFormatting>
  <conditionalFormatting sqref="I171:K171">
    <cfRule type="expression" dxfId="3409" priority="1639">
      <formula>$D$171&lt;2</formula>
    </cfRule>
  </conditionalFormatting>
  <conditionalFormatting sqref="I172:K172">
    <cfRule type="expression" dxfId="3408" priority="1654">
      <formula>$D$172&lt;2</formula>
    </cfRule>
  </conditionalFormatting>
  <conditionalFormatting sqref="I173:K173">
    <cfRule type="expression" dxfId="3407" priority="1669">
      <formula>$D$173&lt;2</formula>
    </cfRule>
  </conditionalFormatting>
  <conditionalFormatting sqref="I175:K175">
    <cfRule type="expression" dxfId="3406" priority="1684">
      <formula>$D$175&lt;2</formula>
    </cfRule>
  </conditionalFormatting>
  <conditionalFormatting sqref="I176:K176">
    <cfRule type="expression" dxfId="3405" priority="1699">
      <formula>$D$176&lt;2</formula>
    </cfRule>
  </conditionalFormatting>
  <conditionalFormatting sqref="I178:K178">
    <cfRule type="expression" dxfId="3404" priority="1714">
      <formula>$D$178&lt;2</formula>
    </cfRule>
  </conditionalFormatting>
  <conditionalFormatting sqref="I179:K179">
    <cfRule type="expression" dxfId="3403" priority="1729">
      <formula>$D$179&lt;2</formula>
    </cfRule>
  </conditionalFormatting>
  <conditionalFormatting sqref="I181:K181">
    <cfRule type="expression" dxfId="3402" priority="1744">
      <formula>$D$181&lt;2</formula>
    </cfRule>
  </conditionalFormatting>
  <conditionalFormatting sqref="I182:K182">
    <cfRule type="expression" dxfId="3401" priority="1759">
      <formula>$D$182&lt;2</formula>
    </cfRule>
  </conditionalFormatting>
  <conditionalFormatting sqref="I183:K183">
    <cfRule type="expression" dxfId="3400" priority="1774">
      <formula>$D$183&lt;2</formula>
    </cfRule>
  </conditionalFormatting>
  <conditionalFormatting sqref="I184:K184">
    <cfRule type="expression" dxfId="3399" priority="1789">
      <formula>$D$184&lt;2</formula>
    </cfRule>
  </conditionalFormatting>
  <conditionalFormatting sqref="I188:K188">
    <cfRule type="expression" dxfId="3398" priority="1804">
      <formula>$D$188&lt;2</formula>
    </cfRule>
  </conditionalFormatting>
  <conditionalFormatting sqref="I189:K189">
    <cfRule type="expression" dxfId="3397" priority="1819">
      <formula>$D$189&lt;2</formula>
    </cfRule>
  </conditionalFormatting>
  <conditionalFormatting sqref="I190:K190">
    <cfRule type="expression" dxfId="3396" priority="1834">
      <formula>$D$190&lt;2</formula>
    </cfRule>
  </conditionalFormatting>
  <conditionalFormatting sqref="I192:K192">
    <cfRule type="expression" dxfId="3395" priority="1849">
      <formula>$D$192&lt;2</formula>
    </cfRule>
  </conditionalFormatting>
  <conditionalFormatting sqref="I193:K193">
    <cfRule type="expression" dxfId="3394" priority="1864">
      <formula>$D$193&lt;2</formula>
    </cfRule>
  </conditionalFormatting>
  <conditionalFormatting sqref="I194:K194">
    <cfRule type="expression" dxfId="3393" priority="1879">
      <formula>$D$194&lt;2</formula>
    </cfRule>
  </conditionalFormatting>
  <conditionalFormatting sqref="I195:K195">
    <cfRule type="expression" dxfId="3392" priority="1894">
      <formula>$D$195&lt;2</formula>
    </cfRule>
  </conditionalFormatting>
  <conditionalFormatting sqref="I197:K197">
    <cfRule type="expression" dxfId="3391" priority="1909">
      <formula>$D$197&lt;2</formula>
    </cfRule>
  </conditionalFormatting>
  <conditionalFormatting sqref="I198:K198">
    <cfRule type="expression" dxfId="3390" priority="1924">
      <formula>$D$198&lt;2</formula>
    </cfRule>
  </conditionalFormatting>
  <conditionalFormatting sqref="I200:K200">
    <cfRule type="expression" dxfId="3389" priority="1939">
      <formula>$D$200&lt;2</formula>
    </cfRule>
  </conditionalFormatting>
  <conditionalFormatting sqref="I201:K201">
    <cfRule type="expression" dxfId="3388" priority="1954">
      <formula>$D$201&lt;2</formula>
    </cfRule>
  </conditionalFormatting>
  <conditionalFormatting sqref="I203:K203">
    <cfRule type="expression" dxfId="3387" priority="1969">
      <formula>$D$203&lt;2</formula>
    </cfRule>
  </conditionalFormatting>
  <conditionalFormatting sqref="I204:K204">
    <cfRule type="expression" dxfId="3386" priority="1984">
      <formula>$D$204&lt;2</formula>
    </cfRule>
  </conditionalFormatting>
  <conditionalFormatting sqref="I205:K205">
    <cfRule type="expression" dxfId="3385" priority="1999">
      <formula>$D$205&lt;2</formula>
    </cfRule>
  </conditionalFormatting>
  <conditionalFormatting sqref="I206:K206">
    <cfRule type="expression" dxfId="3384" priority="2014">
      <formula>$D$206&lt;2</formula>
    </cfRule>
  </conditionalFormatting>
  <conditionalFormatting sqref="I210:K210">
    <cfRule type="expression" dxfId="3383" priority="2029">
      <formula>$D$210&lt;2</formula>
    </cfRule>
  </conditionalFormatting>
  <conditionalFormatting sqref="I211:K211">
    <cfRule type="expression" dxfId="3382" priority="2044">
      <formula>$D$211&lt;2</formula>
    </cfRule>
  </conditionalFormatting>
  <conditionalFormatting sqref="I212:K212">
    <cfRule type="expression" dxfId="3381" priority="2059">
      <formula>$D$212&lt;2</formula>
    </cfRule>
  </conditionalFormatting>
  <conditionalFormatting sqref="I214:K214">
    <cfRule type="expression" dxfId="3380" priority="2074">
      <formula>$D$214&lt;2</formula>
    </cfRule>
  </conditionalFormatting>
  <conditionalFormatting sqref="I215:K215">
    <cfRule type="expression" dxfId="3379" priority="2089">
      <formula>$D$215&lt;2</formula>
    </cfRule>
  </conditionalFormatting>
  <conditionalFormatting sqref="I216:K216">
    <cfRule type="expression" dxfId="3378" priority="2104">
      <formula>$D$216&lt;2</formula>
    </cfRule>
  </conditionalFormatting>
  <conditionalFormatting sqref="I217:K217">
    <cfRule type="expression" dxfId="3377" priority="2119">
      <formula>$D$217&lt;2</formula>
    </cfRule>
  </conditionalFormatting>
  <conditionalFormatting sqref="I219:K219">
    <cfRule type="expression" dxfId="3376" priority="2134">
      <formula>$D$219&lt;2</formula>
    </cfRule>
  </conditionalFormatting>
  <conditionalFormatting sqref="I220:K220">
    <cfRule type="expression" dxfId="3375" priority="2149">
      <formula>$D$220&lt;2</formula>
    </cfRule>
  </conditionalFormatting>
  <conditionalFormatting sqref="I222:K222">
    <cfRule type="expression" dxfId="3374" priority="2164">
      <formula>$D$222&lt;2</formula>
    </cfRule>
  </conditionalFormatting>
  <conditionalFormatting sqref="I223:K223">
    <cfRule type="expression" dxfId="3373" priority="2179">
      <formula>$D$223&lt;2</formula>
    </cfRule>
  </conditionalFormatting>
  <conditionalFormatting sqref="I225:K225">
    <cfRule type="expression" dxfId="3372" priority="2194">
      <formula>$D$225&lt;2</formula>
    </cfRule>
  </conditionalFormatting>
  <conditionalFormatting sqref="I226:K226">
    <cfRule type="expression" dxfId="3371" priority="2209">
      <formula>$D$226&lt;2</formula>
    </cfRule>
  </conditionalFormatting>
  <conditionalFormatting sqref="I227:K227">
    <cfRule type="expression" dxfId="3370" priority="2224">
      <formula>$D$227&lt;2</formula>
    </cfRule>
  </conditionalFormatting>
  <conditionalFormatting sqref="I228:K228">
    <cfRule type="expression" dxfId="3369" priority="2239">
      <formula>$D$228&lt;2</formula>
    </cfRule>
  </conditionalFormatting>
  <conditionalFormatting sqref="I232:K232">
    <cfRule type="expression" dxfId="3368" priority="2254">
      <formula>$D$232&lt;2</formula>
    </cfRule>
  </conditionalFormatting>
  <conditionalFormatting sqref="I233:K233">
    <cfRule type="expression" dxfId="3367" priority="2269">
      <formula>$D$233&lt;2</formula>
    </cfRule>
  </conditionalFormatting>
  <conditionalFormatting sqref="I234:K234">
    <cfRule type="expression" dxfId="3366" priority="2284">
      <formula>$D$234&lt;2</formula>
    </cfRule>
  </conditionalFormatting>
  <conditionalFormatting sqref="I236:K236">
    <cfRule type="expression" dxfId="3365" priority="2299">
      <formula>$D$236&lt;2</formula>
    </cfRule>
  </conditionalFormatting>
  <conditionalFormatting sqref="I237:K237">
    <cfRule type="expression" dxfId="3364" priority="2314">
      <formula>$D$237&lt;2</formula>
    </cfRule>
  </conditionalFormatting>
  <conditionalFormatting sqref="I238:K238">
    <cfRule type="expression" dxfId="3363" priority="2329">
      <formula>$D$238&lt;2</formula>
    </cfRule>
  </conditionalFormatting>
  <conditionalFormatting sqref="I239:K239">
    <cfRule type="expression" dxfId="3362" priority="2344">
      <formula>$D$239&lt;2</formula>
    </cfRule>
  </conditionalFormatting>
  <conditionalFormatting sqref="I241:K241">
    <cfRule type="expression" dxfId="3361" priority="2359">
      <formula>$D$241&lt;2</formula>
    </cfRule>
  </conditionalFormatting>
  <conditionalFormatting sqref="I242:K242">
    <cfRule type="expression" dxfId="3360" priority="2374">
      <formula>$D$242&lt;2</formula>
    </cfRule>
  </conditionalFormatting>
  <conditionalFormatting sqref="I244:K244">
    <cfRule type="expression" dxfId="3359" priority="2389">
      <formula>$D$244&lt;2</formula>
    </cfRule>
  </conditionalFormatting>
  <conditionalFormatting sqref="I245:K245">
    <cfRule type="expression" dxfId="3358" priority="2404">
      <formula>$D$245&lt;2</formula>
    </cfRule>
  </conditionalFormatting>
  <conditionalFormatting sqref="I247:K247">
    <cfRule type="expression" dxfId="3357" priority="2419">
      <formula>$D$247&lt;2</formula>
    </cfRule>
  </conditionalFormatting>
  <conditionalFormatting sqref="I248:K248">
    <cfRule type="expression" dxfId="3356" priority="2434">
      <formula>$D$248&lt;2</formula>
    </cfRule>
  </conditionalFormatting>
  <conditionalFormatting sqref="I249:K249">
    <cfRule type="expression" dxfId="3355" priority="2449">
      <formula>$D$249&lt;2</formula>
    </cfRule>
  </conditionalFormatting>
  <conditionalFormatting sqref="I250:K250">
    <cfRule type="expression" dxfId="3354" priority="2464">
      <formula>$D$250&lt;2</formula>
    </cfRule>
  </conditionalFormatting>
  <conditionalFormatting sqref="I254:K254">
    <cfRule type="expression" dxfId="3353" priority="2479">
      <formula>$D$254&lt;2</formula>
    </cfRule>
  </conditionalFormatting>
  <conditionalFormatting sqref="I255:K255">
    <cfRule type="expression" dxfId="3352" priority="2494">
      <formula>$D$255&lt;2</formula>
    </cfRule>
  </conditionalFormatting>
  <conditionalFormatting sqref="I256:K256">
    <cfRule type="expression" dxfId="3351" priority="2509">
      <formula>$D$256&lt;2</formula>
    </cfRule>
  </conditionalFormatting>
  <conditionalFormatting sqref="I258:K258">
    <cfRule type="expression" dxfId="3350" priority="2524">
      <formula>$D$258&lt;2</formula>
    </cfRule>
  </conditionalFormatting>
  <conditionalFormatting sqref="I259:K259">
    <cfRule type="expression" dxfId="3349" priority="2539">
      <formula>$D$259&lt;2</formula>
    </cfRule>
  </conditionalFormatting>
  <conditionalFormatting sqref="I260:K260">
    <cfRule type="expression" dxfId="3348" priority="2554">
      <formula>$D$260&lt;2</formula>
    </cfRule>
  </conditionalFormatting>
  <conditionalFormatting sqref="I261:K261">
    <cfRule type="expression" dxfId="3347" priority="2569">
      <formula>$D$261&lt;2</formula>
    </cfRule>
  </conditionalFormatting>
  <conditionalFormatting sqref="I263:K263">
    <cfRule type="expression" dxfId="3346" priority="2584">
      <formula>$D$263&lt;2</formula>
    </cfRule>
  </conditionalFormatting>
  <conditionalFormatting sqref="I264:K264">
    <cfRule type="expression" dxfId="3345" priority="2599">
      <formula>$D$264&lt;2</formula>
    </cfRule>
  </conditionalFormatting>
  <conditionalFormatting sqref="I266:K266">
    <cfRule type="expression" dxfId="3344" priority="2614">
      <formula>$D$266&lt;2</formula>
    </cfRule>
  </conditionalFormatting>
  <conditionalFormatting sqref="I267:K267">
    <cfRule type="expression" dxfId="3343" priority="2629">
      <formula>$D$267&lt;2</formula>
    </cfRule>
  </conditionalFormatting>
  <conditionalFormatting sqref="I269:K269">
    <cfRule type="expression" dxfId="3342" priority="2644">
      <formula>$D$269&lt;2</formula>
    </cfRule>
  </conditionalFormatting>
  <conditionalFormatting sqref="I270:K270">
    <cfRule type="expression" dxfId="3341" priority="2659">
      <formula>$D$270&lt;2</formula>
    </cfRule>
  </conditionalFormatting>
  <conditionalFormatting sqref="I271:K271">
    <cfRule type="expression" dxfId="3340" priority="2674">
      <formula>$D$271&lt;2</formula>
    </cfRule>
  </conditionalFormatting>
  <conditionalFormatting sqref="I272:K272">
    <cfRule type="expression" dxfId="3339" priority="2689">
      <formula>$D$272&lt;2</formula>
    </cfRule>
  </conditionalFormatting>
  <conditionalFormatting sqref="L12:N12">
    <cfRule type="expression" dxfId="3338" priority="7">
      <formula>$D$12&lt;3</formula>
    </cfRule>
  </conditionalFormatting>
  <conditionalFormatting sqref="L13:N13">
    <cfRule type="expression" dxfId="3337" priority="22">
      <formula>$D$13&lt;3</formula>
    </cfRule>
  </conditionalFormatting>
  <conditionalFormatting sqref="L14:N14">
    <cfRule type="expression" dxfId="3336" priority="37">
      <formula>$D$14&lt;3</formula>
    </cfRule>
  </conditionalFormatting>
  <conditionalFormatting sqref="L16:N16">
    <cfRule type="expression" dxfId="3335" priority="52">
      <formula>$D$16&lt;3</formula>
    </cfRule>
  </conditionalFormatting>
  <conditionalFormatting sqref="L17:N17">
    <cfRule type="expression" dxfId="3334" priority="67">
      <formula>$D$17&lt;3</formula>
    </cfRule>
  </conditionalFormatting>
  <conditionalFormatting sqref="L18:N18">
    <cfRule type="expression" dxfId="3333" priority="82">
      <formula>$D$18&lt;3</formula>
    </cfRule>
  </conditionalFormatting>
  <conditionalFormatting sqref="L19:N19">
    <cfRule type="expression" dxfId="3332" priority="97">
      <formula>$D$19&lt;3</formula>
    </cfRule>
  </conditionalFormatting>
  <conditionalFormatting sqref="L21:N21">
    <cfRule type="expression" dxfId="3331" priority="112">
      <formula>$D$21&lt;3</formula>
    </cfRule>
  </conditionalFormatting>
  <conditionalFormatting sqref="L22:N22">
    <cfRule type="expression" dxfId="3330" priority="127">
      <formula>$D$22&lt;3</formula>
    </cfRule>
  </conditionalFormatting>
  <conditionalFormatting sqref="L24:N24">
    <cfRule type="expression" dxfId="3329" priority="142">
      <formula>$D$24&lt;3</formula>
    </cfRule>
  </conditionalFormatting>
  <conditionalFormatting sqref="L25:N25">
    <cfRule type="expression" dxfId="3328" priority="157">
      <formula>$D$25&lt;3</formula>
    </cfRule>
  </conditionalFormatting>
  <conditionalFormatting sqref="L27:N27">
    <cfRule type="expression" dxfId="3327" priority="172">
      <formula>$D$27&lt;3</formula>
    </cfRule>
  </conditionalFormatting>
  <conditionalFormatting sqref="L28:N28">
    <cfRule type="expression" dxfId="3326" priority="187">
      <formula>$D$28&lt;3</formula>
    </cfRule>
  </conditionalFormatting>
  <conditionalFormatting sqref="L29:N29">
    <cfRule type="expression" dxfId="3325" priority="202">
      <formula>$D$29&lt;3</formula>
    </cfRule>
  </conditionalFormatting>
  <conditionalFormatting sqref="L30:N30">
    <cfRule type="expression" dxfId="3324" priority="217">
      <formula>$D$30&lt;3</formula>
    </cfRule>
  </conditionalFormatting>
  <conditionalFormatting sqref="L34:N34">
    <cfRule type="expression" dxfId="3323" priority="232">
      <formula>$D$34&lt;3</formula>
    </cfRule>
  </conditionalFormatting>
  <conditionalFormatting sqref="L35:N35">
    <cfRule type="expression" dxfId="3322" priority="247">
      <formula>$D$35&lt;3</formula>
    </cfRule>
  </conditionalFormatting>
  <conditionalFormatting sqref="L36:N36">
    <cfRule type="expression" dxfId="3321" priority="262">
      <formula>$D$36&lt;3</formula>
    </cfRule>
  </conditionalFormatting>
  <conditionalFormatting sqref="L38:N38">
    <cfRule type="expression" dxfId="3320" priority="277">
      <formula>$D$38&lt;3</formula>
    </cfRule>
  </conditionalFormatting>
  <conditionalFormatting sqref="L39:N39">
    <cfRule type="expression" dxfId="3319" priority="292">
      <formula>$D$39&lt;3</formula>
    </cfRule>
  </conditionalFormatting>
  <conditionalFormatting sqref="L40:N40">
    <cfRule type="expression" dxfId="3318" priority="307">
      <formula>$D$40&lt;3</formula>
    </cfRule>
  </conditionalFormatting>
  <conditionalFormatting sqref="L41:N41">
    <cfRule type="expression" dxfId="3317" priority="322">
      <formula>$D$41&lt;3</formula>
    </cfRule>
  </conditionalFormatting>
  <conditionalFormatting sqref="L43:N43">
    <cfRule type="expression" dxfId="3316" priority="337">
      <formula>$D$43&lt;3</formula>
    </cfRule>
  </conditionalFormatting>
  <conditionalFormatting sqref="L44:N44">
    <cfRule type="expression" dxfId="3315" priority="352">
      <formula>$D$44&lt;3</formula>
    </cfRule>
  </conditionalFormatting>
  <conditionalFormatting sqref="L46:N46">
    <cfRule type="expression" dxfId="3314" priority="367">
      <formula>$D$46&lt;3</formula>
    </cfRule>
  </conditionalFormatting>
  <conditionalFormatting sqref="L47:N47">
    <cfRule type="expression" dxfId="3313" priority="382">
      <formula>$D$47&lt;3</formula>
    </cfRule>
  </conditionalFormatting>
  <conditionalFormatting sqref="L49:N49">
    <cfRule type="expression" dxfId="3312" priority="397">
      <formula>$D$49&lt;3</formula>
    </cfRule>
  </conditionalFormatting>
  <conditionalFormatting sqref="L50:N50">
    <cfRule type="expression" dxfId="3311" priority="412">
      <formula>$D$50&lt;3</formula>
    </cfRule>
  </conditionalFormatting>
  <conditionalFormatting sqref="L51:N51">
    <cfRule type="expression" dxfId="3310" priority="427">
      <formula>$D$51&lt;3</formula>
    </cfRule>
  </conditionalFormatting>
  <conditionalFormatting sqref="L52:N52">
    <cfRule type="expression" dxfId="3309" priority="442">
      <formula>$D$52&lt;3</formula>
    </cfRule>
  </conditionalFormatting>
  <conditionalFormatting sqref="L56:N56">
    <cfRule type="expression" dxfId="3308" priority="457">
      <formula>$D$56&lt;3</formula>
    </cfRule>
  </conditionalFormatting>
  <conditionalFormatting sqref="L57:N57">
    <cfRule type="expression" dxfId="3307" priority="472">
      <formula>$D$57&lt;3</formula>
    </cfRule>
  </conditionalFormatting>
  <conditionalFormatting sqref="L58:N58">
    <cfRule type="expression" dxfId="3306" priority="487">
      <formula>$D$58&lt;3</formula>
    </cfRule>
  </conditionalFormatting>
  <conditionalFormatting sqref="L60:N60">
    <cfRule type="expression" dxfId="3305" priority="502">
      <formula>$D$60&lt;3</formula>
    </cfRule>
  </conditionalFormatting>
  <conditionalFormatting sqref="L61:N61">
    <cfRule type="expression" dxfId="3304" priority="517">
      <formula>$D$61&lt;3</formula>
    </cfRule>
  </conditionalFormatting>
  <conditionalFormatting sqref="L62:N62">
    <cfRule type="expression" dxfId="3303" priority="532">
      <formula>$D$62&lt;3</formula>
    </cfRule>
  </conditionalFormatting>
  <conditionalFormatting sqref="L63:N63">
    <cfRule type="expression" dxfId="3302" priority="547">
      <formula>$D$63&lt;3</formula>
    </cfRule>
  </conditionalFormatting>
  <conditionalFormatting sqref="L65:N65">
    <cfRule type="expression" dxfId="3301" priority="562">
      <formula>$D$65&lt;3</formula>
    </cfRule>
  </conditionalFormatting>
  <conditionalFormatting sqref="L66:N66">
    <cfRule type="expression" dxfId="3300" priority="577">
      <formula>$D$66&lt;3</formula>
    </cfRule>
  </conditionalFormatting>
  <conditionalFormatting sqref="L68:N68">
    <cfRule type="expression" dxfId="3299" priority="592">
      <formula>$D$68&lt;3</formula>
    </cfRule>
  </conditionalFormatting>
  <conditionalFormatting sqref="L69:N69">
    <cfRule type="expression" dxfId="3298" priority="607">
      <formula>$D$69&lt;3</formula>
    </cfRule>
  </conditionalFormatting>
  <conditionalFormatting sqref="L71:N71">
    <cfRule type="expression" dxfId="3297" priority="622">
      <formula>$D$71&lt;3</formula>
    </cfRule>
  </conditionalFormatting>
  <conditionalFormatting sqref="L72:N72">
    <cfRule type="expression" dxfId="3296" priority="637">
      <formula>$D$72&lt;3</formula>
    </cfRule>
  </conditionalFormatting>
  <conditionalFormatting sqref="L73:N73">
    <cfRule type="expression" dxfId="3295" priority="652">
      <formula>$D$73&lt;3</formula>
    </cfRule>
  </conditionalFormatting>
  <conditionalFormatting sqref="L74:N74">
    <cfRule type="expression" dxfId="3294" priority="667">
      <formula>$D$74&lt;3</formula>
    </cfRule>
  </conditionalFormatting>
  <conditionalFormatting sqref="L78:N78">
    <cfRule type="expression" dxfId="3293" priority="682">
      <formula>$D$78&lt;3</formula>
    </cfRule>
  </conditionalFormatting>
  <conditionalFormatting sqref="L79:N79">
    <cfRule type="expression" dxfId="3292" priority="697">
      <formula>$D$79&lt;3</formula>
    </cfRule>
  </conditionalFormatting>
  <conditionalFormatting sqref="L80:N80">
    <cfRule type="expression" dxfId="3291" priority="712">
      <formula>$D$80&lt;3</formula>
    </cfRule>
  </conditionalFormatting>
  <conditionalFormatting sqref="L82:N82">
    <cfRule type="expression" dxfId="3290" priority="727">
      <formula>$D$82&lt;3</formula>
    </cfRule>
  </conditionalFormatting>
  <conditionalFormatting sqref="L83:N83">
    <cfRule type="expression" dxfId="3289" priority="742">
      <formula>$D$83&lt;3</formula>
    </cfRule>
  </conditionalFormatting>
  <conditionalFormatting sqref="L84:N84">
    <cfRule type="expression" dxfId="3288" priority="757">
      <formula>$D$84&lt;3</formula>
    </cfRule>
  </conditionalFormatting>
  <conditionalFormatting sqref="L85:N85">
    <cfRule type="expression" dxfId="3287" priority="772">
      <formula>$D$85&lt;3</formula>
    </cfRule>
  </conditionalFormatting>
  <conditionalFormatting sqref="L87:N87">
    <cfRule type="expression" dxfId="3286" priority="787">
      <formula>$D$87&lt;3</formula>
    </cfRule>
  </conditionalFormatting>
  <conditionalFormatting sqref="L88:N88">
    <cfRule type="expression" dxfId="3285" priority="802">
      <formula>$D$88&lt;3</formula>
    </cfRule>
  </conditionalFormatting>
  <conditionalFormatting sqref="L90:N90">
    <cfRule type="expression" dxfId="3284" priority="817">
      <formula>$D$90&lt;3</formula>
    </cfRule>
  </conditionalFormatting>
  <conditionalFormatting sqref="L91:N91">
    <cfRule type="expression" dxfId="3283" priority="832">
      <formula>$D$91&lt;3</formula>
    </cfRule>
  </conditionalFormatting>
  <conditionalFormatting sqref="L93:N93">
    <cfRule type="expression" dxfId="3282" priority="847">
      <formula>$D$93&lt;3</formula>
    </cfRule>
  </conditionalFormatting>
  <conditionalFormatting sqref="L94:N94">
    <cfRule type="expression" dxfId="3281" priority="862">
      <formula>$D$94&lt;3</formula>
    </cfRule>
  </conditionalFormatting>
  <conditionalFormatting sqref="L95:N95">
    <cfRule type="expression" dxfId="3280" priority="877">
      <formula>$D$95&lt;3</formula>
    </cfRule>
  </conditionalFormatting>
  <conditionalFormatting sqref="L96:N96">
    <cfRule type="expression" dxfId="3279" priority="892">
      <formula>$D$96&lt;3</formula>
    </cfRule>
  </conditionalFormatting>
  <conditionalFormatting sqref="L100:N100">
    <cfRule type="expression" dxfId="3278" priority="907">
      <formula>$D$100&lt;3</formula>
    </cfRule>
  </conditionalFormatting>
  <conditionalFormatting sqref="L101:N101">
    <cfRule type="expression" dxfId="3277" priority="922">
      <formula>$D$101&lt;3</formula>
    </cfRule>
  </conditionalFormatting>
  <conditionalFormatting sqref="L102:N102">
    <cfRule type="expression" dxfId="3276" priority="937">
      <formula>$D$102&lt;3</formula>
    </cfRule>
  </conditionalFormatting>
  <conditionalFormatting sqref="L104:N104">
    <cfRule type="expression" dxfId="3275" priority="952">
      <formula>$D$104&lt;3</formula>
    </cfRule>
  </conditionalFormatting>
  <conditionalFormatting sqref="L105:N105">
    <cfRule type="expression" dxfId="3274" priority="967">
      <formula>$D$105&lt;3</formula>
    </cfRule>
  </conditionalFormatting>
  <conditionalFormatting sqref="L106:N106">
    <cfRule type="expression" dxfId="3273" priority="982">
      <formula>$D$106&lt;3</formula>
    </cfRule>
  </conditionalFormatting>
  <conditionalFormatting sqref="L107:N107">
    <cfRule type="expression" dxfId="3272" priority="997">
      <formula>$D$107&lt;3</formula>
    </cfRule>
  </conditionalFormatting>
  <conditionalFormatting sqref="L109:N109">
    <cfRule type="expression" dxfId="3271" priority="1012">
      <formula>$D$109&lt;3</formula>
    </cfRule>
  </conditionalFormatting>
  <conditionalFormatting sqref="L110:N110">
    <cfRule type="expression" dxfId="3270" priority="1027">
      <formula>$D$110&lt;3</formula>
    </cfRule>
  </conditionalFormatting>
  <conditionalFormatting sqref="L112:N112">
    <cfRule type="expression" dxfId="3269" priority="1042">
      <formula>$D$112&lt;3</formula>
    </cfRule>
  </conditionalFormatting>
  <conditionalFormatting sqref="L113:N113">
    <cfRule type="expression" dxfId="3268" priority="1057">
      <formula>$D$113&lt;3</formula>
    </cfRule>
  </conditionalFormatting>
  <conditionalFormatting sqref="L115:N115">
    <cfRule type="expression" dxfId="3267" priority="1072">
      <formula>$D$115&lt;3</formula>
    </cfRule>
  </conditionalFormatting>
  <conditionalFormatting sqref="L116:N116">
    <cfRule type="expression" dxfId="3266" priority="1087">
      <formula>$D$116&lt;3</formula>
    </cfRule>
  </conditionalFormatting>
  <conditionalFormatting sqref="L117:N117">
    <cfRule type="expression" dxfId="3265" priority="1102">
      <formula>$D$117&lt;3</formula>
    </cfRule>
  </conditionalFormatting>
  <conditionalFormatting sqref="L118:N118">
    <cfRule type="expression" dxfId="3264" priority="1117">
      <formula>$D$118&lt;3</formula>
    </cfRule>
  </conditionalFormatting>
  <conditionalFormatting sqref="L122:N122">
    <cfRule type="expression" dxfId="3263" priority="1132">
      <formula>$D$122&lt;3</formula>
    </cfRule>
  </conditionalFormatting>
  <conditionalFormatting sqref="L123:N123">
    <cfRule type="expression" dxfId="3262" priority="1147">
      <formula>$D$123&lt;3</formula>
    </cfRule>
  </conditionalFormatting>
  <conditionalFormatting sqref="L124:N124">
    <cfRule type="expression" dxfId="3261" priority="1162">
      <formula>$D$124&lt;3</formula>
    </cfRule>
  </conditionalFormatting>
  <conditionalFormatting sqref="L126:N126">
    <cfRule type="expression" dxfId="3260" priority="1177">
      <formula>$D$126&lt;3</formula>
    </cfRule>
  </conditionalFormatting>
  <conditionalFormatting sqref="L127:N127">
    <cfRule type="expression" dxfId="3259" priority="1192">
      <formula>$D$127&lt;3</formula>
    </cfRule>
  </conditionalFormatting>
  <conditionalFormatting sqref="L128:N128">
    <cfRule type="expression" dxfId="3258" priority="1207">
      <formula>$D$128&lt;3</formula>
    </cfRule>
  </conditionalFormatting>
  <conditionalFormatting sqref="L129:N129">
    <cfRule type="expression" dxfId="3257" priority="1222">
      <formula>$D$129&lt;3</formula>
    </cfRule>
  </conditionalFormatting>
  <conditionalFormatting sqref="L131:N131">
    <cfRule type="expression" dxfId="3256" priority="1237">
      <formula>$D$131&lt;3</formula>
    </cfRule>
  </conditionalFormatting>
  <conditionalFormatting sqref="L132:N132">
    <cfRule type="expression" dxfId="3255" priority="1252">
      <formula>$D$132&lt;3</formula>
    </cfRule>
  </conditionalFormatting>
  <conditionalFormatting sqref="L134:N134">
    <cfRule type="expression" dxfId="3254" priority="1267">
      <formula>$D$134&lt;3</formula>
    </cfRule>
  </conditionalFormatting>
  <conditionalFormatting sqref="L135:N135">
    <cfRule type="expression" dxfId="3253" priority="1282">
      <formula>$D$135&lt;3</formula>
    </cfRule>
  </conditionalFormatting>
  <conditionalFormatting sqref="L137:N137">
    <cfRule type="expression" dxfId="3252" priority="1297">
      <formula>$D$137&lt;3</formula>
    </cfRule>
  </conditionalFormatting>
  <conditionalFormatting sqref="L138:N138">
    <cfRule type="expression" dxfId="3251" priority="1312">
      <formula>$D$138&lt;3</formula>
    </cfRule>
  </conditionalFormatting>
  <conditionalFormatting sqref="L139:N139">
    <cfRule type="expression" dxfId="3250" priority="1327">
      <formula>$D$139&lt;3</formula>
    </cfRule>
  </conditionalFormatting>
  <conditionalFormatting sqref="L140:N140">
    <cfRule type="expression" dxfId="3249" priority="1342">
      <formula>$D$140&lt;3</formula>
    </cfRule>
  </conditionalFormatting>
  <conditionalFormatting sqref="L144:N144">
    <cfRule type="expression" dxfId="3248" priority="1357">
      <formula>$D$144&lt;3</formula>
    </cfRule>
  </conditionalFormatting>
  <conditionalFormatting sqref="L145:N145">
    <cfRule type="expression" dxfId="3247" priority="1372">
      <formula>$D$145&lt;3</formula>
    </cfRule>
  </conditionalFormatting>
  <conditionalFormatting sqref="L146:N146">
    <cfRule type="expression" dxfId="3246" priority="1387">
      <formula>$D$146&lt;3</formula>
    </cfRule>
  </conditionalFormatting>
  <conditionalFormatting sqref="L148:N148">
    <cfRule type="expression" dxfId="3245" priority="1402">
      <formula>$D$148&lt;3</formula>
    </cfRule>
  </conditionalFormatting>
  <conditionalFormatting sqref="L149:N149">
    <cfRule type="expression" dxfId="3244" priority="1417">
      <formula>$D$149&lt;3</formula>
    </cfRule>
  </conditionalFormatting>
  <conditionalFormatting sqref="L150:N150">
    <cfRule type="expression" dxfId="3243" priority="1432">
      <formula>$D$150&lt;3</formula>
    </cfRule>
  </conditionalFormatting>
  <conditionalFormatting sqref="L151:N151">
    <cfRule type="expression" dxfId="3242" priority="1447">
      <formula>$D$151&lt;3</formula>
    </cfRule>
  </conditionalFormatting>
  <conditionalFormatting sqref="L153:N153">
    <cfRule type="expression" dxfId="3241" priority="1462">
      <formula>$D$153&lt;3</formula>
    </cfRule>
  </conditionalFormatting>
  <conditionalFormatting sqref="L154:N154">
    <cfRule type="expression" dxfId="3240" priority="1477">
      <formula>$D$154&lt;3</formula>
    </cfRule>
  </conditionalFormatting>
  <conditionalFormatting sqref="L156:N156">
    <cfRule type="expression" dxfId="3239" priority="1492">
      <formula>$D$156&lt;3</formula>
    </cfRule>
  </conditionalFormatting>
  <conditionalFormatting sqref="L157:N157">
    <cfRule type="expression" dxfId="3238" priority="1507">
      <formula>$D$157&lt;3</formula>
    </cfRule>
  </conditionalFormatting>
  <conditionalFormatting sqref="L159:N159">
    <cfRule type="expression" dxfId="3237" priority="1522">
      <formula>$D$159&lt;3</formula>
    </cfRule>
  </conditionalFormatting>
  <conditionalFormatting sqref="L160:N160">
    <cfRule type="expression" dxfId="3236" priority="1537">
      <formula>$D$160&lt;3</formula>
    </cfRule>
  </conditionalFormatting>
  <conditionalFormatting sqref="L161:N161">
    <cfRule type="expression" dxfId="3235" priority="1552">
      <formula>$D$161&lt;3</formula>
    </cfRule>
  </conditionalFormatting>
  <conditionalFormatting sqref="L162:N162">
    <cfRule type="expression" dxfId="3234" priority="1567">
      <formula>$D$162&lt;3</formula>
    </cfRule>
  </conditionalFormatting>
  <conditionalFormatting sqref="L166:N166">
    <cfRule type="expression" dxfId="3233" priority="1582">
      <formula>$D$166&lt;3</formula>
    </cfRule>
  </conditionalFormatting>
  <conditionalFormatting sqref="L167:N167">
    <cfRule type="expression" dxfId="3232" priority="1597">
      <formula>$D$167&lt;3</formula>
    </cfRule>
  </conditionalFormatting>
  <conditionalFormatting sqref="L168:N168">
    <cfRule type="expression" dxfId="3231" priority="1612">
      <formula>$D$168&lt;3</formula>
    </cfRule>
  </conditionalFormatting>
  <conditionalFormatting sqref="L170:N170">
    <cfRule type="expression" dxfId="3230" priority="1627">
      <formula>$D$170&lt;3</formula>
    </cfRule>
  </conditionalFormatting>
  <conditionalFormatting sqref="L171:N171">
    <cfRule type="expression" dxfId="3229" priority="1642">
      <formula>$D$171&lt;3</formula>
    </cfRule>
  </conditionalFormatting>
  <conditionalFormatting sqref="L172:N172">
    <cfRule type="expression" dxfId="3228" priority="1657">
      <formula>$D$172&lt;3</formula>
    </cfRule>
  </conditionalFormatting>
  <conditionalFormatting sqref="L173:N173">
    <cfRule type="expression" dxfId="3227" priority="1672">
      <formula>$D$173&lt;3</formula>
    </cfRule>
  </conditionalFormatting>
  <conditionalFormatting sqref="L175:N175">
    <cfRule type="expression" dxfId="3226" priority="1687">
      <formula>$D$175&lt;3</formula>
    </cfRule>
  </conditionalFormatting>
  <conditionalFormatting sqref="L176:N176">
    <cfRule type="expression" dxfId="3225" priority="1702">
      <formula>$D$176&lt;3</formula>
    </cfRule>
  </conditionalFormatting>
  <conditionalFormatting sqref="L178:N178">
    <cfRule type="expression" dxfId="3224" priority="1717">
      <formula>$D$178&lt;3</formula>
    </cfRule>
  </conditionalFormatting>
  <conditionalFormatting sqref="L179:N179">
    <cfRule type="expression" dxfId="3223" priority="1732">
      <formula>$D$179&lt;3</formula>
    </cfRule>
  </conditionalFormatting>
  <conditionalFormatting sqref="L181:N181">
    <cfRule type="expression" dxfId="3222" priority="1747">
      <formula>$D$181&lt;3</formula>
    </cfRule>
  </conditionalFormatting>
  <conditionalFormatting sqref="L182:N182">
    <cfRule type="expression" dxfId="3221" priority="1762">
      <formula>$D$182&lt;3</formula>
    </cfRule>
  </conditionalFormatting>
  <conditionalFormatting sqref="L183:N183">
    <cfRule type="expression" dxfId="3220" priority="1777">
      <formula>$D$183&lt;3</formula>
    </cfRule>
  </conditionalFormatting>
  <conditionalFormatting sqref="L184:N184">
    <cfRule type="expression" dxfId="3219" priority="1792">
      <formula>$D$184&lt;3</formula>
    </cfRule>
  </conditionalFormatting>
  <conditionalFormatting sqref="L188:N188">
    <cfRule type="expression" dxfId="3218" priority="1807">
      <formula>$D$188&lt;3</formula>
    </cfRule>
  </conditionalFormatting>
  <conditionalFormatting sqref="L189:N189">
    <cfRule type="expression" dxfId="3217" priority="1822">
      <formula>$D$189&lt;3</formula>
    </cfRule>
  </conditionalFormatting>
  <conditionalFormatting sqref="L190:N190">
    <cfRule type="expression" dxfId="3216" priority="1837">
      <formula>$D$190&lt;3</formula>
    </cfRule>
  </conditionalFormatting>
  <conditionalFormatting sqref="L192:N192">
    <cfRule type="expression" dxfId="3215" priority="1852">
      <formula>$D$192&lt;3</formula>
    </cfRule>
  </conditionalFormatting>
  <conditionalFormatting sqref="L193:N193">
    <cfRule type="expression" dxfId="3214" priority="1867">
      <formula>$D$193&lt;3</formula>
    </cfRule>
  </conditionalFormatting>
  <conditionalFormatting sqref="L194:N194">
    <cfRule type="expression" dxfId="3213" priority="1882">
      <formula>$D$194&lt;3</formula>
    </cfRule>
  </conditionalFormatting>
  <conditionalFormatting sqref="L195:N195">
    <cfRule type="expression" dxfId="3212" priority="1897">
      <formula>$D$195&lt;3</formula>
    </cfRule>
  </conditionalFormatting>
  <conditionalFormatting sqref="L197:N197">
    <cfRule type="expression" dxfId="3211" priority="1912">
      <formula>$D$197&lt;3</formula>
    </cfRule>
  </conditionalFormatting>
  <conditionalFormatting sqref="L198:N198">
    <cfRule type="expression" dxfId="3210" priority="1927">
      <formula>$D$198&lt;3</formula>
    </cfRule>
  </conditionalFormatting>
  <conditionalFormatting sqref="L200:N200">
    <cfRule type="expression" dxfId="3209" priority="1942">
      <formula>$D$200&lt;3</formula>
    </cfRule>
  </conditionalFormatting>
  <conditionalFormatting sqref="L201:N201">
    <cfRule type="expression" dxfId="3208" priority="1957">
      <formula>$D$201&lt;3</formula>
    </cfRule>
  </conditionalFormatting>
  <conditionalFormatting sqref="L203:N203">
    <cfRule type="expression" dxfId="3207" priority="1972">
      <formula>$D$203&lt;3</formula>
    </cfRule>
  </conditionalFormatting>
  <conditionalFormatting sqref="L204:N204">
    <cfRule type="expression" dxfId="3206" priority="1987">
      <formula>$D$204&lt;3</formula>
    </cfRule>
  </conditionalFormatting>
  <conditionalFormatting sqref="L205:N205">
    <cfRule type="expression" dxfId="3205" priority="2002">
      <formula>$D$205&lt;3</formula>
    </cfRule>
  </conditionalFormatting>
  <conditionalFormatting sqref="L206:N206">
    <cfRule type="expression" dxfId="3204" priority="2017">
      <formula>$D$206&lt;3</formula>
    </cfRule>
  </conditionalFormatting>
  <conditionalFormatting sqref="L210:N210">
    <cfRule type="expression" dxfId="3203" priority="2032">
      <formula>$D$210&lt;3</formula>
    </cfRule>
  </conditionalFormatting>
  <conditionalFormatting sqref="L211:N211">
    <cfRule type="expression" dxfId="3202" priority="2047">
      <formula>$D$211&lt;3</formula>
    </cfRule>
  </conditionalFormatting>
  <conditionalFormatting sqref="L212:N212">
    <cfRule type="expression" dxfId="3201" priority="2062">
      <formula>$D$212&lt;3</formula>
    </cfRule>
  </conditionalFormatting>
  <conditionalFormatting sqref="L214:N214">
    <cfRule type="expression" dxfId="3200" priority="2077">
      <formula>$D$214&lt;3</formula>
    </cfRule>
  </conditionalFormatting>
  <conditionalFormatting sqref="L215:N215">
    <cfRule type="expression" dxfId="3199" priority="2092">
      <formula>$D$215&lt;3</formula>
    </cfRule>
  </conditionalFormatting>
  <conditionalFormatting sqref="L216:N216">
    <cfRule type="expression" dxfId="3198" priority="2107">
      <formula>$D$216&lt;3</formula>
    </cfRule>
  </conditionalFormatting>
  <conditionalFormatting sqref="L217:N217">
    <cfRule type="expression" dxfId="3197" priority="2122">
      <formula>$D$217&lt;3</formula>
    </cfRule>
  </conditionalFormatting>
  <conditionalFormatting sqref="L219:N219">
    <cfRule type="expression" dxfId="3196" priority="2137">
      <formula>$D$219&lt;3</formula>
    </cfRule>
  </conditionalFormatting>
  <conditionalFormatting sqref="L220:N220">
    <cfRule type="expression" dxfId="3195" priority="2152">
      <formula>$D$220&lt;3</formula>
    </cfRule>
  </conditionalFormatting>
  <conditionalFormatting sqref="L222:N222">
    <cfRule type="expression" dxfId="3194" priority="2167">
      <formula>$D$222&lt;3</formula>
    </cfRule>
  </conditionalFormatting>
  <conditionalFormatting sqref="L223:N223">
    <cfRule type="expression" dxfId="3193" priority="2182">
      <formula>$D$223&lt;3</formula>
    </cfRule>
  </conditionalFormatting>
  <conditionalFormatting sqref="L225:N225">
    <cfRule type="expression" dxfId="3192" priority="2197">
      <formula>$D$225&lt;3</formula>
    </cfRule>
  </conditionalFormatting>
  <conditionalFormatting sqref="L226:N226">
    <cfRule type="expression" dxfId="3191" priority="2212">
      <formula>$D$226&lt;3</formula>
    </cfRule>
  </conditionalFormatting>
  <conditionalFormatting sqref="L227:N227">
    <cfRule type="expression" dxfId="3190" priority="2227">
      <formula>$D$227&lt;3</formula>
    </cfRule>
  </conditionalFormatting>
  <conditionalFormatting sqref="L228:N228">
    <cfRule type="expression" dxfId="3189" priority="2242">
      <formula>$D$228&lt;3</formula>
    </cfRule>
  </conditionalFormatting>
  <conditionalFormatting sqref="L232:N232">
    <cfRule type="expression" dxfId="3188" priority="2257">
      <formula>$D$232&lt;3</formula>
    </cfRule>
  </conditionalFormatting>
  <conditionalFormatting sqref="L233:N233">
    <cfRule type="expression" dxfId="3187" priority="2272">
      <formula>$D$233&lt;3</formula>
    </cfRule>
  </conditionalFormatting>
  <conditionalFormatting sqref="L234:N234">
    <cfRule type="expression" dxfId="3186" priority="2287">
      <formula>$D$234&lt;3</formula>
    </cfRule>
  </conditionalFormatting>
  <conditionalFormatting sqref="L236:N236">
    <cfRule type="expression" dxfId="3185" priority="2302">
      <formula>$D$236&lt;3</formula>
    </cfRule>
  </conditionalFormatting>
  <conditionalFormatting sqref="L237:N237">
    <cfRule type="expression" dxfId="3184" priority="2317">
      <formula>$D$237&lt;3</formula>
    </cfRule>
  </conditionalFormatting>
  <conditionalFormatting sqref="L238:N238">
    <cfRule type="expression" dxfId="3183" priority="2332">
      <formula>$D$238&lt;3</formula>
    </cfRule>
  </conditionalFormatting>
  <conditionalFormatting sqref="L239:N239">
    <cfRule type="expression" dxfId="3182" priority="2347">
      <formula>$D$239&lt;3</formula>
    </cfRule>
  </conditionalFormatting>
  <conditionalFormatting sqref="L241:N241">
    <cfRule type="expression" dxfId="3181" priority="2362">
      <formula>$D$241&lt;3</formula>
    </cfRule>
  </conditionalFormatting>
  <conditionalFormatting sqref="L242:N242">
    <cfRule type="expression" dxfId="3180" priority="2377">
      <formula>$D$242&lt;3</formula>
    </cfRule>
  </conditionalFormatting>
  <conditionalFormatting sqref="L244:N244">
    <cfRule type="expression" dxfId="3179" priority="2392">
      <formula>$D$244&lt;3</formula>
    </cfRule>
  </conditionalFormatting>
  <conditionalFormatting sqref="L245:N245">
    <cfRule type="expression" dxfId="3178" priority="2407">
      <formula>$D$245&lt;3</formula>
    </cfRule>
  </conditionalFormatting>
  <conditionalFormatting sqref="L247:N247">
    <cfRule type="expression" dxfId="3177" priority="2422">
      <formula>$D$247&lt;3</formula>
    </cfRule>
  </conditionalFormatting>
  <conditionalFormatting sqref="L248:N248">
    <cfRule type="expression" dxfId="3176" priority="2437">
      <formula>$D$248&lt;3</formula>
    </cfRule>
  </conditionalFormatting>
  <conditionalFormatting sqref="L249:N249">
    <cfRule type="expression" dxfId="3175" priority="2452">
      <formula>$D$249&lt;3</formula>
    </cfRule>
  </conditionalFormatting>
  <conditionalFormatting sqref="L250:N250">
    <cfRule type="expression" dxfId="3174" priority="2467">
      <formula>$D$250&lt;3</formula>
    </cfRule>
  </conditionalFormatting>
  <conditionalFormatting sqref="L254:N254">
    <cfRule type="expression" dxfId="3173" priority="2482">
      <formula>$D$254&lt;3</formula>
    </cfRule>
  </conditionalFormatting>
  <conditionalFormatting sqref="L255:N255">
    <cfRule type="expression" dxfId="3172" priority="2497">
      <formula>$D$255&lt;3</formula>
    </cfRule>
  </conditionalFormatting>
  <conditionalFormatting sqref="L256:N256">
    <cfRule type="expression" dxfId="3171" priority="2512">
      <formula>$D$256&lt;3</formula>
    </cfRule>
  </conditionalFormatting>
  <conditionalFormatting sqref="L258:N258">
    <cfRule type="expression" dxfId="3170" priority="2527">
      <formula>$D$258&lt;3</formula>
    </cfRule>
  </conditionalFormatting>
  <conditionalFormatting sqref="L259:N259">
    <cfRule type="expression" dxfId="3169" priority="2542">
      <formula>$D$259&lt;3</formula>
    </cfRule>
  </conditionalFormatting>
  <conditionalFormatting sqref="L260:N260">
    <cfRule type="expression" dxfId="3168" priority="2557">
      <formula>$D$260&lt;3</formula>
    </cfRule>
  </conditionalFormatting>
  <conditionalFormatting sqref="L261:N261">
    <cfRule type="expression" dxfId="3167" priority="2572">
      <formula>$D$261&lt;3</formula>
    </cfRule>
  </conditionalFormatting>
  <conditionalFormatting sqref="L263:N263">
    <cfRule type="expression" dxfId="3166" priority="2587">
      <formula>$D$263&lt;3</formula>
    </cfRule>
  </conditionalFormatting>
  <conditionalFormatting sqref="L264:N264">
    <cfRule type="expression" dxfId="3165" priority="2602">
      <formula>$D$264&lt;3</formula>
    </cfRule>
  </conditionalFormatting>
  <conditionalFormatting sqref="L266:N266">
    <cfRule type="expression" dxfId="3164" priority="2617">
      <formula>$D$266&lt;3</formula>
    </cfRule>
  </conditionalFormatting>
  <conditionalFormatting sqref="L267:N267">
    <cfRule type="expression" dxfId="3163" priority="2632">
      <formula>$D$267&lt;3</formula>
    </cfRule>
  </conditionalFormatting>
  <conditionalFormatting sqref="L269:N269">
    <cfRule type="expression" dxfId="3162" priority="2647">
      <formula>$D$269&lt;3</formula>
    </cfRule>
  </conditionalFormatting>
  <conditionalFormatting sqref="L270:N270">
    <cfRule type="expression" dxfId="3161" priority="2662">
      <formula>$D$270&lt;3</formula>
    </cfRule>
  </conditionalFormatting>
  <conditionalFormatting sqref="L271:N271">
    <cfRule type="expression" dxfId="3160" priority="2677">
      <formula>$D$271&lt;3</formula>
    </cfRule>
  </conditionalFormatting>
  <conditionalFormatting sqref="L272:N272">
    <cfRule type="expression" dxfId="3159" priority="2692">
      <formula>$D$272&lt;3</formula>
    </cfRule>
  </conditionalFormatting>
  <conditionalFormatting sqref="O12:Q12">
    <cfRule type="expression" dxfId="3158" priority="10">
      <formula>$D$12&lt;4</formula>
    </cfRule>
  </conditionalFormatting>
  <conditionalFormatting sqref="O13:Q13">
    <cfRule type="expression" dxfId="3157" priority="25">
      <formula>$D$13&lt;4</formula>
    </cfRule>
  </conditionalFormatting>
  <conditionalFormatting sqref="O14:Q14">
    <cfRule type="expression" dxfId="3156" priority="40">
      <formula>$D$14&lt;4</formula>
    </cfRule>
  </conditionalFormatting>
  <conditionalFormatting sqref="O16:Q16">
    <cfRule type="expression" dxfId="3155" priority="55">
      <formula>$D$16&lt;4</formula>
    </cfRule>
  </conditionalFormatting>
  <conditionalFormatting sqref="O17:Q17">
    <cfRule type="expression" dxfId="3154" priority="70">
      <formula>$D$17&lt;4</formula>
    </cfRule>
  </conditionalFormatting>
  <conditionalFormatting sqref="O18:Q18">
    <cfRule type="expression" dxfId="3153" priority="85">
      <formula>$D$18&lt;4</formula>
    </cfRule>
  </conditionalFormatting>
  <conditionalFormatting sqref="O19:Q19">
    <cfRule type="expression" dxfId="3152" priority="100">
      <formula>$D$19&lt;4</formula>
    </cfRule>
  </conditionalFormatting>
  <conditionalFormatting sqref="O21:Q21">
    <cfRule type="expression" dxfId="3151" priority="115">
      <formula>$D$21&lt;4</formula>
    </cfRule>
  </conditionalFormatting>
  <conditionalFormatting sqref="O22:Q22">
    <cfRule type="expression" dxfId="3150" priority="130">
      <formula>$D$22&lt;4</formula>
    </cfRule>
  </conditionalFormatting>
  <conditionalFormatting sqref="O24:Q24">
    <cfRule type="expression" dxfId="3149" priority="145">
      <formula>$D$24&lt;4</formula>
    </cfRule>
  </conditionalFormatting>
  <conditionalFormatting sqref="O25:Q25">
    <cfRule type="expression" dxfId="3148" priority="160">
      <formula>$D$25&lt;4</formula>
    </cfRule>
  </conditionalFormatting>
  <conditionalFormatting sqref="O27:Q27">
    <cfRule type="expression" dxfId="3147" priority="175">
      <formula>$D$27&lt;4</formula>
    </cfRule>
  </conditionalFormatting>
  <conditionalFormatting sqref="O28:Q28">
    <cfRule type="expression" dxfId="3146" priority="190">
      <formula>$D$28&lt;4</formula>
    </cfRule>
  </conditionalFormatting>
  <conditionalFormatting sqref="O29:Q29">
    <cfRule type="expression" dxfId="3145" priority="205">
      <formula>$D$29&lt;4</formula>
    </cfRule>
  </conditionalFormatting>
  <conditionalFormatting sqref="O30:Q30">
    <cfRule type="expression" dxfId="3144" priority="220">
      <formula>$D$30&lt;4</formula>
    </cfRule>
  </conditionalFormatting>
  <conditionalFormatting sqref="O34:Q34">
    <cfRule type="expression" dxfId="3143" priority="235">
      <formula>$D$34&lt;4</formula>
    </cfRule>
  </conditionalFormatting>
  <conditionalFormatting sqref="O35:Q35">
    <cfRule type="expression" dxfId="3142" priority="250">
      <formula>$D$35&lt;4</formula>
    </cfRule>
  </conditionalFormatting>
  <conditionalFormatting sqref="O36:Q36">
    <cfRule type="expression" dxfId="3141" priority="265">
      <formula>$D$36&lt;4</formula>
    </cfRule>
  </conditionalFormatting>
  <conditionalFormatting sqref="O38:Q38">
    <cfRule type="expression" dxfId="3140" priority="280">
      <formula>$D$38&lt;4</formula>
    </cfRule>
  </conditionalFormatting>
  <conditionalFormatting sqref="O39:Q39">
    <cfRule type="expression" dxfId="3139" priority="295">
      <formula>$D$39&lt;4</formula>
    </cfRule>
  </conditionalFormatting>
  <conditionalFormatting sqref="O40:Q40">
    <cfRule type="expression" dxfId="3138" priority="310">
      <formula>$D$40&lt;4</formula>
    </cfRule>
  </conditionalFormatting>
  <conditionalFormatting sqref="O41:Q41">
    <cfRule type="expression" dxfId="3137" priority="325">
      <formula>$D$41&lt;4</formula>
    </cfRule>
  </conditionalFormatting>
  <conditionalFormatting sqref="O43:Q43">
    <cfRule type="expression" dxfId="3136" priority="340">
      <formula>$D$43&lt;4</formula>
    </cfRule>
  </conditionalFormatting>
  <conditionalFormatting sqref="O44:Q44">
    <cfRule type="expression" dxfId="3135" priority="355">
      <formula>$D$44&lt;4</formula>
    </cfRule>
  </conditionalFormatting>
  <conditionalFormatting sqref="O46:Q46">
    <cfRule type="expression" dxfId="3134" priority="370">
      <formula>$D$46&lt;4</formula>
    </cfRule>
  </conditionalFormatting>
  <conditionalFormatting sqref="O47:Q47">
    <cfRule type="expression" dxfId="3133" priority="385">
      <formula>$D$47&lt;4</formula>
    </cfRule>
  </conditionalFormatting>
  <conditionalFormatting sqref="O49:Q49">
    <cfRule type="expression" dxfId="3132" priority="400">
      <formula>$D$49&lt;4</formula>
    </cfRule>
  </conditionalFormatting>
  <conditionalFormatting sqref="O50:Q50">
    <cfRule type="expression" dxfId="3131" priority="415">
      <formula>$D$50&lt;4</formula>
    </cfRule>
  </conditionalFormatting>
  <conditionalFormatting sqref="O51:Q51">
    <cfRule type="expression" dxfId="3130" priority="430">
      <formula>$D$51&lt;4</formula>
    </cfRule>
  </conditionalFormatting>
  <conditionalFormatting sqref="O52:Q52">
    <cfRule type="expression" dxfId="3129" priority="445">
      <formula>$D$52&lt;4</formula>
    </cfRule>
  </conditionalFormatting>
  <conditionalFormatting sqref="O56:Q56">
    <cfRule type="expression" dxfId="3128" priority="460">
      <formula>$D$56&lt;4</formula>
    </cfRule>
  </conditionalFormatting>
  <conditionalFormatting sqref="O57:Q57">
    <cfRule type="expression" dxfId="3127" priority="475">
      <formula>$D$57&lt;4</formula>
    </cfRule>
  </conditionalFormatting>
  <conditionalFormatting sqref="O58:Q58">
    <cfRule type="expression" dxfId="3126" priority="490">
      <formula>$D$58&lt;4</formula>
    </cfRule>
  </conditionalFormatting>
  <conditionalFormatting sqref="O60:Q60">
    <cfRule type="expression" dxfId="3125" priority="505">
      <formula>$D$60&lt;4</formula>
    </cfRule>
  </conditionalFormatting>
  <conditionalFormatting sqref="O61:Q61">
    <cfRule type="expression" dxfId="3124" priority="520">
      <formula>$D$61&lt;4</formula>
    </cfRule>
  </conditionalFormatting>
  <conditionalFormatting sqref="O62:Q62">
    <cfRule type="expression" dxfId="3123" priority="535">
      <formula>$D$62&lt;4</formula>
    </cfRule>
  </conditionalFormatting>
  <conditionalFormatting sqref="O63:Q63">
    <cfRule type="expression" dxfId="3122" priority="550">
      <formula>$D$63&lt;4</formula>
    </cfRule>
  </conditionalFormatting>
  <conditionalFormatting sqref="O65:Q65">
    <cfRule type="expression" dxfId="3121" priority="565">
      <formula>$D$65&lt;4</formula>
    </cfRule>
  </conditionalFormatting>
  <conditionalFormatting sqref="O66:Q66">
    <cfRule type="expression" dxfId="3120" priority="580">
      <formula>$D$66&lt;4</formula>
    </cfRule>
  </conditionalFormatting>
  <conditionalFormatting sqref="O68:Q68">
    <cfRule type="expression" dxfId="3119" priority="595">
      <formula>$D$68&lt;4</formula>
    </cfRule>
  </conditionalFormatting>
  <conditionalFormatting sqref="O69:Q69">
    <cfRule type="expression" dxfId="3118" priority="610">
      <formula>$D$69&lt;4</formula>
    </cfRule>
  </conditionalFormatting>
  <conditionalFormatting sqref="O71:Q71">
    <cfRule type="expression" dxfId="3117" priority="625">
      <formula>$D$71&lt;4</formula>
    </cfRule>
  </conditionalFormatting>
  <conditionalFormatting sqref="O72:Q72">
    <cfRule type="expression" dxfId="3116" priority="640">
      <formula>$D$72&lt;4</formula>
    </cfRule>
  </conditionalFormatting>
  <conditionalFormatting sqref="O73:Q73">
    <cfRule type="expression" dxfId="3115" priority="655">
      <formula>$D$73&lt;4</formula>
    </cfRule>
  </conditionalFormatting>
  <conditionalFormatting sqref="O74:Q74">
    <cfRule type="expression" dxfId="3114" priority="670">
      <formula>$D$74&lt;4</formula>
    </cfRule>
  </conditionalFormatting>
  <conditionalFormatting sqref="O78:Q78">
    <cfRule type="expression" dxfId="3113" priority="685">
      <formula>$D$78&lt;4</formula>
    </cfRule>
  </conditionalFormatting>
  <conditionalFormatting sqref="O79:Q79">
    <cfRule type="expression" dxfId="3112" priority="700">
      <formula>$D$79&lt;4</formula>
    </cfRule>
  </conditionalFormatting>
  <conditionalFormatting sqref="O80:Q80">
    <cfRule type="expression" dxfId="3111" priority="715">
      <formula>$D$80&lt;4</formula>
    </cfRule>
  </conditionalFormatting>
  <conditionalFormatting sqref="O82:Q82">
    <cfRule type="expression" dxfId="3110" priority="730">
      <formula>$D$82&lt;4</formula>
    </cfRule>
  </conditionalFormatting>
  <conditionalFormatting sqref="O83:Q83">
    <cfRule type="expression" dxfId="3109" priority="745">
      <formula>$D$83&lt;4</formula>
    </cfRule>
  </conditionalFormatting>
  <conditionalFormatting sqref="O84:Q84">
    <cfRule type="expression" dxfId="3108" priority="760">
      <formula>$D$84&lt;4</formula>
    </cfRule>
  </conditionalFormatting>
  <conditionalFormatting sqref="O85:Q85">
    <cfRule type="expression" dxfId="3107" priority="775">
      <formula>$D$85&lt;4</formula>
    </cfRule>
  </conditionalFormatting>
  <conditionalFormatting sqref="O87:Q87">
    <cfRule type="expression" dxfId="3106" priority="790">
      <formula>$D$87&lt;4</formula>
    </cfRule>
  </conditionalFormatting>
  <conditionalFormatting sqref="O88:Q88">
    <cfRule type="expression" dxfId="3105" priority="805">
      <formula>$D$88&lt;4</formula>
    </cfRule>
  </conditionalFormatting>
  <conditionalFormatting sqref="O90:Q90">
    <cfRule type="expression" dxfId="3104" priority="820">
      <formula>$D$90&lt;4</formula>
    </cfRule>
  </conditionalFormatting>
  <conditionalFormatting sqref="O91:Q91">
    <cfRule type="expression" dxfId="3103" priority="835">
      <formula>$D$91&lt;4</formula>
    </cfRule>
  </conditionalFormatting>
  <conditionalFormatting sqref="O93:Q93">
    <cfRule type="expression" dxfId="3102" priority="850">
      <formula>$D$93&lt;4</formula>
    </cfRule>
  </conditionalFormatting>
  <conditionalFormatting sqref="O94:Q94">
    <cfRule type="expression" dxfId="3101" priority="865">
      <formula>$D$94&lt;4</formula>
    </cfRule>
  </conditionalFormatting>
  <conditionalFormatting sqref="O95:Q95">
    <cfRule type="expression" dxfId="3100" priority="880">
      <formula>$D$95&lt;4</formula>
    </cfRule>
  </conditionalFormatting>
  <conditionalFormatting sqref="O96:Q96">
    <cfRule type="expression" dxfId="3099" priority="895">
      <formula>$D$96&lt;4</formula>
    </cfRule>
  </conditionalFormatting>
  <conditionalFormatting sqref="O100:Q100">
    <cfRule type="expression" dxfId="3098" priority="910">
      <formula>$D$100&lt;4</formula>
    </cfRule>
  </conditionalFormatting>
  <conditionalFormatting sqref="O101:Q101">
    <cfRule type="expression" dxfId="3097" priority="925">
      <formula>$D$101&lt;4</formula>
    </cfRule>
  </conditionalFormatting>
  <conditionalFormatting sqref="O102:Q102">
    <cfRule type="expression" dxfId="3096" priority="940">
      <formula>$D$102&lt;4</formula>
    </cfRule>
  </conditionalFormatting>
  <conditionalFormatting sqref="O104:Q104">
    <cfRule type="expression" dxfId="3095" priority="955">
      <formula>$D$104&lt;4</formula>
    </cfRule>
  </conditionalFormatting>
  <conditionalFormatting sqref="O105:Q105">
    <cfRule type="expression" dxfId="3094" priority="970">
      <formula>$D$105&lt;4</formula>
    </cfRule>
  </conditionalFormatting>
  <conditionalFormatting sqref="O106:Q106">
    <cfRule type="expression" dxfId="3093" priority="985">
      <formula>$D$106&lt;4</formula>
    </cfRule>
  </conditionalFormatting>
  <conditionalFormatting sqref="O107:Q107">
    <cfRule type="expression" dxfId="3092" priority="1000">
      <formula>$D$107&lt;4</formula>
    </cfRule>
  </conditionalFormatting>
  <conditionalFormatting sqref="O109:Q109">
    <cfRule type="expression" dxfId="3091" priority="1015">
      <formula>$D$109&lt;4</formula>
    </cfRule>
  </conditionalFormatting>
  <conditionalFormatting sqref="O110:Q110">
    <cfRule type="expression" dxfId="3090" priority="1030">
      <formula>$D$110&lt;4</formula>
    </cfRule>
  </conditionalFormatting>
  <conditionalFormatting sqref="O112:Q112">
    <cfRule type="expression" dxfId="3089" priority="1045">
      <formula>$D$112&lt;4</formula>
    </cfRule>
  </conditionalFormatting>
  <conditionalFormatting sqref="O113:Q113">
    <cfRule type="expression" dxfId="3088" priority="1060">
      <formula>$D$113&lt;4</formula>
    </cfRule>
  </conditionalFormatting>
  <conditionalFormatting sqref="O115:Q115">
    <cfRule type="expression" dxfId="3087" priority="1075">
      <formula>$D$115&lt;4</formula>
    </cfRule>
  </conditionalFormatting>
  <conditionalFormatting sqref="O116:Q116">
    <cfRule type="expression" dxfId="3086" priority="1090">
      <formula>$D$116&lt;4</formula>
    </cfRule>
  </conditionalFormatting>
  <conditionalFormatting sqref="O117:Q117">
    <cfRule type="expression" dxfId="3085" priority="1105">
      <formula>$D$117&lt;4</formula>
    </cfRule>
  </conditionalFormatting>
  <conditionalFormatting sqref="O118:Q118">
    <cfRule type="expression" dxfId="3084" priority="1120">
      <formula>$D$118&lt;4</formula>
    </cfRule>
  </conditionalFormatting>
  <conditionalFormatting sqref="O122:Q122">
    <cfRule type="expression" dxfId="3083" priority="1135">
      <formula>$D$122&lt;4</formula>
    </cfRule>
  </conditionalFormatting>
  <conditionalFormatting sqref="O123:Q123">
    <cfRule type="expression" dxfId="3082" priority="1150">
      <formula>$D$123&lt;4</formula>
    </cfRule>
  </conditionalFormatting>
  <conditionalFormatting sqref="O124:Q124">
    <cfRule type="expression" dxfId="3081" priority="1165">
      <formula>$D$124&lt;4</formula>
    </cfRule>
  </conditionalFormatting>
  <conditionalFormatting sqref="O126:Q126">
    <cfRule type="expression" dxfId="3080" priority="1180">
      <formula>$D$126&lt;4</formula>
    </cfRule>
  </conditionalFormatting>
  <conditionalFormatting sqref="O127:Q127">
    <cfRule type="expression" dxfId="3079" priority="1195">
      <formula>$D$127&lt;4</formula>
    </cfRule>
  </conditionalFormatting>
  <conditionalFormatting sqref="O128:Q128">
    <cfRule type="expression" dxfId="3078" priority="1210">
      <formula>$D$128&lt;4</formula>
    </cfRule>
  </conditionalFormatting>
  <conditionalFormatting sqref="O129:Q129">
    <cfRule type="expression" dxfId="3077" priority="1225">
      <formula>$D$129&lt;4</formula>
    </cfRule>
  </conditionalFormatting>
  <conditionalFormatting sqref="O131:Q131">
    <cfRule type="expression" dxfId="3076" priority="1240">
      <formula>$D$131&lt;4</formula>
    </cfRule>
  </conditionalFormatting>
  <conditionalFormatting sqref="O132:Q132">
    <cfRule type="expression" dxfId="3075" priority="1255">
      <formula>$D$132&lt;4</formula>
    </cfRule>
  </conditionalFormatting>
  <conditionalFormatting sqref="O134:Q134">
    <cfRule type="expression" dxfId="3074" priority="1270">
      <formula>$D$134&lt;4</formula>
    </cfRule>
  </conditionalFormatting>
  <conditionalFormatting sqref="O135:Q135">
    <cfRule type="expression" dxfId="3073" priority="1285">
      <formula>$D$135&lt;4</formula>
    </cfRule>
  </conditionalFormatting>
  <conditionalFormatting sqref="O137:Q137">
    <cfRule type="expression" dxfId="3072" priority="1300">
      <formula>$D$137&lt;4</formula>
    </cfRule>
  </conditionalFormatting>
  <conditionalFormatting sqref="O138:Q138">
    <cfRule type="expression" dxfId="3071" priority="1315">
      <formula>$D$138&lt;4</formula>
    </cfRule>
  </conditionalFormatting>
  <conditionalFormatting sqref="O139:Q139">
    <cfRule type="expression" dxfId="3070" priority="1330">
      <formula>$D$139&lt;4</formula>
    </cfRule>
  </conditionalFormatting>
  <conditionalFormatting sqref="O140:Q140">
    <cfRule type="expression" dxfId="3069" priority="1345">
      <formula>$D$140&lt;4</formula>
    </cfRule>
  </conditionalFormatting>
  <conditionalFormatting sqref="O144:Q144">
    <cfRule type="expression" dxfId="3068" priority="1360">
      <formula>$D$144&lt;4</formula>
    </cfRule>
  </conditionalFormatting>
  <conditionalFormatting sqref="O145:Q145">
    <cfRule type="expression" dxfId="3067" priority="1375">
      <formula>$D$145&lt;4</formula>
    </cfRule>
  </conditionalFormatting>
  <conditionalFormatting sqref="O146:Q146">
    <cfRule type="expression" dxfId="3066" priority="1390">
      <formula>$D$146&lt;4</formula>
    </cfRule>
  </conditionalFormatting>
  <conditionalFormatting sqref="O148:Q148">
    <cfRule type="expression" dxfId="3065" priority="1405">
      <formula>$D$148&lt;4</formula>
    </cfRule>
  </conditionalFormatting>
  <conditionalFormatting sqref="O149:Q149">
    <cfRule type="expression" dxfId="3064" priority="1420">
      <formula>$D$149&lt;4</formula>
    </cfRule>
  </conditionalFormatting>
  <conditionalFormatting sqref="O150:Q150">
    <cfRule type="expression" dxfId="3063" priority="1435">
      <formula>$D$150&lt;4</formula>
    </cfRule>
  </conditionalFormatting>
  <conditionalFormatting sqref="O151:Q151">
    <cfRule type="expression" dxfId="3062" priority="1450">
      <formula>$D$151&lt;4</formula>
    </cfRule>
  </conditionalFormatting>
  <conditionalFormatting sqref="O153:Q153">
    <cfRule type="expression" dxfId="3061" priority="1465">
      <formula>$D$153&lt;4</formula>
    </cfRule>
  </conditionalFormatting>
  <conditionalFormatting sqref="O154:Q154">
    <cfRule type="expression" dxfId="3060" priority="1480">
      <formula>$D$154&lt;4</formula>
    </cfRule>
  </conditionalFormatting>
  <conditionalFormatting sqref="O156:Q156">
    <cfRule type="expression" dxfId="3059" priority="1495">
      <formula>$D$156&lt;4</formula>
    </cfRule>
  </conditionalFormatting>
  <conditionalFormatting sqref="O157:Q157">
    <cfRule type="expression" dxfId="3058" priority="1510">
      <formula>$D$157&lt;4</formula>
    </cfRule>
  </conditionalFormatting>
  <conditionalFormatting sqref="O159:Q159">
    <cfRule type="expression" dxfId="3057" priority="1525">
      <formula>$D$159&lt;4</formula>
    </cfRule>
  </conditionalFormatting>
  <conditionalFormatting sqref="O160:Q160">
    <cfRule type="expression" dxfId="3056" priority="1540">
      <formula>$D$160&lt;4</formula>
    </cfRule>
  </conditionalFormatting>
  <conditionalFormatting sqref="O161:Q161">
    <cfRule type="expression" dxfId="3055" priority="1555">
      <formula>$D$161&lt;4</formula>
    </cfRule>
  </conditionalFormatting>
  <conditionalFormatting sqref="O162:Q162">
    <cfRule type="expression" dxfId="3054" priority="1570">
      <formula>$D$162&lt;4</formula>
    </cfRule>
  </conditionalFormatting>
  <conditionalFormatting sqref="O166:Q166">
    <cfRule type="expression" dxfId="3053" priority="1585">
      <formula>$D$166&lt;4</formula>
    </cfRule>
  </conditionalFormatting>
  <conditionalFormatting sqref="O167:Q167">
    <cfRule type="expression" dxfId="3052" priority="1600">
      <formula>$D$167&lt;4</formula>
    </cfRule>
  </conditionalFormatting>
  <conditionalFormatting sqref="O168:Q168">
    <cfRule type="expression" dxfId="3051" priority="1615">
      <formula>$D$168&lt;4</formula>
    </cfRule>
  </conditionalFormatting>
  <conditionalFormatting sqref="O170:Q170">
    <cfRule type="expression" dxfId="3050" priority="1630">
      <formula>$D$170&lt;4</formula>
    </cfRule>
  </conditionalFormatting>
  <conditionalFormatting sqref="O171:Q171">
    <cfRule type="expression" dxfId="3049" priority="1645">
      <formula>$D$171&lt;4</formula>
    </cfRule>
  </conditionalFormatting>
  <conditionalFormatting sqref="O172:Q172">
    <cfRule type="expression" dxfId="3048" priority="1660">
      <formula>$D$172&lt;4</formula>
    </cfRule>
  </conditionalFormatting>
  <conditionalFormatting sqref="O173:Q173">
    <cfRule type="expression" dxfId="3047" priority="1675">
      <formula>$D$173&lt;4</formula>
    </cfRule>
  </conditionalFormatting>
  <conditionalFormatting sqref="O175:Q175">
    <cfRule type="expression" dxfId="3046" priority="1690">
      <formula>$D$175&lt;4</formula>
    </cfRule>
  </conditionalFormatting>
  <conditionalFormatting sqref="O176:Q176">
    <cfRule type="expression" dxfId="3045" priority="1705">
      <formula>$D$176&lt;4</formula>
    </cfRule>
  </conditionalFormatting>
  <conditionalFormatting sqref="O178:Q178">
    <cfRule type="expression" dxfId="3044" priority="1720">
      <formula>$D$178&lt;4</formula>
    </cfRule>
  </conditionalFormatting>
  <conditionalFormatting sqref="O179:Q179">
    <cfRule type="expression" dxfId="3043" priority="1735">
      <formula>$D$179&lt;4</formula>
    </cfRule>
  </conditionalFormatting>
  <conditionalFormatting sqref="O181:Q181">
    <cfRule type="expression" dxfId="3042" priority="1750">
      <formula>$D$181&lt;4</formula>
    </cfRule>
  </conditionalFormatting>
  <conditionalFormatting sqref="O182:Q182">
    <cfRule type="expression" dxfId="3041" priority="1765">
      <formula>$D$182&lt;4</formula>
    </cfRule>
  </conditionalFormatting>
  <conditionalFormatting sqref="O183:Q183">
    <cfRule type="expression" dxfId="3040" priority="1780">
      <formula>$D$183&lt;4</formula>
    </cfRule>
  </conditionalFormatting>
  <conditionalFormatting sqref="O184:Q184">
    <cfRule type="expression" dxfId="3039" priority="1795">
      <formula>$D$184&lt;4</formula>
    </cfRule>
  </conditionalFormatting>
  <conditionalFormatting sqref="O188:Q188">
    <cfRule type="expression" dxfId="3038" priority="1810">
      <formula>$D$188&lt;4</formula>
    </cfRule>
  </conditionalFormatting>
  <conditionalFormatting sqref="O189:Q189">
    <cfRule type="expression" dxfId="3037" priority="1825">
      <formula>$D$189&lt;4</formula>
    </cfRule>
  </conditionalFormatting>
  <conditionalFormatting sqref="O190:Q190">
    <cfRule type="expression" dxfId="3036" priority="1840">
      <formula>$D$190&lt;4</formula>
    </cfRule>
  </conditionalFormatting>
  <conditionalFormatting sqref="O192:Q192">
    <cfRule type="expression" dxfId="3035" priority="1855">
      <formula>$D$192&lt;4</formula>
    </cfRule>
  </conditionalFormatting>
  <conditionalFormatting sqref="O193:Q193">
    <cfRule type="expression" dxfId="3034" priority="1870">
      <formula>$D$193&lt;4</formula>
    </cfRule>
  </conditionalFormatting>
  <conditionalFormatting sqref="O194:Q194">
    <cfRule type="expression" dxfId="3033" priority="1885">
      <formula>$D$194&lt;4</formula>
    </cfRule>
  </conditionalFormatting>
  <conditionalFormatting sqref="O195:Q195">
    <cfRule type="expression" dxfId="3032" priority="1900">
      <formula>$D$195&lt;4</formula>
    </cfRule>
  </conditionalFormatting>
  <conditionalFormatting sqref="O197:Q197">
    <cfRule type="expression" dxfId="3031" priority="1915">
      <formula>$D$197&lt;4</formula>
    </cfRule>
  </conditionalFormatting>
  <conditionalFormatting sqref="O198:Q198">
    <cfRule type="expression" dxfId="3030" priority="1930">
      <formula>$D$198&lt;4</formula>
    </cfRule>
  </conditionalFormatting>
  <conditionalFormatting sqref="O200:Q200">
    <cfRule type="expression" dxfId="3029" priority="1945">
      <formula>$D$200&lt;4</formula>
    </cfRule>
  </conditionalFormatting>
  <conditionalFormatting sqref="O201:Q201">
    <cfRule type="expression" dxfId="3028" priority="1960">
      <formula>$D$201&lt;4</formula>
    </cfRule>
  </conditionalFormatting>
  <conditionalFormatting sqref="O203:Q203">
    <cfRule type="expression" dxfId="3027" priority="1975">
      <formula>$D$203&lt;4</formula>
    </cfRule>
  </conditionalFormatting>
  <conditionalFormatting sqref="O204:Q204">
    <cfRule type="expression" dxfId="3026" priority="1990">
      <formula>$D$204&lt;4</formula>
    </cfRule>
  </conditionalFormatting>
  <conditionalFormatting sqref="O205:Q205">
    <cfRule type="expression" dxfId="3025" priority="2005">
      <formula>$D$205&lt;4</formula>
    </cfRule>
  </conditionalFormatting>
  <conditionalFormatting sqref="O206:Q206">
    <cfRule type="expression" dxfId="3024" priority="2020">
      <formula>$D$206&lt;4</formula>
    </cfRule>
  </conditionalFormatting>
  <conditionalFormatting sqref="O210:Q210">
    <cfRule type="expression" dxfId="3023" priority="2035">
      <formula>$D$210&lt;4</formula>
    </cfRule>
  </conditionalFormatting>
  <conditionalFormatting sqref="O211:Q211">
    <cfRule type="expression" dxfId="3022" priority="2050">
      <formula>$D$211&lt;4</formula>
    </cfRule>
  </conditionalFormatting>
  <conditionalFormatting sqref="O212:Q212">
    <cfRule type="expression" dxfId="3021" priority="2065">
      <formula>$D$212&lt;4</formula>
    </cfRule>
  </conditionalFormatting>
  <conditionalFormatting sqref="O214:Q214">
    <cfRule type="expression" dxfId="3020" priority="2080">
      <formula>$D$214&lt;4</formula>
    </cfRule>
  </conditionalFormatting>
  <conditionalFormatting sqref="O215:Q215">
    <cfRule type="expression" dxfId="3019" priority="2095">
      <formula>$D$215&lt;4</formula>
    </cfRule>
  </conditionalFormatting>
  <conditionalFormatting sqref="O216:Q216">
    <cfRule type="expression" dxfId="3018" priority="2110">
      <formula>$D$216&lt;4</formula>
    </cfRule>
  </conditionalFormatting>
  <conditionalFormatting sqref="O217:Q217">
    <cfRule type="expression" dxfId="3017" priority="2125">
      <formula>$D$217&lt;4</formula>
    </cfRule>
  </conditionalFormatting>
  <conditionalFormatting sqref="O219:Q219">
    <cfRule type="expression" dxfId="3016" priority="2140">
      <formula>$D$219&lt;4</formula>
    </cfRule>
  </conditionalFormatting>
  <conditionalFormatting sqref="O220:Q220">
    <cfRule type="expression" dxfId="3015" priority="2155">
      <formula>$D$220&lt;4</formula>
    </cfRule>
  </conditionalFormatting>
  <conditionalFormatting sqref="O222:Q222">
    <cfRule type="expression" dxfId="3014" priority="2170">
      <formula>$D$222&lt;4</formula>
    </cfRule>
  </conditionalFormatting>
  <conditionalFormatting sqref="O223:Q223">
    <cfRule type="expression" dxfId="3013" priority="2185">
      <formula>$D$223&lt;4</formula>
    </cfRule>
  </conditionalFormatting>
  <conditionalFormatting sqref="O225:Q225">
    <cfRule type="expression" dxfId="3012" priority="2200">
      <formula>$D$225&lt;4</formula>
    </cfRule>
  </conditionalFormatting>
  <conditionalFormatting sqref="O226:Q226">
    <cfRule type="expression" dxfId="3011" priority="2215">
      <formula>$D$226&lt;4</formula>
    </cfRule>
  </conditionalFormatting>
  <conditionalFormatting sqref="O227:Q227">
    <cfRule type="expression" dxfId="3010" priority="2230">
      <formula>$D$227&lt;4</formula>
    </cfRule>
  </conditionalFormatting>
  <conditionalFormatting sqref="O228:Q228">
    <cfRule type="expression" dxfId="3009" priority="2245">
      <formula>$D$228&lt;4</formula>
    </cfRule>
  </conditionalFormatting>
  <conditionalFormatting sqref="O232:Q232">
    <cfRule type="expression" dxfId="3008" priority="2260">
      <formula>$D$232&lt;4</formula>
    </cfRule>
  </conditionalFormatting>
  <conditionalFormatting sqref="O233:Q233">
    <cfRule type="expression" dxfId="3007" priority="2275">
      <formula>$D$233&lt;4</formula>
    </cfRule>
  </conditionalFormatting>
  <conditionalFormatting sqref="O234:Q234">
    <cfRule type="expression" dxfId="3006" priority="2290">
      <formula>$D$234&lt;4</formula>
    </cfRule>
  </conditionalFormatting>
  <conditionalFormatting sqref="O236:Q236">
    <cfRule type="expression" dxfId="3005" priority="2305">
      <formula>$D$236&lt;4</formula>
    </cfRule>
  </conditionalFormatting>
  <conditionalFormatting sqref="O237:Q237">
    <cfRule type="expression" dxfId="3004" priority="2320">
      <formula>$D$237&lt;4</formula>
    </cfRule>
  </conditionalFormatting>
  <conditionalFormatting sqref="O238:Q238">
    <cfRule type="expression" dxfId="3003" priority="2335">
      <formula>$D$238&lt;4</formula>
    </cfRule>
  </conditionalFormatting>
  <conditionalFormatting sqref="O239:Q239">
    <cfRule type="expression" dxfId="3002" priority="2350">
      <formula>$D$239&lt;4</formula>
    </cfRule>
  </conditionalFormatting>
  <conditionalFormatting sqref="O241:Q241">
    <cfRule type="expression" dxfId="3001" priority="2365">
      <formula>$D$241&lt;4</formula>
    </cfRule>
  </conditionalFormatting>
  <conditionalFormatting sqref="O242:Q242">
    <cfRule type="expression" dxfId="3000" priority="2380">
      <formula>$D$242&lt;4</formula>
    </cfRule>
  </conditionalFormatting>
  <conditionalFormatting sqref="O244:Q244">
    <cfRule type="expression" dxfId="2999" priority="2395">
      <formula>$D$244&lt;4</formula>
    </cfRule>
  </conditionalFormatting>
  <conditionalFormatting sqref="O245:Q245">
    <cfRule type="expression" dxfId="2998" priority="2410">
      <formula>$D$245&lt;4</formula>
    </cfRule>
  </conditionalFormatting>
  <conditionalFormatting sqref="O247:Q247">
    <cfRule type="expression" dxfId="2997" priority="2425">
      <formula>$D$247&lt;4</formula>
    </cfRule>
  </conditionalFormatting>
  <conditionalFormatting sqref="O248:Q248">
    <cfRule type="expression" dxfId="2996" priority="2440">
      <formula>$D$248&lt;4</formula>
    </cfRule>
  </conditionalFormatting>
  <conditionalFormatting sqref="O249:Q249">
    <cfRule type="expression" dxfId="2995" priority="2455">
      <formula>$D$249&lt;4</formula>
    </cfRule>
  </conditionalFormatting>
  <conditionalFormatting sqref="O250:Q250">
    <cfRule type="expression" dxfId="2994" priority="2470">
      <formula>$D$250&lt;4</formula>
    </cfRule>
  </conditionalFormatting>
  <conditionalFormatting sqref="O254:Q254">
    <cfRule type="expression" dxfId="2993" priority="2485">
      <formula>$D$254&lt;4</formula>
    </cfRule>
  </conditionalFormatting>
  <conditionalFormatting sqref="O255:Q255">
    <cfRule type="expression" dxfId="2992" priority="2500">
      <formula>$D$255&lt;4</formula>
    </cfRule>
  </conditionalFormatting>
  <conditionalFormatting sqref="O256:Q256">
    <cfRule type="expression" dxfId="2991" priority="2515">
      <formula>$D$256&lt;4</formula>
    </cfRule>
  </conditionalFormatting>
  <conditionalFormatting sqref="O258:Q258">
    <cfRule type="expression" dxfId="2990" priority="2530">
      <formula>$D$258&lt;4</formula>
    </cfRule>
  </conditionalFormatting>
  <conditionalFormatting sqref="O259:Q259">
    <cfRule type="expression" dxfId="2989" priority="2545">
      <formula>$D$259&lt;4</formula>
    </cfRule>
  </conditionalFormatting>
  <conditionalFormatting sqref="O260:Q260">
    <cfRule type="expression" dxfId="2988" priority="2560">
      <formula>$D$260&lt;4</formula>
    </cfRule>
  </conditionalFormatting>
  <conditionalFormatting sqref="O261:Q261">
    <cfRule type="expression" dxfId="2987" priority="2575">
      <formula>$D$261&lt;4</formula>
    </cfRule>
  </conditionalFormatting>
  <conditionalFormatting sqref="O263:Q263">
    <cfRule type="expression" dxfId="2986" priority="2590">
      <formula>$D$263&lt;4</formula>
    </cfRule>
  </conditionalFormatting>
  <conditionalFormatting sqref="O264:Q264">
    <cfRule type="expression" dxfId="2985" priority="2605">
      <formula>$D$264&lt;4</formula>
    </cfRule>
  </conditionalFormatting>
  <conditionalFormatting sqref="O266:Q266">
    <cfRule type="expression" dxfId="2984" priority="2620">
      <formula>$D$266&lt;4</formula>
    </cfRule>
  </conditionalFormatting>
  <conditionalFormatting sqref="O267:Q267">
    <cfRule type="expression" dxfId="2983" priority="2635">
      <formula>$D$267&lt;4</formula>
    </cfRule>
  </conditionalFormatting>
  <conditionalFormatting sqref="O269:Q269">
    <cfRule type="expression" dxfId="2982" priority="2650">
      <formula>$D$269&lt;4</formula>
    </cfRule>
  </conditionalFormatting>
  <conditionalFormatting sqref="O270:Q270">
    <cfRule type="expression" dxfId="2981" priority="2665">
      <formula>$D$270&lt;4</formula>
    </cfRule>
  </conditionalFormatting>
  <conditionalFormatting sqref="O271:Q271">
    <cfRule type="expression" dxfId="2980" priority="2680">
      <formula>$D$271&lt;4</formula>
    </cfRule>
  </conditionalFormatting>
  <conditionalFormatting sqref="O272:Q272">
    <cfRule type="expression" dxfId="2979" priority="2695">
      <formula>$D$272&lt;4</formula>
    </cfRule>
  </conditionalFormatting>
  <conditionalFormatting sqref="R12:T12">
    <cfRule type="expression" dxfId="2978" priority="13">
      <formula>$D$12&lt;5</formula>
    </cfRule>
  </conditionalFormatting>
  <conditionalFormatting sqref="R13:T13">
    <cfRule type="expression" dxfId="2977" priority="28">
      <formula>$D$13&lt;5</formula>
    </cfRule>
  </conditionalFormatting>
  <conditionalFormatting sqref="R14:T14">
    <cfRule type="expression" dxfId="2976" priority="43">
      <formula>$D$14&lt;5</formula>
    </cfRule>
  </conditionalFormatting>
  <conditionalFormatting sqref="R16:T16">
    <cfRule type="expression" dxfId="2975" priority="58">
      <formula>$D$16&lt;5</formula>
    </cfRule>
  </conditionalFormatting>
  <conditionalFormatting sqref="R17:T17">
    <cfRule type="expression" dxfId="2974" priority="73">
      <formula>$D$17&lt;5</formula>
    </cfRule>
  </conditionalFormatting>
  <conditionalFormatting sqref="R18:T18">
    <cfRule type="expression" dxfId="2973" priority="88">
      <formula>$D$18&lt;5</formula>
    </cfRule>
  </conditionalFormatting>
  <conditionalFormatting sqref="R19:T19">
    <cfRule type="expression" dxfId="2972" priority="103">
      <formula>$D$19&lt;5</formula>
    </cfRule>
  </conditionalFormatting>
  <conditionalFormatting sqref="R21:T21">
    <cfRule type="expression" dxfId="2971" priority="118">
      <formula>$D$21&lt;5</formula>
    </cfRule>
  </conditionalFormatting>
  <conditionalFormatting sqref="R22:T22">
    <cfRule type="expression" dxfId="2970" priority="133">
      <formula>$D$22&lt;5</formula>
    </cfRule>
  </conditionalFormatting>
  <conditionalFormatting sqref="R24:T24">
    <cfRule type="expression" dxfId="2969" priority="148">
      <formula>$D$24&lt;5</formula>
    </cfRule>
  </conditionalFormatting>
  <conditionalFormatting sqref="R25:T25">
    <cfRule type="expression" dxfId="2968" priority="163">
      <formula>$D$25&lt;5</formula>
    </cfRule>
  </conditionalFormatting>
  <conditionalFormatting sqref="R27:T27">
    <cfRule type="expression" dxfId="2967" priority="178">
      <formula>$D$27&lt;5</formula>
    </cfRule>
  </conditionalFormatting>
  <conditionalFormatting sqref="R28:T28">
    <cfRule type="expression" dxfId="2966" priority="193">
      <formula>$D$28&lt;5</formula>
    </cfRule>
  </conditionalFormatting>
  <conditionalFormatting sqref="R29:T29">
    <cfRule type="expression" dxfId="2965" priority="208">
      <formula>$D$29&lt;5</formula>
    </cfRule>
  </conditionalFormatting>
  <conditionalFormatting sqref="R30:T30">
    <cfRule type="expression" dxfId="2964" priority="223">
      <formula>$D$30&lt;5</formula>
    </cfRule>
  </conditionalFormatting>
  <conditionalFormatting sqref="R34:T34">
    <cfRule type="expression" dxfId="2963" priority="238">
      <formula>$D$34&lt;5</formula>
    </cfRule>
  </conditionalFormatting>
  <conditionalFormatting sqref="R35:T35">
    <cfRule type="expression" dxfId="2962" priority="253">
      <formula>$D$35&lt;5</formula>
    </cfRule>
  </conditionalFormatting>
  <conditionalFormatting sqref="R36:T36">
    <cfRule type="expression" dxfId="2961" priority="268">
      <formula>$D$36&lt;5</formula>
    </cfRule>
  </conditionalFormatting>
  <conditionalFormatting sqref="R38:T38">
    <cfRule type="expression" dxfId="2960" priority="283">
      <formula>$D$38&lt;5</formula>
    </cfRule>
  </conditionalFormatting>
  <conditionalFormatting sqref="R39:T39">
    <cfRule type="expression" dxfId="2959" priority="298">
      <formula>$D$39&lt;5</formula>
    </cfRule>
  </conditionalFormatting>
  <conditionalFormatting sqref="R40:T40">
    <cfRule type="expression" dxfId="2958" priority="313">
      <formula>$D$40&lt;5</formula>
    </cfRule>
  </conditionalFormatting>
  <conditionalFormatting sqref="R41:T41">
    <cfRule type="expression" dxfId="2957" priority="328">
      <formula>$D$41&lt;5</formula>
    </cfRule>
  </conditionalFormatting>
  <conditionalFormatting sqref="R43:T43">
    <cfRule type="expression" dxfId="2956" priority="343">
      <formula>$D$43&lt;5</formula>
    </cfRule>
  </conditionalFormatting>
  <conditionalFormatting sqref="R44:T44">
    <cfRule type="expression" dxfId="2955" priority="358">
      <formula>$D$44&lt;5</formula>
    </cfRule>
  </conditionalFormatting>
  <conditionalFormatting sqref="R46:T46">
    <cfRule type="expression" dxfId="2954" priority="373">
      <formula>$D$46&lt;5</formula>
    </cfRule>
  </conditionalFormatting>
  <conditionalFormatting sqref="R47:T47">
    <cfRule type="expression" dxfId="2953" priority="388">
      <formula>$D$47&lt;5</formula>
    </cfRule>
  </conditionalFormatting>
  <conditionalFormatting sqref="R49:T49">
    <cfRule type="expression" dxfId="2952" priority="403">
      <formula>$D$49&lt;5</formula>
    </cfRule>
  </conditionalFormatting>
  <conditionalFormatting sqref="R50:T50">
    <cfRule type="expression" dxfId="2951" priority="418">
      <formula>$D$50&lt;5</formula>
    </cfRule>
  </conditionalFormatting>
  <conditionalFormatting sqref="R51:T51">
    <cfRule type="expression" dxfId="2950" priority="433">
      <formula>$D$51&lt;5</formula>
    </cfRule>
  </conditionalFormatting>
  <conditionalFormatting sqref="R52:T52">
    <cfRule type="expression" dxfId="2949" priority="448">
      <formula>$D$52&lt;5</formula>
    </cfRule>
  </conditionalFormatting>
  <conditionalFormatting sqref="R56:T56">
    <cfRule type="expression" dxfId="2948" priority="463">
      <formula>$D$56&lt;5</formula>
    </cfRule>
  </conditionalFormatting>
  <conditionalFormatting sqref="R57:T57">
    <cfRule type="expression" dxfId="2947" priority="478">
      <formula>$D$57&lt;5</formula>
    </cfRule>
  </conditionalFormatting>
  <conditionalFormatting sqref="R58:T58">
    <cfRule type="expression" dxfId="2946" priority="493">
      <formula>$D$58&lt;5</formula>
    </cfRule>
  </conditionalFormatting>
  <conditionalFormatting sqref="R60:T60">
    <cfRule type="expression" dxfId="2945" priority="508">
      <formula>$D$60&lt;5</formula>
    </cfRule>
  </conditionalFormatting>
  <conditionalFormatting sqref="R61:T61">
    <cfRule type="expression" dxfId="2944" priority="523">
      <formula>$D$61&lt;5</formula>
    </cfRule>
  </conditionalFormatting>
  <conditionalFormatting sqref="R62:T62">
    <cfRule type="expression" dxfId="2943" priority="538">
      <formula>$D$62&lt;5</formula>
    </cfRule>
  </conditionalFormatting>
  <conditionalFormatting sqref="R63:T63">
    <cfRule type="expression" dxfId="2942" priority="553">
      <formula>$D$63&lt;5</formula>
    </cfRule>
  </conditionalFormatting>
  <conditionalFormatting sqref="R65:T65">
    <cfRule type="expression" dxfId="2941" priority="568">
      <formula>$D$65&lt;5</formula>
    </cfRule>
  </conditionalFormatting>
  <conditionalFormatting sqref="R66:T66">
    <cfRule type="expression" dxfId="2940" priority="583">
      <formula>$D$66&lt;5</formula>
    </cfRule>
  </conditionalFormatting>
  <conditionalFormatting sqref="R68:T68">
    <cfRule type="expression" dxfId="2939" priority="598">
      <formula>$D$68&lt;5</formula>
    </cfRule>
  </conditionalFormatting>
  <conditionalFormatting sqref="R69:T69">
    <cfRule type="expression" dxfId="2938" priority="613">
      <formula>$D$69&lt;5</formula>
    </cfRule>
  </conditionalFormatting>
  <conditionalFormatting sqref="R71:T71">
    <cfRule type="expression" dxfId="2937" priority="628">
      <formula>$D$71&lt;5</formula>
    </cfRule>
  </conditionalFormatting>
  <conditionalFormatting sqref="R72:T72">
    <cfRule type="expression" dxfId="2936" priority="643">
      <formula>$D$72&lt;5</formula>
    </cfRule>
  </conditionalFormatting>
  <conditionalFormatting sqref="R73:T73">
    <cfRule type="expression" dxfId="2935" priority="658">
      <formula>$D$73&lt;5</formula>
    </cfRule>
  </conditionalFormatting>
  <conditionalFormatting sqref="R74:T74">
    <cfRule type="expression" dxfId="2934" priority="673">
      <formula>$D$74&lt;5</formula>
    </cfRule>
  </conditionalFormatting>
  <conditionalFormatting sqref="R78:T78">
    <cfRule type="expression" dxfId="2933" priority="688">
      <formula>$D$78&lt;5</formula>
    </cfRule>
  </conditionalFormatting>
  <conditionalFormatting sqref="R79:T79">
    <cfRule type="expression" dxfId="2932" priority="703">
      <formula>$D$79&lt;5</formula>
    </cfRule>
  </conditionalFormatting>
  <conditionalFormatting sqref="R80:T80">
    <cfRule type="expression" dxfId="2931" priority="718">
      <formula>$D$80&lt;5</formula>
    </cfRule>
  </conditionalFormatting>
  <conditionalFormatting sqref="R82:T82">
    <cfRule type="expression" dxfId="2930" priority="733">
      <formula>$D$82&lt;5</formula>
    </cfRule>
  </conditionalFormatting>
  <conditionalFormatting sqref="R83:T83">
    <cfRule type="expression" dxfId="2929" priority="748">
      <formula>$D$83&lt;5</formula>
    </cfRule>
  </conditionalFormatting>
  <conditionalFormatting sqref="R84:T84">
    <cfRule type="expression" dxfId="2928" priority="763">
      <formula>$D$84&lt;5</formula>
    </cfRule>
  </conditionalFormatting>
  <conditionalFormatting sqref="R85:T85">
    <cfRule type="expression" dxfId="2927" priority="778">
      <formula>$D$85&lt;5</formula>
    </cfRule>
  </conditionalFormatting>
  <conditionalFormatting sqref="R87:T87">
    <cfRule type="expression" dxfId="2926" priority="793">
      <formula>$D$87&lt;5</formula>
    </cfRule>
  </conditionalFormatting>
  <conditionalFormatting sqref="R88:T88">
    <cfRule type="expression" dxfId="2925" priority="808">
      <formula>$D$88&lt;5</formula>
    </cfRule>
  </conditionalFormatting>
  <conditionalFormatting sqref="R90:T90">
    <cfRule type="expression" dxfId="2924" priority="823">
      <formula>$D$90&lt;5</formula>
    </cfRule>
  </conditionalFormatting>
  <conditionalFormatting sqref="R91:T91">
    <cfRule type="expression" dxfId="2923" priority="838">
      <formula>$D$91&lt;5</formula>
    </cfRule>
  </conditionalFormatting>
  <conditionalFormatting sqref="R93:T93">
    <cfRule type="expression" dxfId="2922" priority="853">
      <formula>$D$93&lt;5</formula>
    </cfRule>
  </conditionalFormatting>
  <conditionalFormatting sqref="R94:T94">
    <cfRule type="expression" dxfId="2921" priority="868">
      <formula>$D$94&lt;5</formula>
    </cfRule>
  </conditionalFormatting>
  <conditionalFormatting sqref="R95:T95">
    <cfRule type="expression" dxfId="2920" priority="883">
      <formula>$D$95&lt;5</formula>
    </cfRule>
  </conditionalFormatting>
  <conditionalFormatting sqref="R96:T96">
    <cfRule type="expression" dxfId="2919" priority="898">
      <formula>$D$96&lt;5</formula>
    </cfRule>
  </conditionalFormatting>
  <conditionalFormatting sqref="R100:T100">
    <cfRule type="expression" dxfId="2918" priority="913">
      <formula>$D$100&lt;5</formula>
    </cfRule>
  </conditionalFormatting>
  <conditionalFormatting sqref="R101:T101">
    <cfRule type="expression" dxfId="2917" priority="928">
      <formula>$D$101&lt;5</formula>
    </cfRule>
  </conditionalFormatting>
  <conditionalFormatting sqref="R102:T102">
    <cfRule type="expression" dxfId="2916" priority="943">
      <formula>$D$102&lt;5</formula>
    </cfRule>
  </conditionalFormatting>
  <conditionalFormatting sqref="R104:T104">
    <cfRule type="expression" dxfId="2915" priority="958">
      <formula>$D$104&lt;5</formula>
    </cfRule>
  </conditionalFormatting>
  <conditionalFormatting sqref="R105:T105">
    <cfRule type="expression" dxfId="2914" priority="973">
      <formula>$D$105&lt;5</formula>
    </cfRule>
  </conditionalFormatting>
  <conditionalFormatting sqref="R106:T106">
    <cfRule type="expression" dxfId="2913" priority="988">
      <formula>$D$106&lt;5</formula>
    </cfRule>
  </conditionalFormatting>
  <conditionalFormatting sqref="R107:T107">
    <cfRule type="expression" dxfId="2912" priority="1003">
      <formula>$D$107&lt;5</formula>
    </cfRule>
  </conditionalFormatting>
  <conditionalFormatting sqref="R109:T109">
    <cfRule type="expression" dxfId="2911" priority="1018">
      <formula>$D$109&lt;5</formula>
    </cfRule>
  </conditionalFormatting>
  <conditionalFormatting sqref="R110:T110">
    <cfRule type="expression" dxfId="2910" priority="1033">
      <formula>$D$110&lt;5</formula>
    </cfRule>
  </conditionalFormatting>
  <conditionalFormatting sqref="R112:T112">
    <cfRule type="expression" dxfId="2909" priority="1048">
      <formula>$D$112&lt;5</formula>
    </cfRule>
  </conditionalFormatting>
  <conditionalFormatting sqref="R113:T113">
    <cfRule type="expression" dxfId="2908" priority="1063">
      <formula>$D$113&lt;5</formula>
    </cfRule>
  </conditionalFormatting>
  <conditionalFormatting sqref="R115:T115">
    <cfRule type="expression" dxfId="2907" priority="1078">
      <formula>$D$115&lt;5</formula>
    </cfRule>
  </conditionalFormatting>
  <conditionalFormatting sqref="R116:T116">
    <cfRule type="expression" dxfId="2906" priority="1093">
      <formula>$D$116&lt;5</formula>
    </cfRule>
  </conditionalFormatting>
  <conditionalFormatting sqref="R117:T117">
    <cfRule type="expression" dxfId="2905" priority="1108">
      <formula>$D$117&lt;5</formula>
    </cfRule>
  </conditionalFormatting>
  <conditionalFormatting sqref="R118:T118">
    <cfRule type="expression" dxfId="2904" priority="1123">
      <formula>$D$118&lt;5</formula>
    </cfRule>
  </conditionalFormatting>
  <conditionalFormatting sqref="R122:T122">
    <cfRule type="expression" dxfId="2903" priority="1138">
      <formula>$D$122&lt;5</formula>
    </cfRule>
  </conditionalFormatting>
  <conditionalFormatting sqref="R123:T123">
    <cfRule type="expression" dxfId="2902" priority="1153">
      <formula>$D$123&lt;5</formula>
    </cfRule>
  </conditionalFormatting>
  <conditionalFormatting sqref="R124:T124">
    <cfRule type="expression" dxfId="2901" priority="1168">
      <formula>$D$124&lt;5</formula>
    </cfRule>
  </conditionalFormatting>
  <conditionalFormatting sqref="R126:T126">
    <cfRule type="expression" dxfId="2900" priority="1183">
      <formula>$D$126&lt;5</formula>
    </cfRule>
  </conditionalFormatting>
  <conditionalFormatting sqref="R127:T127">
    <cfRule type="expression" dxfId="2899" priority="1198">
      <formula>$D$127&lt;5</formula>
    </cfRule>
  </conditionalFormatting>
  <conditionalFormatting sqref="R128:T128">
    <cfRule type="expression" dxfId="2898" priority="1213">
      <formula>$D$128&lt;5</formula>
    </cfRule>
  </conditionalFormatting>
  <conditionalFormatting sqref="R129:T129">
    <cfRule type="expression" dxfId="2897" priority="1228">
      <formula>$D$129&lt;5</formula>
    </cfRule>
  </conditionalFormatting>
  <conditionalFormatting sqref="R131:T131">
    <cfRule type="expression" dxfId="2896" priority="1243">
      <formula>$D$131&lt;5</formula>
    </cfRule>
  </conditionalFormatting>
  <conditionalFormatting sqref="R132:T132">
    <cfRule type="expression" dxfId="2895" priority="1258">
      <formula>$D$132&lt;5</formula>
    </cfRule>
  </conditionalFormatting>
  <conditionalFormatting sqref="R134:T134">
    <cfRule type="expression" dxfId="2894" priority="1273">
      <formula>$D$134&lt;5</formula>
    </cfRule>
  </conditionalFormatting>
  <conditionalFormatting sqref="R135:T135">
    <cfRule type="expression" dxfId="2893" priority="1288">
      <formula>$D$135&lt;5</formula>
    </cfRule>
  </conditionalFormatting>
  <conditionalFormatting sqref="R137:T137">
    <cfRule type="expression" dxfId="2892" priority="1303">
      <formula>$D$137&lt;5</formula>
    </cfRule>
  </conditionalFormatting>
  <conditionalFormatting sqref="R138:T138">
    <cfRule type="expression" dxfId="2891" priority="1318">
      <formula>$D$138&lt;5</formula>
    </cfRule>
  </conditionalFormatting>
  <conditionalFormatting sqref="R139:T139">
    <cfRule type="expression" dxfId="2890" priority="1333">
      <formula>$D$139&lt;5</formula>
    </cfRule>
  </conditionalFormatting>
  <conditionalFormatting sqref="R140:T140">
    <cfRule type="expression" dxfId="2889" priority="1348">
      <formula>$D$140&lt;5</formula>
    </cfRule>
  </conditionalFormatting>
  <conditionalFormatting sqref="R144:T144">
    <cfRule type="expression" dxfId="2888" priority="1363">
      <formula>$D$144&lt;5</formula>
    </cfRule>
  </conditionalFormatting>
  <conditionalFormatting sqref="R145:T145">
    <cfRule type="expression" dxfId="2887" priority="1378">
      <formula>$D$145&lt;5</formula>
    </cfRule>
  </conditionalFormatting>
  <conditionalFormatting sqref="R146:T146">
    <cfRule type="expression" dxfId="2886" priority="1393">
      <formula>$D$146&lt;5</formula>
    </cfRule>
  </conditionalFormatting>
  <conditionalFormatting sqref="R148:T148">
    <cfRule type="expression" dxfId="2885" priority="1408">
      <formula>$D$148&lt;5</formula>
    </cfRule>
  </conditionalFormatting>
  <conditionalFormatting sqref="R149:T149">
    <cfRule type="expression" dxfId="2884" priority="1423">
      <formula>$D$149&lt;5</formula>
    </cfRule>
  </conditionalFormatting>
  <conditionalFormatting sqref="R150:T150">
    <cfRule type="expression" dxfId="2883" priority="1438">
      <formula>$D$150&lt;5</formula>
    </cfRule>
  </conditionalFormatting>
  <conditionalFormatting sqref="R151:T151">
    <cfRule type="expression" dxfId="2882" priority="1453">
      <formula>$D$151&lt;5</formula>
    </cfRule>
  </conditionalFormatting>
  <conditionalFormatting sqref="R153:T153">
    <cfRule type="expression" dxfId="2881" priority="1468">
      <formula>$D$153&lt;5</formula>
    </cfRule>
  </conditionalFormatting>
  <conditionalFormatting sqref="R154:T154">
    <cfRule type="expression" dxfId="2880" priority="1483">
      <formula>$D$154&lt;5</formula>
    </cfRule>
  </conditionalFormatting>
  <conditionalFormatting sqref="R156:T156">
    <cfRule type="expression" dxfId="2879" priority="1498">
      <formula>$D$156&lt;5</formula>
    </cfRule>
  </conditionalFormatting>
  <conditionalFormatting sqref="R157:T157">
    <cfRule type="expression" dxfId="2878" priority="1513">
      <formula>$D$157&lt;5</formula>
    </cfRule>
  </conditionalFormatting>
  <conditionalFormatting sqref="R159:T159">
    <cfRule type="expression" dxfId="2877" priority="1528">
      <formula>$D$159&lt;5</formula>
    </cfRule>
  </conditionalFormatting>
  <conditionalFormatting sqref="R160:T160">
    <cfRule type="expression" dxfId="2876" priority="1543">
      <formula>$D$160&lt;5</formula>
    </cfRule>
  </conditionalFormatting>
  <conditionalFormatting sqref="R161:T161">
    <cfRule type="expression" dxfId="2875" priority="1558">
      <formula>$D$161&lt;5</formula>
    </cfRule>
  </conditionalFormatting>
  <conditionalFormatting sqref="R162:T162">
    <cfRule type="expression" dxfId="2874" priority="1573">
      <formula>$D$162&lt;5</formula>
    </cfRule>
  </conditionalFormatting>
  <conditionalFormatting sqref="R166:T166">
    <cfRule type="expression" dxfId="2873" priority="1588">
      <formula>$D$166&lt;5</formula>
    </cfRule>
  </conditionalFormatting>
  <conditionalFormatting sqref="R167:T167">
    <cfRule type="expression" dxfId="2872" priority="1603">
      <formula>$D$167&lt;5</formula>
    </cfRule>
  </conditionalFormatting>
  <conditionalFormatting sqref="R168:T168">
    <cfRule type="expression" dxfId="2871" priority="1618">
      <formula>$D$168&lt;5</formula>
    </cfRule>
  </conditionalFormatting>
  <conditionalFormatting sqref="R170:T170">
    <cfRule type="expression" dxfId="2870" priority="1633">
      <formula>$D$170&lt;5</formula>
    </cfRule>
  </conditionalFormatting>
  <conditionalFormatting sqref="R171:T171">
    <cfRule type="expression" dxfId="2869" priority="1648">
      <formula>$D$171&lt;5</formula>
    </cfRule>
  </conditionalFormatting>
  <conditionalFormatting sqref="R172:T172">
    <cfRule type="expression" dxfId="2868" priority="1663">
      <formula>$D$172&lt;5</formula>
    </cfRule>
  </conditionalFormatting>
  <conditionalFormatting sqref="R173:T173">
    <cfRule type="expression" dxfId="2867" priority="1678">
      <formula>$D$173&lt;5</formula>
    </cfRule>
  </conditionalFormatting>
  <conditionalFormatting sqref="R175:T175">
    <cfRule type="expression" dxfId="2866" priority="1693">
      <formula>$D$175&lt;5</formula>
    </cfRule>
  </conditionalFormatting>
  <conditionalFormatting sqref="R176:T176">
    <cfRule type="expression" dxfId="2865" priority="1708">
      <formula>$D$176&lt;5</formula>
    </cfRule>
  </conditionalFormatting>
  <conditionalFormatting sqref="R178:T178">
    <cfRule type="expression" dxfId="2864" priority="1723">
      <formula>$D$178&lt;5</formula>
    </cfRule>
  </conditionalFormatting>
  <conditionalFormatting sqref="R179:T179">
    <cfRule type="expression" dxfId="2863" priority="1738">
      <formula>$D$179&lt;5</formula>
    </cfRule>
  </conditionalFormatting>
  <conditionalFormatting sqref="R181:T181">
    <cfRule type="expression" dxfId="2862" priority="1753">
      <formula>$D$181&lt;5</formula>
    </cfRule>
  </conditionalFormatting>
  <conditionalFormatting sqref="R182:T182">
    <cfRule type="expression" dxfId="2861" priority="1768">
      <formula>$D$182&lt;5</formula>
    </cfRule>
  </conditionalFormatting>
  <conditionalFormatting sqref="R183:T183">
    <cfRule type="expression" dxfId="2860" priority="1783">
      <formula>$D$183&lt;5</formula>
    </cfRule>
  </conditionalFormatting>
  <conditionalFormatting sqref="R184:T184">
    <cfRule type="expression" dxfId="2859" priority="1798">
      <formula>$D$184&lt;5</formula>
    </cfRule>
  </conditionalFormatting>
  <conditionalFormatting sqref="R188:T188">
    <cfRule type="expression" dxfId="2858" priority="1813">
      <formula>$D$188&lt;5</formula>
    </cfRule>
  </conditionalFormatting>
  <conditionalFormatting sqref="R189:T189">
    <cfRule type="expression" dxfId="2857" priority="1828">
      <formula>$D$189&lt;5</formula>
    </cfRule>
  </conditionalFormatting>
  <conditionalFormatting sqref="R190:T190">
    <cfRule type="expression" dxfId="2856" priority="1843">
      <formula>$D$190&lt;5</formula>
    </cfRule>
  </conditionalFormatting>
  <conditionalFormatting sqref="R192:T192">
    <cfRule type="expression" dxfId="2855" priority="1858">
      <formula>$D$192&lt;5</formula>
    </cfRule>
  </conditionalFormatting>
  <conditionalFormatting sqref="R193:T193">
    <cfRule type="expression" dxfId="2854" priority="1873">
      <formula>$D$193&lt;5</formula>
    </cfRule>
  </conditionalFormatting>
  <conditionalFormatting sqref="R194:T194">
    <cfRule type="expression" dxfId="2853" priority="1888">
      <formula>$D$194&lt;5</formula>
    </cfRule>
  </conditionalFormatting>
  <conditionalFormatting sqref="R195:T195">
    <cfRule type="expression" dxfId="2852" priority="1903">
      <formula>$D$195&lt;5</formula>
    </cfRule>
  </conditionalFormatting>
  <conditionalFormatting sqref="R197:T197">
    <cfRule type="expression" dxfId="2851" priority="1918">
      <formula>$D$197&lt;5</formula>
    </cfRule>
  </conditionalFormatting>
  <conditionalFormatting sqref="R198:T198">
    <cfRule type="expression" dxfId="2850" priority="1933">
      <formula>$D$198&lt;5</formula>
    </cfRule>
  </conditionalFormatting>
  <conditionalFormatting sqref="R200:T200">
    <cfRule type="expression" dxfId="2849" priority="1948">
      <formula>$D$200&lt;5</formula>
    </cfRule>
  </conditionalFormatting>
  <conditionalFormatting sqref="R201:T201">
    <cfRule type="expression" dxfId="2848" priority="1963">
      <formula>$D$201&lt;5</formula>
    </cfRule>
  </conditionalFormatting>
  <conditionalFormatting sqref="R203:T203">
    <cfRule type="expression" dxfId="2847" priority="1978">
      <formula>$D$203&lt;5</formula>
    </cfRule>
  </conditionalFormatting>
  <conditionalFormatting sqref="R204:T204">
    <cfRule type="expression" dxfId="2846" priority="1993">
      <formula>$D$204&lt;5</formula>
    </cfRule>
  </conditionalFormatting>
  <conditionalFormatting sqref="R205:T205">
    <cfRule type="expression" dxfId="2845" priority="2008">
      <formula>$D$205&lt;5</formula>
    </cfRule>
  </conditionalFormatting>
  <conditionalFormatting sqref="R206:T206">
    <cfRule type="expression" dxfId="2844" priority="2023">
      <formula>$D$206&lt;5</formula>
    </cfRule>
  </conditionalFormatting>
  <conditionalFormatting sqref="R210:T210">
    <cfRule type="expression" dxfId="2843" priority="2038">
      <formula>$D$210&lt;5</formula>
    </cfRule>
  </conditionalFormatting>
  <conditionalFormatting sqref="R211:T211">
    <cfRule type="expression" dxfId="2842" priority="2053">
      <formula>$D$211&lt;5</formula>
    </cfRule>
  </conditionalFormatting>
  <conditionalFormatting sqref="R212:T212">
    <cfRule type="expression" dxfId="2841" priority="2068">
      <formula>$D$212&lt;5</formula>
    </cfRule>
  </conditionalFormatting>
  <conditionalFormatting sqref="R214:T214">
    <cfRule type="expression" dxfId="2840" priority="2083">
      <formula>$D$214&lt;5</formula>
    </cfRule>
  </conditionalFormatting>
  <conditionalFormatting sqref="R215:T215">
    <cfRule type="expression" dxfId="2839" priority="2098">
      <formula>$D$215&lt;5</formula>
    </cfRule>
  </conditionalFormatting>
  <conditionalFormatting sqref="R216:T216">
    <cfRule type="expression" dxfId="2838" priority="2113">
      <formula>$D$216&lt;5</formula>
    </cfRule>
  </conditionalFormatting>
  <conditionalFormatting sqref="R217:T217">
    <cfRule type="expression" dxfId="2837" priority="2128">
      <formula>$D$217&lt;5</formula>
    </cfRule>
  </conditionalFormatting>
  <conditionalFormatting sqref="R219:T219">
    <cfRule type="expression" dxfId="2836" priority="2143">
      <formula>$D$219&lt;5</formula>
    </cfRule>
  </conditionalFormatting>
  <conditionalFormatting sqref="R220:T220">
    <cfRule type="expression" dxfId="2835" priority="2158">
      <formula>$D$220&lt;5</formula>
    </cfRule>
  </conditionalFormatting>
  <conditionalFormatting sqref="R222:T222">
    <cfRule type="expression" dxfId="2834" priority="2173">
      <formula>$D$222&lt;5</formula>
    </cfRule>
  </conditionalFormatting>
  <conditionalFormatting sqref="R223:T223">
    <cfRule type="expression" dxfId="2833" priority="2188">
      <formula>$D$223&lt;5</formula>
    </cfRule>
  </conditionalFormatting>
  <conditionalFormatting sqref="R225:T225">
    <cfRule type="expression" dxfId="2832" priority="2203">
      <formula>$D$225&lt;5</formula>
    </cfRule>
  </conditionalFormatting>
  <conditionalFormatting sqref="R226:T226">
    <cfRule type="expression" dxfId="2831" priority="2218">
      <formula>$D$226&lt;5</formula>
    </cfRule>
  </conditionalFormatting>
  <conditionalFormatting sqref="R227:T227">
    <cfRule type="expression" dxfId="2830" priority="2233">
      <formula>$D$227&lt;5</formula>
    </cfRule>
  </conditionalFormatting>
  <conditionalFormatting sqref="R228:T228">
    <cfRule type="expression" dxfId="2829" priority="2248">
      <formula>$D$228&lt;5</formula>
    </cfRule>
  </conditionalFormatting>
  <conditionalFormatting sqref="R232:T232">
    <cfRule type="expression" dxfId="2828" priority="2263">
      <formula>$D$232&lt;5</formula>
    </cfRule>
  </conditionalFormatting>
  <conditionalFormatting sqref="R233:T233">
    <cfRule type="expression" dxfId="2827" priority="2278">
      <formula>$D$233&lt;5</formula>
    </cfRule>
  </conditionalFormatting>
  <conditionalFormatting sqref="R234:T234">
    <cfRule type="expression" dxfId="2826" priority="2293">
      <formula>$D$234&lt;5</formula>
    </cfRule>
  </conditionalFormatting>
  <conditionalFormatting sqref="R236:T236">
    <cfRule type="expression" dxfId="2825" priority="2308">
      <formula>$D$236&lt;5</formula>
    </cfRule>
  </conditionalFormatting>
  <conditionalFormatting sqref="R237:T237">
    <cfRule type="expression" dxfId="2824" priority="2323">
      <formula>$D$237&lt;5</formula>
    </cfRule>
  </conditionalFormatting>
  <conditionalFormatting sqref="R238:T238">
    <cfRule type="expression" dxfId="2823" priority="2338">
      <formula>$D$238&lt;5</formula>
    </cfRule>
  </conditionalFormatting>
  <conditionalFormatting sqref="R239:T239">
    <cfRule type="expression" dxfId="2822" priority="2353">
      <formula>$D$239&lt;5</formula>
    </cfRule>
  </conditionalFormatting>
  <conditionalFormatting sqref="R241:T241">
    <cfRule type="expression" dxfId="2821" priority="2368">
      <formula>$D$241&lt;5</formula>
    </cfRule>
  </conditionalFormatting>
  <conditionalFormatting sqref="R242:T242">
    <cfRule type="expression" dxfId="2820" priority="2383">
      <formula>$D$242&lt;5</formula>
    </cfRule>
  </conditionalFormatting>
  <conditionalFormatting sqref="R244:T244">
    <cfRule type="expression" dxfId="2819" priority="2398">
      <formula>$D$244&lt;5</formula>
    </cfRule>
  </conditionalFormatting>
  <conditionalFormatting sqref="R245:T245">
    <cfRule type="expression" dxfId="2818" priority="2413">
      <formula>$D$245&lt;5</formula>
    </cfRule>
  </conditionalFormatting>
  <conditionalFormatting sqref="R247:T247">
    <cfRule type="expression" dxfId="2817" priority="2428">
      <formula>$D$247&lt;5</formula>
    </cfRule>
  </conditionalFormatting>
  <conditionalFormatting sqref="R248:T248">
    <cfRule type="expression" dxfId="2816" priority="2443">
      <formula>$D$248&lt;5</formula>
    </cfRule>
  </conditionalFormatting>
  <conditionalFormatting sqref="R249:T249">
    <cfRule type="expression" dxfId="2815" priority="2458">
      <formula>$D$249&lt;5</formula>
    </cfRule>
  </conditionalFormatting>
  <conditionalFormatting sqref="R250:T250">
    <cfRule type="expression" dxfId="2814" priority="2473">
      <formula>$D$250&lt;5</formula>
    </cfRule>
  </conditionalFormatting>
  <conditionalFormatting sqref="R254:T254">
    <cfRule type="expression" dxfId="2813" priority="2488">
      <formula>$D$254&lt;5</formula>
    </cfRule>
  </conditionalFormatting>
  <conditionalFormatting sqref="R255:T255">
    <cfRule type="expression" dxfId="2812" priority="2503">
      <formula>$D$255&lt;5</formula>
    </cfRule>
  </conditionalFormatting>
  <conditionalFormatting sqref="R256:T256">
    <cfRule type="expression" dxfId="2811" priority="2518">
      <formula>$D$256&lt;5</formula>
    </cfRule>
  </conditionalFormatting>
  <conditionalFormatting sqref="R258:T258">
    <cfRule type="expression" dxfId="2810" priority="2533">
      <formula>$D$258&lt;5</formula>
    </cfRule>
  </conditionalFormatting>
  <conditionalFormatting sqref="R259:T259">
    <cfRule type="expression" dxfId="2809" priority="2548">
      <formula>$D$259&lt;5</formula>
    </cfRule>
  </conditionalFormatting>
  <conditionalFormatting sqref="R260:T260">
    <cfRule type="expression" dxfId="2808" priority="2563">
      <formula>$D$260&lt;5</formula>
    </cfRule>
  </conditionalFormatting>
  <conditionalFormatting sqref="R261:T261">
    <cfRule type="expression" dxfId="2807" priority="2578">
      <formula>$D$261&lt;5</formula>
    </cfRule>
  </conditionalFormatting>
  <conditionalFormatting sqref="R263:T263">
    <cfRule type="expression" dxfId="2806" priority="2593">
      <formula>$D$263&lt;5</formula>
    </cfRule>
  </conditionalFormatting>
  <conditionalFormatting sqref="R264:T264">
    <cfRule type="expression" dxfId="2805" priority="2608">
      <formula>$D$264&lt;5</formula>
    </cfRule>
  </conditionalFormatting>
  <conditionalFormatting sqref="R266:T266">
    <cfRule type="expression" dxfId="2804" priority="2623">
      <formula>$D$266&lt;5</formula>
    </cfRule>
  </conditionalFormatting>
  <conditionalFormatting sqref="R267:T267">
    <cfRule type="expression" dxfId="2803" priority="2638">
      <formula>$D$267&lt;5</formula>
    </cfRule>
  </conditionalFormatting>
  <conditionalFormatting sqref="R269:T269">
    <cfRule type="expression" dxfId="2802" priority="2653">
      <formula>$D$269&lt;5</formula>
    </cfRule>
  </conditionalFormatting>
  <conditionalFormatting sqref="R270:T270">
    <cfRule type="expression" dxfId="2801" priority="2668">
      <formula>$D$270&lt;5</formula>
    </cfRule>
  </conditionalFormatting>
  <conditionalFormatting sqref="R271:T271">
    <cfRule type="expression" dxfId="2800" priority="2683">
      <formula>$D$271&lt;5</formula>
    </cfRule>
  </conditionalFormatting>
  <conditionalFormatting sqref="R272:T272">
    <cfRule type="expression" dxfId="2799" priority="2698">
      <formula>$D$272&lt;5</formula>
    </cfRule>
  </conditionalFormatting>
  <dataValidations count="5">
    <dataValidation type="list" allowBlank="1" sqref="A12:A14 A34:A36 A56:A58 A78:A80 A100:A102 A122:A124 A144:A146 A166:A168 A188:A190 A210:A212 A232:A234 A254:A256" xr:uid="{00000000-0002-0000-0200-000000000000}">
      <formula1>BASES_FEMORAL</formula1>
    </dataValidation>
    <dataValidation type="list" allowBlank="1" sqref="A16:A19 A38:A41 A60:A63 A82:A85 A104:A107 A126:A129 A148:A151 A170:A173 A192:A195 A214:A217 A236:A239 A258:A261" xr:uid="{00000000-0002-0000-0200-000001000000}">
      <formula1>BASES_CUADRICEPS</formula1>
    </dataValidation>
    <dataValidation type="list" allowBlank="1" sqref="A21:A22 A43:A44 A65:A66 A87:A88 A109:A110 A131:A132 A153:A154 A175:A176 A197:A198 A219:A220 A241:A242 A263:A264" xr:uid="{00000000-0002-0000-0200-000002000000}">
      <formula1>BASES_GEMELO</formula1>
    </dataValidation>
    <dataValidation type="list" allowBlank="1" sqref="A24:A25 A46:A47 A68:A69 A90:A91 A112:A113 A134:A135 A156:A157 A178:A179 A200:A201 A222:A223 A244:A245 A266:A267" xr:uid="{00000000-0002-0000-0200-000003000000}">
      <formula1>BASES_LUMBAR</formula1>
    </dataValidation>
    <dataValidation type="list" allowBlank="1" sqref="A27:A30 A49:A52 A71:A74 A93:A96 A115:A118 A137:A140 A159:A162 A181:A184 A203:A206 A225:A228 A247:A250 A269:A272" xr:uid="{00000000-0002-0000-0200-000004000000}">
      <formula1>BASES_CORE</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xr:uid="{00000000-0002-0000-0200-000005000000}">
          <x14:formula1>
            <xm:f>INDIRECT(IFERROR(VLOOKUP(A6,EJERCICIOS!$B$3:$E$85,4,0),"BASES_LIST"))</xm:f>
          </x14:formula1>
          <xm:sqref>B269:B272 B266:B267 B263:B264 B258:B261 B254:B256 B247:B250 B244:B245 B241:B242 B236:B239 B232:B234 B225:B228 B222:B223 B219:B220 B214:B217 B210:B212 B203:B206 B200:B201 B197:B198 B192:B195 B188:B190 B181:B184 B178:B179 B175:B176 B170:B173 B166:B168 B159:B162 B156:B157 B153:B154 B148:B151 B144:B146 B137:B140 B134:B135 B131:B132 B126:B129 B122:B124 B115:B118 B112:B113 B109:B110 B104:B107 B100:B102 B93:B96 B90:B91 B87:B88 B82:B85 B78:B80 B71:B74 B68:B69 B65:B66 B60:B63 B56:B58 B49:B52 B46:B47 B43:B44 B38:B41 B34:B36 B27:B30 B24:B25 B21:B22 B16:B19 B12:B14 B6:B8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B0000"/>
  </sheetPr>
  <dimension ref="A1:AC309"/>
  <sheetViews>
    <sheetView showGridLines="0" workbookViewId="0">
      <pane ySplit="3" topLeftCell="A21" activePane="bottomLeft" state="frozen"/>
      <selection pane="bottomLeft" activeCell="C27" sqref="C27"/>
    </sheetView>
  </sheetViews>
  <sheetFormatPr defaultColWidth="8.85546875" defaultRowHeight="15"/>
  <cols>
    <col min="1" max="1" width="28" style="68" customWidth="1"/>
    <col min="2" max="2" width="24" style="68" customWidth="1"/>
    <col min="3" max="3" width="10" style="68" customWidth="1"/>
    <col min="4" max="4" width="7" style="68" customWidth="1"/>
    <col min="5" max="5" width="8" style="68" customWidth="1"/>
    <col min="6" max="6" width="7" style="68" customWidth="1"/>
    <col min="7" max="7" width="6" style="68" customWidth="1"/>
    <col min="8" max="8" width="5" style="68" customWidth="1"/>
    <col min="9" max="9" width="7" style="68" customWidth="1"/>
    <col min="10" max="10" width="6" style="68" customWidth="1"/>
    <col min="11" max="11" width="5" style="68" customWidth="1"/>
    <col min="12" max="12" width="7" style="68" customWidth="1"/>
    <col min="13" max="13" width="6" style="68" customWidth="1"/>
    <col min="14" max="14" width="5" style="68" customWidth="1"/>
    <col min="15" max="15" width="7" style="68" customWidth="1"/>
    <col min="16" max="16" width="6" style="68" customWidth="1"/>
    <col min="17" max="17" width="5" style="68" customWidth="1"/>
    <col min="18" max="18" width="7" style="68" customWidth="1"/>
    <col min="19" max="19" width="6" style="68" customWidth="1"/>
    <col min="20" max="20" width="5" style="68" customWidth="1"/>
    <col min="21" max="21" width="9" style="68" customWidth="1"/>
    <col min="22" max="22" width="44" style="68" customWidth="1"/>
    <col min="23" max="29" width="13" style="68" hidden="1" customWidth="1"/>
  </cols>
  <sheetData>
    <row r="1" spans="1:29" ht="30" customHeight="1">
      <c r="A1" s="86" t="s">
        <v>153</v>
      </c>
      <c r="B1" s="78"/>
      <c r="C1" s="78"/>
      <c r="D1" s="78"/>
      <c r="E1" s="78"/>
      <c r="F1" s="78"/>
      <c r="G1" s="78"/>
      <c r="H1" s="78"/>
      <c r="I1" s="78"/>
      <c r="J1" s="78"/>
      <c r="K1" s="78"/>
      <c r="L1" s="78"/>
      <c r="M1" s="78"/>
      <c r="N1" s="78"/>
      <c r="O1" s="78"/>
      <c r="P1" s="78"/>
      <c r="Q1" s="78"/>
      <c r="R1" s="78"/>
      <c r="S1" s="78"/>
      <c r="T1" s="78"/>
      <c r="U1" s="78"/>
      <c r="V1" s="79"/>
      <c r="W1" s="69"/>
      <c r="X1" s="69"/>
      <c r="Y1" s="69"/>
      <c r="Z1" s="69"/>
      <c r="AA1" s="69"/>
      <c r="AB1" s="69"/>
      <c r="AC1" s="69"/>
    </row>
    <row r="2" spans="1:29" ht="20.100000000000001" customHeight="1">
      <c r="A2" s="1" t="s">
        <v>1</v>
      </c>
      <c r="B2" s="1" t="s">
        <v>2</v>
      </c>
      <c r="C2" s="1" t="s">
        <v>3</v>
      </c>
      <c r="D2" s="1" t="s">
        <v>4</v>
      </c>
      <c r="E2" s="1" t="s">
        <v>5</v>
      </c>
      <c r="F2" s="77" t="s">
        <v>6</v>
      </c>
      <c r="G2" s="78"/>
      <c r="H2" s="79"/>
      <c r="I2" s="77" t="s">
        <v>7</v>
      </c>
      <c r="J2" s="78"/>
      <c r="K2" s="79"/>
      <c r="L2" s="77" t="s">
        <v>8</v>
      </c>
      <c r="M2" s="78"/>
      <c r="N2" s="79"/>
      <c r="O2" s="77" t="s">
        <v>9</v>
      </c>
      <c r="P2" s="78"/>
      <c r="Q2" s="79"/>
      <c r="R2" s="77" t="s">
        <v>10</v>
      </c>
      <c r="S2" s="78"/>
      <c r="T2" s="79"/>
      <c r="U2" s="2" t="s">
        <v>11</v>
      </c>
      <c r="V2" s="1" t="s">
        <v>12</v>
      </c>
      <c r="W2" s="69"/>
      <c r="X2" s="69"/>
      <c r="Y2" s="69"/>
      <c r="Z2" s="69"/>
      <c r="AA2" s="69"/>
      <c r="AB2" s="69"/>
      <c r="AC2" s="69"/>
    </row>
    <row r="3" spans="1:29" ht="15.95" customHeight="1">
      <c r="A3" s="3"/>
      <c r="B3" s="3"/>
      <c r="C3" s="3"/>
      <c r="D3" s="3"/>
      <c r="E3" s="3"/>
      <c r="F3" s="4" t="s">
        <v>13</v>
      </c>
      <c r="G3" s="5" t="s">
        <v>14</v>
      </c>
      <c r="H3" s="6" t="s">
        <v>15</v>
      </c>
      <c r="I3" s="4" t="s">
        <v>13</v>
      </c>
      <c r="J3" s="5" t="s">
        <v>14</v>
      </c>
      <c r="K3" s="6" t="s">
        <v>15</v>
      </c>
      <c r="L3" s="4" t="s">
        <v>13</v>
      </c>
      <c r="M3" s="5" t="s">
        <v>14</v>
      </c>
      <c r="N3" s="6" t="s">
        <v>15</v>
      </c>
      <c r="O3" s="4" t="s">
        <v>13</v>
      </c>
      <c r="P3" s="5" t="s">
        <v>14</v>
      </c>
      <c r="Q3" s="6" t="s">
        <v>15</v>
      </c>
      <c r="R3" s="4" t="s">
        <v>13</v>
      </c>
      <c r="S3" s="5" t="s">
        <v>14</v>
      </c>
      <c r="T3" s="6" t="s">
        <v>15</v>
      </c>
      <c r="U3" s="3"/>
      <c r="V3" s="3"/>
      <c r="W3" s="69"/>
      <c r="X3" s="69"/>
      <c r="Y3" s="69"/>
      <c r="Z3" s="69"/>
      <c r="AA3" s="69"/>
      <c r="AB3" s="69"/>
      <c r="AC3" s="69"/>
    </row>
    <row r="4" spans="1:29" ht="15.95" customHeight="1">
      <c r="A4" s="80" t="s">
        <v>16</v>
      </c>
      <c r="B4" s="73"/>
      <c r="C4" s="73"/>
      <c r="D4" s="73"/>
      <c r="E4" s="73"/>
      <c r="F4" s="73"/>
      <c r="G4" s="73"/>
      <c r="H4" s="73"/>
      <c r="I4" s="73"/>
      <c r="J4" s="73"/>
      <c r="K4" s="73"/>
      <c r="L4" s="73"/>
      <c r="M4" s="73"/>
      <c r="N4" s="73"/>
      <c r="O4" s="73"/>
      <c r="P4" s="73"/>
      <c r="Q4" s="73"/>
      <c r="R4" s="73"/>
      <c r="S4" s="73"/>
      <c r="T4" s="73"/>
      <c r="U4" s="73"/>
      <c r="V4" s="73"/>
      <c r="W4" s="69"/>
      <c r="X4" s="69"/>
      <c r="Y4" s="69"/>
      <c r="Z4" s="69"/>
      <c r="AA4" s="69"/>
      <c r="AB4" s="69"/>
      <c r="AC4" s="69"/>
    </row>
    <row r="5" spans="1:29" ht="15.95" customHeight="1">
      <c r="A5" s="74" t="s">
        <v>154</v>
      </c>
      <c r="B5" s="73"/>
      <c r="C5" s="73"/>
      <c r="D5" s="73"/>
      <c r="E5" s="73"/>
      <c r="F5" s="73"/>
      <c r="G5" s="73"/>
      <c r="H5" s="73"/>
      <c r="I5" s="73"/>
      <c r="J5" s="73"/>
      <c r="K5" s="73"/>
      <c r="L5" s="73"/>
      <c r="M5" s="73"/>
      <c r="N5" s="73"/>
      <c r="O5" s="73"/>
      <c r="P5" s="73"/>
      <c r="Q5" s="73"/>
      <c r="R5" s="73"/>
      <c r="S5" s="73"/>
      <c r="T5" s="73"/>
      <c r="U5" s="73"/>
      <c r="V5" s="73"/>
      <c r="W5" s="69"/>
      <c r="X5" s="69"/>
      <c r="Y5" s="69"/>
      <c r="Z5" s="69"/>
      <c r="AA5" s="69"/>
      <c r="AB5" s="69"/>
      <c r="AC5" s="69"/>
    </row>
    <row r="6" spans="1:29" ht="18" customHeight="1">
      <c r="A6" s="7" t="s">
        <v>80</v>
      </c>
      <c r="B6" s="8" t="s">
        <v>155</v>
      </c>
      <c r="C6" s="9"/>
      <c r="D6" s="10">
        <v>2</v>
      </c>
      <c r="E6" s="11"/>
      <c r="F6" s="11"/>
      <c r="G6" s="11"/>
      <c r="H6" s="11"/>
      <c r="I6" s="11"/>
      <c r="J6" s="11"/>
      <c r="K6" s="11"/>
      <c r="L6" s="11"/>
      <c r="M6" s="11"/>
      <c r="N6" s="11"/>
      <c r="O6" s="11"/>
      <c r="P6" s="11"/>
      <c r="Q6" s="11"/>
      <c r="R6" s="11"/>
      <c r="S6" s="11"/>
      <c r="T6" s="11"/>
      <c r="U6" s="11"/>
      <c r="V6" s="12" t="s">
        <v>156</v>
      </c>
      <c r="W6" s="69"/>
      <c r="X6" s="69"/>
      <c r="Y6" s="69"/>
      <c r="Z6" s="69"/>
      <c r="AA6" s="69"/>
      <c r="AB6" s="69"/>
      <c r="AC6" s="69"/>
    </row>
    <row r="7" spans="1:29" ht="18" customHeight="1">
      <c r="A7" s="7" t="s">
        <v>109</v>
      </c>
      <c r="B7" s="8" t="s">
        <v>157</v>
      </c>
      <c r="C7" s="9"/>
      <c r="D7" s="10">
        <v>2</v>
      </c>
      <c r="E7" s="11"/>
      <c r="F7" s="11"/>
      <c r="G7" s="11"/>
      <c r="H7" s="11"/>
      <c r="I7" s="11"/>
      <c r="J7" s="11"/>
      <c r="K7" s="11"/>
      <c r="L7" s="11"/>
      <c r="M7" s="11"/>
      <c r="N7" s="11"/>
      <c r="O7" s="11"/>
      <c r="P7" s="11"/>
      <c r="Q7" s="11"/>
      <c r="R7" s="11"/>
      <c r="S7" s="11"/>
      <c r="T7" s="11"/>
      <c r="U7" s="11"/>
      <c r="V7" s="12" t="s">
        <v>158</v>
      </c>
      <c r="W7" s="69"/>
      <c r="X7" s="69"/>
      <c r="Y7" s="69"/>
      <c r="Z7" s="69"/>
      <c r="AA7" s="69"/>
      <c r="AB7" s="69"/>
      <c r="AC7" s="69"/>
    </row>
    <row r="8" spans="1:29" ht="18" customHeight="1">
      <c r="A8" s="7" t="s">
        <v>24</v>
      </c>
      <c r="B8" s="8" t="s">
        <v>25</v>
      </c>
      <c r="C8" s="9"/>
      <c r="D8" s="10">
        <v>2</v>
      </c>
      <c r="E8" s="11"/>
      <c r="F8" s="11"/>
      <c r="G8" s="11"/>
      <c r="H8" s="11"/>
      <c r="I8" s="11"/>
      <c r="J8" s="11"/>
      <c r="K8" s="11"/>
      <c r="L8" s="11"/>
      <c r="M8" s="11"/>
      <c r="N8" s="11"/>
      <c r="O8" s="11"/>
      <c r="P8" s="11"/>
      <c r="Q8" s="11"/>
      <c r="R8" s="11"/>
      <c r="S8" s="11"/>
      <c r="T8" s="11"/>
      <c r="U8" s="11"/>
      <c r="V8" s="12" t="s">
        <v>26</v>
      </c>
      <c r="W8" s="69"/>
      <c r="X8" s="69"/>
      <c r="Y8" s="69"/>
      <c r="Z8" s="69"/>
      <c r="AA8" s="69"/>
      <c r="AB8" s="69"/>
      <c r="AC8" s="69"/>
    </row>
    <row r="9" spans="1:29" ht="5.0999999999999996" customHeight="1">
      <c r="A9" s="13"/>
      <c r="B9" s="13"/>
      <c r="C9" s="13"/>
      <c r="D9" s="13"/>
      <c r="E9" s="13"/>
      <c r="F9" s="13"/>
      <c r="G9" s="13"/>
      <c r="H9" s="13"/>
      <c r="I9" s="13"/>
      <c r="J9" s="13"/>
      <c r="K9" s="13"/>
      <c r="L9" s="13"/>
      <c r="M9" s="13"/>
      <c r="N9" s="13"/>
      <c r="O9" s="13"/>
      <c r="P9" s="13"/>
      <c r="Q9" s="13"/>
      <c r="R9" s="13"/>
      <c r="S9" s="13"/>
      <c r="T9" s="13"/>
      <c r="U9" s="13"/>
      <c r="V9" s="13"/>
      <c r="W9" s="69"/>
      <c r="X9" s="69"/>
      <c r="Y9" s="69"/>
      <c r="Z9" s="69"/>
      <c r="AA9" s="69"/>
      <c r="AB9" s="69"/>
      <c r="AC9" s="69"/>
    </row>
    <row r="10" spans="1:29" ht="18" customHeight="1">
      <c r="A10" s="85" t="s">
        <v>27</v>
      </c>
      <c r="B10" s="73"/>
      <c r="C10" s="73"/>
      <c r="D10" s="73"/>
      <c r="E10" s="73"/>
      <c r="F10" s="73"/>
      <c r="G10" s="73"/>
      <c r="H10" s="73"/>
      <c r="I10" s="73"/>
      <c r="J10" s="73"/>
      <c r="K10" s="73"/>
      <c r="L10" s="73"/>
      <c r="M10" s="73"/>
      <c r="N10" s="73"/>
      <c r="O10" s="73"/>
      <c r="P10" s="73"/>
      <c r="Q10" s="73"/>
      <c r="R10" s="73"/>
      <c r="S10" s="73"/>
      <c r="T10" s="73"/>
      <c r="U10" s="73"/>
      <c r="V10" s="73"/>
      <c r="W10" s="69"/>
      <c r="X10" s="69"/>
      <c r="Y10" s="69"/>
      <c r="Z10" s="69"/>
      <c r="AA10" s="69"/>
      <c r="AB10" s="69"/>
      <c r="AC10" s="69"/>
    </row>
    <row r="11" spans="1:29" ht="15" customHeight="1">
      <c r="A11" s="81" t="s">
        <v>42</v>
      </c>
      <c r="B11" s="73"/>
      <c r="C11" s="73"/>
      <c r="D11" s="73"/>
      <c r="E11" s="73"/>
      <c r="F11" s="73"/>
      <c r="G11" s="73"/>
      <c r="H11" s="73"/>
      <c r="I11" s="73"/>
      <c r="J11" s="73"/>
      <c r="K11" s="73"/>
      <c r="L11" s="73"/>
      <c r="M11" s="73"/>
      <c r="N11" s="73"/>
      <c r="O11" s="73"/>
      <c r="P11" s="73"/>
      <c r="Q11" s="73"/>
      <c r="R11" s="73"/>
      <c r="S11" s="73"/>
      <c r="T11" s="73"/>
      <c r="U11" s="73"/>
      <c r="V11" s="73"/>
      <c r="W11" s="69"/>
      <c r="X11" s="69"/>
      <c r="Y11" s="69"/>
      <c r="Z11" s="69"/>
      <c r="AA11" s="69"/>
      <c r="AB11" s="69"/>
      <c r="AC11" s="69"/>
    </row>
    <row r="12" spans="1:29" ht="20.100000000000001" customHeight="1">
      <c r="A12" s="14" t="s">
        <v>45</v>
      </c>
      <c r="B12" s="15" t="s">
        <v>93</v>
      </c>
      <c r="C12" s="16" t="str">
        <f>IFERROR(INDEX(EJERCICIOS!$D$3:$D$75,MATCH(A12&amp;"|"&amp;B12,EJERCICIOS!$G$3:$G$75,0)),"--")</f>
        <v>--</v>
      </c>
      <c r="D12" s="17">
        <v>3</v>
      </c>
      <c r="E12" s="18">
        <f>IFERROR(LOOKUP(2,1/(MEDIDAS_Y_PESO!$B$3:$B$3&lt;&gt;""),MEDIDAS_Y_PESO!$B$3:$B$3),"--")</f>
        <v>80</v>
      </c>
      <c r="F12" s="19"/>
      <c r="G12" s="20"/>
      <c r="H12" s="21"/>
      <c r="I12" s="19"/>
      <c r="J12" s="20"/>
      <c r="K12" s="21"/>
      <c r="L12" s="19"/>
      <c r="M12" s="20"/>
      <c r="N12" s="21"/>
      <c r="O12" s="19"/>
      <c r="P12" s="20"/>
      <c r="Q12" s="21"/>
      <c r="R12" s="19"/>
      <c r="S12" s="20"/>
      <c r="T12" s="21"/>
      <c r="U12" s="22" t="str">
        <f>IFERROR(IF(IF(X12&gt;0,X12,IF(Z12&gt;0,Z12,IF(AB12&gt;0,AB12,0)))=0,"--",ROUND(CHOOSE(IF(X12&gt;0,X12,IF(Z12&gt;0,Z12,IF(AB12&gt;0,AB12,0))),IF(C12="peso_corporal",IF(ISNUMBER(E12),E12,0)+F12,F12)*(1+G12/30),IF(C12="peso_corporal",IF(ISNUMBER(E12),E12,0)+I12,I12)*(1+J12/30),IF(C12="peso_corporal",IF(ISNUMBER(E12),E12,0)+L12,L12)*(1+M12/30),IF(C12="peso_corporal",IF(ISNUMBER(E12),E12,0)+O12,O12)*(1+P12/30),IF(C12="peso_corporal",IF(ISNUMBER(E12),E12,0)+R12,R12)*(1+S12/30)),1)),"--")</f>
        <v>--</v>
      </c>
      <c r="V12" s="23" t="str">
        <f>IF(SUGERENCIAS!N41="SIN","Sin datos anteriores",IF(SUGERENCIAS!N41="SUBIR_F","^ SUBIR FUERTE | Kg:"&amp;ROUND(SUGERENCIAS!K41,1)&amp;" R:"&amp;ROUND(SUGERENCIAS!L41,0)&amp;" RIR:"&amp;ROUND(SUGERENCIAS!M41,0),IF(SUGERENCIAS!N41="SUBIR_E","^ SUBIR (Est.) | Kg:"&amp;ROUND(SUGERENCIAS!K41,1)&amp;" R:"&amp;ROUND(SUGERENCIAS!L41,0)&amp;" RIR:"&amp;ROUND(SUGERENCIAS!M41,0),IF(SUGERENCIAS!N41="SUBIR","^ SUBIR | Kg:"&amp;ROUND(SUGERENCIAS!K41,1)&amp;" R:"&amp;ROUND(SUGERENCIAS!L41,0)&amp;" RIR:"&amp;ROUND(SUGERENCIAS!M41,0),IF(SUGERENCIAS!N41="BAJAR","v BAJAR | Kg:"&amp;ROUND(SUGERENCIAS!K41,1)&amp;" R:"&amp;ROUND(SUGERENCIAS!L41,0)&amp;" RIR:"&amp;ROUND(SUGERENCIAS!M41,0),"= MANT | Kg:"&amp;ROUND(SUGERENCIAS!K41,1)&amp;" R:"&amp;ROUND(SUGERENCIAS!L41,0)&amp;" RIR:"&amp;ROUND(SUGERENCIAS!M41,0))))))</f>
        <v>Sin datos anteriores</v>
      </c>
      <c r="W12" s="69">
        <f>MAX(IF((G12&gt;0)*(IF(H12="",-1,H12)&gt;=1)*(IF(H12="",-1,H12)&lt;=3),IF(C12="peso_corporal",IF(ISNUMBER(E12),E12,0)+F12,F12)*G12*1000+F12,0),IF((J12&gt;0)*(IF(K12="",-1,K12)&gt;=1)*(IF(K12="",-1,K12)&lt;=3),IF(C12="peso_corporal",IF(ISNUMBER(E12),E12,0)+I12,I12)*J12*1000+I12,0),IF((M12&gt;0)*(IF(N12="",-1,N12)&gt;=1)*(IF(N12="",-1,N12)&lt;=3),IF(C12="peso_corporal",IF(ISNUMBER(E12),E12,0)+L12,L12)*M12*1000+L12,0),IF((P12&gt;0)*(IF(Q12="",-1,Q12)&gt;=1)*(IF(Q12="",-1,Q12)&lt;=3),IF(C12="peso_corporal",IF(ISNUMBER(E12),E12,0)+O12,O12)*P12*1000+O12,0),IF((S12&gt;0)*(IF(T12="",-1,T12)&gt;=1)*(IF(T12="",-1,T12)&lt;=3),IF(C12="peso_corporal",IF(ISNUMBER(E12),E12,0)+R12,R12)*S12*1000+R12,0))</f>
        <v>0</v>
      </c>
      <c r="X12" s="69">
        <f>IF(W12=0,0,IF(IF((S12&gt;0)*(IF(T12="",-1,T12)&gt;=1)*(IF(T12="",-1,T12)&lt;=3),IF(C12="peso_corporal",IF(ISNUMBER(E12),E12,0)+R12,R12)*S12*1000+R12,0)=W12,5,IF(IF((P12&gt;0)*(IF(Q12="",-1,Q12)&gt;=1)*(IF(Q12="",-1,Q12)&lt;=3),IF(C12="peso_corporal",IF(ISNUMBER(E12),E12,0)+O12,O12)*P12*1000+O12,0)=W12,4,IF(IF((M12&gt;0)*(IF(N12="",-1,N12)&gt;=1)*(IF(N12="",-1,N12)&lt;=3),IF(C12="peso_corporal",IF(ISNUMBER(E12),E12,0)+L12,L12)*M12*1000+L12,0)=W12,3,IF(IF((J12&gt;0)*(IF(K12="",-1,K12)&gt;=1)*(IF(K12="",-1,K12)&lt;=3),IF(C12="peso_corporal",IF(ISNUMBER(E12),E12,0)+I12,I12)*J12*1000+I12,0)=W12,2,IF(IF((G12&gt;0)*(IF(H12="",-1,H12)&gt;=1)*(IF(H12="",-1,H12)&lt;=3),IF(C12="peso_corporal",IF(ISNUMBER(E12),E12,0)+F12,F12)*G12*1000+F12,0)=W12,1,0))))))</f>
        <v>0</v>
      </c>
      <c r="Y12" s="69">
        <f>MAX(IF((G12&gt;0)*(IF(H12="",-1,H12)=0)*(1-(IF(H12="",-1,H12)&gt;=1)*(IF(H12="",-1,H12)&lt;=3)),IF(C12="peso_corporal",IF(ISNUMBER(E12),E12,0)+F12,F12)*G12*1000+F12,0),IF((J12&gt;0)*(IF(K12="",-1,K12)=0)*(1-(IF(K12="",-1,K12)&gt;=1)*(IF(K12="",-1,K12)&lt;=3)),IF(C12="peso_corporal",IF(ISNUMBER(E12),E12,0)+I12,I12)*J12*1000+I12,0),IF((M12&gt;0)*(IF(N12="",-1,N12)=0)*(1-(IF(N12="",-1,N12)&gt;=1)*(IF(N12="",-1,N12)&lt;=3)),IF(C12="peso_corporal",IF(ISNUMBER(E12),E12,0)+L12,L12)*M12*1000+L12,0),IF((P12&gt;0)*(IF(Q12="",-1,Q12)=0)*(1-(IF(Q12="",-1,Q12)&gt;=1)*(IF(Q12="",-1,Q12)&lt;=3)),IF(C12="peso_corporal",IF(ISNUMBER(E12),E12,0)+O12,O12)*P12*1000+O12,0),IF((S12&gt;0)*(IF(T12="",-1,T12)=0)*(1-(IF(T12="",-1,T12)&gt;=1)*(IF(T12="",-1,T12)&lt;=3)),IF(C12="peso_corporal",IF(ISNUMBER(E12),E12,0)+R12,R12)*S12*1000+R12,0))</f>
        <v>0</v>
      </c>
      <c r="Z12" s="69">
        <f>IF(Y12=0,0,IF(IF((S12&gt;0)*(IF(T12="",-1,T12)=0)*(1-(IF(T12="",-1,T12)&gt;=1)*(IF(T12="",-1,T12)&lt;=3)),IF(C12="peso_corporal",IF(ISNUMBER(E12),E12,0)+R12,R12)*S12*1000+R12,0)=Y12,5,IF(IF((P12&gt;0)*(IF(Q12="",-1,Q12)=0)*(1-(IF(Q12="",-1,Q12)&gt;=1)*(IF(Q12="",-1,Q12)&lt;=3)),IF(C12="peso_corporal",IF(ISNUMBER(E12),E12,0)+O12,O12)*P12*1000+O12,0)=Y12,4,IF(IF((M12&gt;0)*(IF(N12="",-1,N12)=0)*(1-(IF(N12="",-1,N12)&gt;=1)*(IF(N12="",-1,N12)&lt;=3)),IF(C12="peso_corporal",IF(ISNUMBER(E12),E12,0)+L12,L12)*M12*1000+L12,0)=Y12,3,IF(IF((J12&gt;0)*(IF(K12="",-1,K12)=0)*(1-(IF(K12="",-1,K12)&gt;=1)*(IF(K12="",-1,K12)&lt;=3)),IF(C12="peso_corporal",IF(ISNUMBER(E12),E12,0)+I12,I12)*J12*1000+I12,0)=Y12,2,IF(IF((G12&gt;0)*(IF(H12="",-1,H12)=0)*(1-(IF(H12="",-1,H12)&gt;=1)*(IF(H12="",-1,H12)&lt;=3)),IF(C12="peso_corporal",IF(ISNUMBER(E12),E12,0)+F12,F12)*G12*1000+F12,0)=Y12,1,0))))))</f>
        <v>0</v>
      </c>
      <c r="AA12" s="69">
        <f>MAX(IF((G12&gt;=6)*(1-(IF(H12="",-1,H12)&gt;=1)*(IF(H12="",-1,H12)&lt;=3))*(1-(IF(H12="",-1,H12)=0)),IF(C12="peso_corporal",IF(ISNUMBER(E12),E12,0)+F12,F12)*(30+G12)*100+F12,0),IF((J12&gt;=6)*(1-(IF(K12="",-1,K12)&gt;=1)*(IF(K12="",-1,K12)&lt;=3))*(1-(IF(K12="",-1,K12)=0)),IF(C12="peso_corporal",IF(ISNUMBER(E12),E12,0)+I12,I12)*(30+J12)*100+I12,0),IF((M12&gt;=6)*(1-(IF(N12="",-1,N12)&gt;=1)*(IF(N12="",-1,N12)&lt;=3))*(1-(IF(N12="",-1,N12)=0)),IF(C12="peso_corporal",IF(ISNUMBER(E12),E12,0)+L12,L12)*(30+M12)*100+L12,0),IF((P12&gt;=6)*(1-(IF(Q12="",-1,Q12)&gt;=1)*(IF(Q12="",-1,Q12)&lt;=3))*(1-(IF(Q12="",-1,Q12)=0)),IF(C12="peso_corporal",IF(ISNUMBER(E12),E12,0)+O12,O12)*(30+P12)*100+O12,0),IF((S12&gt;=6)*(1-(IF(T12="",-1,T12)&gt;=1)*(IF(T12="",-1,T12)&lt;=3))*(1-(IF(T12="",-1,T12)=0)),IF(C12="peso_corporal",IF(ISNUMBER(E12),E12,0)+R12,R12)*(30+S12)*100+R12,0))</f>
        <v>0</v>
      </c>
      <c r="AB12" s="69">
        <f>IF(AA12=0,0,IF(IF((S12&gt;=6)*(1-(IF(T12="",-1,T12)&gt;=1)*(IF(T12="",-1,T12)&lt;=3))*(1-(IF(T12="",-1,T12)=0)),IF(C12="peso_corporal",IF(ISNUMBER(E12),E12,0)+R12,R12)*(30+S12)*100+R12,0)=AA12,5,IF(IF((P12&gt;=6)*(1-(IF(Q12="",-1,Q12)&gt;=1)*(IF(Q12="",-1,Q12)&lt;=3))*(1-(IF(Q12="",-1,Q12)=0)),IF(C12="peso_corporal",IF(ISNUMBER(E12),E12,0)+O12,O12)*(30+P12)*100+O12,0)=AA12,4,IF(IF((M12&gt;=6)*(1-(IF(N12="",-1,N12)&gt;=1)*(IF(N12="",-1,N12)&lt;=3))*(1-(IF(N12="",-1,N12)=0)),IF(C12="peso_corporal",IF(ISNUMBER(E12),E12,0)+L12,L12)*(30+M12)*100+L12,0)=AA12,3,IF(IF((J12&gt;=6)*(1-(IF(K12="",-1,K12)&gt;=1)*(IF(K12="",-1,K12)&lt;=3))*(1-(IF(K12="",-1,K12)=0)),IF(C12="peso_corporal",IF(ISNUMBER(E12),E12,0)+I12,I12)*(30+J12)*100+I12,0)=AA12,2,IF(IF((G12&gt;=6)*(1-(IF(H12="",-1,H12)&gt;=1)*(IF(H12="",-1,H12)&lt;=3))*(1-(IF(H12="",-1,H12)=0)),IF(C12="peso_corporal",IF(ISNUMBER(E12),E12,0)+F12,F12)*(30+G12)*100+F12,0)=AA12,1,0))))))</f>
        <v>0</v>
      </c>
      <c r="AC12" s="69" t="str">
        <f>IF(X12&gt;0,"A"&amp;X12,IF(Z12&gt;0,"B"&amp;Z12,IF(AB12&gt;0,"C"&amp;AB12,"")))</f>
        <v/>
      </c>
    </row>
    <row r="13" spans="1:29" ht="20.100000000000001" customHeight="1">
      <c r="A13" s="14" t="s">
        <v>43</v>
      </c>
      <c r="B13" s="15" t="s">
        <v>159</v>
      </c>
      <c r="C13" s="16" t="str">
        <f>IFERROR(INDEX(EJERCICIOS!$D$3:$D$75,MATCH(A13&amp;"|"&amp;B13,EJERCICIOS!$G$3:$G$75,0)),"--")</f>
        <v>--</v>
      </c>
      <c r="D13" s="17">
        <v>3</v>
      </c>
      <c r="E13" s="18">
        <f>IFERROR(LOOKUP(2,1/(MEDIDAS_Y_PESO!$B$3:$B$3&lt;&gt;""),MEDIDAS_Y_PESO!$B$3:$B$3),"--")</f>
        <v>80</v>
      </c>
      <c r="F13" s="19"/>
      <c r="G13" s="20"/>
      <c r="H13" s="21"/>
      <c r="I13" s="19"/>
      <c r="J13" s="20"/>
      <c r="K13" s="21"/>
      <c r="L13" s="19"/>
      <c r="M13" s="20"/>
      <c r="N13" s="21"/>
      <c r="O13" s="19"/>
      <c r="P13" s="20"/>
      <c r="Q13" s="21"/>
      <c r="R13" s="19"/>
      <c r="S13" s="20"/>
      <c r="T13" s="21"/>
      <c r="U13" s="22" t="str">
        <f>IFERROR(IF(IF(X13&gt;0,X13,IF(Z13&gt;0,Z13,IF(AB13&gt;0,AB13,0)))=0,"--",ROUND(CHOOSE(IF(X13&gt;0,X13,IF(Z13&gt;0,Z13,IF(AB13&gt;0,AB13,0))),IF(C13="peso_corporal",IF(ISNUMBER(E13),E13,0)+F13,F13)*(1+G13/30),IF(C13="peso_corporal",IF(ISNUMBER(E13),E13,0)+I13,I13)*(1+J13/30),IF(C13="peso_corporal",IF(ISNUMBER(E13),E13,0)+L13,L13)*(1+M13/30),IF(C13="peso_corporal",IF(ISNUMBER(E13),E13,0)+O13,O13)*(1+P13/30),IF(C13="peso_corporal",IF(ISNUMBER(E13),E13,0)+R13,R13)*(1+S13/30)),1)),"--")</f>
        <v>--</v>
      </c>
      <c r="V13" s="23" t="str">
        <f>IF(SUGERENCIAS!N42="SIN","Sin datos anteriores",IF(SUGERENCIAS!N42="SUBIR_F","^ SUBIR FUERTE | Kg:"&amp;ROUND(SUGERENCIAS!K42,1)&amp;" R:"&amp;ROUND(SUGERENCIAS!L42,0)&amp;" RIR:"&amp;ROUND(SUGERENCIAS!M42,0),IF(SUGERENCIAS!N42="SUBIR_E","^ SUBIR (Est.) | Kg:"&amp;ROUND(SUGERENCIAS!K42,1)&amp;" R:"&amp;ROUND(SUGERENCIAS!L42,0)&amp;" RIR:"&amp;ROUND(SUGERENCIAS!M42,0),IF(SUGERENCIAS!N42="SUBIR","^ SUBIR | Kg:"&amp;ROUND(SUGERENCIAS!K42,1)&amp;" R:"&amp;ROUND(SUGERENCIAS!L42,0)&amp;" RIR:"&amp;ROUND(SUGERENCIAS!M42,0),IF(SUGERENCIAS!N42="BAJAR","v BAJAR | Kg:"&amp;ROUND(SUGERENCIAS!K42,1)&amp;" R:"&amp;ROUND(SUGERENCIAS!L42,0)&amp;" RIR:"&amp;ROUND(SUGERENCIAS!M42,0),"= MANT | Kg:"&amp;ROUND(SUGERENCIAS!K42,1)&amp;" R:"&amp;ROUND(SUGERENCIAS!L42,0)&amp;" RIR:"&amp;ROUND(SUGERENCIAS!M42,0))))))</f>
        <v>Sin datos anteriores</v>
      </c>
      <c r="W13" s="69">
        <f>MAX(IF((G13&gt;0)*(IF(H13="",-1,H13)&gt;=1)*(IF(H13="",-1,H13)&lt;=3),IF(C13="peso_corporal",IF(ISNUMBER(E13),E13,0)+F13,F13)*G13*1000+F13,0),IF((J13&gt;0)*(IF(K13="",-1,K13)&gt;=1)*(IF(K13="",-1,K13)&lt;=3),IF(C13="peso_corporal",IF(ISNUMBER(E13),E13,0)+I13,I13)*J13*1000+I13,0),IF((M13&gt;0)*(IF(N13="",-1,N13)&gt;=1)*(IF(N13="",-1,N13)&lt;=3),IF(C13="peso_corporal",IF(ISNUMBER(E13),E13,0)+L13,L13)*M13*1000+L13,0),IF((P13&gt;0)*(IF(Q13="",-1,Q13)&gt;=1)*(IF(Q13="",-1,Q13)&lt;=3),IF(C13="peso_corporal",IF(ISNUMBER(E13),E13,0)+O13,O13)*P13*1000+O13,0),IF((S13&gt;0)*(IF(T13="",-1,T13)&gt;=1)*(IF(T13="",-1,T13)&lt;=3),IF(C13="peso_corporal",IF(ISNUMBER(E13),E13,0)+R13,R13)*S13*1000+R13,0))</f>
        <v>0</v>
      </c>
      <c r="X13" s="69">
        <f>IF(W13=0,0,IF(IF((S13&gt;0)*(IF(T13="",-1,T13)&gt;=1)*(IF(T13="",-1,T13)&lt;=3),IF(C13="peso_corporal",IF(ISNUMBER(E13),E13,0)+R13,R13)*S13*1000+R13,0)=W13,5,IF(IF((P13&gt;0)*(IF(Q13="",-1,Q13)&gt;=1)*(IF(Q13="",-1,Q13)&lt;=3),IF(C13="peso_corporal",IF(ISNUMBER(E13),E13,0)+O13,O13)*P13*1000+O13,0)=W13,4,IF(IF((M13&gt;0)*(IF(N13="",-1,N13)&gt;=1)*(IF(N13="",-1,N13)&lt;=3),IF(C13="peso_corporal",IF(ISNUMBER(E13),E13,0)+L13,L13)*M13*1000+L13,0)=W13,3,IF(IF((J13&gt;0)*(IF(K13="",-1,K13)&gt;=1)*(IF(K13="",-1,K13)&lt;=3),IF(C13="peso_corporal",IF(ISNUMBER(E13),E13,0)+I13,I13)*J13*1000+I13,0)=W13,2,IF(IF((G13&gt;0)*(IF(H13="",-1,H13)&gt;=1)*(IF(H13="",-1,H13)&lt;=3),IF(C13="peso_corporal",IF(ISNUMBER(E13),E13,0)+F13,F13)*G13*1000+F13,0)=W13,1,0))))))</f>
        <v>0</v>
      </c>
      <c r="Y13" s="69">
        <f>MAX(IF((G13&gt;0)*(IF(H13="",-1,H13)=0)*(1-(IF(H13="",-1,H13)&gt;=1)*(IF(H13="",-1,H13)&lt;=3)),IF(C13="peso_corporal",IF(ISNUMBER(E13),E13,0)+F13,F13)*G13*1000+F13,0),IF((J13&gt;0)*(IF(K13="",-1,K13)=0)*(1-(IF(K13="",-1,K13)&gt;=1)*(IF(K13="",-1,K13)&lt;=3)),IF(C13="peso_corporal",IF(ISNUMBER(E13),E13,0)+I13,I13)*J13*1000+I13,0),IF((M13&gt;0)*(IF(N13="",-1,N13)=0)*(1-(IF(N13="",-1,N13)&gt;=1)*(IF(N13="",-1,N13)&lt;=3)),IF(C13="peso_corporal",IF(ISNUMBER(E13),E13,0)+L13,L13)*M13*1000+L13,0),IF((P13&gt;0)*(IF(Q13="",-1,Q13)=0)*(1-(IF(Q13="",-1,Q13)&gt;=1)*(IF(Q13="",-1,Q13)&lt;=3)),IF(C13="peso_corporal",IF(ISNUMBER(E13),E13,0)+O13,O13)*P13*1000+O13,0),IF((S13&gt;0)*(IF(T13="",-1,T13)=0)*(1-(IF(T13="",-1,T13)&gt;=1)*(IF(T13="",-1,T13)&lt;=3)),IF(C13="peso_corporal",IF(ISNUMBER(E13),E13,0)+R13,R13)*S13*1000+R13,0))</f>
        <v>0</v>
      </c>
      <c r="Z13" s="69">
        <f>IF(Y13=0,0,IF(IF((S13&gt;0)*(IF(T13="",-1,T13)=0)*(1-(IF(T13="",-1,T13)&gt;=1)*(IF(T13="",-1,T13)&lt;=3)),IF(C13="peso_corporal",IF(ISNUMBER(E13),E13,0)+R13,R13)*S13*1000+R13,0)=Y13,5,IF(IF((P13&gt;0)*(IF(Q13="",-1,Q13)=0)*(1-(IF(Q13="",-1,Q13)&gt;=1)*(IF(Q13="",-1,Q13)&lt;=3)),IF(C13="peso_corporal",IF(ISNUMBER(E13),E13,0)+O13,O13)*P13*1000+O13,0)=Y13,4,IF(IF((M13&gt;0)*(IF(N13="",-1,N13)=0)*(1-(IF(N13="",-1,N13)&gt;=1)*(IF(N13="",-1,N13)&lt;=3)),IF(C13="peso_corporal",IF(ISNUMBER(E13),E13,0)+L13,L13)*M13*1000+L13,0)=Y13,3,IF(IF((J13&gt;0)*(IF(K13="",-1,K13)=0)*(1-(IF(K13="",-1,K13)&gt;=1)*(IF(K13="",-1,K13)&lt;=3)),IF(C13="peso_corporal",IF(ISNUMBER(E13),E13,0)+I13,I13)*J13*1000+I13,0)=Y13,2,IF(IF((G13&gt;0)*(IF(H13="",-1,H13)=0)*(1-(IF(H13="",-1,H13)&gt;=1)*(IF(H13="",-1,H13)&lt;=3)),IF(C13="peso_corporal",IF(ISNUMBER(E13),E13,0)+F13,F13)*G13*1000+F13,0)=Y13,1,0))))))</f>
        <v>0</v>
      </c>
      <c r="AA13" s="69">
        <f>MAX(IF((G13&gt;=6)*(1-(IF(H13="",-1,H13)&gt;=1)*(IF(H13="",-1,H13)&lt;=3))*(1-(IF(H13="",-1,H13)=0)),IF(C13="peso_corporal",IF(ISNUMBER(E13),E13,0)+F13,F13)*(30+G13)*100+F13,0),IF((J13&gt;=6)*(1-(IF(K13="",-1,K13)&gt;=1)*(IF(K13="",-1,K13)&lt;=3))*(1-(IF(K13="",-1,K13)=0)),IF(C13="peso_corporal",IF(ISNUMBER(E13),E13,0)+I13,I13)*(30+J13)*100+I13,0),IF((M13&gt;=6)*(1-(IF(N13="",-1,N13)&gt;=1)*(IF(N13="",-1,N13)&lt;=3))*(1-(IF(N13="",-1,N13)=0)),IF(C13="peso_corporal",IF(ISNUMBER(E13),E13,0)+L13,L13)*(30+M13)*100+L13,0),IF((P13&gt;=6)*(1-(IF(Q13="",-1,Q13)&gt;=1)*(IF(Q13="",-1,Q13)&lt;=3))*(1-(IF(Q13="",-1,Q13)=0)),IF(C13="peso_corporal",IF(ISNUMBER(E13),E13,0)+O13,O13)*(30+P13)*100+O13,0),IF((S13&gt;=6)*(1-(IF(T13="",-1,T13)&gt;=1)*(IF(T13="",-1,T13)&lt;=3))*(1-(IF(T13="",-1,T13)=0)),IF(C13="peso_corporal",IF(ISNUMBER(E13),E13,0)+R13,R13)*(30+S13)*100+R13,0))</f>
        <v>0</v>
      </c>
      <c r="AB13" s="69">
        <f>IF(AA13=0,0,IF(IF((S13&gt;=6)*(1-(IF(T13="",-1,T13)&gt;=1)*(IF(T13="",-1,T13)&lt;=3))*(1-(IF(T13="",-1,T13)=0)),IF(C13="peso_corporal",IF(ISNUMBER(E13),E13,0)+R13,R13)*(30+S13)*100+R13,0)=AA13,5,IF(IF((P13&gt;=6)*(1-(IF(Q13="",-1,Q13)&gt;=1)*(IF(Q13="",-1,Q13)&lt;=3))*(1-(IF(Q13="",-1,Q13)=0)),IF(C13="peso_corporal",IF(ISNUMBER(E13),E13,0)+O13,O13)*(30+P13)*100+O13,0)=AA13,4,IF(IF((M13&gt;=6)*(1-(IF(N13="",-1,N13)&gt;=1)*(IF(N13="",-1,N13)&lt;=3))*(1-(IF(N13="",-1,N13)=0)),IF(C13="peso_corporal",IF(ISNUMBER(E13),E13,0)+L13,L13)*(30+M13)*100+L13,0)=AA13,3,IF(IF((J13&gt;=6)*(1-(IF(K13="",-1,K13)&gt;=1)*(IF(K13="",-1,K13)&lt;=3))*(1-(IF(K13="",-1,K13)=0)),IF(C13="peso_corporal",IF(ISNUMBER(E13),E13,0)+I13,I13)*(30+J13)*100+I13,0)=AA13,2,IF(IF((G13&gt;=6)*(1-(IF(H13="",-1,H13)&gt;=1)*(IF(H13="",-1,H13)&lt;=3))*(1-(IF(H13="",-1,H13)=0)),IF(C13="peso_corporal",IF(ISNUMBER(E13),E13,0)+F13,F13)*(30+G13)*100+F13,0)=AA13,1,0))))))</f>
        <v>0</v>
      </c>
      <c r="AC13" s="69" t="str">
        <f>IF(X13&gt;0,"A"&amp;X13,IF(Z13&gt;0,"B"&amp;Z13,IF(AB13&gt;0,"C"&amp;AB13,"")))</f>
        <v/>
      </c>
    </row>
    <row r="14" spans="1:29" ht="11.1" customHeight="1">
      <c r="A14" s="92" t="s">
        <v>160</v>
      </c>
      <c r="B14" s="73"/>
      <c r="C14" s="73"/>
      <c r="D14" s="73"/>
      <c r="E14" s="73"/>
      <c r="F14" s="73"/>
      <c r="G14" s="73"/>
      <c r="H14" s="73"/>
      <c r="I14" s="73"/>
      <c r="J14" s="73"/>
      <c r="K14" s="73"/>
      <c r="L14" s="73"/>
      <c r="M14" s="73"/>
      <c r="N14" s="73"/>
      <c r="O14" s="73"/>
      <c r="P14" s="73"/>
      <c r="Q14" s="73"/>
      <c r="R14" s="73"/>
      <c r="S14" s="73"/>
      <c r="T14" s="73"/>
      <c r="U14" s="73"/>
      <c r="V14" s="73"/>
      <c r="W14" s="69"/>
      <c r="X14" s="69"/>
      <c r="Y14" s="69"/>
      <c r="Z14" s="69"/>
      <c r="AA14" s="69"/>
      <c r="AB14" s="69"/>
      <c r="AC14" s="69"/>
    </row>
    <row r="15" spans="1:29" ht="20.100000000000001" customHeight="1">
      <c r="A15" s="14" t="s">
        <v>161</v>
      </c>
      <c r="B15" s="15" t="s">
        <v>162</v>
      </c>
      <c r="C15" s="16" t="str">
        <f>IFERROR(INDEX(EJERCICIOS!$D$3:$D$75,MATCH(A15&amp;"|"&amp;B15,EJERCICIOS!$G$3:$G$75,0)),"--")</f>
        <v>mancuerna</v>
      </c>
      <c r="D15" s="17">
        <v>3</v>
      </c>
      <c r="E15" s="18">
        <f>IFERROR(LOOKUP(2,1/(MEDIDAS_Y_PESO!$B$3:$B$3&lt;&gt;""),MEDIDAS_Y_PESO!$B$3:$B$3),"--")</f>
        <v>80</v>
      </c>
      <c r="F15" s="19"/>
      <c r="G15" s="20"/>
      <c r="H15" s="21"/>
      <c r="I15" s="19"/>
      <c r="J15" s="20"/>
      <c r="K15" s="21"/>
      <c r="L15" s="19"/>
      <c r="M15" s="20"/>
      <c r="N15" s="21"/>
      <c r="O15" s="19"/>
      <c r="P15" s="20"/>
      <c r="Q15" s="21"/>
      <c r="R15" s="19"/>
      <c r="S15" s="20"/>
      <c r="T15" s="21"/>
      <c r="U15" s="22" t="str">
        <f>IFERROR(IF(IF(X15&gt;0,X15,IF(Z15&gt;0,Z15,IF(AB15&gt;0,AB15,0)))=0,"--",ROUND(CHOOSE(IF(X15&gt;0,X15,IF(Z15&gt;0,Z15,IF(AB15&gt;0,AB15,0))),IF(C15="peso_corporal",IF(ISNUMBER(E15),E15,0)+F15,F15)*(1+G15/30),IF(C15="peso_corporal",IF(ISNUMBER(E15),E15,0)+I15,I15)*(1+J15/30),IF(C15="peso_corporal",IF(ISNUMBER(E15),E15,0)+L15,L15)*(1+M15/30),IF(C15="peso_corporal",IF(ISNUMBER(E15),E15,0)+O15,O15)*(1+P15/30),IF(C15="peso_corporal",IF(ISNUMBER(E15),E15,0)+R15,R15)*(1+S15/30)),1)),"--")</f>
        <v>--</v>
      </c>
      <c r="V15" s="23" t="str">
        <f>IF(SUGERENCIAS!N43="SIN","Sin datos anteriores",IF(SUGERENCIAS!N43="SUBIR_F","^ SUBIR FUERTE | Kg:"&amp;ROUND(SUGERENCIAS!K43,1)&amp;" R:"&amp;ROUND(SUGERENCIAS!L43,0)&amp;" RIR:"&amp;ROUND(SUGERENCIAS!M43,0),IF(SUGERENCIAS!N43="SUBIR_E","^ SUBIR (Est.) | Kg:"&amp;ROUND(SUGERENCIAS!K43,1)&amp;" R:"&amp;ROUND(SUGERENCIAS!L43,0)&amp;" RIR:"&amp;ROUND(SUGERENCIAS!M43,0),IF(SUGERENCIAS!N43="SUBIR","^ SUBIR | Kg:"&amp;ROUND(SUGERENCIAS!K43,1)&amp;" R:"&amp;ROUND(SUGERENCIAS!L43,0)&amp;" RIR:"&amp;ROUND(SUGERENCIAS!M43,0),IF(SUGERENCIAS!N43="BAJAR","v BAJAR | Kg:"&amp;ROUND(SUGERENCIAS!K43,1)&amp;" R:"&amp;ROUND(SUGERENCIAS!L43,0)&amp;" RIR:"&amp;ROUND(SUGERENCIAS!M43,0),"= MANT | Kg:"&amp;ROUND(SUGERENCIAS!K43,1)&amp;" R:"&amp;ROUND(SUGERENCIAS!L43,0)&amp;" RIR:"&amp;ROUND(SUGERENCIAS!M43,0))))))</f>
        <v>Sin datos anteriores</v>
      </c>
      <c r="W15" s="69">
        <f>MAX(IF((G15&gt;0)*(IF(H15="",-1,H15)&gt;=1)*(IF(H15="",-1,H15)&lt;=3),IF(C15="peso_corporal",IF(ISNUMBER(E15),E15,0)+F15,F15)*G15*1000+F15,0),IF((J15&gt;0)*(IF(K15="",-1,K15)&gt;=1)*(IF(K15="",-1,K15)&lt;=3),IF(C15="peso_corporal",IF(ISNUMBER(E15),E15,0)+I15,I15)*J15*1000+I15,0),IF((M15&gt;0)*(IF(N15="",-1,N15)&gt;=1)*(IF(N15="",-1,N15)&lt;=3),IF(C15="peso_corporal",IF(ISNUMBER(E15),E15,0)+L15,L15)*M15*1000+L15,0),IF((P15&gt;0)*(IF(Q15="",-1,Q15)&gt;=1)*(IF(Q15="",-1,Q15)&lt;=3),IF(C15="peso_corporal",IF(ISNUMBER(E15),E15,0)+O15,O15)*P15*1000+O15,0),IF((S15&gt;0)*(IF(T15="",-1,T15)&gt;=1)*(IF(T15="",-1,T15)&lt;=3),IF(C15="peso_corporal",IF(ISNUMBER(E15),E15,0)+R15,R15)*S15*1000+R15,0))</f>
        <v>0</v>
      </c>
      <c r="X15" s="69">
        <f>IF(W15=0,0,IF(IF((S15&gt;0)*(IF(T15="",-1,T15)&gt;=1)*(IF(T15="",-1,T15)&lt;=3),IF(C15="peso_corporal",IF(ISNUMBER(E15),E15,0)+R15,R15)*S15*1000+R15,0)=W15,5,IF(IF((P15&gt;0)*(IF(Q15="",-1,Q15)&gt;=1)*(IF(Q15="",-1,Q15)&lt;=3),IF(C15="peso_corporal",IF(ISNUMBER(E15),E15,0)+O15,O15)*P15*1000+O15,0)=W15,4,IF(IF((M15&gt;0)*(IF(N15="",-1,N15)&gt;=1)*(IF(N15="",-1,N15)&lt;=3),IF(C15="peso_corporal",IF(ISNUMBER(E15),E15,0)+L15,L15)*M15*1000+L15,0)=W15,3,IF(IF((J15&gt;0)*(IF(K15="",-1,K15)&gt;=1)*(IF(K15="",-1,K15)&lt;=3),IF(C15="peso_corporal",IF(ISNUMBER(E15),E15,0)+I15,I15)*J15*1000+I15,0)=W15,2,IF(IF((G15&gt;0)*(IF(H15="",-1,H15)&gt;=1)*(IF(H15="",-1,H15)&lt;=3),IF(C15="peso_corporal",IF(ISNUMBER(E15),E15,0)+F15,F15)*G15*1000+F15,0)=W15,1,0))))))</f>
        <v>0</v>
      </c>
      <c r="Y15" s="69">
        <f>MAX(IF((G15&gt;0)*(IF(H15="",-1,H15)=0)*(1-(IF(H15="",-1,H15)&gt;=1)*(IF(H15="",-1,H15)&lt;=3)),IF(C15="peso_corporal",IF(ISNUMBER(E15),E15,0)+F15,F15)*G15*1000+F15,0),IF((J15&gt;0)*(IF(K15="",-1,K15)=0)*(1-(IF(K15="",-1,K15)&gt;=1)*(IF(K15="",-1,K15)&lt;=3)),IF(C15="peso_corporal",IF(ISNUMBER(E15),E15,0)+I15,I15)*J15*1000+I15,0),IF((M15&gt;0)*(IF(N15="",-1,N15)=0)*(1-(IF(N15="",-1,N15)&gt;=1)*(IF(N15="",-1,N15)&lt;=3)),IF(C15="peso_corporal",IF(ISNUMBER(E15),E15,0)+L15,L15)*M15*1000+L15,0),IF((P15&gt;0)*(IF(Q15="",-1,Q15)=0)*(1-(IF(Q15="",-1,Q15)&gt;=1)*(IF(Q15="",-1,Q15)&lt;=3)),IF(C15="peso_corporal",IF(ISNUMBER(E15),E15,0)+O15,O15)*P15*1000+O15,0),IF((S15&gt;0)*(IF(T15="",-1,T15)=0)*(1-(IF(T15="",-1,T15)&gt;=1)*(IF(T15="",-1,T15)&lt;=3)),IF(C15="peso_corporal",IF(ISNUMBER(E15),E15,0)+R15,R15)*S15*1000+R15,0))</f>
        <v>0</v>
      </c>
      <c r="Z15" s="69">
        <f>IF(Y15=0,0,IF(IF((S15&gt;0)*(IF(T15="",-1,T15)=0)*(1-(IF(T15="",-1,T15)&gt;=1)*(IF(T15="",-1,T15)&lt;=3)),IF(C15="peso_corporal",IF(ISNUMBER(E15),E15,0)+R15,R15)*S15*1000+R15,0)=Y15,5,IF(IF((P15&gt;0)*(IF(Q15="",-1,Q15)=0)*(1-(IF(Q15="",-1,Q15)&gt;=1)*(IF(Q15="",-1,Q15)&lt;=3)),IF(C15="peso_corporal",IF(ISNUMBER(E15),E15,0)+O15,O15)*P15*1000+O15,0)=Y15,4,IF(IF((M15&gt;0)*(IF(N15="",-1,N15)=0)*(1-(IF(N15="",-1,N15)&gt;=1)*(IF(N15="",-1,N15)&lt;=3)),IF(C15="peso_corporal",IF(ISNUMBER(E15),E15,0)+L15,L15)*M15*1000+L15,0)=Y15,3,IF(IF((J15&gt;0)*(IF(K15="",-1,K15)=0)*(1-(IF(K15="",-1,K15)&gt;=1)*(IF(K15="",-1,K15)&lt;=3)),IF(C15="peso_corporal",IF(ISNUMBER(E15),E15,0)+I15,I15)*J15*1000+I15,0)=Y15,2,IF(IF((G15&gt;0)*(IF(H15="",-1,H15)=0)*(1-(IF(H15="",-1,H15)&gt;=1)*(IF(H15="",-1,H15)&lt;=3)),IF(C15="peso_corporal",IF(ISNUMBER(E15),E15,0)+F15,F15)*G15*1000+F15,0)=Y15,1,0))))))</f>
        <v>0</v>
      </c>
      <c r="AA15" s="69">
        <f>MAX(IF((G15&gt;=6)*(1-(IF(H15="",-1,H15)&gt;=1)*(IF(H15="",-1,H15)&lt;=3))*(1-(IF(H15="",-1,H15)=0)),IF(C15="peso_corporal",IF(ISNUMBER(E15),E15,0)+F15,F15)*(30+G15)*100+F15,0),IF((J15&gt;=6)*(1-(IF(K15="",-1,K15)&gt;=1)*(IF(K15="",-1,K15)&lt;=3))*(1-(IF(K15="",-1,K15)=0)),IF(C15="peso_corporal",IF(ISNUMBER(E15),E15,0)+I15,I15)*(30+J15)*100+I15,0),IF((M15&gt;=6)*(1-(IF(N15="",-1,N15)&gt;=1)*(IF(N15="",-1,N15)&lt;=3))*(1-(IF(N15="",-1,N15)=0)),IF(C15="peso_corporal",IF(ISNUMBER(E15),E15,0)+L15,L15)*(30+M15)*100+L15,0),IF((P15&gt;=6)*(1-(IF(Q15="",-1,Q15)&gt;=1)*(IF(Q15="",-1,Q15)&lt;=3))*(1-(IF(Q15="",-1,Q15)=0)),IF(C15="peso_corporal",IF(ISNUMBER(E15),E15,0)+O15,O15)*(30+P15)*100+O15,0),IF((S15&gt;=6)*(1-(IF(T15="",-1,T15)&gt;=1)*(IF(T15="",-1,T15)&lt;=3))*(1-(IF(T15="",-1,T15)=0)),IF(C15="peso_corporal",IF(ISNUMBER(E15),E15,0)+R15,R15)*(30+S15)*100+R15,0))</f>
        <v>0</v>
      </c>
      <c r="AB15" s="69">
        <f>IF(AA15=0,0,IF(IF((S15&gt;=6)*(1-(IF(T15="",-1,T15)&gt;=1)*(IF(T15="",-1,T15)&lt;=3))*(1-(IF(T15="",-1,T15)=0)),IF(C15="peso_corporal",IF(ISNUMBER(E15),E15,0)+R15,R15)*(30+S15)*100+R15,0)=AA15,5,IF(IF((P15&gt;=6)*(1-(IF(Q15="",-1,Q15)&gt;=1)*(IF(Q15="",-1,Q15)&lt;=3))*(1-(IF(Q15="",-1,Q15)=0)),IF(C15="peso_corporal",IF(ISNUMBER(E15),E15,0)+O15,O15)*(30+P15)*100+O15,0)=AA15,4,IF(IF((M15&gt;=6)*(1-(IF(N15="",-1,N15)&gt;=1)*(IF(N15="",-1,N15)&lt;=3))*(1-(IF(N15="",-1,N15)=0)),IF(C15="peso_corporal",IF(ISNUMBER(E15),E15,0)+L15,L15)*(30+M15)*100+L15,0)=AA15,3,IF(IF((J15&gt;=6)*(1-(IF(K15="",-1,K15)&gt;=1)*(IF(K15="",-1,K15)&lt;=3))*(1-(IF(K15="",-1,K15)=0)),IF(C15="peso_corporal",IF(ISNUMBER(E15),E15,0)+I15,I15)*(30+J15)*100+I15,0)=AA15,2,IF(IF((G15&gt;=6)*(1-(IF(H15="",-1,H15)&gt;=1)*(IF(H15="",-1,H15)&lt;=3))*(1-(IF(H15="",-1,H15)=0)),IF(C15="peso_corporal",IF(ISNUMBER(E15),E15,0)+F15,F15)*(30+G15)*100+F15,0)=AA15,1,0))))))</f>
        <v>0</v>
      </c>
      <c r="AC15" s="69" t="str">
        <f>IF(X15&gt;0,"A"&amp;X15,IF(Z15&gt;0,"B"&amp;Z15,IF(AB15&gt;0,"C"&amp;AB15,"")))</f>
        <v/>
      </c>
    </row>
    <row r="16" spans="1:29" ht="20.100000000000001" customHeight="1">
      <c r="A16" s="14" t="s">
        <v>163</v>
      </c>
      <c r="B16" s="15" t="s">
        <v>52</v>
      </c>
      <c r="C16" s="16" t="str">
        <f>IFERROR(INDEX(EJERCICIOS!$D$3:$D$75,MATCH(A16&amp;"|"&amp;B16,EJERCICIOS!$G$3:$G$75,0)),"--")</f>
        <v>polea</v>
      </c>
      <c r="D16" s="17">
        <v>3</v>
      </c>
      <c r="E16" s="18">
        <f>IFERROR(LOOKUP(2,1/(MEDIDAS_Y_PESO!$B$3:$B$3&lt;&gt;""),MEDIDAS_Y_PESO!$B$3:$B$3),"--")</f>
        <v>80</v>
      </c>
      <c r="F16" s="19"/>
      <c r="G16" s="20"/>
      <c r="H16" s="21"/>
      <c r="I16" s="19"/>
      <c r="J16" s="20"/>
      <c r="K16" s="21"/>
      <c r="L16" s="19"/>
      <c r="M16" s="20"/>
      <c r="N16" s="21"/>
      <c r="O16" s="19"/>
      <c r="P16" s="20"/>
      <c r="Q16" s="21"/>
      <c r="R16" s="19"/>
      <c r="S16" s="20"/>
      <c r="T16" s="21"/>
      <c r="U16" s="22" t="str">
        <f>IFERROR(IF(IF(X16&gt;0,X16,IF(Z16&gt;0,Z16,IF(AB16&gt;0,AB16,0)))=0,"--",ROUND(CHOOSE(IF(X16&gt;0,X16,IF(Z16&gt;0,Z16,IF(AB16&gt;0,AB16,0))),IF(C16="peso_corporal",IF(ISNUMBER(E16),E16,0)+F16,F16)*(1+G16/30),IF(C16="peso_corporal",IF(ISNUMBER(E16),E16,0)+I16,I16)*(1+J16/30),IF(C16="peso_corporal",IF(ISNUMBER(E16),E16,0)+L16,L16)*(1+M16/30),IF(C16="peso_corporal",IF(ISNUMBER(E16),E16,0)+O16,O16)*(1+P16/30),IF(C16="peso_corporal",IF(ISNUMBER(E16),E16,0)+R16,R16)*(1+S16/30)),1)),"--")</f>
        <v>--</v>
      </c>
      <c r="V16" s="23" t="str">
        <f>IF(SUGERENCIAS!N44="SIN","Sin datos anteriores",IF(SUGERENCIAS!N44="SUBIR_F","^ SUBIR FUERTE | Kg:"&amp;ROUND(SUGERENCIAS!K44,1)&amp;" R:"&amp;ROUND(SUGERENCIAS!L44,0)&amp;" RIR:"&amp;ROUND(SUGERENCIAS!M44,0),IF(SUGERENCIAS!N44="SUBIR_E","^ SUBIR (Est.) | Kg:"&amp;ROUND(SUGERENCIAS!K44,1)&amp;" R:"&amp;ROUND(SUGERENCIAS!L44,0)&amp;" RIR:"&amp;ROUND(SUGERENCIAS!M44,0),IF(SUGERENCIAS!N44="SUBIR","^ SUBIR | Kg:"&amp;ROUND(SUGERENCIAS!K44,1)&amp;" R:"&amp;ROUND(SUGERENCIAS!L44,0)&amp;" RIR:"&amp;ROUND(SUGERENCIAS!M44,0),IF(SUGERENCIAS!N44="BAJAR","v BAJAR | Kg:"&amp;ROUND(SUGERENCIAS!K44,1)&amp;" R:"&amp;ROUND(SUGERENCIAS!L44,0)&amp;" RIR:"&amp;ROUND(SUGERENCIAS!M44,0),"= MANT | Kg:"&amp;ROUND(SUGERENCIAS!K44,1)&amp;" R:"&amp;ROUND(SUGERENCIAS!L44,0)&amp;" RIR:"&amp;ROUND(SUGERENCIAS!M44,0))))))</f>
        <v>Sin datos anteriores</v>
      </c>
      <c r="W16" s="69">
        <f>MAX(IF((G16&gt;0)*(IF(H16="",-1,H16)&gt;=1)*(IF(H16="",-1,H16)&lt;=3),IF(C16="peso_corporal",IF(ISNUMBER(E16),E16,0)+F16,F16)*G16*1000+F16,0),IF((J16&gt;0)*(IF(K16="",-1,K16)&gt;=1)*(IF(K16="",-1,K16)&lt;=3),IF(C16="peso_corporal",IF(ISNUMBER(E16),E16,0)+I16,I16)*J16*1000+I16,0),IF((M16&gt;0)*(IF(N16="",-1,N16)&gt;=1)*(IF(N16="",-1,N16)&lt;=3),IF(C16="peso_corporal",IF(ISNUMBER(E16),E16,0)+L16,L16)*M16*1000+L16,0),IF((P16&gt;0)*(IF(Q16="",-1,Q16)&gt;=1)*(IF(Q16="",-1,Q16)&lt;=3),IF(C16="peso_corporal",IF(ISNUMBER(E16),E16,0)+O16,O16)*P16*1000+O16,0),IF((S16&gt;0)*(IF(T16="",-1,T16)&gt;=1)*(IF(T16="",-1,T16)&lt;=3),IF(C16="peso_corporal",IF(ISNUMBER(E16),E16,0)+R16,R16)*S16*1000+R16,0))</f>
        <v>0</v>
      </c>
      <c r="X16" s="69">
        <f>IF(W16=0,0,IF(IF((S16&gt;0)*(IF(T16="",-1,T16)&gt;=1)*(IF(T16="",-1,T16)&lt;=3),IF(C16="peso_corporal",IF(ISNUMBER(E16),E16,0)+R16,R16)*S16*1000+R16,0)=W16,5,IF(IF((P16&gt;0)*(IF(Q16="",-1,Q16)&gt;=1)*(IF(Q16="",-1,Q16)&lt;=3),IF(C16="peso_corporal",IF(ISNUMBER(E16),E16,0)+O16,O16)*P16*1000+O16,0)=W16,4,IF(IF((M16&gt;0)*(IF(N16="",-1,N16)&gt;=1)*(IF(N16="",-1,N16)&lt;=3),IF(C16="peso_corporal",IF(ISNUMBER(E16),E16,0)+L16,L16)*M16*1000+L16,0)=W16,3,IF(IF((J16&gt;0)*(IF(K16="",-1,K16)&gt;=1)*(IF(K16="",-1,K16)&lt;=3),IF(C16="peso_corporal",IF(ISNUMBER(E16),E16,0)+I16,I16)*J16*1000+I16,0)=W16,2,IF(IF((G16&gt;0)*(IF(H16="",-1,H16)&gt;=1)*(IF(H16="",-1,H16)&lt;=3),IF(C16="peso_corporal",IF(ISNUMBER(E16),E16,0)+F16,F16)*G16*1000+F16,0)=W16,1,0))))))</f>
        <v>0</v>
      </c>
      <c r="Y16" s="69">
        <f>MAX(IF((G16&gt;0)*(IF(H16="",-1,H16)=0)*(1-(IF(H16="",-1,H16)&gt;=1)*(IF(H16="",-1,H16)&lt;=3)),IF(C16="peso_corporal",IF(ISNUMBER(E16),E16,0)+F16,F16)*G16*1000+F16,0),IF((J16&gt;0)*(IF(K16="",-1,K16)=0)*(1-(IF(K16="",-1,K16)&gt;=1)*(IF(K16="",-1,K16)&lt;=3)),IF(C16="peso_corporal",IF(ISNUMBER(E16),E16,0)+I16,I16)*J16*1000+I16,0),IF((M16&gt;0)*(IF(N16="",-1,N16)=0)*(1-(IF(N16="",-1,N16)&gt;=1)*(IF(N16="",-1,N16)&lt;=3)),IF(C16="peso_corporal",IF(ISNUMBER(E16),E16,0)+L16,L16)*M16*1000+L16,0),IF((P16&gt;0)*(IF(Q16="",-1,Q16)=0)*(1-(IF(Q16="",-1,Q16)&gt;=1)*(IF(Q16="",-1,Q16)&lt;=3)),IF(C16="peso_corporal",IF(ISNUMBER(E16),E16,0)+O16,O16)*P16*1000+O16,0),IF((S16&gt;0)*(IF(T16="",-1,T16)=0)*(1-(IF(T16="",-1,T16)&gt;=1)*(IF(T16="",-1,T16)&lt;=3)),IF(C16="peso_corporal",IF(ISNUMBER(E16),E16,0)+R16,R16)*S16*1000+R16,0))</f>
        <v>0</v>
      </c>
      <c r="Z16" s="69">
        <f>IF(Y16=0,0,IF(IF((S16&gt;0)*(IF(T16="",-1,T16)=0)*(1-(IF(T16="",-1,T16)&gt;=1)*(IF(T16="",-1,T16)&lt;=3)),IF(C16="peso_corporal",IF(ISNUMBER(E16),E16,0)+R16,R16)*S16*1000+R16,0)=Y16,5,IF(IF((P16&gt;0)*(IF(Q16="",-1,Q16)=0)*(1-(IF(Q16="",-1,Q16)&gt;=1)*(IF(Q16="",-1,Q16)&lt;=3)),IF(C16="peso_corporal",IF(ISNUMBER(E16),E16,0)+O16,O16)*P16*1000+O16,0)=Y16,4,IF(IF((M16&gt;0)*(IF(N16="",-1,N16)=0)*(1-(IF(N16="",-1,N16)&gt;=1)*(IF(N16="",-1,N16)&lt;=3)),IF(C16="peso_corporal",IF(ISNUMBER(E16),E16,0)+L16,L16)*M16*1000+L16,0)=Y16,3,IF(IF((J16&gt;0)*(IF(K16="",-1,K16)=0)*(1-(IF(K16="",-1,K16)&gt;=1)*(IF(K16="",-1,K16)&lt;=3)),IF(C16="peso_corporal",IF(ISNUMBER(E16),E16,0)+I16,I16)*J16*1000+I16,0)=Y16,2,IF(IF((G16&gt;0)*(IF(H16="",-1,H16)=0)*(1-(IF(H16="",-1,H16)&gt;=1)*(IF(H16="",-1,H16)&lt;=3)),IF(C16="peso_corporal",IF(ISNUMBER(E16),E16,0)+F16,F16)*G16*1000+F16,0)=Y16,1,0))))))</f>
        <v>0</v>
      </c>
      <c r="AA16" s="69">
        <f>MAX(IF((G16&gt;=6)*(1-(IF(H16="",-1,H16)&gt;=1)*(IF(H16="",-1,H16)&lt;=3))*(1-(IF(H16="",-1,H16)=0)),IF(C16="peso_corporal",IF(ISNUMBER(E16),E16,0)+F16,F16)*(30+G16)*100+F16,0),IF((J16&gt;=6)*(1-(IF(K16="",-1,K16)&gt;=1)*(IF(K16="",-1,K16)&lt;=3))*(1-(IF(K16="",-1,K16)=0)),IF(C16="peso_corporal",IF(ISNUMBER(E16),E16,0)+I16,I16)*(30+J16)*100+I16,0),IF((M16&gt;=6)*(1-(IF(N16="",-1,N16)&gt;=1)*(IF(N16="",-1,N16)&lt;=3))*(1-(IF(N16="",-1,N16)=0)),IF(C16="peso_corporal",IF(ISNUMBER(E16),E16,0)+L16,L16)*(30+M16)*100+L16,0),IF((P16&gt;=6)*(1-(IF(Q16="",-1,Q16)&gt;=1)*(IF(Q16="",-1,Q16)&lt;=3))*(1-(IF(Q16="",-1,Q16)=0)),IF(C16="peso_corporal",IF(ISNUMBER(E16),E16,0)+O16,O16)*(30+P16)*100+O16,0),IF((S16&gt;=6)*(1-(IF(T16="",-1,T16)&gt;=1)*(IF(T16="",-1,T16)&lt;=3))*(1-(IF(T16="",-1,T16)=0)),IF(C16="peso_corporal",IF(ISNUMBER(E16),E16,0)+R16,R16)*(30+S16)*100+R16,0))</f>
        <v>0</v>
      </c>
      <c r="AB16" s="69">
        <f>IF(AA16=0,0,IF(IF((S16&gt;=6)*(1-(IF(T16="",-1,T16)&gt;=1)*(IF(T16="",-1,T16)&lt;=3))*(1-(IF(T16="",-1,T16)=0)),IF(C16="peso_corporal",IF(ISNUMBER(E16),E16,0)+R16,R16)*(30+S16)*100+R16,0)=AA16,5,IF(IF((P16&gt;=6)*(1-(IF(Q16="",-1,Q16)&gt;=1)*(IF(Q16="",-1,Q16)&lt;=3))*(1-(IF(Q16="",-1,Q16)=0)),IF(C16="peso_corporal",IF(ISNUMBER(E16),E16,0)+O16,O16)*(30+P16)*100+O16,0)=AA16,4,IF(IF((M16&gt;=6)*(1-(IF(N16="",-1,N16)&gt;=1)*(IF(N16="",-1,N16)&lt;=3))*(1-(IF(N16="",-1,N16)=0)),IF(C16="peso_corporal",IF(ISNUMBER(E16),E16,0)+L16,L16)*(30+M16)*100+L16,0)=AA16,3,IF(IF((J16&gt;=6)*(1-(IF(K16="",-1,K16)&gt;=1)*(IF(K16="",-1,K16)&lt;=3))*(1-(IF(K16="",-1,K16)=0)),IF(C16="peso_corporal",IF(ISNUMBER(E16),E16,0)+I16,I16)*(30+J16)*100+I16,0)=AA16,2,IF(IF((G16&gt;=6)*(1-(IF(H16="",-1,H16)&gt;=1)*(IF(H16="",-1,H16)&lt;=3))*(1-(IF(H16="",-1,H16)=0)),IF(C16="peso_corporal",IF(ISNUMBER(E16),E16,0)+F16,F16)*(30+G16)*100+F16,0)=AA16,1,0))))))</f>
        <v>0</v>
      </c>
      <c r="AC16" s="69" t="str">
        <f>IF(X16&gt;0,"A"&amp;X16,IF(Z16&gt;0,"B"&amp;Z16,IF(AB16&gt;0,"C"&amp;AB16,"")))</f>
        <v/>
      </c>
    </row>
    <row r="17" spans="1:29" ht="20.100000000000001" customHeight="1">
      <c r="A17" s="14" t="s">
        <v>164</v>
      </c>
      <c r="B17" s="15" t="s">
        <v>114</v>
      </c>
      <c r="C17" s="16" t="str">
        <f>IFERROR(INDEX(EJERCICIOS!$D$3:$D$75,MATCH(A17&amp;"|"&amp;B17,EJERCICIOS!$G$3:$G$75,0)),"--")</f>
        <v>polea</v>
      </c>
      <c r="D17" s="17">
        <v>3</v>
      </c>
      <c r="E17" s="18">
        <f>IFERROR(LOOKUP(2,1/(MEDIDAS_Y_PESO!$B$3:$B$3&lt;&gt;""),MEDIDAS_Y_PESO!$B$3:$B$3),"--")</f>
        <v>80</v>
      </c>
      <c r="F17" s="19"/>
      <c r="G17" s="20"/>
      <c r="H17" s="21"/>
      <c r="I17" s="19"/>
      <c r="J17" s="20"/>
      <c r="K17" s="21"/>
      <c r="L17" s="19"/>
      <c r="M17" s="20"/>
      <c r="N17" s="21"/>
      <c r="O17" s="19"/>
      <c r="P17" s="20"/>
      <c r="Q17" s="21"/>
      <c r="R17" s="19"/>
      <c r="S17" s="20"/>
      <c r="T17" s="21"/>
      <c r="U17" s="22" t="str">
        <f>IFERROR(IF(IF(X17&gt;0,X17,IF(Z17&gt;0,Z17,IF(AB17&gt;0,AB17,0)))=0,"--",ROUND(CHOOSE(IF(X17&gt;0,X17,IF(Z17&gt;0,Z17,IF(AB17&gt;0,AB17,0))),IF(C17="peso_corporal",IF(ISNUMBER(E17),E17,0)+F17,F17)*(1+G17/30),IF(C17="peso_corporal",IF(ISNUMBER(E17),E17,0)+I17,I17)*(1+J17/30),IF(C17="peso_corporal",IF(ISNUMBER(E17),E17,0)+L17,L17)*(1+M17/30),IF(C17="peso_corporal",IF(ISNUMBER(E17),E17,0)+O17,O17)*(1+P17/30),IF(C17="peso_corporal",IF(ISNUMBER(E17),E17,0)+R17,R17)*(1+S17/30)),1)),"--")</f>
        <v>--</v>
      </c>
      <c r="V17" s="23" t="str">
        <f>IF(SUGERENCIAS!N45="SIN","Sin datos anteriores",IF(SUGERENCIAS!N45="SUBIR_F","^ SUBIR FUERTE | Kg:"&amp;ROUND(SUGERENCIAS!K45,1)&amp;" R:"&amp;ROUND(SUGERENCIAS!L45,0)&amp;" RIR:"&amp;ROUND(SUGERENCIAS!M45,0),IF(SUGERENCIAS!N45="SUBIR_E","^ SUBIR (Est.) | Kg:"&amp;ROUND(SUGERENCIAS!K45,1)&amp;" R:"&amp;ROUND(SUGERENCIAS!L45,0)&amp;" RIR:"&amp;ROUND(SUGERENCIAS!M45,0),IF(SUGERENCIAS!N45="SUBIR","^ SUBIR | Kg:"&amp;ROUND(SUGERENCIAS!K45,1)&amp;" R:"&amp;ROUND(SUGERENCIAS!L45,0)&amp;" RIR:"&amp;ROUND(SUGERENCIAS!M45,0),IF(SUGERENCIAS!N45="BAJAR","v BAJAR | Kg:"&amp;ROUND(SUGERENCIAS!K45,1)&amp;" R:"&amp;ROUND(SUGERENCIAS!L45,0)&amp;" RIR:"&amp;ROUND(SUGERENCIAS!M45,0),"= MANT | Kg:"&amp;ROUND(SUGERENCIAS!K45,1)&amp;" R:"&amp;ROUND(SUGERENCIAS!L45,0)&amp;" RIR:"&amp;ROUND(SUGERENCIAS!M45,0))))))</f>
        <v>Sin datos anteriores</v>
      </c>
      <c r="W17" s="69">
        <f>MAX(IF((G17&gt;0)*(IF(H17="",-1,H17)&gt;=1)*(IF(H17="",-1,H17)&lt;=3),IF(C17="peso_corporal",IF(ISNUMBER(E17),E17,0)+F17,F17)*G17*1000+F17,0),IF((J17&gt;0)*(IF(K17="",-1,K17)&gt;=1)*(IF(K17="",-1,K17)&lt;=3),IF(C17="peso_corporal",IF(ISNUMBER(E17),E17,0)+I17,I17)*J17*1000+I17,0),IF((M17&gt;0)*(IF(N17="",-1,N17)&gt;=1)*(IF(N17="",-1,N17)&lt;=3),IF(C17="peso_corporal",IF(ISNUMBER(E17),E17,0)+L17,L17)*M17*1000+L17,0),IF((P17&gt;0)*(IF(Q17="",-1,Q17)&gt;=1)*(IF(Q17="",-1,Q17)&lt;=3),IF(C17="peso_corporal",IF(ISNUMBER(E17),E17,0)+O17,O17)*P17*1000+O17,0),IF((S17&gt;0)*(IF(T17="",-1,T17)&gt;=1)*(IF(T17="",-1,T17)&lt;=3),IF(C17="peso_corporal",IF(ISNUMBER(E17),E17,0)+R17,R17)*S17*1000+R17,0))</f>
        <v>0</v>
      </c>
      <c r="X17" s="69">
        <f>IF(W17=0,0,IF(IF((S17&gt;0)*(IF(T17="",-1,T17)&gt;=1)*(IF(T17="",-1,T17)&lt;=3),IF(C17="peso_corporal",IF(ISNUMBER(E17),E17,0)+R17,R17)*S17*1000+R17,0)=W17,5,IF(IF((P17&gt;0)*(IF(Q17="",-1,Q17)&gt;=1)*(IF(Q17="",-1,Q17)&lt;=3),IF(C17="peso_corporal",IF(ISNUMBER(E17),E17,0)+O17,O17)*P17*1000+O17,0)=W17,4,IF(IF((M17&gt;0)*(IF(N17="",-1,N17)&gt;=1)*(IF(N17="",-1,N17)&lt;=3),IF(C17="peso_corporal",IF(ISNUMBER(E17),E17,0)+L17,L17)*M17*1000+L17,0)=W17,3,IF(IF((J17&gt;0)*(IF(K17="",-1,K17)&gt;=1)*(IF(K17="",-1,K17)&lt;=3),IF(C17="peso_corporal",IF(ISNUMBER(E17),E17,0)+I17,I17)*J17*1000+I17,0)=W17,2,IF(IF((G17&gt;0)*(IF(H17="",-1,H17)&gt;=1)*(IF(H17="",-1,H17)&lt;=3),IF(C17="peso_corporal",IF(ISNUMBER(E17),E17,0)+F17,F17)*G17*1000+F17,0)=W17,1,0))))))</f>
        <v>0</v>
      </c>
      <c r="Y17" s="69">
        <f>MAX(IF((G17&gt;0)*(IF(H17="",-1,H17)=0)*(1-(IF(H17="",-1,H17)&gt;=1)*(IF(H17="",-1,H17)&lt;=3)),IF(C17="peso_corporal",IF(ISNUMBER(E17),E17,0)+F17,F17)*G17*1000+F17,0),IF((J17&gt;0)*(IF(K17="",-1,K17)=0)*(1-(IF(K17="",-1,K17)&gt;=1)*(IF(K17="",-1,K17)&lt;=3)),IF(C17="peso_corporal",IF(ISNUMBER(E17),E17,0)+I17,I17)*J17*1000+I17,0),IF((M17&gt;0)*(IF(N17="",-1,N17)=0)*(1-(IF(N17="",-1,N17)&gt;=1)*(IF(N17="",-1,N17)&lt;=3)),IF(C17="peso_corporal",IF(ISNUMBER(E17),E17,0)+L17,L17)*M17*1000+L17,0),IF((P17&gt;0)*(IF(Q17="",-1,Q17)=0)*(1-(IF(Q17="",-1,Q17)&gt;=1)*(IF(Q17="",-1,Q17)&lt;=3)),IF(C17="peso_corporal",IF(ISNUMBER(E17),E17,0)+O17,O17)*P17*1000+O17,0),IF((S17&gt;0)*(IF(T17="",-1,T17)=0)*(1-(IF(T17="",-1,T17)&gt;=1)*(IF(T17="",-1,T17)&lt;=3)),IF(C17="peso_corporal",IF(ISNUMBER(E17),E17,0)+R17,R17)*S17*1000+R17,0))</f>
        <v>0</v>
      </c>
      <c r="Z17" s="69">
        <f>IF(Y17=0,0,IF(IF((S17&gt;0)*(IF(T17="",-1,T17)=0)*(1-(IF(T17="",-1,T17)&gt;=1)*(IF(T17="",-1,T17)&lt;=3)),IF(C17="peso_corporal",IF(ISNUMBER(E17),E17,0)+R17,R17)*S17*1000+R17,0)=Y17,5,IF(IF((P17&gt;0)*(IF(Q17="",-1,Q17)=0)*(1-(IF(Q17="",-1,Q17)&gt;=1)*(IF(Q17="",-1,Q17)&lt;=3)),IF(C17="peso_corporal",IF(ISNUMBER(E17),E17,0)+O17,O17)*P17*1000+O17,0)=Y17,4,IF(IF((M17&gt;0)*(IF(N17="",-1,N17)=0)*(1-(IF(N17="",-1,N17)&gt;=1)*(IF(N17="",-1,N17)&lt;=3)),IF(C17="peso_corporal",IF(ISNUMBER(E17),E17,0)+L17,L17)*M17*1000+L17,0)=Y17,3,IF(IF((J17&gt;0)*(IF(K17="",-1,K17)=0)*(1-(IF(K17="",-1,K17)&gt;=1)*(IF(K17="",-1,K17)&lt;=3)),IF(C17="peso_corporal",IF(ISNUMBER(E17),E17,0)+I17,I17)*J17*1000+I17,0)=Y17,2,IF(IF((G17&gt;0)*(IF(H17="",-1,H17)=0)*(1-(IF(H17="",-1,H17)&gt;=1)*(IF(H17="",-1,H17)&lt;=3)),IF(C17="peso_corporal",IF(ISNUMBER(E17),E17,0)+F17,F17)*G17*1000+F17,0)=Y17,1,0))))))</f>
        <v>0</v>
      </c>
      <c r="AA17" s="69">
        <f>MAX(IF((G17&gt;=6)*(1-(IF(H17="",-1,H17)&gt;=1)*(IF(H17="",-1,H17)&lt;=3))*(1-(IF(H17="",-1,H17)=0)),IF(C17="peso_corporal",IF(ISNUMBER(E17),E17,0)+F17,F17)*(30+G17)*100+F17,0),IF((J17&gt;=6)*(1-(IF(K17="",-1,K17)&gt;=1)*(IF(K17="",-1,K17)&lt;=3))*(1-(IF(K17="",-1,K17)=0)),IF(C17="peso_corporal",IF(ISNUMBER(E17),E17,0)+I17,I17)*(30+J17)*100+I17,0),IF((M17&gt;=6)*(1-(IF(N17="",-1,N17)&gt;=1)*(IF(N17="",-1,N17)&lt;=3))*(1-(IF(N17="",-1,N17)=0)),IF(C17="peso_corporal",IF(ISNUMBER(E17),E17,0)+L17,L17)*(30+M17)*100+L17,0),IF((P17&gt;=6)*(1-(IF(Q17="",-1,Q17)&gt;=1)*(IF(Q17="",-1,Q17)&lt;=3))*(1-(IF(Q17="",-1,Q17)=0)),IF(C17="peso_corporal",IF(ISNUMBER(E17),E17,0)+O17,O17)*(30+P17)*100+O17,0),IF((S17&gt;=6)*(1-(IF(T17="",-1,T17)&gt;=1)*(IF(T17="",-1,T17)&lt;=3))*(1-(IF(T17="",-1,T17)=0)),IF(C17="peso_corporal",IF(ISNUMBER(E17),E17,0)+R17,R17)*(30+S17)*100+R17,0))</f>
        <v>0</v>
      </c>
      <c r="AB17" s="69">
        <f>IF(AA17=0,0,IF(IF((S17&gt;=6)*(1-(IF(T17="",-1,T17)&gt;=1)*(IF(T17="",-1,T17)&lt;=3))*(1-(IF(T17="",-1,T17)=0)),IF(C17="peso_corporal",IF(ISNUMBER(E17),E17,0)+R17,R17)*(30+S17)*100+R17,0)=AA17,5,IF(IF((P17&gt;=6)*(1-(IF(Q17="",-1,Q17)&gt;=1)*(IF(Q17="",-1,Q17)&lt;=3))*(1-(IF(Q17="",-1,Q17)=0)),IF(C17="peso_corporal",IF(ISNUMBER(E17),E17,0)+O17,O17)*(30+P17)*100+O17,0)=AA17,4,IF(IF((M17&gt;=6)*(1-(IF(N17="",-1,N17)&gt;=1)*(IF(N17="",-1,N17)&lt;=3))*(1-(IF(N17="",-1,N17)=0)),IF(C17="peso_corporal",IF(ISNUMBER(E17),E17,0)+L17,L17)*(30+M17)*100+L17,0)=AA17,3,IF(IF((J17&gt;=6)*(1-(IF(K17="",-1,K17)&gt;=1)*(IF(K17="",-1,K17)&lt;=3))*(1-(IF(K17="",-1,K17)=0)),IF(C17="peso_corporal",IF(ISNUMBER(E17),E17,0)+I17,I17)*(30+J17)*100+I17,0)=AA17,2,IF(IF((G17&gt;=6)*(1-(IF(H17="",-1,H17)&gt;=1)*(IF(H17="",-1,H17)&lt;=3))*(1-(IF(H17="",-1,H17)=0)),IF(C17="peso_corporal",IF(ISNUMBER(E17),E17,0)+F17,F17)*(30+G17)*100+F17,0)=AA17,1,0))))))</f>
        <v>0</v>
      </c>
      <c r="AC17" s="69" t="str">
        <f>IF(X17&gt;0,"A"&amp;X17,IF(Z17&gt;0,"B"&amp;Z17,IF(AB17&gt;0,"C"&amp;AB17,"")))</f>
        <v/>
      </c>
    </row>
    <row r="18" spans="1:29" ht="15" customHeight="1">
      <c r="A18" s="75" t="s">
        <v>28</v>
      </c>
      <c r="B18" s="73"/>
      <c r="C18" s="73"/>
      <c r="D18" s="73"/>
      <c r="E18" s="73"/>
      <c r="F18" s="73"/>
      <c r="G18" s="73"/>
      <c r="H18" s="73"/>
      <c r="I18" s="73"/>
      <c r="J18" s="73"/>
      <c r="K18" s="73"/>
      <c r="L18" s="73"/>
      <c r="M18" s="73"/>
      <c r="N18" s="73"/>
      <c r="O18" s="73"/>
      <c r="P18" s="73"/>
      <c r="Q18" s="73"/>
      <c r="R18" s="73"/>
      <c r="S18" s="73"/>
      <c r="T18" s="73"/>
      <c r="U18" s="73"/>
      <c r="V18" s="73"/>
      <c r="W18" s="69"/>
      <c r="X18" s="69"/>
      <c r="Y18" s="69"/>
      <c r="Z18" s="69"/>
      <c r="AA18" s="69"/>
      <c r="AB18" s="69"/>
      <c r="AC18" s="69"/>
    </row>
    <row r="19" spans="1:29" ht="11.1" customHeight="1">
      <c r="A19" s="76" t="s">
        <v>29</v>
      </c>
      <c r="B19" s="73"/>
      <c r="C19" s="73"/>
      <c r="D19" s="73"/>
      <c r="E19" s="73"/>
      <c r="F19" s="73"/>
      <c r="G19" s="73"/>
      <c r="H19" s="73"/>
      <c r="I19" s="73"/>
      <c r="J19" s="73"/>
      <c r="K19" s="73"/>
      <c r="L19" s="73"/>
      <c r="M19" s="73"/>
      <c r="N19" s="73"/>
      <c r="O19" s="73"/>
      <c r="P19" s="73"/>
      <c r="Q19" s="73"/>
      <c r="R19" s="73"/>
      <c r="S19" s="73"/>
      <c r="T19" s="73"/>
      <c r="U19" s="73"/>
      <c r="V19" s="73"/>
      <c r="W19" s="69"/>
      <c r="X19" s="69"/>
      <c r="Y19" s="69"/>
      <c r="Z19" s="69"/>
      <c r="AA19" s="69"/>
      <c r="AB19" s="69"/>
      <c r="AC19" s="69"/>
    </row>
    <row r="20" spans="1:29" ht="20.100000000000001" customHeight="1">
      <c r="A20" s="14" t="s">
        <v>30</v>
      </c>
      <c r="B20" s="15" t="s">
        <v>93</v>
      </c>
      <c r="C20" s="16" t="str">
        <f>IFERROR(INDEX(EJERCICIOS!$D$3:$D$75,MATCH(A20&amp;"|"&amp;B20,EJERCICIOS!$G$3:$G$75,0)),"--")</f>
        <v>disco</v>
      </c>
      <c r="D20" s="17">
        <v>3</v>
      </c>
      <c r="E20" s="18">
        <f>IFERROR(LOOKUP(2,1/(MEDIDAS_Y_PESO!$B$3:$B$3&lt;&gt;""),MEDIDAS_Y_PESO!$B$3:$B$3),"--")</f>
        <v>80</v>
      </c>
      <c r="F20" s="19"/>
      <c r="G20" s="20"/>
      <c r="H20" s="21"/>
      <c r="I20" s="19"/>
      <c r="J20" s="20"/>
      <c r="K20" s="21"/>
      <c r="L20" s="19"/>
      <c r="M20" s="20"/>
      <c r="N20" s="21"/>
      <c r="O20" s="19"/>
      <c r="P20" s="20"/>
      <c r="Q20" s="21"/>
      <c r="R20" s="19"/>
      <c r="S20" s="20"/>
      <c r="T20" s="21"/>
      <c r="U20" s="22" t="str">
        <f>IFERROR(IF(IF(X20&gt;0,X20,IF(Z20&gt;0,Z20,IF(AB20&gt;0,AB20,0)))=0,"--",ROUND(CHOOSE(IF(X20&gt;0,X20,IF(Z20&gt;0,Z20,IF(AB20&gt;0,AB20,0))),IF(C20="peso_corporal",IF(ISNUMBER(E20),E20,0)+F20,F20)*(1+G20/30),IF(C20="peso_corporal",IF(ISNUMBER(E20),E20,0)+I20,I20)*(1+J20/30),IF(C20="peso_corporal",IF(ISNUMBER(E20),E20,0)+L20,L20)*(1+M20/30),IF(C20="peso_corporal",IF(ISNUMBER(E20),E20,0)+O20,O20)*(1+P20/30),IF(C20="peso_corporal",IF(ISNUMBER(E20),E20,0)+R20,R20)*(1+S20/30)),1)),"--")</f>
        <v>--</v>
      </c>
      <c r="V20" s="23" t="str">
        <f>IF(SUGERENCIAS!N46="SIN","Sin datos anteriores",IF(SUGERENCIAS!N46="SUBIR_F","^ SUBIR FUERTE | Kg:"&amp;ROUND(SUGERENCIAS!K46,1)&amp;" R:"&amp;ROUND(SUGERENCIAS!L46,0)&amp;" RIR:"&amp;ROUND(SUGERENCIAS!M46,0),IF(SUGERENCIAS!N46="SUBIR_E","^ SUBIR (Est.) | Kg:"&amp;ROUND(SUGERENCIAS!K46,1)&amp;" R:"&amp;ROUND(SUGERENCIAS!L46,0)&amp;" RIR:"&amp;ROUND(SUGERENCIAS!M46,0),IF(SUGERENCIAS!N46="SUBIR","^ SUBIR | Kg:"&amp;ROUND(SUGERENCIAS!K46,1)&amp;" R:"&amp;ROUND(SUGERENCIAS!L46,0)&amp;" RIR:"&amp;ROUND(SUGERENCIAS!M46,0),IF(SUGERENCIAS!N46="BAJAR","v BAJAR | Kg:"&amp;ROUND(SUGERENCIAS!K46,1)&amp;" R:"&amp;ROUND(SUGERENCIAS!L46,0)&amp;" RIR:"&amp;ROUND(SUGERENCIAS!M46,0),"= MANT | Kg:"&amp;ROUND(SUGERENCIAS!K46,1)&amp;" R:"&amp;ROUND(SUGERENCIAS!L46,0)&amp;" RIR:"&amp;ROUND(SUGERENCIAS!M46,0))))))</f>
        <v>Sin datos anteriores</v>
      </c>
      <c r="W20" s="69">
        <f>MAX(IF((G20&gt;0)*(IF(H20="",-1,H20)&gt;=1)*(IF(H20="",-1,H20)&lt;=3),IF(C20="peso_corporal",IF(ISNUMBER(E20),E20,0)+F20,F20)*G20*1000+F20,0),IF((J20&gt;0)*(IF(K20="",-1,K20)&gt;=1)*(IF(K20="",-1,K20)&lt;=3),IF(C20="peso_corporal",IF(ISNUMBER(E20),E20,0)+I20,I20)*J20*1000+I20,0),IF((M20&gt;0)*(IF(N20="",-1,N20)&gt;=1)*(IF(N20="",-1,N20)&lt;=3),IF(C20="peso_corporal",IF(ISNUMBER(E20),E20,0)+L20,L20)*M20*1000+L20,0),IF((P20&gt;0)*(IF(Q20="",-1,Q20)&gt;=1)*(IF(Q20="",-1,Q20)&lt;=3),IF(C20="peso_corporal",IF(ISNUMBER(E20),E20,0)+O20,O20)*P20*1000+O20,0),IF((S20&gt;0)*(IF(T20="",-1,T20)&gt;=1)*(IF(T20="",-1,T20)&lt;=3),IF(C20="peso_corporal",IF(ISNUMBER(E20),E20,0)+R20,R20)*S20*1000+R20,0))</f>
        <v>0</v>
      </c>
      <c r="X20" s="69">
        <f>IF(W20=0,0,IF(IF((S20&gt;0)*(IF(T20="",-1,T20)&gt;=1)*(IF(T20="",-1,T20)&lt;=3),IF(C20="peso_corporal",IF(ISNUMBER(E20),E20,0)+R20,R20)*S20*1000+R20,0)=W20,5,IF(IF((P20&gt;0)*(IF(Q20="",-1,Q20)&gt;=1)*(IF(Q20="",-1,Q20)&lt;=3),IF(C20="peso_corporal",IF(ISNUMBER(E20),E20,0)+O20,O20)*P20*1000+O20,0)=W20,4,IF(IF((M20&gt;0)*(IF(N20="",-1,N20)&gt;=1)*(IF(N20="",-1,N20)&lt;=3),IF(C20="peso_corporal",IF(ISNUMBER(E20),E20,0)+L20,L20)*M20*1000+L20,0)=W20,3,IF(IF((J20&gt;0)*(IF(K20="",-1,K20)&gt;=1)*(IF(K20="",-1,K20)&lt;=3),IF(C20="peso_corporal",IF(ISNUMBER(E20),E20,0)+I20,I20)*J20*1000+I20,0)=W20,2,IF(IF((G20&gt;0)*(IF(H20="",-1,H20)&gt;=1)*(IF(H20="",-1,H20)&lt;=3),IF(C20="peso_corporal",IF(ISNUMBER(E20),E20,0)+F20,F20)*G20*1000+F20,0)=W20,1,0))))))</f>
        <v>0</v>
      </c>
      <c r="Y20" s="69">
        <f>MAX(IF((G20&gt;0)*(IF(H20="",-1,H20)=0)*(1-(IF(H20="",-1,H20)&gt;=1)*(IF(H20="",-1,H20)&lt;=3)),IF(C20="peso_corporal",IF(ISNUMBER(E20),E20,0)+F20,F20)*G20*1000+F20,0),IF((J20&gt;0)*(IF(K20="",-1,K20)=0)*(1-(IF(K20="",-1,K20)&gt;=1)*(IF(K20="",-1,K20)&lt;=3)),IF(C20="peso_corporal",IF(ISNUMBER(E20),E20,0)+I20,I20)*J20*1000+I20,0),IF((M20&gt;0)*(IF(N20="",-1,N20)=0)*(1-(IF(N20="",-1,N20)&gt;=1)*(IF(N20="",-1,N20)&lt;=3)),IF(C20="peso_corporal",IF(ISNUMBER(E20),E20,0)+L20,L20)*M20*1000+L20,0),IF((P20&gt;0)*(IF(Q20="",-1,Q20)=0)*(1-(IF(Q20="",-1,Q20)&gt;=1)*(IF(Q20="",-1,Q20)&lt;=3)),IF(C20="peso_corporal",IF(ISNUMBER(E20),E20,0)+O20,O20)*P20*1000+O20,0),IF((S20&gt;0)*(IF(T20="",-1,T20)=0)*(1-(IF(T20="",-1,T20)&gt;=1)*(IF(T20="",-1,T20)&lt;=3)),IF(C20="peso_corporal",IF(ISNUMBER(E20),E20,0)+R20,R20)*S20*1000+R20,0))</f>
        <v>0</v>
      </c>
      <c r="Z20" s="69">
        <f>IF(Y20=0,0,IF(IF((S20&gt;0)*(IF(T20="",-1,T20)=0)*(1-(IF(T20="",-1,T20)&gt;=1)*(IF(T20="",-1,T20)&lt;=3)),IF(C20="peso_corporal",IF(ISNUMBER(E20),E20,0)+R20,R20)*S20*1000+R20,0)=Y20,5,IF(IF((P20&gt;0)*(IF(Q20="",-1,Q20)=0)*(1-(IF(Q20="",-1,Q20)&gt;=1)*(IF(Q20="",-1,Q20)&lt;=3)),IF(C20="peso_corporal",IF(ISNUMBER(E20),E20,0)+O20,O20)*P20*1000+O20,0)=Y20,4,IF(IF((M20&gt;0)*(IF(N20="",-1,N20)=0)*(1-(IF(N20="",-1,N20)&gt;=1)*(IF(N20="",-1,N20)&lt;=3)),IF(C20="peso_corporal",IF(ISNUMBER(E20),E20,0)+L20,L20)*M20*1000+L20,0)=Y20,3,IF(IF((J20&gt;0)*(IF(K20="",-1,K20)=0)*(1-(IF(K20="",-1,K20)&gt;=1)*(IF(K20="",-1,K20)&lt;=3)),IF(C20="peso_corporal",IF(ISNUMBER(E20),E20,0)+I20,I20)*J20*1000+I20,0)=Y20,2,IF(IF((G20&gt;0)*(IF(H20="",-1,H20)=0)*(1-(IF(H20="",-1,H20)&gt;=1)*(IF(H20="",-1,H20)&lt;=3)),IF(C20="peso_corporal",IF(ISNUMBER(E20),E20,0)+F20,F20)*G20*1000+F20,0)=Y20,1,0))))))</f>
        <v>0</v>
      </c>
      <c r="AA20" s="69">
        <f>MAX(IF((G20&gt;=6)*(1-(IF(H20="",-1,H20)&gt;=1)*(IF(H20="",-1,H20)&lt;=3))*(1-(IF(H20="",-1,H20)=0)),IF(C20="peso_corporal",IF(ISNUMBER(E20),E20,0)+F20,F20)*(30+G20)*100+F20,0),IF((J20&gt;=6)*(1-(IF(K20="",-1,K20)&gt;=1)*(IF(K20="",-1,K20)&lt;=3))*(1-(IF(K20="",-1,K20)=0)),IF(C20="peso_corporal",IF(ISNUMBER(E20),E20,0)+I20,I20)*(30+J20)*100+I20,0),IF((M20&gt;=6)*(1-(IF(N20="",-1,N20)&gt;=1)*(IF(N20="",-1,N20)&lt;=3))*(1-(IF(N20="",-1,N20)=0)),IF(C20="peso_corporal",IF(ISNUMBER(E20),E20,0)+L20,L20)*(30+M20)*100+L20,0),IF((P20&gt;=6)*(1-(IF(Q20="",-1,Q20)&gt;=1)*(IF(Q20="",-1,Q20)&lt;=3))*(1-(IF(Q20="",-1,Q20)=0)),IF(C20="peso_corporal",IF(ISNUMBER(E20),E20,0)+O20,O20)*(30+P20)*100+O20,0),IF((S20&gt;=6)*(1-(IF(T20="",-1,T20)&gt;=1)*(IF(T20="",-1,T20)&lt;=3))*(1-(IF(T20="",-1,T20)=0)),IF(C20="peso_corporal",IF(ISNUMBER(E20),E20,0)+R20,R20)*(30+S20)*100+R20,0))</f>
        <v>0</v>
      </c>
      <c r="AB20" s="69">
        <f>IF(AA20=0,0,IF(IF((S20&gt;=6)*(1-(IF(T20="",-1,T20)&gt;=1)*(IF(T20="",-1,T20)&lt;=3))*(1-(IF(T20="",-1,T20)=0)),IF(C20="peso_corporal",IF(ISNUMBER(E20),E20,0)+R20,R20)*(30+S20)*100+R20,0)=AA20,5,IF(IF((P20&gt;=6)*(1-(IF(Q20="",-1,Q20)&gt;=1)*(IF(Q20="",-1,Q20)&lt;=3))*(1-(IF(Q20="",-1,Q20)=0)),IF(C20="peso_corporal",IF(ISNUMBER(E20),E20,0)+O20,O20)*(30+P20)*100+O20,0)=AA20,4,IF(IF((M20&gt;=6)*(1-(IF(N20="",-1,N20)&gt;=1)*(IF(N20="",-1,N20)&lt;=3))*(1-(IF(N20="",-1,N20)=0)),IF(C20="peso_corporal",IF(ISNUMBER(E20),E20,0)+L20,L20)*(30+M20)*100+L20,0)=AA20,3,IF(IF((J20&gt;=6)*(1-(IF(K20="",-1,K20)&gt;=1)*(IF(K20="",-1,K20)&lt;=3))*(1-(IF(K20="",-1,K20)=0)),IF(C20="peso_corporal",IF(ISNUMBER(E20),E20,0)+I20,I20)*(30+J20)*100+I20,0)=AA20,2,IF(IF((G20&gt;=6)*(1-(IF(H20="",-1,H20)&gt;=1)*(IF(H20="",-1,H20)&lt;=3))*(1-(IF(H20="",-1,H20)=0)),IF(C20="peso_corporal",IF(ISNUMBER(E20),E20,0)+F20,F20)*(30+G20)*100+F20,0)=AA20,1,0))))))</f>
        <v>0</v>
      </c>
      <c r="AC20" s="69" t="str">
        <f>IF(X20&gt;0,"A"&amp;X20,IF(Z20&gt;0,"B"&amp;Z20,IF(AB20&gt;0,"C"&amp;AB20,"")))</f>
        <v/>
      </c>
    </row>
    <row r="21" spans="1:29" ht="11.1" customHeight="1">
      <c r="A21" s="84" t="s">
        <v>32</v>
      </c>
      <c r="B21" s="73"/>
      <c r="C21" s="73"/>
      <c r="D21" s="73"/>
      <c r="E21" s="73"/>
      <c r="F21" s="73"/>
      <c r="G21" s="73"/>
      <c r="H21" s="73"/>
      <c r="I21" s="73"/>
      <c r="J21" s="73"/>
      <c r="K21" s="73"/>
      <c r="L21" s="73"/>
      <c r="M21" s="73"/>
      <c r="N21" s="73"/>
      <c r="O21" s="73"/>
      <c r="P21" s="73"/>
      <c r="Q21" s="73"/>
      <c r="R21" s="73"/>
      <c r="S21" s="73"/>
      <c r="T21" s="73"/>
      <c r="U21" s="73"/>
      <c r="V21" s="73"/>
      <c r="W21" s="69"/>
      <c r="X21" s="69"/>
      <c r="Y21" s="69"/>
      <c r="Z21" s="69"/>
      <c r="AA21" s="69"/>
      <c r="AB21" s="69"/>
      <c r="AC21" s="69"/>
    </row>
    <row r="22" spans="1:29" ht="20.100000000000001" customHeight="1">
      <c r="A22" s="14" t="s">
        <v>61</v>
      </c>
      <c r="B22" s="15" t="s">
        <v>93</v>
      </c>
      <c r="C22" s="16" t="str">
        <f>IFERROR(INDEX(EJERCICIOS!$D$3:$D$75,MATCH(A22&amp;"|"&amp;B22,EJERCICIOS!$G$3:$G$75,0)),"--")</f>
        <v>disco</v>
      </c>
      <c r="D22" s="17">
        <v>3</v>
      </c>
      <c r="E22" s="18">
        <f>IFERROR(LOOKUP(2,1/(MEDIDAS_Y_PESO!$B$3:$B$3&lt;&gt;""),MEDIDAS_Y_PESO!$B$3:$B$3),"--")</f>
        <v>80</v>
      </c>
      <c r="F22" s="19"/>
      <c r="G22" s="20"/>
      <c r="H22" s="21"/>
      <c r="I22" s="19"/>
      <c r="J22" s="20"/>
      <c r="K22" s="21"/>
      <c r="L22" s="19"/>
      <c r="M22" s="20"/>
      <c r="N22" s="21"/>
      <c r="O22" s="19"/>
      <c r="P22" s="20"/>
      <c r="Q22" s="21"/>
      <c r="R22" s="19"/>
      <c r="S22" s="20"/>
      <c r="T22" s="21"/>
      <c r="U22" s="22" t="str">
        <f>IFERROR(IF(IF(X22&gt;0,X22,IF(Z22&gt;0,Z22,IF(AB22&gt;0,AB22,0)))=0,"--",ROUND(CHOOSE(IF(X22&gt;0,X22,IF(Z22&gt;0,Z22,IF(AB22&gt;0,AB22,0))),IF(C22="peso_corporal",IF(ISNUMBER(E22),E22,0)+F22,F22)*(1+G22/30),IF(C22="peso_corporal",IF(ISNUMBER(E22),E22,0)+I22,I22)*(1+J22/30),IF(C22="peso_corporal",IF(ISNUMBER(E22),E22,0)+L22,L22)*(1+M22/30),IF(C22="peso_corporal",IF(ISNUMBER(E22),E22,0)+O22,O22)*(1+P22/30),IF(C22="peso_corporal",IF(ISNUMBER(E22),E22,0)+R22,R22)*(1+S22/30)),1)),"--")</f>
        <v>--</v>
      </c>
      <c r="V22" s="23" t="str">
        <f>IF(SUGERENCIAS!N47="SIN","Sin datos anteriores",IF(SUGERENCIAS!N47="SUBIR_F","^ SUBIR FUERTE | Kg:"&amp;ROUND(SUGERENCIAS!K47,1)&amp;" R:"&amp;ROUND(SUGERENCIAS!L47,0)&amp;" RIR:"&amp;ROUND(SUGERENCIAS!M47,0),IF(SUGERENCIAS!N47="SUBIR_E","^ SUBIR (Est.) | Kg:"&amp;ROUND(SUGERENCIAS!K47,1)&amp;" R:"&amp;ROUND(SUGERENCIAS!L47,0)&amp;" RIR:"&amp;ROUND(SUGERENCIAS!M47,0),IF(SUGERENCIAS!N47="SUBIR","^ SUBIR | Kg:"&amp;ROUND(SUGERENCIAS!K47,1)&amp;" R:"&amp;ROUND(SUGERENCIAS!L47,0)&amp;" RIR:"&amp;ROUND(SUGERENCIAS!M47,0),IF(SUGERENCIAS!N47="BAJAR","v BAJAR | Kg:"&amp;ROUND(SUGERENCIAS!K47,1)&amp;" R:"&amp;ROUND(SUGERENCIAS!L47,0)&amp;" RIR:"&amp;ROUND(SUGERENCIAS!M47,0),"= MANT | Kg:"&amp;ROUND(SUGERENCIAS!K47,1)&amp;" R:"&amp;ROUND(SUGERENCIAS!L47,0)&amp;" RIR:"&amp;ROUND(SUGERENCIAS!M47,0))))))</f>
        <v>Sin datos anteriores</v>
      </c>
      <c r="W22" s="69">
        <f>MAX(IF((G22&gt;0)*(IF(H22="",-1,H22)&gt;=1)*(IF(H22="",-1,H22)&lt;=3),IF(C22="peso_corporal",IF(ISNUMBER(E22),E22,0)+F22,F22)*G22*1000+F22,0),IF((J22&gt;0)*(IF(K22="",-1,K22)&gt;=1)*(IF(K22="",-1,K22)&lt;=3),IF(C22="peso_corporal",IF(ISNUMBER(E22),E22,0)+I22,I22)*J22*1000+I22,0),IF((M22&gt;0)*(IF(N22="",-1,N22)&gt;=1)*(IF(N22="",-1,N22)&lt;=3),IF(C22="peso_corporal",IF(ISNUMBER(E22),E22,0)+L22,L22)*M22*1000+L22,0),IF((P22&gt;0)*(IF(Q22="",-1,Q22)&gt;=1)*(IF(Q22="",-1,Q22)&lt;=3),IF(C22="peso_corporal",IF(ISNUMBER(E22),E22,0)+O22,O22)*P22*1000+O22,0),IF((S22&gt;0)*(IF(T22="",-1,T22)&gt;=1)*(IF(T22="",-1,T22)&lt;=3),IF(C22="peso_corporal",IF(ISNUMBER(E22),E22,0)+R22,R22)*S22*1000+R22,0))</f>
        <v>0</v>
      </c>
      <c r="X22" s="69">
        <f>IF(W22=0,0,IF(IF((S22&gt;0)*(IF(T22="",-1,T22)&gt;=1)*(IF(T22="",-1,T22)&lt;=3),IF(C22="peso_corporal",IF(ISNUMBER(E22),E22,0)+R22,R22)*S22*1000+R22,0)=W22,5,IF(IF((P22&gt;0)*(IF(Q22="",-1,Q22)&gt;=1)*(IF(Q22="",-1,Q22)&lt;=3),IF(C22="peso_corporal",IF(ISNUMBER(E22),E22,0)+O22,O22)*P22*1000+O22,0)=W22,4,IF(IF((M22&gt;0)*(IF(N22="",-1,N22)&gt;=1)*(IF(N22="",-1,N22)&lt;=3),IF(C22="peso_corporal",IF(ISNUMBER(E22),E22,0)+L22,L22)*M22*1000+L22,0)=W22,3,IF(IF((J22&gt;0)*(IF(K22="",-1,K22)&gt;=1)*(IF(K22="",-1,K22)&lt;=3),IF(C22="peso_corporal",IF(ISNUMBER(E22),E22,0)+I22,I22)*J22*1000+I22,0)=W22,2,IF(IF((G22&gt;0)*(IF(H22="",-1,H22)&gt;=1)*(IF(H22="",-1,H22)&lt;=3),IF(C22="peso_corporal",IF(ISNUMBER(E22),E22,0)+F22,F22)*G22*1000+F22,0)=W22,1,0))))))</f>
        <v>0</v>
      </c>
      <c r="Y22" s="69">
        <f>MAX(IF((G22&gt;0)*(IF(H22="",-1,H22)=0)*(1-(IF(H22="",-1,H22)&gt;=1)*(IF(H22="",-1,H22)&lt;=3)),IF(C22="peso_corporal",IF(ISNUMBER(E22),E22,0)+F22,F22)*G22*1000+F22,0),IF((J22&gt;0)*(IF(K22="",-1,K22)=0)*(1-(IF(K22="",-1,K22)&gt;=1)*(IF(K22="",-1,K22)&lt;=3)),IF(C22="peso_corporal",IF(ISNUMBER(E22),E22,0)+I22,I22)*J22*1000+I22,0),IF((M22&gt;0)*(IF(N22="",-1,N22)=0)*(1-(IF(N22="",-1,N22)&gt;=1)*(IF(N22="",-1,N22)&lt;=3)),IF(C22="peso_corporal",IF(ISNUMBER(E22),E22,0)+L22,L22)*M22*1000+L22,0),IF((P22&gt;0)*(IF(Q22="",-1,Q22)=0)*(1-(IF(Q22="",-1,Q22)&gt;=1)*(IF(Q22="",-1,Q22)&lt;=3)),IF(C22="peso_corporal",IF(ISNUMBER(E22),E22,0)+O22,O22)*P22*1000+O22,0),IF((S22&gt;0)*(IF(T22="",-1,T22)=0)*(1-(IF(T22="",-1,T22)&gt;=1)*(IF(T22="",-1,T22)&lt;=3)),IF(C22="peso_corporal",IF(ISNUMBER(E22),E22,0)+R22,R22)*S22*1000+R22,0))</f>
        <v>0</v>
      </c>
      <c r="Z22" s="69">
        <f>IF(Y22=0,0,IF(IF((S22&gt;0)*(IF(T22="",-1,T22)=0)*(1-(IF(T22="",-1,T22)&gt;=1)*(IF(T22="",-1,T22)&lt;=3)),IF(C22="peso_corporal",IF(ISNUMBER(E22),E22,0)+R22,R22)*S22*1000+R22,0)=Y22,5,IF(IF((P22&gt;0)*(IF(Q22="",-1,Q22)=0)*(1-(IF(Q22="",-1,Q22)&gt;=1)*(IF(Q22="",-1,Q22)&lt;=3)),IF(C22="peso_corporal",IF(ISNUMBER(E22),E22,0)+O22,O22)*P22*1000+O22,0)=Y22,4,IF(IF((M22&gt;0)*(IF(N22="",-1,N22)=0)*(1-(IF(N22="",-1,N22)&gt;=1)*(IF(N22="",-1,N22)&lt;=3)),IF(C22="peso_corporal",IF(ISNUMBER(E22),E22,0)+L22,L22)*M22*1000+L22,0)=Y22,3,IF(IF((J22&gt;0)*(IF(K22="",-1,K22)=0)*(1-(IF(K22="",-1,K22)&gt;=1)*(IF(K22="",-1,K22)&lt;=3)),IF(C22="peso_corporal",IF(ISNUMBER(E22),E22,0)+I22,I22)*J22*1000+I22,0)=Y22,2,IF(IF((G22&gt;0)*(IF(H22="",-1,H22)=0)*(1-(IF(H22="",-1,H22)&gt;=1)*(IF(H22="",-1,H22)&lt;=3)),IF(C22="peso_corporal",IF(ISNUMBER(E22),E22,0)+F22,F22)*G22*1000+F22,0)=Y22,1,0))))))</f>
        <v>0</v>
      </c>
      <c r="AA22" s="69">
        <f>MAX(IF((G22&gt;=6)*(1-(IF(H22="",-1,H22)&gt;=1)*(IF(H22="",-1,H22)&lt;=3))*(1-(IF(H22="",-1,H22)=0)),IF(C22="peso_corporal",IF(ISNUMBER(E22),E22,0)+F22,F22)*(30+G22)*100+F22,0),IF((J22&gt;=6)*(1-(IF(K22="",-1,K22)&gt;=1)*(IF(K22="",-1,K22)&lt;=3))*(1-(IF(K22="",-1,K22)=0)),IF(C22="peso_corporal",IF(ISNUMBER(E22),E22,0)+I22,I22)*(30+J22)*100+I22,0),IF((M22&gt;=6)*(1-(IF(N22="",-1,N22)&gt;=1)*(IF(N22="",-1,N22)&lt;=3))*(1-(IF(N22="",-1,N22)=0)),IF(C22="peso_corporal",IF(ISNUMBER(E22),E22,0)+L22,L22)*(30+M22)*100+L22,0),IF((P22&gt;=6)*(1-(IF(Q22="",-1,Q22)&gt;=1)*(IF(Q22="",-1,Q22)&lt;=3))*(1-(IF(Q22="",-1,Q22)=0)),IF(C22="peso_corporal",IF(ISNUMBER(E22),E22,0)+O22,O22)*(30+P22)*100+O22,0),IF((S22&gt;=6)*(1-(IF(T22="",-1,T22)&gt;=1)*(IF(T22="",-1,T22)&lt;=3))*(1-(IF(T22="",-1,T22)=0)),IF(C22="peso_corporal",IF(ISNUMBER(E22),E22,0)+R22,R22)*(30+S22)*100+R22,0))</f>
        <v>0</v>
      </c>
      <c r="AB22" s="69">
        <f>IF(AA22=0,0,IF(IF((S22&gt;=6)*(1-(IF(T22="",-1,T22)&gt;=1)*(IF(T22="",-1,T22)&lt;=3))*(1-(IF(T22="",-1,T22)=0)),IF(C22="peso_corporal",IF(ISNUMBER(E22),E22,0)+R22,R22)*(30+S22)*100+R22,0)=AA22,5,IF(IF((P22&gt;=6)*(1-(IF(Q22="",-1,Q22)&gt;=1)*(IF(Q22="",-1,Q22)&lt;=3))*(1-(IF(Q22="",-1,Q22)=0)),IF(C22="peso_corporal",IF(ISNUMBER(E22),E22,0)+O22,O22)*(30+P22)*100+O22,0)=AA22,4,IF(IF((M22&gt;=6)*(1-(IF(N22="",-1,N22)&gt;=1)*(IF(N22="",-1,N22)&lt;=3))*(1-(IF(N22="",-1,N22)=0)),IF(C22="peso_corporal",IF(ISNUMBER(E22),E22,0)+L22,L22)*(30+M22)*100+L22,0)=AA22,3,IF(IF((J22&gt;=6)*(1-(IF(K22="",-1,K22)&gt;=1)*(IF(K22="",-1,K22)&lt;=3))*(1-(IF(K22="",-1,K22)=0)),IF(C22="peso_corporal",IF(ISNUMBER(E22),E22,0)+I22,I22)*(30+J22)*100+I22,0)=AA22,2,IF(IF((G22&gt;=6)*(1-(IF(H22="",-1,H22)&gt;=1)*(IF(H22="",-1,H22)&lt;=3))*(1-(IF(H22="",-1,H22)=0)),IF(C22="peso_corporal",IF(ISNUMBER(E22),E22,0)+F22,F22)*(30+G22)*100+F22,0)=AA22,1,0))))))</f>
        <v>0</v>
      </c>
      <c r="AC22" s="69" t="str">
        <f>IF(X22&gt;0,"A"&amp;X22,IF(Z22&gt;0,"B"&amp;Z22,IF(AB22&gt;0,"C"&amp;AB22,"")))</f>
        <v/>
      </c>
    </row>
    <row r="23" spans="1:29" ht="11.1" customHeight="1">
      <c r="A23" s="87" t="s">
        <v>35</v>
      </c>
      <c r="B23" s="73"/>
      <c r="C23" s="73"/>
      <c r="D23" s="73"/>
      <c r="E23" s="73"/>
      <c r="F23" s="73"/>
      <c r="G23" s="73"/>
      <c r="H23" s="73"/>
      <c r="I23" s="73"/>
      <c r="J23" s="73"/>
      <c r="K23" s="73"/>
      <c r="L23" s="73"/>
      <c r="M23" s="73"/>
      <c r="N23" s="73"/>
      <c r="O23" s="73"/>
      <c r="P23" s="73"/>
      <c r="Q23" s="73"/>
      <c r="R23" s="73"/>
      <c r="S23" s="73"/>
      <c r="T23" s="73"/>
      <c r="U23" s="73"/>
      <c r="V23" s="73"/>
      <c r="W23" s="69"/>
      <c r="X23" s="69"/>
      <c r="Y23" s="69"/>
      <c r="Z23" s="69"/>
      <c r="AA23" s="69"/>
      <c r="AB23" s="69"/>
      <c r="AC23" s="69"/>
    </row>
    <row r="24" spans="1:29" ht="20.100000000000001" customHeight="1">
      <c r="A24" s="14" t="s">
        <v>62</v>
      </c>
      <c r="B24" s="15" t="s">
        <v>39</v>
      </c>
      <c r="C24" s="16" t="str">
        <f>IFERROR(INDEX(EJERCICIOS!$D$3:$D$75,MATCH(A24&amp;"|"&amp;B24,EJERCICIOS!$G$3:$G$75,0)),"--")</f>
        <v>--</v>
      </c>
      <c r="D24" s="17">
        <v>3</v>
      </c>
      <c r="E24" s="18">
        <f>IFERROR(LOOKUP(2,1/(MEDIDAS_Y_PESO!$B$3:$B$3&lt;&gt;""),MEDIDAS_Y_PESO!$B$3:$B$3),"--")</f>
        <v>80</v>
      </c>
      <c r="F24" s="19"/>
      <c r="G24" s="20"/>
      <c r="H24" s="21"/>
      <c r="I24" s="19"/>
      <c r="J24" s="20"/>
      <c r="K24" s="21"/>
      <c r="L24" s="19"/>
      <c r="M24" s="20"/>
      <c r="N24" s="21"/>
      <c r="O24" s="19"/>
      <c r="P24" s="20"/>
      <c r="Q24" s="21"/>
      <c r="R24" s="19"/>
      <c r="S24" s="20"/>
      <c r="T24" s="21"/>
      <c r="U24" s="22" t="str">
        <f>IFERROR(IF(IF(X24&gt;0,X24,IF(Z24&gt;0,Z24,IF(AB24&gt;0,AB24,0)))=0,"--",ROUND(CHOOSE(IF(X24&gt;0,X24,IF(Z24&gt;0,Z24,IF(AB24&gt;0,AB24,0))),IF(C24="peso_corporal",IF(ISNUMBER(E24),E24,0)+F24,F24)*(1+G24/30),IF(C24="peso_corporal",IF(ISNUMBER(E24),E24,0)+I24,I24)*(1+J24/30),IF(C24="peso_corporal",IF(ISNUMBER(E24),E24,0)+L24,L24)*(1+M24/30),IF(C24="peso_corporal",IF(ISNUMBER(E24),E24,0)+O24,O24)*(1+P24/30),IF(C24="peso_corporal",IF(ISNUMBER(E24),E24,0)+R24,R24)*(1+S24/30)),1)),"--")</f>
        <v>--</v>
      </c>
      <c r="V24" s="23" t="str">
        <f>IF(SUGERENCIAS!N48="SIN","Sin datos anteriores",IF(SUGERENCIAS!N48="SUBIR_F","^ SUBIR FUERTE | Kg:"&amp;ROUND(SUGERENCIAS!K48,1)&amp;" R:"&amp;ROUND(SUGERENCIAS!L48,0)&amp;" RIR:"&amp;ROUND(SUGERENCIAS!M48,0),IF(SUGERENCIAS!N48="SUBIR_E","^ SUBIR (Est.) | Kg:"&amp;ROUND(SUGERENCIAS!K48,1)&amp;" R:"&amp;ROUND(SUGERENCIAS!L48,0)&amp;" RIR:"&amp;ROUND(SUGERENCIAS!M48,0),IF(SUGERENCIAS!N48="SUBIR","^ SUBIR | Kg:"&amp;ROUND(SUGERENCIAS!K48,1)&amp;" R:"&amp;ROUND(SUGERENCIAS!L48,0)&amp;" RIR:"&amp;ROUND(SUGERENCIAS!M48,0),IF(SUGERENCIAS!N48="BAJAR","v BAJAR | Kg:"&amp;ROUND(SUGERENCIAS!K48,1)&amp;" R:"&amp;ROUND(SUGERENCIAS!L48,0)&amp;" RIR:"&amp;ROUND(SUGERENCIAS!M48,0),"= MANT | Kg:"&amp;ROUND(SUGERENCIAS!K48,1)&amp;" R:"&amp;ROUND(SUGERENCIAS!L48,0)&amp;" RIR:"&amp;ROUND(SUGERENCIAS!M48,0))))))</f>
        <v>Sin datos anteriores</v>
      </c>
      <c r="W24" s="69">
        <f>MAX(IF((G24&gt;0)*(IF(H24="",-1,H24)&gt;=1)*(IF(H24="",-1,H24)&lt;=3),IF(C24="peso_corporal",IF(ISNUMBER(E24),E24,0)+F24,F24)*G24*1000+F24,0),IF((J24&gt;0)*(IF(K24="",-1,K24)&gt;=1)*(IF(K24="",-1,K24)&lt;=3),IF(C24="peso_corporal",IF(ISNUMBER(E24),E24,0)+I24,I24)*J24*1000+I24,0),IF((M24&gt;0)*(IF(N24="",-1,N24)&gt;=1)*(IF(N24="",-1,N24)&lt;=3),IF(C24="peso_corporal",IF(ISNUMBER(E24),E24,0)+L24,L24)*M24*1000+L24,0),IF((P24&gt;0)*(IF(Q24="",-1,Q24)&gt;=1)*(IF(Q24="",-1,Q24)&lt;=3),IF(C24="peso_corporal",IF(ISNUMBER(E24),E24,0)+O24,O24)*P24*1000+O24,0),IF((S24&gt;0)*(IF(T24="",-1,T24)&gt;=1)*(IF(T24="",-1,T24)&lt;=3),IF(C24="peso_corporal",IF(ISNUMBER(E24),E24,0)+R24,R24)*S24*1000+R24,0))</f>
        <v>0</v>
      </c>
      <c r="X24" s="69">
        <f>IF(W24=0,0,IF(IF((S24&gt;0)*(IF(T24="",-1,T24)&gt;=1)*(IF(T24="",-1,T24)&lt;=3),IF(C24="peso_corporal",IF(ISNUMBER(E24),E24,0)+R24,R24)*S24*1000+R24,0)=W24,5,IF(IF((P24&gt;0)*(IF(Q24="",-1,Q24)&gt;=1)*(IF(Q24="",-1,Q24)&lt;=3),IF(C24="peso_corporal",IF(ISNUMBER(E24),E24,0)+O24,O24)*P24*1000+O24,0)=W24,4,IF(IF((M24&gt;0)*(IF(N24="",-1,N24)&gt;=1)*(IF(N24="",-1,N24)&lt;=3),IF(C24="peso_corporal",IF(ISNUMBER(E24),E24,0)+L24,L24)*M24*1000+L24,0)=W24,3,IF(IF((J24&gt;0)*(IF(K24="",-1,K24)&gt;=1)*(IF(K24="",-1,K24)&lt;=3),IF(C24="peso_corporal",IF(ISNUMBER(E24),E24,0)+I24,I24)*J24*1000+I24,0)=W24,2,IF(IF((G24&gt;0)*(IF(H24="",-1,H24)&gt;=1)*(IF(H24="",-1,H24)&lt;=3),IF(C24="peso_corporal",IF(ISNUMBER(E24),E24,0)+F24,F24)*G24*1000+F24,0)=W24,1,0))))))</f>
        <v>0</v>
      </c>
      <c r="Y24" s="69">
        <f>MAX(IF((G24&gt;0)*(IF(H24="",-1,H24)=0)*(1-(IF(H24="",-1,H24)&gt;=1)*(IF(H24="",-1,H24)&lt;=3)),IF(C24="peso_corporal",IF(ISNUMBER(E24),E24,0)+F24,F24)*G24*1000+F24,0),IF((J24&gt;0)*(IF(K24="",-1,K24)=0)*(1-(IF(K24="",-1,K24)&gt;=1)*(IF(K24="",-1,K24)&lt;=3)),IF(C24="peso_corporal",IF(ISNUMBER(E24),E24,0)+I24,I24)*J24*1000+I24,0),IF((M24&gt;0)*(IF(N24="",-1,N24)=0)*(1-(IF(N24="",-1,N24)&gt;=1)*(IF(N24="",-1,N24)&lt;=3)),IF(C24="peso_corporal",IF(ISNUMBER(E24),E24,0)+L24,L24)*M24*1000+L24,0),IF((P24&gt;0)*(IF(Q24="",-1,Q24)=0)*(1-(IF(Q24="",-1,Q24)&gt;=1)*(IF(Q24="",-1,Q24)&lt;=3)),IF(C24="peso_corporal",IF(ISNUMBER(E24),E24,0)+O24,O24)*P24*1000+O24,0),IF((S24&gt;0)*(IF(T24="",-1,T24)=0)*(1-(IF(T24="",-1,T24)&gt;=1)*(IF(T24="",-1,T24)&lt;=3)),IF(C24="peso_corporal",IF(ISNUMBER(E24),E24,0)+R24,R24)*S24*1000+R24,0))</f>
        <v>0</v>
      </c>
      <c r="Z24" s="69">
        <f>IF(Y24=0,0,IF(IF((S24&gt;0)*(IF(T24="",-1,T24)=0)*(1-(IF(T24="",-1,T24)&gt;=1)*(IF(T24="",-1,T24)&lt;=3)),IF(C24="peso_corporal",IF(ISNUMBER(E24),E24,0)+R24,R24)*S24*1000+R24,0)=Y24,5,IF(IF((P24&gt;0)*(IF(Q24="",-1,Q24)=0)*(1-(IF(Q24="",-1,Q24)&gt;=1)*(IF(Q24="",-1,Q24)&lt;=3)),IF(C24="peso_corporal",IF(ISNUMBER(E24),E24,0)+O24,O24)*P24*1000+O24,0)=Y24,4,IF(IF((M24&gt;0)*(IF(N24="",-1,N24)=0)*(1-(IF(N24="",-1,N24)&gt;=1)*(IF(N24="",-1,N24)&lt;=3)),IF(C24="peso_corporal",IF(ISNUMBER(E24),E24,0)+L24,L24)*M24*1000+L24,0)=Y24,3,IF(IF((J24&gt;0)*(IF(K24="",-1,K24)=0)*(1-(IF(K24="",-1,K24)&gt;=1)*(IF(K24="",-1,K24)&lt;=3)),IF(C24="peso_corporal",IF(ISNUMBER(E24),E24,0)+I24,I24)*J24*1000+I24,0)=Y24,2,IF(IF((G24&gt;0)*(IF(H24="",-1,H24)=0)*(1-(IF(H24="",-1,H24)&gt;=1)*(IF(H24="",-1,H24)&lt;=3)),IF(C24="peso_corporal",IF(ISNUMBER(E24),E24,0)+F24,F24)*G24*1000+F24,0)=Y24,1,0))))))</f>
        <v>0</v>
      </c>
      <c r="AA24" s="69">
        <f>MAX(IF((G24&gt;=6)*(1-(IF(H24="",-1,H24)&gt;=1)*(IF(H24="",-1,H24)&lt;=3))*(1-(IF(H24="",-1,H24)=0)),IF(C24="peso_corporal",IF(ISNUMBER(E24),E24,0)+F24,F24)*(30+G24)*100+F24,0),IF((J24&gt;=6)*(1-(IF(K24="",-1,K24)&gt;=1)*(IF(K24="",-1,K24)&lt;=3))*(1-(IF(K24="",-1,K24)=0)),IF(C24="peso_corporal",IF(ISNUMBER(E24),E24,0)+I24,I24)*(30+J24)*100+I24,0),IF((M24&gt;=6)*(1-(IF(N24="",-1,N24)&gt;=1)*(IF(N24="",-1,N24)&lt;=3))*(1-(IF(N24="",-1,N24)=0)),IF(C24="peso_corporal",IF(ISNUMBER(E24),E24,0)+L24,L24)*(30+M24)*100+L24,0),IF((P24&gt;=6)*(1-(IF(Q24="",-1,Q24)&gt;=1)*(IF(Q24="",-1,Q24)&lt;=3))*(1-(IF(Q24="",-1,Q24)=0)),IF(C24="peso_corporal",IF(ISNUMBER(E24),E24,0)+O24,O24)*(30+P24)*100+O24,0),IF((S24&gt;=6)*(1-(IF(T24="",-1,T24)&gt;=1)*(IF(T24="",-1,T24)&lt;=3))*(1-(IF(T24="",-1,T24)=0)),IF(C24="peso_corporal",IF(ISNUMBER(E24),E24,0)+R24,R24)*(30+S24)*100+R24,0))</f>
        <v>0</v>
      </c>
      <c r="AB24" s="69">
        <f>IF(AA24=0,0,IF(IF((S24&gt;=6)*(1-(IF(T24="",-1,T24)&gt;=1)*(IF(T24="",-1,T24)&lt;=3))*(1-(IF(T24="",-1,T24)=0)),IF(C24="peso_corporal",IF(ISNUMBER(E24),E24,0)+R24,R24)*(30+S24)*100+R24,0)=AA24,5,IF(IF((P24&gt;=6)*(1-(IF(Q24="",-1,Q24)&gt;=1)*(IF(Q24="",-1,Q24)&lt;=3))*(1-(IF(Q24="",-1,Q24)=0)),IF(C24="peso_corporal",IF(ISNUMBER(E24),E24,0)+O24,O24)*(30+P24)*100+O24,0)=AA24,4,IF(IF((M24&gt;=6)*(1-(IF(N24="",-1,N24)&gt;=1)*(IF(N24="",-1,N24)&lt;=3))*(1-(IF(N24="",-1,N24)=0)),IF(C24="peso_corporal",IF(ISNUMBER(E24),E24,0)+L24,L24)*(30+M24)*100+L24,0)=AA24,3,IF(IF((J24&gt;=6)*(1-(IF(K24="",-1,K24)&gt;=1)*(IF(K24="",-1,K24)&lt;=3))*(1-(IF(K24="",-1,K24)=0)),IF(C24="peso_corporal",IF(ISNUMBER(E24),E24,0)+I24,I24)*(30+J24)*100+I24,0)=AA24,2,IF(IF((G24&gt;=6)*(1-(IF(H24="",-1,H24)&gt;=1)*(IF(H24="",-1,H24)&lt;=3))*(1-(IF(H24="",-1,H24)=0)),IF(C24="peso_corporal",IF(ISNUMBER(E24),E24,0)+F24,F24)*(30+G24)*100+F24,0)=AA24,1,0))))))</f>
        <v>0</v>
      </c>
      <c r="AC24" s="69" t="str">
        <f>IF(X24&gt;0,"A"&amp;X24,IF(Z24&gt;0,"B"&amp;Z24,IF(AB24&gt;0,"C"&amp;AB24,"")))</f>
        <v/>
      </c>
    </row>
    <row r="25" spans="1:29" ht="15" customHeight="1">
      <c r="A25" s="82" t="s">
        <v>47</v>
      </c>
      <c r="B25" s="73"/>
      <c r="C25" s="73"/>
      <c r="D25" s="73"/>
      <c r="E25" s="73"/>
      <c r="F25" s="73"/>
      <c r="G25" s="73"/>
      <c r="H25" s="73"/>
      <c r="I25" s="73"/>
      <c r="J25" s="73"/>
      <c r="K25" s="73"/>
      <c r="L25" s="73"/>
      <c r="M25" s="73"/>
      <c r="N25" s="73"/>
      <c r="O25" s="73"/>
      <c r="P25" s="73"/>
      <c r="Q25" s="73"/>
      <c r="R25" s="73"/>
      <c r="S25" s="73"/>
      <c r="T25" s="73"/>
      <c r="U25" s="73"/>
      <c r="V25" s="73"/>
      <c r="W25" s="69"/>
      <c r="X25" s="69"/>
      <c r="Y25" s="69"/>
      <c r="Z25" s="69"/>
      <c r="AA25" s="69"/>
      <c r="AB25" s="69"/>
      <c r="AC25" s="69"/>
    </row>
    <row r="26" spans="1:29" ht="20.100000000000001" customHeight="1">
      <c r="A26" s="14" t="s">
        <v>48</v>
      </c>
      <c r="B26" s="15" t="s">
        <v>110</v>
      </c>
      <c r="C26" s="16" t="str">
        <f>IFERROR(INDEX(EJERCICIOS!$D$3:$D$75,MATCH(A26&amp;"|"&amp;B26,EJERCICIOS!$G$3:$G$75,0)),"--")</f>
        <v>--</v>
      </c>
      <c r="D26" s="17">
        <v>3</v>
      </c>
      <c r="E26" s="18">
        <f>IFERROR(LOOKUP(2,1/(MEDIDAS_Y_PESO!$B$3:$B$3&lt;&gt;""),MEDIDAS_Y_PESO!$B$3:$B$3),"--")</f>
        <v>80</v>
      </c>
      <c r="F26" s="19"/>
      <c r="G26" s="20"/>
      <c r="H26" s="21"/>
      <c r="I26" s="19"/>
      <c r="J26" s="20"/>
      <c r="K26" s="21"/>
      <c r="L26" s="19"/>
      <c r="M26" s="20"/>
      <c r="N26" s="21"/>
      <c r="O26" s="19"/>
      <c r="P26" s="20"/>
      <c r="Q26" s="21"/>
      <c r="R26" s="19"/>
      <c r="S26" s="20"/>
      <c r="T26" s="21"/>
      <c r="U26" s="22" t="str">
        <f>IFERROR(IF(IF(X26&gt;0,X26,IF(Z26&gt;0,Z26,IF(AB26&gt;0,AB26,0)))=0,"--",ROUND(CHOOSE(IF(X26&gt;0,X26,IF(Z26&gt;0,Z26,IF(AB26&gt;0,AB26,0))),IF(C26="peso_corporal",IF(ISNUMBER(E26),E26,0)+F26,F26)*(1+G26/30),IF(C26="peso_corporal",IF(ISNUMBER(E26),E26,0)+I26,I26)*(1+J26/30),IF(C26="peso_corporal",IF(ISNUMBER(E26),E26,0)+L26,L26)*(1+M26/30),IF(C26="peso_corporal",IF(ISNUMBER(E26),E26,0)+O26,O26)*(1+P26/30),IF(C26="peso_corporal",IF(ISNUMBER(E26),E26,0)+R26,R26)*(1+S26/30)),1)),"--")</f>
        <v>--</v>
      </c>
      <c r="V26" s="23" t="str">
        <f>IF(SUGERENCIAS!N49="SIN","Sin datos anteriores",IF(SUGERENCIAS!N49="SUBIR_F","^ SUBIR FUERTE | Kg:"&amp;ROUND(SUGERENCIAS!K49,1)&amp;" R:"&amp;ROUND(SUGERENCIAS!L49,0)&amp;" RIR:"&amp;ROUND(SUGERENCIAS!M49,0),IF(SUGERENCIAS!N49="SUBIR_E","^ SUBIR (Est.) | Kg:"&amp;ROUND(SUGERENCIAS!K49,1)&amp;" R:"&amp;ROUND(SUGERENCIAS!L49,0)&amp;" RIR:"&amp;ROUND(SUGERENCIAS!M49,0),IF(SUGERENCIAS!N49="SUBIR","^ SUBIR | Kg:"&amp;ROUND(SUGERENCIAS!K49,1)&amp;" R:"&amp;ROUND(SUGERENCIAS!L49,0)&amp;" RIR:"&amp;ROUND(SUGERENCIAS!M49,0),IF(SUGERENCIAS!N49="BAJAR","v BAJAR | Kg:"&amp;ROUND(SUGERENCIAS!K49,1)&amp;" R:"&amp;ROUND(SUGERENCIAS!L49,0)&amp;" RIR:"&amp;ROUND(SUGERENCIAS!M49,0),"= MANT | Kg:"&amp;ROUND(SUGERENCIAS!K49,1)&amp;" R:"&amp;ROUND(SUGERENCIAS!L49,0)&amp;" RIR:"&amp;ROUND(SUGERENCIAS!M49,0))))))</f>
        <v>Sin datos anteriores</v>
      </c>
      <c r="W26" s="69">
        <f>MAX(IF((G26&gt;0)*(IF(H26="",-1,H26)&gt;=1)*(IF(H26="",-1,H26)&lt;=3),IF(C26="peso_corporal",IF(ISNUMBER(E26),E26,0)+F26,F26)*G26*1000+F26,0),IF((J26&gt;0)*(IF(K26="",-1,K26)&gt;=1)*(IF(K26="",-1,K26)&lt;=3),IF(C26="peso_corporal",IF(ISNUMBER(E26),E26,0)+I26,I26)*J26*1000+I26,0),IF((M26&gt;0)*(IF(N26="",-1,N26)&gt;=1)*(IF(N26="",-1,N26)&lt;=3),IF(C26="peso_corporal",IF(ISNUMBER(E26),E26,0)+L26,L26)*M26*1000+L26,0),IF((P26&gt;0)*(IF(Q26="",-1,Q26)&gt;=1)*(IF(Q26="",-1,Q26)&lt;=3),IF(C26="peso_corporal",IF(ISNUMBER(E26),E26,0)+O26,O26)*P26*1000+O26,0),IF((S26&gt;0)*(IF(T26="",-1,T26)&gt;=1)*(IF(T26="",-1,T26)&lt;=3),IF(C26="peso_corporal",IF(ISNUMBER(E26),E26,0)+R26,R26)*S26*1000+R26,0))</f>
        <v>0</v>
      </c>
      <c r="X26" s="69">
        <f>IF(W26=0,0,IF(IF((S26&gt;0)*(IF(T26="",-1,T26)&gt;=1)*(IF(T26="",-1,T26)&lt;=3),IF(C26="peso_corporal",IF(ISNUMBER(E26),E26,0)+R26,R26)*S26*1000+R26,0)=W26,5,IF(IF((P26&gt;0)*(IF(Q26="",-1,Q26)&gt;=1)*(IF(Q26="",-1,Q26)&lt;=3),IF(C26="peso_corporal",IF(ISNUMBER(E26),E26,0)+O26,O26)*P26*1000+O26,0)=W26,4,IF(IF((M26&gt;0)*(IF(N26="",-1,N26)&gt;=1)*(IF(N26="",-1,N26)&lt;=3),IF(C26="peso_corporal",IF(ISNUMBER(E26),E26,0)+L26,L26)*M26*1000+L26,0)=W26,3,IF(IF((J26&gt;0)*(IF(K26="",-1,K26)&gt;=1)*(IF(K26="",-1,K26)&lt;=3),IF(C26="peso_corporal",IF(ISNUMBER(E26),E26,0)+I26,I26)*J26*1000+I26,0)=W26,2,IF(IF((G26&gt;0)*(IF(H26="",-1,H26)&gt;=1)*(IF(H26="",-1,H26)&lt;=3),IF(C26="peso_corporal",IF(ISNUMBER(E26),E26,0)+F26,F26)*G26*1000+F26,0)=W26,1,0))))))</f>
        <v>0</v>
      </c>
      <c r="Y26" s="69">
        <f>MAX(IF((G26&gt;0)*(IF(H26="",-1,H26)=0)*(1-(IF(H26="",-1,H26)&gt;=1)*(IF(H26="",-1,H26)&lt;=3)),IF(C26="peso_corporal",IF(ISNUMBER(E26),E26,0)+F26,F26)*G26*1000+F26,0),IF((J26&gt;0)*(IF(K26="",-1,K26)=0)*(1-(IF(K26="",-1,K26)&gt;=1)*(IF(K26="",-1,K26)&lt;=3)),IF(C26="peso_corporal",IF(ISNUMBER(E26),E26,0)+I26,I26)*J26*1000+I26,0),IF((M26&gt;0)*(IF(N26="",-1,N26)=0)*(1-(IF(N26="",-1,N26)&gt;=1)*(IF(N26="",-1,N26)&lt;=3)),IF(C26="peso_corporal",IF(ISNUMBER(E26),E26,0)+L26,L26)*M26*1000+L26,0),IF((P26&gt;0)*(IF(Q26="",-1,Q26)=0)*(1-(IF(Q26="",-1,Q26)&gt;=1)*(IF(Q26="",-1,Q26)&lt;=3)),IF(C26="peso_corporal",IF(ISNUMBER(E26),E26,0)+O26,O26)*P26*1000+O26,0),IF((S26&gt;0)*(IF(T26="",-1,T26)=0)*(1-(IF(T26="",-1,T26)&gt;=1)*(IF(T26="",-1,T26)&lt;=3)),IF(C26="peso_corporal",IF(ISNUMBER(E26),E26,0)+R26,R26)*S26*1000+R26,0))</f>
        <v>0</v>
      </c>
      <c r="Z26" s="69">
        <f>IF(Y26=0,0,IF(IF((S26&gt;0)*(IF(T26="",-1,T26)=0)*(1-(IF(T26="",-1,T26)&gt;=1)*(IF(T26="",-1,T26)&lt;=3)),IF(C26="peso_corporal",IF(ISNUMBER(E26),E26,0)+R26,R26)*S26*1000+R26,0)=Y26,5,IF(IF((P26&gt;0)*(IF(Q26="",-1,Q26)=0)*(1-(IF(Q26="",-1,Q26)&gt;=1)*(IF(Q26="",-1,Q26)&lt;=3)),IF(C26="peso_corporal",IF(ISNUMBER(E26),E26,0)+O26,O26)*P26*1000+O26,0)=Y26,4,IF(IF((M26&gt;0)*(IF(N26="",-1,N26)=0)*(1-(IF(N26="",-1,N26)&gt;=1)*(IF(N26="",-1,N26)&lt;=3)),IF(C26="peso_corporal",IF(ISNUMBER(E26),E26,0)+L26,L26)*M26*1000+L26,0)=Y26,3,IF(IF((J26&gt;0)*(IF(K26="",-1,K26)=0)*(1-(IF(K26="",-1,K26)&gt;=1)*(IF(K26="",-1,K26)&lt;=3)),IF(C26="peso_corporal",IF(ISNUMBER(E26),E26,0)+I26,I26)*J26*1000+I26,0)=Y26,2,IF(IF((G26&gt;0)*(IF(H26="",-1,H26)=0)*(1-(IF(H26="",-1,H26)&gt;=1)*(IF(H26="",-1,H26)&lt;=3)),IF(C26="peso_corporal",IF(ISNUMBER(E26),E26,0)+F26,F26)*G26*1000+F26,0)=Y26,1,0))))))</f>
        <v>0</v>
      </c>
      <c r="AA26" s="69">
        <f>MAX(IF((G26&gt;=6)*(1-(IF(H26="",-1,H26)&gt;=1)*(IF(H26="",-1,H26)&lt;=3))*(1-(IF(H26="",-1,H26)=0)),IF(C26="peso_corporal",IF(ISNUMBER(E26),E26,0)+F26,F26)*(30+G26)*100+F26,0),IF((J26&gt;=6)*(1-(IF(K26="",-1,K26)&gt;=1)*(IF(K26="",-1,K26)&lt;=3))*(1-(IF(K26="",-1,K26)=0)),IF(C26="peso_corporal",IF(ISNUMBER(E26),E26,0)+I26,I26)*(30+J26)*100+I26,0),IF((M26&gt;=6)*(1-(IF(N26="",-1,N26)&gt;=1)*(IF(N26="",-1,N26)&lt;=3))*(1-(IF(N26="",-1,N26)=0)),IF(C26="peso_corporal",IF(ISNUMBER(E26),E26,0)+L26,L26)*(30+M26)*100+L26,0),IF((P26&gt;=6)*(1-(IF(Q26="",-1,Q26)&gt;=1)*(IF(Q26="",-1,Q26)&lt;=3))*(1-(IF(Q26="",-1,Q26)=0)),IF(C26="peso_corporal",IF(ISNUMBER(E26),E26,0)+O26,O26)*(30+P26)*100+O26,0),IF((S26&gt;=6)*(1-(IF(T26="",-1,T26)&gt;=1)*(IF(T26="",-1,T26)&lt;=3))*(1-(IF(T26="",-1,T26)=0)),IF(C26="peso_corporal",IF(ISNUMBER(E26),E26,0)+R26,R26)*(30+S26)*100+R26,0))</f>
        <v>0</v>
      </c>
      <c r="AB26" s="69">
        <f>IF(AA26=0,0,IF(IF((S26&gt;=6)*(1-(IF(T26="",-1,T26)&gt;=1)*(IF(T26="",-1,T26)&lt;=3))*(1-(IF(T26="",-1,T26)=0)),IF(C26="peso_corporal",IF(ISNUMBER(E26),E26,0)+R26,R26)*(30+S26)*100+R26,0)=AA26,5,IF(IF((P26&gt;=6)*(1-(IF(Q26="",-1,Q26)&gt;=1)*(IF(Q26="",-1,Q26)&lt;=3))*(1-(IF(Q26="",-1,Q26)=0)),IF(C26="peso_corporal",IF(ISNUMBER(E26),E26,0)+O26,O26)*(30+P26)*100+O26,0)=AA26,4,IF(IF((M26&gt;=6)*(1-(IF(N26="",-1,N26)&gt;=1)*(IF(N26="",-1,N26)&lt;=3))*(1-(IF(N26="",-1,N26)=0)),IF(C26="peso_corporal",IF(ISNUMBER(E26),E26,0)+L26,L26)*(30+M26)*100+L26,0)=AA26,3,IF(IF((J26&gt;=6)*(1-(IF(K26="",-1,K26)&gt;=1)*(IF(K26="",-1,K26)&lt;=3))*(1-(IF(K26="",-1,K26)=0)),IF(C26="peso_corporal",IF(ISNUMBER(E26),E26,0)+I26,I26)*(30+J26)*100+I26,0)=AA26,2,IF(IF((G26&gt;=6)*(1-(IF(H26="",-1,H26)&gt;=1)*(IF(H26="",-1,H26)&lt;=3))*(1-(IF(H26="",-1,H26)=0)),IF(C26="peso_corporal",IF(ISNUMBER(E26),E26,0)+F26,F26)*(30+G26)*100+F26,0)=AA26,1,0))))))</f>
        <v>0</v>
      </c>
      <c r="AC26" s="69" t="str">
        <f>IF(X26&gt;0,"A"&amp;X26,IF(Z26&gt;0,"B"&amp;Z26,IF(AB26&gt;0,"C"&amp;AB26,"")))</f>
        <v/>
      </c>
    </row>
    <row r="27" spans="1:29" ht="20.100000000000001" customHeight="1">
      <c r="A27" s="14" t="s">
        <v>48</v>
      </c>
      <c r="B27" s="15" t="s">
        <v>64</v>
      </c>
      <c r="C27" s="16" t="str">
        <f>IFERROR(INDEX(EJERCICIOS!$D$3:$D$75,MATCH(A27&amp;"|"&amp;B27,EJERCICIOS!$G$3:$G$75,0)),"--")</f>
        <v>--</v>
      </c>
      <c r="D27" s="17">
        <v>3</v>
      </c>
      <c r="E27" s="18">
        <f>IFERROR(LOOKUP(2,1/(MEDIDAS_Y_PESO!$B$3:$B$3&lt;&gt;""),MEDIDAS_Y_PESO!$B$3:$B$3),"--")</f>
        <v>80</v>
      </c>
      <c r="F27" s="19"/>
      <c r="G27" s="20"/>
      <c r="H27" s="21"/>
      <c r="I27" s="19"/>
      <c r="J27" s="20"/>
      <c r="K27" s="21"/>
      <c r="L27" s="19"/>
      <c r="M27" s="20"/>
      <c r="N27" s="21"/>
      <c r="O27" s="19"/>
      <c r="P27" s="20"/>
      <c r="Q27" s="21"/>
      <c r="R27" s="19"/>
      <c r="S27" s="20"/>
      <c r="T27" s="21"/>
      <c r="U27" s="22" t="str">
        <f>IFERROR(IF(IF(X27&gt;0,X27,IF(Z27&gt;0,Z27,IF(AB27&gt;0,AB27,0)))=0,"--",ROUND(CHOOSE(IF(X27&gt;0,X27,IF(Z27&gt;0,Z27,IF(AB27&gt;0,AB27,0))),IF(C27="peso_corporal",IF(ISNUMBER(E27),E27,0)+F27,F27)*(1+G27/30),IF(C27="peso_corporal",IF(ISNUMBER(E27),E27,0)+I27,I27)*(1+J27/30),IF(C27="peso_corporal",IF(ISNUMBER(E27),E27,0)+L27,L27)*(1+M27/30),IF(C27="peso_corporal",IF(ISNUMBER(E27),E27,0)+O27,O27)*(1+P27/30),IF(C27="peso_corporal",IF(ISNUMBER(E27),E27,0)+R27,R27)*(1+S27/30)),1)),"--")</f>
        <v>--</v>
      </c>
      <c r="V27" s="23" t="str">
        <f>IF(SUGERENCIAS!N50="SIN","Sin datos anteriores",IF(SUGERENCIAS!N50="SUBIR_F","^ SUBIR FUERTE | Kg:"&amp;ROUND(SUGERENCIAS!K50,1)&amp;" R:"&amp;ROUND(SUGERENCIAS!L50,0)&amp;" RIR:"&amp;ROUND(SUGERENCIAS!M50,0),IF(SUGERENCIAS!N50="SUBIR_E","^ SUBIR (Est.) | Kg:"&amp;ROUND(SUGERENCIAS!K50,1)&amp;" R:"&amp;ROUND(SUGERENCIAS!L50,0)&amp;" RIR:"&amp;ROUND(SUGERENCIAS!M50,0),IF(SUGERENCIAS!N50="SUBIR","^ SUBIR | Kg:"&amp;ROUND(SUGERENCIAS!K50,1)&amp;" R:"&amp;ROUND(SUGERENCIAS!L50,0)&amp;" RIR:"&amp;ROUND(SUGERENCIAS!M50,0),IF(SUGERENCIAS!N50="BAJAR","v BAJAR | Kg:"&amp;ROUND(SUGERENCIAS!K50,1)&amp;" R:"&amp;ROUND(SUGERENCIAS!L50,0)&amp;" RIR:"&amp;ROUND(SUGERENCIAS!M50,0),"= MANT | Kg:"&amp;ROUND(SUGERENCIAS!K50,1)&amp;" R:"&amp;ROUND(SUGERENCIAS!L50,0)&amp;" RIR:"&amp;ROUND(SUGERENCIAS!M50,0))))))</f>
        <v>Sin datos anteriores</v>
      </c>
      <c r="W27" s="69">
        <f>MAX(IF((G27&gt;0)*(IF(H27="",-1,H27)&gt;=1)*(IF(H27="",-1,H27)&lt;=3),IF(C27="peso_corporal",IF(ISNUMBER(E27),E27,0)+F27,F27)*G27*1000+F27,0),IF((J27&gt;0)*(IF(K27="",-1,K27)&gt;=1)*(IF(K27="",-1,K27)&lt;=3),IF(C27="peso_corporal",IF(ISNUMBER(E27),E27,0)+I27,I27)*J27*1000+I27,0),IF((M27&gt;0)*(IF(N27="",-1,N27)&gt;=1)*(IF(N27="",-1,N27)&lt;=3),IF(C27="peso_corporal",IF(ISNUMBER(E27),E27,0)+L27,L27)*M27*1000+L27,0),IF((P27&gt;0)*(IF(Q27="",-1,Q27)&gt;=1)*(IF(Q27="",-1,Q27)&lt;=3),IF(C27="peso_corporal",IF(ISNUMBER(E27),E27,0)+O27,O27)*P27*1000+O27,0),IF((S27&gt;0)*(IF(T27="",-1,T27)&gt;=1)*(IF(T27="",-1,T27)&lt;=3),IF(C27="peso_corporal",IF(ISNUMBER(E27),E27,0)+R27,R27)*S27*1000+R27,0))</f>
        <v>0</v>
      </c>
      <c r="X27" s="69">
        <f>IF(W27=0,0,IF(IF((S27&gt;0)*(IF(T27="",-1,T27)&gt;=1)*(IF(T27="",-1,T27)&lt;=3),IF(C27="peso_corporal",IF(ISNUMBER(E27),E27,0)+R27,R27)*S27*1000+R27,0)=W27,5,IF(IF((P27&gt;0)*(IF(Q27="",-1,Q27)&gt;=1)*(IF(Q27="",-1,Q27)&lt;=3),IF(C27="peso_corporal",IF(ISNUMBER(E27),E27,0)+O27,O27)*P27*1000+O27,0)=W27,4,IF(IF((M27&gt;0)*(IF(N27="",-1,N27)&gt;=1)*(IF(N27="",-1,N27)&lt;=3),IF(C27="peso_corporal",IF(ISNUMBER(E27),E27,0)+L27,L27)*M27*1000+L27,0)=W27,3,IF(IF((J27&gt;0)*(IF(K27="",-1,K27)&gt;=1)*(IF(K27="",-1,K27)&lt;=3),IF(C27="peso_corporal",IF(ISNUMBER(E27),E27,0)+I27,I27)*J27*1000+I27,0)=W27,2,IF(IF((G27&gt;0)*(IF(H27="",-1,H27)&gt;=1)*(IF(H27="",-1,H27)&lt;=3),IF(C27="peso_corporal",IF(ISNUMBER(E27),E27,0)+F27,F27)*G27*1000+F27,0)=W27,1,0))))))</f>
        <v>0</v>
      </c>
      <c r="Y27" s="69">
        <f>MAX(IF((G27&gt;0)*(IF(H27="",-1,H27)=0)*(1-(IF(H27="",-1,H27)&gt;=1)*(IF(H27="",-1,H27)&lt;=3)),IF(C27="peso_corporal",IF(ISNUMBER(E27),E27,0)+F27,F27)*G27*1000+F27,0),IF((J27&gt;0)*(IF(K27="",-1,K27)=0)*(1-(IF(K27="",-1,K27)&gt;=1)*(IF(K27="",-1,K27)&lt;=3)),IF(C27="peso_corporal",IF(ISNUMBER(E27),E27,0)+I27,I27)*J27*1000+I27,0),IF((M27&gt;0)*(IF(N27="",-1,N27)=0)*(1-(IF(N27="",-1,N27)&gt;=1)*(IF(N27="",-1,N27)&lt;=3)),IF(C27="peso_corporal",IF(ISNUMBER(E27),E27,0)+L27,L27)*M27*1000+L27,0),IF((P27&gt;0)*(IF(Q27="",-1,Q27)=0)*(1-(IF(Q27="",-1,Q27)&gt;=1)*(IF(Q27="",-1,Q27)&lt;=3)),IF(C27="peso_corporal",IF(ISNUMBER(E27),E27,0)+O27,O27)*P27*1000+O27,0),IF((S27&gt;0)*(IF(T27="",-1,T27)=0)*(1-(IF(T27="",-1,T27)&gt;=1)*(IF(T27="",-1,T27)&lt;=3)),IF(C27="peso_corporal",IF(ISNUMBER(E27),E27,0)+R27,R27)*S27*1000+R27,0))</f>
        <v>0</v>
      </c>
      <c r="Z27" s="69">
        <f>IF(Y27=0,0,IF(IF((S27&gt;0)*(IF(T27="",-1,T27)=0)*(1-(IF(T27="",-1,T27)&gt;=1)*(IF(T27="",-1,T27)&lt;=3)),IF(C27="peso_corporal",IF(ISNUMBER(E27),E27,0)+R27,R27)*S27*1000+R27,0)=Y27,5,IF(IF((P27&gt;0)*(IF(Q27="",-1,Q27)=0)*(1-(IF(Q27="",-1,Q27)&gt;=1)*(IF(Q27="",-1,Q27)&lt;=3)),IF(C27="peso_corporal",IF(ISNUMBER(E27),E27,0)+O27,O27)*P27*1000+O27,0)=Y27,4,IF(IF((M27&gt;0)*(IF(N27="",-1,N27)=0)*(1-(IF(N27="",-1,N27)&gt;=1)*(IF(N27="",-1,N27)&lt;=3)),IF(C27="peso_corporal",IF(ISNUMBER(E27),E27,0)+L27,L27)*M27*1000+L27,0)=Y27,3,IF(IF((J27&gt;0)*(IF(K27="",-1,K27)=0)*(1-(IF(K27="",-1,K27)&gt;=1)*(IF(K27="",-1,K27)&lt;=3)),IF(C27="peso_corporal",IF(ISNUMBER(E27),E27,0)+I27,I27)*J27*1000+I27,0)=Y27,2,IF(IF((G27&gt;0)*(IF(H27="",-1,H27)=0)*(1-(IF(H27="",-1,H27)&gt;=1)*(IF(H27="",-1,H27)&lt;=3)),IF(C27="peso_corporal",IF(ISNUMBER(E27),E27,0)+F27,F27)*G27*1000+F27,0)=Y27,1,0))))))</f>
        <v>0</v>
      </c>
      <c r="AA27" s="69">
        <f>MAX(IF((G27&gt;=6)*(1-(IF(H27="",-1,H27)&gt;=1)*(IF(H27="",-1,H27)&lt;=3))*(1-(IF(H27="",-1,H27)=0)),IF(C27="peso_corporal",IF(ISNUMBER(E27),E27,0)+F27,F27)*(30+G27)*100+F27,0),IF((J27&gt;=6)*(1-(IF(K27="",-1,K27)&gt;=1)*(IF(K27="",-1,K27)&lt;=3))*(1-(IF(K27="",-1,K27)=0)),IF(C27="peso_corporal",IF(ISNUMBER(E27),E27,0)+I27,I27)*(30+J27)*100+I27,0),IF((M27&gt;=6)*(1-(IF(N27="",-1,N27)&gt;=1)*(IF(N27="",-1,N27)&lt;=3))*(1-(IF(N27="",-1,N27)=0)),IF(C27="peso_corporal",IF(ISNUMBER(E27),E27,0)+L27,L27)*(30+M27)*100+L27,0),IF((P27&gt;=6)*(1-(IF(Q27="",-1,Q27)&gt;=1)*(IF(Q27="",-1,Q27)&lt;=3))*(1-(IF(Q27="",-1,Q27)=0)),IF(C27="peso_corporal",IF(ISNUMBER(E27),E27,0)+O27,O27)*(30+P27)*100+O27,0),IF((S27&gt;=6)*(1-(IF(T27="",-1,T27)&gt;=1)*(IF(T27="",-1,T27)&lt;=3))*(1-(IF(T27="",-1,T27)=0)),IF(C27="peso_corporal",IF(ISNUMBER(E27),E27,0)+R27,R27)*(30+S27)*100+R27,0))</f>
        <v>0</v>
      </c>
      <c r="AB27" s="69">
        <f>IF(AA27=0,0,IF(IF((S27&gt;=6)*(1-(IF(T27="",-1,T27)&gt;=1)*(IF(T27="",-1,T27)&lt;=3))*(1-(IF(T27="",-1,T27)=0)),IF(C27="peso_corporal",IF(ISNUMBER(E27),E27,0)+R27,R27)*(30+S27)*100+R27,0)=AA27,5,IF(IF((P27&gt;=6)*(1-(IF(Q27="",-1,Q27)&gt;=1)*(IF(Q27="",-1,Q27)&lt;=3))*(1-(IF(Q27="",-1,Q27)=0)),IF(C27="peso_corporal",IF(ISNUMBER(E27),E27,0)+O27,O27)*(30+P27)*100+O27,0)=AA27,4,IF(IF((M27&gt;=6)*(1-(IF(N27="",-1,N27)&gt;=1)*(IF(N27="",-1,N27)&lt;=3))*(1-(IF(N27="",-1,N27)=0)),IF(C27="peso_corporal",IF(ISNUMBER(E27),E27,0)+L27,L27)*(30+M27)*100+L27,0)=AA27,3,IF(IF((J27&gt;=6)*(1-(IF(K27="",-1,K27)&gt;=1)*(IF(K27="",-1,K27)&lt;=3))*(1-(IF(K27="",-1,K27)=0)),IF(C27="peso_corporal",IF(ISNUMBER(E27),E27,0)+I27,I27)*(30+J27)*100+I27,0)=AA27,2,IF(IF((G27&gt;=6)*(1-(IF(H27="",-1,H27)&gt;=1)*(IF(H27="",-1,H27)&lt;=3))*(1-(IF(H27="",-1,H27)=0)),IF(C27="peso_corporal",IF(ISNUMBER(E27),E27,0)+F27,F27)*(30+G27)*100+F27,0)=AA27,1,0))))))</f>
        <v>0</v>
      </c>
      <c r="AC27" s="69" t="str">
        <f>IF(X27&gt;0,"A"&amp;X27,IF(Z27&gt;0,"B"&amp;Z27,IF(AB27&gt;0,"C"&amp;AB27,"")))</f>
        <v/>
      </c>
    </row>
    <row r="28" spans="1:29" ht="15" customHeight="1">
      <c r="A28" s="88" t="s">
        <v>50</v>
      </c>
      <c r="B28" s="73"/>
      <c r="C28" s="73"/>
      <c r="D28" s="73"/>
      <c r="E28" s="73"/>
      <c r="F28" s="73"/>
      <c r="G28" s="73"/>
      <c r="H28" s="73"/>
      <c r="I28" s="73"/>
      <c r="J28" s="73"/>
      <c r="K28" s="73"/>
      <c r="L28" s="73"/>
      <c r="M28" s="73"/>
      <c r="N28" s="73"/>
      <c r="O28" s="73"/>
      <c r="P28" s="73"/>
      <c r="Q28" s="73"/>
      <c r="R28" s="73"/>
      <c r="S28" s="73"/>
      <c r="T28" s="73"/>
      <c r="U28" s="73"/>
      <c r="V28" s="73"/>
      <c r="W28" s="69"/>
      <c r="X28" s="69"/>
      <c r="Y28" s="69"/>
      <c r="Z28" s="69"/>
      <c r="AA28" s="69"/>
      <c r="AB28" s="69"/>
      <c r="AC28" s="69"/>
    </row>
    <row r="29" spans="1:29" ht="20.100000000000001" customHeight="1">
      <c r="A29" s="14" t="s">
        <v>65</v>
      </c>
      <c r="B29" s="15" t="s">
        <v>137</v>
      </c>
      <c r="C29" s="16" t="str">
        <f>IFERROR(INDEX(EJERCICIOS!$D$3:$D$75,MATCH(A29&amp;"|"&amp;B29,EJERCICIOS!$G$3:$G$75,0)),"--")</f>
        <v>--</v>
      </c>
      <c r="D29" s="17">
        <v>3</v>
      </c>
      <c r="E29" s="18">
        <f>IFERROR(LOOKUP(2,1/(MEDIDAS_Y_PESO!$B$3:$B$3&lt;&gt;""),MEDIDAS_Y_PESO!$B$3:$B$3),"--")</f>
        <v>80</v>
      </c>
      <c r="F29" s="19"/>
      <c r="G29" s="20"/>
      <c r="H29" s="21"/>
      <c r="I29" s="19"/>
      <c r="J29" s="20"/>
      <c r="K29" s="21"/>
      <c r="L29" s="19"/>
      <c r="M29" s="20"/>
      <c r="N29" s="21"/>
      <c r="O29" s="19"/>
      <c r="P29" s="20"/>
      <c r="Q29" s="21"/>
      <c r="R29" s="19"/>
      <c r="S29" s="20"/>
      <c r="T29" s="21"/>
      <c r="U29" s="22" t="str">
        <f>IFERROR(IF(IF(X29&gt;0,X29,IF(Z29&gt;0,Z29,IF(AB29&gt;0,AB29,0)))=0,"--",ROUND(CHOOSE(IF(X29&gt;0,X29,IF(Z29&gt;0,Z29,IF(AB29&gt;0,AB29,0))),IF(C29="peso_corporal",IF(ISNUMBER(E29),E29,0)+F29,F29)*(1+G29/30),IF(C29="peso_corporal",IF(ISNUMBER(E29),E29,0)+I29,I29)*(1+J29/30),IF(C29="peso_corporal",IF(ISNUMBER(E29),E29,0)+L29,L29)*(1+M29/30),IF(C29="peso_corporal",IF(ISNUMBER(E29),E29,0)+O29,O29)*(1+P29/30),IF(C29="peso_corporal",IF(ISNUMBER(E29),E29,0)+R29,R29)*(1+S29/30)),1)),"--")</f>
        <v>--</v>
      </c>
      <c r="V29" s="23" t="str">
        <f>IF(SUGERENCIAS!N51="SIN","Sin datos anteriores",IF(SUGERENCIAS!N51="SUBIR_F","^ SUBIR FUERTE | Kg:"&amp;ROUND(SUGERENCIAS!K51,1)&amp;" R:"&amp;ROUND(SUGERENCIAS!L51,0)&amp;" RIR:"&amp;ROUND(SUGERENCIAS!M51,0),IF(SUGERENCIAS!N51="SUBIR_E","^ SUBIR (Est.) | Kg:"&amp;ROUND(SUGERENCIAS!K51,1)&amp;" R:"&amp;ROUND(SUGERENCIAS!L51,0)&amp;" RIR:"&amp;ROUND(SUGERENCIAS!M51,0),IF(SUGERENCIAS!N51="SUBIR","^ SUBIR | Kg:"&amp;ROUND(SUGERENCIAS!K51,1)&amp;" R:"&amp;ROUND(SUGERENCIAS!L51,0)&amp;" RIR:"&amp;ROUND(SUGERENCIAS!M51,0),IF(SUGERENCIAS!N51="BAJAR","v BAJAR | Kg:"&amp;ROUND(SUGERENCIAS!K51,1)&amp;" R:"&amp;ROUND(SUGERENCIAS!L51,0)&amp;" RIR:"&amp;ROUND(SUGERENCIAS!M51,0),"= MANT | Kg:"&amp;ROUND(SUGERENCIAS!K51,1)&amp;" R:"&amp;ROUND(SUGERENCIAS!L51,0)&amp;" RIR:"&amp;ROUND(SUGERENCIAS!M51,0))))))</f>
        <v>Sin datos anteriores</v>
      </c>
      <c r="W29" s="69">
        <f>MAX(IF((G29&gt;0)*(IF(H29="",-1,H29)&gt;=1)*(IF(H29="",-1,H29)&lt;=3),IF(C29="peso_corporal",IF(ISNUMBER(E29),E29,0)+F29,F29)*G29*1000+F29,0),IF((J29&gt;0)*(IF(K29="",-1,K29)&gt;=1)*(IF(K29="",-1,K29)&lt;=3),IF(C29="peso_corporal",IF(ISNUMBER(E29),E29,0)+I29,I29)*J29*1000+I29,0),IF((M29&gt;0)*(IF(N29="",-1,N29)&gt;=1)*(IF(N29="",-1,N29)&lt;=3),IF(C29="peso_corporal",IF(ISNUMBER(E29),E29,0)+L29,L29)*M29*1000+L29,0),IF((P29&gt;0)*(IF(Q29="",-1,Q29)&gt;=1)*(IF(Q29="",-1,Q29)&lt;=3),IF(C29="peso_corporal",IF(ISNUMBER(E29),E29,0)+O29,O29)*P29*1000+O29,0),IF((S29&gt;0)*(IF(T29="",-1,T29)&gt;=1)*(IF(T29="",-1,T29)&lt;=3),IF(C29="peso_corporal",IF(ISNUMBER(E29),E29,0)+R29,R29)*S29*1000+R29,0))</f>
        <v>0</v>
      </c>
      <c r="X29" s="69">
        <f>IF(W29=0,0,IF(IF((S29&gt;0)*(IF(T29="",-1,T29)&gt;=1)*(IF(T29="",-1,T29)&lt;=3),IF(C29="peso_corporal",IF(ISNUMBER(E29),E29,0)+R29,R29)*S29*1000+R29,0)=W29,5,IF(IF((P29&gt;0)*(IF(Q29="",-1,Q29)&gt;=1)*(IF(Q29="",-1,Q29)&lt;=3),IF(C29="peso_corporal",IF(ISNUMBER(E29),E29,0)+O29,O29)*P29*1000+O29,0)=W29,4,IF(IF((M29&gt;0)*(IF(N29="",-1,N29)&gt;=1)*(IF(N29="",-1,N29)&lt;=3),IF(C29="peso_corporal",IF(ISNUMBER(E29),E29,0)+L29,L29)*M29*1000+L29,0)=W29,3,IF(IF((J29&gt;0)*(IF(K29="",-1,K29)&gt;=1)*(IF(K29="",-1,K29)&lt;=3),IF(C29="peso_corporal",IF(ISNUMBER(E29),E29,0)+I29,I29)*J29*1000+I29,0)=W29,2,IF(IF((G29&gt;0)*(IF(H29="",-1,H29)&gt;=1)*(IF(H29="",-1,H29)&lt;=3),IF(C29="peso_corporal",IF(ISNUMBER(E29),E29,0)+F29,F29)*G29*1000+F29,0)=W29,1,0))))))</f>
        <v>0</v>
      </c>
      <c r="Y29" s="69">
        <f>MAX(IF((G29&gt;0)*(IF(H29="",-1,H29)=0)*(1-(IF(H29="",-1,H29)&gt;=1)*(IF(H29="",-1,H29)&lt;=3)),IF(C29="peso_corporal",IF(ISNUMBER(E29),E29,0)+F29,F29)*G29*1000+F29,0),IF((J29&gt;0)*(IF(K29="",-1,K29)=0)*(1-(IF(K29="",-1,K29)&gt;=1)*(IF(K29="",-1,K29)&lt;=3)),IF(C29="peso_corporal",IF(ISNUMBER(E29),E29,0)+I29,I29)*J29*1000+I29,0),IF((M29&gt;0)*(IF(N29="",-1,N29)=0)*(1-(IF(N29="",-1,N29)&gt;=1)*(IF(N29="",-1,N29)&lt;=3)),IF(C29="peso_corporal",IF(ISNUMBER(E29),E29,0)+L29,L29)*M29*1000+L29,0),IF((P29&gt;0)*(IF(Q29="",-1,Q29)=0)*(1-(IF(Q29="",-1,Q29)&gt;=1)*(IF(Q29="",-1,Q29)&lt;=3)),IF(C29="peso_corporal",IF(ISNUMBER(E29),E29,0)+O29,O29)*P29*1000+O29,0),IF((S29&gt;0)*(IF(T29="",-1,T29)=0)*(1-(IF(T29="",-1,T29)&gt;=1)*(IF(T29="",-1,T29)&lt;=3)),IF(C29="peso_corporal",IF(ISNUMBER(E29),E29,0)+R29,R29)*S29*1000+R29,0))</f>
        <v>0</v>
      </c>
      <c r="Z29" s="69">
        <f>IF(Y29=0,0,IF(IF((S29&gt;0)*(IF(T29="",-1,T29)=0)*(1-(IF(T29="",-1,T29)&gt;=1)*(IF(T29="",-1,T29)&lt;=3)),IF(C29="peso_corporal",IF(ISNUMBER(E29),E29,0)+R29,R29)*S29*1000+R29,0)=Y29,5,IF(IF((P29&gt;0)*(IF(Q29="",-1,Q29)=0)*(1-(IF(Q29="",-1,Q29)&gt;=1)*(IF(Q29="",-1,Q29)&lt;=3)),IF(C29="peso_corporal",IF(ISNUMBER(E29),E29,0)+O29,O29)*P29*1000+O29,0)=Y29,4,IF(IF((M29&gt;0)*(IF(N29="",-1,N29)=0)*(1-(IF(N29="",-1,N29)&gt;=1)*(IF(N29="",-1,N29)&lt;=3)),IF(C29="peso_corporal",IF(ISNUMBER(E29),E29,0)+L29,L29)*M29*1000+L29,0)=Y29,3,IF(IF((J29&gt;0)*(IF(K29="",-1,K29)=0)*(1-(IF(K29="",-1,K29)&gt;=1)*(IF(K29="",-1,K29)&lt;=3)),IF(C29="peso_corporal",IF(ISNUMBER(E29),E29,0)+I29,I29)*J29*1000+I29,0)=Y29,2,IF(IF((G29&gt;0)*(IF(H29="",-1,H29)=0)*(1-(IF(H29="",-1,H29)&gt;=1)*(IF(H29="",-1,H29)&lt;=3)),IF(C29="peso_corporal",IF(ISNUMBER(E29),E29,0)+F29,F29)*G29*1000+F29,0)=Y29,1,0))))))</f>
        <v>0</v>
      </c>
      <c r="AA29" s="69">
        <f>MAX(IF((G29&gt;=6)*(1-(IF(H29="",-1,H29)&gt;=1)*(IF(H29="",-1,H29)&lt;=3))*(1-(IF(H29="",-1,H29)=0)),IF(C29="peso_corporal",IF(ISNUMBER(E29),E29,0)+F29,F29)*(30+G29)*100+F29,0),IF((J29&gt;=6)*(1-(IF(K29="",-1,K29)&gt;=1)*(IF(K29="",-1,K29)&lt;=3))*(1-(IF(K29="",-1,K29)=0)),IF(C29="peso_corporal",IF(ISNUMBER(E29),E29,0)+I29,I29)*(30+J29)*100+I29,0),IF((M29&gt;=6)*(1-(IF(N29="",-1,N29)&gt;=1)*(IF(N29="",-1,N29)&lt;=3))*(1-(IF(N29="",-1,N29)=0)),IF(C29="peso_corporal",IF(ISNUMBER(E29),E29,0)+L29,L29)*(30+M29)*100+L29,0),IF((P29&gt;=6)*(1-(IF(Q29="",-1,Q29)&gt;=1)*(IF(Q29="",-1,Q29)&lt;=3))*(1-(IF(Q29="",-1,Q29)=0)),IF(C29="peso_corporal",IF(ISNUMBER(E29),E29,0)+O29,O29)*(30+P29)*100+O29,0),IF((S29&gt;=6)*(1-(IF(T29="",-1,T29)&gt;=1)*(IF(T29="",-1,T29)&lt;=3))*(1-(IF(T29="",-1,T29)=0)),IF(C29="peso_corporal",IF(ISNUMBER(E29),E29,0)+R29,R29)*(30+S29)*100+R29,0))</f>
        <v>0</v>
      </c>
      <c r="AB29" s="69">
        <f>IF(AA29=0,0,IF(IF((S29&gt;=6)*(1-(IF(T29="",-1,T29)&gt;=1)*(IF(T29="",-1,T29)&lt;=3))*(1-(IF(T29="",-1,T29)=0)),IF(C29="peso_corporal",IF(ISNUMBER(E29),E29,0)+R29,R29)*(30+S29)*100+R29,0)=AA29,5,IF(IF((P29&gt;=6)*(1-(IF(Q29="",-1,Q29)&gt;=1)*(IF(Q29="",-1,Q29)&lt;=3))*(1-(IF(Q29="",-1,Q29)=0)),IF(C29="peso_corporal",IF(ISNUMBER(E29),E29,0)+O29,O29)*(30+P29)*100+O29,0)=AA29,4,IF(IF((M29&gt;=6)*(1-(IF(N29="",-1,N29)&gt;=1)*(IF(N29="",-1,N29)&lt;=3))*(1-(IF(N29="",-1,N29)=0)),IF(C29="peso_corporal",IF(ISNUMBER(E29),E29,0)+L29,L29)*(30+M29)*100+L29,0)=AA29,3,IF(IF((J29&gt;=6)*(1-(IF(K29="",-1,K29)&gt;=1)*(IF(K29="",-1,K29)&lt;=3))*(1-(IF(K29="",-1,K29)=0)),IF(C29="peso_corporal",IF(ISNUMBER(E29),E29,0)+I29,I29)*(30+J29)*100+I29,0)=AA29,2,IF(IF((G29&gt;=6)*(1-(IF(H29="",-1,H29)&gt;=1)*(IF(H29="",-1,H29)&lt;=3))*(1-(IF(H29="",-1,H29)=0)),IF(C29="peso_corporal",IF(ISNUMBER(E29),E29,0)+F29,F29)*(30+G29)*100+F29,0)=AA29,1,0))))))</f>
        <v>0</v>
      </c>
      <c r="AC29" s="69" t="str">
        <f>IF(X29&gt;0,"A"&amp;X29,IF(Z29&gt;0,"B"&amp;Z29,IF(AB29&gt;0,"C"&amp;AB29,"")))</f>
        <v/>
      </c>
    </row>
    <row r="30" spans="1:29" ht="15" customHeight="1">
      <c r="A30" s="81" t="s">
        <v>53</v>
      </c>
      <c r="B30" s="73"/>
      <c r="C30" s="73"/>
      <c r="D30" s="73"/>
      <c r="E30" s="73"/>
      <c r="F30" s="73"/>
      <c r="G30" s="73"/>
      <c r="H30" s="73"/>
      <c r="I30" s="73"/>
      <c r="J30" s="73"/>
      <c r="K30" s="73"/>
      <c r="L30" s="73"/>
      <c r="M30" s="73"/>
      <c r="N30" s="73"/>
      <c r="O30" s="73"/>
      <c r="P30" s="73"/>
      <c r="Q30" s="73"/>
      <c r="R30" s="73"/>
      <c r="S30" s="73"/>
      <c r="T30" s="73"/>
      <c r="U30" s="73"/>
      <c r="V30" s="73"/>
      <c r="W30" s="69"/>
      <c r="X30" s="69"/>
      <c r="Y30" s="69"/>
      <c r="Z30" s="69"/>
      <c r="AA30" s="69"/>
      <c r="AB30" s="69"/>
      <c r="AC30" s="69"/>
    </row>
    <row r="31" spans="1:29" ht="20.100000000000001" customHeight="1">
      <c r="A31" s="14" t="s">
        <v>54</v>
      </c>
      <c r="B31" s="15" t="s">
        <v>115</v>
      </c>
      <c r="C31" s="16" t="str">
        <f>IFERROR(INDEX(EJERCICIOS!$D$3:$D$75,MATCH(A31&amp;"|"&amp;B31,EJERCICIOS!$G$3:$G$75,0)),"--")</f>
        <v>polea</v>
      </c>
      <c r="D31" s="17">
        <v>3</v>
      </c>
      <c r="E31" s="18">
        <f>IFERROR(LOOKUP(2,1/(MEDIDAS_Y_PESO!$B$3:$B$3&lt;&gt;""),MEDIDAS_Y_PESO!$B$3:$B$3),"--")</f>
        <v>80</v>
      </c>
      <c r="F31" s="19"/>
      <c r="G31" s="20"/>
      <c r="H31" s="21"/>
      <c r="I31" s="19"/>
      <c r="J31" s="20"/>
      <c r="K31" s="21"/>
      <c r="L31" s="19"/>
      <c r="M31" s="20"/>
      <c r="N31" s="21"/>
      <c r="O31" s="19"/>
      <c r="P31" s="20"/>
      <c r="Q31" s="21"/>
      <c r="R31" s="19"/>
      <c r="S31" s="20"/>
      <c r="T31" s="21"/>
      <c r="U31" s="22" t="str">
        <f>IFERROR(IF(IF(X31&gt;0,X31,IF(Z31&gt;0,Z31,IF(AB31&gt;0,AB31,0)))=0,"--",ROUND(CHOOSE(IF(X31&gt;0,X31,IF(Z31&gt;0,Z31,IF(AB31&gt;0,AB31,0))),IF(C31="peso_corporal",IF(ISNUMBER(E31),E31,0)+F31,F31)*(1+G31/30),IF(C31="peso_corporal",IF(ISNUMBER(E31),E31,0)+I31,I31)*(1+J31/30),IF(C31="peso_corporal",IF(ISNUMBER(E31),E31,0)+L31,L31)*(1+M31/30),IF(C31="peso_corporal",IF(ISNUMBER(E31),E31,0)+O31,O31)*(1+P31/30),IF(C31="peso_corporal",IF(ISNUMBER(E31),E31,0)+R31,R31)*(1+S31/30)),1)),"--")</f>
        <v>--</v>
      </c>
      <c r="V31" s="23" t="str">
        <f>IF(SUGERENCIAS!N52="SIN","Sin datos anteriores",IF(SUGERENCIAS!N52="SUBIR_F","^ SUBIR FUERTE | Kg:"&amp;ROUND(SUGERENCIAS!K52,1)&amp;" R:"&amp;ROUND(SUGERENCIAS!L52,0)&amp;" RIR:"&amp;ROUND(SUGERENCIAS!M52,0),IF(SUGERENCIAS!N52="SUBIR_E","^ SUBIR (Est.) | Kg:"&amp;ROUND(SUGERENCIAS!K52,1)&amp;" R:"&amp;ROUND(SUGERENCIAS!L52,0)&amp;" RIR:"&amp;ROUND(SUGERENCIAS!M52,0),IF(SUGERENCIAS!N52="SUBIR","^ SUBIR | Kg:"&amp;ROUND(SUGERENCIAS!K52,1)&amp;" R:"&amp;ROUND(SUGERENCIAS!L52,0)&amp;" RIR:"&amp;ROUND(SUGERENCIAS!M52,0),IF(SUGERENCIAS!N52="BAJAR","v BAJAR | Kg:"&amp;ROUND(SUGERENCIAS!K52,1)&amp;" R:"&amp;ROUND(SUGERENCIAS!L52,0)&amp;" RIR:"&amp;ROUND(SUGERENCIAS!M52,0),"= MANT | Kg:"&amp;ROUND(SUGERENCIAS!K52,1)&amp;" R:"&amp;ROUND(SUGERENCIAS!L52,0)&amp;" RIR:"&amp;ROUND(SUGERENCIAS!M52,0))))))</f>
        <v>Sin datos anteriores</v>
      </c>
      <c r="W31" s="69">
        <f>MAX(IF((G31&gt;0)*(IF(H31="",-1,H31)&gt;=1)*(IF(H31="",-1,H31)&lt;=3),IF(C31="peso_corporal",IF(ISNUMBER(E31),E31,0)+F31,F31)*G31*1000+F31,0),IF((J31&gt;0)*(IF(K31="",-1,K31)&gt;=1)*(IF(K31="",-1,K31)&lt;=3),IF(C31="peso_corporal",IF(ISNUMBER(E31),E31,0)+I31,I31)*J31*1000+I31,0),IF((M31&gt;0)*(IF(N31="",-1,N31)&gt;=1)*(IF(N31="",-1,N31)&lt;=3),IF(C31="peso_corporal",IF(ISNUMBER(E31),E31,0)+L31,L31)*M31*1000+L31,0),IF((P31&gt;0)*(IF(Q31="",-1,Q31)&gt;=1)*(IF(Q31="",-1,Q31)&lt;=3),IF(C31="peso_corporal",IF(ISNUMBER(E31),E31,0)+O31,O31)*P31*1000+O31,0),IF((S31&gt;0)*(IF(T31="",-1,T31)&gt;=1)*(IF(T31="",-1,T31)&lt;=3),IF(C31="peso_corporal",IF(ISNUMBER(E31),E31,0)+R31,R31)*S31*1000+R31,0))</f>
        <v>0</v>
      </c>
      <c r="X31" s="69">
        <f>IF(W31=0,0,IF(IF((S31&gt;0)*(IF(T31="",-1,T31)&gt;=1)*(IF(T31="",-1,T31)&lt;=3),IF(C31="peso_corporal",IF(ISNUMBER(E31),E31,0)+R31,R31)*S31*1000+R31,0)=W31,5,IF(IF((P31&gt;0)*(IF(Q31="",-1,Q31)&gt;=1)*(IF(Q31="",-1,Q31)&lt;=3),IF(C31="peso_corporal",IF(ISNUMBER(E31),E31,0)+O31,O31)*P31*1000+O31,0)=W31,4,IF(IF((M31&gt;0)*(IF(N31="",-1,N31)&gt;=1)*(IF(N31="",-1,N31)&lt;=3),IF(C31="peso_corporal",IF(ISNUMBER(E31),E31,0)+L31,L31)*M31*1000+L31,0)=W31,3,IF(IF((J31&gt;0)*(IF(K31="",-1,K31)&gt;=1)*(IF(K31="",-1,K31)&lt;=3),IF(C31="peso_corporal",IF(ISNUMBER(E31),E31,0)+I31,I31)*J31*1000+I31,0)=W31,2,IF(IF((G31&gt;0)*(IF(H31="",-1,H31)&gt;=1)*(IF(H31="",-1,H31)&lt;=3),IF(C31="peso_corporal",IF(ISNUMBER(E31),E31,0)+F31,F31)*G31*1000+F31,0)=W31,1,0))))))</f>
        <v>0</v>
      </c>
      <c r="Y31" s="69">
        <f>MAX(IF((G31&gt;0)*(IF(H31="",-1,H31)=0)*(1-(IF(H31="",-1,H31)&gt;=1)*(IF(H31="",-1,H31)&lt;=3)),IF(C31="peso_corporal",IF(ISNUMBER(E31),E31,0)+F31,F31)*G31*1000+F31,0),IF((J31&gt;0)*(IF(K31="",-1,K31)=0)*(1-(IF(K31="",-1,K31)&gt;=1)*(IF(K31="",-1,K31)&lt;=3)),IF(C31="peso_corporal",IF(ISNUMBER(E31),E31,0)+I31,I31)*J31*1000+I31,0),IF((M31&gt;0)*(IF(N31="",-1,N31)=0)*(1-(IF(N31="",-1,N31)&gt;=1)*(IF(N31="",-1,N31)&lt;=3)),IF(C31="peso_corporal",IF(ISNUMBER(E31),E31,0)+L31,L31)*M31*1000+L31,0),IF((P31&gt;0)*(IF(Q31="",-1,Q31)=0)*(1-(IF(Q31="",-1,Q31)&gt;=1)*(IF(Q31="",-1,Q31)&lt;=3)),IF(C31="peso_corporal",IF(ISNUMBER(E31),E31,0)+O31,O31)*P31*1000+O31,0),IF((S31&gt;0)*(IF(T31="",-1,T31)=0)*(1-(IF(T31="",-1,T31)&gt;=1)*(IF(T31="",-1,T31)&lt;=3)),IF(C31="peso_corporal",IF(ISNUMBER(E31),E31,0)+R31,R31)*S31*1000+R31,0))</f>
        <v>0</v>
      </c>
      <c r="Z31" s="69">
        <f>IF(Y31=0,0,IF(IF((S31&gt;0)*(IF(T31="",-1,T31)=0)*(1-(IF(T31="",-1,T31)&gt;=1)*(IF(T31="",-1,T31)&lt;=3)),IF(C31="peso_corporal",IF(ISNUMBER(E31),E31,0)+R31,R31)*S31*1000+R31,0)=Y31,5,IF(IF((P31&gt;0)*(IF(Q31="",-1,Q31)=0)*(1-(IF(Q31="",-1,Q31)&gt;=1)*(IF(Q31="",-1,Q31)&lt;=3)),IF(C31="peso_corporal",IF(ISNUMBER(E31),E31,0)+O31,O31)*P31*1000+O31,0)=Y31,4,IF(IF((M31&gt;0)*(IF(N31="",-1,N31)=0)*(1-(IF(N31="",-1,N31)&gt;=1)*(IF(N31="",-1,N31)&lt;=3)),IF(C31="peso_corporal",IF(ISNUMBER(E31),E31,0)+L31,L31)*M31*1000+L31,0)=Y31,3,IF(IF((J31&gt;0)*(IF(K31="",-1,K31)=0)*(1-(IF(K31="",-1,K31)&gt;=1)*(IF(K31="",-1,K31)&lt;=3)),IF(C31="peso_corporal",IF(ISNUMBER(E31),E31,0)+I31,I31)*J31*1000+I31,0)=Y31,2,IF(IF((G31&gt;0)*(IF(H31="",-1,H31)=0)*(1-(IF(H31="",-1,H31)&gt;=1)*(IF(H31="",-1,H31)&lt;=3)),IF(C31="peso_corporal",IF(ISNUMBER(E31),E31,0)+F31,F31)*G31*1000+F31,0)=Y31,1,0))))))</f>
        <v>0</v>
      </c>
      <c r="AA31" s="69">
        <f>MAX(IF((G31&gt;=6)*(1-(IF(H31="",-1,H31)&gt;=1)*(IF(H31="",-1,H31)&lt;=3))*(1-(IF(H31="",-1,H31)=0)),IF(C31="peso_corporal",IF(ISNUMBER(E31),E31,0)+F31,F31)*(30+G31)*100+F31,0),IF((J31&gt;=6)*(1-(IF(K31="",-1,K31)&gt;=1)*(IF(K31="",-1,K31)&lt;=3))*(1-(IF(K31="",-1,K31)=0)),IF(C31="peso_corporal",IF(ISNUMBER(E31),E31,0)+I31,I31)*(30+J31)*100+I31,0),IF((M31&gt;=6)*(1-(IF(N31="",-1,N31)&gt;=1)*(IF(N31="",-1,N31)&lt;=3))*(1-(IF(N31="",-1,N31)=0)),IF(C31="peso_corporal",IF(ISNUMBER(E31),E31,0)+L31,L31)*(30+M31)*100+L31,0),IF((P31&gt;=6)*(1-(IF(Q31="",-1,Q31)&gt;=1)*(IF(Q31="",-1,Q31)&lt;=3))*(1-(IF(Q31="",-1,Q31)=0)),IF(C31="peso_corporal",IF(ISNUMBER(E31),E31,0)+O31,O31)*(30+P31)*100+O31,0),IF((S31&gt;=6)*(1-(IF(T31="",-1,T31)&gt;=1)*(IF(T31="",-1,T31)&lt;=3))*(1-(IF(T31="",-1,T31)=0)),IF(C31="peso_corporal",IF(ISNUMBER(E31),E31,0)+R31,R31)*(30+S31)*100+R31,0))</f>
        <v>0</v>
      </c>
      <c r="AB31" s="69">
        <f>IF(AA31=0,0,IF(IF((S31&gt;=6)*(1-(IF(T31="",-1,T31)&gt;=1)*(IF(T31="",-1,T31)&lt;=3))*(1-(IF(T31="",-1,T31)=0)),IF(C31="peso_corporal",IF(ISNUMBER(E31),E31,0)+R31,R31)*(30+S31)*100+R31,0)=AA31,5,IF(IF((P31&gt;=6)*(1-(IF(Q31="",-1,Q31)&gt;=1)*(IF(Q31="",-1,Q31)&lt;=3))*(1-(IF(Q31="",-1,Q31)=0)),IF(C31="peso_corporal",IF(ISNUMBER(E31),E31,0)+O31,O31)*(30+P31)*100+O31,0)=AA31,4,IF(IF((M31&gt;=6)*(1-(IF(N31="",-1,N31)&gt;=1)*(IF(N31="",-1,N31)&lt;=3))*(1-(IF(N31="",-1,N31)=0)),IF(C31="peso_corporal",IF(ISNUMBER(E31),E31,0)+L31,L31)*(30+M31)*100+L31,0)=AA31,3,IF(IF((J31&gt;=6)*(1-(IF(K31="",-1,K31)&gt;=1)*(IF(K31="",-1,K31)&lt;=3))*(1-(IF(K31="",-1,K31)=0)),IF(C31="peso_corporal",IF(ISNUMBER(E31),E31,0)+I31,I31)*(30+J31)*100+I31,0)=AA31,2,IF(IF((G31&gt;=6)*(1-(IF(H31="",-1,H31)&gt;=1)*(IF(H31="",-1,H31)&lt;=3))*(1-(IF(H31="",-1,H31)=0)),IF(C31="peso_corporal",IF(ISNUMBER(E31),E31,0)+F31,F31)*(30+G31)*100+F31,0)=AA31,1,0))))))</f>
        <v>0</v>
      </c>
      <c r="AC31" s="69" t="str">
        <f>IF(X31&gt;0,"A"&amp;X31,IF(Z31&gt;0,"B"&amp;Z31,IF(AB31&gt;0,"C"&amp;AB31,"")))</f>
        <v/>
      </c>
    </row>
    <row r="32" spans="1:29" ht="15" customHeight="1">
      <c r="A32" s="72" t="s">
        <v>56</v>
      </c>
      <c r="B32" s="73"/>
      <c r="C32" s="73"/>
      <c r="D32" s="73"/>
      <c r="E32" s="73"/>
      <c r="F32" s="73"/>
      <c r="G32" s="73"/>
      <c r="H32" s="73"/>
      <c r="I32" s="73"/>
      <c r="J32" s="73"/>
      <c r="K32" s="73"/>
      <c r="L32" s="73"/>
      <c r="M32" s="73"/>
      <c r="N32" s="73"/>
      <c r="O32" s="73"/>
      <c r="P32" s="73"/>
      <c r="Q32" s="73"/>
      <c r="R32" s="73"/>
      <c r="S32" s="73"/>
      <c r="T32" s="73"/>
      <c r="U32" s="73"/>
      <c r="V32" s="73"/>
      <c r="W32" s="69"/>
      <c r="X32" s="69"/>
      <c r="Y32" s="69"/>
      <c r="Z32" s="69"/>
      <c r="AA32" s="69"/>
      <c r="AB32" s="69"/>
      <c r="AC32" s="69"/>
    </row>
    <row r="33" spans="1:29" ht="20.100000000000001" customHeight="1">
      <c r="A33" s="14" t="s">
        <v>57</v>
      </c>
      <c r="B33" s="15" t="s">
        <v>58</v>
      </c>
      <c r="C33" s="16" t="str">
        <f>IFERROR(INDEX(EJERCICIOS!$D$3:$D$75,MATCH(A33&amp;"|"&amp;B33,EJERCICIOS!$G$3:$G$75,0)),"--")</f>
        <v>polea</v>
      </c>
      <c r="D33" s="17">
        <v>3</v>
      </c>
      <c r="E33" s="18">
        <f>IFERROR(LOOKUP(2,1/(MEDIDAS_Y_PESO!$B$3:$B$3&lt;&gt;""),MEDIDAS_Y_PESO!$B$3:$B$3),"--")</f>
        <v>80</v>
      </c>
      <c r="F33" s="19"/>
      <c r="G33" s="20"/>
      <c r="H33" s="21"/>
      <c r="I33" s="19"/>
      <c r="J33" s="20"/>
      <c r="K33" s="21"/>
      <c r="L33" s="19"/>
      <c r="M33" s="20"/>
      <c r="N33" s="21"/>
      <c r="O33" s="19"/>
      <c r="P33" s="20"/>
      <c r="Q33" s="21"/>
      <c r="R33" s="19"/>
      <c r="S33" s="20"/>
      <c r="T33" s="21"/>
      <c r="U33" s="22" t="str">
        <f>IFERROR(IF(IF(X33&gt;0,X33,IF(Z33&gt;0,Z33,IF(AB33&gt;0,AB33,0)))=0,"--",ROUND(CHOOSE(IF(X33&gt;0,X33,IF(Z33&gt;0,Z33,IF(AB33&gt;0,AB33,0))),IF(C33="peso_corporal",IF(ISNUMBER(E33),E33,0)+F33,F33)*(1+G33/30),IF(C33="peso_corporal",IF(ISNUMBER(E33),E33,0)+I33,I33)*(1+J33/30),IF(C33="peso_corporal",IF(ISNUMBER(E33),E33,0)+L33,L33)*(1+M33/30),IF(C33="peso_corporal",IF(ISNUMBER(E33),E33,0)+O33,O33)*(1+P33/30),IF(C33="peso_corporal",IF(ISNUMBER(E33),E33,0)+R33,R33)*(1+S33/30)),1)),"--")</f>
        <v>--</v>
      </c>
      <c r="V33" s="23" t="str">
        <f>IF(SUGERENCIAS!N53="SIN","Sin datos anteriores",IF(SUGERENCIAS!N53="SUBIR_F","^ SUBIR FUERTE | Kg:"&amp;ROUND(SUGERENCIAS!K53,1)&amp;" R:"&amp;ROUND(SUGERENCIAS!L53,0)&amp;" RIR:"&amp;ROUND(SUGERENCIAS!M53,0),IF(SUGERENCIAS!N53="SUBIR_E","^ SUBIR (Est.) | Kg:"&amp;ROUND(SUGERENCIAS!K53,1)&amp;" R:"&amp;ROUND(SUGERENCIAS!L53,0)&amp;" RIR:"&amp;ROUND(SUGERENCIAS!M53,0),IF(SUGERENCIAS!N53="SUBIR","^ SUBIR | Kg:"&amp;ROUND(SUGERENCIAS!K53,1)&amp;" R:"&amp;ROUND(SUGERENCIAS!L53,0)&amp;" RIR:"&amp;ROUND(SUGERENCIAS!M53,0),IF(SUGERENCIAS!N53="BAJAR","v BAJAR | Kg:"&amp;ROUND(SUGERENCIAS!K53,1)&amp;" R:"&amp;ROUND(SUGERENCIAS!L53,0)&amp;" RIR:"&amp;ROUND(SUGERENCIAS!M53,0),"= MANT | Kg:"&amp;ROUND(SUGERENCIAS!K53,1)&amp;" R:"&amp;ROUND(SUGERENCIAS!L53,0)&amp;" RIR:"&amp;ROUND(SUGERENCIAS!M53,0))))))</f>
        <v>Sin datos anteriores</v>
      </c>
      <c r="W33" s="69">
        <f>MAX(IF((G33&gt;0)*(IF(H33="",-1,H33)&gt;=1)*(IF(H33="",-1,H33)&lt;=3),IF(C33="peso_corporal",IF(ISNUMBER(E33),E33,0)+F33,F33)*G33*1000+F33,0),IF((J33&gt;0)*(IF(K33="",-1,K33)&gt;=1)*(IF(K33="",-1,K33)&lt;=3),IF(C33="peso_corporal",IF(ISNUMBER(E33),E33,0)+I33,I33)*J33*1000+I33,0),IF((M33&gt;0)*(IF(N33="",-1,N33)&gt;=1)*(IF(N33="",-1,N33)&lt;=3),IF(C33="peso_corporal",IF(ISNUMBER(E33),E33,0)+L33,L33)*M33*1000+L33,0),IF((P33&gt;0)*(IF(Q33="",-1,Q33)&gt;=1)*(IF(Q33="",-1,Q33)&lt;=3),IF(C33="peso_corporal",IF(ISNUMBER(E33),E33,0)+O33,O33)*P33*1000+O33,0),IF((S33&gt;0)*(IF(T33="",-1,T33)&gt;=1)*(IF(T33="",-1,T33)&lt;=3),IF(C33="peso_corporal",IF(ISNUMBER(E33),E33,0)+R33,R33)*S33*1000+R33,0))</f>
        <v>0</v>
      </c>
      <c r="X33" s="69">
        <f>IF(W33=0,0,IF(IF((S33&gt;0)*(IF(T33="",-1,T33)&gt;=1)*(IF(T33="",-1,T33)&lt;=3),IF(C33="peso_corporal",IF(ISNUMBER(E33),E33,0)+R33,R33)*S33*1000+R33,0)=W33,5,IF(IF((P33&gt;0)*(IF(Q33="",-1,Q33)&gt;=1)*(IF(Q33="",-1,Q33)&lt;=3),IF(C33="peso_corporal",IF(ISNUMBER(E33),E33,0)+O33,O33)*P33*1000+O33,0)=W33,4,IF(IF((M33&gt;0)*(IF(N33="",-1,N33)&gt;=1)*(IF(N33="",-1,N33)&lt;=3),IF(C33="peso_corporal",IF(ISNUMBER(E33),E33,0)+L33,L33)*M33*1000+L33,0)=W33,3,IF(IF((J33&gt;0)*(IF(K33="",-1,K33)&gt;=1)*(IF(K33="",-1,K33)&lt;=3),IF(C33="peso_corporal",IF(ISNUMBER(E33),E33,0)+I33,I33)*J33*1000+I33,0)=W33,2,IF(IF((G33&gt;0)*(IF(H33="",-1,H33)&gt;=1)*(IF(H33="",-1,H33)&lt;=3),IF(C33="peso_corporal",IF(ISNUMBER(E33),E33,0)+F33,F33)*G33*1000+F33,0)=W33,1,0))))))</f>
        <v>0</v>
      </c>
      <c r="Y33" s="69">
        <f>MAX(IF((G33&gt;0)*(IF(H33="",-1,H33)=0)*(1-(IF(H33="",-1,H33)&gt;=1)*(IF(H33="",-1,H33)&lt;=3)),IF(C33="peso_corporal",IF(ISNUMBER(E33),E33,0)+F33,F33)*G33*1000+F33,0),IF((J33&gt;0)*(IF(K33="",-1,K33)=0)*(1-(IF(K33="",-1,K33)&gt;=1)*(IF(K33="",-1,K33)&lt;=3)),IF(C33="peso_corporal",IF(ISNUMBER(E33),E33,0)+I33,I33)*J33*1000+I33,0),IF((M33&gt;0)*(IF(N33="",-1,N33)=0)*(1-(IF(N33="",-1,N33)&gt;=1)*(IF(N33="",-1,N33)&lt;=3)),IF(C33="peso_corporal",IF(ISNUMBER(E33),E33,0)+L33,L33)*M33*1000+L33,0),IF((P33&gt;0)*(IF(Q33="",-1,Q33)=0)*(1-(IF(Q33="",-1,Q33)&gt;=1)*(IF(Q33="",-1,Q33)&lt;=3)),IF(C33="peso_corporal",IF(ISNUMBER(E33),E33,0)+O33,O33)*P33*1000+O33,0),IF((S33&gt;0)*(IF(T33="",-1,T33)=0)*(1-(IF(T33="",-1,T33)&gt;=1)*(IF(T33="",-1,T33)&lt;=3)),IF(C33="peso_corporal",IF(ISNUMBER(E33),E33,0)+R33,R33)*S33*1000+R33,0))</f>
        <v>0</v>
      </c>
      <c r="Z33" s="69">
        <f>IF(Y33=0,0,IF(IF((S33&gt;0)*(IF(T33="",-1,T33)=0)*(1-(IF(T33="",-1,T33)&gt;=1)*(IF(T33="",-1,T33)&lt;=3)),IF(C33="peso_corporal",IF(ISNUMBER(E33),E33,0)+R33,R33)*S33*1000+R33,0)=Y33,5,IF(IF((P33&gt;0)*(IF(Q33="",-1,Q33)=0)*(1-(IF(Q33="",-1,Q33)&gt;=1)*(IF(Q33="",-1,Q33)&lt;=3)),IF(C33="peso_corporal",IF(ISNUMBER(E33),E33,0)+O33,O33)*P33*1000+O33,0)=Y33,4,IF(IF((M33&gt;0)*(IF(N33="",-1,N33)=0)*(1-(IF(N33="",-1,N33)&gt;=1)*(IF(N33="",-1,N33)&lt;=3)),IF(C33="peso_corporal",IF(ISNUMBER(E33),E33,0)+L33,L33)*M33*1000+L33,0)=Y33,3,IF(IF((J33&gt;0)*(IF(K33="",-1,K33)=0)*(1-(IF(K33="",-1,K33)&gt;=1)*(IF(K33="",-1,K33)&lt;=3)),IF(C33="peso_corporal",IF(ISNUMBER(E33),E33,0)+I33,I33)*J33*1000+I33,0)=Y33,2,IF(IF((G33&gt;0)*(IF(H33="",-1,H33)=0)*(1-(IF(H33="",-1,H33)&gt;=1)*(IF(H33="",-1,H33)&lt;=3)),IF(C33="peso_corporal",IF(ISNUMBER(E33),E33,0)+F33,F33)*G33*1000+F33,0)=Y33,1,0))))))</f>
        <v>0</v>
      </c>
      <c r="AA33" s="69">
        <f>MAX(IF((G33&gt;=6)*(1-(IF(H33="",-1,H33)&gt;=1)*(IF(H33="",-1,H33)&lt;=3))*(1-(IF(H33="",-1,H33)=0)),IF(C33="peso_corporal",IF(ISNUMBER(E33),E33,0)+F33,F33)*(30+G33)*100+F33,0),IF((J33&gt;=6)*(1-(IF(K33="",-1,K33)&gt;=1)*(IF(K33="",-1,K33)&lt;=3))*(1-(IF(K33="",-1,K33)=0)),IF(C33="peso_corporal",IF(ISNUMBER(E33),E33,0)+I33,I33)*(30+J33)*100+I33,0),IF((M33&gt;=6)*(1-(IF(N33="",-1,N33)&gt;=1)*(IF(N33="",-1,N33)&lt;=3))*(1-(IF(N33="",-1,N33)=0)),IF(C33="peso_corporal",IF(ISNUMBER(E33),E33,0)+L33,L33)*(30+M33)*100+L33,0),IF((P33&gt;=6)*(1-(IF(Q33="",-1,Q33)&gt;=1)*(IF(Q33="",-1,Q33)&lt;=3))*(1-(IF(Q33="",-1,Q33)=0)),IF(C33="peso_corporal",IF(ISNUMBER(E33),E33,0)+O33,O33)*(30+P33)*100+O33,0),IF((S33&gt;=6)*(1-(IF(T33="",-1,T33)&gt;=1)*(IF(T33="",-1,T33)&lt;=3))*(1-(IF(T33="",-1,T33)=0)),IF(C33="peso_corporal",IF(ISNUMBER(E33),E33,0)+R33,R33)*(30+S33)*100+R33,0))</f>
        <v>0</v>
      </c>
      <c r="AB33" s="69">
        <f>IF(AA33=0,0,IF(IF((S33&gt;=6)*(1-(IF(T33="",-1,T33)&gt;=1)*(IF(T33="",-1,T33)&lt;=3))*(1-(IF(T33="",-1,T33)=0)),IF(C33="peso_corporal",IF(ISNUMBER(E33),E33,0)+R33,R33)*(30+S33)*100+R33,0)=AA33,5,IF(IF((P33&gt;=6)*(1-(IF(Q33="",-1,Q33)&gt;=1)*(IF(Q33="",-1,Q33)&lt;=3))*(1-(IF(Q33="",-1,Q33)=0)),IF(C33="peso_corporal",IF(ISNUMBER(E33),E33,0)+O33,O33)*(30+P33)*100+O33,0)=AA33,4,IF(IF((M33&gt;=6)*(1-(IF(N33="",-1,N33)&gt;=1)*(IF(N33="",-1,N33)&lt;=3))*(1-(IF(N33="",-1,N33)=0)),IF(C33="peso_corporal",IF(ISNUMBER(E33),E33,0)+L33,L33)*(30+M33)*100+L33,0)=AA33,3,IF(IF((J33&gt;=6)*(1-(IF(K33="",-1,K33)&gt;=1)*(IF(K33="",-1,K33)&lt;=3))*(1-(IF(K33="",-1,K33)=0)),IF(C33="peso_corporal",IF(ISNUMBER(E33),E33,0)+I33,I33)*(30+J33)*100+I33,0)=AA33,2,IF(IF((G33&gt;=6)*(1-(IF(H33="",-1,H33)&gt;=1)*(IF(H33="",-1,H33)&lt;=3))*(1-(IF(H33="",-1,H33)=0)),IF(C33="peso_corporal",IF(ISNUMBER(E33),E33,0)+F33,F33)*(30+G33)*100+F33,0)=AA33,1,0))))))</f>
        <v>0</v>
      </c>
      <c r="AC33" s="69" t="str">
        <f>IF(X33&gt;0,"A"&amp;X33,IF(Z33&gt;0,"B"&amp;Z33,IF(AB33&gt;0,"C"&amp;AB33,"")))</f>
        <v/>
      </c>
    </row>
    <row r="34" spans="1:29" ht="6" customHeight="1">
      <c r="A34" s="13"/>
      <c r="B34" s="13"/>
      <c r="C34" s="13"/>
      <c r="D34" s="13"/>
      <c r="E34" s="13"/>
      <c r="F34" s="13"/>
      <c r="G34" s="13"/>
      <c r="H34" s="13"/>
      <c r="I34" s="13"/>
      <c r="J34" s="13"/>
      <c r="K34" s="13"/>
      <c r="L34" s="13"/>
      <c r="M34" s="13"/>
      <c r="N34" s="13"/>
      <c r="O34" s="13"/>
      <c r="P34" s="13"/>
      <c r="Q34" s="13"/>
      <c r="R34" s="13"/>
      <c r="S34" s="13"/>
      <c r="T34" s="13"/>
      <c r="U34" s="13"/>
      <c r="V34" s="13"/>
      <c r="W34" s="69"/>
      <c r="X34" s="69"/>
      <c r="Y34" s="69"/>
      <c r="Z34" s="69"/>
      <c r="AA34" s="69"/>
      <c r="AB34" s="69"/>
      <c r="AC34" s="69"/>
    </row>
    <row r="35" spans="1:29" ht="18" customHeight="1">
      <c r="A35" s="85" t="s">
        <v>59</v>
      </c>
      <c r="B35" s="73"/>
      <c r="C35" s="73"/>
      <c r="D35" s="73"/>
      <c r="E35" s="73"/>
      <c r="F35" s="73"/>
      <c r="G35" s="73"/>
      <c r="H35" s="73"/>
      <c r="I35" s="73"/>
      <c r="J35" s="73"/>
      <c r="K35" s="73"/>
      <c r="L35" s="73"/>
      <c r="M35" s="73"/>
      <c r="N35" s="73"/>
      <c r="O35" s="73"/>
      <c r="P35" s="73"/>
      <c r="Q35" s="73"/>
      <c r="R35" s="73"/>
      <c r="S35" s="73"/>
      <c r="T35" s="73"/>
      <c r="U35" s="73"/>
      <c r="V35" s="73"/>
      <c r="W35" s="69"/>
      <c r="X35" s="69"/>
      <c r="Y35" s="69"/>
      <c r="Z35" s="69"/>
      <c r="AA35" s="69"/>
      <c r="AB35" s="69"/>
      <c r="AC35" s="69"/>
    </row>
    <row r="36" spans="1:29" ht="15" customHeight="1">
      <c r="A36" s="81" t="s">
        <v>42</v>
      </c>
      <c r="B36" s="73"/>
      <c r="C36" s="73"/>
      <c r="D36" s="73"/>
      <c r="E36" s="73"/>
      <c r="F36" s="73"/>
      <c r="G36" s="73"/>
      <c r="H36" s="73"/>
      <c r="I36" s="73"/>
      <c r="J36" s="73"/>
      <c r="K36" s="73"/>
      <c r="L36" s="73"/>
      <c r="M36" s="73"/>
      <c r="N36" s="73"/>
      <c r="O36" s="73"/>
      <c r="P36" s="73"/>
      <c r="Q36" s="73"/>
      <c r="R36" s="73"/>
      <c r="S36" s="73"/>
      <c r="T36" s="73"/>
      <c r="U36" s="73"/>
      <c r="V36" s="73"/>
      <c r="W36" s="69"/>
      <c r="X36" s="69"/>
      <c r="Y36" s="69"/>
      <c r="Z36" s="69"/>
      <c r="AA36" s="69"/>
      <c r="AB36" s="69"/>
      <c r="AC36" s="69"/>
    </row>
    <row r="37" spans="1:29" ht="20.100000000000001" customHeight="1">
      <c r="A37" s="14" t="s">
        <v>45</v>
      </c>
      <c r="B37" s="15" t="s">
        <v>93</v>
      </c>
      <c r="C37" s="16" t="str">
        <f>IFERROR(INDEX(EJERCICIOS!$D$3:$D$75,MATCH(A37&amp;"|"&amp;B37,EJERCICIOS!$G$3:$G$75,0)),"--")</f>
        <v>--</v>
      </c>
      <c r="D37" s="17">
        <v>3</v>
      </c>
      <c r="E37" s="18">
        <f>IFERROR(LOOKUP(2,1/(MEDIDAS_Y_PESO!$B$3:$B$4&lt;&gt;""),MEDIDAS_Y_PESO!$B$3:$B$4),"--")</f>
        <v>80</v>
      </c>
      <c r="F37" s="19"/>
      <c r="G37" s="20"/>
      <c r="H37" s="21"/>
      <c r="I37" s="19"/>
      <c r="J37" s="20"/>
      <c r="K37" s="21"/>
      <c r="L37" s="19"/>
      <c r="M37" s="20"/>
      <c r="N37" s="21"/>
      <c r="O37" s="19"/>
      <c r="P37" s="20"/>
      <c r="Q37" s="21"/>
      <c r="R37" s="19"/>
      <c r="S37" s="20"/>
      <c r="T37" s="21"/>
      <c r="U37" s="22" t="str">
        <f>IFERROR(IF(IF(X37&gt;0,X37,IF(Z37&gt;0,Z37,IF(AB37&gt;0,AB37,0)))=0,"--",ROUND(CHOOSE(IF(X37&gt;0,X37,IF(Z37&gt;0,Z37,IF(AB37&gt;0,AB37,0))),IF(C37="peso_corporal",IF(ISNUMBER(E37),E37,0)+F37,F37)*(1+G37/30),IF(C37="peso_corporal",IF(ISNUMBER(E37),E37,0)+I37,I37)*(1+J37/30),IF(C37="peso_corporal",IF(ISNUMBER(E37),E37,0)+L37,L37)*(1+M37/30),IF(C37="peso_corporal",IF(ISNUMBER(E37),E37,0)+O37,O37)*(1+P37/30),IF(C37="peso_corporal",IF(ISNUMBER(E37),E37,0)+R37,R37)*(1+S37/30)),1)),"--")</f>
        <v>--</v>
      </c>
      <c r="V37" s="23" t="str">
        <f>IF(SUGERENCIAS!N104="SIN","Sin datos anteriores",IF(SUGERENCIAS!N104="SUBIR_F","^ SUBIR FUERTE | Kg:"&amp;ROUND(SUGERENCIAS!K104,1)&amp;" R:"&amp;ROUND(SUGERENCIAS!L104,0)&amp;" RIR:"&amp;ROUND(SUGERENCIAS!M104,0),IF(SUGERENCIAS!N104="SUBIR_E","^ SUBIR (Est.) | Kg:"&amp;ROUND(SUGERENCIAS!K104,1)&amp;" R:"&amp;ROUND(SUGERENCIAS!L104,0)&amp;" RIR:"&amp;ROUND(SUGERENCIAS!M104,0),IF(SUGERENCIAS!N104="SUBIR","^ SUBIR | Kg:"&amp;ROUND(SUGERENCIAS!K104,1)&amp;" R:"&amp;ROUND(SUGERENCIAS!L104,0)&amp;" RIR:"&amp;ROUND(SUGERENCIAS!M104,0),IF(SUGERENCIAS!N104="BAJAR","v BAJAR | Kg:"&amp;ROUND(SUGERENCIAS!K104,1)&amp;" R:"&amp;ROUND(SUGERENCIAS!L104,0)&amp;" RIR:"&amp;ROUND(SUGERENCIAS!M104,0),"= MANT | Kg:"&amp;ROUND(SUGERENCIAS!K104,1)&amp;" R:"&amp;ROUND(SUGERENCIAS!L104,0)&amp;" RIR:"&amp;ROUND(SUGERENCIAS!M104,0))))))</f>
        <v>Sin datos anteriores</v>
      </c>
      <c r="W37" s="69">
        <f>MAX(IF((G37&gt;0)*(IF(H37="",-1,H37)&gt;=1)*(IF(H37="",-1,H37)&lt;=3),IF(C37="peso_corporal",IF(ISNUMBER(E37),E37,0)+F37,F37)*G37*1000+F37,0),IF((J37&gt;0)*(IF(K37="",-1,K37)&gt;=1)*(IF(K37="",-1,K37)&lt;=3),IF(C37="peso_corporal",IF(ISNUMBER(E37),E37,0)+I37,I37)*J37*1000+I37,0),IF((M37&gt;0)*(IF(N37="",-1,N37)&gt;=1)*(IF(N37="",-1,N37)&lt;=3),IF(C37="peso_corporal",IF(ISNUMBER(E37),E37,0)+L37,L37)*M37*1000+L37,0),IF((P37&gt;0)*(IF(Q37="",-1,Q37)&gt;=1)*(IF(Q37="",-1,Q37)&lt;=3),IF(C37="peso_corporal",IF(ISNUMBER(E37),E37,0)+O37,O37)*P37*1000+O37,0),IF((S37&gt;0)*(IF(T37="",-1,T37)&gt;=1)*(IF(T37="",-1,T37)&lt;=3),IF(C37="peso_corporal",IF(ISNUMBER(E37),E37,0)+R37,R37)*S37*1000+R37,0))</f>
        <v>0</v>
      </c>
      <c r="X37" s="69">
        <f>IF(W37=0,0,IF(IF((S37&gt;0)*(IF(T37="",-1,T37)&gt;=1)*(IF(T37="",-1,T37)&lt;=3),IF(C37="peso_corporal",IF(ISNUMBER(E37),E37,0)+R37,R37)*S37*1000+R37,0)=W37,5,IF(IF((P37&gt;0)*(IF(Q37="",-1,Q37)&gt;=1)*(IF(Q37="",-1,Q37)&lt;=3),IF(C37="peso_corporal",IF(ISNUMBER(E37),E37,0)+O37,O37)*P37*1000+O37,0)=W37,4,IF(IF((M37&gt;0)*(IF(N37="",-1,N37)&gt;=1)*(IF(N37="",-1,N37)&lt;=3),IF(C37="peso_corporal",IF(ISNUMBER(E37),E37,0)+L37,L37)*M37*1000+L37,0)=W37,3,IF(IF((J37&gt;0)*(IF(K37="",-1,K37)&gt;=1)*(IF(K37="",-1,K37)&lt;=3),IF(C37="peso_corporal",IF(ISNUMBER(E37),E37,0)+I37,I37)*J37*1000+I37,0)=W37,2,IF(IF((G37&gt;0)*(IF(H37="",-1,H37)&gt;=1)*(IF(H37="",-1,H37)&lt;=3),IF(C37="peso_corporal",IF(ISNUMBER(E37),E37,0)+F37,F37)*G37*1000+F37,0)=W37,1,0))))))</f>
        <v>0</v>
      </c>
      <c r="Y37" s="69">
        <f>MAX(IF((G37&gt;0)*(IF(H37="",-1,H37)=0)*(1-(IF(H37="",-1,H37)&gt;=1)*(IF(H37="",-1,H37)&lt;=3)),IF(C37="peso_corporal",IF(ISNUMBER(E37),E37,0)+F37,F37)*G37*1000+F37,0),IF((J37&gt;0)*(IF(K37="",-1,K37)=0)*(1-(IF(K37="",-1,K37)&gt;=1)*(IF(K37="",-1,K37)&lt;=3)),IF(C37="peso_corporal",IF(ISNUMBER(E37),E37,0)+I37,I37)*J37*1000+I37,0),IF((M37&gt;0)*(IF(N37="",-1,N37)=0)*(1-(IF(N37="",-1,N37)&gt;=1)*(IF(N37="",-1,N37)&lt;=3)),IF(C37="peso_corporal",IF(ISNUMBER(E37),E37,0)+L37,L37)*M37*1000+L37,0),IF((P37&gt;0)*(IF(Q37="",-1,Q37)=0)*(1-(IF(Q37="",-1,Q37)&gt;=1)*(IF(Q37="",-1,Q37)&lt;=3)),IF(C37="peso_corporal",IF(ISNUMBER(E37),E37,0)+O37,O37)*P37*1000+O37,0),IF((S37&gt;0)*(IF(T37="",-1,T37)=0)*(1-(IF(T37="",-1,T37)&gt;=1)*(IF(T37="",-1,T37)&lt;=3)),IF(C37="peso_corporal",IF(ISNUMBER(E37),E37,0)+R37,R37)*S37*1000+R37,0))</f>
        <v>0</v>
      </c>
      <c r="Z37" s="69">
        <f>IF(Y37=0,0,IF(IF((S37&gt;0)*(IF(T37="",-1,T37)=0)*(1-(IF(T37="",-1,T37)&gt;=1)*(IF(T37="",-1,T37)&lt;=3)),IF(C37="peso_corporal",IF(ISNUMBER(E37),E37,0)+R37,R37)*S37*1000+R37,0)=Y37,5,IF(IF((P37&gt;0)*(IF(Q37="",-1,Q37)=0)*(1-(IF(Q37="",-1,Q37)&gt;=1)*(IF(Q37="",-1,Q37)&lt;=3)),IF(C37="peso_corporal",IF(ISNUMBER(E37),E37,0)+O37,O37)*P37*1000+O37,0)=Y37,4,IF(IF((M37&gt;0)*(IF(N37="",-1,N37)=0)*(1-(IF(N37="",-1,N37)&gt;=1)*(IF(N37="",-1,N37)&lt;=3)),IF(C37="peso_corporal",IF(ISNUMBER(E37),E37,0)+L37,L37)*M37*1000+L37,0)=Y37,3,IF(IF((J37&gt;0)*(IF(K37="",-1,K37)=0)*(1-(IF(K37="",-1,K37)&gt;=1)*(IF(K37="",-1,K37)&lt;=3)),IF(C37="peso_corporal",IF(ISNUMBER(E37),E37,0)+I37,I37)*J37*1000+I37,0)=Y37,2,IF(IF((G37&gt;0)*(IF(H37="",-1,H37)=0)*(1-(IF(H37="",-1,H37)&gt;=1)*(IF(H37="",-1,H37)&lt;=3)),IF(C37="peso_corporal",IF(ISNUMBER(E37),E37,0)+F37,F37)*G37*1000+F37,0)=Y37,1,0))))))</f>
        <v>0</v>
      </c>
      <c r="AA37" s="69">
        <f>MAX(IF((G37&gt;=6)*(1-(IF(H37="",-1,H37)&gt;=1)*(IF(H37="",-1,H37)&lt;=3))*(1-(IF(H37="",-1,H37)=0)),IF(C37="peso_corporal",IF(ISNUMBER(E37),E37,0)+F37,F37)*(30+G37)*100+F37,0),IF((J37&gt;=6)*(1-(IF(K37="",-1,K37)&gt;=1)*(IF(K37="",-1,K37)&lt;=3))*(1-(IF(K37="",-1,K37)=0)),IF(C37="peso_corporal",IF(ISNUMBER(E37),E37,0)+I37,I37)*(30+J37)*100+I37,0),IF((M37&gt;=6)*(1-(IF(N37="",-1,N37)&gt;=1)*(IF(N37="",-1,N37)&lt;=3))*(1-(IF(N37="",-1,N37)=0)),IF(C37="peso_corporal",IF(ISNUMBER(E37),E37,0)+L37,L37)*(30+M37)*100+L37,0),IF((P37&gt;=6)*(1-(IF(Q37="",-1,Q37)&gt;=1)*(IF(Q37="",-1,Q37)&lt;=3))*(1-(IF(Q37="",-1,Q37)=0)),IF(C37="peso_corporal",IF(ISNUMBER(E37),E37,0)+O37,O37)*(30+P37)*100+O37,0),IF((S37&gt;=6)*(1-(IF(T37="",-1,T37)&gt;=1)*(IF(T37="",-1,T37)&lt;=3))*(1-(IF(T37="",-1,T37)=0)),IF(C37="peso_corporal",IF(ISNUMBER(E37),E37,0)+R37,R37)*(30+S37)*100+R37,0))</f>
        <v>0</v>
      </c>
      <c r="AB37" s="69">
        <f>IF(AA37=0,0,IF(IF((S37&gt;=6)*(1-(IF(T37="",-1,T37)&gt;=1)*(IF(T37="",-1,T37)&lt;=3))*(1-(IF(T37="",-1,T37)=0)),IF(C37="peso_corporal",IF(ISNUMBER(E37),E37,0)+R37,R37)*(30+S37)*100+R37,0)=AA37,5,IF(IF((P37&gt;=6)*(1-(IF(Q37="",-1,Q37)&gt;=1)*(IF(Q37="",-1,Q37)&lt;=3))*(1-(IF(Q37="",-1,Q37)=0)),IF(C37="peso_corporal",IF(ISNUMBER(E37),E37,0)+O37,O37)*(30+P37)*100+O37,0)=AA37,4,IF(IF((M37&gt;=6)*(1-(IF(N37="",-1,N37)&gt;=1)*(IF(N37="",-1,N37)&lt;=3))*(1-(IF(N37="",-1,N37)=0)),IF(C37="peso_corporal",IF(ISNUMBER(E37),E37,0)+L37,L37)*(30+M37)*100+L37,0)=AA37,3,IF(IF((J37&gt;=6)*(1-(IF(K37="",-1,K37)&gt;=1)*(IF(K37="",-1,K37)&lt;=3))*(1-(IF(K37="",-1,K37)=0)),IF(C37="peso_corporal",IF(ISNUMBER(E37),E37,0)+I37,I37)*(30+J37)*100+I37,0)=AA37,2,IF(IF((G37&gt;=6)*(1-(IF(H37="",-1,H37)&gt;=1)*(IF(H37="",-1,H37)&lt;=3))*(1-(IF(H37="",-1,H37)=0)),IF(C37="peso_corporal",IF(ISNUMBER(E37),E37,0)+F37,F37)*(30+G37)*100+F37,0)=AA37,1,0))))))</f>
        <v>0</v>
      </c>
      <c r="AC37" s="69" t="str">
        <f>IF(X37&gt;0,"A"&amp;X37,IF(Z37&gt;0,"B"&amp;Z37,IF(AB37&gt;0,"C"&amp;AB37,"")))</f>
        <v/>
      </c>
    </row>
    <row r="38" spans="1:29" ht="20.100000000000001" customHeight="1">
      <c r="A38" s="14" t="s">
        <v>43</v>
      </c>
      <c r="B38" s="15" t="s">
        <v>159</v>
      </c>
      <c r="C38" s="16" t="str">
        <f>IFERROR(INDEX(EJERCICIOS!$D$3:$D$75,MATCH(A38&amp;"|"&amp;B38,EJERCICIOS!$G$3:$G$75,0)),"--")</f>
        <v>--</v>
      </c>
      <c r="D38" s="17">
        <v>3</v>
      </c>
      <c r="E38" s="18">
        <f>IFERROR(LOOKUP(2,1/(MEDIDAS_Y_PESO!$B$3:$B$4&lt;&gt;""),MEDIDAS_Y_PESO!$B$3:$B$4),"--")</f>
        <v>80</v>
      </c>
      <c r="F38" s="19"/>
      <c r="G38" s="20"/>
      <c r="H38" s="21"/>
      <c r="I38" s="19"/>
      <c r="J38" s="20"/>
      <c r="K38" s="21"/>
      <c r="L38" s="19"/>
      <c r="M38" s="20"/>
      <c r="N38" s="21"/>
      <c r="O38" s="19"/>
      <c r="P38" s="20"/>
      <c r="Q38" s="21"/>
      <c r="R38" s="19"/>
      <c r="S38" s="20"/>
      <c r="T38" s="21"/>
      <c r="U38" s="22" t="str">
        <f>IFERROR(IF(IF(X38&gt;0,X38,IF(Z38&gt;0,Z38,IF(AB38&gt;0,AB38,0)))=0,"--",ROUND(CHOOSE(IF(X38&gt;0,X38,IF(Z38&gt;0,Z38,IF(AB38&gt;0,AB38,0))),IF(C38="peso_corporal",IF(ISNUMBER(E38),E38,0)+F38,F38)*(1+G38/30),IF(C38="peso_corporal",IF(ISNUMBER(E38),E38,0)+I38,I38)*(1+J38/30),IF(C38="peso_corporal",IF(ISNUMBER(E38),E38,0)+L38,L38)*(1+M38/30),IF(C38="peso_corporal",IF(ISNUMBER(E38),E38,0)+O38,O38)*(1+P38/30),IF(C38="peso_corporal",IF(ISNUMBER(E38),E38,0)+R38,R38)*(1+S38/30)),1)),"--")</f>
        <v>--</v>
      </c>
      <c r="V38" s="23" t="str">
        <f>IF(SUGERENCIAS!N105="SIN","Sin datos anteriores",IF(SUGERENCIAS!N105="SUBIR_F","^ SUBIR FUERTE | Kg:"&amp;ROUND(SUGERENCIAS!K105,1)&amp;" R:"&amp;ROUND(SUGERENCIAS!L105,0)&amp;" RIR:"&amp;ROUND(SUGERENCIAS!M105,0),IF(SUGERENCIAS!N105="SUBIR_E","^ SUBIR (Est.) | Kg:"&amp;ROUND(SUGERENCIAS!K105,1)&amp;" R:"&amp;ROUND(SUGERENCIAS!L105,0)&amp;" RIR:"&amp;ROUND(SUGERENCIAS!M105,0),IF(SUGERENCIAS!N105="SUBIR","^ SUBIR | Kg:"&amp;ROUND(SUGERENCIAS!K105,1)&amp;" R:"&amp;ROUND(SUGERENCIAS!L105,0)&amp;" RIR:"&amp;ROUND(SUGERENCIAS!M105,0),IF(SUGERENCIAS!N105="BAJAR","v BAJAR | Kg:"&amp;ROUND(SUGERENCIAS!K105,1)&amp;" R:"&amp;ROUND(SUGERENCIAS!L105,0)&amp;" RIR:"&amp;ROUND(SUGERENCIAS!M105,0),"= MANT | Kg:"&amp;ROUND(SUGERENCIAS!K105,1)&amp;" R:"&amp;ROUND(SUGERENCIAS!L105,0)&amp;" RIR:"&amp;ROUND(SUGERENCIAS!M105,0))))))</f>
        <v>Sin datos anteriores</v>
      </c>
      <c r="W38" s="69">
        <f>MAX(IF((G38&gt;0)*(IF(H38="",-1,H38)&gt;=1)*(IF(H38="",-1,H38)&lt;=3),IF(C38="peso_corporal",IF(ISNUMBER(E38),E38,0)+F38,F38)*G38*1000+F38,0),IF((J38&gt;0)*(IF(K38="",-1,K38)&gt;=1)*(IF(K38="",-1,K38)&lt;=3),IF(C38="peso_corporal",IF(ISNUMBER(E38),E38,0)+I38,I38)*J38*1000+I38,0),IF((M38&gt;0)*(IF(N38="",-1,N38)&gt;=1)*(IF(N38="",-1,N38)&lt;=3),IF(C38="peso_corporal",IF(ISNUMBER(E38),E38,0)+L38,L38)*M38*1000+L38,0),IF((P38&gt;0)*(IF(Q38="",-1,Q38)&gt;=1)*(IF(Q38="",-1,Q38)&lt;=3),IF(C38="peso_corporal",IF(ISNUMBER(E38),E38,0)+O38,O38)*P38*1000+O38,0),IF((S38&gt;0)*(IF(T38="",-1,T38)&gt;=1)*(IF(T38="",-1,T38)&lt;=3),IF(C38="peso_corporal",IF(ISNUMBER(E38),E38,0)+R38,R38)*S38*1000+R38,0))</f>
        <v>0</v>
      </c>
      <c r="X38" s="69">
        <f>IF(W38=0,0,IF(IF((S38&gt;0)*(IF(T38="",-1,T38)&gt;=1)*(IF(T38="",-1,T38)&lt;=3),IF(C38="peso_corporal",IF(ISNUMBER(E38),E38,0)+R38,R38)*S38*1000+R38,0)=W38,5,IF(IF((P38&gt;0)*(IF(Q38="",-1,Q38)&gt;=1)*(IF(Q38="",-1,Q38)&lt;=3),IF(C38="peso_corporal",IF(ISNUMBER(E38),E38,0)+O38,O38)*P38*1000+O38,0)=W38,4,IF(IF((M38&gt;0)*(IF(N38="",-1,N38)&gt;=1)*(IF(N38="",-1,N38)&lt;=3),IF(C38="peso_corporal",IF(ISNUMBER(E38),E38,0)+L38,L38)*M38*1000+L38,0)=W38,3,IF(IF((J38&gt;0)*(IF(K38="",-1,K38)&gt;=1)*(IF(K38="",-1,K38)&lt;=3),IF(C38="peso_corporal",IF(ISNUMBER(E38),E38,0)+I38,I38)*J38*1000+I38,0)=W38,2,IF(IF((G38&gt;0)*(IF(H38="",-1,H38)&gt;=1)*(IF(H38="",-1,H38)&lt;=3),IF(C38="peso_corporal",IF(ISNUMBER(E38),E38,0)+F38,F38)*G38*1000+F38,0)=W38,1,0))))))</f>
        <v>0</v>
      </c>
      <c r="Y38" s="69">
        <f>MAX(IF((G38&gt;0)*(IF(H38="",-1,H38)=0)*(1-(IF(H38="",-1,H38)&gt;=1)*(IF(H38="",-1,H38)&lt;=3)),IF(C38="peso_corporal",IF(ISNUMBER(E38),E38,0)+F38,F38)*G38*1000+F38,0),IF((J38&gt;0)*(IF(K38="",-1,K38)=0)*(1-(IF(K38="",-1,K38)&gt;=1)*(IF(K38="",-1,K38)&lt;=3)),IF(C38="peso_corporal",IF(ISNUMBER(E38),E38,0)+I38,I38)*J38*1000+I38,0),IF((M38&gt;0)*(IF(N38="",-1,N38)=0)*(1-(IF(N38="",-1,N38)&gt;=1)*(IF(N38="",-1,N38)&lt;=3)),IF(C38="peso_corporal",IF(ISNUMBER(E38),E38,0)+L38,L38)*M38*1000+L38,0),IF((P38&gt;0)*(IF(Q38="",-1,Q38)=0)*(1-(IF(Q38="",-1,Q38)&gt;=1)*(IF(Q38="",-1,Q38)&lt;=3)),IF(C38="peso_corporal",IF(ISNUMBER(E38),E38,0)+O38,O38)*P38*1000+O38,0),IF((S38&gt;0)*(IF(T38="",-1,T38)=0)*(1-(IF(T38="",-1,T38)&gt;=1)*(IF(T38="",-1,T38)&lt;=3)),IF(C38="peso_corporal",IF(ISNUMBER(E38),E38,0)+R38,R38)*S38*1000+R38,0))</f>
        <v>0</v>
      </c>
      <c r="Z38" s="69">
        <f>IF(Y38=0,0,IF(IF((S38&gt;0)*(IF(T38="",-1,T38)=0)*(1-(IF(T38="",-1,T38)&gt;=1)*(IF(T38="",-1,T38)&lt;=3)),IF(C38="peso_corporal",IF(ISNUMBER(E38),E38,0)+R38,R38)*S38*1000+R38,0)=Y38,5,IF(IF((P38&gt;0)*(IF(Q38="",-1,Q38)=0)*(1-(IF(Q38="",-1,Q38)&gt;=1)*(IF(Q38="",-1,Q38)&lt;=3)),IF(C38="peso_corporal",IF(ISNUMBER(E38),E38,0)+O38,O38)*P38*1000+O38,0)=Y38,4,IF(IF((M38&gt;0)*(IF(N38="",-1,N38)=0)*(1-(IF(N38="",-1,N38)&gt;=1)*(IF(N38="",-1,N38)&lt;=3)),IF(C38="peso_corporal",IF(ISNUMBER(E38),E38,0)+L38,L38)*M38*1000+L38,0)=Y38,3,IF(IF((J38&gt;0)*(IF(K38="",-1,K38)=0)*(1-(IF(K38="",-1,K38)&gt;=1)*(IF(K38="",-1,K38)&lt;=3)),IF(C38="peso_corporal",IF(ISNUMBER(E38),E38,0)+I38,I38)*J38*1000+I38,0)=Y38,2,IF(IF((G38&gt;0)*(IF(H38="",-1,H38)=0)*(1-(IF(H38="",-1,H38)&gt;=1)*(IF(H38="",-1,H38)&lt;=3)),IF(C38="peso_corporal",IF(ISNUMBER(E38),E38,0)+F38,F38)*G38*1000+F38,0)=Y38,1,0))))))</f>
        <v>0</v>
      </c>
      <c r="AA38" s="69">
        <f>MAX(IF((G38&gt;=6)*(1-(IF(H38="",-1,H38)&gt;=1)*(IF(H38="",-1,H38)&lt;=3))*(1-(IF(H38="",-1,H38)=0)),IF(C38="peso_corporal",IF(ISNUMBER(E38),E38,0)+F38,F38)*(30+G38)*100+F38,0),IF((J38&gt;=6)*(1-(IF(K38="",-1,K38)&gt;=1)*(IF(K38="",-1,K38)&lt;=3))*(1-(IF(K38="",-1,K38)=0)),IF(C38="peso_corporal",IF(ISNUMBER(E38),E38,0)+I38,I38)*(30+J38)*100+I38,0),IF((M38&gt;=6)*(1-(IF(N38="",-1,N38)&gt;=1)*(IF(N38="",-1,N38)&lt;=3))*(1-(IF(N38="",-1,N38)=0)),IF(C38="peso_corporal",IF(ISNUMBER(E38),E38,0)+L38,L38)*(30+M38)*100+L38,0),IF((P38&gt;=6)*(1-(IF(Q38="",-1,Q38)&gt;=1)*(IF(Q38="",-1,Q38)&lt;=3))*(1-(IF(Q38="",-1,Q38)=0)),IF(C38="peso_corporal",IF(ISNUMBER(E38),E38,0)+O38,O38)*(30+P38)*100+O38,0),IF((S38&gt;=6)*(1-(IF(T38="",-1,T38)&gt;=1)*(IF(T38="",-1,T38)&lt;=3))*(1-(IF(T38="",-1,T38)=0)),IF(C38="peso_corporal",IF(ISNUMBER(E38),E38,0)+R38,R38)*(30+S38)*100+R38,0))</f>
        <v>0</v>
      </c>
      <c r="AB38" s="69">
        <f>IF(AA38=0,0,IF(IF((S38&gt;=6)*(1-(IF(T38="",-1,T38)&gt;=1)*(IF(T38="",-1,T38)&lt;=3))*(1-(IF(T38="",-1,T38)=0)),IF(C38="peso_corporal",IF(ISNUMBER(E38),E38,0)+R38,R38)*(30+S38)*100+R38,0)=AA38,5,IF(IF((P38&gt;=6)*(1-(IF(Q38="",-1,Q38)&gt;=1)*(IF(Q38="",-1,Q38)&lt;=3))*(1-(IF(Q38="",-1,Q38)=0)),IF(C38="peso_corporal",IF(ISNUMBER(E38),E38,0)+O38,O38)*(30+P38)*100+O38,0)=AA38,4,IF(IF((M38&gt;=6)*(1-(IF(N38="",-1,N38)&gt;=1)*(IF(N38="",-1,N38)&lt;=3))*(1-(IF(N38="",-1,N38)=0)),IF(C38="peso_corporal",IF(ISNUMBER(E38),E38,0)+L38,L38)*(30+M38)*100+L38,0)=AA38,3,IF(IF((J38&gt;=6)*(1-(IF(K38="",-1,K38)&gt;=1)*(IF(K38="",-1,K38)&lt;=3))*(1-(IF(K38="",-1,K38)=0)),IF(C38="peso_corporal",IF(ISNUMBER(E38),E38,0)+I38,I38)*(30+J38)*100+I38,0)=AA38,2,IF(IF((G38&gt;=6)*(1-(IF(H38="",-1,H38)&gt;=1)*(IF(H38="",-1,H38)&lt;=3))*(1-(IF(H38="",-1,H38)=0)),IF(C38="peso_corporal",IF(ISNUMBER(E38),E38,0)+F38,F38)*(30+G38)*100+F38,0)=AA38,1,0))))))</f>
        <v>0</v>
      </c>
      <c r="AC38" s="69" t="str">
        <f>IF(X38&gt;0,"A"&amp;X38,IF(Z38&gt;0,"B"&amp;Z38,IF(AB38&gt;0,"C"&amp;AB38,"")))</f>
        <v/>
      </c>
    </row>
    <row r="39" spans="1:29" ht="11.1" customHeight="1">
      <c r="A39" s="92" t="s">
        <v>160</v>
      </c>
      <c r="B39" s="73"/>
      <c r="C39" s="73"/>
      <c r="D39" s="73"/>
      <c r="E39" s="73"/>
      <c r="F39" s="73"/>
      <c r="G39" s="73"/>
      <c r="H39" s="73"/>
      <c r="I39" s="73"/>
      <c r="J39" s="73"/>
      <c r="K39" s="73"/>
      <c r="L39" s="73"/>
      <c r="M39" s="73"/>
      <c r="N39" s="73"/>
      <c r="O39" s="73"/>
      <c r="P39" s="73"/>
      <c r="Q39" s="73"/>
      <c r="R39" s="73"/>
      <c r="S39" s="73"/>
      <c r="T39" s="73"/>
      <c r="U39" s="73"/>
      <c r="V39" s="73"/>
      <c r="W39" s="69"/>
      <c r="X39" s="69"/>
      <c r="Y39" s="69"/>
      <c r="Z39" s="69"/>
      <c r="AA39" s="69"/>
      <c r="AB39" s="69"/>
      <c r="AC39" s="69"/>
    </row>
    <row r="40" spans="1:29" ht="20.100000000000001" customHeight="1">
      <c r="A40" s="14" t="s">
        <v>161</v>
      </c>
      <c r="B40" s="15" t="s">
        <v>162</v>
      </c>
      <c r="C40" s="16" t="str">
        <f>IFERROR(INDEX(EJERCICIOS!$D$3:$D$75,MATCH(A40&amp;"|"&amp;B40,EJERCICIOS!$G$3:$G$75,0)),"--")</f>
        <v>mancuerna</v>
      </c>
      <c r="D40" s="17">
        <v>3</v>
      </c>
      <c r="E40" s="18">
        <f>IFERROR(LOOKUP(2,1/(MEDIDAS_Y_PESO!$B$3:$B$4&lt;&gt;""),MEDIDAS_Y_PESO!$B$3:$B$4),"--")</f>
        <v>80</v>
      </c>
      <c r="F40" s="19"/>
      <c r="G40" s="20"/>
      <c r="H40" s="21"/>
      <c r="I40" s="19"/>
      <c r="J40" s="20"/>
      <c r="K40" s="21"/>
      <c r="L40" s="19"/>
      <c r="M40" s="20"/>
      <c r="N40" s="21"/>
      <c r="O40" s="19"/>
      <c r="P40" s="20"/>
      <c r="Q40" s="21"/>
      <c r="R40" s="19"/>
      <c r="S40" s="20"/>
      <c r="T40" s="21"/>
      <c r="U40" s="22" t="str">
        <f>IFERROR(IF(IF(X40&gt;0,X40,IF(Z40&gt;0,Z40,IF(AB40&gt;0,AB40,0)))=0,"--",ROUND(CHOOSE(IF(X40&gt;0,X40,IF(Z40&gt;0,Z40,IF(AB40&gt;0,AB40,0))),IF(C40="peso_corporal",IF(ISNUMBER(E40),E40,0)+F40,F40)*(1+G40/30),IF(C40="peso_corporal",IF(ISNUMBER(E40),E40,0)+I40,I40)*(1+J40/30),IF(C40="peso_corporal",IF(ISNUMBER(E40),E40,0)+L40,L40)*(1+M40/30),IF(C40="peso_corporal",IF(ISNUMBER(E40),E40,0)+O40,O40)*(1+P40/30),IF(C40="peso_corporal",IF(ISNUMBER(E40),E40,0)+R40,R40)*(1+S40/30)),1)),"--")</f>
        <v>--</v>
      </c>
      <c r="V40" s="23" t="str">
        <f>IF(SUGERENCIAS!N106="SIN","Sin datos anteriores",IF(SUGERENCIAS!N106="SUBIR_F","^ SUBIR FUERTE | Kg:"&amp;ROUND(SUGERENCIAS!K106,1)&amp;" R:"&amp;ROUND(SUGERENCIAS!L106,0)&amp;" RIR:"&amp;ROUND(SUGERENCIAS!M106,0),IF(SUGERENCIAS!N106="SUBIR_E","^ SUBIR (Est.) | Kg:"&amp;ROUND(SUGERENCIAS!K106,1)&amp;" R:"&amp;ROUND(SUGERENCIAS!L106,0)&amp;" RIR:"&amp;ROUND(SUGERENCIAS!M106,0),IF(SUGERENCIAS!N106="SUBIR","^ SUBIR | Kg:"&amp;ROUND(SUGERENCIAS!K106,1)&amp;" R:"&amp;ROUND(SUGERENCIAS!L106,0)&amp;" RIR:"&amp;ROUND(SUGERENCIAS!M106,0),IF(SUGERENCIAS!N106="BAJAR","v BAJAR | Kg:"&amp;ROUND(SUGERENCIAS!K106,1)&amp;" R:"&amp;ROUND(SUGERENCIAS!L106,0)&amp;" RIR:"&amp;ROUND(SUGERENCIAS!M106,0),"= MANT | Kg:"&amp;ROUND(SUGERENCIAS!K106,1)&amp;" R:"&amp;ROUND(SUGERENCIAS!L106,0)&amp;" RIR:"&amp;ROUND(SUGERENCIAS!M106,0))))))</f>
        <v>Sin datos anteriores</v>
      </c>
      <c r="W40" s="69">
        <f>MAX(IF((G40&gt;0)*(IF(H40="",-1,H40)&gt;=1)*(IF(H40="",-1,H40)&lt;=3),IF(C40="peso_corporal",IF(ISNUMBER(E40),E40,0)+F40,F40)*G40*1000+F40,0),IF((J40&gt;0)*(IF(K40="",-1,K40)&gt;=1)*(IF(K40="",-1,K40)&lt;=3),IF(C40="peso_corporal",IF(ISNUMBER(E40),E40,0)+I40,I40)*J40*1000+I40,0),IF((M40&gt;0)*(IF(N40="",-1,N40)&gt;=1)*(IF(N40="",-1,N40)&lt;=3),IF(C40="peso_corporal",IF(ISNUMBER(E40),E40,0)+L40,L40)*M40*1000+L40,0),IF((P40&gt;0)*(IF(Q40="",-1,Q40)&gt;=1)*(IF(Q40="",-1,Q40)&lt;=3),IF(C40="peso_corporal",IF(ISNUMBER(E40),E40,0)+O40,O40)*P40*1000+O40,0),IF((S40&gt;0)*(IF(T40="",-1,T40)&gt;=1)*(IF(T40="",-1,T40)&lt;=3),IF(C40="peso_corporal",IF(ISNUMBER(E40),E40,0)+R40,R40)*S40*1000+R40,0))</f>
        <v>0</v>
      </c>
      <c r="X40" s="69">
        <f>IF(W40=0,0,IF(IF((S40&gt;0)*(IF(T40="",-1,T40)&gt;=1)*(IF(T40="",-1,T40)&lt;=3),IF(C40="peso_corporal",IF(ISNUMBER(E40),E40,0)+R40,R40)*S40*1000+R40,0)=W40,5,IF(IF((P40&gt;0)*(IF(Q40="",-1,Q40)&gt;=1)*(IF(Q40="",-1,Q40)&lt;=3),IF(C40="peso_corporal",IF(ISNUMBER(E40),E40,0)+O40,O40)*P40*1000+O40,0)=W40,4,IF(IF((M40&gt;0)*(IF(N40="",-1,N40)&gt;=1)*(IF(N40="",-1,N40)&lt;=3),IF(C40="peso_corporal",IF(ISNUMBER(E40),E40,0)+L40,L40)*M40*1000+L40,0)=W40,3,IF(IF((J40&gt;0)*(IF(K40="",-1,K40)&gt;=1)*(IF(K40="",-1,K40)&lt;=3),IF(C40="peso_corporal",IF(ISNUMBER(E40),E40,0)+I40,I40)*J40*1000+I40,0)=W40,2,IF(IF((G40&gt;0)*(IF(H40="",-1,H40)&gt;=1)*(IF(H40="",-1,H40)&lt;=3),IF(C40="peso_corporal",IF(ISNUMBER(E40),E40,0)+F40,F40)*G40*1000+F40,0)=W40,1,0))))))</f>
        <v>0</v>
      </c>
      <c r="Y40" s="69">
        <f>MAX(IF((G40&gt;0)*(IF(H40="",-1,H40)=0)*(1-(IF(H40="",-1,H40)&gt;=1)*(IF(H40="",-1,H40)&lt;=3)),IF(C40="peso_corporal",IF(ISNUMBER(E40),E40,0)+F40,F40)*G40*1000+F40,0),IF((J40&gt;0)*(IF(K40="",-1,K40)=0)*(1-(IF(K40="",-1,K40)&gt;=1)*(IF(K40="",-1,K40)&lt;=3)),IF(C40="peso_corporal",IF(ISNUMBER(E40),E40,0)+I40,I40)*J40*1000+I40,0),IF((M40&gt;0)*(IF(N40="",-1,N40)=0)*(1-(IF(N40="",-1,N40)&gt;=1)*(IF(N40="",-1,N40)&lt;=3)),IF(C40="peso_corporal",IF(ISNUMBER(E40),E40,0)+L40,L40)*M40*1000+L40,0),IF((P40&gt;0)*(IF(Q40="",-1,Q40)=0)*(1-(IF(Q40="",-1,Q40)&gt;=1)*(IF(Q40="",-1,Q40)&lt;=3)),IF(C40="peso_corporal",IF(ISNUMBER(E40),E40,0)+O40,O40)*P40*1000+O40,0),IF((S40&gt;0)*(IF(T40="",-1,T40)=0)*(1-(IF(T40="",-1,T40)&gt;=1)*(IF(T40="",-1,T40)&lt;=3)),IF(C40="peso_corporal",IF(ISNUMBER(E40),E40,0)+R40,R40)*S40*1000+R40,0))</f>
        <v>0</v>
      </c>
      <c r="Z40" s="69">
        <f>IF(Y40=0,0,IF(IF((S40&gt;0)*(IF(T40="",-1,T40)=0)*(1-(IF(T40="",-1,T40)&gt;=1)*(IF(T40="",-1,T40)&lt;=3)),IF(C40="peso_corporal",IF(ISNUMBER(E40),E40,0)+R40,R40)*S40*1000+R40,0)=Y40,5,IF(IF((P40&gt;0)*(IF(Q40="",-1,Q40)=0)*(1-(IF(Q40="",-1,Q40)&gt;=1)*(IF(Q40="",-1,Q40)&lt;=3)),IF(C40="peso_corporal",IF(ISNUMBER(E40),E40,0)+O40,O40)*P40*1000+O40,0)=Y40,4,IF(IF((M40&gt;0)*(IF(N40="",-1,N40)=0)*(1-(IF(N40="",-1,N40)&gt;=1)*(IF(N40="",-1,N40)&lt;=3)),IF(C40="peso_corporal",IF(ISNUMBER(E40),E40,0)+L40,L40)*M40*1000+L40,0)=Y40,3,IF(IF((J40&gt;0)*(IF(K40="",-1,K40)=0)*(1-(IF(K40="",-1,K40)&gt;=1)*(IF(K40="",-1,K40)&lt;=3)),IF(C40="peso_corporal",IF(ISNUMBER(E40),E40,0)+I40,I40)*J40*1000+I40,0)=Y40,2,IF(IF((G40&gt;0)*(IF(H40="",-1,H40)=0)*(1-(IF(H40="",-1,H40)&gt;=1)*(IF(H40="",-1,H40)&lt;=3)),IF(C40="peso_corporal",IF(ISNUMBER(E40),E40,0)+F40,F40)*G40*1000+F40,0)=Y40,1,0))))))</f>
        <v>0</v>
      </c>
      <c r="AA40" s="69">
        <f>MAX(IF((G40&gt;=6)*(1-(IF(H40="",-1,H40)&gt;=1)*(IF(H40="",-1,H40)&lt;=3))*(1-(IF(H40="",-1,H40)=0)),IF(C40="peso_corporal",IF(ISNUMBER(E40),E40,0)+F40,F40)*(30+G40)*100+F40,0),IF((J40&gt;=6)*(1-(IF(K40="",-1,K40)&gt;=1)*(IF(K40="",-1,K40)&lt;=3))*(1-(IF(K40="",-1,K40)=0)),IF(C40="peso_corporal",IF(ISNUMBER(E40),E40,0)+I40,I40)*(30+J40)*100+I40,0),IF((M40&gt;=6)*(1-(IF(N40="",-1,N40)&gt;=1)*(IF(N40="",-1,N40)&lt;=3))*(1-(IF(N40="",-1,N40)=0)),IF(C40="peso_corporal",IF(ISNUMBER(E40),E40,0)+L40,L40)*(30+M40)*100+L40,0),IF((P40&gt;=6)*(1-(IF(Q40="",-1,Q40)&gt;=1)*(IF(Q40="",-1,Q40)&lt;=3))*(1-(IF(Q40="",-1,Q40)=0)),IF(C40="peso_corporal",IF(ISNUMBER(E40),E40,0)+O40,O40)*(30+P40)*100+O40,0),IF((S40&gt;=6)*(1-(IF(T40="",-1,T40)&gt;=1)*(IF(T40="",-1,T40)&lt;=3))*(1-(IF(T40="",-1,T40)=0)),IF(C40="peso_corporal",IF(ISNUMBER(E40),E40,0)+R40,R40)*(30+S40)*100+R40,0))</f>
        <v>0</v>
      </c>
      <c r="AB40" s="69">
        <f>IF(AA40=0,0,IF(IF((S40&gt;=6)*(1-(IF(T40="",-1,T40)&gt;=1)*(IF(T40="",-1,T40)&lt;=3))*(1-(IF(T40="",-1,T40)=0)),IF(C40="peso_corporal",IF(ISNUMBER(E40),E40,0)+R40,R40)*(30+S40)*100+R40,0)=AA40,5,IF(IF((P40&gt;=6)*(1-(IF(Q40="",-1,Q40)&gt;=1)*(IF(Q40="",-1,Q40)&lt;=3))*(1-(IF(Q40="",-1,Q40)=0)),IF(C40="peso_corporal",IF(ISNUMBER(E40),E40,0)+O40,O40)*(30+P40)*100+O40,0)=AA40,4,IF(IF((M40&gt;=6)*(1-(IF(N40="",-1,N40)&gt;=1)*(IF(N40="",-1,N40)&lt;=3))*(1-(IF(N40="",-1,N40)=0)),IF(C40="peso_corporal",IF(ISNUMBER(E40),E40,0)+L40,L40)*(30+M40)*100+L40,0)=AA40,3,IF(IF((J40&gt;=6)*(1-(IF(K40="",-1,K40)&gt;=1)*(IF(K40="",-1,K40)&lt;=3))*(1-(IF(K40="",-1,K40)=0)),IF(C40="peso_corporal",IF(ISNUMBER(E40),E40,0)+I40,I40)*(30+J40)*100+I40,0)=AA40,2,IF(IF((G40&gt;=6)*(1-(IF(H40="",-1,H40)&gt;=1)*(IF(H40="",-1,H40)&lt;=3))*(1-(IF(H40="",-1,H40)=0)),IF(C40="peso_corporal",IF(ISNUMBER(E40),E40,0)+F40,F40)*(30+G40)*100+F40,0)=AA40,1,0))))))</f>
        <v>0</v>
      </c>
      <c r="AC40" s="69" t="str">
        <f>IF(X40&gt;0,"A"&amp;X40,IF(Z40&gt;0,"B"&amp;Z40,IF(AB40&gt;0,"C"&amp;AB40,"")))</f>
        <v/>
      </c>
    </row>
    <row r="41" spans="1:29" ht="20.100000000000001" customHeight="1">
      <c r="A41" s="14" t="s">
        <v>163</v>
      </c>
      <c r="B41" s="15" t="s">
        <v>52</v>
      </c>
      <c r="C41" s="16" t="str">
        <f>IFERROR(INDEX(EJERCICIOS!$D$3:$D$75,MATCH(A41&amp;"|"&amp;B41,EJERCICIOS!$G$3:$G$75,0)),"--")</f>
        <v>polea</v>
      </c>
      <c r="D41" s="17">
        <v>3</v>
      </c>
      <c r="E41" s="18">
        <f>IFERROR(LOOKUP(2,1/(MEDIDAS_Y_PESO!$B$3:$B$4&lt;&gt;""),MEDIDAS_Y_PESO!$B$3:$B$4),"--")</f>
        <v>80</v>
      </c>
      <c r="F41" s="19"/>
      <c r="G41" s="20"/>
      <c r="H41" s="21"/>
      <c r="I41" s="19"/>
      <c r="J41" s="20"/>
      <c r="K41" s="21"/>
      <c r="L41" s="19"/>
      <c r="M41" s="20"/>
      <c r="N41" s="21"/>
      <c r="O41" s="19"/>
      <c r="P41" s="20"/>
      <c r="Q41" s="21"/>
      <c r="R41" s="19"/>
      <c r="S41" s="20"/>
      <c r="T41" s="21"/>
      <c r="U41" s="22" t="str">
        <f>IFERROR(IF(IF(X41&gt;0,X41,IF(Z41&gt;0,Z41,IF(AB41&gt;0,AB41,0)))=0,"--",ROUND(CHOOSE(IF(X41&gt;0,X41,IF(Z41&gt;0,Z41,IF(AB41&gt;0,AB41,0))),IF(C41="peso_corporal",IF(ISNUMBER(E41),E41,0)+F41,F41)*(1+G41/30),IF(C41="peso_corporal",IF(ISNUMBER(E41),E41,0)+I41,I41)*(1+J41/30),IF(C41="peso_corporal",IF(ISNUMBER(E41),E41,0)+L41,L41)*(1+M41/30),IF(C41="peso_corporal",IF(ISNUMBER(E41),E41,0)+O41,O41)*(1+P41/30),IF(C41="peso_corporal",IF(ISNUMBER(E41),E41,0)+R41,R41)*(1+S41/30)),1)),"--")</f>
        <v>--</v>
      </c>
      <c r="V41" s="23" t="str">
        <f>IF(SUGERENCIAS!N107="SIN","Sin datos anteriores",IF(SUGERENCIAS!N107="SUBIR_F","^ SUBIR FUERTE | Kg:"&amp;ROUND(SUGERENCIAS!K107,1)&amp;" R:"&amp;ROUND(SUGERENCIAS!L107,0)&amp;" RIR:"&amp;ROUND(SUGERENCIAS!M107,0),IF(SUGERENCIAS!N107="SUBIR_E","^ SUBIR (Est.) | Kg:"&amp;ROUND(SUGERENCIAS!K107,1)&amp;" R:"&amp;ROUND(SUGERENCIAS!L107,0)&amp;" RIR:"&amp;ROUND(SUGERENCIAS!M107,0),IF(SUGERENCIAS!N107="SUBIR","^ SUBIR | Kg:"&amp;ROUND(SUGERENCIAS!K107,1)&amp;" R:"&amp;ROUND(SUGERENCIAS!L107,0)&amp;" RIR:"&amp;ROUND(SUGERENCIAS!M107,0),IF(SUGERENCIAS!N107="BAJAR","v BAJAR | Kg:"&amp;ROUND(SUGERENCIAS!K107,1)&amp;" R:"&amp;ROUND(SUGERENCIAS!L107,0)&amp;" RIR:"&amp;ROUND(SUGERENCIAS!M107,0),"= MANT | Kg:"&amp;ROUND(SUGERENCIAS!K107,1)&amp;" R:"&amp;ROUND(SUGERENCIAS!L107,0)&amp;" RIR:"&amp;ROUND(SUGERENCIAS!M107,0))))))</f>
        <v>Sin datos anteriores</v>
      </c>
      <c r="W41" s="69">
        <f>MAX(IF((G41&gt;0)*(IF(H41="",-1,H41)&gt;=1)*(IF(H41="",-1,H41)&lt;=3),IF(C41="peso_corporal",IF(ISNUMBER(E41),E41,0)+F41,F41)*G41*1000+F41,0),IF((J41&gt;0)*(IF(K41="",-1,K41)&gt;=1)*(IF(K41="",-1,K41)&lt;=3),IF(C41="peso_corporal",IF(ISNUMBER(E41),E41,0)+I41,I41)*J41*1000+I41,0),IF((M41&gt;0)*(IF(N41="",-1,N41)&gt;=1)*(IF(N41="",-1,N41)&lt;=3),IF(C41="peso_corporal",IF(ISNUMBER(E41),E41,0)+L41,L41)*M41*1000+L41,0),IF((P41&gt;0)*(IF(Q41="",-1,Q41)&gt;=1)*(IF(Q41="",-1,Q41)&lt;=3),IF(C41="peso_corporal",IF(ISNUMBER(E41),E41,0)+O41,O41)*P41*1000+O41,0),IF((S41&gt;0)*(IF(T41="",-1,T41)&gt;=1)*(IF(T41="",-1,T41)&lt;=3),IF(C41="peso_corporal",IF(ISNUMBER(E41),E41,0)+R41,R41)*S41*1000+R41,0))</f>
        <v>0</v>
      </c>
      <c r="X41" s="69">
        <f>IF(W41=0,0,IF(IF((S41&gt;0)*(IF(T41="",-1,T41)&gt;=1)*(IF(T41="",-1,T41)&lt;=3),IF(C41="peso_corporal",IF(ISNUMBER(E41),E41,0)+R41,R41)*S41*1000+R41,0)=W41,5,IF(IF((P41&gt;0)*(IF(Q41="",-1,Q41)&gt;=1)*(IF(Q41="",-1,Q41)&lt;=3),IF(C41="peso_corporal",IF(ISNUMBER(E41),E41,0)+O41,O41)*P41*1000+O41,0)=W41,4,IF(IF((M41&gt;0)*(IF(N41="",-1,N41)&gt;=1)*(IF(N41="",-1,N41)&lt;=3),IF(C41="peso_corporal",IF(ISNUMBER(E41),E41,0)+L41,L41)*M41*1000+L41,0)=W41,3,IF(IF((J41&gt;0)*(IF(K41="",-1,K41)&gt;=1)*(IF(K41="",-1,K41)&lt;=3),IF(C41="peso_corporal",IF(ISNUMBER(E41),E41,0)+I41,I41)*J41*1000+I41,0)=W41,2,IF(IF((G41&gt;0)*(IF(H41="",-1,H41)&gt;=1)*(IF(H41="",-1,H41)&lt;=3),IF(C41="peso_corporal",IF(ISNUMBER(E41),E41,0)+F41,F41)*G41*1000+F41,0)=W41,1,0))))))</f>
        <v>0</v>
      </c>
      <c r="Y41" s="69">
        <f>MAX(IF((G41&gt;0)*(IF(H41="",-1,H41)=0)*(1-(IF(H41="",-1,H41)&gt;=1)*(IF(H41="",-1,H41)&lt;=3)),IF(C41="peso_corporal",IF(ISNUMBER(E41),E41,0)+F41,F41)*G41*1000+F41,0),IF((J41&gt;0)*(IF(K41="",-1,K41)=0)*(1-(IF(K41="",-1,K41)&gt;=1)*(IF(K41="",-1,K41)&lt;=3)),IF(C41="peso_corporal",IF(ISNUMBER(E41),E41,0)+I41,I41)*J41*1000+I41,0),IF((M41&gt;0)*(IF(N41="",-1,N41)=0)*(1-(IF(N41="",-1,N41)&gt;=1)*(IF(N41="",-1,N41)&lt;=3)),IF(C41="peso_corporal",IF(ISNUMBER(E41),E41,0)+L41,L41)*M41*1000+L41,0),IF((P41&gt;0)*(IF(Q41="",-1,Q41)=0)*(1-(IF(Q41="",-1,Q41)&gt;=1)*(IF(Q41="",-1,Q41)&lt;=3)),IF(C41="peso_corporal",IF(ISNUMBER(E41),E41,0)+O41,O41)*P41*1000+O41,0),IF((S41&gt;0)*(IF(T41="",-1,T41)=0)*(1-(IF(T41="",-1,T41)&gt;=1)*(IF(T41="",-1,T41)&lt;=3)),IF(C41="peso_corporal",IF(ISNUMBER(E41),E41,0)+R41,R41)*S41*1000+R41,0))</f>
        <v>0</v>
      </c>
      <c r="Z41" s="69">
        <f>IF(Y41=0,0,IF(IF((S41&gt;0)*(IF(T41="",-1,T41)=0)*(1-(IF(T41="",-1,T41)&gt;=1)*(IF(T41="",-1,T41)&lt;=3)),IF(C41="peso_corporal",IF(ISNUMBER(E41),E41,0)+R41,R41)*S41*1000+R41,0)=Y41,5,IF(IF((P41&gt;0)*(IF(Q41="",-1,Q41)=0)*(1-(IF(Q41="",-1,Q41)&gt;=1)*(IF(Q41="",-1,Q41)&lt;=3)),IF(C41="peso_corporal",IF(ISNUMBER(E41),E41,0)+O41,O41)*P41*1000+O41,0)=Y41,4,IF(IF((M41&gt;0)*(IF(N41="",-1,N41)=0)*(1-(IF(N41="",-1,N41)&gt;=1)*(IF(N41="",-1,N41)&lt;=3)),IF(C41="peso_corporal",IF(ISNUMBER(E41),E41,0)+L41,L41)*M41*1000+L41,0)=Y41,3,IF(IF((J41&gt;0)*(IF(K41="",-1,K41)=0)*(1-(IF(K41="",-1,K41)&gt;=1)*(IF(K41="",-1,K41)&lt;=3)),IF(C41="peso_corporal",IF(ISNUMBER(E41),E41,0)+I41,I41)*J41*1000+I41,0)=Y41,2,IF(IF((G41&gt;0)*(IF(H41="",-1,H41)=0)*(1-(IF(H41="",-1,H41)&gt;=1)*(IF(H41="",-1,H41)&lt;=3)),IF(C41="peso_corporal",IF(ISNUMBER(E41),E41,0)+F41,F41)*G41*1000+F41,0)=Y41,1,0))))))</f>
        <v>0</v>
      </c>
      <c r="AA41" s="69">
        <f>MAX(IF((G41&gt;=6)*(1-(IF(H41="",-1,H41)&gt;=1)*(IF(H41="",-1,H41)&lt;=3))*(1-(IF(H41="",-1,H41)=0)),IF(C41="peso_corporal",IF(ISNUMBER(E41),E41,0)+F41,F41)*(30+G41)*100+F41,0),IF((J41&gt;=6)*(1-(IF(K41="",-1,K41)&gt;=1)*(IF(K41="",-1,K41)&lt;=3))*(1-(IF(K41="",-1,K41)=0)),IF(C41="peso_corporal",IF(ISNUMBER(E41),E41,0)+I41,I41)*(30+J41)*100+I41,0),IF((M41&gt;=6)*(1-(IF(N41="",-1,N41)&gt;=1)*(IF(N41="",-1,N41)&lt;=3))*(1-(IF(N41="",-1,N41)=0)),IF(C41="peso_corporal",IF(ISNUMBER(E41),E41,0)+L41,L41)*(30+M41)*100+L41,0),IF((P41&gt;=6)*(1-(IF(Q41="",-1,Q41)&gt;=1)*(IF(Q41="",-1,Q41)&lt;=3))*(1-(IF(Q41="",-1,Q41)=0)),IF(C41="peso_corporal",IF(ISNUMBER(E41),E41,0)+O41,O41)*(30+P41)*100+O41,0),IF((S41&gt;=6)*(1-(IF(T41="",-1,T41)&gt;=1)*(IF(T41="",-1,T41)&lt;=3))*(1-(IF(T41="",-1,T41)=0)),IF(C41="peso_corporal",IF(ISNUMBER(E41),E41,0)+R41,R41)*(30+S41)*100+R41,0))</f>
        <v>0</v>
      </c>
      <c r="AB41" s="69">
        <f>IF(AA41=0,0,IF(IF((S41&gt;=6)*(1-(IF(T41="",-1,T41)&gt;=1)*(IF(T41="",-1,T41)&lt;=3))*(1-(IF(T41="",-1,T41)=0)),IF(C41="peso_corporal",IF(ISNUMBER(E41),E41,0)+R41,R41)*(30+S41)*100+R41,0)=AA41,5,IF(IF((P41&gt;=6)*(1-(IF(Q41="",-1,Q41)&gt;=1)*(IF(Q41="",-1,Q41)&lt;=3))*(1-(IF(Q41="",-1,Q41)=0)),IF(C41="peso_corporal",IF(ISNUMBER(E41),E41,0)+O41,O41)*(30+P41)*100+O41,0)=AA41,4,IF(IF((M41&gt;=6)*(1-(IF(N41="",-1,N41)&gt;=1)*(IF(N41="",-1,N41)&lt;=3))*(1-(IF(N41="",-1,N41)=0)),IF(C41="peso_corporal",IF(ISNUMBER(E41),E41,0)+L41,L41)*(30+M41)*100+L41,0)=AA41,3,IF(IF((J41&gt;=6)*(1-(IF(K41="",-1,K41)&gt;=1)*(IF(K41="",-1,K41)&lt;=3))*(1-(IF(K41="",-1,K41)=0)),IF(C41="peso_corporal",IF(ISNUMBER(E41),E41,0)+I41,I41)*(30+J41)*100+I41,0)=AA41,2,IF(IF((G41&gt;=6)*(1-(IF(H41="",-1,H41)&gt;=1)*(IF(H41="",-1,H41)&lt;=3))*(1-(IF(H41="",-1,H41)=0)),IF(C41="peso_corporal",IF(ISNUMBER(E41),E41,0)+F41,F41)*(30+G41)*100+F41,0)=AA41,1,0))))))</f>
        <v>0</v>
      </c>
      <c r="AC41" s="69" t="str">
        <f>IF(X41&gt;0,"A"&amp;X41,IF(Z41&gt;0,"B"&amp;Z41,IF(AB41&gt;0,"C"&amp;AB41,"")))</f>
        <v/>
      </c>
    </row>
    <row r="42" spans="1:29" ht="20.100000000000001" customHeight="1">
      <c r="A42" s="14" t="s">
        <v>164</v>
      </c>
      <c r="B42" s="15" t="s">
        <v>114</v>
      </c>
      <c r="C42" s="16" t="str">
        <f>IFERROR(INDEX(EJERCICIOS!$D$3:$D$75,MATCH(A42&amp;"|"&amp;B42,EJERCICIOS!$G$3:$G$75,0)),"--")</f>
        <v>polea</v>
      </c>
      <c r="D42" s="17">
        <v>3</v>
      </c>
      <c r="E42" s="18">
        <f>IFERROR(LOOKUP(2,1/(MEDIDAS_Y_PESO!$B$3:$B$4&lt;&gt;""),MEDIDAS_Y_PESO!$B$3:$B$4),"--")</f>
        <v>80</v>
      </c>
      <c r="F42" s="19"/>
      <c r="G42" s="20"/>
      <c r="H42" s="21"/>
      <c r="I42" s="19"/>
      <c r="J42" s="20"/>
      <c r="K42" s="21"/>
      <c r="L42" s="19"/>
      <c r="M42" s="20"/>
      <c r="N42" s="21"/>
      <c r="O42" s="19"/>
      <c r="P42" s="20"/>
      <c r="Q42" s="21"/>
      <c r="R42" s="19"/>
      <c r="S42" s="20"/>
      <c r="T42" s="21"/>
      <c r="U42" s="22" t="str">
        <f>IFERROR(IF(IF(X42&gt;0,X42,IF(Z42&gt;0,Z42,IF(AB42&gt;0,AB42,0)))=0,"--",ROUND(CHOOSE(IF(X42&gt;0,X42,IF(Z42&gt;0,Z42,IF(AB42&gt;0,AB42,0))),IF(C42="peso_corporal",IF(ISNUMBER(E42),E42,0)+F42,F42)*(1+G42/30),IF(C42="peso_corporal",IF(ISNUMBER(E42),E42,0)+I42,I42)*(1+J42/30),IF(C42="peso_corporal",IF(ISNUMBER(E42),E42,0)+L42,L42)*(1+M42/30),IF(C42="peso_corporal",IF(ISNUMBER(E42),E42,0)+O42,O42)*(1+P42/30),IF(C42="peso_corporal",IF(ISNUMBER(E42),E42,0)+R42,R42)*(1+S42/30)),1)),"--")</f>
        <v>--</v>
      </c>
      <c r="V42" s="23" t="str">
        <f>IF(SUGERENCIAS!N108="SIN","Sin datos anteriores",IF(SUGERENCIAS!N108="SUBIR_F","^ SUBIR FUERTE | Kg:"&amp;ROUND(SUGERENCIAS!K108,1)&amp;" R:"&amp;ROUND(SUGERENCIAS!L108,0)&amp;" RIR:"&amp;ROUND(SUGERENCIAS!M108,0),IF(SUGERENCIAS!N108="SUBIR_E","^ SUBIR (Est.) | Kg:"&amp;ROUND(SUGERENCIAS!K108,1)&amp;" R:"&amp;ROUND(SUGERENCIAS!L108,0)&amp;" RIR:"&amp;ROUND(SUGERENCIAS!M108,0),IF(SUGERENCIAS!N108="SUBIR","^ SUBIR | Kg:"&amp;ROUND(SUGERENCIAS!K108,1)&amp;" R:"&amp;ROUND(SUGERENCIAS!L108,0)&amp;" RIR:"&amp;ROUND(SUGERENCIAS!M108,0),IF(SUGERENCIAS!N108="BAJAR","v BAJAR | Kg:"&amp;ROUND(SUGERENCIAS!K108,1)&amp;" R:"&amp;ROUND(SUGERENCIAS!L108,0)&amp;" RIR:"&amp;ROUND(SUGERENCIAS!M108,0),"= MANT | Kg:"&amp;ROUND(SUGERENCIAS!K108,1)&amp;" R:"&amp;ROUND(SUGERENCIAS!L108,0)&amp;" RIR:"&amp;ROUND(SUGERENCIAS!M108,0))))))</f>
        <v>Sin datos anteriores</v>
      </c>
      <c r="W42" s="69">
        <f>MAX(IF((G42&gt;0)*(IF(H42="",-1,H42)&gt;=1)*(IF(H42="",-1,H42)&lt;=3),IF(C42="peso_corporal",IF(ISNUMBER(E42),E42,0)+F42,F42)*G42*1000+F42,0),IF((J42&gt;0)*(IF(K42="",-1,K42)&gt;=1)*(IF(K42="",-1,K42)&lt;=3),IF(C42="peso_corporal",IF(ISNUMBER(E42),E42,0)+I42,I42)*J42*1000+I42,0),IF((M42&gt;0)*(IF(N42="",-1,N42)&gt;=1)*(IF(N42="",-1,N42)&lt;=3),IF(C42="peso_corporal",IF(ISNUMBER(E42),E42,0)+L42,L42)*M42*1000+L42,0),IF((P42&gt;0)*(IF(Q42="",-1,Q42)&gt;=1)*(IF(Q42="",-1,Q42)&lt;=3),IF(C42="peso_corporal",IF(ISNUMBER(E42),E42,0)+O42,O42)*P42*1000+O42,0),IF((S42&gt;0)*(IF(T42="",-1,T42)&gt;=1)*(IF(T42="",-1,T42)&lt;=3),IF(C42="peso_corporal",IF(ISNUMBER(E42),E42,0)+R42,R42)*S42*1000+R42,0))</f>
        <v>0</v>
      </c>
      <c r="X42" s="69">
        <f>IF(W42=0,0,IF(IF((S42&gt;0)*(IF(T42="",-1,T42)&gt;=1)*(IF(T42="",-1,T42)&lt;=3),IF(C42="peso_corporal",IF(ISNUMBER(E42),E42,0)+R42,R42)*S42*1000+R42,0)=W42,5,IF(IF((P42&gt;0)*(IF(Q42="",-1,Q42)&gt;=1)*(IF(Q42="",-1,Q42)&lt;=3),IF(C42="peso_corporal",IF(ISNUMBER(E42),E42,0)+O42,O42)*P42*1000+O42,0)=W42,4,IF(IF((M42&gt;0)*(IF(N42="",-1,N42)&gt;=1)*(IF(N42="",-1,N42)&lt;=3),IF(C42="peso_corporal",IF(ISNUMBER(E42),E42,0)+L42,L42)*M42*1000+L42,0)=W42,3,IF(IF((J42&gt;0)*(IF(K42="",-1,K42)&gt;=1)*(IF(K42="",-1,K42)&lt;=3),IF(C42="peso_corporal",IF(ISNUMBER(E42),E42,0)+I42,I42)*J42*1000+I42,0)=W42,2,IF(IF((G42&gt;0)*(IF(H42="",-1,H42)&gt;=1)*(IF(H42="",-1,H42)&lt;=3),IF(C42="peso_corporal",IF(ISNUMBER(E42),E42,0)+F42,F42)*G42*1000+F42,0)=W42,1,0))))))</f>
        <v>0</v>
      </c>
      <c r="Y42" s="69">
        <f>MAX(IF((G42&gt;0)*(IF(H42="",-1,H42)=0)*(1-(IF(H42="",-1,H42)&gt;=1)*(IF(H42="",-1,H42)&lt;=3)),IF(C42="peso_corporal",IF(ISNUMBER(E42),E42,0)+F42,F42)*G42*1000+F42,0),IF((J42&gt;0)*(IF(K42="",-1,K42)=0)*(1-(IF(K42="",-1,K42)&gt;=1)*(IF(K42="",-1,K42)&lt;=3)),IF(C42="peso_corporal",IF(ISNUMBER(E42),E42,0)+I42,I42)*J42*1000+I42,0),IF((M42&gt;0)*(IF(N42="",-1,N42)=0)*(1-(IF(N42="",-1,N42)&gt;=1)*(IF(N42="",-1,N42)&lt;=3)),IF(C42="peso_corporal",IF(ISNUMBER(E42),E42,0)+L42,L42)*M42*1000+L42,0),IF((P42&gt;0)*(IF(Q42="",-1,Q42)=0)*(1-(IF(Q42="",-1,Q42)&gt;=1)*(IF(Q42="",-1,Q42)&lt;=3)),IF(C42="peso_corporal",IF(ISNUMBER(E42),E42,0)+O42,O42)*P42*1000+O42,0),IF((S42&gt;0)*(IF(T42="",-1,T42)=0)*(1-(IF(T42="",-1,T42)&gt;=1)*(IF(T42="",-1,T42)&lt;=3)),IF(C42="peso_corporal",IF(ISNUMBER(E42),E42,0)+R42,R42)*S42*1000+R42,0))</f>
        <v>0</v>
      </c>
      <c r="Z42" s="69">
        <f>IF(Y42=0,0,IF(IF((S42&gt;0)*(IF(T42="",-1,T42)=0)*(1-(IF(T42="",-1,T42)&gt;=1)*(IF(T42="",-1,T42)&lt;=3)),IF(C42="peso_corporal",IF(ISNUMBER(E42),E42,0)+R42,R42)*S42*1000+R42,0)=Y42,5,IF(IF((P42&gt;0)*(IF(Q42="",-1,Q42)=0)*(1-(IF(Q42="",-1,Q42)&gt;=1)*(IF(Q42="",-1,Q42)&lt;=3)),IF(C42="peso_corporal",IF(ISNUMBER(E42),E42,0)+O42,O42)*P42*1000+O42,0)=Y42,4,IF(IF((M42&gt;0)*(IF(N42="",-1,N42)=0)*(1-(IF(N42="",-1,N42)&gt;=1)*(IF(N42="",-1,N42)&lt;=3)),IF(C42="peso_corporal",IF(ISNUMBER(E42),E42,0)+L42,L42)*M42*1000+L42,0)=Y42,3,IF(IF((J42&gt;0)*(IF(K42="",-1,K42)=0)*(1-(IF(K42="",-1,K42)&gt;=1)*(IF(K42="",-1,K42)&lt;=3)),IF(C42="peso_corporal",IF(ISNUMBER(E42),E42,0)+I42,I42)*J42*1000+I42,0)=Y42,2,IF(IF((G42&gt;0)*(IF(H42="",-1,H42)=0)*(1-(IF(H42="",-1,H42)&gt;=1)*(IF(H42="",-1,H42)&lt;=3)),IF(C42="peso_corporal",IF(ISNUMBER(E42),E42,0)+F42,F42)*G42*1000+F42,0)=Y42,1,0))))))</f>
        <v>0</v>
      </c>
      <c r="AA42" s="69">
        <f>MAX(IF((G42&gt;=6)*(1-(IF(H42="",-1,H42)&gt;=1)*(IF(H42="",-1,H42)&lt;=3))*(1-(IF(H42="",-1,H42)=0)),IF(C42="peso_corporal",IF(ISNUMBER(E42),E42,0)+F42,F42)*(30+G42)*100+F42,0),IF((J42&gt;=6)*(1-(IF(K42="",-1,K42)&gt;=1)*(IF(K42="",-1,K42)&lt;=3))*(1-(IF(K42="",-1,K42)=0)),IF(C42="peso_corporal",IF(ISNUMBER(E42),E42,0)+I42,I42)*(30+J42)*100+I42,0),IF((M42&gt;=6)*(1-(IF(N42="",-1,N42)&gt;=1)*(IF(N42="",-1,N42)&lt;=3))*(1-(IF(N42="",-1,N42)=0)),IF(C42="peso_corporal",IF(ISNUMBER(E42),E42,0)+L42,L42)*(30+M42)*100+L42,0),IF((P42&gt;=6)*(1-(IF(Q42="",-1,Q42)&gt;=1)*(IF(Q42="",-1,Q42)&lt;=3))*(1-(IF(Q42="",-1,Q42)=0)),IF(C42="peso_corporal",IF(ISNUMBER(E42),E42,0)+O42,O42)*(30+P42)*100+O42,0),IF((S42&gt;=6)*(1-(IF(T42="",-1,T42)&gt;=1)*(IF(T42="",-1,T42)&lt;=3))*(1-(IF(T42="",-1,T42)=0)),IF(C42="peso_corporal",IF(ISNUMBER(E42),E42,0)+R42,R42)*(30+S42)*100+R42,0))</f>
        <v>0</v>
      </c>
      <c r="AB42" s="69">
        <f>IF(AA42=0,0,IF(IF((S42&gt;=6)*(1-(IF(T42="",-1,T42)&gt;=1)*(IF(T42="",-1,T42)&lt;=3))*(1-(IF(T42="",-1,T42)=0)),IF(C42="peso_corporal",IF(ISNUMBER(E42),E42,0)+R42,R42)*(30+S42)*100+R42,0)=AA42,5,IF(IF((P42&gt;=6)*(1-(IF(Q42="",-1,Q42)&gt;=1)*(IF(Q42="",-1,Q42)&lt;=3))*(1-(IF(Q42="",-1,Q42)=0)),IF(C42="peso_corporal",IF(ISNUMBER(E42),E42,0)+O42,O42)*(30+P42)*100+O42,0)=AA42,4,IF(IF((M42&gt;=6)*(1-(IF(N42="",-1,N42)&gt;=1)*(IF(N42="",-1,N42)&lt;=3))*(1-(IF(N42="",-1,N42)=0)),IF(C42="peso_corporal",IF(ISNUMBER(E42),E42,0)+L42,L42)*(30+M42)*100+L42,0)=AA42,3,IF(IF((J42&gt;=6)*(1-(IF(K42="",-1,K42)&gt;=1)*(IF(K42="",-1,K42)&lt;=3))*(1-(IF(K42="",-1,K42)=0)),IF(C42="peso_corporal",IF(ISNUMBER(E42),E42,0)+I42,I42)*(30+J42)*100+I42,0)=AA42,2,IF(IF((G42&gt;=6)*(1-(IF(H42="",-1,H42)&gt;=1)*(IF(H42="",-1,H42)&lt;=3))*(1-(IF(H42="",-1,H42)=0)),IF(C42="peso_corporal",IF(ISNUMBER(E42),E42,0)+F42,F42)*(30+G42)*100+F42,0)=AA42,1,0))))))</f>
        <v>0</v>
      </c>
      <c r="AC42" s="69" t="str">
        <f>IF(X42&gt;0,"A"&amp;X42,IF(Z42&gt;0,"B"&amp;Z42,IF(AB42&gt;0,"C"&amp;AB42,"")))</f>
        <v/>
      </c>
    </row>
    <row r="43" spans="1:29" ht="15" customHeight="1">
      <c r="A43" s="75" t="s">
        <v>28</v>
      </c>
      <c r="B43" s="73"/>
      <c r="C43" s="73"/>
      <c r="D43" s="73"/>
      <c r="E43" s="73"/>
      <c r="F43" s="73"/>
      <c r="G43" s="73"/>
      <c r="H43" s="73"/>
      <c r="I43" s="73"/>
      <c r="J43" s="73"/>
      <c r="K43" s="73"/>
      <c r="L43" s="73"/>
      <c r="M43" s="73"/>
      <c r="N43" s="73"/>
      <c r="O43" s="73"/>
      <c r="P43" s="73"/>
      <c r="Q43" s="73"/>
      <c r="R43" s="73"/>
      <c r="S43" s="73"/>
      <c r="T43" s="73"/>
      <c r="U43" s="73"/>
      <c r="V43" s="73"/>
      <c r="W43" s="69"/>
      <c r="X43" s="69"/>
      <c r="Y43" s="69"/>
      <c r="Z43" s="69"/>
      <c r="AA43" s="69"/>
      <c r="AB43" s="69"/>
      <c r="AC43" s="69"/>
    </row>
    <row r="44" spans="1:29" ht="11.1" customHeight="1">
      <c r="A44" s="76" t="s">
        <v>29</v>
      </c>
      <c r="B44" s="73"/>
      <c r="C44" s="73"/>
      <c r="D44" s="73"/>
      <c r="E44" s="73"/>
      <c r="F44" s="73"/>
      <c r="G44" s="73"/>
      <c r="H44" s="73"/>
      <c r="I44" s="73"/>
      <c r="J44" s="73"/>
      <c r="K44" s="73"/>
      <c r="L44" s="73"/>
      <c r="M44" s="73"/>
      <c r="N44" s="73"/>
      <c r="O44" s="73"/>
      <c r="P44" s="73"/>
      <c r="Q44" s="73"/>
      <c r="R44" s="73"/>
      <c r="S44" s="73"/>
      <c r="T44" s="73"/>
      <c r="U44" s="73"/>
      <c r="V44" s="73"/>
      <c r="W44" s="69"/>
      <c r="X44" s="69"/>
      <c r="Y44" s="69"/>
      <c r="Z44" s="69"/>
      <c r="AA44" s="69"/>
      <c r="AB44" s="69"/>
      <c r="AC44" s="69"/>
    </row>
    <row r="45" spans="1:29" ht="20.100000000000001" customHeight="1">
      <c r="A45" s="14" t="s">
        <v>30</v>
      </c>
      <c r="B45" s="15" t="s">
        <v>93</v>
      </c>
      <c r="C45" s="16" t="str">
        <f>IFERROR(INDEX(EJERCICIOS!$D$3:$D$75,MATCH(A45&amp;"|"&amp;B45,EJERCICIOS!$G$3:$G$75,0)),"--")</f>
        <v>disco</v>
      </c>
      <c r="D45" s="17">
        <v>3</v>
      </c>
      <c r="E45" s="18">
        <f>IFERROR(LOOKUP(2,1/(MEDIDAS_Y_PESO!$B$3:$B$4&lt;&gt;""),MEDIDAS_Y_PESO!$B$3:$B$4),"--")</f>
        <v>80</v>
      </c>
      <c r="F45" s="19"/>
      <c r="G45" s="20"/>
      <c r="H45" s="21"/>
      <c r="I45" s="19"/>
      <c r="J45" s="20"/>
      <c r="K45" s="21"/>
      <c r="L45" s="19"/>
      <c r="M45" s="20"/>
      <c r="N45" s="21"/>
      <c r="O45" s="19"/>
      <c r="P45" s="20"/>
      <c r="Q45" s="21"/>
      <c r="R45" s="19"/>
      <c r="S45" s="20"/>
      <c r="T45" s="21"/>
      <c r="U45" s="22" t="str">
        <f>IFERROR(IF(IF(X45&gt;0,X45,IF(Z45&gt;0,Z45,IF(AB45&gt;0,AB45,0)))=0,"--",ROUND(CHOOSE(IF(X45&gt;0,X45,IF(Z45&gt;0,Z45,IF(AB45&gt;0,AB45,0))),IF(C45="peso_corporal",IF(ISNUMBER(E45),E45,0)+F45,F45)*(1+G45/30),IF(C45="peso_corporal",IF(ISNUMBER(E45),E45,0)+I45,I45)*(1+J45/30),IF(C45="peso_corporal",IF(ISNUMBER(E45),E45,0)+L45,L45)*(1+M45/30),IF(C45="peso_corporal",IF(ISNUMBER(E45),E45,0)+O45,O45)*(1+P45/30),IF(C45="peso_corporal",IF(ISNUMBER(E45),E45,0)+R45,R45)*(1+S45/30)),1)),"--")</f>
        <v>--</v>
      </c>
      <c r="V45" s="23" t="str">
        <f>IF(SUGERENCIAS!N109="SIN","Sin datos anteriores",IF(SUGERENCIAS!N109="SUBIR_F","^ SUBIR FUERTE | Kg:"&amp;ROUND(SUGERENCIAS!K109,1)&amp;" R:"&amp;ROUND(SUGERENCIAS!L109,0)&amp;" RIR:"&amp;ROUND(SUGERENCIAS!M109,0),IF(SUGERENCIAS!N109="SUBIR_E","^ SUBIR (Est.) | Kg:"&amp;ROUND(SUGERENCIAS!K109,1)&amp;" R:"&amp;ROUND(SUGERENCIAS!L109,0)&amp;" RIR:"&amp;ROUND(SUGERENCIAS!M109,0),IF(SUGERENCIAS!N109="SUBIR","^ SUBIR | Kg:"&amp;ROUND(SUGERENCIAS!K109,1)&amp;" R:"&amp;ROUND(SUGERENCIAS!L109,0)&amp;" RIR:"&amp;ROUND(SUGERENCIAS!M109,0),IF(SUGERENCIAS!N109="BAJAR","v BAJAR | Kg:"&amp;ROUND(SUGERENCIAS!K109,1)&amp;" R:"&amp;ROUND(SUGERENCIAS!L109,0)&amp;" RIR:"&amp;ROUND(SUGERENCIAS!M109,0),"= MANT | Kg:"&amp;ROUND(SUGERENCIAS!K109,1)&amp;" R:"&amp;ROUND(SUGERENCIAS!L109,0)&amp;" RIR:"&amp;ROUND(SUGERENCIAS!M109,0))))))</f>
        <v>Sin datos anteriores</v>
      </c>
      <c r="W45" s="69">
        <f>MAX(IF((G45&gt;0)*(IF(H45="",-1,H45)&gt;=1)*(IF(H45="",-1,H45)&lt;=3),IF(C45="peso_corporal",IF(ISNUMBER(E45),E45,0)+F45,F45)*G45*1000+F45,0),IF((J45&gt;0)*(IF(K45="",-1,K45)&gt;=1)*(IF(K45="",-1,K45)&lt;=3),IF(C45="peso_corporal",IF(ISNUMBER(E45),E45,0)+I45,I45)*J45*1000+I45,0),IF((M45&gt;0)*(IF(N45="",-1,N45)&gt;=1)*(IF(N45="",-1,N45)&lt;=3),IF(C45="peso_corporal",IF(ISNUMBER(E45),E45,0)+L45,L45)*M45*1000+L45,0),IF((P45&gt;0)*(IF(Q45="",-1,Q45)&gt;=1)*(IF(Q45="",-1,Q45)&lt;=3),IF(C45="peso_corporal",IF(ISNUMBER(E45),E45,0)+O45,O45)*P45*1000+O45,0),IF((S45&gt;0)*(IF(T45="",-1,T45)&gt;=1)*(IF(T45="",-1,T45)&lt;=3),IF(C45="peso_corporal",IF(ISNUMBER(E45),E45,0)+R45,R45)*S45*1000+R45,0))</f>
        <v>0</v>
      </c>
      <c r="X45" s="69">
        <f>IF(W45=0,0,IF(IF((S45&gt;0)*(IF(T45="",-1,T45)&gt;=1)*(IF(T45="",-1,T45)&lt;=3),IF(C45="peso_corporal",IF(ISNUMBER(E45),E45,0)+R45,R45)*S45*1000+R45,0)=W45,5,IF(IF((P45&gt;0)*(IF(Q45="",-1,Q45)&gt;=1)*(IF(Q45="",-1,Q45)&lt;=3),IF(C45="peso_corporal",IF(ISNUMBER(E45),E45,0)+O45,O45)*P45*1000+O45,0)=W45,4,IF(IF((M45&gt;0)*(IF(N45="",-1,N45)&gt;=1)*(IF(N45="",-1,N45)&lt;=3),IF(C45="peso_corporal",IF(ISNUMBER(E45),E45,0)+L45,L45)*M45*1000+L45,0)=W45,3,IF(IF((J45&gt;0)*(IF(K45="",-1,K45)&gt;=1)*(IF(K45="",-1,K45)&lt;=3),IF(C45="peso_corporal",IF(ISNUMBER(E45),E45,0)+I45,I45)*J45*1000+I45,0)=W45,2,IF(IF((G45&gt;0)*(IF(H45="",-1,H45)&gt;=1)*(IF(H45="",-1,H45)&lt;=3),IF(C45="peso_corporal",IF(ISNUMBER(E45),E45,0)+F45,F45)*G45*1000+F45,0)=W45,1,0))))))</f>
        <v>0</v>
      </c>
      <c r="Y45" s="69">
        <f>MAX(IF((G45&gt;0)*(IF(H45="",-1,H45)=0)*(1-(IF(H45="",-1,H45)&gt;=1)*(IF(H45="",-1,H45)&lt;=3)),IF(C45="peso_corporal",IF(ISNUMBER(E45),E45,0)+F45,F45)*G45*1000+F45,0),IF((J45&gt;0)*(IF(K45="",-1,K45)=0)*(1-(IF(K45="",-1,K45)&gt;=1)*(IF(K45="",-1,K45)&lt;=3)),IF(C45="peso_corporal",IF(ISNUMBER(E45),E45,0)+I45,I45)*J45*1000+I45,0),IF((M45&gt;0)*(IF(N45="",-1,N45)=0)*(1-(IF(N45="",-1,N45)&gt;=1)*(IF(N45="",-1,N45)&lt;=3)),IF(C45="peso_corporal",IF(ISNUMBER(E45),E45,0)+L45,L45)*M45*1000+L45,0),IF((P45&gt;0)*(IF(Q45="",-1,Q45)=0)*(1-(IF(Q45="",-1,Q45)&gt;=1)*(IF(Q45="",-1,Q45)&lt;=3)),IF(C45="peso_corporal",IF(ISNUMBER(E45),E45,0)+O45,O45)*P45*1000+O45,0),IF((S45&gt;0)*(IF(T45="",-1,T45)=0)*(1-(IF(T45="",-1,T45)&gt;=1)*(IF(T45="",-1,T45)&lt;=3)),IF(C45="peso_corporal",IF(ISNUMBER(E45),E45,0)+R45,R45)*S45*1000+R45,0))</f>
        <v>0</v>
      </c>
      <c r="Z45" s="69">
        <f>IF(Y45=0,0,IF(IF((S45&gt;0)*(IF(T45="",-1,T45)=0)*(1-(IF(T45="",-1,T45)&gt;=1)*(IF(T45="",-1,T45)&lt;=3)),IF(C45="peso_corporal",IF(ISNUMBER(E45),E45,0)+R45,R45)*S45*1000+R45,0)=Y45,5,IF(IF((P45&gt;0)*(IF(Q45="",-1,Q45)=0)*(1-(IF(Q45="",-1,Q45)&gt;=1)*(IF(Q45="",-1,Q45)&lt;=3)),IF(C45="peso_corporal",IF(ISNUMBER(E45),E45,0)+O45,O45)*P45*1000+O45,0)=Y45,4,IF(IF((M45&gt;0)*(IF(N45="",-1,N45)=0)*(1-(IF(N45="",-1,N45)&gt;=1)*(IF(N45="",-1,N45)&lt;=3)),IF(C45="peso_corporal",IF(ISNUMBER(E45),E45,0)+L45,L45)*M45*1000+L45,0)=Y45,3,IF(IF((J45&gt;0)*(IF(K45="",-1,K45)=0)*(1-(IF(K45="",-1,K45)&gt;=1)*(IF(K45="",-1,K45)&lt;=3)),IF(C45="peso_corporal",IF(ISNUMBER(E45),E45,0)+I45,I45)*J45*1000+I45,0)=Y45,2,IF(IF((G45&gt;0)*(IF(H45="",-1,H45)=0)*(1-(IF(H45="",-1,H45)&gt;=1)*(IF(H45="",-1,H45)&lt;=3)),IF(C45="peso_corporal",IF(ISNUMBER(E45),E45,0)+F45,F45)*G45*1000+F45,0)=Y45,1,0))))))</f>
        <v>0</v>
      </c>
      <c r="AA45" s="69">
        <f>MAX(IF((G45&gt;=6)*(1-(IF(H45="",-1,H45)&gt;=1)*(IF(H45="",-1,H45)&lt;=3))*(1-(IF(H45="",-1,H45)=0)),IF(C45="peso_corporal",IF(ISNUMBER(E45),E45,0)+F45,F45)*(30+G45)*100+F45,0),IF((J45&gt;=6)*(1-(IF(K45="",-1,K45)&gt;=1)*(IF(K45="",-1,K45)&lt;=3))*(1-(IF(K45="",-1,K45)=0)),IF(C45="peso_corporal",IF(ISNUMBER(E45),E45,0)+I45,I45)*(30+J45)*100+I45,0),IF((M45&gt;=6)*(1-(IF(N45="",-1,N45)&gt;=1)*(IF(N45="",-1,N45)&lt;=3))*(1-(IF(N45="",-1,N45)=0)),IF(C45="peso_corporal",IF(ISNUMBER(E45),E45,0)+L45,L45)*(30+M45)*100+L45,0),IF((P45&gt;=6)*(1-(IF(Q45="",-1,Q45)&gt;=1)*(IF(Q45="",-1,Q45)&lt;=3))*(1-(IF(Q45="",-1,Q45)=0)),IF(C45="peso_corporal",IF(ISNUMBER(E45),E45,0)+O45,O45)*(30+P45)*100+O45,0),IF((S45&gt;=6)*(1-(IF(T45="",-1,T45)&gt;=1)*(IF(T45="",-1,T45)&lt;=3))*(1-(IF(T45="",-1,T45)=0)),IF(C45="peso_corporal",IF(ISNUMBER(E45),E45,0)+R45,R45)*(30+S45)*100+R45,0))</f>
        <v>0</v>
      </c>
      <c r="AB45" s="69">
        <f>IF(AA45=0,0,IF(IF((S45&gt;=6)*(1-(IF(T45="",-1,T45)&gt;=1)*(IF(T45="",-1,T45)&lt;=3))*(1-(IF(T45="",-1,T45)=0)),IF(C45="peso_corporal",IF(ISNUMBER(E45),E45,0)+R45,R45)*(30+S45)*100+R45,0)=AA45,5,IF(IF((P45&gt;=6)*(1-(IF(Q45="",-1,Q45)&gt;=1)*(IF(Q45="",-1,Q45)&lt;=3))*(1-(IF(Q45="",-1,Q45)=0)),IF(C45="peso_corporal",IF(ISNUMBER(E45),E45,0)+O45,O45)*(30+P45)*100+O45,0)=AA45,4,IF(IF((M45&gt;=6)*(1-(IF(N45="",-1,N45)&gt;=1)*(IF(N45="",-1,N45)&lt;=3))*(1-(IF(N45="",-1,N45)=0)),IF(C45="peso_corporal",IF(ISNUMBER(E45),E45,0)+L45,L45)*(30+M45)*100+L45,0)=AA45,3,IF(IF((J45&gt;=6)*(1-(IF(K45="",-1,K45)&gt;=1)*(IF(K45="",-1,K45)&lt;=3))*(1-(IF(K45="",-1,K45)=0)),IF(C45="peso_corporal",IF(ISNUMBER(E45),E45,0)+I45,I45)*(30+J45)*100+I45,0)=AA45,2,IF(IF((G45&gt;=6)*(1-(IF(H45="",-1,H45)&gt;=1)*(IF(H45="",-1,H45)&lt;=3))*(1-(IF(H45="",-1,H45)=0)),IF(C45="peso_corporal",IF(ISNUMBER(E45),E45,0)+F45,F45)*(30+G45)*100+F45,0)=AA45,1,0))))))</f>
        <v>0</v>
      </c>
      <c r="AC45" s="69" t="str">
        <f>IF(X45&gt;0,"A"&amp;X45,IF(Z45&gt;0,"B"&amp;Z45,IF(AB45&gt;0,"C"&amp;AB45,"")))</f>
        <v/>
      </c>
    </row>
    <row r="46" spans="1:29" ht="11.1" customHeight="1">
      <c r="A46" s="84" t="s">
        <v>32</v>
      </c>
      <c r="B46" s="73"/>
      <c r="C46" s="73"/>
      <c r="D46" s="73"/>
      <c r="E46" s="73"/>
      <c r="F46" s="73"/>
      <c r="G46" s="73"/>
      <c r="H46" s="73"/>
      <c r="I46" s="73"/>
      <c r="J46" s="73"/>
      <c r="K46" s="73"/>
      <c r="L46" s="73"/>
      <c r="M46" s="73"/>
      <c r="N46" s="73"/>
      <c r="O46" s="73"/>
      <c r="P46" s="73"/>
      <c r="Q46" s="73"/>
      <c r="R46" s="73"/>
      <c r="S46" s="73"/>
      <c r="T46" s="73"/>
      <c r="U46" s="73"/>
      <c r="V46" s="73"/>
      <c r="W46" s="69"/>
      <c r="X46" s="69"/>
      <c r="Y46" s="69"/>
      <c r="Z46" s="69"/>
      <c r="AA46" s="69"/>
      <c r="AB46" s="69"/>
      <c r="AC46" s="69"/>
    </row>
    <row r="47" spans="1:29" ht="20.100000000000001" customHeight="1">
      <c r="A47" s="14" t="s">
        <v>61</v>
      </c>
      <c r="B47" s="15" t="s">
        <v>93</v>
      </c>
      <c r="C47" s="16" t="str">
        <f>IFERROR(INDEX(EJERCICIOS!$D$3:$D$75,MATCH(A47&amp;"|"&amp;B47,EJERCICIOS!$G$3:$G$75,0)),"--")</f>
        <v>disco</v>
      </c>
      <c r="D47" s="17">
        <v>3</v>
      </c>
      <c r="E47" s="18">
        <f>IFERROR(LOOKUP(2,1/(MEDIDAS_Y_PESO!$B$3:$B$4&lt;&gt;""),MEDIDAS_Y_PESO!$B$3:$B$4),"--")</f>
        <v>80</v>
      </c>
      <c r="F47" s="19"/>
      <c r="G47" s="20"/>
      <c r="H47" s="21"/>
      <c r="I47" s="19"/>
      <c r="J47" s="20"/>
      <c r="K47" s="21"/>
      <c r="L47" s="19"/>
      <c r="M47" s="20"/>
      <c r="N47" s="21"/>
      <c r="O47" s="19"/>
      <c r="P47" s="20"/>
      <c r="Q47" s="21"/>
      <c r="R47" s="19"/>
      <c r="S47" s="20"/>
      <c r="T47" s="21"/>
      <c r="U47" s="22" t="str">
        <f>IFERROR(IF(IF(X47&gt;0,X47,IF(Z47&gt;0,Z47,IF(AB47&gt;0,AB47,0)))=0,"--",ROUND(CHOOSE(IF(X47&gt;0,X47,IF(Z47&gt;0,Z47,IF(AB47&gt;0,AB47,0))),IF(C47="peso_corporal",IF(ISNUMBER(E47),E47,0)+F47,F47)*(1+G47/30),IF(C47="peso_corporal",IF(ISNUMBER(E47),E47,0)+I47,I47)*(1+J47/30),IF(C47="peso_corporal",IF(ISNUMBER(E47),E47,0)+L47,L47)*(1+M47/30),IF(C47="peso_corporal",IF(ISNUMBER(E47),E47,0)+O47,O47)*(1+P47/30),IF(C47="peso_corporal",IF(ISNUMBER(E47),E47,0)+R47,R47)*(1+S47/30)),1)),"--")</f>
        <v>--</v>
      </c>
      <c r="V47" s="23" t="str">
        <f>IF(SUGERENCIAS!N110="SIN","Sin datos anteriores",IF(SUGERENCIAS!N110="SUBIR_F","^ SUBIR FUERTE | Kg:"&amp;ROUND(SUGERENCIAS!K110,1)&amp;" R:"&amp;ROUND(SUGERENCIAS!L110,0)&amp;" RIR:"&amp;ROUND(SUGERENCIAS!M110,0),IF(SUGERENCIAS!N110="SUBIR_E","^ SUBIR (Est.) | Kg:"&amp;ROUND(SUGERENCIAS!K110,1)&amp;" R:"&amp;ROUND(SUGERENCIAS!L110,0)&amp;" RIR:"&amp;ROUND(SUGERENCIAS!M110,0),IF(SUGERENCIAS!N110="SUBIR","^ SUBIR | Kg:"&amp;ROUND(SUGERENCIAS!K110,1)&amp;" R:"&amp;ROUND(SUGERENCIAS!L110,0)&amp;" RIR:"&amp;ROUND(SUGERENCIAS!M110,0),IF(SUGERENCIAS!N110="BAJAR","v BAJAR | Kg:"&amp;ROUND(SUGERENCIAS!K110,1)&amp;" R:"&amp;ROUND(SUGERENCIAS!L110,0)&amp;" RIR:"&amp;ROUND(SUGERENCIAS!M110,0),"= MANT | Kg:"&amp;ROUND(SUGERENCIAS!K110,1)&amp;" R:"&amp;ROUND(SUGERENCIAS!L110,0)&amp;" RIR:"&amp;ROUND(SUGERENCIAS!M110,0))))))</f>
        <v>Sin datos anteriores</v>
      </c>
      <c r="W47" s="69">
        <f>MAX(IF((G47&gt;0)*(IF(H47="",-1,H47)&gt;=1)*(IF(H47="",-1,H47)&lt;=3),IF(C47="peso_corporal",IF(ISNUMBER(E47),E47,0)+F47,F47)*G47*1000+F47,0),IF((J47&gt;0)*(IF(K47="",-1,K47)&gt;=1)*(IF(K47="",-1,K47)&lt;=3),IF(C47="peso_corporal",IF(ISNUMBER(E47),E47,0)+I47,I47)*J47*1000+I47,0),IF((M47&gt;0)*(IF(N47="",-1,N47)&gt;=1)*(IF(N47="",-1,N47)&lt;=3),IF(C47="peso_corporal",IF(ISNUMBER(E47),E47,0)+L47,L47)*M47*1000+L47,0),IF((P47&gt;0)*(IF(Q47="",-1,Q47)&gt;=1)*(IF(Q47="",-1,Q47)&lt;=3),IF(C47="peso_corporal",IF(ISNUMBER(E47),E47,0)+O47,O47)*P47*1000+O47,0),IF((S47&gt;0)*(IF(T47="",-1,T47)&gt;=1)*(IF(T47="",-1,T47)&lt;=3),IF(C47="peso_corporal",IF(ISNUMBER(E47),E47,0)+R47,R47)*S47*1000+R47,0))</f>
        <v>0</v>
      </c>
      <c r="X47" s="69">
        <f>IF(W47=0,0,IF(IF((S47&gt;0)*(IF(T47="",-1,T47)&gt;=1)*(IF(T47="",-1,T47)&lt;=3),IF(C47="peso_corporal",IF(ISNUMBER(E47),E47,0)+R47,R47)*S47*1000+R47,0)=W47,5,IF(IF((P47&gt;0)*(IF(Q47="",-1,Q47)&gt;=1)*(IF(Q47="",-1,Q47)&lt;=3),IF(C47="peso_corporal",IF(ISNUMBER(E47),E47,0)+O47,O47)*P47*1000+O47,0)=W47,4,IF(IF((M47&gt;0)*(IF(N47="",-1,N47)&gt;=1)*(IF(N47="",-1,N47)&lt;=3),IF(C47="peso_corporal",IF(ISNUMBER(E47),E47,0)+L47,L47)*M47*1000+L47,0)=W47,3,IF(IF((J47&gt;0)*(IF(K47="",-1,K47)&gt;=1)*(IF(K47="",-1,K47)&lt;=3),IF(C47="peso_corporal",IF(ISNUMBER(E47),E47,0)+I47,I47)*J47*1000+I47,0)=W47,2,IF(IF((G47&gt;0)*(IF(H47="",-1,H47)&gt;=1)*(IF(H47="",-1,H47)&lt;=3),IF(C47="peso_corporal",IF(ISNUMBER(E47),E47,0)+F47,F47)*G47*1000+F47,0)=W47,1,0))))))</f>
        <v>0</v>
      </c>
      <c r="Y47" s="69">
        <f>MAX(IF((G47&gt;0)*(IF(H47="",-1,H47)=0)*(1-(IF(H47="",-1,H47)&gt;=1)*(IF(H47="",-1,H47)&lt;=3)),IF(C47="peso_corporal",IF(ISNUMBER(E47),E47,0)+F47,F47)*G47*1000+F47,0),IF((J47&gt;0)*(IF(K47="",-1,K47)=0)*(1-(IF(K47="",-1,K47)&gt;=1)*(IF(K47="",-1,K47)&lt;=3)),IF(C47="peso_corporal",IF(ISNUMBER(E47),E47,0)+I47,I47)*J47*1000+I47,0),IF((M47&gt;0)*(IF(N47="",-1,N47)=0)*(1-(IF(N47="",-1,N47)&gt;=1)*(IF(N47="",-1,N47)&lt;=3)),IF(C47="peso_corporal",IF(ISNUMBER(E47),E47,0)+L47,L47)*M47*1000+L47,0),IF((P47&gt;0)*(IF(Q47="",-1,Q47)=0)*(1-(IF(Q47="",-1,Q47)&gt;=1)*(IF(Q47="",-1,Q47)&lt;=3)),IF(C47="peso_corporal",IF(ISNUMBER(E47),E47,0)+O47,O47)*P47*1000+O47,0),IF((S47&gt;0)*(IF(T47="",-1,T47)=0)*(1-(IF(T47="",-1,T47)&gt;=1)*(IF(T47="",-1,T47)&lt;=3)),IF(C47="peso_corporal",IF(ISNUMBER(E47),E47,0)+R47,R47)*S47*1000+R47,0))</f>
        <v>0</v>
      </c>
      <c r="Z47" s="69">
        <f>IF(Y47=0,0,IF(IF((S47&gt;0)*(IF(T47="",-1,T47)=0)*(1-(IF(T47="",-1,T47)&gt;=1)*(IF(T47="",-1,T47)&lt;=3)),IF(C47="peso_corporal",IF(ISNUMBER(E47),E47,0)+R47,R47)*S47*1000+R47,0)=Y47,5,IF(IF((P47&gt;0)*(IF(Q47="",-1,Q47)=0)*(1-(IF(Q47="",-1,Q47)&gt;=1)*(IF(Q47="",-1,Q47)&lt;=3)),IF(C47="peso_corporal",IF(ISNUMBER(E47),E47,0)+O47,O47)*P47*1000+O47,0)=Y47,4,IF(IF((M47&gt;0)*(IF(N47="",-1,N47)=0)*(1-(IF(N47="",-1,N47)&gt;=1)*(IF(N47="",-1,N47)&lt;=3)),IF(C47="peso_corporal",IF(ISNUMBER(E47),E47,0)+L47,L47)*M47*1000+L47,0)=Y47,3,IF(IF((J47&gt;0)*(IF(K47="",-1,K47)=0)*(1-(IF(K47="",-1,K47)&gt;=1)*(IF(K47="",-1,K47)&lt;=3)),IF(C47="peso_corporal",IF(ISNUMBER(E47),E47,0)+I47,I47)*J47*1000+I47,0)=Y47,2,IF(IF((G47&gt;0)*(IF(H47="",-1,H47)=0)*(1-(IF(H47="",-1,H47)&gt;=1)*(IF(H47="",-1,H47)&lt;=3)),IF(C47="peso_corporal",IF(ISNUMBER(E47),E47,0)+F47,F47)*G47*1000+F47,0)=Y47,1,0))))))</f>
        <v>0</v>
      </c>
      <c r="AA47" s="69">
        <f>MAX(IF((G47&gt;=6)*(1-(IF(H47="",-1,H47)&gt;=1)*(IF(H47="",-1,H47)&lt;=3))*(1-(IF(H47="",-1,H47)=0)),IF(C47="peso_corporal",IF(ISNUMBER(E47),E47,0)+F47,F47)*(30+G47)*100+F47,0),IF((J47&gt;=6)*(1-(IF(K47="",-1,K47)&gt;=1)*(IF(K47="",-1,K47)&lt;=3))*(1-(IF(K47="",-1,K47)=0)),IF(C47="peso_corporal",IF(ISNUMBER(E47),E47,0)+I47,I47)*(30+J47)*100+I47,0),IF((M47&gt;=6)*(1-(IF(N47="",-1,N47)&gt;=1)*(IF(N47="",-1,N47)&lt;=3))*(1-(IF(N47="",-1,N47)=0)),IF(C47="peso_corporal",IF(ISNUMBER(E47),E47,0)+L47,L47)*(30+M47)*100+L47,0),IF((P47&gt;=6)*(1-(IF(Q47="",-1,Q47)&gt;=1)*(IF(Q47="",-1,Q47)&lt;=3))*(1-(IF(Q47="",-1,Q47)=0)),IF(C47="peso_corporal",IF(ISNUMBER(E47),E47,0)+O47,O47)*(30+P47)*100+O47,0),IF((S47&gt;=6)*(1-(IF(T47="",-1,T47)&gt;=1)*(IF(T47="",-1,T47)&lt;=3))*(1-(IF(T47="",-1,T47)=0)),IF(C47="peso_corporal",IF(ISNUMBER(E47),E47,0)+R47,R47)*(30+S47)*100+R47,0))</f>
        <v>0</v>
      </c>
      <c r="AB47" s="69">
        <f>IF(AA47=0,0,IF(IF((S47&gt;=6)*(1-(IF(T47="",-1,T47)&gt;=1)*(IF(T47="",-1,T47)&lt;=3))*(1-(IF(T47="",-1,T47)=0)),IF(C47="peso_corporal",IF(ISNUMBER(E47),E47,0)+R47,R47)*(30+S47)*100+R47,0)=AA47,5,IF(IF((P47&gt;=6)*(1-(IF(Q47="",-1,Q47)&gt;=1)*(IF(Q47="",-1,Q47)&lt;=3))*(1-(IF(Q47="",-1,Q47)=0)),IF(C47="peso_corporal",IF(ISNUMBER(E47),E47,0)+O47,O47)*(30+P47)*100+O47,0)=AA47,4,IF(IF((M47&gt;=6)*(1-(IF(N47="",-1,N47)&gt;=1)*(IF(N47="",-1,N47)&lt;=3))*(1-(IF(N47="",-1,N47)=0)),IF(C47="peso_corporal",IF(ISNUMBER(E47),E47,0)+L47,L47)*(30+M47)*100+L47,0)=AA47,3,IF(IF((J47&gt;=6)*(1-(IF(K47="",-1,K47)&gt;=1)*(IF(K47="",-1,K47)&lt;=3))*(1-(IF(K47="",-1,K47)=0)),IF(C47="peso_corporal",IF(ISNUMBER(E47),E47,0)+I47,I47)*(30+J47)*100+I47,0)=AA47,2,IF(IF((G47&gt;=6)*(1-(IF(H47="",-1,H47)&gt;=1)*(IF(H47="",-1,H47)&lt;=3))*(1-(IF(H47="",-1,H47)=0)),IF(C47="peso_corporal",IF(ISNUMBER(E47),E47,0)+F47,F47)*(30+G47)*100+F47,0)=AA47,1,0))))))</f>
        <v>0</v>
      </c>
      <c r="AC47" s="69" t="str">
        <f>IF(X47&gt;0,"A"&amp;X47,IF(Z47&gt;0,"B"&amp;Z47,IF(AB47&gt;0,"C"&amp;AB47,"")))</f>
        <v/>
      </c>
    </row>
    <row r="48" spans="1:29" ht="11.1" customHeight="1">
      <c r="A48" s="87" t="s">
        <v>165</v>
      </c>
      <c r="B48" s="73"/>
      <c r="C48" s="73"/>
      <c r="D48" s="73"/>
      <c r="E48" s="73"/>
      <c r="F48" s="73"/>
      <c r="G48" s="73"/>
      <c r="H48" s="73"/>
      <c r="I48" s="73"/>
      <c r="J48" s="73"/>
      <c r="K48" s="73"/>
      <c r="L48" s="73"/>
      <c r="M48" s="73"/>
      <c r="N48" s="73"/>
      <c r="O48" s="73"/>
      <c r="P48" s="73"/>
      <c r="Q48" s="73"/>
      <c r="R48" s="73"/>
      <c r="S48" s="73"/>
      <c r="T48" s="73"/>
      <c r="U48" s="73"/>
      <c r="V48" s="73"/>
      <c r="W48" s="69"/>
      <c r="X48" s="69"/>
      <c r="Y48" s="69"/>
      <c r="Z48" s="69"/>
      <c r="AA48" s="69"/>
      <c r="AB48" s="69"/>
      <c r="AC48" s="69"/>
    </row>
    <row r="49" spans="1:29" ht="20.100000000000001" customHeight="1">
      <c r="A49" s="14" t="s">
        <v>62</v>
      </c>
      <c r="B49" s="15" t="s">
        <v>63</v>
      </c>
      <c r="C49" s="16" t="str">
        <f>IFERROR(INDEX(EJERCICIOS!$D$3:$D$75,MATCH(A49&amp;"|"&amp;B49,EJERCICIOS!$G$3:$G$75,0)),"--")</f>
        <v>--</v>
      </c>
      <c r="D49" s="17">
        <v>3</v>
      </c>
      <c r="E49" s="18">
        <f>IFERROR(LOOKUP(2,1/(MEDIDAS_Y_PESO!$B$3:$B$4&lt;&gt;""),MEDIDAS_Y_PESO!$B$3:$B$4),"--")</f>
        <v>80</v>
      </c>
      <c r="F49" s="19"/>
      <c r="G49" s="20"/>
      <c r="H49" s="21"/>
      <c r="I49" s="19"/>
      <c r="J49" s="20"/>
      <c r="K49" s="21"/>
      <c r="L49" s="19"/>
      <c r="M49" s="20"/>
      <c r="N49" s="21"/>
      <c r="O49" s="19"/>
      <c r="P49" s="20"/>
      <c r="Q49" s="21"/>
      <c r="R49" s="19"/>
      <c r="S49" s="20"/>
      <c r="T49" s="21"/>
      <c r="U49" s="22" t="str">
        <f>IFERROR(IF(IF(X49&gt;0,X49,IF(Z49&gt;0,Z49,IF(AB49&gt;0,AB49,0)))=0,"--",ROUND(CHOOSE(IF(X49&gt;0,X49,IF(Z49&gt;0,Z49,IF(AB49&gt;0,AB49,0))),IF(C49="peso_corporal",IF(ISNUMBER(E49),E49,0)+F49,F49)*(1+G49/30),IF(C49="peso_corporal",IF(ISNUMBER(E49),E49,0)+I49,I49)*(1+J49/30),IF(C49="peso_corporal",IF(ISNUMBER(E49),E49,0)+L49,L49)*(1+M49/30),IF(C49="peso_corporal",IF(ISNUMBER(E49),E49,0)+O49,O49)*(1+P49/30),IF(C49="peso_corporal",IF(ISNUMBER(E49),E49,0)+R49,R49)*(1+S49/30)),1)),"--")</f>
        <v>--</v>
      </c>
      <c r="V49" s="23" t="str">
        <f>IF(SUGERENCIAS!N111="SIN","Sin datos anteriores",IF(SUGERENCIAS!N111="SUBIR_F","^ SUBIR FUERTE | Kg:"&amp;ROUND(SUGERENCIAS!K111,1)&amp;" R:"&amp;ROUND(SUGERENCIAS!L111,0)&amp;" RIR:"&amp;ROUND(SUGERENCIAS!M111,0),IF(SUGERENCIAS!N111="SUBIR_E","^ SUBIR (Est.) | Kg:"&amp;ROUND(SUGERENCIAS!K111,1)&amp;" R:"&amp;ROUND(SUGERENCIAS!L111,0)&amp;" RIR:"&amp;ROUND(SUGERENCIAS!M111,0),IF(SUGERENCIAS!N111="SUBIR","^ SUBIR | Kg:"&amp;ROUND(SUGERENCIAS!K111,1)&amp;" R:"&amp;ROUND(SUGERENCIAS!L111,0)&amp;" RIR:"&amp;ROUND(SUGERENCIAS!M111,0),IF(SUGERENCIAS!N111="BAJAR","v BAJAR | Kg:"&amp;ROUND(SUGERENCIAS!K111,1)&amp;" R:"&amp;ROUND(SUGERENCIAS!L111,0)&amp;" RIR:"&amp;ROUND(SUGERENCIAS!M111,0),"= MANT | Kg:"&amp;ROUND(SUGERENCIAS!K111,1)&amp;" R:"&amp;ROUND(SUGERENCIAS!L111,0)&amp;" RIR:"&amp;ROUND(SUGERENCIAS!M111,0))))))</f>
        <v>Sin datos anteriores</v>
      </c>
      <c r="W49" s="69">
        <f>MAX(IF((G49&gt;0)*(IF(H49="",-1,H49)&gt;=1)*(IF(H49="",-1,H49)&lt;=3),IF(C49="peso_corporal",IF(ISNUMBER(E49),E49,0)+F49,F49)*G49*1000+F49,0),IF((J49&gt;0)*(IF(K49="",-1,K49)&gt;=1)*(IF(K49="",-1,K49)&lt;=3),IF(C49="peso_corporal",IF(ISNUMBER(E49),E49,0)+I49,I49)*J49*1000+I49,0),IF((M49&gt;0)*(IF(N49="",-1,N49)&gt;=1)*(IF(N49="",-1,N49)&lt;=3),IF(C49="peso_corporal",IF(ISNUMBER(E49),E49,0)+L49,L49)*M49*1000+L49,0),IF((P49&gt;0)*(IF(Q49="",-1,Q49)&gt;=1)*(IF(Q49="",-1,Q49)&lt;=3),IF(C49="peso_corporal",IF(ISNUMBER(E49),E49,0)+O49,O49)*P49*1000+O49,0),IF((S49&gt;0)*(IF(T49="",-1,T49)&gt;=1)*(IF(T49="",-1,T49)&lt;=3),IF(C49="peso_corporal",IF(ISNUMBER(E49),E49,0)+R49,R49)*S49*1000+R49,0))</f>
        <v>0</v>
      </c>
      <c r="X49" s="69">
        <f>IF(W49=0,0,IF(IF((S49&gt;0)*(IF(T49="",-1,T49)&gt;=1)*(IF(T49="",-1,T49)&lt;=3),IF(C49="peso_corporal",IF(ISNUMBER(E49),E49,0)+R49,R49)*S49*1000+R49,0)=W49,5,IF(IF((P49&gt;0)*(IF(Q49="",-1,Q49)&gt;=1)*(IF(Q49="",-1,Q49)&lt;=3),IF(C49="peso_corporal",IF(ISNUMBER(E49),E49,0)+O49,O49)*P49*1000+O49,0)=W49,4,IF(IF((M49&gt;0)*(IF(N49="",-1,N49)&gt;=1)*(IF(N49="",-1,N49)&lt;=3),IF(C49="peso_corporal",IF(ISNUMBER(E49),E49,0)+L49,L49)*M49*1000+L49,0)=W49,3,IF(IF((J49&gt;0)*(IF(K49="",-1,K49)&gt;=1)*(IF(K49="",-1,K49)&lt;=3),IF(C49="peso_corporal",IF(ISNUMBER(E49),E49,0)+I49,I49)*J49*1000+I49,0)=W49,2,IF(IF((G49&gt;0)*(IF(H49="",-1,H49)&gt;=1)*(IF(H49="",-1,H49)&lt;=3),IF(C49="peso_corporal",IF(ISNUMBER(E49),E49,0)+F49,F49)*G49*1000+F49,0)=W49,1,0))))))</f>
        <v>0</v>
      </c>
      <c r="Y49" s="69">
        <f>MAX(IF((G49&gt;0)*(IF(H49="",-1,H49)=0)*(1-(IF(H49="",-1,H49)&gt;=1)*(IF(H49="",-1,H49)&lt;=3)),IF(C49="peso_corporal",IF(ISNUMBER(E49),E49,0)+F49,F49)*G49*1000+F49,0),IF((J49&gt;0)*(IF(K49="",-1,K49)=0)*(1-(IF(K49="",-1,K49)&gt;=1)*(IF(K49="",-1,K49)&lt;=3)),IF(C49="peso_corporal",IF(ISNUMBER(E49),E49,0)+I49,I49)*J49*1000+I49,0),IF((M49&gt;0)*(IF(N49="",-1,N49)=0)*(1-(IF(N49="",-1,N49)&gt;=1)*(IF(N49="",-1,N49)&lt;=3)),IF(C49="peso_corporal",IF(ISNUMBER(E49),E49,0)+L49,L49)*M49*1000+L49,0),IF((P49&gt;0)*(IF(Q49="",-1,Q49)=0)*(1-(IF(Q49="",-1,Q49)&gt;=1)*(IF(Q49="",-1,Q49)&lt;=3)),IF(C49="peso_corporal",IF(ISNUMBER(E49),E49,0)+O49,O49)*P49*1000+O49,0),IF((S49&gt;0)*(IF(T49="",-1,T49)=0)*(1-(IF(T49="",-1,T49)&gt;=1)*(IF(T49="",-1,T49)&lt;=3)),IF(C49="peso_corporal",IF(ISNUMBER(E49),E49,0)+R49,R49)*S49*1000+R49,0))</f>
        <v>0</v>
      </c>
      <c r="Z49" s="69">
        <f>IF(Y49=0,0,IF(IF((S49&gt;0)*(IF(T49="",-1,T49)=0)*(1-(IF(T49="",-1,T49)&gt;=1)*(IF(T49="",-1,T49)&lt;=3)),IF(C49="peso_corporal",IF(ISNUMBER(E49),E49,0)+R49,R49)*S49*1000+R49,0)=Y49,5,IF(IF((P49&gt;0)*(IF(Q49="",-1,Q49)=0)*(1-(IF(Q49="",-1,Q49)&gt;=1)*(IF(Q49="",-1,Q49)&lt;=3)),IF(C49="peso_corporal",IF(ISNUMBER(E49),E49,0)+O49,O49)*P49*1000+O49,0)=Y49,4,IF(IF((M49&gt;0)*(IF(N49="",-1,N49)=0)*(1-(IF(N49="",-1,N49)&gt;=1)*(IF(N49="",-1,N49)&lt;=3)),IF(C49="peso_corporal",IF(ISNUMBER(E49),E49,0)+L49,L49)*M49*1000+L49,0)=Y49,3,IF(IF((J49&gt;0)*(IF(K49="",-1,K49)=0)*(1-(IF(K49="",-1,K49)&gt;=1)*(IF(K49="",-1,K49)&lt;=3)),IF(C49="peso_corporal",IF(ISNUMBER(E49),E49,0)+I49,I49)*J49*1000+I49,0)=Y49,2,IF(IF((G49&gt;0)*(IF(H49="",-1,H49)=0)*(1-(IF(H49="",-1,H49)&gt;=1)*(IF(H49="",-1,H49)&lt;=3)),IF(C49="peso_corporal",IF(ISNUMBER(E49),E49,0)+F49,F49)*G49*1000+F49,0)=Y49,1,0))))))</f>
        <v>0</v>
      </c>
      <c r="AA49" s="69">
        <f>MAX(IF((G49&gt;=6)*(1-(IF(H49="",-1,H49)&gt;=1)*(IF(H49="",-1,H49)&lt;=3))*(1-(IF(H49="",-1,H49)=0)),IF(C49="peso_corporal",IF(ISNUMBER(E49),E49,0)+F49,F49)*(30+G49)*100+F49,0),IF((J49&gt;=6)*(1-(IF(K49="",-1,K49)&gt;=1)*(IF(K49="",-1,K49)&lt;=3))*(1-(IF(K49="",-1,K49)=0)),IF(C49="peso_corporal",IF(ISNUMBER(E49),E49,0)+I49,I49)*(30+J49)*100+I49,0),IF((M49&gt;=6)*(1-(IF(N49="",-1,N49)&gt;=1)*(IF(N49="",-1,N49)&lt;=3))*(1-(IF(N49="",-1,N49)=0)),IF(C49="peso_corporal",IF(ISNUMBER(E49),E49,0)+L49,L49)*(30+M49)*100+L49,0),IF((P49&gt;=6)*(1-(IF(Q49="",-1,Q49)&gt;=1)*(IF(Q49="",-1,Q49)&lt;=3))*(1-(IF(Q49="",-1,Q49)=0)),IF(C49="peso_corporal",IF(ISNUMBER(E49),E49,0)+O49,O49)*(30+P49)*100+O49,0),IF((S49&gt;=6)*(1-(IF(T49="",-1,T49)&gt;=1)*(IF(T49="",-1,T49)&lt;=3))*(1-(IF(T49="",-1,T49)=0)),IF(C49="peso_corporal",IF(ISNUMBER(E49),E49,0)+R49,R49)*(30+S49)*100+R49,0))</f>
        <v>0</v>
      </c>
      <c r="AB49" s="69">
        <f>IF(AA49=0,0,IF(IF((S49&gt;=6)*(1-(IF(T49="",-1,T49)&gt;=1)*(IF(T49="",-1,T49)&lt;=3))*(1-(IF(T49="",-1,T49)=0)),IF(C49="peso_corporal",IF(ISNUMBER(E49),E49,0)+R49,R49)*(30+S49)*100+R49,0)=AA49,5,IF(IF((P49&gt;=6)*(1-(IF(Q49="",-1,Q49)&gt;=1)*(IF(Q49="",-1,Q49)&lt;=3))*(1-(IF(Q49="",-1,Q49)=0)),IF(C49="peso_corporal",IF(ISNUMBER(E49),E49,0)+O49,O49)*(30+P49)*100+O49,0)=AA49,4,IF(IF((M49&gt;=6)*(1-(IF(N49="",-1,N49)&gt;=1)*(IF(N49="",-1,N49)&lt;=3))*(1-(IF(N49="",-1,N49)=0)),IF(C49="peso_corporal",IF(ISNUMBER(E49),E49,0)+L49,L49)*(30+M49)*100+L49,0)=AA49,3,IF(IF((J49&gt;=6)*(1-(IF(K49="",-1,K49)&gt;=1)*(IF(K49="",-1,K49)&lt;=3))*(1-(IF(K49="",-1,K49)=0)),IF(C49="peso_corporal",IF(ISNUMBER(E49),E49,0)+I49,I49)*(30+J49)*100+I49,0)=AA49,2,IF(IF((G49&gt;=6)*(1-(IF(H49="",-1,H49)&gt;=1)*(IF(H49="",-1,H49)&lt;=3))*(1-(IF(H49="",-1,H49)=0)),IF(C49="peso_corporal",IF(ISNUMBER(E49),E49,0)+F49,F49)*(30+G49)*100+F49,0)=AA49,1,0))))))</f>
        <v>0</v>
      </c>
      <c r="AC49" s="69" t="str">
        <f>IF(X49&gt;0,"A"&amp;X49,IF(Z49&gt;0,"B"&amp;Z49,IF(AB49&gt;0,"C"&amp;AB49,"")))</f>
        <v/>
      </c>
    </row>
    <row r="50" spans="1:29" ht="15" customHeight="1">
      <c r="A50" s="82" t="s">
        <v>47</v>
      </c>
      <c r="B50" s="73"/>
      <c r="C50" s="73"/>
      <c r="D50" s="73"/>
      <c r="E50" s="73"/>
      <c r="F50" s="73"/>
      <c r="G50" s="73"/>
      <c r="H50" s="73"/>
      <c r="I50" s="73"/>
      <c r="J50" s="73"/>
      <c r="K50" s="73"/>
      <c r="L50" s="73"/>
      <c r="M50" s="73"/>
      <c r="N50" s="73"/>
      <c r="O50" s="73"/>
      <c r="P50" s="73"/>
      <c r="Q50" s="73"/>
      <c r="R50" s="73"/>
      <c r="S50" s="73"/>
      <c r="T50" s="73"/>
      <c r="U50" s="73"/>
      <c r="V50" s="73"/>
      <c r="W50" s="69"/>
      <c r="X50" s="69"/>
      <c r="Y50" s="69"/>
      <c r="Z50" s="69"/>
      <c r="AA50" s="69"/>
      <c r="AB50" s="69"/>
      <c r="AC50" s="69"/>
    </row>
    <row r="51" spans="1:29" ht="20.100000000000001" customHeight="1">
      <c r="A51" s="14" t="s">
        <v>40</v>
      </c>
      <c r="B51" s="15" t="s">
        <v>41</v>
      </c>
      <c r="C51" s="16" t="str">
        <f>IFERROR(INDEX(EJERCICIOS!$D$3:$D$75,MATCH(A51&amp;"|"&amp;B51,EJERCICIOS!$G$3:$G$75,0)),"--")</f>
        <v>polea</v>
      </c>
      <c r="D51" s="17">
        <v>3</v>
      </c>
      <c r="E51" s="18">
        <f>IFERROR(LOOKUP(2,1/(MEDIDAS_Y_PESO!$B$3:$B$4&lt;&gt;""),MEDIDAS_Y_PESO!$B$3:$B$4),"--")</f>
        <v>80</v>
      </c>
      <c r="F51" s="19"/>
      <c r="G51" s="20"/>
      <c r="H51" s="21"/>
      <c r="I51" s="19"/>
      <c r="J51" s="20"/>
      <c r="K51" s="21"/>
      <c r="L51" s="19"/>
      <c r="M51" s="20"/>
      <c r="N51" s="21"/>
      <c r="O51" s="19"/>
      <c r="P51" s="20"/>
      <c r="Q51" s="21"/>
      <c r="R51" s="19"/>
      <c r="S51" s="20"/>
      <c r="T51" s="21"/>
      <c r="U51" s="22" t="str">
        <f>IFERROR(IF(IF(X51&gt;0,X51,IF(Z51&gt;0,Z51,IF(AB51&gt;0,AB51,0)))=0,"--",ROUND(CHOOSE(IF(X51&gt;0,X51,IF(Z51&gt;0,Z51,IF(AB51&gt;0,AB51,0))),IF(C51="peso_corporal",IF(ISNUMBER(E51),E51,0)+F51,F51)*(1+G51/30),IF(C51="peso_corporal",IF(ISNUMBER(E51),E51,0)+I51,I51)*(1+J51/30),IF(C51="peso_corporal",IF(ISNUMBER(E51),E51,0)+L51,L51)*(1+M51/30),IF(C51="peso_corporal",IF(ISNUMBER(E51),E51,0)+O51,O51)*(1+P51/30),IF(C51="peso_corporal",IF(ISNUMBER(E51),E51,0)+R51,R51)*(1+S51/30)),1)),"--")</f>
        <v>--</v>
      </c>
      <c r="V51" s="23" t="str">
        <f>IF(SUGERENCIAS!N112="SIN","Sin datos anteriores",IF(SUGERENCIAS!N112="SUBIR_F","^ SUBIR FUERTE | Kg:"&amp;ROUND(SUGERENCIAS!K112,1)&amp;" R:"&amp;ROUND(SUGERENCIAS!L112,0)&amp;" RIR:"&amp;ROUND(SUGERENCIAS!M112,0),IF(SUGERENCIAS!N112="SUBIR_E","^ SUBIR (Est.) | Kg:"&amp;ROUND(SUGERENCIAS!K112,1)&amp;" R:"&amp;ROUND(SUGERENCIAS!L112,0)&amp;" RIR:"&amp;ROUND(SUGERENCIAS!M112,0),IF(SUGERENCIAS!N112="SUBIR","^ SUBIR | Kg:"&amp;ROUND(SUGERENCIAS!K112,1)&amp;" R:"&amp;ROUND(SUGERENCIAS!L112,0)&amp;" RIR:"&amp;ROUND(SUGERENCIAS!M112,0),IF(SUGERENCIAS!N112="BAJAR","v BAJAR | Kg:"&amp;ROUND(SUGERENCIAS!K112,1)&amp;" R:"&amp;ROUND(SUGERENCIAS!L112,0)&amp;" RIR:"&amp;ROUND(SUGERENCIAS!M112,0),"= MANT | Kg:"&amp;ROUND(SUGERENCIAS!K112,1)&amp;" R:"&amp;ROUND(SUGERENCIAS!L112,0)&amp;" RIR:"&amp;ROUND(SUGERENCIAS!M112,0))))))</f>
        <v>Sin datos anteriores</v>
      </c>
      <c r="W51" s="69">
        <f>MAX(IF((G51&gt;0)*(IF(H51="",-1,H51)&gt;=1)*(IF(H51="",-1,H51)&lt;=3),IF(C51="peso_corporal",IF(ISNUMBER(E51),E51,0)+F51,F51)*G51*1000+F51,0),IF((J51&gt;0)*(IF(K51="",-1,K51)&gt;=1)*(IF(K51="",-1,K51)&lt;=3),IF(C51="peso_corporal",IF(ISNUMBER(E51),E51,0)+I51,I51)*J51*1000+I51,0),IF((M51&gt;0)*(IF(N51="",-1,N51)&gt;=1)*(IF(N51="",-1,N51)&lt;=3),IF(C51="peso_corporal",IF(ISNUMBER(E51),E51,0)+L51,L51)*M51*1000+L51,0),IF((P51&gt;0)*(IF(Q51="",-1,Q51)&gt;=1)*(IF(Q51="",-1,Q51)&lt;=3),IF(C51="peso_corporal",IF(ISNUMBER(E51),E51,0)+O51,O51)*P51*1000+O51,0),IF((S51&gt;0)*(IF(T51="",-1,T51)&gt;=1)*(IF(T51="",-1,T51)&lt;=3),IF(C51="peso_corporal",IF(ISNUMBER(E51),E51,0)+R51,R51)*S51*1000+R51,0))</f>
        <v>0</v>
      </c>
      <c r="X51" s="69">
        <f>IF(W51=0,0,IF(IF((S51&gt;0)*(IF(T51="",-1,T51)&gt;=1)*(IF(T51="",-1,T51)&lt;=3),IF(C51="peso_corporal",IF(ISNUMBER(E51),E51,0)+R51,R51)*S51*1000+R51,0)=W51,5,IF(IF((P51&gt;0)*(IF(Q51="",-1,Q51)&gt;=1)*(IF(Q51="",-1,Q51)&lt;=3),IF(C51="peso_corporal",IF(ISNUMBER(E51),E51,0)+O51,O51)*P51*1000+O51,0)=W51,4,IF(IF((M51&gt;0)*(IF(N51="",-1,N51)&gt;=1)*(IF(N51="",-1,N51)&lt;=3),IF(C51="peso_corporal",IF(ISNUMBER(E51),E51,0)+L51,L51)*M51*1000+L51,0)=W51,3,IF(IF((J51&gt;0)*(IF(K51="",-1,K51)&gt;=1)*(IF(K51="",-1,K51)&lt;=3),IF(C51="peso_corporal",IF(ISNUMBER(E51),E51,0)+I51,I51)*J51*1000+I51,0)=W51,2,IF(IF((G51&gt;0)*(IF(H51="",-1,H51)&gt;=1)*(IF(H51="",-1,H51)&lt;=3),IF(C51="peso_corporal",IF(ISNUMBER(E51),E51,0)+F51,F51)*G51*1000+F51,0)=W51,1,0))))))</f>
        <v>0</v>
      </c>
      <c r="Y51" s="69">
        <f>MAX(IF((G51&gt;0)*(IF(H51="",-1,H51)=0)*(1-(IF(H51="",-1,H51)&gt;=1)*(IF(H51="",-1,H51)&lt;=3)),IF(C51="peso_corporal",IF(ISNUMBER(E51),E51,0)+F51,F51)*G51*1000+F51,0),IF((J51&gt;0)*(IF(K51="",-1,K51)=0)*(1-(IF(K51="",-1,K51)&gt;=1)*(IF(K51="",-1,K51)&lt;=3)),IF(C51="peso_corporal",IF(ISNUMBER(E51),E51,0)+I51,I51)*J51*1000+I51,0),IF((M51&gt;0)*(IF(N51="",-1,N51)=0)*(1-(IF(N51="",-1,N51)&gt;=1)*(IF(N51="",-1,N51)&lt;=3)),IF(C51="peso_corporal",IF(ISNUMBER(E51),E51,0)+L51,L51)*M51*1000+L51,0),IF((P51&gt;0)*(IF(Q51="",-1,Q51)=0)*(1-(IF(Q51="",-1,Q51)&gt;=1)*(IF(Q51="",-1,Q51)&lt;=3)),IF(C51="peso_corporal",IF(ISNUMBER(E51),E51,0)+O51,O51)*P51*1000+O51,0),IF((S51&gt;0)*(IF(T51="",-1,T51)=0)*(1-(IF(T51="",-1,T51)&gt;=1)*(IF(T51="",-1,T51)&lt;=3)),IF(C51="peso_corporal",IF(ISNUMBER(E51),E51,0)+R51,R51)*S51*1000+R51,0))</f>
        <v>0</v>
      </c>
      <c r="Z51" s="69">
        <f>IF(Y51=0,0,IF(IF((S51&gt;0)*(IF(T51="",-1,T51)=0)*(1-(IF(T51="",-1,T51)&gt;=1)*(IF(T51="",-1,T51)&lt;=3)),IF(C51="peso_corporal",IF(ISNUMBER(E51),E51,0)+R51,R51)*S51*1000+R51,0)=Y51,5,IF(IF((P51&gt;0)*(IF(Q51="",-1,Q51)=0)*(1-(IF(Q51="",-1,Q51)&gt;=1)*(IF(Q51="",-1,Q51)&lt;=3)),IF(C51="peso_corporal",IF(ISNUMBER(E51),E51,0)+O51,O51)*P51*1000+O51,0)=Y51,4,IF(IF((M51&gt;0)*(IF(N51="",-1,N51)=0)*(1-(IF(N51="",-1,N51)&gt;=1)*(IF(N51="",-1,N51)&lt;=3)),IF(C51="peso_corporal",IF(ISNUMBER(E51),E51,0)+L51,L51)*M51*1000+L51,0)=Y51,3,IF(IF((J51&gt;0)*(IF(K51="",-1,K51)=0)*(1-(IF(K51="",-1,K51)&gt;=1)*(IF(K51="",-1,K51)&lt;=3)),IF(C51="peso_corporal",IF(ISNUMBER(E51),E51,0)+I51,I51)*J51*1000+I51,0)=Y51,2,IF(IF((G51&gt;0)*(IF(H51="",-1,H51)=0)*(1-(IF(H51="",-1,H51)&gt;=1)*(IF(H51="",-1,H51)&lt;=3)),IF(C51="peso_corporal",IF(ISNUMBER(E51),E51,0)+F51,F51)*G51*1000+F51,0)=Y51,1,0))))))</f>
        <v>0</v>
      </c>
      <c r="AA51" s="69">
        <f>MAX(IF((G51&gt;=6)*(1-(IF(H51="",-1,H51)&gt;=1)*(IF(H51="",-1,H51)&lt;=3))*(1-(IF(H51="",-1,H51)=0)),IF(C51="peso_corporal",IF(ISNUMBER(E51),E51,0)+F51,F51)*(30+G51)*100+F51,0),IF((J51&gt;=6)*(1-(IF(K51="",-1,K51)&gt;=1)*(IF(K51="",-1,K51)&lt;=3))*(1-(IF(K51="",-1,K51)=0)),IF(C51="peso_corporal",IF(ISNUMBER(E51),E51,0)+I51,I51)*(30+J51)*100+I51,0),IF((M51&gt;=6)*(1-(IF(N51="",-1,N51)&gt;=1)*(IF(N51="",-1,N51)&lt;=3))*(1-(IF(N51="",-1,N51)=0)),IF(C51="peso_corporal",IF(ISNUMBER(E51),E51,0)+L51,L51)*(30+M51)*100+L51,0),IF((P51&gt;=6)*(1-(IF(Q51="",-1,Q51)&gt;=1)*(IF(Q51="",-1,Q51)&lt;=3))*(1-(IF(Q51="",-1,Q51)=0)),IF(C51="peso_corporal",IF(ISNUMBER(E51),E51,0)+O51,O51)*(30+P51)*100+O51,0),IF((S51&gt;=6)*(1-(IF(T51="",-1,T51)&gt;=1)*(IF(T51="",-1,T51)&lt;=3))*(1-(IF(T51="",-1,T51)=0)),IF(C51="peso_corporal",IF(ISNUMBER(E51),E51,0)+R51,R51)*(30+S51)*100+R51,0))</f>
        <v>0</v>
      </c>
      <c r="AB51" s="69">
        <f>IF(AA51=0,0,IF(IF((S51&gt;=6)*(1-(IF(T51="",-1,T51)&gt;=1)*(IF(T51="",-1,T51)&lt;=3))*(1-(IF(T51="",-1,T51)=0)),IF(C51="peso_corporal",IF(ISNUMBER(E51),E51,0)+R51,R51)*(30+S51)*100+R51,0)=AA51,5,IF(IF((P51&gt;=6)*(1-(IF(Q51="",-1,Q51)&gt;=1)*(IF(Q51="",-1,Q51)&lt;=3))*(1-(IF(Q51="",-1,Q51)=0)),IF(C51="peso_corporal",IF(ISNUMBER(E51),E51,0)+O51,O51)*(30+P51)*100+O51,0)=AA51,4,IF(IF((M51&gt;=6)*(1-(IF(N51="",-1,N51)&gt;=1)*(IF(N51="",-1,N51)&lt;=3))*(1-(IF(N51="",-1,N51)=0)),IF(C51="peso_corporal",IF(ISNUMBER(E51),E51,0)+L51,L51)*(30+M51)*100+L51,0)=AA51,3,IF(IF((J51&gt;=6)*(1-(IF(K51="",-1,K51)&gt;=1)*(IF(K51="",-1,K51)&lt;=3))*(1-(IF(K51="",-1,K51)=0)),IF(C51="peso_corporal",IF(ISNUMBER(E51),E51,0)+I51,I51)*(30+J51)*100+I51,0)=AA51,2,IF(IF((G51&gt;=6)*(1-(IF(H51="",-1,H51)&gt;=1)*(IF(H51="",-1,H51)&lt;=3))*(1-(IF(H51="",-1,H51)=0)),IF(C51="peso_corporal",IF(ISNUMBER(E51),E51,0)+F51,F51)*(30+G51)*100+F51,0)=AA51,1,0))))))</f>
        <v>0</v>
      </c>
      <c r="AC51" s="69" t="str">
        <f>IF(X51&gt;0,"A"&amp;X51,IF(Z51&gt;0,"B"&amp;Z51,IF(AB51&gt;0,"C"&amp;AB51,"")))</f>
        <v/>
      </c>
    </row>
    <row r="52" spans="1:29" ht="20.100000000000001" customHeight="1">
      <c r="A52" s="14" t="s">
        <v>48</v>
      </c>
      <c r="B52" s="15" t="s">
        <v>166</v>
      </c>
      <c r="C52" s="16" t="str">
        <f>IFERROR(INDEX(EJERCICIOS!$D$3:$D$75,MATCH(A52&amp;"|"&amp;B52,EJERCICIOS!$G$3:$G$75,0)),"--")</f>
        <v>--</v>
      </c>
      <c r="D52" s="17">
        <v>3</v>
      </c>
      <c r="E52" s="18">
        <f>IFERROR(LOOKUP(2,1/(MEDIDAS_Y_PESO!$B$3:$B$4&lt;&gt;""),MEDIDAS_Y_PESO!$B$3:$B$4),"--")</f>
        <v>80</v>
      </c>
      <c r="F52" s="19"/>
      <c r="G52" s="20"/>
      <c r="H52" s="21"/>
      <c r="I52" s="19"/>
      <c r="J52" s="20"/>
      <c r="K52" s="21"/>
      <c r="L52" s="19"/>
      <c r="M52" s="20"/>
      <c r="N52" s="21"/>
      <c r="O52" s="19"/>
      <c r="P52" s="20"/>
      <c r="Q52" s="21"/>
      <c r="R52" s="19"/>
      <c r="S52" s="20"/>
      <c r="T52" s="21"/>
      <c r="U52" s="22" t="str">
        <f>IFERROR(IF(IF(X52&gt;0,X52,IF(Z52&gt;0,Z52,IF(AB52&gt;0,AB52,0)))=0,"--",ROUND(CHOOSE(IF(X52&gt;0,X52,IF(Z52&gt;0,Z52,IF(AB52&gt;0,AB52,0))),IF(C52="peso_corporal",IF(ISNUMBER(E52),E52,0)+F52,F52)*(1+G52/30),IF(C52="peso_corporal",IF(ISNUMBER(E52),E52,0)+I52,I52)*(1+J52/30),IF(C52="peso_corporal",IF(ISNUMBER(E52),E52,0)+L52,L52)*(1+M52/30),IF(C52="peso_corporal",IF(ISNUMBER(E52),E52,0)+O52,O52)*(1+P52/30),IF(C52="peso_corporal",IF(ISNUMBER(E52),E52,0)+R52,R52)*(1+S52/30)),1)),"--")</f>
        <v>--</v>
      </c>
      <c r="V52" s="23" t="str">
        <f>IF(SUGERENCIAS!N113="SIN","Sin datos anteriores",IF(SUGERENCIAS!N113="SUBIR_F","^ SUBIR FUERTE | Kg:"&amp;ROUND(SUGERENCIAS!K113,1)&amp;" R:"&amp;ROUND(SUGERENCIAS!L113,0)&amp;" RIR:"&amp;ROUND(SUGERENCIAS!M113,0),IF(SUGERENCIAS!N113="SUBIR_E","^ SUBIR (Est.) | Kg:"&amp;ROUND(SUGERENCIAS!K113,1)&amp;" R:"&amp;ROUND(SUGERENCIAS!L113,0)&amp;" RIR:"&amp;ROUND(SUGERENCIAS!M113,0),IF(SUGERENCIAS!N113="SUBIR","^ SUBIR | Kg:"&amp;ROUND(SUGERENCIAS!K113,1)&amp;" R:"&amp;ROUND(SUGERENCIAS!L113,0)&amp;" RIR:"&amp;ROUND(SUGERENCIAS!M113,0),IF(SUGERENCIAS!N113="BAJAR","v BAJAR | Kg:"&amp;ROUND(SUGERENCIAS!K113,1)&amp;" R:"&amp;ROUND(SUGERENCIAS!L113,0)&amp;" RIR:"&amp;ROUND(SUGERENCIAS!M113,0),"= MANT | Kg:"&amp;ROUND(SUGERENCIAS!K113,1)&amp;" R:"&amp;ROUND(SUGERENCIAS!L113,0)&amp;" RIR:"&amp;ROUND(SUGERENCIAS!M113,0))))))</f>
        <v>Sin datos anteriores</v>
      </c>
      <c r="W52" s="69">
        <f>MAX(IF((G52&gt;0)*(IF(H52="",-1,H52)&gt;=1)*(IF(H52="",-1,H52)&lt;=3),IF(C52="peso_corporal",IF(ISNUMBER(E52),E52,0)+F52,F52)*G52*1000+F52,0),IF((J52&gt;0)*(IF(K52="",-1,K52)&gt;=1)*(IF(K52="",-1,K52)&lt;=3),IF(C52="peso_corporal",IF(ISNUMBER(E52),E52,0)+I52,I52)*J52*1000+I52,0),IF((M52&gt;0)*(IF(N52="",-1,N52)&gt;=1)*(IF(N52="",-1,N52)&lt;=3),IF(C52="peso_corporal",IF(ISNUMBER(E52),E52,0)+L52,L52)*M52*1000+L52,0),IF((P52&gt;0)*(IF(Q52="",-1,Q52)&gt;=1)*(IF(Q52="",-1,Q52)&lt;=3),IF(C52="peso_corporal",IF(ISNUMBER(E52),E52,0)+O52,O52)*P52*1000+O52,0),IF((S52&gt;0)*(IF(T52="",-1,T52)&gt;=1)*(IF(T52="",-1,T52)&lt;=3),IF(C52="peso_corporal",IF(ISNUMBER(E52),E52,0)+R52,R52)*S52*1000+R52,0))</f>
        <v>0</v>
      </c>
      <c r="X52" s="69">
        <f>IF(W52=0,0,IF(IF((S52&gt;0)*(IF(T52="",-1,T52)&gt;=1)*(IF(T52="",-1,T52)&lt;=3),IF(C52="peso_corporal",IF(ISNUMBER(E52),E52,0)+R52,R52)*S52*1000+R52,0)=W52,5,IF(IF((P52&gt;0)*(IF(Q52="",-1,Q52)&gt;=1)*(IF(Q52="",-1,Q52)&lt;=3),IF(C52="peso_corporal",IF(ISNUMBER(E52),E52,0)+O52,O52)*P52*1000+O52,0)=W52,4,IF(IF((M52&gt;0)*(IF(N52="",-1,N52)&gt;=1)*(IF(N52="",-1,N52)&lt;=3),IF(C52="peso_corporal",IF(ISNUMBER(E52),E52,0)+L52,L52)*M52*1000+L52,0)=W52,3,IF(IF((J52&gt;0)*(IF(K52="",-1,K52)&gt;=1)*(IF(K52="",-1,K52)&lt;=3),IF(C52="peso_corporal",IF(ISNUMBER(E52),E52,0)+I52,I52)*J52*1000+I52,0)=W52,2,IF(IF((G52&gt;0)*(IF(H52="",-1,H52)&gt;=1)*(IF(H52="",-1,H52)&lt;=3),IF(C52="peso_corporal",IF(ISNUMBER(E52),E52,0)+F52,F52)*G52*1000+F52,0)=W52,1,0))))))</f>
        <v>0</v>
      </c>
      <c r="Y52" s="69">
        <f>MAX(IF((G52&gt;0)*(IF(H52="",-1,H52)=0)*(1-(IF(H52="",-1,H52)&gt;=1)*(IF(H52="",-1,H52)&lt;=3)),IF(C52="peso_corporal",IF(ISNUMBER(E52),E52,0)+F52,F52)*G52*1000+F52,0),IF((J52&gt;0)*(IF(K52="",-1,K52)=0)*(1-(IF(K52="",-1,K52)&gt;=1)*(IF(K52="",-1,K52)&lt;=3)),IF(C52="peso_corporal",IF(ISNUMBER(E52),E52,0)+I52,I52)*J52*1000+I52,0),IF((M52&gt;0)*(IF(N52="",-1,N52)=0)*(1-(IF(N52="",-1,N52)&gt;=1)*(IF(N52="",-1,N52)&lt;=3)),IF(C52="peso_corporal",IF(ISNUMBER(E52),E52,0)+L52,L52)*M52*1000+L52,0),IF((P52&gt;0)*(IF(Q52="",-1,Q52)=0)*(1-(IF(Q52="",-1,Q52)&gt;=1)*(IF(Q52="",-1,Q52)&lt;=3)),IF(C52="peso_corporal",IF(ISNUMBER(E52),E52,0)+O52,O52)*P52*1000+O52,0),IF((S52&gt;0)*(IF(T52="",-1,T52)=0)*(1-(IF(T52="",-1,T52)&gt;=1)*(IF(T52="",-1,T52)&lt;=3)),IF(C52="peso_corporal",IF(ISNUMBER(E52),E52,0)+R52,R52)*S52*1000+R52,0))</f>
        <v>0</v>
      </c>
      <c r="Z52" s="69">
        <f>IF(Y52=0,0,IF(IF((S52&gt;0)*(IF(T52="",-1,T52)=0)*(1-(IF(T52="",-1,T52)&gt;=1)*(IF(T52="",-1,T52)&lt;=3)),IF(C52="peso_corporal",IF(ISNUMBER(E52),E52,0)+R52,R52)*S52*1000+R52,0)=Y52,5,IF(IF((P52&gt;0)*(IF(Q52="",-1,Q52)=0)*(1-(IF(Q52="",-1,Q52)&gt;=1)*(IF(Q52="",-1,Q52)&lt;=3)),IF(C52="peso_corporal",IF(ISNUMBER(E52),E52,0)+O52,O52)*P52*1000+O52,0)=Y52,4,IF(IF((M52&gt;0)*(IF(N52="",-1,N52)=0)*(1-(IF(N52="",-1,N52)&gt;=1)*(IF(N52="",-1,N52)&lt;=3)),IF(C52="peso_corporal",IF(ISNUMBER(E52),E52,0)+L52,L52)*M52*1000+L52,0)=Y52,3,IF(IF((J52&gt;0)*(IF(K52="",-1,K52)=0)*(1-(IF(K52="",-1,K52)&gt;=1)*(IF(K52="",-1,K52)&lt;=3)),IF(C52="peso_corporal",IF(ISNUMBER(E52),E52,0)+I52,I52)*J52*1000+I52,0)=Y52,2,IF(IF((G52&gt;0)*(IF(H52="",-1,H52)=0)*(1-(IF(H52="",-1,H52)&gt;=1)*(IF(H52="",-1,H52)&lt;=3)),IF(C52="peso_corporal",IF(ISNUMBER(E52),E52,0)+F52,F52)*G52*1000+F52,0)=Y52,1,0))))))</f>
        <v>0</v>
      </c>
      <c r="AA52" s="69">
        <f>MAX(IF((G52&gt;=6)*(1-(IF(H52="",-1,H52)&gt;=1)*(IF(H52="",-1,H52)&lt;=3))*(1-(IF(H52="",-1,H52)=0)),IF(C52="peso_corporal",IF(ISNUMBER(E52),E52,0)+F52,F52)*(30+G52)*100+F52,0),IF((J52&gt;=6)*(1-(IF(K52="",-1,K52)&gt;=1)*(IF(K52="",-1,K52)&lt;=3))*(1-(IF(K52="",-1,K52)=0)),IF(C52="peso_corporal",IF(ISNUMBER(E52),E52,0)+I52,I52)*(30+J52)*100+I52,0),IF((M52&gt;=6)*(1-(IF(N52="",-1,N52)&gt;=1)*(IF(N52="",-1,N52)&lt;=3))*(1-(IF(N52="",-1,N52)=0)),IF(C52="peso_corporal",IF(ISNUMBER(E52),E52,0)+L52,L52)*(30+M52)*100+L52,0),IF((P52&gt;=6)*(1-(IF(Q52="",-1,Q52)&gt;=1)*(IF(Q52="",-1,Q52)&lt;=3))*(1-(IF(Q52="",-1,Q52)=0)),IF(C52="peso_corporal",IF(ISNUMBER(E52),E52,0)+O52,O52)*(30+P52)*100+O52,0),IF((S52&gt;=6)*(1-(IF(T52="",-1,T52)&gt;=1)*(IF(T52="",-1,T52)&lt;=3))*(1-(IF(T52="",-1,T52)=0)),IF(C52="peso_corporal",IF(ISNUMBER(E52),E52,0)+R52,R52)*(30+S52)*100+R52,0))</f>
        <v>0</v>
      </c>
      <c r="AB52" s="69">
        <f>IF(AA52=0,0,IF(IF((S52&gt;=6)*(1-(IF(T52="",-1,T52)&gt;=1)*(IF(T52="",-1,T52)&lt;=3))*(1-(IF(T52="",-1,T52)=0)),IF(C52="peso_corporal",IF(ISNUMBER(E52),E52,0)+R52,R52)*(30+S52)*100+R52,0)=AA52,5,IF(IF((P52&gt;=6)*(1-(IF(Q52="",-1,Q52)&gt;=1)*(IF(Q52="",-1,Q52)&lt;=3))*(1-(IF(Q52="",-1,Q52)=0)),IF(C52="peso_corporal",IF(ISNUMBER(E52),E52,0)+O52,O52)*(30+P52)*100+O52,0)=AA52,4,IF(IF((M52&gt;=6)*(1-(IF(N52="",-1,N52)&gt;=1)*(IF(N52="",-1,N52)&lt;=3))*(1-(IF(N52="",-1,N52)=0)),IF(C52="peso_corporal",IF(ISNUMBER(E52),E52,0)+L52,L52)*(30+M52)*100+L52,0)=AA52,3,IF(IF((J52&gt;=6)*(1-(IF(K52="",-1,K52)&gt;=1)*(IF(K52="",-1,K52)&lt;=3))*(1-(IF(K52="",-1,K52)=0)),IF(C52="peso_corporal",IF(ISNUMBER(E52),E52,0)+I52,I52)*(30+J52)*100+I52,0)=AA52,2,IF(IF((G52&gt;=6)*(1-(IF(H52="",-1,H52)&gt;=1)*(IF(H52="",-1,H52)&lt;=3))*(1-(IF(H52="",-1,H52)=0)),IF(C52="peso_corporal",IF(ISNUMBER(E52),E52,0)+F52,F52)*(30+G52)*100+F52,0)=AA52,1,0))))))</f>
        <v>0</v>
      </c>
      <c r="AC52" s="69" t="str">
        <f>IF(X52&gt;0,"A"&amp;X52,IF(Z52&gt;0,"B"&amp;Z52,IF(AB52&gt;0,"C"&amp;AB52,"")))</f>
        <v/>
      </c>
    </row>
    <row r="53" spans="1:29" ht="15" customHeight="1">
      <c r="A53" s="88" t="s">
        <v>50</v>
      </c>
      <c r="B53" s="73"/>
      <c r="C53" s="73"/>
      <c r="D53" s="73"/>
      <c r="E53" s="73"/>
      <c r="F53" s="73"/>
      <c r="G53" s="73"/>
      <c r="H53" s="73"/>
      <c r="I53" s="73"/>
      <c r="J53" s="73"/>
      <c r="K53" s="73"/>
      <c r="L53" s="73"/>
      <c r="M53" s="73"/>
      <c r="N53" s="73"/>
      <c r="O53" s="73"/>
      <c r="P53" s="73"/>
      <c r="Q53" s="73"/>
      <c r="R53" s="73"/>
      <c r="S53" s="73"/>
      <c r="T53" s="73"/>
      <c r="U53" s="73"/>
      <c r="V53" s="73"/>
      <c r="W53" s="69"/>
      <c r="X53" s="69"/>
      <c r="Y53" s="69"/>
      <c r="Z53" s="69"/>
      <c r="AA53" s="69"/>
      <c r="AB53" s="69"/>
      <c r="AC53" s="69"/>
    </row>
    <row r="54" spans="1:29" ht="20.100000000000001" customHeight="1">
      <c r="A54" s="14" t="s">
        <v>65</v>
      </c>
      <c r="B54" s="15" t="s">
        <v>137</v>
      </c>
      <c r="C54" s="16" t="str">
        <f>IFERROR(INDEX(EJERCICIOS!$D$3:$D$75,MATCH(A54&amp;"|"&amp;B54,EJERCICIOS!$G$3:$G$75,0)),"--")</f>
        <v>--</v>
      </c>
      <c r="D54" s="17">
        <v>3</v>
      </c>
      <c r="E54" s="18">
        <f>IFERROR(LOOKUP(2,1/(MEDIDAS_Y_PESO!$B$3:$B$4&lt;&gt;""),MEDIDAS_Y_PESO!$B$3:$B$4),"--")</f>
        <v>80</v>
      </c>
      <c r="F54" s="19"/>
      <c r="G54" s="20"/>
      <c r="H54" s="21"/>
      <c r="I54" s="19"/>
      <c r="J54" s="20"/>
      <c r="K54" s="21"/>
      <c r="L54" s="19"/>
      <c r="M54" s="20"/>
      <c r="N54" s="21"/>
      <c r="O54" s="19"/>
      <c r="P54" s="20"/>
      <c r="Q54" s="21"/>
      <c r="R54" s="19"/>
      <c r="S54" s="20"/>
      <c r="T54" s="21"/>
      <c r="U54" s="22" t="str">
        <f>IFERROR(IF(IF(X54&gt;0,X54,IF(Z54&gt;0,Z54,IF(AB54&gt;0,AB54,0)))=0,"--",ROUND(CHOOSE(IF(X54&gt;0,X54,IF(Z54&gt;0,Z54,IF(AB54&gt;0,AB54,0))),IF(C54="peso_corporal",IF(ISNUMBER(E54),E54,0)+F54,F54)*(1+G54/30),IF(C54="peso_corporal",IF(ISNUMBER(E54),E54,0)+I54,I54)*(1+J54/30),IF(C54="peso_corporal",IF(ISNUMBER(E54),E54,0)+L54,L54)*(1+M54/30),IF(C54="peso_corporal",IF(ISNUMBER(E54),E54,0)+O54,O54)*(1+P54/30),IF(C54="peso_corporal",IF(ISNUMBER(E54),E54,0)+R54,R54)*(1+S54/30)),1)),"--")</f>
        <v>--</v>
      </c>
      <c r="V54" s="23" t="str">
        <f>IF(SUGERENCIAS!N114="SIN","Sin datos anteriores",IF(SUGERENCIAS!N114="SUBIR_F","^ SUBIR FUERTE | Kg:"&amp;ROUND(SUGERENCIAS!K114,1)&amp;" R:"&amp;ROUND(SUGERENCIAS!L114,0)&amp;" RIR:"&amp;ROUND(SUGERENCIAS!M114,0),IF(SUGERENCIAS!N114="SUBIR_E","^ SUBIR (Est.) | Kg:"&amp;ROUND(SUGERENCIAS!K114,1)&amp;" R:"&amp;ROUND(SUGERENCIAS!L114,0)&amp;" RIR:"&amp;ROUND(SUGERENCIAS!M114,0),IF(SUGERENCIAS!N114="SUBIR","^ SUBIR | Kg:"&amp;ROUND(SUGERENCIAS!K114,1)&amp;" R:"&amp;ROUND(SUGERENCIAS!L114,0)&amp;" RIR:"&amp;ROUND(SUGERENCIAS!M114,0),IF(SUGERENCIAS!N114="BAJAR","v BAJAR | Kg:"&amp;ROUND(SUGERENCIAS!K114,1)&amp;" R:"&amp;ROUND(SUGERENCIAS!L114,0)&amp;" RIR:"&amp;ROUND(SUGERENCIAS!M114,0),"= MANT | Kg:"&amp;ROUND(SUGERENCIAS!K114,1)&amp;" R:"&amp;ROUND(SUGERENCIAS!L114,0)&amp;" RIR:"&amp;ROUND(SUGERENCIAS!M114,0))))))</f>
        <v>Sin datos anteriores</v>
      </c>
      <c r="W54" s="69">
        <f>MAX(IF((G54&gt;0)*(IF(H54="",-1,H54)&gt;=1)*(IF(H54="",-1,H54)&lt;=3),IF(C54="peso_corporal",IF(ISNUMBER(E54),E54,0)+F54,F54)*G54*1000+F54,0),IF((J54&gt;0)*(IF(K54="",-1,K54)&gt;=1)*(IF(K54="",-1,K54)&lt;=3),IF(C54="peso_corporal",IF(ISNUMBER(E54),E54,0)+I54,I54)*J54*1000+I54,0),IF((M54&gt;0)*(IF(N54="",-1,N54)&gt;=1)*(IF(N54="",-1,N54)&lt;=3),IF(C54="peso_corporal",IF(ISNUMBER(E54),E54,0)+L54,L54)*M54*1000+L54,0),IF((P54&gt;0)*(IF(Q54="",-1,Q54)&gt;=1)*(IF(Q54="",-1,Q54)&lt;=3),IF(C54="peso_corporal",IF(ISNUMBER(E54),E54,0)+O54,O54)*P54*1000+O54,0),IF((S54&gt;0)*(IF(T54="",-1,T54)&gt;=1)*(IF(T54="",-1,T54)&lt;=3),IF(C54="peso_corporal",IF(ISNUMBER(E54),E54,0)+R54,R54)*S54*1000+R54,0))</f>
        <v>0</v>
      </c>
      <c r="X54" s="69">
        <f>IF(W54=0,0,IF(IF((S54&gt;0)*(IF(T54="",-1,T54)&gt;=1)*(IF(T54="",-1,T54)&lt;=3),IF(C54="peso_corporal",IF(ISNUMBER(E54),E54,0)+R54,R54)*S54*1000+R54,0)=W54,5,IF(IF((P54&gt;0)*(IF(Q54="",-1,Q54)&gt;=1)*(IF(Q54="",-1,Q54)&lt;=3),IF(C54="peso_corporal",IF(ISNUMBER(E54),E54,0)+O54,O54)*P54*1000+O54,0)=W54,4,IF(IF((M54&gt;0)*(IF(N54="",-1,N54)&gt;=1)*(IF(N54="",-1,N54)&lt;=3),IF(C54="peso_corporal",IF(ISNUMBER(E54),E54,0)+L54,L54)*M54*1000+L54,0)=W54,3,IF(IF((J54&gt;0)*(IF(K54="",-1,K54)&gt;=1)*(IF(K54="",-1,K54)&lt;=3),IF(C54="peso_corporal",IF(ISNUMBER(E54),E54,0)+I54,I54)*J54*1000+I54,0)=W54,2,IF(IF((G54&gt;0)*(IF(H54="",-1,H54)&gt;=1)*(IF(H54="",-1,H54)&lt;=3),IF(C54="peso_corporal",IF(ISNUMBER(E54),E54,0)+F54,F54)*G54*1000+F54,0)=W54,1,0))))))</f>
        <v>0</v>
      </c>
      <c r="Y54" s="69">
        <f>MAX(IF((G54&gt;0)*(IF(H54="",-1,H54)=0)*(1-(IF(H54="",-1,H54)&gt;=1)*(IF(H54="",-1,H54)&lt;=3)),IF(C54="peso_corporal",IF(ISNUMBER(E54),E54,0)+F54,F54)*G54*1000+F54,0),IF((J54&gt;0)*(IF(K54="",-1,K54)=0)*(1-(IF(K54="",-1,K54)&gt;=1)*(IF(K54="",-1,K54)&lt;=3)),IF(C54="peso_corporal",IF(ISNUMBER(E54),E54,0)+I54,I54)*J54*1000+I54,0),IF((M54&gt;0)*(IF(N54="",-1,N54)=0)*(1-(IF(N54="",-1,N54)&gt;=1)*(IF(N54="",-1,N54)&lt;=3)),IF(C54="peso_corporal",IF(ISNUMBER(E54),E54,0)+L54,L54)*M54*1000+L54,0),IF((P54&gt;0)*(IF(Q54="",-1,Q54)=0)*(1-(IF(Q54="",-1,Q54)&gt;=1)*(IF(Q54="",-1,Q54)&lt;=3)),IF(C54="peso_corporal",IF(ISNUMBER(E54),E54,0)+O54,O54)*P54*1000+O54,0),IF((S54&gt;0)*(IF(T54="",-1,T54)=0)*(1-(IF(T54="",-1,T54)&gt;=1)*(IF(T54="",-1,T54)&lt;=3)),IF(C54="peso_corporal",IF(ISNUMBER(E54),E54,0)+R54,R54)*S54*1000+R54,0))</f>
        <v>0</v>
      </c>
      <c r="Z54" s="69">
        <f>IF(Y54=0,0,IF(IF((S54&gt;0)*(IF(T54="",-1,T54)=0)*(1-(IF(T54="",-1,T54)&gt;=1)*(IF(T54="",-1,T54)&lt;=3)),IF(C54="peso_corporal",IF(ISNUMBER(E54),E54,0)+R54,R54)*S54*1000+R54,0)=Y54,5,IF(IF((P54&gt;0)*(IF(Q54="",-1,Q54)=0)*(1-(IF(Q54="",-1,Q54)&gt;=1)*(IF(Q54="",-1,Q54)&lt;=3)),IF(C54="peso_corporal",IF(ISNUMBER(E54),E54,0)+O54,O54)*P54*1000+O54,0)=Y54,4,IF(IF((M54&gt;0)*(IF(N54="",-1,N54)=0)*(1-(IF(N54="",-1,N54)&gt;=1)*(IF(N54="",-1,N54)&lt;=3)),IF(C54="peso_corporal",IF(ISNUMBER(E54),E54,0)+L54,L54)*M54*1000+L54,0)=Y54,3,IF(IF((J54&gt;0)*(IF(K54="",-1,K54)=0)*(1-(IF(K54="",-1,K54)&gt;=1)*(IF(K54="",-1,K54)&lt;=3)),IF(C54="peso_corporal",IF(ISNUMBER(E54),E54,0)+I54,I54)*J54*1000+I54,0)=Y54,2,IF(IF((G54&gt;0)*(IF(H54="",-1,H54)=0)*(1-(IF(H54="",-1,H54)&gt;=1)*(IF(H54="",-1,H54)&lt;=3)),IF(C54="peso_corporal",IF(ISNUMBER(E54),E54,0)+F54,F54)*G54*1000+F54,0)=Y54,1,0))))))</f>
        <v>0</v>
      </c>
      <c r="AA54" s="69">
        <f>MAX(IF((G54&gt;=6)*(1-(IF(H54="",-1,H54)&gt;=1)*(IF(H54="",-1,H54)&lt;=3))*(1-(IF(H54="",-1,H54)=0)),IF(C54="peso_corporal",IF(ISNUMBER(E54),E54,0)+F54,F54)*(30+G54)*100+F54,0),IF((J54&gt;=6)*(1-(IF(K54="",-1,K54)&gt;=1)*(IF(K54="",-1,K54)&lt;=3))*(1-(IF(K54="",-1,K54)=0)),IF(C54="peso_corporal",IF(ISNUMBER(E54),E54,0)+I54,I54)*(30+J54)*100+I54,0),IF((M54&gt;=6)*(1-(IF(N54="",-1,N54)&gt;=1)*(IF(N54="",-1,N54)&lt;=3))*(1-(IF(N54="",-1,N54)=0)),IF(C54="peso_corporal",IF(ISNUMBER(E54),E54,0)+L54,L54)*(30+M54)*100+L54,0),IF((P54&gt;=6)*(1-(IF(Q54="",-1,Q54)&gt;=1)*(IF(Q54="",-1,Q54)&lt;=3))*(1-(IF(Q54="",-1,Q54)=0)),IF(C54="peso_corporal",IF(ISNUMBER(E54),E54,0)+O54,O54)*(30+P54)*100+O54,0),IF((S54&gt;=6)*(1-(IF(T54="",-1,T54)&gt;=1)*(IF(T54="",-1,T54)&lt;=3))*(1-(IF(T54="",-1,T54)=0)),IF(C54="peso_corporal",IF(ISNUMBER(E54),E54,0)+R54,R54)*(30+S54)*100+R54,0))</f>
        <v>0</v>
      </c>
      <c r="AB54" s="69">
        <f>IF(AA54=0,0,IF(IF((S54&gt;=6)*(1-(IF(T54="",-1,T54)&gt;=1)*(IF(T54="",-1,T54)&lt;=3))*(1-(IF(T54="",-1,T54)=0)),IF(C54="peso_corporal",IF(ISNUMBER(E54),E54,0)+R54,R54)*(30+S54)*100+R54,0)=AA54,5,IF(IF((P54&gt;=6)*(1-(IF(Q54="",-1,Q54)&gt;=1)*(IF(Q54="",-1,Q54)&lt;=3))*(1-(IF(Q54="",-1,Q54)=0)),IF(C54="peso_corporal",IF(ISNUMBER(E54),E54,0)+O54,O54)*(30+P54)*100+O54,0)=AA54,4,IF(IF((M54&gt;=6)*(1-(IF(N54="",-1,N54)&gt;=1)*(IF(N54="",-1,N54)&lt;=3))*(1-(IF(N54="",-1,N54)=0)),IF(C54="peso_corporal",IF(ISNUMBER(E54),E54,0)+L54,L54)*(30+M54)*100+L54,0)=AA54,3,IF(IF((J54&gt;=6)*(1-(IF(K54="",-1,K54)&gt;=1)*(IF(K54="",-1,K54)&lt;=3))*(1-(IF(K54="",-1,K54)=0)),IF(C54="peso_corporal",IF(ISNUMBER(E54),E54,0)+I54,I54)*(30+J54)*100+I54,0)=AA54,2,IF(IF((G54&gt;=6)*(1-(IF(H54="",-1,H54)&gt;=1)*(IF(H54="",-1,H54)&lt;=3))*(1-(IF(H54="",-1,H54)=0)),IF(C54="peso_corporal",IF(ISNUMBER(E54),E54,0)+F54,F54)*(30+G54)*100+F54,0)=AA54,1,0))))))</f>
        <v>0</v>
      </c>
      <c r="AC54" s="69" t="str">
        <f>IF(X54&gt;0,"A"&amp;X54,IF(Z54&gt;0,"B"&amp;Z54,IF(AB54&gt;0,"C"&amp;AB54,"")))</f>
        <v/>
      </c>
    </row>
    <row r="55" spans="1:29" ht="15" customHeight="1">
      <c r="A55" s="81" t="s">
        <v>53</v>
      </c>
      <c r="B55" s="73"/>
      <c r="C55" s="73"/>
      <c r="D55" s="73"/>
      <c r="E55" s="73"/>
      <c r="F55" s="73"/>
      <c r="G55" s="73"/>
      <c r="H55" s="73"/>
      <c r="I55" s="73"/>
      <c r="J55" s="73"/>
      <c r="K55" s="73"/>
      <c r="L55" s="73"/>
      <c r="M55" s="73"/>
      <c r="N55" s="73"/>
      <c r="O55" s="73"/>
      <c r="P55" s="73"/>
      <c r="Q55" s="73"/>
      <c r="R55" s="73"/>
      <c r="S55" s="73"/>
      <c r="T55" s="73"/>
      <c r="U55" s="73"/>
      <c r="V55" s="73"/>
      <c r="W55" s="69"/>
      <c r="X55" s="69"/>
      <c r="Y55" s="69"/>
      <c r="Z55" s="69"/>
      <c r="AA55" s="69"/>
      <c r="AB55" s="69"/>
      <c r="AC55" s="69"/>
    </row>
    <row r="56" spans="1:29" ht="20.100000000000001" customHeight="1">
      <c r="A56" s="14" t="s">
        <v>54</v>
      </c>
      <c r="B56" s="15" t="s">
        <v>115</v>
      </c>
      <c r="C56" s="16" t="str">
        <f>IFERROR(INDEX(EJERCICIOS!$D$3:$D$75,MATCH(A56&amp;"|"&amp;B56,EJERCICIOS!$G$3:$G$75,0)),"--")</f>
        <v>polea</v>
      </c>
      <c r="D56" s="17">
        <v>3</v>
      </c>
      <c r="E56" s="18">
        <f>IFERROR(LOOKUP(2,1/(MEDIDAS_Y_PESO!$B$3:$B$4&lt;&gt;""),MEDIDAS_Y_PESO!$B$3:$B$4),"--")</f>
        <v>80</v>
      </c>
      <c r="F56" s="19"/>
      <c r="G56" s="20"/>
      <c r="H56" s="21"/>
      <c r="I56" s="19"/>
      <c r="J56" s="20"/>
      <c r="K56" s="21"/>
      <c r="L56" s="19"/>
      <c r="M56" s="20"/>
      <c r="N56" s="21"/>
      <c r="O56" s="19"/>
      <c r="P56" s="20"/>
      <c r="Q56" s="21"/>
      <c r="R56" s="19"/>
      <c r="S56" s="20"/>
      <c r="T56" s="21"/>
      <c r="U56" s="22" t="str">
        <f>IFERROR(IF(IF(X56&gt;0,X56,IF(Z56&gt;0,Z56,IF(AB56&gt;0,AB56,0)))=0,"--",ROUND(CHOOSE(IF(X56&gt;0,X56,IF(Z56&gt;0,Z56,IF(AB56&gt;0,AB56,0))),IF(C56="peso_corporal",IF(ISNUMBER(E56),E56,0)+F56,F56)*(1+G56/30),IF(C56="peso_corporal",IF(ISNUMBER(E56),E56,0)+I56,I56)*(1+J56/30),IF(C56="peso_corporal",IF(ISNUMBER(E56),E56,0)+L56,L56)*(1+M56/30),IF(C56="peso_corporal",IF(ISNUMBER(E56),E56,0)+O56,O56)*(1+P56/30),IF(C56="peso_corporal",IF(ISNUMBER(E56),E56,0)+R56,R56)*(1+S56/30)),1)),"--")</f>
        <v>--</v>
      </c>
      <c r="V56" s="23" t="str">
        <f>IF(SUGERENCIAS!N115="SIN","Sin datos anteriores",IF(SUGERENCIAS!N115="SUBIR_F","^ SUBIR FUERTE | Kg:"&amp;ROUND(SUGERENCIAS!K115,1)&amp;" R:"&amp;ROUND(SUGERENCIAS!L115,0)&amp;" RIR:"&amp;ROUND(SUGERENCIAS!M115,0),IF(SUGERENCIAS!N115="SUBIR_E","^ SUBIR (Est.) | Kg:"&amp;ROUND(SUGERENCIAS!K115,1)&amp;" R:"&amp;ROUND(SUGERENCIAS!L115,0)&amp;" RIR:"&amp;ROUND(SUGERENCIAS!M115,0),IF(SUGERENCIAS!N115="SUBIR","^ SUBIR | Kg:"&amp;ROUND(SUGERENCIAS!K115,1)&amp;" R:"&amp;ROUND(SUGERENCIAS!L115,0)&amp;" RIR:"&amp;ROUND(SUGERENCIAS!M115,0),IF(SUGERENCIAS!N115="BAJAR","v BAJAR | Kg:"&amp;ROUND(SUGERENCIAS!K115,1)&amp;" R:"&amp;ROUND(SUGERENCIAS!L115,0)&amp;" RIR:"&amp;ROUND(SUGERENCIAS!M115,0),"= MANT | Kg:"&amp;ROUND(SUGERENCIAS!K115,1)&amp;" R:"&amp;ROUND(SUGERENCIAS!L115,0)&amp;" RIR:"&amp;ROUND(SUGERENCIAS!M115,0))))))</f>
        <v>Sin datos anteriores</v>
      </c>
      <c r="W56" s="69">
        <f>MAX(IF((G56&gt;0)*(IF(H56="",-1,H56)&gt;=1)*(IF(H56="",-1,H56)&lt;=3),IF(C56="peso_corporal",IF(ISNUMBER(E56),E56,0)+F56,F56)*G56*1000+F56,0),IF((J56&gt;0)*(IF(K56="",-1,K56)&gt;=1)*(IF(K56="",-1,K56)&lt;=3),IF(C56="peso_corporal",IF(ISNUMBER(E56),E56,0)+I56,I56)*J56*1000+I56,0),IF((M56&gt;0)*(IF(N56="",-1,N56)&gt;=1)*(IF(N56="",-1,N56)&lt;=3),IF(C56="peso_corporal",IF(ISNUMBER(E56),E56,0)+L56,L56)*M56*1000+L56,0),IF((P56&gt;0)*(IF(Q56="",-1,Q56)&gt;=1)*(IF(Q56="",-1,Q56)&lt;=3),IF(C56="peso_corporal",IF(ISNUMBER(E56),E56,0)+O56,O56)*P56*1000+O56,0),IF((S56&gt;0)*(IF(T56="",-1,T56)&gt;=1)*(IF(T56="",-1,T56)&lt;=3),IF(C56="peso_corporal",IF(ISNUMBER(E56),E56,0)+R56,R56)*S56*1000+R56,0))</f>
        <v>0</v>
      </c>
      <c r="X56" s="69">
        <f>IF(W56=0,0,IF(IF((S56&gt;0)*(IF(T56="",-1,T56)&gt;=1)*(IF(T56="",-1,T56)&lt;=3),IF(C56="peso_corporal",IF(ISNUMBER(E56),E56,0)+R56,R56)*S56*1000+R56,0)=W56,5,IF(IF((P56&gt;0)*(IF(Q56="",-1,Q56)&gt;=1)*(IF(Q56="",-1,Q56)&lt;=3),IF(C56="peso_corporal",IF(ISNUMBER(E56),E56,0)+O56,O56)*P56*1000+O56,0)=W56,4,IF(IF((M56&gt;0)*(IF(N56="",-1,N56)&gt;=1)*(IF(N56="",-1,N56)&lt;=3),IF(C56="peso_corporal",IF(ISNUMBER(E56),E56,0)+L56,L56)*M56*1000+L56,0)=W56,3,IF(IF((J56&gt;0)*(IF(K56="",-1,K56)&gt;=1)*(IF(K56="",-1,K56)&lt;=3),IF(C56="peso_corporal",IF(ISNUMBER(E56),E56,0)+I56,I56)*J56*1000+I56,0)=W56,2,IF(IF((G56&gt;0)*(IF(H56="",-1,H56)&gt;=1)*(IF(H56="",-1,H56)&lt;=3),IF(C56="peso_corporal",IF(ISNUMBER(E56),E56,0)+F56,F56)*G56*1000+F56,0)=W56,1,0))))))</f>
        <v>0</v>
      </c>
      <c r="Y56" s="69">
        <f>MAX(IF((G56&gt;0)*(IF(H56="",-1,H56)=0)*(1-(IF(H56="",-1,H56)&gt;=1)*(IF(H56="",-1,H56)&lt;=3)),IF(C56="peso_corporal",IF(ISNUMBER(E56),E56,0)+F56,F56)*G56*1000+F56,0),IF((J56&gt;0)*(IF(K56="",-1,K56)=0)*(1-(IF(K56="",-1,K56)&gt;=1)*(IF(K56="",-1,K56)&lt;=3)),IF(C56="peso_corporal",IF(ISNUMBER(E56),E56,0)+I56,I56)*J56*1000+I56,0),IF((M56&gt;0)*(IF(N56="",-1,N56)=0)*(1-(IF(N56="",-1,N56)&gt;=1)*(IF(N56="",-1,N56)&lt;=3)),IF(C56="peso_corporal",IF(ISNUMBER(E56),E56,0)+L56,L56)*M56*1000+L56,0),IF((P56&gt;0)*(IF(Q56="",-1,Q56)=0)*(1-(IF(Q56="",-1,Q56)&gt;=1)*(IF(Q56="",-1,Q56)&lt;=3)),IF(C56="peso_corporal",IF(ISNUMBER(E56),E56,0)+O56,O56)*P56*1000+O56,0),IF((S56&gt;0)*(IF(T56="",-1,T56)=0)*(1-(IF(T56="",-1,T56)&gt;=1)*(IF(T56="",-1,T56)&lt;=3)),IF(C56="peso_corporal",IF(ISNUMBER(E56),E56,0)+R56,R56)*S56*1000+R56,0))</f>
        <v>0</v>
      </c>
      <c r="Z56" s="69">
        <f>IF(Y56=0,0,IF(IF((S56&gt;0)*(IF(T56="",-1,T56)=0)*(1-(IF(T56="",-1,T56)&gt;=1)*(IF(T56="",-1,T56)&lt;=3)),IF(C56="peso_corporal",IF(ISNUMBER(E56),E56,0)+R56,R56)*S56*1000+R56,0)=Y56,5,IF(IF((P56&gt;0)*(IF(Q56="",-1,Q56)=0)*(1-(IF(Q56="",-1,Q56)&gt;=1)*(IF(Q56="",-1,Q56)&lt;=3)),IF(C56="peso_corporal",IF(ISNUMBER(E56),E56,0)+O56,O56)*P56*1000+O56,0)=Y56,4,IF(IF((M56&gt;0)*(IF(N56="",-1,N56)=0)*(1-(IF(N56="",-1,N56)&gt;=1)*(IF(N56="",-1,N56)&lt;=3)),IF(C56="peso_corporal",IF(ISNUMBER(E56),E56,0)+L56,L56)*M56*1000+L56,0)=Y56,3,IF(IF((J56&gt;0)*(IF(K56="",-1,K56)=0)*(1-(IF(K56="",-1,K56)&gt;=1)*(IF(K56="",-1,K56)&lt;=3)),IF(C56="peso_corporal",IF(ISNUMBER(E56),E56,0)+I56,I56)*J56*1000+I56,0)=Y56,2,IF(IF((G56&gt;0)*(IF(H56="",-1,H56)=0)*(1-(IF(H56="",-1,H56)&gt;=1)*(IF(H56="",-1,H56)&lt;=3)),IF(C56="peso_corporal",IF(ISNUMBER(E56),E56,0)+F56,F56)*G56*1000+F56,0)=Y56,1,0))))))</f>
        <v>0</v>
      </c>
      <c r="AA56" s="69">
        <f>MAX(IF((G56&gt;=6)*(1-(IF(H56="",-1,H56)&gt;=1)*(IF(H56="",-1,H56)&lt;=3))*(1-(IF(H56="",-1,H56)=0)),IF(C56="peso_corporal",IF(ISNUMBER(E56),E56,0)+F56,F56)*(30+G56)*100+F56,0),IF((J56&gt;=6)*(1-(IF(K56="",-1,K56)&gt;=1)*(IF(K56="",-1,K56)&lt;=3))*(1-(IF(K56="",-1,K56)=0)),IF(C56="peso_corporal",IF(ISNUMBER(E56),E56,0)+I56,I56)*(30+J56)*100+I56,0),IF((M56&gt;=6)*(1-(IF(N56="",-1,N56)&gt;=1)*(IF(N56="",-1,N56)&lt;=3))*(1-(IF(N56="",-1,N56)=0)),IF(C56="peso_corporal",IF(ISNUMBER(E56),E56,0)+L56,L56)*(30+M56)*100+L56,0),IF((P56&gt;=6)*(1-(IF(Q56="",-1,Q56)&gt;=1)*(IF(Q56="",-1,Q56)&lt;=3))*(1-(IF(Q56="",-1,Q56)=0)),IF(C56="peso_corporal",IF(ISNUMBER(E56),E56,0)+O56,O56)*(30+P56)*100+O56,0),IF((S56&gt;=6)*(1-(IF(T56="",-1,T56)&gt;=1)*(IF(T56="",-1,T56)&lt;=3))*(1-(IF(T56="",-1,T56)=0)),IF(C56="peso_corporal",IF(ISNUMBER(E56),E56,0)+R56,R56)*(30+S56)*100+R56,0))</f>
        <v>0</v>
      </c>
      <c r="AB56" s="69">
        <f>IF(AA56=0,0,IF(IF((S56&gt;=6)*(1-(IF(T56="",-1,T56)&gt;=1)*(IF(T56="",-1,T56)&lt;=3))*(1-(IF(T56="",-1,T56)=0)),IF(C56="peso_corporal",IF(ISNUMBER(E56),E56,0)+R56,R56)*(30+S56)*100+R56,0)=AA56,5,IF(IF((P56&gt;=6)*(1-(IF(Q56="",-1,Q56)&gt;=1)*(IF(Q56="",-1,Q56)&lt;=3))*(1-(IF(Q56="",-1,Q56)=0)),IF(C56="peso_corporal",IF(ISNUMBER(E56),E56,0)+O56,O56)*(30+P56)*100+O56,0)=AA56,4,IF(IF((M56&gt;=6)*(1-(IF(N56="",-1,N56)&gt;=1)*(IF(N56="",-1,N56)&lt;=3))*(1-(IF(N56="",-1,N56)=0)),IF(C56="peso_corporal",IF(ISNUMBER(E56),E56,0)+L56,L56)*(30+M56)*100+L56,0)=AA56,3,IF(IF((J56&gt;=6)*(1-(IF(K56="",-1,K56)&gt;=1)*(IF(K56="",-1,K56)&lt;=3))*(1-(IF(K56="",-1,K56)=0)),IF(C56="peso_corporal",IF(ISNUMBER(E56),E56,0)+I56,I56)*(30+J56)*100+I56,0)=AA56,2,IF(IF((G56&gt;=6)*(1-(IF(H56="",-1,H56)&gt;=1)*(IF(H56="",-1,H56)&lt;=3))*(1-(IF(H56="",-1,H56)=0)),IF(C56="peso_corporal",IF(ISNUMBER(E56),E56,0)+F56,F56)*(30+G56)*100+F56,0)=AA56,1,0))))))</f>
        <v>0</v>
      </c>
      <c r="AC56" s="69" t="str">
        <f>IF(X56&gt;0,"A"&amp;X56,IF(Z56&gt;0,"B"&amp;Z56,IF(AB56&gt;0,"C"&amp;AB56,"")))</f>
        <v/>
      </c>
    </row>
    <row r="57" spans="1:29" ht="15" customHeight="1">
      <c r="A57" s="72" t="s">
        <v>56</v>
      </c>
      <c r="B57" s="73"/>
      <c r="C57" s="73"/>
      <c r="D57" s="73"/>
      <c r="E57" s="73"/>
      <c r="F57" s="73"/>
      <c r="G57" s="73"/>
      <c r="H57" s="73"/>
      <c r="I57" s="73"/>
      <c r="J57" s="73"/>
      <c r="K57" s="73"/>
      <c r="L57" s="73"/>
      <c r="M57" s="73"/>
      <c r="N57" s="73"/>
      <c r="O57" s="73"/>
      <c r="P57" s="73"/>
      <c r="Q57" s="73"/>
      <c r="R57" s="73"/>
      <c r="S57" s="73"/>
      <c r="T57" s="73"/>
      <c r="U57" s="73"/>
      <c r="V57" s="73"/>
      <c r="W57" s="69"/>
      <c r="X57" s="69"/>
      <c r="Y57" s="69"/>
      <c r="Z57" s="69"/>
      <c r="AA57" s="69"/>
      <c r="AB57" s="69"/>
      <c r="AC57" s="69"/>
    </row>
    <row r="58" spans="1:29" ht="20.100000000000001" customHeight="1">
      <c r="A58" s="14" t="s">
        <v>57</v>
      </c>
      <c r="B58" s="15" t="s">
        <v>58</v>
      </c>
      <c r="C58" s="16" t="str">
        <f>IFERROR(INDEX(EJERCICIOS!$D$3:$D$75,MATCH(A58&amp;"|"&amp;B58,EJERCICIOS!$G$3:$G$75,0)),"--")</f>
        <v>polea</v>
      </c>
      <c r="D58" s="17">
        <v>3</v>
      </c>
      <c r="E58" s="18">
        <f>IFERROR(LOOKUP(2,1/(MEDIDAS_Y_PESO!$B$3:$B$4&lt;&gt;""),MEDIDAS_Y_PESO!$B$3:$B$4),"--")</f>
        <v>80</v>
      </c>
      <c r="F58" s="19"/>
      <c r="G58" s="20"/>
      <c r="H58" s="21"/>
      <c r="I58" s="19"/>
      <c r="J58" s="20"/>
      <c r="K58" s="21"/>
      <c r="L58" s="19"/>
      <c r="M58" s="20"/>
      <c r="N58" s="21"/>
      <c r="O58" s="19"/>
      <c r="P58" s="20"/>
      <c r="Q58" s="21"/>
      <c r="R58" s="19"/>
      <c r="S58" s="20"/>
      <c r="T58" s="21"/>
      <c r="U58" s="22" t="str">
        <f>IFERROR(IF(IF(X58&gt;0,X58,IF(Z58&gt;0,Z58,IF(AB58&gt;0,AB58,0)))=0,"--",ROUND(CHOOSE(IF(X58&gt;0,X58,IF(Z58&gt;0,Z58,IF(AB58&gt;0,AB58,0))),IF(C58="peso_corporal",IF(ISNUMBER(E58),E58,0)+F58,F58)*(1+G58/30),IF(C58="peso_corporal",IF(ISNUMBER(E58),E58,0)+I58,I58)*(1+J58/30),IF(C58="peso_corporal",IF(ISNUMBER(E58),E58,0)+L58,L58)*(1+M58/30),IF(C58="peso_corporal",IF(ISNUMBER(E58),E58,0)+O58,O58)*(1+P58/30),IF(C58="peso_corporal",IF(ISNUMBER(E58),E58,0)+R58,R58)*(1+S58/30)),1)),"--")</f>
        <v>--</v>
      </c>
      <c r="V58" s="23" t="str">
        <f>IF(SUGERENCIAS!N116="SIN","Sin datos anteriores",IF(SUGERENCIAS!N116="SUBIR_F","^ SUBIR FUERTE | Kg:"&amp;ROUND(SUGERENCIAS!K116,1)&amp;" R:"&amp;ROUND(SUGERENCIAS!L116,0)&amp;" RIR:"&amp;ROUND(SUGERENCIAS!M116,0),IF(SUGERENCIAS!N116="SUBIR_E","^ SUBIR (Est.) | Kg:"&amp;ROUND(SUGERENCIAS!K116,1)&amp;" R:"&amp;ROUND(SUGERENCIAS!L116,0)&amp;" RIR:"&amp;ROUND(SUGERENCIAS!M116,0),IF(SUGERENCIAS!N116="SUBIR","^ SUBIR | Kg:"&amp;ROUND(SUGERENCIAS!K116,1)&amp;" R:"&amp;ROUND(SUGERENCIAS!L116,0)&amp;" RIR:"&amp;ROUND(SUGERENCIAS!M116,0),IF(SUGERENCIAS!N116="BAJAR","v BAJAR | Kg:"&amp;ROUND(SUGERENCIAS!K116,1)&amp;" R:"&amp;ROUND(SUGERENCIAS!L116,0)&amp;" RIR:"&amp;ROUND(SUGERENCIAS!M116,0),"= MANT | Kg:"&amp;ROUND(SUGERENCIAS!K116,1)&amp;" R:"&amp;ROUND(SUGERENCIAS!L116,0)&amp;" RIR:"&amp;ROUND(SUGERENCIAS!M116,0))))))</f>
        <v>Sin datos anteriores</v>
      </c>
      <c r="W58" s="69">
        <f>MAX(IF((G58&gt;0)*(IF(H58="",-1,H58)&gt;=1)*(IF(H58="",-1,H58)&lt;=3),IF(C58="peso_corporal",IF(ISNUMBER(E58),E58,0)+F58,F58)*G58*1000+F58,0),IF((J58&gt;0)*(IF(K58="",-1,K58)&gt;=1)*(IF(K58="",-1,K58)&lt;=3),IF(C58="peso_corporal",IF(ISNUMBER(E58),E58,0)+I58,I58)*J58*1000+I58,0),IF((M58&gt;0)*(IF(N58="",-1,N58)&gt;=1)*(IF(N58="",-1,N58)&lt;=3),IF(C58="peso_corporal",IF(ISNUMBER(E58),E58,0)+L58,L58)*M58*1000+L58,0),IF((P58&gt;0)*(IF(Q58="",-1,Q58)&gt;=1)*(IF(Q58="",-1,Q58)&lt;=3),IF(C58="peso_corporal",IF(ISNUMBER(E58),E58,0)+O58,O58)*P58*1000+O58,0),IF((S58&gt;0)*(IF(T58="",-1,T58)&gt;=1)*(IF(T58="",-1,T58)&lt;=3),IF(C58="peso_corporal",IF(ISNUMBER(E58),E58,0)+R58,R58)*S58*1000+R58,0))</f>
        <v>0</v>
      </c>
      <c r="X58" s="69">
        <f>IF(W58=0,0,IF(IF((S58&gt;0)*(IF(T58="",-1,T58)&gt;=1)*(IF(T58="",-1,T58)&lt;=3),IF(C58="peso_corporal",IF(ISNUMBER(E58),E58,0)+R58,R58)*S58*1000+R58,0)=W58,5,IF(IF((P58&gt;0)*(IF(Q58="",-1,Q58)&gt;=1)*(IF(Q58="",-1,Q58)&lt;=3),IF(C58="peso_corporal",IF(ISNUMBER(E58),E58,0)+O58,O58)*P58*1000+O58,0)=W58,4,IF(IF((M58&gt;0)*(IF(N58="",-1,N58)&gt;=1)*(IF(N58="",-1,N58)&lt;=3),IF(C58="peso_corporal",IF(ISNUMBER(E58),E58,0)+L58,L58)*M58*1000+L58,0)=W58,3,IF(IF((J58&gt;0)*(IF(K58="",-1,K58)&gt;=1)*(IF(K58="",-1,K58)&lt;=3),IF(C58="peso_corporal",IF(ISNUMBER(E58),E58,0)+I58,I58)*J58*1000+I58,0)=W58,2,IF(IF((G58&gt;0)*(IF(H58="",-1,H58)&gt;=1)*(IF(H58="",-1,H58)&lt;=3),IF(C58="peso_corporal",IF(ISNUMBER(E58),E58,0)+F58,F58)*G58*1000+F58,0)=W58,1,0))))))</f>
        <v>0</v>
      </c>
      <c r="Y58" s="69">
        <f>MAX(IF((G58&gt;0)*(IF(H58="",-1,H58)=0)*(1-(IF(H58="",-1,H58)&gt;=1)*(IF(H58="",-1,H58)&lt;=3)),IF(C58="peso_corporal",IF(ISNUMBER(E58),E58,0)+F58,F58)*G58*1000+F58,0),IF((J58&gt;0)*(IF(K58="",-1,K58)=0)*(1-(IF(K58="",-1,K58)&gt;=1)*(IF(K58="",-1,K58)&lt;=3)),IF(C58="peso_corporal",IF(ISNUMBER(E58),E58,0)+I58,I58)*J58*1000+I58,0),IF((M58&gt;0)*(IF(N58="",-1,N58)=0)*(1-(IF(N58="",-1,N58)&gt;=1)*(IF(N58="",-1,N58)&lt;=3)),IF(C58="peso_corporal",IF(ISNUMBER(E58),E58,0)+L58,L58)*M58*1000+L58,0),IF((P58&gt;0)*(IF(Q58="",-1,Q58)=0)*(1-(IF(Q58="",-1,Q58)&gt;=1)*(IF(Q58="",-1,Q58)&lt;=3)),IF(C58="peso_corporal",IF(ISNUMBER(E58),E58,0)+O58,O58)*P58*1000+O58,0),IF((S58&gt;0)*(IF(T58="",-1,T58)=0)*(1-(IF(T58="",-1,T58)&gt;=1)*(IF(T58="",-1,T58)&lt;=3)),IF(C58="peso_corporal",IF(ISNUMBER(E58),E58,0)+R58,R58)*S58*1000+R58,0))</f>
        <v>0</v>
      </c>
      <c r="Z58" s="69">
        <f>IF(Y58=0,0,IF(IF((S58&gt;0)*(IF(T58="",-1,T58)=0)*(1-(IF(T58="",-1,T58)&gt;=1)*(IF(T58="",-1,T58)&lt;=3)),IF(C58="peso_corporal",IF(ISNUMBER(E58),E58,0)+R58,R58)*S58*1000+R58,0)=Y58,5,IF(IF((P58&gt;0)*(IF(Q58="",-1,Q58)=0)*(1-(IF(Q58="",-1,Q58)&gt;=1)*(IF(Q58="",-1,Q58)&lt;=3)),IF(C58="peso_corporal",IF(ISNUMBER(E58),E58,0)+O58,O58)*P58*1000+O58,0)=Y58,4,IF(IF((M58&gt;0)*(IF(N58="",-1,N58)=0)*(1-(IF(N58="",-1,N58)&gt;=1)*(IF(N58="",-1,N58)&lt;=3)),IF(C58="peso_corporal",IF(ISNUMBER(E58),E58,0)+L58,L58)*M58*1000+L58,0)=Y58,3,IF(IF((J58&gt;0)*(IF(K58="",-1,K58)=0)*(1-(IF(K58="",-1,K58)&gt;=1)*(IF(K58="",-1,K58)&lt;=3)),IF(C58="peso_corporal",IF(ISNUMBER(E58),E58,0)+I58,I58)*J58*1000+I58,0)=Y58,2,IF(IF((G58&gt;0)*(IF(H58="",-1,H58)=0)*(1-(IF(H58="",-1,H58)&gt;=1)*(IF(H58="",-1,H58)&lt;=3)),IF(C58="peso_corporal",IF(ISNUMBER(E58),E58,0)+F58,F58)*G58*1000+F58,0)=Y58,1,0))))))</f>
        <v>0</v>
      </c>
      <c r="AA58" s="69">
        <f>MAX(IF((G58&gt;=6)*(1-(IF(H58="",-1,H58)&gt;=1)*(IF(H58="",-1,H58)&lt;=3))*(1-(IF(H58="",-1,H58)=0)),IF(C58="peso_corporal",IF(ISNUMBER(E58),E58,0)+F58,F58)*(30+G58)*100+F58,0),IF((J58&gt;=6)*(1-(IF(K58="",-1,K58)&gt;=1)*(IF(K58="",-1,K58)&lt;=3))*(1-(IF(K58="",-1,K58)=0)),IF(C58="peso_corporal",IF(ISNUMBER(E58),E58,0)+I58,I58)*(30+J58)*100+I58,0),IF((M58&gt;=6)*(1-(IF(N58="",-1,N58)&gt;=1)*(IF(N58="",-1,N58)&lt;=3))*(1-(IF(N58="",-1,N58)=0)),IF(C58="peso_corporal",IF(ISNUMBER(E58),E58,0)+L58,L58)*(30+M58)*100+L58,0),IF((P58&gt;=6)*(1-(IF(Q58="",-1,Q58)&gt;=1)*(IF(Q58="",-1,Q58)&lt;=3))*(1-(IF(Q58="",-1,Q58)=0)),IF(C58="peso_corporal",IF(ISNUMBER(E58),E58,0)+O58,O58)*(30+P58)*100+O58,0),IF((S58&gt;=6)*(1-(IF(T58="",-1,T58)&gt;=1)*(IF(T58="",-1,T58)&lt;=3))*(1-(IF(T58="",-1,T58)=0)),IF(C58="peso_corporal",IF(ISNUMBER(E58),E58,0)+R58,R58)*(30+S58)*100+R58,0))</f>
        <v>0</v>
      </c>
      <c r="AB58" s="69">
        <f>IF(AA58=0,0,IF(IF((S58&gt;=6)*(1-(IF(T58="",-1,T58)&gt;=1)*(IF(T58="",-1,T58)&lt;=3))*(1-(IF(T58="",-1,T58)=0)),IF(C58="peso_corporal",IF(ISNUMBER(E58),E58,0)+R58,R58)*(30+S58)*100+R58,0)=AA58,5,IF(IF((P58&gt;=6)*(1-(IF(Q58="",-1,Q58)&gt;=1)*(IF(Q58="",-1,Q58)&lt;=3))*(1-(IF(Q58="",-1,Q58)=0)),IF(C58="peso_corporal",IF(ISNUMBER(E58),E58,0)+O58,O58)*(30+P58)*100+O58,0)=AA58,4,IF(IF((M58&gt;=6)*(1-(IF(N58="",-1,N58)&gt;=1)*(IF(N58="",-1,N58)&lt;=3))*(1-(IF(N58="",-1,N58)=0)),IF(C58="peso_corporal",IF(ISNUMBER(E58),E58,0)+L58,L58)*(30+M58)*100+L58,0)=AA58,3,IF(IF((J58&gt;=6)*(1-(IF(K58="",-1,K58)&gt;=1)*(IF(K58="",-1,K58)&lt;=3))*(1-(IF(K58="",-1,K58)=0)),IF(C58="peso_corporal",IF(ISNUMBER(E58),E58,0)+I58,I58)*(30+J58)*100+I58,0)=AA58,2,IF(IF((G58&gt;=6)*(1-(IF(H58="",-1,H58)&gt;=1)*(IF(H58="",-1,H58)&lt;=3))*(1-(IF(H58="",-1,H58)=0)),IF(C58="peso_corporal",IF(ISNUMBER(E58),E58,0)+F58,F58)*(30+G58)*100+F58,0)=AA58,1,0))))))</f>
        <v>0</v>
      </c>
      <c r="AC58" s="69" t="str">
        <f>IF(X58&gt;0,"A"&amp;X58,IF(Z58&gt;0,"B"&amp;Z58,IF(AB58&gt;0,"C"&amp;AB58,"")))</f>
        <v/>
      </c>
    </row>
    <row r="59" spans="1:29" ht="6" customHeight="1">
      <c r="A59" s="13"/>
      <c r="B59" s="13"/>
      <c r="C59" s="13"/>
      <c r="D59" s="13"/>
      <c r="E59" s="13"/>
      <c r="F59" s="13"/>
      <c r="G59" s="13"/>
      <c r="H59" s="13"/>
      <c r="I59" s="13"/>
      <c r="J59" s="13"/>
      <c r="K59" s="13"/>
      <c r="L59" s="13"/>
      <c r="M59" s="13"/>
      <c r="N59" s="13"/>
      <c r="O59" s="13"/>
      <c r="P59" s="13"/>
      <c r="Q59" s="13"/>
      <c r="R59" s="13"/>
      <c r="S59" s="13"/>
      <c r="T59" s="13"/>
      <c r="U59" s="13"/>
      <c r="V59" s="13"/>
      <c r="W59" s="69"/>
      <c r="X59" s="69"/>
      <c r="Y59" s="69"/>
      <c r="Z59" s="69"/>
      <c r="AA59" s="69"/>
      <c r="AB59" s="69"/>
      <c r="AC59" s="69"/>
    </row>
    <row r="60" spans="1:29" ht="18" customHeight="1">
      <c r="A60" s="85" t="s">
        <v>68</v>
      </c>
      <c r="B60" s="73"/>
      <c r="C60" s="73"/>
      <c r="D60" s="73"/>
      <c r="E60" s="73"/>
      <c r="F60" s="73"/>
      <c r="G60" s="73"/>
      <c r="H60" s="73"/>
      <c r="I60" s="73"/>
      <c r="J60" s="73"/>
      <c r="K60" s="73"/>
      <c r="L60" s="73"/>
      <c r="M60" s="73"/>
      <c r="N60" s="73"/>
      <c r="O60" s="73"/>
      <c r="P60" s="73"/>
      <c r="Q60" s="73"/>
      <c r="R60" s="73"/>
      <c r="S60" s="73"/>
      <c r="T60" s="73"/>
      <c r="U60" s="73"/>
      <c r="V60" s="73"/>
      <c r="W60" s="69"/>
      <c r="X60" s="69"/>
      <c r="Y60" s="69"/>
      <c r="Z60" s="69"/>
      <c r="AA60" s="69"/>
      <c r="AB60" s="69"/>
      <c r="AC60" s="69"/>
    </row>
    <row r="61" spans="1:29" ht="15" customHeight="1">
      <c r="A61" s="81" t="s">
        <v>42</v>
      </c>
      <c r="B61" s="73"/>
      <c r="C61" s="73"/>
      <c r="D61" s="73"/>
      <c r="E61" s="73"/>
      <c r="F61" s="73"/>
      <c r="G61" s="73"/>
      <c r="H61" s="73"/>
      <c r="I61" s="73"/>
      <c r="J61" s="73"/>
      <c r="K61" s="73"/>
      <c r="L61" s="73"/>
      <c r="M61" s="73"/>
      <c r="N61" s="73"/>
      <c r="O61" s="73"/>
      <c r="P61" s="73"/>
      <c r="Q61" s="73"/>
      <c r="R61" s="73"/>
      <c r="S61" s="73"/>
      <c r="T61" s="73"/>
      <c r="U61" s="73"/>
      <c r="V61" s="73"/>
      <c r="W61" s="69"/>
      <c r="X61" s="69"/>
      <c r="Y61" s="69"/>
      <c r="Z61" s="69"/>
      <c r="AA61" s="69"/>
      <c r="AB61" s="69"/>
      <c r="AC61" s="69"/>
    </row>
    <row r="62" spans="1:29" ht="20.100000000000001" customHeight="1">
      <c r="A62" s="14" t="s">
        <v>45</v>
      </c>
      <c r="B62" s="15" t="s">
        <v>93</v>
      </c>
      <c r="C62" s="16" t="str">
        <f>IFERROR(INDEX(EJERCICIOS!$D$3:$D$75,MATCH(A62&amp;"|"&amp;B62,EJERCICIOS!$G$3:$G$75,0)),"--")</f>
        <v>--</v>
      </c>
      <c r="D62" s="17">
        <v>3</v>
      </c>
      <c r="E62" s="18">
        <f>IFERROR(LOOKUP(2,1/(MEDIDAS_Y_PESO!$B$3:$B$5&lt;&gt;""),MEDIDAS_Y_PESO!$B$3:$B$5),"--")</f>
        <v>80</v>
      </c>
      <c r="F62" s="19"/>
      <c r="G62" s="20"/>
      <c r="H62" s="21"/>
      <c r="I62" s="19"/>
      <c r="J62" s="20"/>
      <c r="K62" s="21"/>
      <c r="L62" s="19"/>
      <c r="M62" s="20"/>
      <c r="N62" s="21"/>
      <c r="O62" s="19"/>
      <c r="P62" s="20"/>
      <c r="Q62" s="21"/>
      <c r="R62" s="19"/>
      <c r="S62" s="20"/>
      <c r="T62" s="21"/>
      <c r="U62" s="22" t="str">
        <f>IFERROR(IF(IF(X62&gt;0,X62,IF(Z62&gt;0,Z62,IF(AB62&gt;0,AB62,0)))=0,"--",ROUND(CHOOSE(IF(X62&gt;0,X62,IF(Z62&gt;0,Z62,IF(AB62&gt;0,AB62,0))),IF(C62="peso_corporal",IF(ISNUMBER(E62),E62,0)+F62,F62)*(1+G62/30),IF(C62="peso_corporal",IF(ISNUMBER(E62),E62,0)+I62,I62)*(1+J62/30),IF(C62="peso_corporal",IF(ISNUMBER(E62),E62,0)+L62,L62)*(1+M62/30),IF(C62="peso_corporal",IF(ISNUMBER(E62),E62,0)+O62,O62)*(1+P62/30),IF(C62="peso_corporal",IF(ISNUMBER(E62),E62,0)+R62,R62)*(1+S62/30)),1)),"--")</f>
        <v>--</v>
      </c>
      <c r="V62" s="23" t="str">
        <f>IF(SUGERENCIAS!N167="SIN","Sin datos anteriores",IF(SUGERENCIAS!N167="SUBIR_F","^ SUBIR FUERTE | Kg:"&amp;ROUND(SUGERENCIAS!K167,1)&amp;" R:"&amp;ROUND(SUGERENCIAS!L167,0)&amp;" RIR:"&amp;ROUND(SUGERENCIAS!M167,0),IF(SUGERENCIAS!N167="SUBIR_E","^ SUBIR (Est.) | Kg:"&amp;ROUND(SUGERENCIAS!K167,1)&amp;" R:"&amp;ROUND(SUGERENCIAS!L167,0)&amp;" RIR:"&amp;ROUND(SUGERENCIAS!M167,0),IF(SUGERENCIAS!N167="SUBIR","^ SUBIR | Kg:"&amp;ROUND(SUGERENCIAS!K167,1)&amp;" R:"&amp;ROUND(SUGERENCIAS!L167,0)&amp;" RIR:"&amp;ROUND(SUGERENCIAS!M167,0),IF(SUGERENCIAS!N167="BAJAR","v BAJAR | Kg:"&amp;ROUND(SUGERENCIAS!K167,1)&amp;" R:"&amp;ROUND(SUGERENCIAS!L167,0)&amp;" RIR:"&amp;ROUND(SUGERENCIAS!M167,0),"= MANT | Kg:"&amp;ROUND(SUGERENCIAS!K167,1)&amp;" R:"&amp;ROUND(SUGERENCIAS!L167,0)&amp;" RIR:"&amp;ROUND(SUGERENCIAS!M167,0))))))</f>
        <v>Sin datos anteriores</v>
      </c>
      <c r="W62" s="69">
        <f>MAX(IF((G62&gt;0)*(IF(H62="",-1,H62)&gt;=0)*(IF(H62="",-1,H62)&lt;=1),IF(C62="peso_corporal",IF(ISNUMBER(E62),E62,0)+F62,F62)*G62*1000+F62,0),IF((J62&gt;0)*(IF(K62="",-1,K62)&gt;=0)*(IF(K62="",-1,K62)&lt;=1),IF(C62="peso_corporal",IF(ISNUMBER(E62),E62,0)+I62,I62)*J62*1000+I62,0),IF((M62&gt;0)*(IF(N62="",-1,N62)&gt;=0)*(IF(N62="",-1,N62)&lt;=1),IF(C62="peso_corporal",IF(ISNUMBER(E62),E62,0)+L62,L62)*M62*1000+L62,0),IF((P62&gt;0)*(IF(Q62="",-1,Q62)&gt;=0)*(IF(Q62="",-1,Q62)&lt;=1),IF(C62="peso_corporal",IF(ISNUMBER(E62),E62,0)+O62,O62)*P62*1000+O62,0),IF((S62&gt;0)*(IF(T62="",-1,T62)&gt;=0)*(IF(T62="",-1,T62)&lt;=1),IF(C62="peso_corporal",IF(ISNUMBER(E62),E62,0)+R62,R62)*S62*1000+R62,0))</f>
        <v>0</v>
      </c>
      <c r="X62" s="69">
        <f>IF(W62=0,0,IF(IF((S62&gt;0)*(IF(T62="",-1,T62)&gt;=0)*(IF(T62="",-1,T62)&lt;=1),IF(C62="peso_corporal",IF(ISNUMBER(E62),E62,0)+R62,R62)*S62*1000+R62,0)=W62,5,IF(IF((P62&gt;0)*(IF(Q62="",-1,Q62)&gt;=0)*(IF(Q62="",-1,Q62)&lt;=1),IF(C62="peso_corporal",IF(ISNUMBER(E62),E62,0)+O62,O62)*P62*1000+O62,0)=W62,4,IF(IF((M62&gt;0)*(IF(N62="",-1,N62)&gt;=0)*(IF(N62="",-1,N62)&lt;=1),IF(C62="peso_corporal",IF(ISNUMBER(E62),E62,0)+L62,L62)*M62*1000+L62,0)=W62,3,IF(IF((J62&gt;0)*(IF(K62="",-1,K62)&gt;=0)*(IF(K62="",-1,K62)&lt;=1),IF(C62="peso_corporal",IF(ISNUMBER(E62),E62,0)+I62,I62)*J62*1000+I62,0)=W62,2,IF(IF((G62&gt;0)*(IF(H62="",-1,H62)&gt;=0)*(IF(H62="",-1,H62)&lt;=1),IF(C62="peso_corporal",IF(ISNUMBER(E62),E62,0)+F62,F62)*G62*1000+F62,0)=W62,1,0))))))</f>
        <v>0</v>
      </c>
      <c r="Y62" s="69">
        <f>MAX(IF((G62&gt;0)*(IF(H62="",-1,H62)=0)*(1-(IF(H62="",-1,H62)&gt;=0)*(IF(H62="",-1,H62)&lt;=1)),IF(C62="peso_corporal",IF(ISNUMBER(E62),E62,0)+F62,F62)*G62*1000+F62,0),IF((J62&gt;0)*(IF(K62="",-1,K62)=0)*(1-(IF(K62="",-1,K62)&gt;=0)*(IF(K62="",-1,K62)&lt;=1)),IF(C62="peso_corporal",IF(ISNUMBER(E62),E62,0)+I62,I62)*J62*1000+I62,0),IF((M62&gt;0)*(IF(N62="",-1,N62)=0)*(1-(IF(N62="",-1,N62)&gt;=0)*(IF(N62="",-1,N62)&lt;=1)),IF(C62="peso_corporal",IF(ISNUMBER(E62),E62,0)+L62,L62)*M62*1000+L62,0),IF((P62&gt;0)*(IF(Q62="",-1,Q62)=0)*(1-(IF(Q62="",-1,Q62)&gt;=0)*(IF(Q62="",-1,Q62)&lt;=1)),IF(C62="peso_corporal",IF(ISNUMBER(E62),E62,0)+O62,O62)*P62*1000+O62,0),IF((S62&gt;0)*(IF(T62="",-1,T62)=0)*(1-(IF(T62="",-1,T62)&gt;=0)*(IF(T62="",-1,T62)&lt;=1)),IF(C62="peso_corporal",IF(ISNUMBER(E62),E62,0)+R62,R62)*S62*1000+R62,0))</f>
        <v>0</v>
      </c>
      <c r="Z62" s="69">
        <f>IF(Y62=0,0,IF(IF((S62&gt;0)*(IF(T62="",-1,T62)=0)*(1-(IF(T62="",-1,T62)&gt;=0)*(IF(T62="",-1,T62)&lt;=1)),IF(C62="peso_corporal",IF(ISNUMBER(E62),E62,0)+R62,R62)*S62*1000+R62,0)=Y62,5,IF(IF((P62&gt;0)*(IF(Q62="",-1,Q62)=0)*(1-(IF(Q62="",-1,Q62)&gt;=0)*(IF(Q62="",-1,Q62)&lt;=1)),IF(C62="peso_corporal",IF(ISNUMBER(E62),E62,0)+O62,O62)*P62*1000+O62,0)=Y62,4,IF(IF((M62&gt;0)*(IF(N62="",-1,N62)=0)*(1-(IF(N62="",-1,N62)&gt;=0)*(IF(N62="",-1,N62)&lt;=1)),IF(C62="peso_corporal",IF(ISNUMBER(E62),E62,0)+L62,L62)*M62*1000+L62,0)=Y62,3,IF(IF((J62&gt;0)*(IF(K62="",-1,K62)=0)*(1-(IF(K62="",-1,K62)&gt;=0)*(IF(K62="",-1,K62)&lt;=1)),IF(C62="peso_corporal",IF(ISNUMBER(E62),E62,0)+I62,I62)*J62*1000+I62,0)=Y62,2,IF(IF((G62&gt;0)*(IF(H62="",-1,H62)=0)*(1-(IF(H62="",-1,H62)&gt;=0)*(IF(H62="",-1,H62)&lt;=1)),IF(C62="peso_corporal",IF(ISNUMBER(E62),E62,0)+F62,F62)*G62*1000+F62,0)=Y62,1,0))))))</f>
        <v>0</v>
      </c>
      <c r="AA62" s="69">
        <f>MAX(IF((G62&gt;=3)*(1-(IF(H62="",-1,H62)&gt;=0)*(IF(H62="",-1,H62)&lt;=1))*(1-(IF(H62="",-1,H62)=0)),IF(C62="peso_corporal",IF(ISNUMBER(E62),E62,0)+F62,F62)*(30+G62)*100+F62,0),IF((J62&gt;=3)*(1-(IF(K62="",-1,K62)&gt;=0)*(IF(K62="",-1,K62)&lt;=1))*(1-(IF(K62="",-1,K62)=0)),IF(C62="peso_corporal",IF(ISNUMBER(E62),E62,0)+I62,I62)*(30+J62)*100+I62,0),IF((M62&gt;=3)*(1-(IF(N62="",-1,N62)&gt;=0)*(IF(N62="",-1,N62)&lt;=1))*(1-(IF(N62="",-1,N62)=0)),IF(C62="peso_corporal",IF(ISNUMBER(E62),E62,0)+L62,L62)*(30+M62)*100+L62,0),IF((P62&gt;=3)*(1-(IF(Q62="",-1,Q62)&gt;=0)*(IF(Q62="",-1,Q62)&lt;=1))*(1-(IF(Q62="",-1,Q62)=0)),IF(C62="peso_corporal",IF(ISNUMBER(E62),E62,0)+O62,O62)*(30+P62)*100+O62,0),IF((S62&gt;=3)*(1-(IF(T62="",-1,T62)&gt;=0)*(IF(T62="",-1,T62)&lt;=1))*(1-(IF(T62="",-1,T62)=0)),IF(C62="peso_corporal",IF(ISNUMBER(E62),E62,0)+R62,R62)*(30+S62)*100+R62,0))</f>
        <v>0</v>
      </c>
      <c r="AB62" s="69">
        <f>IF(AA62=0,0,IF(IF((S62&gt;=3)*(1-(IF(T62="",-1,T62)&gt;=0)*(IF(T62="",-1,T62)&lt;=1))*(1-(IF(T62="",-1,T62)=0)),IF(C62="peso_corporal",IF(ISNUMBER(E62),E62,0)+R62,R62)*(30+S62)*100+R62,0)=AA62,5,IF(IF((P62&gt;=3)*(1-(IF(Q62="",-1,Q62)&gt;=0)*(IF(Q62="",-1,Q62)&lt;=1))*(1-(IF(Q62="",-1,Q62)=0)),IF(C62="peso_corporal",IF(ISNUMBER(E62),E62,0)+O62,O62)*(30+P62)*100+O62,0)=AA62,4,IF(IF((M62&gt;=3)*(1-(IF(N62="",-1,N62)&gt;=0)*(IF(N62="",-1,N62)&lt;=1))*(1-(IF(N62="",-1,N62)=0)),IF(C62="peso_corporal",IF(ISNUMBER(E62),E62,0)+L62,L62)*(30+M62)*100+L62,0)=AA62,3,IF(IF((J62&gt;=3)*(1-(IF(K62="",-1,K62)&gt;=0)*(IF(K62="",-1,K62)&lt;=1))*(1-(IF(K62="",-1,K62)=0)),IF(C62="peso_corporal",IF(ISNUMBER(E62),E62,0)+I62,I62)*(30+J62)*100+I62,0)=AA62,2,IF(IF((G62&gt;=3)*(1-(IF(H62="",-1,H62)&gt;=0)*(IF(H62="",-1,H62)&lt;=1))*(1-(IF(H62="",-1,H62)=0)),IF(C62="peso_corporal",IF(ISNUMBER(E62),E62,0)+F62,F62)*(30+G62)*100+F62,0)=AA62,1,0))))))</f>
        <v>0</v>
      </c>
      <c r="AC62" s="69" t="str">
        <f>IF(X62&gt;0,"A"&amp;X62,IF(Z62&gt;0,"B"&amp;Z62,IF(AB62&gt;0,"C"&amp;AB62,"")))</f>
        <v/>
      </c>
    </row>
    <row r="63" spans="1:29" ht="20.100000000000001" customHeight="1">
      <c r="A63" s="14" t="s">
        <v>43</v>
      </c>
      <c r="B63" s="15" t="s">
        <v>159</v>
      </c>
      <c r="C63" s="16" t="str">
        <f>IFERROR(INDEX(EJERCICIOS!$D$3:$D$75,MATCH(A63&amp;"|"&amp;B63,EJERCICIOS!$G$3:$G$75,0)),"--")</f>
        <v>--</v>
      </c>
      <c r="D63" s="17">
        <v>3</v>
      </c>
      <c r="E63" s="18">
        <f>IFERROR(LOOKUP(2,1/(MEDIDAS_Y_PESO!$B$3:$B$5&lt;&gt;""),MEDIDAS_Y_PESO!$B$3:$B$5),"--")</f>
        <v>80</v>
      </c>
      <c r="F63" s="19"/>
      <c r="G63" s="20"/>
      <c r="H63" s="21"/>
      <c r="I63" s="19"/>
      <c r="J63" s="20"/>
      <c r="K63" s="21"/>
      <c r="L63" s="19"/>
      <c r="M63" s="20"/>
      <c r="N63" s="21"/>
      <c r="O63" s="19"/>
      <c r="P63" s="20"/>
      <c r="Q63" s="21"/>
      <c r="R63" s="19"/>
      <c r="S63" s="20"/>
      <c r="T63" s="21"/>
      <c r="U63" s="22" t="str">
        <f>IFERROR(IF(IF(X63&gt;0,X63,IF(Z63&gt;0,Z63,IF(AB63&gt;0,AB63,0)))=0,"--",ROUND(CHOOSE(IF(X63&gt;0,X63,IF(Z63&gt;0,Z63,IF(AB63&gt;0,AB63,0))),IF(C63="peso_corporal",IF(ISNUMBER(E63),E63,0)+F63,F63)*(1+G63/30),IF(C63="peso_corporal",IF(ISNUMBER(E63),E63,0)+I63,I63)*(1+J63/30),IF(C63="peso_corporal",IF(ISNUMBER(E63),E63,0)+L63,L63)*(1+M63/30),IF(C63="peso_corporal",IF(ISNUMBER(E63),E63,0)+O63,O63)*(1+P63/30),IF(C63="peso_corporal",IF(ISNUMBER(E63),E63,0)+R63,R63)*(1+S63/30)),1)),"--")</f>
        <v>--</v>
      </c>
      <c r="V63" s="23" t="str">
        <f>IF(SUGERENCIAS!N168="SIN","Sin datos anteriores",IF(SUGERENCIAS!N168="SUBIR_F","^ SUBIR FUERTE | Kg:"&amp;ROUND(SUGERENCIAS!K168,1)&amp;" R:"&amp;ROUND(SUGERENCIAS!L168,0)&amp;" RIR:"&amp;ROUND(SUGERENCIAS!M168,0),IF(SUGERENCIAS!N168="SUBIR_E","^ SUBIR (Est.) | Kg:"&amp;ROUND(SUGERENCIAS!K168,1)&amp;" R:"&amp;ROUND(SUGERENCIAS!L168,0)&amp;" RIR:"&amp;ROUND(SUGERENCIAS!M168,0),IF(SUGERENCIAS!N168="SUBIR","^ SUBIR | Kg:"&amp;ROUND(SUGERENCIAS!K168,1)&amp;" R:"&amp;ROUND(SUGERENCIAS!L168,0)&amp;" RIR:"&amp;ROUND(SUGERENCIAS!M168,0),IF(SUGERENCIAS!N168="BAJAR","v BAJAR | Kg:"&amp;ROUND(SUGERENCIAS!K168,1)&amp;" R:"&amp;ROUND(SUGERENCIAS!L168,0)&amp;" RIR:"&amp;ROUND(SUGERENCIAS!M168,0),"= MANT | Kg:"&amp;ROUND(SUGERENCIAS!K168,1)&amp;" R:"&amp;ROUND(SUGERENCIAS!L168,0)&amp;" RIR:"&amp;ROUND(SUGERENCIAS!M168,0))))))</f>
        <v>Sin datos anteriores</v>
      </c>
      <c r="W63" s="69">
        <f>MAX(IF((G63&gt;0)*(IF(H63="",-1,H63)&gt;=0)*(IF(H63="",-1,H63)&lt;=1),IF(C63="peso_corporal",IF(ISNUMBER(E63),E63,0)+F63,F63)*G63*1000+F63,0),IF((J63&gt;0)*(IF(K63="",-1,K63)&gt;=0)*(IF(K63="",-1,K63)&lt;=1),IF(C63="peso_corporal",IF(ISNUMBER(E63),E63,0)+I63,I63)*J63*1000+I63,0),IF((M63&gt;0)*(IF(N63="",-1,N63)&gt;=0)*(IF(N63="",-1,N63)&lt;=1),IF(C63="peso_corporal",IF(ISNUMBER(E63),E63,0)+L63,L63)*M63*1000+L63,0),IF((P63&gt;0)*(IF(Q63="",-1,Q63)&gt;=0)*(IF(Q63="",-1,Q63)&lt;=1),IF(C63="peso_corporal",IF(ISNUMBER(E63),E63,0)+O63,O63)*P63*1000+O63,0),IF((S63&gt;0)*(IF(T63="",-1,T63)&gt;=0)*(IF(T63="",-1,T63)&lt;=1),IF(C63="peso_corporal",IF(ISNUMBER(E63),E63,0)+R63,R63)*S63*1000+R63,0))</f>
        <v>0</v>
      </c>
      <c r="X63" s="69">
        <f>IF(W63=0,0,IF(IF((S63&gt;0)*(IF(T63="",-1,T63)&gt;=0)*(IF(T63="",-1,T63)&lt;=1),IF(C63="peso_corporal",IF(ISNUMBER(E63),E63,0)+R63,R63)*S63*1000+R63,0)=W63,5,IF(IF((P63&gt;0)*(IF(Q63="",-1,Q63)&gt;=0)*(IF(Q63="",-1,Q63)&lt;=1),IF(C63="peso_corporal",IF(ISNUMBER(E63),E63,0)+O63,O63)*P63*1000+O63,0)=W63,4,IF(IF((M63&gt;0)*(IF(N63="",-1,N63)&gt;=0)*(IF(N63="",-1,N63)&lt;=1),IF(C63="peso_corporal",IF(ISNUMBER(E63),E63,0)+L63,L63)*M63*1000+L63,0)=W63,3,IF(IF((J63&gt;0)*(IF(K63="",-1,K63)&gt;=0)*(IF(K63="",-1,K63)&lt;=1),IF(C63="peso_corporal",IF(ISNUMBER(E63),E63,0)+I63,I63)*J63*1000+I63,0)=W63,2,IF(IF((G63&gt;0)*(IF(H63="",-1,H63)&gt;=0)*(IF(H63="",-1,H63)&lt;=1),IF(C63="peso_corporal",IF(ISNUMBER(E63),E63,0)+F63,F63)*G63*1000+F63,0)=W63,1,0))))))</f>
        <v>0</v>
      </c>
      <c r="Y63" s="69">
        <f>MAX(IF((G63&gt;0)*(IF(H63="",-1,H63)=0)*(1-(IF(H63="",-1,H63)&gt;=0)*(IF(H63="",-1,H63)&lt;=1)),IF(C63="peso_corporal",IF(ISNUMBER(E63),E63,0)+F63,F63)*G63*1000+F63,0),IF((J63&gt;0)*(IF(K63="",-1,K63)=0)*(1-(IF(K63="",-1,K63)&gt;=0)*(IF(K63="",-1,K63)&lt;=1)),IF(C63="peso_corporal",IF(ISNUMBER(E63),E63,0)+I63,I63)*J63*1000+I63,0),IF((M63&gt;0)*(IF(N63="",-1,N63)=0)*(1-(IF(N63="",-1,N63)&gt;=0)*(IF(N63="",-1,N63)&lt;=1)),IF(C63="peso_corporal",IF(ISNUMBER(E63),E63,0)+L63,L63)*M63*1000+L63,0),IF((P63&gt;0)*(IF(Q63="",-1,Q63)=0)*(1-(IF(Q63="",-1,Q63)&gt;=0)*(IF(Q63="",-1,Q63)&lt;=1)),IF(C63="peso_corporal",IF(ISNUMBER(E63),E63,0)+O63,O63)*P63*1000+O63,0),IF((S63&gt;0)*(IF(T63="",-1,T63)=0)*(1-(IF(T63="",-1,T63)&gt;=0)*(IF(T63="",-1,T63)&lt;=1)),IF(C63="peso_corporal",IF(ISNUMBER(E63),E63,0)+R63,R63)*S63*1000+R63,0))</f>
        <v>0</v>
      </c>
      <c r="Z63" s="69">
        <f>IF(Y63=0,0,IF(IF((S63&gt;0)*(IF(T63="",-1,T63)=0)*(1-(IF(T63="",-1,T63)&gt;=0)*(IF(T63="",-1,T63)&lt;=1)),IF(C63="peso_corporal",IF(ISNUMBER(E63),E63,0)+R63,R63)*S63*1000+R63,0)=Y63,5,IF(IF((P63&gt;0)*(IF(Q63="",-1,Q63)=0)*(1-(IF(Q63="",-1,Q63)&gt;=0)*(IF(Q63="",-1,Q63)&lt;=1)),IF(C63="peso_corporal",IF(ISNUMBER(E63),E63,0)+O63,O63)*P63*1000+O63,0)=Y63,4,IF(IF((M63&gt;0)*(IF(N63="",-1,N63)=0)*(1-(IF(N63="",-1,N63)&gt;=0)*(IF(N63="",-1,N63)&lt;=1)),IF(C63="peso_corporal",IF(ISNUMBER(E63),E63,0)+L63,L63)*M63*1000+L63,0)=Y63,3,IF(IF((J63&gt;0)*(IF(K63="",-1,K63)=0)*(1-(IF(K63="",-1,K63)&gt;=0)*(IF(K63="",-1,K63)&lt;=1)),IF(C63="peso_corporal",IF(ISNUMBER(E63),E63,0)+I63,I63)*J63*1000+I63,0)=Y63,2,IF(IF((G63&gt;0)*(IF(H63="",-1,H63)=0)*(1-(IF(H63="",-1,H63)&gt;=0)*(IF(H63="",-1,H63)&lt;=1)),IF(C63="peso_corporal",IF(ISNUMBER(E63),E63,0)+F63,F63)*G63*1000+F63,0)=Y63,1,0))))))</f>
        <v>0</v>
      </c>
      <c r="AA63" s="69">
        <f>MAX(IF((G63&gt;=3)*(1-(IF(H63="",-1,H63)&gt;=0)*(IF(H63="",-1,H63)&lt;=1))*(1-(IF(H63="",-1,H63)=0)),IF(C63="peso_corporal",IF(ISNUMBER(E63),E63,0)+F63,F63)*(30+G63)*100+F63,0),IF((J63&gt;=3)*(1-(IF(K63="",-1,K63)&gt;=0)*(IF(K63="",-1,K63)&lt;=1))*(1-(IF(K63="",-1,K63)=0)),IF(C63="peso_corporal",IF(ISNUMBER(E63),E63,0)+I63,I63)*(30+J63)*100+I63,0),IF((M63&gt;=3)*(1-(IF(N63="",-1,N63)&gt;=0)*(IF(N63="",-1,N63)&lt;=1))*(1-(IF(N63="",-1,N63)=0)),IF(C63="peso_corporal",IF(ISNUMBER(E63),E63,0)+L63,L63)*(30+M63)*100+L63,0),IF((P63&gt;=3)*(1-(IF(Q63="",-1,Q63)&gt;=0)*(IF(Q63="",-1,Q63)&lt;=1))*(1-(IF(Q63="",-1,Q63)=0)),IF(C63="peso_corporal",IF(ISNUMBER(E63),E63,0)+O63,O63)*(30+P63)*100+O63,0),IF((S63&gt;=3)*(1-(IF(T63="",-1,T63)&gt;=0)*(IF(T63="",-1,T63)&lt;=1))*(1-(IF(T63="",-1,T63)=0)),IF(C63="peso_corporal",IF(ISNUMBER(E63),E63,0)+R63,R63)*(30+S63)*100+R63,0))</f>
        <v>0</v>
      </c>
      <c r="AB63" s="69">
        <f>IF(AA63=0,0,IF(IF((S63&gt;=3)*(1-(IF(T63="",-1,T63)&gt;=0)*(IF(T63="",-1,T63)&lt;=1))*(1-(IF(T63="",-1,T63)=0)),IF(C63="peso_corporal",IF(ISNUMBER(E63),E63,0)+R63,R63)*(30+S63)*100+R63,0)=AA63,5,IF(IF((P63&gt;=3)*(1-(IF(Q63="",-1,Q63)&gt;=0)*(IF(Q63="",-1,Q63)&lt;=1))*(1-(IF(Q63="",-1,Q63)=0)),IF(C63="peso_corporal",IF(ISNUMBER(E63),E63,0)+O63,O63)*(30+P63)*100+O63,0)=AA63,4,IF(IF((M63&gt;=3)*(1-(IF(N63="",-1,N63)&gt;=0)*(IF(N63="",-1,N63)&lt;=1))*(1-(IF(N63="",-1,N63)=0)),IF(C63="peso_corporal",IF(ISNUMBER(E63),E63,0)+L63,L63)*(30+M63)*100+L63,0)=AA63,3,IF(IF((J63&gt;=3)*(1-(IF(K63="",-1,K63)&gt;=0)*(IF(K63="",-1,K63)&lt;=1))*(1-(IF(K63="",-1,K63)=0)),IF(C63="peso_corporal",IF(ISNUMBER(E63),E63,0)+I63,I63)*(30+J63)*100+I63,0)=AA63,2,IF(IF((G63&gt;=3)*(1-(IF(H63="",-1,H63)&gt;=0)*(IF(H63="",-1,H63)&lt;=1))*(1-(IF(H63="",-1,H63)=0)),IF(C63="peso_corporal",IF(ISNUMBER(E63),E63,0)+F63,F63)*(30+G63)*100+F63,0)=AA63,1,0))))))</f>
        <v>0</v>
      </c>
      <c r="AC63" s="69" t="str">
        <f>IF(X63&gt;0,"A"&amp;X63,IF(Z63&gt;0,"B"&amp;Z63,IF(AB63&gt;0,"C"&amp;AB63,"")))</f>
        <v/>
      </c>
    </row>
    <row r="64" spans="1:29" ht="11.1" customHeight="1">
      <c r="A64" s="92" t="s">
        <v>160</v>
      </c>
      <c r="B64" s="73"/>
      <c r="C64" s="73"/>
      <c r="D64" s="73"/>
      <c r="E64" s="73"/>
      <c r="F64" s="73"/>
      <c r="G64" s="73"/>
      <c r="H64" s="73"/>
      <c r="I64" s="73"/>
      <c r="J64" s="73"/>
      <c r="K64" s="73"/>
      <c r="L64" s="73"/>
      <c r="M64" s="73"/>
      <c r="N64" s="73"/>
      <c r="O64" s="73"/>
      <c r="P64" s="73"/>
      <c r="Q64" s="73"/>
      <c r="R64" s="73"/>
      <c r="S64" s="73"/>
      <c r="T64" s="73"/>
      <c r="U64" s="73"/>
      <c r="V64" s="73"/>
      <c r="W64" s="69"/>
      <c r="X64" s="69"/>
      <c r="Y64" s="69"/>
      <c r="Z64" s="69"/>
      <c r="AA64" s="69"/>
      <c r="AB64" s="69"/>
      <c r="AC64" s="69"/>
    </row>
    <row r="65" spans="1:29" ht="20.100000000000001" customHeight="1">
      <c r="A65" s="14" t="s">
        <v>161</v>
      </c>
      <c r="B65" s="15" t="s">
        <v>162</v>
      </c>
      <c r="C65" s="16" t="str">
        <f>IFERROR(INDEX(EJERCICIOS!$D$3:$D$75,MATCH(A65&amp;"|"&amp;B65,EJERCICIOS!$G$3:$G$75,0)),"--")</f>
        <v>mancuerna</v>
      </c>
      <c r="D65" s="17">
        <v>3</v>
      </c>
      <c r="E65" s="18">
        <f>IFERROR(LOOKUP(2,1/(MEDIDAS_Y_PESO!$B$3:$B$5&lt;&gt;""),MEDIDAS_Y_PESO!$B$3:$B$5),"--")</f>
        <v>80</v>
      </c>
      <c r="F65" s="19"/>
      <c r="G65" s="20"/>
      <c r="H65" s="21"/>
      <c r="I65" s="19"/>
      <c r="J65" s="20"/>
      <c r="K65" s="21"/>
      <c r="L65" s="19"/>
      <c r="M65" s="20"/>
      <c r="N65" s="21"/>
      <c r="O65" s="19"/>
      <c r="P65" s="20"/>
      <c r="Q65" s="21"/>
      <c r="R65" s="19"/>
      <c r="S65" s="20"/>
      <c r="T65" s="21"/>
      <c r="U65" s="22" t="str">
        <f>IFERROR(IF(IF(X65&gt;0,X65,IF(Z65&gt;0,Z65,IF(AB65&gt;0,AB65,0)))=0,"--",ROUND(CHOOSE(IF(X65&gt;0,X65,IF(Z65&gt;0,Z65,IF(AB65&gt;0,AB65,0))),IF(C65="peso_corporal",IF(ISNUMBER(E65),E65,0)+F65,F65)*(1+G65/30),IF(C65="peso_corporal",IF(ISNUMBER(E65),E65,0)+I65,I65)*(1+J65/30),IF(C65="peso_corporal",IF(ISNUMBER(E65),E65,0)+L65,L65)*(1+M65/30),IF(C65="peso_corporal",IF(ISNUMBER(E65),E65,0)+O65,O65)*(1+P65/30),IF(C65="peso_corporal",IF(ISNUMBER(E65),E65,0)+R65,R65)*(1+S65/30)),1)),"--")</f>
        <v>--</v>
      </c>
      <c r="V65" s="23" t="str">
        <f>IF(SUGERENCIAS!N169="SIN","Sin datos anteriores",IF(SUGERENCIAS!N169="SUBIR_F","^ SUBIR FUERTE | Kg:"&amp;ROUND(SUGERENCIAS!K169,1)&amp;" R:"&amp;ROUND(SUGERENCIAS!L169,0)&amp;" RIR:"&amp;ROUND(SUGERENCIAS!M169,0),IF(SUGERENCIAS!N169="SUBIR_E","^ SUBIR (Est.) | Kg:"&amp;ROUND(SUGERENCIAS!K169,1)&amp;" R:"&amp;ROUND(SUGERENCIAS!L169,0)&amp;" RIR:"&amp;ROUND(SUGERENCIAS!M169,0),IF(SUGERENCIAS!N169="SUBIR","^ SUBIR | Kg:"&amp;ROUND(SUGERENCIAS!K169,1)&amp;" R:"&amp;ROUND(SUGERENCIAS!L169,0)&amp;" RIR:"&amp;ROUND(SUGERENCIAS!M169,0),IF(SUGERENCIAS!N169="BAJAR","v BAJAR | Kg:"&amp;ROUND(SUGERENCIAS!K169,1)&amp;" R:"&amp;ROUND(SUGERENCIAS!L169,0)&amp;" RIR:"&amp;ROUND(SUGERENCIAS!M169,0),"= MANT | Kg:"&amp;ROUND(SUGERENCIAS!K169,1)&amp;" R:"&amp;ROUND(SUGERENCIAS!L169,0)&amp;" RIR:"&amp;ROUND(SUGERENCIAS!M169,0))))))</f>
        <v>Sin datos anteriores</v>
      </c>
      <c r="W65" s="69">
        <f>MAX(IF((G65&gt;0)*(IF(H65="",-1,H65)&gt;=0)*(IF(H65="",-1,H65)&lt;=1),IF(C65="peso_corporal",IF(ISNUMBER(E65),E65,0)+F65,F65)*G65*1000+F65,0),IF((J65&gt;0)*(IF(K65="",-1,K65)&gt;=0)*(IF(K65="",-1,K65)&lt;=1),IF(C65="peso_corporal",IF(ISNUMBER(E65),E65,0)+I65,I65)*J65*1000+I65,0),IF((M65&gt;0)*(IF(N65="",-1,N65)&gt;=0)*(IF(N65="",-1,N65)&lt;=1),IF(C65="peso_corporal",IF(ISNUMBER(E65),E65,0)+L65,L65)*M65*1000+L65,0),IF((P65&gt;0)*(IF(Q65="",-1,Q65)&gt;=0)*(IF(Q65="",-1,Q65)&lt;=1),IF(C65="peso_corporal",IF(ISNUMBER(E65),E65,0)+O65,O65)*P65*1000+O65,0),IF((S65&gt;0)*(IF(T65="",-1,T65)&gt;=0)*(IF(T65="",-1,T65)&lt;=1),IF(C65="peso_corporal",IF(ISNUMBER(E65),E65,0)+R65,R65)*S65*1000+R65,0))</f>
        <v>0</v>
      </c>
      <c r="X65" s="69">
        <f>IF(W65=0,0,IF(IF((S65&gt;0)*(IF(T65="",-1,T65)&gt;=0)*(IF(T65="",-1,T65)&lt;=1),IF(C65="peso_corporal",IF(ISNUMBER(E65),E65,0)+R65,R65)*S65*1000+R65,0)=W65,5,IF(IF((P65&gt;0)*(IF(Q65="",-1,Q65)&gt;=0)*(IF(Q65="",-1,Q65)&lt;=1),IF(C65="peso_corporal",IF(ISNUMBER(E65),E65,0)+O65,O65)*P65*1000+O65,0)=W65,4,IF(IF((M65&gt;0)*(IF(N65="",-1,N65)&gt;=0)*(IF(N65="",-1,N65)&lt;=1),IF(C65="peso_corporal",IF(ISNUMBER(E65),E65,0)+L65,L65)*M65*1000+L65,0)=W65,3,IF(IF((J65&gt;0)*(IF(K65="",-1,K65)&gt;=0)*(IF(K65="",-1,K65)&lt;=1),IF(C65="peso_corporal",IF(ISNUMBER(E65),E65,0)+I65,I65)*J65*1000+I65,0)=W65,2,IF(IF((G65&gt;0)*(IF(H65="",-1,H65)&gt;=0)*(IF(H65="",-1,H65)&lt;=1),IF(C65="peso_corporal",IF(ISNUMBER(E65),E65,0)+F65,F65)*G65*1000+F65,0)=W65,1,0))))))</f>
        <v>0</v>
      </c>
      <c r="Y65" s="69">
        <f>MAX(IF((G65&gt;0)*(IF(H65="",-1,H65)=0)*(1-(IF(H65="",-1,H65)&gt;=0)*(IF(H65="",-1,H65)&lt;=1)),IF(C65="peso_corporal",IF(ISNUMBER(E65),E65,0)+F65,F65)*G65*1000+F65,0),IF((J65&gt;0)*(IF(K65="",-1,K65)=0)*(1-(IF(K65="",-1,K65)&gt;=0)*(IF(K65="",-1,K65)&lt;=1)),IF(C65="peso_corporal",IF(ISNUMBER(E65),E65,0)+I65,I65)*J65*1000+I65,0),IF((M65&gt;0)*(IF(N65="",-1,N65)=0)*(1-(IF(N65="",-1,N65)&gt;=0)*(IF(N65="",-1,N65)&lt;=1)),IF(C65="peso_corporal",IF(ISNUMBER(E65),E65,0)+L65,L65)*M65*1000+L65,0),IF((P65&gt;0)*(IF(Q65="",-1,Q65)=0)*(1-(IF(Q65="",-1,Q65)&gt;=0)*(IF(Q65="",-1,Q65)&lt;=1)),IF(C65="peso_corporal",IF(ISNUMBER(E65),E65,0)+O65,O65)*P65*1000+O65,0),IF((S65&gt;0)*(IF(T65="",-1,T65)=0)*(1-(IF(T65="",-1,T65)&gt;=0)*(IF(T65="",-1,T65)&lt;=1)),IF(C65="peso_corporal",IF(ISNUMBER(E65),E65,0)+R65,R65)*S65*1000+R65,0))</f>
        <v>0</v>
      </c>
      <c r="Z65" s="69">
        <f>IF(Y65=0,0,IF(IF((S65&gt;0)*(IF(T65="",-1,T65)=0)*(1-(IF(T65="",-1,T65)&gt;=0)*(IF(T65="",-1,T65)&lt;=1)),IF(C65="peso_corporal",IF(ISNUMBER(E65),E65,0)+R65,R65)*S65*1000+R65,0)=Y65,5,IF(IF((P65&gt;0)*(IF(Q65="",-1,Q65)=0)*(1-(IF(Q65="",-1,Q65)&gt;=0)*(IF(Q65="",-1,Q65)&lt;=1)),IF(C65="peso_corporal",IF(ISNUMBER(E65),E65,0)+O65,O65)*P65*1000+O65,0)=Y65,4,IF(IF((M65&gt;0)*(IF(N65="",-1,N65)=0)*(1-(IF(N65="",-1,N65)&gt;=0)*(IF(N65="",-1,N65)&lt;=1)),IF(C65="peso_corporal",IF(ISNUMBER(E65),E65,0)+L65,L65)*M65*1000+L65,0)=Y65,3,IF(IF((J65&gt;0)*(IF(K65="",-1,K65)=0)*(1-(IF(K65="",-1,K65)&gt;=0)*(IF(K65="",-1,K65)&lt;=1)),IF(C65="peso_corporal",IF(ISNUMBER(E65),E65,0)+I65,I65)*J65*1000+I65,0)=Y65,2,IF(IF((G65&gt;0)*(IF(H65="",-1,H65)=0)*(1-(IF(H65="",-1,H65)&gt;=0)*(IF(H65="",-1,H65)&lt;=1)),IF(C65="peso_corporal",IF(ISNUMBER(E65),E65,0)+F65,F65)*G65*1000+F65,0)=Y65,1,0))))))</f>
        <v>0</v>
      </c>
      <c r="AA65" s="69">
        <f>MAX(IF((G65&gt;=3)*(1-(IF(H65="",-1,H65)&gt;=0)*(IF(H65="",-1,H65)&lt;=1))*(1-(IF(H65="",-1,H65)=0)),IF(C65="peso_corporal",IF(ISNUMBER(E65),E65,0)+F65,F65)*(30+G65)*100+F65,0),IF((J65&gt;=3)*(1-(IF(K65="",-1,K65)&gt;=0)*(IF(K65="",-1,K65)&lt;=1))*(1-(IF(K65="",-1,K65)=0)),IF(C65="peso_corporal",IF(ISNUMBER(E65),E65,0)+I65,I65)*(30+J65)*100+I65,0),IF((M65&gt;=3)*(1-(IF(N65="",-1,N65)&gt;=0)*(IF(N65="",-1,N65)&lt;=1))*(1-(IF(N65="",-1,N65)=0)),IF(C65="peso_corporal",IF(ISNUMBER(E65),E65,0)+L65,L65)*(30+M65)*100+L65,0),IF((P65&gt;=3)*(1-(IF(Q65="",-1,Q65)&gt;=0)*(IF(Q65="",-1,Q65)&lt;=1))*(1-(IF(Q65="",-1,Q65)=0)),IF(C65="peso_corporal",IF(ISNUMBER(E65),E65,0)+O65,O65)*(30+P65)*100+O65,0),IF((S65&gt;=3)*(1-(IF(T65="",-1,T65)&gt;=0)*(IF(T65="",-1,T65)&lt;=1))*(1-(IF(T65="",-1,T65)=0)),IF(C65="peso_corporal",IF(ISNUMBER(E65),E65,0)+R65,R65)*(30+S65)*100+R65,0))</f>
        <v>0</v>
      </c>
      <c r="AB65" s="69">
        <f>IF(AA65=0,0,IF(IF((S65&gt;=3)*(1-(IF(T65="",-1,T65)&gt;=0)*(IF(T65="",-1,T65)&lt;=1))*(1-(IF(T65="",-1,T65)=0)),IF(C65="peso_corporal",IF(ISNUMBER(E65),E65,0)+R65,R65)*(30+S65)*100+R65,0)=AA65,5,IF(IF((P65&gt;=3)*(1-(IF(Q65="",-1,Q65)&gt;=0)*(IF(Q65="",-1,Q65)&lt;=1))*(1-(IF(Q65="",-1,Q65)=0)),IF(C65="peso_corporal",IF(ISNUMBER(E65),E65,0)+O65,O65)*(30+P65)*100+O65,0)=AA65,4,IF(IF((M65&gt;=3)*(1-(IF(N65="",-1,N65)&gt;=0)*(IF(N65="",-1,N65)&lt;=1))*(1-(IF(N65="",-1,N65)=0)),IF(C65="peso_corporal",IF(ISNUMBER(E65),E65,0)+L65,L65)*(30+M65)*100+L65,0)=AA65,3,IF(IF((J65&gt;=3)*(1-(IF(K65="",-1,K65)&gt;=0)*(IF(K65="",-1,K65)&lt;=1))*(1-(IF(K65="",-1,K65)=0)),IF(C65="peso_corporal",IF(ISNUMBER(E65),E65,0)+I65,I65)*(30+J65)*100+I65,0)=AA65,2,IF(IF((G65&gt;=3)*(1-(IF(H65="",-1,H65)&gt;=0)*(IF(H65="",-1,H65)&lt;=1))*(1-(IF(H65="",-1,H65)=0)),IF(C65="peso_corporal",IF(ISNUMBER(E65),E65,0)+F65,F65)*(30+G65)*100+F65,0)=AA65,1,0))))))</f>
        <v>0</v>
      </c>
      <c r="AC65" s="69" t="str">
        <f>IF(X65&gt;0,"A"&amp;X65,IF(Z65&gt;0,"B"&amp;Z65,IF(AB65&gt;0,"C"&amp;AB65,"")))</f>
        <v/>
      </c>
    </row>
    <row r="66" spans="1:29" ht="20.100000000000001" customHeight="1">
      <c r="A66" s="14" t="s">
        <v>163</v>
      </c>
      <c r="B66" s="15" t="s">
        <v>52</v>
      </c>
      <c r="C66" s="16" t="str">
        <f>IFERROR(INDEX(EJERCICIOS!$D$3:$D$75,MATCH(A66&amp;"|"&amp;B66,EJERCICIOS!$G$3:$G$75,0)),"--")</f>
        <v>polea</v>
      </c>
      <c r="D66" s="17">
        <v>3</v>
      </c>
      <c r="E66" s="18">
        <f>IFERROR(LOOKUP(2,1/(MEDIDAS_Y_PESO!$B$3:$B$5&lt;&gt;""),MEDIDAS_Y_PESO!$B$3:$B$5),"--")</f>
        <v>80</v>
      </c>
      <c r="F66" s="19"/>
      <c r="G66" s="20"/>
      <c r="H66" s="21"/>
      <c r="I66" s="19"/>
      <c r="J66" s="20"/>
      <c r="K66" s="21"/>
      <c r="L66" s="19"/>
      <c r="M66" s="20"/>
      <c r="N66" s="21"/>
      <c r="O66" s="19"/>
      <c r="P66" s="20"/>
      <c r="Q66" s="21"/>
      <c r="R66" s="19"/>
      <c r="S66" s="20"/>
      <c r="T66" s="21"/>
      <c r="U66" s="22" t="str">
        <f>IFERROR(IF(IF(X66&gt;0,X66,IF(Z66&gt;0,Z66,IF(AB66&gt;0,AB66,0)))=0,"--",ROUND(CHOOSE(IF(X66&gt;0,X66,IF(Z66&gt;0,Z66,IF(AB66&gt;0,AB66,0))),IF(C66="peso_corporal",IF(ISNUMBER(E66),E66,0)+F66,F66)*(1+G66/30),IF(C66="peso_corporal",IF(ISNUMBER(E66),E66,0)+I66,I66)*(1+J66/30),IF(C66="peso_corporal",IF(ISNUMBER(E66),E66,0)+L66,L66)*(1+M66/30),IF(C66="peso_corporal",IF(ISNUMBER(E66),E66,0)+O66,O66)*(1+P66/30),IF(C66="peso_corporal",IF(ISNUMBER(E66),E66,0)+R66,R66)*(1+S66/30)),1)),"--")</f>
        <v>--</v>
      </c>
      <c r="V66" s="23" t="str">
        <f>IF(SUGERENCIAS!N170="SIN","Sin datos anteriores",IF(SUGERENCIAS!N170="SUBIR_F","^ SUBIR FUERTE | Kg:"&amp;ROUND(SUGERENCIAS!K170,1)&amp;" R:"&amp;ROUND(SUGERENCIAS!L170,0)&amp;" RIR:"&amp;ROUND(SUGERENCIAS!M170,0),IF(SUGERENCIAS!N170="SUBIR_E","^ SUBIR (Est.) | Kg:"&amp;ROUND(SUGERENCIAS!K170,1)&amp;" R:"&amp;ROUND(SUGERENCIAS!L170,0)&amp;" RIR:"&amp;ROUND(SUGERENCIAS!M170,0),IF(SUGERENCIAS!N170="SUBIR","^ SUBIR | Kg:"&amp;ROUND(SUGERENCIAS!K170,1)&amp;" R:"&amp;ROUND(SUGERENCIAS!L170,0)&amp;" RIR:"&amp;ROUND(SUGERENCIAS!M170,0),IF(SUGERENCIAS!N170="BAJAR","v BAJAR | Kg:"&amp;ROUND(SUGERENCIAS!K170,1)&amp;" R:"&amp;ROUND(SUGERENCIAS!L170,0)&amp;" RIR:"&amp;ROUND(SUGERENCIAS!M170,0),"= MANT | Kg:"&amp;ROUND(SUGERENCIAS!K170,1)&amp;" R:"&amp;ROUND(SUGERENCIAS!L170,0)&amp;" RIR:"&amp;ROUND(SUGERENCIAS!M170,0))))))</f>
        <v>Sin datos anteriores</v>
      </c>
      <c r="W66" s="69">
        <f>MAX(IF((G66&gt;0)*(IF(H66="",-1,H66)&gt;=0)*(IF(H66="",-1,H66)&lt;=1),IF(C66="peso_corporal",IF(ISNUMBER(E66),E66,0)+F66,F66)*G66*1000+F66,0),IF((J66&gt;0)*(IF(K66="",-1,K66)&gt;=0)*(IF(K66="",-1,K66)&lt;=1),IF(C66="peso_corporal",IF(ISNUMBER(E66),E66,0)+I66,I66)*J66*1000+I66,0),IF((M66&gt;0)*(IF(N66="",-1,N66)&gt;=0)*(IF(N66="",-1,N66)&lt;=1),IF(C66="peso_corporal",IF(ISNUMBER(E66),E66,0)+L66,L66)*M66*1000+L66,0),IF((P66&gt;0)*(IF(Q66="",-1,Q66)&gt;=0)*(IF(Q66="",-1,Q66)&lt;=1),IF(C66="peso_corporal",IF(ISNUMBER(E66),E66,0)+O66,O66)*P66*1000+O66,0),IF((S66&gt;0)*(IF(T66="",-1,T66)&gt;=0)*(IF(T66="",-1,T66)&lt;=1),IF(C66="peso_corporal",IF(ISNUMBER(E66),E66,0)+R66,R66)*S66*1000+R66,0))</f>
        <v>0</v>
      </c>
      <c r="X66" s="69">
        <f>IF(W66=0,0,IF(IF((S66&gt;0)*(IF(T66="",-1,T66)&gt;=0)*(IF(T66="",-1,T66)&lt;=1),IF(C66="peso_corporal",IF(ISNUMBER(E66),E66,0)+R66,R66)*S66*1000+R66,0)=W66,5,IF(IF((P66&gt;0)*(IF(Q66="",-1,Q66)&gt;=0)*(IF(Q66="",-1,Q66)&lt;=1),IF(C66="peso_corporal",IF(ISNUMBER(E66),E66,0)+O66,O66)*P66*1000+O66,0)=W66,4,IF(IF((M66&gt;0)*(IF(N66="",-1,N66)&gt;=0)*(IF(N66="",-1,N66)&lt;=1),IF(C66="peso_corporal",IF(ISNUMBER(E66),E66,0)+L66,L66)*M66*1000+L66,0)=W66,3,IF(IF((J66&gt;0)*(IF(K66="",-1,K66)&gt;=0)*(IF(K66="",-1,K66)&lt;=1),IF(C66="peso_corporal",IF(ISNUMBER(E66),E66,0)+I66,I66)*J66*1000+I66,0)=W66,2,IF(IF((G66&gt;0)*(IF(H66="",-1,H66)&gt;=0)*(IF(H66="",-1,H66)&lt;=1),IF(C66="peso_corporal",IF(ISNUMBER(E66),E66,0)+F66,F66)*G66*1000+F66,0)=W66,1,0))))))</f>
        <v>0</v>
      </c>
      <c r="Y66" s="69">
        <f>MAX(IF((G66&gt;0)*(IF(H66="",-1,H66)=0)*(1-(IF(H66="",-1,H66)&gt;=0)*(IF(H66="",-1,H66)&lt;=1)),IF(C66="peso_corporal",IF(ISNUMBER(E66),E66,0)+F66,F66)*G66*1000+F66,0),IF((J66&gt;0)*(IF(K66="",-1,K66)=0)*(1-(IF(K66="",-1,K66)&gt;=0)*(IF(K66="",-1,K66)&lt;=1)),IF(C66="peso_corporal",IF(ISNUMBER(E66),E66,0)+I66,I66)*J66*1000+I66,0),IF((M66&gt;0)*(IF(N66="",-1,N66)=0)*(1-(IF(N66="",-1,N66)&gt;=0)*(IF(N66="",-1,N66)&lt;=1)),IF(C66="peso_corporal",IF(ISNUMBER(E66),E66,0)+L66,L66)*M66*1000+L66,0),IF((P66&gt;0)*(IF(Q66="",-1,Q66)=0)*(1-(IF(Q66="",-1,Q66)&gt;=0)*(IF(Q66="",-1,Q66)&lt;=1)),IF(C66="peso_corporal",IF(ISNUMBER(E66),E66,0)+O66,O66)*P66*1000+O66,0),IF((S66&gt;0)*(IF(T66="",-1,T66)=0)*(1-(IF(T66="",-1,T66)&gt;=0)*(IF(T66="",-1,T66)&lt;=1)),IF(C66="peso_corporal",IF(ISNUMBER(E66),E66,0)+R66,R66)*S66*1000+R66,0))</f>
        <v>0</v>
      </c>
      <c r="Z66" s="69">
        <f>IF(Y66=0,0,IF(IF((S66&gt;0)*(IF(T66="",-1,T66)=0)*(1-(IF(T66="",-1,T66)&gt;=0)*(IF(T66="",-1,T66)&lt;=1)),IF(C66="peso_corporal",IF(ISNUMBER(E66),E66,0)+R66,R66)*S66*1000+R66,0)=Y66,5,IF(IF((P66&gt;0)*(IF(Q66="",-1,Q66)=0)*(1-(IF(Q66="",-1,Q66)&gt;=0)*(IF(Q66="",-1,Q66)&lt;=1)),IF(C66="peso_corporal",IF(ISNUMBER(E66),E66,0)+O66,O66)*P66*1000+O66,0)=Y66,4,IF(IF((M66&gt;0)*(IF(N66="",-1,N66)=0)*(1-(IF(N66="",-1,N66)&gt;=0)*(IF(N66="",-1,N66)&lt;=1)),IF(C66="peso_corporal",IF(ISNUMBER(E66),E66,0)+L66,L66)*M66*1000+L66,0)=Y66,3,IF(IF((J66&gt;0)*(IF(K66="",-1,K66)=0)*(1-(IF(K66="",-1,K66)&gt;=0)*(IF(K66="",-1,K66)&lt;=1)),IF(C66="peso_corporal",IF(ISNUMBER(E66),E66,0)+I66,I66)*J66*1000+I66,0)=Y66,2,IF(IF((G66&gt;0)*(IF(H66="",-1,H66)=0)*(1-(IF(H66="",-1,H66)&gt;=0)*(IF(H66="",-1,H66)&lt;=1)),IF(C66="peso_corporal",IF(ISNUMBER(E66),E66,0)+F66,F66)*G66*1000+F66,0)=Y66,1,0))))))</f>
        <v>0</v>
      </c>
      <c r="AA66" s="69">
        <f>MAX(IF((G66&gt;=3)*(1-(IF(H66="",-1,H66)&gt;=0)*(IF(H66="",-1,H66)&lt;=1))*(1-(IF(H66="",-1,H66)=0)),IF(C66="peso_corporal",IF(ISNUMBER(E66),E66,0)+F66,F66)*(30+G66)*100+F66,0),IF((J66&gt;=3)*(1-(IF(K66="",-1,K66)&gt;=0)*(IF(K66="",-1,K66)&lt;=1))*(1-(IF(K66="",-1,K66)=0)),IF(C66="peso_corporal",IF(ISNUMBER(E66),E66,0)+I66,I66)*(30+J66)*100+I66,0),IF((M66&gt;=3)*(1-(IF(N66="",-1,N66)&gt;=0)*(IF(N66="",-1,N66)&lt;=1))*(1-(IF(N66="",-1,N66)=0)),IF(C66="peso_corporal",IF(ISNUMBER(E66),E66,0)+L66,L66)*(30+M66)*100+L66,0),IF((P66&gt;=3)*(1-(IF(Q66="",-1,Q66)&gt;=0)*(IF(Q66="",-1,Q66)&lt;=1))*(1-(IF(Q66="",-1,Q66)=0)),IF(C66="peso_corporal",IF(ISNUMBER(E66),E66,0)+O66,O66)*(30+P66)*100+O66,0),IF((S66&gt;=3)*(1-(IF(T66="",-1,T66)&gt;=0)*(IF(T66="",-1,T66)&lt;=1))*(1-(IF(T66="",-1,T66)=0)),IF(C66="peso_corporal",IF(ISNUMBER(E66),E66,0)+R66,R66)*(30+S66)*100+R66,0))</f>
        <v>0</v>
      </c>
      <c r="AB66" s="69">
        <f>IF(AA66=0,0,IF(IF((S66&gt;=3)*(1-(IF(T66="",-1,T66)&gt;=0)*(IF(T66="",-1,T66)&lt;=1))*(1-(IF(T66="",-1,T66)=0)),IF(C66="peso_corporal",IF(ISNUMBER(E66),E66,0)+R66,R66)*(30+S66)*100+R66,0)=AA66,5,IF(IF((P66&gt;=3)*(1-(IF(Q66="",-1,Q66)&gt;=0)*(IF(Q66="",-1,Q66)&lt;=1))*(1-(IF(Q66="",-1,Q66)=0)),IF(C66="peso_corporal",IF(ISNUMBER(E66),E66,0)+O66,O66)*(30+P66)*100+O66,0)=AA66,4,IF(IF((M66&gt;=3)*(1-(IF(N66="",-1,N66)&gt;=0)*(IF(N66="",-1,N66)&lt;=1))*(1-(IF(N66="",-1,N66)=0)),IF(C66="peso_corporal",IF(ISNUMBER(E66),E66,0)+L66,L66)*(30+M66)*100+L66,0)=AA66,3,IF(IF((J66&gt;=3)*(1-(IF(K66="",-1,K66)&gt;=0)*(IF(K66="",-1,K66)&lt;=1))*(1-(IF(K66="",-1,K66)=0)),IF(C66="peso_corporal",IF(ISNUMBER(E66),E66,0)+I66,I66)*(30+J66)*100+I66,0)=AA66,2,IF(IF((G66&gt;=3)*(1-(IF(H66="",-1,H66)&gt;=0)*(IF(H66="",-1,H66)&lt;=1))*(1-(IF(H66="",-1,H66)=0)),IF(C66="peso_corporal",IF(ISNUMBER(E66),E66,0)+F66,F66)*(30+G66)*100+F66,0)=AA66,1,0))))))</f>
        <v>0</v>
      </c>
      <c r="AC66" s="69" t="str">
        <f>IF(X66&gt;0,"A"&amp;X66,IF(Z66&gt;0,"B"&amp;Z66,IF(AB66&gt;0,"C"&amp;AB66,"")))</f>
        <v/>
      </c>
    </row>
    <row r="67" spans="1:29" ht="20.100000000000001" customHeight="1">
      <c r="A67" s="14" t="s">
        <v>164</v>
      </c>
      <c r="B67" s="15" t="s">
        <v>114</v>
      </c>
      <c r="C67" s="16" t="str">
        <f>IFERROR(INDEX(EJERCICIOS!$D$3:$D$75,MATCH(A67&amp;"|"&amp;B67,EJERCICIOS!$G$3:$G$75,0)),"--")</f>
        <v>polea</v>
      </c>
      <c r="D67" s="17">
        <v>3</v>
      </c>
      <c r="E67" s="18">
        <f>IFERROR(LOOKUP(2,1/(MEDIDAS_Y_PESO!$B$3:$B$5&lt;&gt;""),MEDIDAS_Y_PESO!$B$3:$B$5),"--")</f>
        <v>80</v>
      </c>
      <c r="F67" s="19"/>
      <c r="G67" s="20"/>
      <c r="H67" s="21"/>
      <c r="I67" s="19"/>
      <c r="J67" s="20"/>
      <c r="K67" s="21"/>
      <c r="L67" s="19"/>
      <c r="M67" s="20"/>
      <c r="N67" s="21"/>
      <c r="O67" s="19"/>
      <c r="P67" s="20"/>
      <c r="Q67" s="21"/>
      <c r="R67" s="19"/>
      <c r="S67" s="20"/>
      <c r="T67" s="21"/>
      <c r="U67" s="22" t="str">
        <f>IFERROR(IF(IF(X67&gt;0,X67,IF(Z67&gt;0,Z67,IF(AB67&gt;0,AB67,0)))=0,"--",ROUND(CHOOSE(IF(X67&gt;0,X67,IF(Z67&gt;0,Z67,IF(AB67&gt;0,AB67,0))),IF(C67="peso_corporal",IF(ISNUMBER(E67),E67,0)+F67,F67)*(1+G67/30),IF(C67="peso_corporal",IF(ISNUMBER(E67),E67,0)+I67,I67)*(1+J67/30),IF(C67="peso_corporal",IF(ISNUMBER(E67),E67,0)+L67,L67)*(1+M67/30),IF(C67="peso_corporal",IF(ISNUMBER(E67),E67,0)+O67,O67)*(1+P67/30),IF(C67="peso_corporal",IF(ISNUMBER(E67),E67,0)+R67,R67)*(1+S67/30)),1)),"--")</f>
        <v>--</v>
      </c>
      <c r="V67" s="23" t="str">
        <f>IF(SUGERENCIAS!N171="SIN","Sin datos anteriores",IF(SUGERENCIAS!N171="SUBIR_F","^ SUBIR FUERTE | Kg:"&amp;ROUND(SUGERENCIAS!K171,1)&amp;" R:"&amp;ROUND(SUGERENCIAS!L171,0)&amp;" RIR:"&amp;ROUND(SUGERENCIAS!M171,0),IF(SUGERENCIAS!N171="SUBIR_E","^ SUBIR (Est.) | Kg:"&amp;ROUND(SUGERENCIAS!K171,1)&amp;" R:"&amp;ROUND(SUGERENCIAS!L171,0)&amp;" RIR:"&amp;ROUND(SUGERENCIAS!M171,0),IF(SUGERENCIAS!N171="SUBIR","^ SUBIR | Kg:"&amp;ROUND(SUGERENCIAS!K171,1)&amp;" R:"&amp;ROUND(SUGERENCIAS!L171,0)&amp;" RIR:"&amp;ROUND(SUGERENCIAS!M171,0),IF(SUGERENCIAS!N171="BAJAR","v BAJAR | Kg:"&amp;ROUND(SUGERENCIAS!K171,1)&amp;" R:"&amp;ROUND(SUGERENCIAS!L171,0)&amp;" RIR:"&amp;ROUND(SUGERENCIAS!M171,0),"= MANT | Kg:"&amp;ROUND(SUGERENCIAS!K171,1)&amp;" R:"&amp;ROUND(SUGERENCIAS!L171,0)&amp;" RIR:"&amp;ROUND(SUGERENCIAS!M171,0))))))</f>
        <v>Sin datos anteriores</v>
      </c>
      <c r="W67" s="69">
        <f>MAX(IF((G67&gt;0)*(IF(H67="",-1,H67)&gt;=0)*(IF(H67="",-1,H67)&lt;=1),IF(C67="peso_corporal",IF(ISNUMBER(E67),E67,0)+F67,F67)*G67*1000+F67,0),IF((J67&gt;0)*(IF(K67="",-1,K67)&gt;=0)*(IF(K67="",-1,K67)&lt;=1),IF(C67="peso_corporal",IF(ISNUMBER(E67),E67,0)+I67,I67)*J67*1000+I67,0),IF((M67&gt;0)*(IF(N67="",-1,N67)&gt;=0)*(IF(N67="",-1,N67)&lt;=1),IF(C67="peso_corporal",IF(ISNUMBER(E67),E67,0)+L67,L67)*M67*1000+L67,0),IF((P67&gt;0)*(IF(Q67="",-1,Q67)&gt;=0)*(IF(Q67="",-1,Q67)&lt;=1),IF(C67="peso_corporal",IF(ISNUMBER(E67),E67,0)+O67,O67)*P67*1000+O67,0),IF((S67&gt;0)*(IF(T67="",-1,T67)&gt;=0)*(IF(T67="",-1,T67)&lt;=1),IF(C67="peso_corporal",IF(ISNUMBER(E67),E67,0)+R67,R67)*S67*1000+R67,0))</f>
        <v>0</v>
      </c>
      <c r="X67" s="69">
        <f>IF(W67=0,0,IF(IF((S67&gt;0)*(IF(T67="",-1,T67)&gt;=0)*(IF(T67="",-1,T67)&lt;=1),IF(C67="peso_corporal",IF(ISNUMBER(E67),E67,0)+R67,R67)*S67*1000+R67,0)=W67,5,IF(IF((P67&gt;0)*(IF(Q67="",-1,Q67)&gt;=0)*(IF(Q67="",-1,Q67)&lt;=1),IF(C67="peso_corporal",IF(ISNUMBER(E67),E67,0)+O67,O67)*P67*1000+O67,0)=W67,4,IF(IF((M67&gt;0)*(IF(N67="",-1,N67)&gt;=0)*(IF(N67="",-1,N67)&lt;=1),IF(C67="peso_corporal",IF(ISNUMBER(E67),E67,0)+L67,L67)*M67*1000+L67,0)=W67,3,IF(IF((J67&gt;0)*(IF(K67="",-1,K67)&gt;=0)*(IF(K67="",-1,K67)&lt;=1),IF(C67="peso_corporal",IF(ISNUMBER(E67),E67,0)+I67,I67)*J67*1000+I67,0)=W67,2,IF(IF((G67&gt;0)*(IF(H67="",-1,H67)&gt;=0)*(IF(H67="",-1,H67)&lt;=1),IF(C67="peso_corporal",IF(ISNUMBER(E67),E67,0)+F67,F67)*G67*1000+F67,0)=W67,1,0))))))</f>
        <v>0</v>
      </c>
      <c r="Y67" s="69">
        <f>MAX(IF((G67&gt;0)*(IF(H67="",-1,H67)=0)*(1-(IF(H67="",-1,H67)&gt;=0)*(IF(H67="",-1,H67)&lt;=1)),IF(C67="peso_corporal",IF(ISNUMBER(E67),E67,0)+F67,F67)*G67*1000+F67,0),IF((J67&gt;0)*(IF(K67="",-1,K67)=0)*(1-(IF(K67="",-1,K67)&gt;=0)*(IF(K67="",-1,K67)&lt;=1)),IF(C67="peso_corporal",IF(ISNUMBER(E67),E67,0)+I67,I67)*J67*1000+I67,0),IF((M67&gt;0)*(IF(N67="",-1,N67)=0)*(1-(IF(N67="",-1,N67)&gt;=0)*(IF(N67="",-1,N67)&lt;=1)),IF(C67="peso_corporal",IF(ISNUMBER(E67),E67,0)+L67,L67)*M67*1000+L67,0),IF((P67&gt;0)*(IF(Q67="",-1,Q67)=0)*(1-(IF(Q67="",-1,Q67)&gt;=0)*(IF(Q67="",-1,Q67)&lt;=1)),IF(C67="peso_corporal",IF(ISNUMBER(E67),E67,0)+O67,O67)*P67*1000+O67,0),IF((S67&gt;0)*(IF(T67="",-1,T67)=0)*(1-(IF(T67="",-1,T67)&gt;=0)*(IF(T67="",-1,T67)&lt;=1)),IF(C67="peso_corporal",IF(ISNUMBER(E67),E67,0)+R67,R67)*S67*1000+R67,0))</f>
        <v>0</v>
      </c>
      <c r="Z67" s="69">
        <f>IF(Y67=0,0,IF(IF((S67&gt;0)*(IF(T67="",-1,T67)=0)*(1-(IF(T67="",-1,T67)&gt;=0)*(IF(T67="",-1,T67)&lt;=1)),IF(C67="peso_corporal",IF(ISNUMBER(E67),E67,0)+R67,R67)*S67*1000+R67,0)=Y67,5,IF(IF((P67&gt;0)*(IF(Q67="",-1,Q67)=0)*(1-(IF(Q67="",-1,Q67)&gt;=0)*(IF(Q67="",-1,Q67)&lt;=1)),IF(C67="peso_corporal",IF(ISNUMBER(E67),E67,0)+O67,O67)*P67*1000+O67,0)=Y67,4,IF(IF((M67&gt;0)*(IF(N67="",-1,N67)=0)*(1-(IF(N67="",-1,N67)&gt;=0)*(IF(N67="",-1,N67)&lt;=1)),IF(C67="peso_corporal",IF(ISNUMBER(E67),E67,0)+L67,L67)*M67*1000+L67,0)=Y67,3,IF(IF((J67&gt;0)*(IF(K67="",-1,K67)=0)*(1-(IF(K67="",-1,K67)&gt;=0)*(IF(K67="",-1,K67)&lt;=1)),IF(C67="peso_corporal",IF(ISNUMBER(E67),E67,0)+I67,I67)*J67*1000+I67,0)=Y67,2,IF(IF((G67&gt;0)*(IF(H67="",-1,H67)=0)*(1-(IF(H67="",-1,H67)&gt;=0)*(IF(H67="",-1,H67)&lt;=1)),IF(C67="peso_corporal",IF(ISNUMBER(E67),E67,0)+F67,F67)*G67*1000+F67,0)=Y67,1,0))))))</f>
        <v>0</v>
      </c>
      <c r="AA67" s="69">
        <f>MAX(IF((G67&gt;=3)*(1-(IF(H67="",-1,H67)&gt;=0)*(IF(H67="",-1,H67)&lt;=1))*(1-(IF(H67="",-1,H67)=0)),IF(C67="peso_corporal",IF(ISNUMBER(E67),E67,0)+F67,F67)*(30+G67)*100+F67,0),IF((J67&gt;=3)*(1-(IF(K67="",-1,K67)&gt;=0)*(IF(K67="",-1,K67)&lt;=1))*(1-(IF(K67="",-1,K67)=0)),IF(C67="peso_corporal",IF(ISNUMBER(E67),E67,0)+I67,I67)*(30+J67)*100+I67,0),IF((M67&gt;=3)*(1-(IF(N67="",-1,N67)&gt;=0)*(IF(N67="",-1,N67)&lt;=1))*(1-(IF(N67="",-1,N67)=0)),IF(C67="peso_corporal",IF(ISNUMBER(E67),E67,0)+L67,L67)*(30+M67)*100+L67,0),IF((P67&gt;=3)*(1-(IF(Q67="",-1,Q67)&gt;=0)*(IF(Q67="",-1,Q67)&lt;=1))*(1-(IF(Q67="",-1,Q67)=0)),IF(C67="peso_corporal",IF(ISNUMBER(E67),E67,0)+O67,O67)*(30+P67)*100+O67,0),IF((S67&gt;=3)*(1-(IF(T67="",-1,T67)&gt;=0)*(IF(T67="",-1,T67)&lt;=1))*(1-(IF(T67="",-1,T67)=0)),IF(C67="peso_corporal",IF(ISNUMBER(E67),E67,0)+R67,R67)*(30+S67)*100+R67,0))</f>
        <v>0</v>
      </c>
      <c r="AB67" s="69">
        <f>IF(AA67=0,0,IF(IF((S67&gt;=3)*(1-(IF(T67="",-1,T67)&gt;=0)*(IF(T67="",-1,T67)&lt;=1))*(1-(IF(T67="",-1,T67)=0)),IF(C67="peso_corporal",IF(ISNUMBER(E67),E67,0)+R67,R67)*(30+S67)*100+R67,0)=AA67,5,IF(IF((P67&gt;=3)*(1-(IF(Q67="",-1,Q67)&gt;=0)*(IF(Q67="",-1,Q67)&lt;=1))*(1-(IF(Q67="",-1,Q67)=0)),IF(C67="peso_corporal",IF(ISNUMBER(E67),E67,0)+O67,O67)*(30+P67)*100+O67,0)=AA67,4,IF(IF((M67&gt;=3)*(1-(IF(N67="",-1,N67)&gt;=0)*(IF(N67="",-1,N67)&lt;=1))*(1-(IF(N67="",-1,N67)=0)),IF(C67="peso_corporal",IF(ISNUMBER(E67),E67,0)+L67,L67)*(30+M67)*100+L67,0)=AA67,3,IF(IF((J67&gt;=3)*(1-(IF(K67="",-1,K67)&gt;=0)*(IF(K67="",-1,K67)&lt;=1))*(1-(IF(K67="",-1,K67)=0)),IF(C67="peso_corporal",IF(ISNUMBER(E67),E67,0)+I67,I67)*(30+J67)*100+I67,0)=AA67,2,IF(IF((G67&gt;=3)*(1-(IF(H67="",-1,H67)&gt;=0)*(IF(H67="",-1,H67)&lt;=1))*(1-(IF(H67="",-1,H67)=0)),IF(C67="peso_corporal",IF(ISNUMBER(E67),E67,0)+F67,F67)*(30+G67)*100+F67,0)=AA67,1,0))))))</f>
        <v>0</v>
      </c>
      <c r="AC67" s="69" t="str">
        <f>IF(X67&gt;0,"A"&amp;X67,IF(Z67&gt;0,"B"&amp;Z67,IF(AB67&gt;0,"C"&amp;AB67,"")))</f>
        <v/>
      </c>
    </row>
    <row r="68" spans="1:29" ht="15" customHeight="1">
      <c r="A68" s="75" t="s">
        <v>28</v>
      </c>
      <c r="B68" s="73"/>
      <c r="C68" s="73"/>
      <c r="D68" s="73"/>
      <c r="E68" s="73"/>
      <c r="F68" s="73"/>
      <c r="G68" s="73"/>
      <c r="H68" s="73"/>
      <c r="I68" s="73"/>
      <c r="J68" s="73"/>
      <c r="K68" s="73"/>
      <c r="L68" s="73"/>
      <c r="M68" s="73"/>
      <c r="N68" s="73"/>
      <c r="O68" s="73"/>
      <c r="P68" s="73"/>
      <c r="Q68" s="73"/>
      <c r="R68" s="73"/>
      <c r="S68" s="73"/>
      <c r="T68" s="73"/>
      <c r="U68" s="73"/>
      <c r="V68" s="73"/>
      <c r="W68" s="69"/>
      <c r="X68" s="69"/>
      <c r="Y68" s="69"/>
      <c r="Z68" s="69"/>
      <c r="AA68" s="69"/>
      <c r="AB68" s="69"/>
      <c r="AC68" s="69"/>
    </row>
    <row r="69" spans="1:29" ht="11.1" customHeight="1">
      <c r="A69" s="76" t="s">
        <v>29</v>
      </c>
      <c r="B69" s="73"/>
      <c r="C69" s="73"/>
      <c r="D69" s="73"/>
      <c r="E69" s="73"/>
      <c r="F69" s="73"/>
      <c r="G69" s="73"/>
      <c r="H69" s="73"/>
      <c r="I69" s="73"/>
      <c r="J69" s="73"/>
      <c r="K69" s="73"/>
      <c r="L69" s="73"/>
      <c r="M69" s="73"/>
      <c r="N69" s="73"/>
      <c r="O69" s="73"/>
      <c r="P69" s="73"/>
      <c r="Q69" s="73"/>
      <c r="R69" s="73"/>
      <c r="S69" s="73"/>
      <c r="T69" s="73"/>
      <c r="U69" s="73"/>
      <c r="V69" s="73"/>
      <c r="W69" s="69"/>
      <c r="X69" s="69"/>
      <c r="Y69" s="69"/>
      <c r="Z69" s="69"/>
      <c r="AA69" s="69"/>
      <c r="AB69" s="69"/>
      <c r="AC69" s="69"/>
    </row>
    <row r="70" spans="1:29" ht="20.100000000000001" customHeight="1">
      <c r="A70" s="14" t="s">
        <v>30</v>
      </c>
      <c r="B70" s="15" t="s">
        <v>31</v>
      </c>
      <c r="C70" s="16" t="str">
        <f>IFERROR(INDEX(EJERCICIOS!$D$3:$D$75,MATCH(A70&amp;"|"&amp;B70,EJERCICIOS!$G$3:$G$75,0)),"--")</f>
        <v>mancuerna</v>
      </c>
      <c r="D70" s="17">
        <v>3</v>
      </c>
      <c r="E70" s="18">
        <f>IFERROR(LOOKUP(2,1/(MEDIDAS_Y_PESO!$B$3:$B$5&lt;&gt;""),MEDIDAS_Y_PESO!$B$3:$B$5),"--")</f>
        <v>80</v>
      </c>
      <c r="F70" s="19"/>
      <c r="G70" s="20"/>
      <c r="H70" s="21"/>
      <c r="I70" s="19"/>
      <c r="J70" s="20"/>
      <c r="K70" s="21"/>
      <c r="L70" s="19"/>
      <c r="M70" s="20"/>
      <c r="N70" s="21"/>
      <c r="O70" s="19"/>
      <c r="P70" s="20"/>
      <c r="Q70" s="21"/>
      <c r="R70" s="19"/>
      <c r="S70" s="20"/>
      <c r="T70" s="21"/>
      <c r="U70" s="22" t="str">
        <f>IFERROR(IF(IF(X70&gt;0,X70,IF(Z70&gt;0,Z70,IF(AB70&gt;0,AB70,0)))=0,"--",ROUND(CHOOSE(IF(X70&gt;0,X70,IF(Z70&gt;0,Z70,IF(AB70&gt;0,AB70,0))),IF(C70="peso_corporal",IF(ISNUMBER(E70),E70,0)+F70,F70)*(1+G70/30),IF(C70="peso_corporal",IF(ISNUMBER(E70),E70,0)+I70,I70)*(1+J70/30),IF(C70="peso_corporal",IF(ISNUMBER(E70),E70,0)+L70,L70)*(1+M70/30),IF(C70="peso_corporal",IF(ISNUMBER(E70),E70,0)+O70,O70)*(1+P70/30),IF(C70="peso_corporal",IF(ISNUMBER(E70),E70,0)+R70,R70)*(1+S70/30)),1)),"--")</f>
        <v>--</v>
      </c>
      <c r="V70" s="23" t="str">
        <f>IF(SUGERENCIAS!N172="SIN","Sin datos anteriores",IF(SUGERENCIAS!N172="SUBIR_F","^ SUBIR FUERTE | Kg:"&amp;ROUND(SUGERENCIAS!K172,1)&amp;" R:"&amp;ROUND(SUGERENCIAS!L172,0)&amp;" RIR:"&amp;ROUND(SUGERENCIAS!M172,0),IF(SUGERENCIAS!N172="SUBIR_E","^ SUBIR (Est.) | Kg:"&amp;ROUND(SUGERENCIAS!K172,1)&amp;" R:"&amp;ROUND(SUGERENCIAS!L172,0)&amp;" RIR:"&amp;ROUND(SUGERENCIAS!M172,0),IF(SUGERENCIAS!N172="SUBIR","^ SUBIR | Kg:"&amp;ROUND(SUGERENCIAS!K172,1)&amp;" R:"&amp;ROUND(SUGERENCIAS!L172,0)&amp;" RIR:"&amp;ROUND(SUGERENCIAS!M172,0),IF(SUGERENCIAS!N172="BAJAR","v BAJAR | Kg:"&amp;ROUND(SUGERENCIAS!K172,1)&amp;" R:"&amp;ROUND(SUGERENCIAS!L172,0)&amp;" RIR:"&amp;ROUND(SUGERENCIAS!M172,0),"= MANT | Kg:"&amp;ROUND(SUGERENCIAS!K172,1)&amp;" R:"&amp;ROUND(SUGERENCIAS!L172,0)&amp;" RIR:"&amp;ROUND(SUGERENCIAS!M172,0))))))</f>
        <v>Sin datos anteriores</v>
      </c>
      <c r="W70" s="69">
        <f>MAX(IF((G70&gt;0)*(IF(H70="",-1,H70)&gt;=0)*(IF(H70="",-1,H70)&lt;=1),IF(C70="peso_corporal",IF(ISNUMBER(E70),E70,0)+F70,F70)*G70*1000+F70,0),IF((J70&gt;0)*(IF(K70="",-1,K70)&gt;=0)*(IF(K70="",-1,K70)&lt;=1),IF(C70="peso_corporal",IF(ISNUMBER(E70),E70,0)+I70,I70)*J70*1000+I70,0),IF((M70&gt;0)*(IF(N70="",-1,N70)&gt;=0)*(IF(N70="",-1,N70)&lt;=1),IF(C70="peso_corporal",IF(ISNUMBER(E70),E70,0)+L70,L70)*M70*1000+L70,0),IF((P70&gt;0)*(IF(Q70="",-1,Q70)&gt;=0)*(IF(Q70="",-1,Q70)&lt;=1),IF(C70="peso_corporal",IF(ISNUMBER(E70),E70,0)+O70,O70)*P70*1000+O70,0),IF((S70&gt;0)*(IF(T70="",-1,T70)&gt;=0)*(IF(T70="",-1,T70)&lt;=1),IF(C70="peso_corporal",IF(ISNUMBER(E70),E70,0)+R70,R70)*S70*1000+R70,0))</f>
        <v>0</v>
      </c>
      <c r="X70" s="69">
        <f>IF(W70=0,0,IF(IF((S70&gt;0)*(IF(T70="",-1,T70)&gt;=0)*(IF(T70="",-1,T70)&lt;=1),IF(C70="peso_corporal",IF(ISNUMBER(E70),E70,0)+R70,R70)*S70*1000+R70,0)=W70,5,IF(IF((P70&gt;0)*(IF(Q70="",-1,Q70)&gt;=0)*(IF(Q70="",-1,Q70)&lt;=1),IF(C70="peso_corporal",IF(ISNUMBER(E70),E70,0)+O70,O70)*P70*1000+O70,0)=W70,4,IF(IF((M70&gt;0)*(IF(N70="",-1,N70)&gt;=0)*(IF(N70="",-1,N70)&lt;=1),IF(C70="peso_corporal",IF(ISNUMBER(E70),E70,0)+L70,L70)*M70*1000+L70,0)=W70,3,IF(IF((J70&gt;0)*(IF(K70="",-1,K70)&gt;=0)*(IF(K70="",-1,K70)&lt;=1),IF(C70="peso_corporal",IF(ISNUMBER(E70),E70,0)+I70,I70)*J70*1000+I70,0)=W70,2,IF(IF((G70&gt;0)*(IF(H70="",-1,H70)&gt;=0)*(IF(H70="",-1,H70)&lt;=1),IF(C70="peso_corporal",IF(ISNUMBER(E70),E70,0)+F70,F70)*G70*1000+F70,0)=W70,1,0))))))</f>
        <v>0</v>
      </c>
      <c r="Y70" s="69">
        <f>MAX(IF((G70&gt;0)*(IF(H70="",-1,H70)=0)*(1-(IF(H70="",-1,H70)&gt;=0)*(IF(H70="",-1,H70)&lt;=1)),IF(C70="peso_corporal",IF(ISNUMBER(E70),E70,0)+F70,F70)*G70*1000+F70,0),IF((J70&gt;0)*(IF(K70="",-1,K70)=0)*(1-(IF(K70="",-1,K70)&gt;=0)*(IF(K70="",-1,K70)&lt;=1)),IF(C70="peso_corporal",IF(ISNUMBER(E70),E70,0)+I70,I70)*J70*1000+I70,0),IF((M70&gt;0)*(IF(N70="",-1,N70)=0)*(1-(IF(N70="",-1,N70)&gt;=0)*(IF(N70="",-1,N70)&lt;=1)),IF(C70="peso_corporal",IF(ISNUMBER(E70),E70,0)+L70,L70)*M70*1000+L70,0),IF((P70&gt;0)*(IF(Q70="",-1,Q70)=0)*(1-(IF(Q70="",-1,Q70)&gt;=0)*(IF(Q70="",-1,Q70)&lt;=1)),IF(C70="peso_corporal",IF(ISNUMBER(E70),E70,0)+O70,O70)*P70*1000+O70,0),IF((S70&gt;0)*(IF(T70="",-1,T70)=0)*(1-(IF(T70="",-1,T70)&gt;=0)*(IF(T70="",-1,T70)&lt;=1)),IF(C70="peso_corporal",IF(ISNUMBER(E70),E70,0)+R70,R70)*S70*1000+R70,0))</f>
        <v>0</v>
      </c>
      <c r="Z70" s="69">
        <f>IF(Y70=0,0,IF(IF((S70&gt;0)*(IF(T70="",-1,T70)=0)*(1-(IF(T70="",-1,T70)&gt;=0)*(IF(T70="",-1,T70)&lt;=1)),IF(C70="peso_corporal",IF(ISNUMBER(E70),E70,0)+R70,R70)*S70*1000+R70,0)=Y70,5,IF(IF((P70&gt;0)*(IF(Q70="",-1,Q70)=0)*(1-(IF(Q70="",-1,Q70)&gt;=0)*(IF(Q70="",-1,Q70)&lt;=1)),IF(C70="peso_corporal",IF(ISNUMBER(E70),E70,0)+O70,O70)*P70*1000+O70,0)=Y70,4,IF(IF((M70&gt;0)*(IF(N70="",-1,N70)=0)*(1-(IF(N70="",-1,N70)&gt;=0)*(IF(N70="",-1,N70)&lt;=1)),IF(C70="peso_corporal",IF(ISNUMBER(E70),E70,0)+L70,L70)*M70*1000+L70,0)=Y70,3,IF(IF((J70&gt;0)*(IF(K70="",-1,K70)=0)*(1-(IF(K70="",-1,K70)&gt;=0)*(IF(K70="",-1,K70)&lt;=1)),IF(C70="peso_corporal",IF(ISNUMBER(E70),E70,0)+I70,I70)*J70*1000+I70,0)=Y70,2,IF(IF((G70&gt;0)*(IF(H70="",-1,H70)=0)*(1-(IF(H70="",-1,H70)&gt;=0)*(IF(H70="",-1,H70)&lt;=1)),IF(C70="peso_corporal",IF(ISNUMBER(E70),E70,0)+F70,F70)*G70*1000+F70,0)=Y70,1,0))))))</f>
        <v>0</v>
      </c>
      <c r="AA70" s="69">
        <f>MAX(IF((G70&gt;=3)*(1-(IF(H70="",-1,H70)&gt;=0)*(IF(H70="",-1,H70)&lt;=1))*(1-(IF(H70="",-1,H70)=0)),IF(C70="peso_corporal",IF(ISNUMBER(E70),E70,0)+F70,F70)*(30+G70)*100+F70,0),IF((J70&gt;=3)*(1-(IF(K70="",-1,K70)&gt;=0)*(IF(K70="",-1,K70)&lt;=1))*(1-(IF(K70="",-1,K70)=0)),IF(C70="peso_corporal",IF(ISNUMBER(E70),E70,0)+I70,I70)*(30+J70)*100+I70,0),IF((M70&gt;=3)*(1-(IF(N70="",-1,N70)&gt;=0)*(IF(N70="",-1,N70)&lt;=1))*(1-(IF(N70="",-1,N70)=0)),IF(C70="peso_corporal",IF(ISNUMBER(E70),E70,0)+L70,L70)*(30+M70)*100+L70,0),IF((P70&gt;=3)*(1-(IF(Q70="",-1,Q70)&gt;=0)*(IF(Q70="",-1,Q70)&lt;=1))*(1-(IF(Q70="",-1,Q70)=0)),IF(C70="peso_corporal",IF(ISNUMBER(E70),E70,0)+O70,O70)*(30+P70)*100+O70,0),IF((S70&gt;=3)*(1-(IF(T70="",-1,T70)&gt;=0)*(IF(T70="",-1,T70)&lt;=1))*(1-(IF(T70="",-1,T70)=0)),IF(C70="peso_corporal",IF(ISNUMBER(E70),E70,0)+R70,R70)*(30+S70)*100+R70,0))</f>
        <v>0</v>
      </c>
      <c r="AB70" s="69">
        <f>IF(AA70=0,0,IF(IF((S70&gt;=3)*(1-(IF(T70="",-1,T70)&gt;=0)*(IF(T70="",-1,T70)&lt;=1))*(1-(IF(T70="",-1,T70)=0)),IF(C70="peso_corporal",IF(ISNUMBER(E70),E70,0)+R70,R70)*(30+S70)*100+R70,0)=AA70,5,IF(IF((P70&gt;=3)*(1-(IF(Q70="",-1,Q70)&gt;=0)*(IF(Q70="",-1,Q70)&lt;=1))*(1-(IF(Q70="",-1,Q70)=0)),IF(C70="peso_corporal",IF(ISNUMBER(E70),E70,0)+O70,O70)*(30+P70)*100+O70,0)=AA70,4,IF(IF((M70&gt;=3)*(1-(IF(N70="",-1,N70)&gt;=0)*(IF(N70="",-1,N70)&lt;=1))*(1-(IF(N70="",-1,N70)=0)),IF(C70="peso_corporal",IF(ISNUMBER(E70),E70,0)+L70,L70)*(30+M70)*100+L70,0)=AA70,3,IF(IF((J70&gt;=3)*(1-(IF(K70="",-1,K70)&gt;=0)*(IF(K70="",-1,K70)&lt;=1))*(1-(IF(K70="",-1,K70)=0)),IF(C70="peso_corporal",IF(ISNUMBER(E70),E70,0)+I70,I70)*(30+J70)*100+I70,0)=AA70,2,IF(IF((G70&gt;=3)*(1-(IF(H70="",-1,H70)&gt;=0)*(IF(H70="",-1,H70)&lt;=1))*(1-(IF(H70="",-1,H70)=0)),IF(C70="peso_corporal",IF(ISNUMBER(E70),E70,0)+F70,F70)*(30+G70)*100+F70,0)=AA70,1,0))))))</f>
        <v>0</v>
      </c>
      <c r="AC70" s="69" t="str">
        <f>IF(X70&gt;0,"A"&amp;X70,IF(Z70&gt;0,"B"&amp;Z70,IF(AB70&gt;0,"C"&amp;AB70,"")))</f>
        <v/>
      </c>
    </row>
    <row r="71" spans="1:29" ht="11.1" customHeight="1">
      <c r="A71" s="84" t="s">
        <v>32</v>
      </c>
      <c r="B71" s="73"/>
      <c r="C71" s="73"/>
      <c r="D71" s="73"/>
      <c r="E71" s="73"/>
      <c r="F71" s="73"/>
      <c r="G71" s="73"/>
      <c r="H71" s="73"/>
      <c r="I71" s="73"/>
      <c r="J71" s="73"/>
      <c r="K71" s="73"/>
      <c r="L71" s="73"/>
      <c r="M71" s="73"/>
      <c r="N71" s="73"/>
      <c r="O71" s="73"/>
      <c r="P71" s="73"/>
      <c r="Q71" s="73"/>
      <c r="R71" s="73"/>
      <c r="S71" s="73"/>
      <c r="T71" s="73"/>
      <c r="U71" s="73"/>
      <c r="V71" s="73"/>
      <c r="W71" s="69"/>
      <c r="X71" s="69"/>
      <c r="Y71" s="69"/>
      <c r="Z71" s="69"/>
      <c r="AA71" s="69"/>
      <c r="AB71" s="69"/>
      <c r="AC71" s="69"/>
    </row>
    <row r="72" spans="1:29" ht="20.100000000000001" customHeight="1">
      <c r="A72" s="14" t="s">
        <v>61</v>
      </c>
      <c r="B72" s="15" t="s">
        <v>93</v>
      </c>
      <c r="C72" s="16" t="str">
        <f>IFERROR(INDEX(EJERCICIOS!$D$3:$D$75,MATCH(A72&amp;"|"&amp;B72,EJERCICIOS!$G$3:$G$75,0)),"--")</f>
        <v>disco</v>
      </c>
      <c r="D72" s="17">
        <v>3</v>
      </c>
      <c r="E72" s="18">
        <f>IFERROR(LOOKUP(2,1/(MEDIDAS_Y_PESO!$B$3:$B$5&lt;&gt;""),MEDIDAS_Y_PESO!$B$3:$B$5),"--")</f>
        <v>80</v>
      </c>
      <c r="F72" s="19"/>
      <c r="G72" s="20"/>
      <c r="H72" s="21"/>
      <c r="I72" s="19"/>
      <c r="J72" s="20"/>
      <c r="K72" s="21"/>
      <c r="L72" s="19"/>
      <c r="M72" s="20"/>
      <c r="N72" s="21"/>
      <c r="O72" s="19"/>
      <c r="P72" s="20"/>
      <c r="Q72" s="21"/>
      <c r="R72" s="19"/>
      <c r="S72" s="20"/>
      <c r="T72" s="21"/>
      <c r="U72" s="22" t="str">
        <f>IFERROR(IF(IF(X72&gt;0,X72,IF(Z72&gt;0,Z72,IF(AB72&gt;0,AB72,0)))=0,"--",ROUND(CHOOSE(IF(X72&gt;0,X72,IF(Z72&gt;0,Z72,IF(AB72&gt;0,AB72,0))),IF(C72="peso_corporal",IF(ISNUMBER(E72),E72,0)+F72,F72)*(1+G72/30),IF(C72="peso_corporal",IF(ISNUMBER(E72),E72,0)+I72,I72)*(1+J72/30),IF(C72="peso_corporal",IF(ISNUMBER(E72),E72,0)+L72,L72)*(1+M72/30),IF(C72="peso_corporal",IF(ISNUMBER(E72),E72,0)+O72,O72)*(1+P72/30),IF(C72="peso_corporal",IF(ISNUMBER(E72),E72,0)+R72,R72)*(1+S72/30)),1)),"--")</f>
        <v>--</v>
      </c>
      <c r="V72" s="23" t="str">
        <f>IF(SUGERENCIAS!N173="SIN","Sin datos anteriores",IF(SUGERENCIAS!N173="SUBIR_F","^ SUBIR FUERTE | Kg:"&amp;ROUND(SUGERENCIAS!K173,1)&amp;" R:"&amp;ROUND(SUGERENCIAS!L173,0)&amp;" RIR:"&amp;ROUND(SUGERENCIAS!M173,0),IF(SUGERENCIAS!N173="SUBIR_E","^ SUBIR (Est.) | Kg:"&amp;ROUND(SUGERENCIAS!K173,1)&amp;" R:"&amp;ROUND(SUGERENCIAS!L173,0)&amp;" RIR:"&amp;ROUND(SUGERENCIAS!M173,0),IF(SUGERENCIAS!N173="SUBIR","^ SUBIR | Kg:"&amp;ROUND(SUGERENCIAS!K173,1)&amp;" R:"&amp;ROUND(SUGERENCIAS!L173,0)&amp;" RIR:"&amp;ROUND(SUGERENCIAS!M173,0),IF(SUGERENCIAS!N173="BAJAR","v BAJAR | Kg:"&amp;ROUND(SUGERENCIAS!K173,1)&amp;" R:"&amp;ROUND(SUGERENCIAS!L173,0)&amp;" RIR:"&amp;ROUND(SUGERENCIAS!M173,0),"= MANT | Kg:"&amp;ROUND(SUGERENCIAS!K173,1)&amp;" R:"&amp;ROUND(SUGERENCIAS!L173,0)&amp;" RIR:"&amp;ROUND(SUGERENCIAS!M173,0))))))</f>
        <v>Sin datos anteriores</v>
      </c>
      <c r="W72" s="69">
        <f>MAX(IF((G72&gt;0)*(IF(H72="",-1,H72)&gt;=0)*(IF(H72="",-1,H72)&lt;=1),IF(C72="peso_corporal",IF(ISNUMBER(E72),E72,0)+F72,F72)*G72*1000+F72,0),IF((J72&gt;0)*(IF(K72="",-1,K72)&gt;=0)*(IF(K72="",-1,K72)&lt;=1),IF(C72="peso_corporal",IF(ISNUMBER(E72),E72,0)+I72,I72)*J72*1000+I72,0),IF((M72&gt;0)*(IF(N72="",-1,N72)&gt;=0)*(IF(N72="",-1,N72)&lt;=1),IF(C72="peso_corporal",IF(ISNUMBER(E72),E72,0)+L72,L72)*M72*1000+L72,0),IF((P72&gt;0)*(IF(Q72="",-1,Q72)&gt;=0)*(IF(Q72="",-1,Q72)&lt;=1),IF(C72="peso_corporal",IF(ISNUMBER(E72),E72,0)+O72,O72)*P72*1000+O72,0),IF((S72&gt;0)*(IF(T72="",-1,T72)&gt;=0)*(IF(T72="",-1,T72)&lt;=1),IF(C72="peso_corporal",IF(ISNUMBER(E72),E72,0)+R72,R72)*S72*1000+R72,0))</f>
        <v>0</v>
      </c>
      <c r="X72" s="69">
        <f>IF(W72=0,0,IF(IF((S72&gt;0)*(IF(T72="",-1,T72)&gt;=0)*(IF(T72="",-1,T72)&lt;=1),IF(C72="peso_corporal",IF(ISNUMBER(E72),E72,0)+R72,R72)*S72*1000+R72,0)=W72,5,IF(IF((P72&gt;0)*(IF(Q72="",-1,Q72)&gt;=0)*(IF(Q72="",-1,Q72)&lt;=1),IF(C72="peso_corporal",IF(ISNUMBER(E72),E72,0)+O72,O72)*P72*1000+O72,0)=W72,4,IF(IF((M72&gt;0)*(IF(N72="",-1,N72)&gt;=0)*(IF(N72="",-1,N72)&lt;=1),IF(C72="peso_corporal",IF(ISNUMBER(E72),E72,0)+L72,L72)*M72*1000+L72,0)=W72,3,IF(IF((J72&gt;0)*(IF(K72="",-1,K72)&gt;=0)*(IF(K72="",-1,K72)&lt;=1),IF(C72="peso_corporal",IF(ISNUMBER(E72),E72,0)+I72,I72)*J72*1000+I72,0)=W72,2,IF(IF((G72&gt;0)*(IF(H72="",-1,H72)&gt;=0)*(IF(H72="",-1,H72)&lt;=1),IF(C72="peso_corporal",IF(ISNUMBER(E72),E72,0)+F72,F72)*G72*1000+F72,0)=W72,1,0))))))</f>
        <v>0</v>
      </c>
      <c r="Y72" s="69">
        <f>MAX(IF((G72&gt;0)*(IF(H72="",-1,H72)=0)*(1-(IF(H72="",-1,H72)&gt;=0)*(IF(H72="",-1,H72)&lt;=1)),IF(C72="peso_corporal",IF(ISNUMBER(E72),E72,0)+F72,F72)*G72*1000+F72,0),IF((J72&gt;0)*(IF(K72="",-1,K72)=0)*(1-(IF(K72="",-1,K72)&gt;=0)*(IF(K72="",-1,K72)&lt;=1)),IF(C72="peso_corporal",IF(ISNUMBER(E72),E72,0)+I72,I72)*J72*1000+I72,0),IF((M72&gt;0)*(IF(N72="",-1,N72)=0)*(1-(IF(N72="",-1,N72)&gt;=0)*(IF(N72="",-1,N72)&lt;=1)),IF(C72="peso_corporal",IF(ISNUMBER(E72),E72,0)+L72,L72)*M72*1000+L72,0),IF((P72&gt;0)*(IF(Q72="",-1,Q72)=0)*(1-(IF(Q72="",-1,Q72)&gt;=0)*(IF(Q72="",-1,Q72)&lt;=1)),IF(C72="peso_corporal",IF(ISNUMBER(E72),E72,0)+O72,O72)*P72*1000+O72,0),IF((S72&gt;0)*(IF(T72="",-1,T72)=0)*(1-(IF(T72="",-1,T72)&gt;=0)*(IF(T72="",-1,T72)&lt;=1)),IF(C72="peso_corporal",IF(ISNUMBER(E72),E72,0)+R72,R72)*S72*1000+R72,0))</f>
        <v>0</v>
      </c>
      <c r="Z72" s="69">
        <f>IF(Y72=0,0,IF(IF((S72&gt;0)*(IF(T72="",-1,T72)=0)*(1-(IF(T72="",-1,T72)&gt;=0)*(IF(T72="",-1,T72)&lt;=1)),IF(C72="peso_corporal",IF(ISNUMBER(E72),E72,0)+R72,R72)*S72*1000+R72,0)=Y72,5,IF(IF((P72&gt;0)*(IF(Q72="",-1,Q72)=0)*(1-(IF(Q72="",-1,Q72)&gt;=0)*(IF(Q72="",-1,Q72)&lt;=1)),IF(C72="peso_corporal",IF(ISNUMBER(E72),E72,0)+O72,O72)*P72*1000+O72,0)=Y72,4,IF(IF((M72&gt;0)*(IF(N72="",-1,N72)=0)*(1-(IF(N72="",-1,N72)&gt;=0)*(IF(N72="",-1,N72)&lt;=1)),IF(C72="peso_corporal",IF(ISNUMBER(E72),E72,0)+L72,L72)*M72*1000+L72,0)=Y72,3,IF(IF((J72&gt;0)*(IF(K72="",-1,K72)=0)*(1-(IF(K72="",-1,K72)&gt;=0)*(IF(K72="",-1,K72)&lt;=1)),IF(C72="peso_corporal",IF(ISNUMBER(E72),E72,0)+I72,I72)*J72*1000+I72,0)=Y72,2,IF(IF((G72&gt;0)*(IF(H72="",-1,H72)=0)*(1-(IF(H72="",-1,H72)&gt;=0)*(IF(H72="",-1,H72)&lt;=1)),IF(C72="peso_corporal",IF(ISNUMBER(E72),E72,0)+F72,F72)*G72*1000+F72,0)=Y72,1,0))))))</f>
        <v>0</v>
      </c>
      <c r="AA72" s="69">
        <f>MAX(IF((G72&gt;=3)*(1-(IF(H72="",-1,H72)&gt;=0)*(IF(H72="",-1,H72)&lt;=1))*(1-(IF(H72="",-1,H72)=0)),IF(C72="peso_corporal",IF(ISNUMBER(E72),E72,0)+F72,F72)*(30+G72)*100+F72,0),IF((J72&gt;=3)*(1-(IF(K72="",-1,K72)&gt;=0)*(IF(K72="",-1,K72)&lt;=1))*(1-(IF(K72="",-1,K72)=0)),IF(C72="peso_corporal",IF(ISNUMBER(E72),E72,0)+I72,I72)*(30+J72)*100+I72,0),IF((M72&gt;=3)*(1-(IF(N72="",-1,N72)&gt;=0)*(IF(N72="",-1,N72)&lt;=1))*(1-(IF(N72="",-1,N72)=0)),IF(C72="peso_corporal",IF(ISNUMBER(E72),E72,0)+L72,L72)*(30+M72)*100+L72,0),IF((P72&gt;=3)*(1-(IF(Q72="",-1,Q72)&gt;=0)*(IF(Q72="",-1,Q72)&lt;=1))*(1-(IF(Q72="",-1,Q72)=0)),IF(C72="peso_corporal",IF(ISNUMBER(E72),E72,0)+O72,O72)*(30+P72)*100+O72,0),IF((S72&gt;=3)*(1-(IF(T72="",-1,T72)&gt;=0)*(IF(T72="",-1,T72)&lt;=1))*(1-(IF(T72="",-1,T72)=0)),IF(C72="peso_corporal",IF(ISNUMBER(E72),E72,0)+R72,R72)*(30+S72)*100+R72,0))</f>
        <v>0</v>
      </c>
      <c r="AB72" s="69">
        <f>IF(AA72=0,0,IF(IF((S72&gt;=3)*(1-(IF(T72="",-1,T72)&gt;=0)*(IF(T72="",-1,T72)&lt;=1))*(1-(IF(T72="",-1,T72)=0)),IF(C72="peso_corporal",IF(ISNUMBER(E72),E72,0)+R72,R72)*(30+S72)*100+R72,0)=AA72,5,IF(IF((P72&gt;=3)*(1-(IF(Q72="",-1,Q72)&gt;=0)*(IF(Q72="",-1,Q72)&lt;=1))*(1-(IF(Q72="",-1,Q72)=0)),IF(C72="peso_corporal",IF(ISNUMBER(E72),E72,0)+O72,O72)*(30+P72)*100+O72,0)=AA72,4,IF(IF((M72&gt;=3)*(1-(IF(N72="",-1,N72)&gt;=0)*(IF(N72="",-1,N72)&lt;=1))*(1-(IF(N72="",-1,N72)=0)),IF(C72="peso_corporal",IF(ISNUMBER(E72),E72,0)+L72,L72)*(30+M72)*100+L72,0)=AA72,3,IF(IF((J72&gt;=3)*(1-(IF(K72="",-1,K72)&gt;=0)*(IF(K72="",-1,K72)&lt;=1))*(1-(IF(K72="",-1,K72)=0)),IF(C72="peso_corporal",IF(ISNUMBER(E72),E72,0)+I72,I72)*(30+J72)*100+I72,0)=AA72,2,IF(IF((G72&gt;=3)*(1-(IF(H72="",-1,H72)&gt;=0)*(IF(H72="",-1,H72)&lt;=1))*(1-(IF(H72="",-1,H72)=0)),IF(C72="peso_corporal",IF(ISNUMBER(E72),E72,0)+F72,F72)*(30+G72)*100+F72,0)=AA72,1,0))))))</f>
        <v>0</v>
      </c>
      <c r="AC72" s="69" t="str">
        <f>IF(X72&gt;0,"A"&amp;X72,IF(Z72&gt;0,"B"&amp;Z72,IF(AB72&gt;0,"C"&amp;AB72,"")))</f>
        <v/>
      </c>
    </row>
    <row r="73" spans="1:29" ht="11.1" customHeight="1">
      <c r="A73" s="87" t="s">
        <v>165</v>
      </c>
      <c r="B73" s="73"/>
      <c r="C73" s="73"/>
      <c r="D73" s="73"/>
      <c r="E73" s="73"/>
      <c r="F73" s="73"/>
      <c r="G73" s="73"/>
      <c r="H73" s="73"/>
      <c r="I73" s="73"/>
      <c r="J73" s="73"/>
      <c r="K73" s="73"/>
      <c r="L73" s="73"/>
      <c r="M73" s="73"/>
      <c r="N73" s="73"/>
      <c r="O73" s="73"/>
      <c r="P73" s="73"/>
      <c r="Q73" s="73"/>
      <c r="R73" s="73"/>
      <c r="S73" s="73"/>
      <c r="T73" s="73"/>
      <c r="U73" s="73"/>
      <c r="V73" s="73"/>
      <c r="W73" s="69"/>
      <c r="X73" s="69"/>
      <c r="Y73" s="69"/>
      <c r="Z73" s="69"/>
      <c r="AA73" s="69"/>
      <c r="AB73" s="69"/>
      <c r="AC73" s="69"/>
    </row>
    <row r="74" spans="1:29" ht="20.100000000000001" customHeight="1">
      <c r="A74" s="14" t="s">
        <v>62</v>
      </c>
      <c r="B74" s="15" t="s">
        <v>63</v>
      </c>
      <c r="C74" s="16" t="str">
        <f>IFERROR(INDEX(EJERCICIOS!$D$3:$D$75,MATCH(A74&amp;"|"&amp;B74,EJERCICIOS!$G$3:$G$75,0)),"--")</f>
        <v>--</v>
      </c>
      <c r="D74" s="17">
        <v>3</v>
      </c>
      <c r="E74" s="18">
        <f>IFERROR(LOOKUP(2,1/(MEDIDAS_Y_PESO!$B$3:$B$5&lt;&gt;""),MEDIDAS_Y_PESO!$B$3:$B$5),"--")</f>
        <v>80</v>
      </c>
      <c r="F74" s="19"/>
      <c r="G74" s="20"/>
      <c r="H74" s="21"/>
      <c r="I74" s="19"/>
      <c r="J74" s="20"/>
      <c r="K74" s="21"/>
      <c r="L74" s="19"/>
      <c r="M74" s="20"/>
      <c r="N74" s="21"/>
      <c r="O74" s="19"/>
      <c r="P74" s="20"/>
      <c r="Q74" s="21"/>
      <c r="R74" s="19"/>
      <c r="S74" s="20"/>
      <c r="T74" s="21"/>
      <c r="U74" s="22" t="str">
        <f>IFERROR(IF(IF(X74&gt;0,X74,IF(Z74&gt;0,Z74,IF(AB74&gt;0,AB74,0)))=0,"--",ROUND(CHOOSE(IF(X74&gt;0,X74,IF(Z74&gt;0,Z74,IF(AB74&gt;0,AB74,0))),IF(C74="peso_corporal",IF(ISNUMBER(E74),E74,0)+F74,F74)*(1+G74/30),IF(C74="peso_corporal",IF(ISNUMBER(E74),E74,0)+I74,I74)*(1+J74/30),IF(C74="peso_corporal",IF(ISNUMBER(E74),E74,0)+L74,L74)*(1+M74/30),IF(C74="peso_corporal",IF(ISNUMBER(E74),E74,0)+O74,O74)*(1+P74/30),IF(C74="peso_corporal",IF(ISNUMBER(E74),E74,0)+R74,R74)*(1+S74/30)),1)),"--")</f>
        <v>--</v>
      </c>
      <c r="V74" s="23" t="str">
        <f>IF(SUGERENCIAS!N174="SIN","Sin datos anteriores",IF(SUGERENCIAS!N174="SUBIR_F","^ SUBIR FUERTE | Kg:"&amp;ROUND(SUGERENCIAS!K174,1)&amp;" R:"&amp;ROUND(SUGERENCIAS!L174,0)&amp;" RIR:"&amp;ROUND(SUGERENCIAS!M174,0),IF(SUGERENCIAS!N174="SUBIR_E","^ SUBIR (Est.) | Kg:"&amp;ROUND(SUGERENCIAS!K174,1)&amp;" R:"&amp;ROUND(SUGERENCIAS!L174,0)&amp;" RIR:"&amp;ROUND(SUGERENCIAS!M174,0),IF(SUGERENCIAS!N174="SUBIR","^ SUBIR | Kg:"&amp;ROUND(SUGERENCIAS!K174,1)&amp;" R:"&amp;ROUND(SUGERENCIAS!L174,0)&amp;" RIR:"&amp;ROUND(SUGERENCIAS!M174,0),IF(SUGERENCIAS!N174="BAJAR","v BAJAR | Kg:"&amp;ROUND(SUGERENCIAS!K174,1)&amp;" R:"&amp;ROUND(SUGERENCIAS!L174,0)&amp;" RIR:"&amp;ROUND(SUGERENCIAS!M174,0),"= MANT | Kg:"&amp;ROUND(SUGERENCIAS!K174,1)&amp;" R:"&amp;ROUND(SUGERENCIAS!L174,0)&amp;" RIR:"&amp;ROUND(SUGERENCIAS!M174,0))))))</f>
        <v>Sin datos anteriores</v>
      </c>
      <c r="W74" s="69">
        <f>MAX(IF((G74&gt;0)*(IF(H74="",-1,H74)&gt;=0)*(IF(H74="",-1,H74)&lt;=1),IF(C74="peso_corporal",IF(ISNUMBER(E74),E74,0)+F74,F74)*G74*1000+F74,0),IF((J74&gt;0)*(IF(K74="",-1,K74)&gt;=0)*(IF(K74="",-1,K74)&lt;=1),IF(C74="peso_corporal",IF(ISNUMBER(E74),E74,0)+I74,I74)*J74*1000+I74,0),IF((M74&gt;0)*(IF(N74="",-1,N74)&gt;=0)*(IF(N74="",-1,N74)&lt;=1),IF(C74="peso_corporal",IF(ISNUMBER(E74),E74,0)+L74,L74)*M74*1000+L74,0),IF((P74&gt;0)*(IF(Q74="",-1,Q74)&gt;=0)*(IF(Q74="",-1,Q74)&lt;=1),IF(C74="peso_corporal",IF(ISNUMBER(E74),E74,0)+O74,O74)*P74*1000+O74,0),IF((S74&gt;0)*(IF(T74="",-1,T74)&gt;=0)*(IF(T74="",-1,T74)&lt;=1),IF(C74="peso_corporal",IF(ISNUMBER(E74),E74,0)+R74,R74)*S74*1000+R74,0))</f>
        <v>0</v>
      </c>
      <c r="X74" s="69">
        <f>IF(W74=0,0,IF(IF((S74&gt;0)*(IF(T74="",-1,T74)&gt;=0)*(IF(T74="",-1,T74)&lt;=1),IF(C74="peso_corporal",IF(ISNUMBER(E74),E74,0)+R74,R74)*S74*1000+R74,0)=W74,5,IF(IF((P74&gt;0)*(IF(Q74="",-1,Q74)&gt;=0)*(IF(Q74="",-1,Q74)&lt;=1),IF(C74="peso_corporal",IF(ISNUMBER(E74),E74,0)+O74,O74)*P74*1000+O74,0)=W74,4,IF(IF((M74&gt;0)*(IF(N74="",-1,N74)&gt;=0)*(IF(N74="",-1,N74)&lt;=1),IF(C74="peso_corporal",IF(ISNUMBER(E74),E74,0)+L74,L74)*M74*1000+L74,0)=W74,3,IF(IF((J74&gt;0)*(IF(K74="",-1,K74)&gt;=0)*(IF(K74="",-1,K74)&lt;=1),IF(C74="peso_corporal",IF(ISNUMBER(E74),E74,0)+I74,I74)*J74*1000+I74,0)=W74,2,IF(IF((G74&gt;0)*(IF(H74="",-1,H74)&gt;=0)*(IF(H74="",-1,H74)&lt;=1),IF(C74="peso_corporal",IF(ISNUMBER(E74),E74,0)+F74,F74)*G74*1000+F74,0)=W74,1,0))))))</f>
        <v>0</v>
      </c>
      <c r="Y74" s="69">
        <f>MAX(IF((G74&gt;0)*(IF(H74="",-1,H74)=0)*(1-(IF(H74="",-1,H74)&gt;=0)*(IF(H74="",-1,H74)&lt;=1)),IF(C74="peso_corporal",IF(ISNUMBER(E74),E74,0)+F74,F74)*G74*1000+F74,0),IF((J74&gt;0)*(IF(K74="",-1,K74)=0)*(1-(IF(K74="",-1,K74)&gt;=0)*(IF(K74="",-1,K74)&lt;=1)),IF(C74="peso_corporal",IF(ISNUMBER(E74),E74,0)+I74,I74)*J74*1000+I74,0),IF((M74&gt;0)*(IF(N74="",-1,N74)=0)*(1-(IF(N74="",-1,N74)&gt;=0)*(IF(N74="",-1,N74)&lt;=1)),IF(C74="peso_corporal",IF(ISNUMBER(E74),E74,0)+L74,L74)*M74*1000+L74,0),IF((P74&gt;0)*(IF(Q74="",-1,Q74)=0)*(1-(IF(Q74="",-1,Q74)&gt;=0)*(IF(Q74="",-1,Q74)&lt;=1)),IF(C74="peso_corporal",IF(ISNUMBER(E74),E74,0)+O74,O74)*P74*1000+O74,0),IF((S74&gt;0)*(IF(T74="",-1,T74)=0)*(1-(IF(T74="",-1,T74)&gt;=0)*(IF(T74="",-1,T74)&lt;=1)),IF(C74="peso_corporal",IF(ISNUMBER(E74),E74,0)+R74,R74)*S74*1000+R74,0))</f>
        <v>0</v>
      </c>
      <c r="Z74" s="69">
        <f>IF(Y74=0,0,IF(IF((S74&gt;0)*(IF(T74="",-1,T74)=0)*(1-(IF(T74="",-1,T74)&gt;=0)*(IF(T74="",-1,T74)&lt;=1)),IF(C74="peso_corporal",IF(ISNUMBER(E74),E74,0)+R74,R74)*S74*1000+R74,0)=Y74,5,IF(IF((P74&gt;0)*(IF(Q74="",-1,Q74)=0)*(1-(IF(Q74="",-1,Q74)&gt;=0)*(IF(Q74="",-1,Q74)&lt;=1)),IF(C74="peso_corporal",IF(ISNUMBER(E74),E74,0)+O74,O74)*P74*1000+O74,0)=Y74,4,IF(IF((M74&gt;0)*(IF(N74="",-1,N74)=0)*(1-(IF(N74="",-1,N74)&gt;=0)*(IF(N74="",-1,N74)&lt;=1)),IF(C74="peso_corporal",IF(ISNUMBER(E74),E74,0)+L74,L74)*M74*1000+L74,0)=Y74,3,IF(IF((J74&gt;0)*(IF(K74="",-1,K74)=0)*(1-(IF(K74="",-1,K74)&gt;=0)*(IF(K74="",-1,K74)&lt;=1)),IF(C74="peso_corporal",IF(ISNUMBER(E74),E74,0)+I74,I74)*J74*1000+I74,0)=Y74,2,IF(IF((G74&gt;0)*(IF(H74="",-1,H74)=0)*(1-(IF(H74="",-1,H74)&gt;=0)*(IF(H74="",-1,H74)&lt;=1)),IF(C74="peso_corporal",IF(ISNUMBER(E74),E74,0)+F74,F74)*G74*1000+F74,0)=Y74,1,0))))))</f>
        <v>0</v>
      </c>
      <c r="AA74" s="69">
        <f>MAX(IF((G74&gt;=3)*(1-(IF(H74="",-1,H74)&gt;=0)*(IF(H74="",-1,H74)&lt;=1))*(1-(IF(H74="",-1,H74)=0)),IF(C74="peso_corporal",IF(ISNUMBER(E74),E74,0)+F74,F74)*(30+G74)*100+F74,0),IF((J74&gt;=3)*(1-(IF(K74="",-1,K74)&gt;=0)*(IF(K74="",-1,K74)&lt;=1))*(1-(IF(K74="",-1,K74)=0)),IF(C74="peso_corporal",IF(ISNUMBER(E74),E74,0)+I74,I74)*(30+J74)*100+I74,0),IF((M74&gt;=3)*(1-(IF(N74="",-1,N74)&gt;=0)*(IF(N74="",-1,N74)&lt;=1))*(1-(IF(N74="",-1,N74)=0)),IF(C74="peso_corporal",IF(ISNUMBER(E74),E74,0)+L74,L74)*(30+M74)*100+L74,0),IF((P74&gt;=3)*(1-(IF(Q74="",-1,Q74)&gt;=0)*(IF(Q74="",-1,Q74)&lt;=1))*(1-(IF(Q74="",-1,Q74)=0)),IF(C74="peso_corporal",IF(ISNUMBER(E74),E74,0)+O74,O74)*(30+P74)*100+O74,0),IF((S74&gt;=3)*(1-(IF(T74="",-1,T74)&gt;=0)*(IF(T74="",-1,T74)&lt;=1))*(1-(IF(T74="",-1,T74)=0)),IF(C74="peso_corporal",IF(ISNUMBER(E74),E74,0)+R74,R74)*(30+S74)*100+R74,0))</f>
        <v>0</v>
      </c>
      <c r="AB74" s="69">
        <f>IF(AA74=0,0,IF(IF((S74&gt;=3)*(1-(IF(T74="",-1,T74)&gt;=0)*(IF(T74="",-1,T74)&lt;=1))*(1-(IF(T74="",-1,T74)=0)),IF(C74="peso_corporal",IF(ISNUMBER(E74),E74,0)+R74,R74)*(30+S74)*100+R74,0)=AA74,5,IF(IF((P74&gt;=3)*(1-(IF(Q74="",-1,Q74)&gt;=0)*(IF(Q74="",-1,Q74)&lt;=1))*(1-(IF(Q74="",-1,Q74)=0)),IF(C74="peso_corporal",IF(ISNUMBER(E74),E74,0)+O74,O74)*(30+P74)*100+O74,0)=AA74,4,IF(IF((M74&gt;=3)*(1-(IF(N74="",-1,N74)&gt;=0)*(IF(N74="",-1,N74)&lt;=1))*(1-(IF(N74="",-1,N74)=0)),IF(C74="peso_corporal",IF(ISNUMBER(E74),E74,0)+L74,L74)*(30+M74)*100+L74,0)=AA74,3,IF(IF((J74&gt;=3)*(1-(IF(K74="",-1,K74)&gt;=0)*(IF(K74="",-1,K74)&lt;=1))*(1-(IF(K74="",-1,K74)=0)),IF(C74="peso_corporal",IF(ISNUMBER(E74),E74,0)+I74,I74)*(30+J74)*100+I74,0)=AA74,2,IF(IF((G74&gt;=3)*(1-(IF(H74="",-1,H74)&gt;=0)*(IF(H74="",-1,H74)&lt;=1))*(1-(IF(H74="",-1,H74)=0)),IF(C74="peso_corporal",IF(ISNUMBER(E74),E74,0)+F74,F74)*(30+G74)*100+F74,0)=AA74,1,0))))))</f>
        <v>0</v>
      </c>
      <c r="AC74" s="69" t="str">
        <f>IF(X74&gt;0,"A"&amp;X74,IF(Z74&gt;0,"B"&amp;Z74,IF(AB74&gt;0,"C"&amp;AB74,"")))</f>
        <v/>
      </c>
    </row>
    <row r="75" spans="1:29" ht="15" customHeight="1">
      <c r="A75" s="82" t="s">
        <v>47</v>
      </c>
      <c r="B75" s="73"/>
      <c r="C75" s="73"/>
      <c r="D75" s="73"/>
      <c r="E75" s="73"/>
      <c r="F75" s="73"/>
      <c r="G75" s="73"/>
      <c r="H75" s="73"/>
      <c r="I75" s="73"/>
      <c r="J75" s="73"/>
      <c r="K75" s="73"/>
      <c r="L75" s="73"/>
      <c r="M75" s="73"/>
      <c r="N75" s="73"/>
      <c r="O75" s="73"/>
      <c r="P75" s="73"/>
      <c r="Q75" s="73"/>
      <c r="R75" s="73"/>
      <c r="S75" s="73"/>
      <c r="T75" s="73"/>
      <c r="U75" s="73"/>
      <c r="V75" s="73"/>
      <c r="W75" s="69"/>
      <c r="X75" s="69"/>
      <c r="Y75" s="69"/>
      <c r="Z75" s="69"/>
      <c r="AA75" s="69"/>
      <c r="AB75" s="69"/>
      <c r="AC75" s="69"/>
    </row>
    <row r="76" spans="1:29" ht="20.100000000000001" customHeight="1">
      <c r="A76" s="14" t="s">
        <v>40</v>
      </c>
      <c r="B76" s="15" t="s">
        <v>41</v>
      </c>
      <c r="C76" s="16" t="str">
        <f>IFERROR(INDEX(EJERCICIOS!$D$3:$D$75,MATCH(A76&amp;"|"&amp;B76,EJERCICIOS!$G$3:$G$75,0)),"--")</f>
        <v>polea</v>
      </c>
      <c r="D76" s="17">
        <v>3</v>
      </c>
      <c r="E76" s="18">
        <f>IFERROR(LOOKUP(2,1/(MEDIDAS_Y_PESO!$B$3:$B$5&lt;&gt;""),MEDIDAS_Y_PESO!$B$3:$B$5),"--")</f>
        <v>80</v>
      </c>
      <c r="F76" s="19"/>
      <c r="G76" s="20"/>
      <c r="H76" s="21"/>
      <c r="I76" s="19"/>
      <c r="J76" s="20"/>
      <c r="K76" s="21"/>
      <c r="L76" s="19"/>
      <c r="M76" s="20"/>
      <c r="N76" s="21"/>
      <c r="O76" s="19"/>
      <c r="P76" s="20"/>
      <c r="Q76" s="21"/>
      <c r="R76" s="19"/>
      <c r="S76" s="20"/>
      <c r="T76" s="21"/>
      <c r="U76" s="22" t="str">
        <f>IFERROR(IF(IF(X76&gt;0,X76,IF(Z76&gt;0,Z76,IF(AB76&gt;0,AB76,0)))=0,"--",ROUND(CHOOSE(IF(X76&gt;0,X76,IF(Z76&gt;0,Z76,IF(AB76&gt;0,AB76,0))),IF(C76="peso_corporal",IF(ISNUMBER(E76),E76,0)+F76,F76)*(1+G76/30),IF(C76="peso_corporal",IF(ISNUMBER(E76),E76,0)+I76,I76)*(1+J76/30),IF(C76="peso_corporal",IF(ISNUMBER(E76),E76,0)+L76,L76)*(1+M76/30),IF(C76="peso_corporal",IF(ISNUMBER(E76),E76,0)+O76,O76)*(1+P76/30),IF(C76="peso_corporal",IF(ISNUMBER(E76),E76,0)+R76,R76)*(1+S76/30)),1)),"--")</f>
        <v>--</v>
      </c>
      <c r="V76" s="23" t="str">
        <f>IF(SUGERENCIAS!N175="SIN","Sin datos anteriores",IF(SUGERENCIAS!N175="SUBIR_F","^ SUBIR FUERTE | Kg:"&amp;ROUND(SUGERENCIAS!K175,1)&amp;" R:"&amp;ROUND(SUGERENCIAS!L175,0)&amp;" RIR:"&amp;ROUND(SUGERENCIAS!M175,0),IF(SUGERENCIAS!N175="SUBIR_E","^ SUBIR (Est.) | Kg:"&amp;ROUND(SUGERENCIAS!K175,1)&amp;" R:"&amp;ROUND(SUGERENCIAS!L175,0)&amp;" RIR:"&amp;ROUND(SUGERENCIAS!M175,0),IF(SUGERENCIAS!N175="SUBIR","^ SUBIR | Kg:"&amp;ROUND(SUGERENCIAS!K175,1)&amp;" R:"&amp;ROUND(SUGERENCIAS!L175,0)&amp;" RIR:"&amp;ROUND(SUGERENCIAS!M175,0),IF(SUGERENCIAS!N175="BAJAR","v BAJAR | Kg:"&amp;ROUND(SUGERENCIAS!K175,1)&amp;" R:"&amp;ROUND(SUGERENCIAS!L175,0)&amp;" RIR:"&amp;ROUND(SUGERENCIAS!M175,0),"= MANT | Kg:"&amp;ROUND(SUGERENCIAS!K175,1)&amp;" R:"&amp;ROUND(SUGERENCIAS!L175,0)&amp;" RIR:"&amp;ROUND(SUGERENCIAS!M175,0))))))</f>
        <v>Sin datos anteriores</v>
      </c>
      <c r="W76" s="69">
        <f>MAX(IF((G76&gt;0)*(IF(H76="",-1,H76)&gt;=0)*(IF(H76="",-1,H76)&lt;=1),IF(C76="peso_corporal",IF(ISNUMBER(E76),E76,0)+F76,F76)*G76*1000+F76,0),IF((J76&gt;0)*(IF(K76="",-1,K76)&gt;=0)*(IF(K76="",-1,K76)&lt;=1),IF(C76="peso_corporal",IF(ISNUMBER(E76),E76,0)+I76,I76)*J76*1000+I76,0),IF((M76&gt;0)*(IF(N76="",-1,N76)&gt;=0)*(IF(N76="",-1,N76)&lt;=1),IF(C76="peso_corporal",IF(ISNUMBER(E76),E76,0)+L76,L76)*M76*1000+L76,0),IF((P76&gt;0)*(IF(Q76="",-1,Q76)&gt;=0)*(IF(Q76="",-1,Q76)&lt;=1),IF(C76="peso_corporal",IF(ISNUMBER(E76),E76,0)+O76,O76)*P76*1000+O76,0),IF((S76&gt;0)*(IF(T76="",-1,T76)&gt;=0)*(IF(T76="",-1,T76)&lt;=1),IF(C76="peso_corporal",IF(ISNUMBER(E76),E76,0)+R76,R76)*S76*1000+R76,0))</f>
        <v>0</v>
      </c>
      <c r="X76" s="69">
        <f>IF(W76=0,0,IF(IF((S76&gt;0)*(IF(T76="",-1,T76)&gt;=0)*(IF(T76="",-1,T76)&lt;=1),IF(C76="peso_corporal",IF(ISNUMBER(E76),E76,0)+R76,R76)*S76*1000+R76,0)=W76,5,IF(IF((P76&gt;0)*(IF(Q76="",-1,Q76)&gt;=0)*(IF(Q76="",-1,Q76)&lt;=1),IF(C76="peso_corporal",IF(ISNUMBER(E76),E76,0)+O76,O76)*P76*1000+O76,0)=W76,4,IF(IF((M76&gt;0)*(IF(N76="",-1,N76)&gt;=0)*(IF(N76="",-1,N76)&lt;=1),IF(C76="peso_corporal",IF(ISNUMBER(E76),E76,0)+L76,L76)*M76*1000+L76,0)=W76,3,IF(IF((J76&gt;0)*(IF(K76="",-1,K76)&gt;=0)*(IF(K76="",-1,K76)&lt;=1),IF(C76="peso_corporal",IF(ISNUMBER(E76),E76,0)+I76,I76)*J76*1000+I76,0)=W76,2,IF(IF((G76&gt;0)*(IF(H76="",-1,H76)&gt;=0)*(IF(H76="",-1,H76)&lt;=1),IF(C76="peso_corporal",IF(ISNUMBER(E76),E76,0)+F76,F76)*G76*1000+F76,0)=W76,1,0))))))</f>
        <v>0</v>
      </c>
      <c r="Y76" s="69">
        <f>MAX(IF((G76&gt;0)*(IF(H76="",-1,H76)=0)*(1-(IF(H76="",-1,H76)&gt;=0)*(IF(H76="",-1,H76)&lt;=1)),IF(C76="peso_corporal",IF(ISNUMBER(E76),E76,0)+F76,F76)*G76*1000+F76,0),IF((J76&gt;0)*(IF(K76="",-1,K76)=0)*(1-(IF(K76="",-1,K76)&gt;=0)*(IF(K76="",-1,K76)&lt;=1)),IF(C76="peso_corporal",IF(ISNUMBER(E76),E76,0)+I76,I76)*J76*1000+I76,0),IF((M76&gt;0)*(IF(N76="",-1,N76)=0)*(1-(IF(N76="",-1,N76)&gt;=0)*(IF(N76="",-1,N76)&lt;=1)),IF(C76="peso_corporal",IF(ISNUMBER(E76),E76,0)+L76,L76)*M76*1000+L76,0),IF((P76&gt;0)*(IF(Q76="",-1,Q76)=0)*(1-(IF(Q76="",-1,Q76)&gt;=0)*(IF(Q76="",-1,Q76)&lt;=1)),IF(C76="peso_corporal",IF(ISNUMBER(E76),E76,0)+O76,O76)*P76*1000+O76,0),IF((S76&gt;0)*(IF(T76="",-1,T76)=0)*(1-(IF(T76="",-1,T76)&gt;=0)*(IF(T76="",-1,T76)&lt;=1)),IF(C76="peso_corporal",IF(ISNUMBER(E76),E76,0)+R76,R76)*S76*1000+R76,0))</f>
        <v>0</v>
      </c>
      <c r="Z76" s="69">
        <f>IF(Y76=0,0,IF(IF((S76&gt;0)*(IF(T76="",-1,T76)=0)*(1-(IF(T76="",-1,T76)&gt;=0)*(IF(T76="",-1,T76)&lt;=1)),IF(C76="peso_corporal",IF(ISNUMBER(E76),E76,0)+R76,R76)*S76*1000+R76,0)=Y76,5,IF(IF((P76&gt;0)*(IF(Q76="",-1,Q76)=0)*(1-(IF(Q76="",-1,Q76)&gt;=0)*(IF(Q76="",-1,Q76)&lt;=1)),IF(C76="peso_corporal",IF(ISNUMBER(E76),E76,0)+O76,O76)*P76*1000+O76,0)=Y76,4,IF(IF((M76&gt;0)*(IF(N76="",-1,N76)=0)*(1-(IF(N76="",-1,N76)&gt;=0)*(IF(N76="",-1,N76)&lt;=1)),IF(C76="peso_corporal",IF(ISNUMBER(E76),E76,0)+L76,L76)*M76*1000+L76,0)=Y76,3,IF(IF((J76&gt;0)*(IF(K76="",-1,K76)=0)*(1-(IF(K76="",-1,K76)&gt;=0)*(IF(K76="",-1,K76)&lt;=1)),IF(C76="peso_corporal",IF(ISNUMBER(E76),E76,0)+I76,I76)*J76*1000+I76,0)=Y76,2,IF(IF((G76&gt;0)*(IF(H76="",-1,H76)=0)*(1-(IF(H76="",-1,H76)&gt;=0)*(IF(H76="",-1,H76)&lt;=1)),IF(C76="peso_corporal",IF(ISNUMBER(E76),E76,0)+F76,F76)*G76*1000+F76,0)=Y76,1,0))))))</f>
        <v>0</v>
      </c>
      <c r="AA76" s="69">
        <f>MAX(IF((G76&gt;=3)*(1-(IF(H76="",-1,H76)&gt;=0)*(IF(H76="",-1,H76)&lt;=1))*(1-(IF(H76="",-1,H76)=0)),IF(C76="peso_corporal",IF(ISNUMBER(E76),E76,0)+F76,F76)*(30+G76)*100+F76,0),IF((J76&gt;=3)*(1-(IF(K76="",-1,K76)&gt;=0)*(IF(K76="",-1,K76)&lt;=1))*(1-(IF(K76="",-1,K76)=0)),IF(C76="peso_corporal",IF(ISNUMBER(E76),E76,0)+I76,I76)*(30+J76)*100+I76,0),IF((M76&gt;=3)*(1-(IF(N76="",-1,N76)&gt;=0)*(IF(N76="",-1,N76)&lt;=1))*(1-(IF(N76="",-1,N76)=0)),IF(C76="peso_corporal",IF(ISNUMBER(E76),E76,0)+L76,L76)*(30+M76)*100+L76,0),IF((P76&gt;=3)*(1-(IF(Q76="",-1,Q76)&gt;=0)*(IF(Q76="",-1,Q76)&lt;=1))*(1-(IF(Q76="",-1,Q76)=0)),IF(C76="peso_corporal",IF(ISNUMBER(E76),E76,0)+O76,O76)*(30+P76)*100+O76,0),IF((S76&gt;=3)*(1-(IF(T76="",-1,T76)&gt;=0)*(IF(T76="",-1,T76)&lt;=1))*(1-(IF(T76="",-1,T76)=0)),IF(C76="peso_corporal",IF(ISNUMBER(E76),E76,0)+R76,R76)*(30+S76)*100+R76,0))</f>
        <v>0</v>
      </c>
      <c r="AB76" s="69">
        <f>IF(AA76=0,0,IF(IF((S76&gt;=3)*(1-(IF(T76="",-1,T76)&gt;=0)*(IF(T76="",-1,T76)&lt;=1))*(1-(IF(T76="",-1,T76)=0)),IF(C76="peso_corporal",IF(ISNUMBER(E76),E76,0)+R76,R76)*(30+S76)*100+R76,0)=AA76,5,IF(IF((P76&gt;=3)*(1-(IF(Q76="",-1,Q76)&gt;=0)*(IF(Q76="",-1,Q76)&lt;=1))*(1-(IF(Q76="",-1,Q76)=0)),IF(C76="peso_corporal",IF(ISNUMBER(E76),E76,0)+O76,O76)*(30+P76)*100+O76,0)=AA76,4,IF(IF((M76&gt;=3)*(1-(IF(N76="",-1,N76)&gt;=0)*(IF(N76="",-1,N76)&lt;=1))*(1-(IF(N76="",-1,N76)=0)),IF(C76="peso_corporal",IF(ISNUMBER(E76),E76,0)+L76,L76)*(30+M76)*100+L76,0)=AA76,3,IF(IF((J76&gt;=3)*(1-(IF(K76="",-1,K76)&gt;=0)*(IF(K76="",-1,K76)&lt;=1))*(1-(IF(K76="",-1,K76)=0)),IF(C76="peso_corporal",IF(ISNUMBER(E76),E76,0)+I76,I76)*(30+J76)*100+I76,0)=AA76,2,IF(IF((G76&gt;=3)*(1-(IF(H76="",-1,H76)&gt;=0)*(IF(H76="",-1,H76)&lt;=1))*(1-(IF(H76="",-1,H76)=0)),IF(C76="peso_corporal",IF(ISNUMBER(E76),E76,0)+F76,F76)*(30+G76)*100+F76,0)=AA76,1,0))))))</f>
        <v>0</v>
      </c>
      <c r="AC76" s="69" t="str">
        <f>IF(X76&gt;0,"A"&amp;X76,IF(Z76&gt;0,"B"&amp;Z76,IF(AB76&gt;0,"C"&amp;AB76,"")))</f>
        <v/>
      </c>
    </row>
    <row r="77" spans="1:29" ht="20.100000000000001" customHeight="1">
      <c r="A77" s="14" t="s">
        <v>48</v>
      </c>
      <c r="B77" s="15" t="s">
        <v>166</v>
      </c>
      <c r="C77" s="16" t="str">
        <f>IFERROR(INDEX(EJERCICIOS!$D$3:$D$75,MATCH(A77&amp;"|"&amp;B77,EJERCICIOS!$G$3:$G$75,0)),"--")</f>
        <v>--</v>
      </c>
      <c r="D77" s="17">
        <v>3</v>
      </c>
      <c r="E77" s="18">
        <f>IFERROR(LOOKUP(2,1/(MEDIDAS_Y_PESO!$B$3:$B$5&lt;&gt;""),MEDIDAS_Y_PESO!$B$3:$B$5),"--")</f>
        <v>80</v>
      </c>
      <c r="F77" s="19"/>
      <c r="G77" s="20"/>
      <c r="H77" s="21"/>
      <c r="I77" s="19"/>
      <c r="J77" s="20"/>
      <c r="K77" s="21"/>
      <c r="L77" s="19"/>
      <c r="M77" s="20"/>
      <c r="N77" s="21"/>
      <c r="O77" s="19"/>
      <c r="P77" s="20"/>
      <c r="Q77" s="21"/>
      <c r="R77" s="19"/>
      <c r="S77" s="20"/>
      <c r="T77" s="21"/>
      <c r="U77" s="22" t="str">
        <f>IFERROR(IF(IF(X77&gt;0,X77,IF(Z77&gt;0,Z77,IF(AB77&gt;0,AB77,0)))=0,"--",ROUND(CHOOSE(IF(X77&gt;0,X77,IF(Z77&gt;0,Z77,IF(AB77&gt;0,AB77,0))),IF(C77="peso_corporal",IF(ISNUMBER(E77),E77,0)+F77,F77)*(1+G77/30),IF(C77="peso_corporal",IF(ISNUMBER(E77),E77,0)+I77,I77)*(1+J77/30),IF(C77="peso_corporal",IF(ISNUMBER(E77),E77,0)+L77,L77)*(1+M77/30),IF(C77="peso_corporal",IF(ISNUMBER(E77),E77,0)+O77,O77)*(1+P77/30),IF(C77="peso_corporal",IF(ISNUMBER(E77),E77,0)+R77,R77)*(1+S77/30)),1)),"--")</f>
        <v>--</v>
      </c>
      <c r="V77" s="23" t="str">
        <f>IF(SUGERENCIAS!N176="SIN","Sin datos anteriores",IF(SUGERENCIAS!N176="SUBIR_F","^ SUBIR FUERTE | Kg:"&amp;ROUND(SUGERENCIAS!K176,1)&amp;" R:"&amp;ROUND(SUGERENCIAS!L176,0)&amp;" RIR:"&amp;ROUND(SUGERENCIAS!M176,0),IF(SUGERENCIAS!N176="SUBIR_E","^ SUBIR (Est.) | Kg:"&amp;ROUND(SUGERENCIAS!K176,1)&amp;" R:"&amp;ROUND(SUGERENCIAS!L176,0)&amp;" RIR:"&amp;ROUND(SUGERENCIAS!M176,0),IF(SUGERENCIAS!N176="SUBIR","^ SUBIR | Kg:"&amp;ROUND(SUGERENCIAS!K176,1)&amp;" R:"&amp;ROUND(SUGERENCIAS!L176,0)&amp;" RIR:"&amp;ROUND(SUGERENCIAS!M176,0),IF(SUGERENCIAS!N176="BAJAR","v BAJAR | Kg:"&amp;ROUND(SUGERENCIAS!K176,1)&amp;" R:"&amp;ROUND(SUGERENCIAS!L176,0)&amp;" RIR:"&amp;ROUND(SUGERENCIAS!M176,0),"= MANT | Kg:"&amp;ROUND(SUGERENCIAS!K176,1)&amp;" R:"&amp;ROUND(SUGERENCIAS!L176,0)&amp;" RIR:"&amp;ROUND(SUGERENCIAS!M176,0))))))</f>
        <v>Sin datos anteriores</v>
      </c>
      <c r="W77" s="69">
        <f>MAX(IF((G77&gt;0)*(IF(H77="",-1,H77)&gt;=0)*(IF(H77="",-1,H77)&lt;=1),IF(C77="peso_corporal",IF(ISNUMBER(E77),E77,0)+F77,F77)*G77*1000+F77,0),IF((J77&gt;0)*(IF(K77="",-1,K77)&gt;=0)*(IF(K77="",-1,K77)&lt;=1),IF(C77="peso_corporal",IF(ISNUMBER(E77),E77,0)+I77,I77)*J77*1000+I77,0),IF((M77&gt;0)*(IF(N77="",-1,N77)&gt;=0)*(IF(N77="",-1,N77)&lt;=1),IF(C77="peso_corporal",IF(ISNUMBER(E77),E77,0)+L77,L77)*M77*1000+L77,0),IF((P77&gt;0)*(IF(Q77="",-1,Q77)&gt;=0)*(IF(Q77="",-1,Q77)&lt;=1),IF(C77="peso_corporal",IF(ISNUMBER(E77),E77,0)+O77,O77)*P77*1000+O77,0),IF((S77&gt;0)*(IF(T77="",-1,T77)&gt;=0)*(IF(T77="",-1,T77)&lt;=1),IF(C77="peso_corporal",IF(ISNUMBER(E77),E77,0)+R77,R77)*S77*1000+R77,0))</f>
        <v>0</v>
      </c>
      <c r="X77" s="69">
        <f>IF(W77=0,0,IF(IF((S77&gt;0)*(IF(T77="",-1,T77)&gt;=0)*(IF(T77="",-1,T77)&lt;=1),IF(C77="peso_corporal",IF(ISNUMBER(E77),E77,0)+R77,R77)*S77*1000+R77,0)=W77,5,IF(IF((P77&gt;0)*(IF(Q77="",-1,Q77)&gt;=0)*(IF(Q77="",-1,Q77)&lt;=1),IF(C77="peso_corporal",IF(ISNUMBER(E77),E77,0)+O77,O77)*P77*1000+O77,0)=W77,4,IF(IF((M77&gt;0)*(IF(N77="",-1,N77)&gt;=0)*(IF(N77="",-1,N77)&lt;=1),IF(C77="peso_corporal",IF(ISNUMBER(E77),E77,0)+L77,L77)*M77*1000+L77,0)=W77,3,IF(IF((J77&gt;0)*(IF(K77="",-1,K77)&gt;=0)*(IF(K77="",-1,K77)&lt;=1),IF(C77="peso_corporal",IF(ISNUMBER(E77),E77,0)+I77,I77)*J77*1000+I77,0)=W77,2,IF(IF((G77&gt;0)*(IF(H77="",-1,H77)&gt;=0)*(IF(H77="",-1,H77)&lt;=1),IF(C77="peso_corporal",IF(ISNUMBER(E77),E77,0)+F77,F77)*G77*1000+F77,0)=W77,1,0))))))</f>
        <v>0</v>
      </c>
      <c r="Y77" s="69">
        <f>MAX(IF((G77&gt;0)*(IF(H77="",-1,H77)=0)*(1-(IF(H77="",-1,H77)&gt;=0)*(IF(H77="",-1,H77)&lt;=1)),IF(C77="peso_corporal",IF(ISNUMBER(E77),E77,0)+F77,F77)*G77*1000+F77,0),IF((J77&gt;0)*(IF(K77="",-1,K77)=0)*(1-(IF(K77="",-1,K77)&gt;=0)*(IF(K77="",-1,K77)&lt;=1)),IF(C77="peso_corporal",IF(ISNUMBER(E77),E77,0)+I77,I77)*J77*1000+I77,0),IF((M77&gt;0)*(IF(N77="",-1,N77)=0)*(1-(IF(N77="",-1,N77)&gt;=0)*(IF(N77="",-1,N77)&lt;=1)),IF(C77="peso_corporal",IF(ISNUMBER(E77),E77,0)+L77,L77)*M77*1000+L77,0),IF((P77&gt;0)*(IF(Q77="",-1,Q77)=0)*(1-(IF(Q77="",-1,Q77)&gt;=0)*(IF(Q77="",-1,Q77)&lt;=1)),IF(C77="peso_corporal",IF(ISNUMBER(E77),E77,0)+O77,O77)*P77*1000+O77,0),IF((S77&gt;0)*(IF(T77="",-1,T77)=0)*(1-(IF(T77="",-1,T77)&gt;=0)*(IF(T77="",-1,T77)&lt;=1)),IF(C77="peso_corporal",IF(ISNUMBER(E77),E77,0)+R77,R77)*S77*1000+R77,0))</f>
        <v>0</v>
      </c>
      <c r="Z77" s="69">
        <f>IF(Y77=0,0,IF(IF((S77&gt;0)*(IF(T77="",-1,T77)=0)*(1-(IF(T77="",-1,T77)&gt;=0)*(IF(T77="",-1,T77)&lt;=1)),IF(C77="peso_corporal",IF(ISNUMBER(E77),E77,0)+R77,R77)*S77*1000+R77,0)=Y77,5,IF(IF((P77&gt;0)*(IF(Q77="",-1,Q77)=0)*(1-(IF(Q77="",-1,Q77)&gt;=0)*(IF(Q77="",-1,Q77)&lt;=1)),IF(C77="peso_corporal",IF(ISNUMBER(E77),E77,0)+O77,O77)*P77*1000+O77,0)=Y77,4,IF(IF((M77&gt;0)*(IF(N77="",-1,N77)=0)*(1-(IF(N77="",-1,N77)&gt;=0)*(IF(N77="",-1,N77)&lt;=1)),IF(C77="peso_corporal",IF(ISNUMBER(E77),E77,0)+L77,L77)*M77*1000+L77,0)=Y77,3,IF(IF((J77&gt;0)*(IF(K77="",-1,K77)=0)*(1-(IF(K77="",-1,K77)&gt;=0)*(IF(K77="",-1,K77)&lt;=1)),IF(C77="peso_corporal",IF(ISNUMBER(E77),E77,0)+I77,I77)*J77*1000+I77,0)=Y77,2,IF(IF((G77&gt;0)*(IF(H77="",-1,H77)=0)*(1-(IF(H77="",-1,H77)&gt;=0)*(IF(H77="",-1,H77)&lt;=1)),IF(C77="peso_corporal",IF(ISNUMBER(E77),E77,0)+F77,F77)*G77*1000+F77,0)=Y77,1,0))))))</f>
        <v>0</v>
      </c>
      <c r="AA77" s="69">
        <f>MAX(IF((G77&gt;=3)*(1-(IF(H77="",-1,H77)&gt;=0)*(IF(H77="",-1,H77)&lt;=1))*(1-(IF(H77="",-1,H77)=0)),IF(C77="peso_corporal",IF(ISNUMBER(E77),E77,0)+F77,F77)*(30+G77)*100+F77,0),IF((J77&gt;=3)*(1-(IF(K77="",-1,K77)&gt;=0)*(IF(K77="",-1,K77)&lt;=1))*(1-(IF(K77="",-1,K77)=0)),IF(C77="peso_corporal",IF(ISNUMBER(E77),E77,0)+I77,I77)*(30+J77)*100+I77,0),IF((M77&gt;=3)*(1-(IF(N77="",-1,N77)&gt;=0)*(IF(N77="",-1,N77)&lt;=1))*(1-(IF(N77="",-1,N77)=0)),IF(C77="peso_corporal",IF(ISNUMBER(E77),E77,0)+L77,L77)*(30+M77)*100+L77,0),IF((P77&gt;=3)*(1-(IF(Q77="",-1,Q77)&gt;=0)*(IF(Q77="",-1,Q77)&lt;=1))*(1-(IF(Q77="",-1,Q77)=0)),IF(C77="peso_corporal",IF(ISNUMBER(E77),E77,0)+O77,O77)*(30+P77)*100+O77,0),IF((S77&gt;=3)*(1-(IF(T77="",-1,T77)&gt;=0)*(IF(T77="",-1,T77)&lt;=1))*(1-(IF(T77="",-1,T77)=0)),IF(C77="peso_corporal",IF(ISNUMBER(E77),E77,0)+R77,R77)*(30+S77)*100+R77,0))</f>
        <v>0</v>
      </c>
      <c r="AB77" s="69">
        <f>IF(AA77=0,0,IF(IF((S77&gt;=3)*(1-(IF(T77="",-1,T77)&gt;=0)*(IF(T77="",-1,T77)&lt;=1))*(1-(IF(T77="",-1,T77)=0)),IF(C77="peso_corporal",IF(ISNUMBER(E77),E77,0)+R77,R77)*(30+S77)*100+R77,0)=AA77,5,IF(IF((P77&gt;=3)*(1-(IF(Q77="",-1,Q77)&gt;=0)*(IF(Q77="",-1,Q77)&lt;=1))*(1-(IF(Q77="",-1,Q77)=0)),IF(C77="peso_corporal",IF(ISNUMBER(E77),E77,0)+O77,O77)*(30+P77)*100+O77,0)=AA77,4,IF(IF((M77&gt;=3)*(1-(IF(N77="",-1,N77)&gt;=0)*(IF(N77="",-1,N77)&lt;=1))*(1-(IF(N77="",-1,N77)=0)),IF(C77="peso_corporal",IF(ISNUMBER(E77),E77,0)+L77,L77)*(30+M77)*100+L77,0)=AA77,3,IF(IF((J77&gt;=3)*(1-(IF(K77="",-1,K77)&gt;=0)*(IF(K77="",-1,K77)&lt;=1))*(1-(IF(K77="",-1,K77)=0)),IF(C77="peso_corporal",IF(ISNUMBER(E77),E77,0)+I77,I77)*(30+J77)*100+I77,0)=AA77,2,IF(IF((G77&gt;=3)*(1-(IF(H77="",-1,H77)&gt;=0)*(IF(H77="",-1,H77)&lt;=1))*(1-(IF(H77="",-1,H77)=0)),IF(C77="peso_corporal",IF(ISNUMBER(E77),E77,0)+F77,F77)*(30+G77)*100+F77,0)=AA77,1,0))))))</f>
        <v>0</v>
      </c>
      <c r="AC77" s="69" t="str">
        <f>IF(X77&gt;0,"A"&amp;X77,IF(Z77&gt;0,"B"&amp;Z77,IF(AB77&gt;0,"C"&amp;AB77,"")))</f>
        <v/>
      </c>
    </row>
    <row r="78" spans="1:29" ht="15" customHeight="1">
      <c r="A78" s="88" t="s">
        <v>50</v>
      </c>
      <c r="B78" s="73"/>
      <c r="C78" s="73"/>
      <c r="D78" s="73"/>
      <c r="E78" s="73"/>
      <c r="F78" s="73"/>
      <c r="G78" s="73"/>
      <c r="H78" s="73"/>
      <c r="I78" s="73"/>
      <c r="J78" s="73"/>
      <c r="K78" s="73"/>
      <c r="L78" s="73"/>
      <c r="M78" s="73"/>
      <c r="N78" s="73"/>
      <c r="O78" s="73"/>
      <c r="P78" s="73"/>
      <c r="Q78" s="73"/>
      <c r="R78" s="73"/>
      <c r="S78" s="73"/>
      <c r="T78" s="73"/>
      <c r="U78" s="73"/>
      <c r="V78" s="73"/>
      <c r="W78" s="69"/>
      <c r="X78" s="69"/>
      <c r="Y78" s="69"/>
      <c r="Z78" s="69"/>
      <c r="AA78" s="69"/>
      <c r="AB78" s="69"/>
      <c r="AC78" s="69"/>
    </row>
    <row r="79" spans="1:29" ht="20.100000000000001" customHeight="1">
      <c r="A79" s="14" t="s">
        <v>65</v>
      </c>
      <c r="B79" s="15" t="s">
        <v>137</v>
      </c>
      <c r="C79" s="16" t="str">
        <f>IFERROR(INDEX(EJERCICIOS!$D$3:$D$75,MATCH(A79&amp;"|"&amp;B79,EJERCICIOS!$G$3:$G$75,0)),"--")</f>
        <v>--</v>
      </c>
      <c r="D79" s="17">
        <v>3</v>
      </c>
      <c r="E79" s="18">
        <f>IFERROR(LOOKUP(2,1/(MEDIDAS_Y_PESO!$B$3:$B$5&lt;&gt;""),MEDIDAS_Y_PESO!$B$3:$B$5),"--")</f>
        <v>80</v>
      </c>
      <c r="F79" s="19"/>
      <c r="G79" s="20"/>
      <c r="H79" s="21"/>
      <c r="I79" s="19"/>
      <c r="J79" s="20"/>
      <c r="K79" s="21"/>
      <c r="L79" s="19"/>
      <c r="M79" s="20"/>
      <c r="N79" s="21"/>
      <c r="O79" s="19"/>
      <c r="P79" s="20"/>
      <c r="Q79" s="21"/>
      <c r="R79" s="19"/>
      <c r="S79" s="20"/>
      <c r="T79" s="21"/>
      <c r="U79" s="22" t="str">
        <f>IFERROR(IF(IF(X79&gt;0,X79,IF(Z79&gt;0,Z79,IF(AB79&gt;0,AB79,0)))=0,"--",ROUND(CHOOSE(IF(X79&gt;0,X79,IF(Z79&gt;0,Z79,IF(AB79&gt;0,AB79,0))),IF(C79="peso_corporal",IF(ISNUMBER(E79),E79,0)+F79,F79)*(1+G79/30),IF(C79="peso_corporal",IF(ISNUMBER(E79),E79,0)+I79,I79)*(1+J79/30),IF(C79="peso_corporal",IF(ISNUMBER(E79),E79,0)+L79,L79)*(1+M79/30),IF(C79="peso_corporal",IF(ISNUMBER(E79),E79,0)+O79,O79)*(1+P79/30),IF(C79="peso_corporal",IF(ISNUMBER(E79),E79,0)+R79,R79)*(1+S79/30)),1)),"--")</f>
        <v>--</v>
      </c>
      <c r="V79" s="23" t="str">
        <f>IF(SUGERENCIAS!N177="SIN","Sin datos anteriores",IF(SUGERENCIAS!N177="SUBIR_F","^ SUBIR FUERTE | Kg:"&amp;ROUND(SUGERENCIAS!K177,1)&amp;" R:"&amp;ROUND(SUGERENCIAS!L177,0)&amp;" RIR:"&amp;ROUND(SUGERENCIAS!M177,0),IF(SUGERENCIAS!N177="SUBIR_E","^ SUBIR (Est.) | Kg:"&amp;ROUND(SUGERENCIAS!K177,1)&amp;" R:"&amp;ROUND(SUGERENCIAS!L177,0)&amp;" RIR:"&amp;ROUND(SUGERENCIAS!M177,0),IF(SUGERENCIAS!N177="SUBIR","^ SUBIR | Kg:"&amp;ROUND(SUGERENCIAS!K177,1)&amp;" R:"&amp;ROUND(SUGERENCIAS!L177,0)&amp;" RIR:"&amp;ROUND(SUGERENCIAS!M177,0),IF(SUGERENCIAS!N177="BAJAR","v BAJAR | Kg:"&amp;ROUND(SUGERENCIAS!K177,1)&amp;" R:"&amp;ROUND(SUGERENCIAS!L177,0)&amp;" RIR:"&amp;ROUND(SUGERENCIAS!M177,0),"= MANT | Kg:"&amp;ROUND(SUGERENCIAS!K177,1)&amp;" R:"&amp;ROUND(SUGERENCIAS!L177,0)&amp;" RIR:"&amp;ROUND(SUGERENCIAS!M177,0))))))</f>
        <v>Sin datos anteriores</v>
      </c>
      <c r="W79" s="69">
        <f>MAX(IF((G79&gt;0)*(IF(H79="",-1,H79)&gt;=0)*(IF(H79="",-1,H79)&lt;=1),IF(C79="peso_corporal",IF(ISNUMBER(E79),E79,0)+F79,F79)*G79*1000+F79,0),IF((J79&gt;0)*(IF(K79="",-1,K79)&gt;=0)*(IF(K79="",-1,K79)&lt;=1),IF(C79="peso_corporal",IF(ISNUMBER(E79),E79,0)+I79,I79)*J79*1000+I79,0),IF((M79&gt;0)*(IF(N79="",-1,N79)&gt;=0)*(IF(N79="",-1,N79)&lt;=1),IF(C79="peso_corporal",IF(ISNUMBER(E79),E79,0)+L79,L79)*M79*1000+L79,0),IF((P79&gt;0)*(IF(Q79="",-1,Q79)&gt;=0)*(IF(Q79="",-1,Q79)&lt;=1),IF(C79="peso_corporal",IF(ISNUMBER(E79),E79,0)+O79,O79)*P79*1000+O79,0),IF((S79&gt;0)*(IF(T79="",-1,T79)&gt;=0)*(IF(T79="",-1,T79)&lt;=1),IF(C79="peso_corporal",IF(ISNUMBER(E79),E79,0)+R79,R79)*S79*1000+R79,0))</f>
        <v>0</v>
      </c>
      <c r="X79" s="69">
        <f>IF(W79=0,0,IF(IF((S79&gt;0)*(IF(T79="",-1,T79)&gt;=0)*(IF(T79="",-1,T79)&lt;=1),IF(C79="peso_corporal",IF(ISNUMBER(E79),E79,0)+R79,R79)*S79*1000+R79,0)=W79,5,IF(IF((P79&gt;0)*(IF(Q79="",-1,Q79)&gt;=0)*(IF(Q79="",-1,Q79)&lt;=1),IF(C79="peso_corporal",IF(ISNUMBER(E79),E79,0)+O79,O79)*P79*1000+O79,0)=W79,4,IF(IF((M79&gt;0)*(IF(N79="",-1,N79)&gt;=0)*(IF(N79="",-1,N79)&lt;=1),IF(C79="peso_corporal",IF(ISNUMBER(E79),E79,0)+L79,L79)*M79*1000+L79,0)=W79,3,IF(IF((J79&gt;0)*(IF(K79="",-1,K79)&gt;=0)*(IF(K79="",-1,K79)&lt;=1),IF(C79="peso_corporal",IF(ISNUMBER(E79),E79,0)+I79,I79)*J79*1000+I79,0)=W79,2,IF(IF((G79&gt;0)*(IF(H79="",-1,H79)&gt;=0)*(IF(H79="",-1,H79)&lt;=1),IF(C79="peso_corporal",IF(ISNUMBER(E79),E79,0)+F79,F79)*G79*1000+F79,0)=W79,1,0))))))</f>
        <v>0</v>
      </c>
      <c r="Y79" s="69">
        <f>MAX(IF((G79&gt;0)*(IF(H79="",-1,H79)=0)*(1-(IF(H79="",-1,H79)&gt;=0)*(IF(H79="",-1,H79)&lt;=1)),IF(C79="peso_corporal",IF(ISNUMBER(E79),E79,0)+F79,F79)*G79*1000+F79,0),IF((J79&gt;0)*(IF(K79="",-1,K79)=0)*(1-(IF(K79="",-1,K79)&gt;=0)*(IF(K79="",-1,K79)&lt;=1)),IF(C79="peso_corporal",IF(ISNUMBER(E79),E79,0)+I79,I79)*J79*1000+I79,0),IF((M79&gt;0)*(IF(N79="",-1,N79)=0)*(1-(IF(N79="",-1,N79)&gt;=0)*(IF(N79="",-1,N79)&lt;=1)),IF(C79="peso_corporal",IF(ISNUMBER(E79),E79,0)+L79,L79)*M79*1000+L79,0),IF((P79&gt;0)*(IF(Q79="",-1,Q79)=0)*(1-(IF(Q79="",-1,Q79)&gt;=0)*(IF(Q79="",-1,Q79)&lt;=1)),IF(C79="peso_corporal",IF(ISNUMBER(E79),E79,0)+O79,O79)*P79*1000+O79,0),IF((S79&gt;0)*(IF(T79="",-1,T79)=0)*(1-(IF(T79="",-1,T79)&gt;=0)*(IF(T79="",-1,T79)&lt;=1)),IF(C79="peso_corporal",IF(ISNUMBER(E79),E79,0)+R79,R79)*S79*1000+R79,0))</f>
        <v>0</v>
      </c>
      <c r="Z79" s="69">
        <f>IF(Y79=0,0,IF(IF((S79&gt;0)*(IF(T79="",-1,T79)=0)*(1-(IF(T79="",-1,T79)&gt;=0)*(IF(T79="",-1,T79)&lt;=1)),IF(C79="peso_corporal",IF(ISNUMBER(E79),E79,0)+R79,R79)*S79*1000+R79,0)=Y79,5,IF(IF((P79&gt;0)*(IF(Q79="",-1,Q79)=0)*(1-(IF(Q79="",-1,Q79)&gt;=0)*(IF(Q79="",-1,Q79)&lt;=1)),IF(C79="peso_corporal",IF(ISNUMBER(E79),E79,0)+O79,O79)*P79*1000+O79,0)=Y79,4,IF(IF((M79&gt;0)*(IF(N79="",-1,N79)=0)*(1-(IF(N79="",-1,N79)&gt;=0)*(IF(N79="",-1,N79)&lt;=1)),IF(C79="peso_corporal",IF(ISNUMBER(E79),E79,0)+L79,L79)*M79*1000+L79,0)=Y79,3,IF(IF((J79&gt;0)*(IF(K79="",-1,K79)=0)*(1-(IF(K79="",-1,K79)&gt;=0)*(IF(K79="",-1,K79)&lt;=1)),IF(C79="peso_corporal",IF(ISNUMBER(E79),E79,0)+I79,I79)*J79*1000+I79,0)=Y79,2,IF(IF((G79&gt;0)*(IF(H79="",-1,H79)=0)*(1-(IF(H79="",-1,H79)&gt;=0)*(IF(H79="",-1,H79)&lt;=1)),IF(C79="peso_corporal",IF(ISNUMBER(E79),E79,0)+F79,F79)*G79*1000+F79,0)=Y79,1,0))))))</f>
        <v>0</v>
      </c>
      <c r="AA79" s="69">
        <f>MAX(IF((G79&gt;=3)*(1-(IF(H79="",-1,H79)&gt;=0)*(IF(H79="",-1,H79)&lt;=1))*(1-(IF(H79="",-1,H79)=0)),IF(C79="peso_corporal",IF(ISNUMBER(E79),E79,0)+F79,F79)*(30+G79)*100+F79,0),IF((J79&gt;=3)*(1-(IF(K79="",-1,K79)&gt;=0)*(IF(K79="",-1,K79)&lt;=1))*(1-(IF(K79="",-1,K79)=0)),IF(C79="peso_corporal",IF(ISNUMBER(E79),E79,0)+I79,I79)*(30+J79)*100+I79,0),IF((M79&gt;=3)*(1-(IF(N79="",-1,N79)&gt;=0)*(IF(N79="",-1,N79)&lt;=1))*(1-(IF(N79="",-1,N79)=0)),IF(C79="peso_corporal",IF(ISNUMBER(E79),E79,0)+L79,L79)*(30+M79)*100+L79,0),IF((P79&gt;=3)*(1-(IF(Q79="",-1,Q79)&gt;=0)*(IF(Q79="",-1,Q79)&lt;=1))*(1-(IF(Q79="",-1,Q79)=0)),IF(C79="peso_corporal",IF(ISNUMBER(E79),E79,0)+O79,O79)*(30+P79)*100+O79,0),IF((S79&gt;=3)*(1-(IF(T79="",-1,T79)&gt;=0)*(IF(T79="",-1,T79)&lt;=1))*(1-(IF(T79="",-1,T79)=0)),IF(C79="peso_corporal",IF(ISNUMBER(E79),E79,0)+R79,R79)*(30+S79)*100+R79,0))</f>
        <v>0</v>
      </c>
      <c r="AB79" s="69">
        <f>IF(AA79=0,0,IF(IF((S79&gt;=3)*(1-(IF(T79="",-1,T79)&gt;=0)*(IF(T79="",-1,T79)&lt;=1))*(1-(IF(T79="",-1,T79)=0)),IF(C79="peso_corporal",IF(ISNUMBER(E79),E79,0)+R79,R79)*(30+S79)*100+R79,0)=AA79,5,IF(IF((P79&gt;=3)*(1-(IF(Q79="",-1,Q79)&gt;=0)*(IF(Q79="",-1,Q79)&lt;=1))*(1-(IF(Q79="",-1,Q79)=0)),IF(C79="peso_corporal",IF(ISNUMBER(E79),E79,0)+O79,O79)*(30+P79)*100+O79,0)=AA79,4,IF(IF((M79&gt;=3)*(1-(IF(N79="",-1,N79)&gt;=0)*(IF(N79="",-1,N79)&lt;=1))*(1-(IF(N79="",-1,N79)=0)),IF(C79="peso_corporal",IF(ISNUMBER(E79),E79,0)+L79,L79)*(30+M79)*100+L79,0)=AA79,3,IF(IF((J79&gt;=3)*(1-(IF(K79="",-1,K79)&gt;=0)*(IF(K79="",-1,K79)&lt;=1))*(1-(IF(K79="",-1,K79)=0)),IF(C79="peso_corporal",IF(ISNUMBER(E79),E79,0)+I79,I79)*(30+J79)*100+I79,0)=AA79,2,IF(IF((G79&gt;=3)*(1-(IF(H79="",-1,H79)&gt;=0)*(IF(H79="",-1,H79)&lt;=1))*(1-(IF(H79="",-1,H79)=0)),IF(C79="peso_corporal",IF(ISNUMBER(E79),E79,0)+F79,F79)*(30+G79)*100+F79,0)=AA79,1,0))))))</f>
        <v>0</v>
      </c>
      <c r="AC79" s="69" t="str">
        <f>IF(X79&gt;0,"A"&amp;X79,IF(Z79&gt;0,"B"&amp;Z79,IF(AB79&gt;0,"C"&amp;AB79,"")))</f>
        <v/>
      </c>
    </row>
    <row r="80" spans="1:29" ht="15" customHeight="1">
      <c r="A80" s="81" t="s">
        <v>53</v>
      </c>
      <c r="B80" s="73"/>
      <c r="C80" s="73"/>
      <c r="D80" s="73"/>
      <c r="E80" s="73"/>
      <c r="F80" s="73"/>
      <c r="G80" s="73"/>
      <c r="H80" s="73"/>
      <c r="I80" s="73"/>
      <c r="J80" s="73"/>
      <c r="K80" s="73"/>
      <c r="L80" s="73"/>
      <c r="M80" s="73"/>
      <c r="N80" s="73"/>
      <c r="O80" s="73"/>
      <c r="P80" s="73"/>
      <c r="Q80" s="73"/>
      <c r="R80" s="73"/>
      <c r="S80" s="73"/>
      <c r="T80" s="73"/>
      <c r="U80" s="73"/>
      <c r="V80" s="73"/>
      <c r="W80" s="69"/>
      <c r="X80" s="69"/>
      <c r="Y80" s="69"/>
      <c r="Z80" s="69"/>
      <c r="AA80" s="69"/>
      <c r="AB80" s="69"/>
      <c r="AC80" s="69"/>
    </row>
    <row r="81" spans="1:29" ht="20.100000000000001" customHeight="1">
      <c r="A81" s="14" t="s">
        <v>54</v>
      </c>
      <c r="B81" s="15" t="s">
        <v>115</v>
      </c>
      <c r="C81" s="16" t="str">
        <f>IFERROR(INDEX(EJERCICIOS!$D$3:$D$75,MATCH(A81&amp;"|"&amp;B81,EJERCICIOS!$G$3:$G$75,0)),"--")</f>
        <v>polea</v>
      </c>
      <c r="D81" s="17">
        <v>3</v>
      </c>
      <c r="E81" s="18">
        <f>IFERROR(LOOKUP(2,1/(MEDIDAS_Y_PESO!$B$3:$B$5&lt;&gt;""),MEDIDAS_Y_PESO!$B$3:$B$5),"--")</f>
        <v>80</v>
      </c>
      <c r="F81" s="19"/>
      <c r="G81" s="20"/>
      <c r="H81" s="21"/>
      <c r="I81" s="19"/>
      <c r="J81" s="20"/>
      <c r="K81" s="21"/>
      <c r="L81" s="19"/>
      <c r="M81" s="20"/>
      <c r="N81" s="21"/>
      <c r="O81" s="19"/>
      <c r="P81" s="20"/>
      <c r="Q81" s="21"/>
      <c r="R81" s="19"/>
      <c r="S81" s="20"/>
      <c r="T81" s="21"/>
      <c r="U81" s="22" t="str">
        <f>IFERROR(IF(IF(X81&gt;0,X81,IF(Z81&gt;0,Z81,IF(AB81&gt;0,AB81,0)))=0,"--",ROUND(CHOOSE(IF(X81&gt;0,X81,IF(Z81&gt;0,Z81,IF(AB81&gt;0,AB81,0))),IF(C81="peso_corporal",IF(ISNUMBER(E81),E81,0)+F81,F81)*(1+G81/30),IF(C81="peso_corporal",IF(ISNUMBER(E81),E81,0)+I81,I81)*(1+J81/30),IF(C81="peso_corporal",IF(ISNUMBER(E81),E81,0)+L81,L81)*(1+M81/30),IF(C81="peso_corporal",IF(ISNUMBER(E81),E81,0)+O81,O81)*(1+P81/30),IF(C81="peso_corporal",IF(ISNUMBER(E81),E81,0)+R81,R81)*(1+S81/30)),1)),"--")</f>
        <v>--</v>
      </c>
      <c r="V81" s="23" t="str">
        <f>IF(SUGERENCIAS!N178="SIN","Sin datos anteriores",IF(SUGERENCIAS!N178="SUBIR_F","^ SUBIR FUERTE | Kg:"&amp;ROUND(SUGERENCIAS!K178,1)&amp;" R:"&amp;ROUND(SUGERENCIAS!L178,0)&amp;" RIR:"&amp;ROUND(SUGERENCIAS!M178,0),IF(SUGERENCIAS!N178="SUBIR_E","^ SUBIR (Est.) | Kg:"&amp;ROUND(SUGERENCIAS!K178,1)&amp;" R:"&amp;ROUND(SUGERENCIAS!L178,0)&amp;" RIR:"&amp;ROUND(SUGERENCIAS!M178,0),IF(SUGERENCIAS!N178="SUBIR","^ SUBIR | Kg:"&amp;ROUND(SUGERENCIAS!K178,1)&amp;" R:"&amp;ROUND(SUGERENCIAS!L178,0)&amp;" RIR:"&amp;ROUND(SUGERENCIAS!M178,0),IF(SUGERENCIAS!N178="BAJAR","v BAJAR | Kg:"&amp;ROUND(SUGERENCIAS!K178,1)&amp;" R:"&amp;ROUND(SUGERENCIAS!L178,0)&amp;" RIR:"&amp;ROUND(SUGERENCIAS!M178,0),"= MANT | Kg:"&amp;ROUND(SUGERENCIAS!K178,1)&amp;" R:"&amp;ROUND(SUGERENCIAS!L178,0)&amp;" RIR:"&amp;ROUND(SUGERENCIAS!M178,0))))))</f>
        <v>Sin datos anteriores</v>
      </c>
      <c r="W81" s="69">
        <f>MAX(IF((G81&gt;0)*(IF(H81="",-1,H81)&gt;=0)*(IF(H81="",-1,H81)&lt;=1),IF(C81="peso_corporal",IF(ISNUMBER(E81),E81,0)+F81,F81)*G81*1000+F81,0),IF((J81&gt;0)*(IF(K81="",-1,K81)&gt;=0)*(IF(K81="",-1,K81)&lt;=1),IF(C81="peso_corporal",IF(ISNUMBER(E81),E81,0)+I81,I81)*J81*1000+I81,0),IF((M81&gt;0)*(IF(N81="",-1,N81)&gt;=0)*(IF(N81="",-1,N81)&lt;=1),IF(C81="peso_corporal",IF(ISNUMBER(E81),E81,0)+L81,L81)*M81*1000+L81,0),IF((P81&gt;0)*(IF(Q81="",-1,Q81)&gt;=0)*(IF(Q81="",-1,Q81)&lt;=1),IF(C81="peso_corporal",IF(ISNUMBER(E81),E81,0)+O81,O81)*P81*1000+O81,0),IF((S81&gt;0)*(IF(T81="",-1,T81)&gt;=0)*(IF(T81="",-1,T81)&lt;=1),IF(C81="peso_corporal",IF(ISNUMBER(E81),E81,0)+R81,R81)*S81*1000+R81,0))</f>
        <v>0</v>
      </c>
      <c r="X81" s="69">
        <f>IF(W81=0,0,IF(IF((S81&gt;0)*(IF(T81="",-1,T81)&gt;=0)*(IF(T81="",-1,T81)&lt;=1),IF(C81="peso_corporal",IF(ISNUMBER(E81),E81,0)+R81,R81)*S81*1000+R81,0)=W81,5,IF(IF((P81&gt;0)*(IF(Q81="",-1,Q81)&gt;=0)*(IF(Q81="",-1,Q81)&lt;=1),IF(C81="peso_corporal",IF(ISNUMBER(E81),E81,0)+O81,O81)*P81*1000+O81,0)=W81,4,IF(IF((M81&gt;0)*(IF(N81="",-1,N81)&gt;=0)*(IF(N81="",-1,N81)&lt;=1),IF(C81="peso_corporal",IF(ISNUMBER(E81),E81,0)+L81,L81)*M81*1000+L81,0)=W81,3,IF(IF((J81&gt;0)*(IF(K81="",-1,K81)&gt;=0)*(IF(K81="",-1,K81)&lt;=1),IF(C81="peso_corporal",IF(ISNUMBER(E81),E81,0)+I81,I81)*J81*1000+I81,0)=W81,2,IF(IF((G81&gt;0)*(IF(H81="",-1,H81)&gt;=0)*(IF(H81="",-1,H81)&lt;=1),IF(C81="peso_corporal",IF(ISNUMBER(E81),E81,0)+F81,F81)*G81*1000+F81,0)=W81,1,0))))))</f>
        <v>0</v>
      </c>
      <c r="Y81" s="69">
        <f>MAX(IF((G81&gt;0)*(IF(H81="",-1,H81)=0)*(1-(IF(H81="",-1,H81)&gt;=0)*(IF(H81="",-1,H81)&lt;=1)),IF(C81="peso_corporal",IF(ISNUMBER(E81),E81,0)+F81,F81)*G81*1000+F81,0),IF((J81&gt;0)*(IF(K81="",-1,K81)=0)*(1-(IF(K81="",-1,K81)&gt;=0)*(IF(K81="",-1,K81)&lt;=1)),IF(C81="peso_corporal",IF(ISNUMBER(E81),E81,0)+I81,I81)*J81*1000+I81,0),IF((M81&gt;0)*(IF(N81="",-1,N81)=0)*(1-(IF(N81="",-1,N81)&gt;=0)*(IF(N81="",-1,N81)&lt;=1)),IF(C81="peso_corporal",IF(ISNUMBER(E81),E81,0)+L81,L81)*M81*1000+L81,0),IF((P81&gt;0)*(IF(Q81="",-1,Q81)=0)*(1-(IF(Q81="",-1,Q81)&gt;=0)*(IF(Q81="",-1,Q81)&lt;=1)),IF(C81="peso_corporal",IF(ISNUMBER(E81),E81,0)+O81,O81)*P81*1000+O81,0),IF((S81&gt;0)*(IF(T81="",-1,T81)=0)*(1-(IF(T81="",-1,T81)&gt;=0)*(IF(T81="",-1,T81)&lt;=1)),IF(C81="peso_corporal",IF(ISNUMBER(E81),E81,0)+R81,R81)*S81*1000+R81,0))</f>
        <v>0</v>
      </c>
      <c r="Z81" s="69">
        <f>IF(Y81=0,0,IF(IF((S81&gt;0)*(IF(T81="",-1,T81)=0)*(1-(IF(T81="",-1,T81)&gt;=0)*(IF(T81="",-1,T81)&lt;=1)),IF(C81="peso_corporal",IF(ISNUMBER(E81),E81,0)+R81,R81)*S81*1000+R81,0)=Y81,5,IF(IF((P81&gt;0)*(IF(Q81="",-1,Q81)=0)*(1-(IF(Q81="",-1,Q81)&gt;=0)*(IF(Q81="",-1,Q81)&lt;=1)),IF(C81="peso_corporal",IF(ISNUMBER(E81),E81,0)+O81,O81)*P81*1000+O81,0)=Y81,4,IF(IF((M81&gt;0)*(IF(N81="",-1,N81)=0)*(1-(IF(N81="",-1,N81)&gt;=0)*(IF(N81="",-1,N81)&lt;=1)),IF(C81="peso_corporal",IF(ISNUMBER(E81),E81,0)+L81,L81)*M81*1000+L81,0)=Y81,3,IF(IF((J81&gt;0)*(IF(K81="",-1,K81)=0)*(1-(IF(K81="",-1,K81)&gt;=0)*(IF(K81="",-1,K81)&lt;=1)),IF(C81="peso_corporal",IF(ISNUMBER(E81),E81,0)+I81,I81)*J81*1000+I81,0)=Y81,2,IF(IF((G81&gt;0)*(IF(H81="",-1,H81)=0)*(1-(IF(H81="",-1,H81)&gt;=0)*(IF(H81="",-1,H81)&lt;=1)),IF(C81="peso_corporal",IF(ISNUMBER(E81),E81,0)+F81,F81)*G81*1000+F81,0)=Y81,1,0))))))</f>
        <v>0</v>
      </c>
      <c r="AA81" s="69">
        <f>MAX(IF((G81&gt;=3)*(1-(IF(H81="",-1,H81)&gt;=0)*(IF(H81="",-1,H81)&lt;=1))*(1-(IF(H81="",-1,H81)=0)),IF(C81="peso_corporal",IF(ISNUMBER(E81),E81,0)+F81,F81)*(30+G81)*100+F81,0),IF((J81&gt;=3)*(1-(IF(K81="",-1,K81)&gt;=0)*(IF(K81="",-1,K81)&lt;=1))*(1-(IF(K81="",-1,K81)=0)),IF(C81="peso_corporal",IF(ISNUMBER(E81),E81,0)+I81,I81)*(30+J81)*100+I81,0),IF((M81&gt;=3)*(1-(IF(N81="",-1,N81)&gt;=0)*(IF(N81="",-1,N81)&lt;=1))*(1-(IF(N81="",-1,N81)=0)),IF(C81="peso_corporal",IF(ISNUMBER(E81),E81,0)+L81,L81)*(30+M81)*100+L81,0),IF((P81&gt;=3)*(1-(IF(Q81="",-1,Q81)&gt;=0)*(IF(Q81="",-1,Q81)&lt;=1))*(1-(IF(Q81="",-1,Q81)=0)),IF(C81="peso_corporal",IF(ISNUMBER(E81),E81,0)+O81,O81)*(30+P81)*100+O81,0),IF((S81&gt;=3)*(1-(IF(T81="",-1,T81)&gt;=0)*(IF(T81="",-1,T81)&lt;=1))*(1-(IF(T81="",-1,T81)=0)),IF(C81="peso_corporal",IF(ISNUMBER(E81),E81,0)+R81,R81)*(30+S81)*100+R81,0))</f>
        <v>0</v>
      </c>
      <c r="AB81" s="69">
        <f>IF(AA81=0,0,IF(IF((S81&gt;=3)*(1-(IF(T81="",-1,T81)&gt;=0)*(IF(T81="",-1,T81)&lt;=1))*(1-(IF(T81="",-1,T81)=0)),IF(C81="peso_corporal",IF(ISNUMBER(E81),E81,0)+R81,R81)*(30+S81)*100+R81,0)=AA81,5,IF(IF((P81&gt;=3)*(1-(IF(Q81="",-1,Q81)&gt;=0)*(IF(Q81="",-1,Q81)&lt;=1))*(1-(IF(Q81="",-1,Q81)=0)),IF(C81="peso_corporal",IF(ISNUMBER(E81),E81,0)+O81,O81)*(30+P81)*100+O81,0)=AA81,4,IF(IF((M81&gt;=3)*(1-(IF(N81="",-1,N81)&gt;=0)*(IF(N81="",-1,N81)&lt;=1))*(1-(IF(N81="",-1,N81)=0)),IF(C81="peso_corporal",IF(ISNUMBER(E81),E81,0)+L81,L81)*(30+M81)*100+L81,0)=AA81,3,IF(IF((J81&gt;=3)*(1-(IF(K81="",-1,K81)&gt;=0)*(IF(K81="",-1,K81)&lt;=1))*(1-(IF(K81="",-1,K81)=0)),IF(C81="peso_corporal",IF(ISNUMBER(E81),E81,0)+I81,I81)*(30+J81)*100+I81,0)=AA81,2,IF(IF((G81&gt;=3)*(1-(IF(H81="",-1,H81)&gt;=0)*(IF(H81="",-1,H81)&lt;=1))*(1-(IF(H81="",-1,H81)=0)),IF(C81="peso_corporal",IF(ISNUMBER(E81),E81,0)+F81,F81)*(30+G81)*100+F81,0)=AA81,1,0))))))</f>
        <v>0</v>
      </c>
      <c r="AC81" s="69" t="str">
        <f>IF(X81&gt;0,"A"&amp;X81,IF(Z81&gt;0,"B"&amp;Z81,IF(AB81&gt;0,"C"&amp;AB81,"")))</f>
        <v/>
      </c>
    </row>
    <row r="82" spans="1:29" ht="15" customHeight="1">
      <c r="A82" s="72" t="s">
        <v>56</v>
      </c>
      <c r="B82" s="73"/>
      <c r="C82" s="73"/>
      <c r="D82" s="73"/>
      <c r="E82" s="73"/>
      <c r="F82" s="73"/>
      <c r="G82" s="73"/>
      <c r="H82" s="73"/>
      <c r="I82" s="73"/>
      <c r="J82" s="73"/>
      <c r="K82" s="73"/>
      <c r="L82" s="73"/>
      <c r="M82" s="73"/>
      <c r="N82" s="73"/>
      <c r="O82" s="73"/>
      <c r="P82" s="73"/>
      <c r="Q82" s="73"/>
      <c r="R82" s="73"/>
      <c r="S82" s="73"/>
      <c r="T82" s="73"/>
      <c r="U82" s="73"/>
      <c r="V82" s="73"/>
      <c r="W82" s="69"/>
      <c r="X82" s="69"/>
      <c r="Y82" s="69"/>
      <c r="Z82" s="69"/>
      <c r="AA82" s="69"/>
      <c r="AB82" s="69"/>
      <c r="AC82" s="69"/>
    </row>
    <row r="83" spans="1:29" ht="20.100000000000001" customHeight="1">
      <c r="A83" s="14" t="s">
        <v>57</v>
      </c>
      <c r="B83" s="15" t="s">
        <v>58</v>
      </c>
      <c r="C83" s="16" t="str">
        <f>IFERROR(INDEX(EJERCICIOS!$D$3:$D$75,MATCH(A83&amp;"|"&amp;B83,EJERCICIOS!$G$3:$G$75,0)),"--")</f>
        <v>polea</v>
      </c>
      <c r="D83" s="17">
        <v>3</v>
      </c>
      <c r="E83" s="18">
        <f>IFERROR(LOOKUP(2,1/(MEDIDAS_Y_PESO!$B$3:$B$5&lt;&gt;""),MEDIDAS_Y_PESO!$B$3:$B$5),"--")</f>
        <v>80</v>
      </c>
      <c r="F83" s="19"/>
      <c r="G83" s="20"/>
      <c r="H83" s="21"/>
      <c r="I83" s="19"/>
      <c r="J83" s="20"/>
      <c r="K83" s="21"/>
      <c r="L83" s="19"/>
      <c r="M83" s="20"/>
      <c r="N83" s="21"/>
      <c r="O83" s="19"/>
      <c r="P83" s="20"/>
      <c r="Q83" s="21"/>
      <c r="R83" s="19"/>
      <c r="S83" s="20"/>
      <c r="T83" s="21"/>
      <c r="U83" s="22" t="str">
        <f>IFERROR(IF(IF(X83&gt;0,X83,IF(Z83&gt;0,Z83,IF(AB83&gt;0,AB83,0)))=0,"--",ROUND(CHOOSE(IF(X83&gt;0,X83,IF(Z83&gt;0,Z83,IF(AB83&gt;0,AB83,0))),IF(C83="peso_corporal",IF(ISNUMBER(E83),E83,0)+F83,F83)*(1+G83/30),IF(C83="peso_corporal",IF(ISNUMBER(E83),E83,0)+I83,I83)*(1+J83/30),IF(C83="peso_corporal",IF(ISNUMBER(E83),E83,0)+L83,L83)*(1+M83/30),IF(C83="peso_corporal",IF(ISNUMBER(E83),E83,0)+O83,O83)*(1+P83/30),IF(C83="peso_corporal",IF(ISNUMBER(E83),E83,0)+R83,R83)*(1+S83/30)),1)),"--")</f>
        <v>--</v>
      </c>
      <c r="V83" s="23" t="str">
        <f>IF(SUGERENCIAS!N179="SIN","Sin datos anteriores",IF(SUGERENCIAS!N179="SUBIR_F","^ SUBIR FUERTE | Kg:"&amp;ROUND(SUGERENCIAS!K179,1)&amp;" R:"&amp;ROUND(SUGERENCIAS!L179,0)&amp;" RIR:"&amp;ROUND(SUGERENCIAS!M179,0),IF(SUGERENCIAS!N179="SUBIR_E","^ SUBIR (Est.) | Kg:"&amp;ROUND(SUGERENCIAS!K179,1)&amp;" R:"&amp;ROUND(SUGERENCIAS!L179,0)&amp;" RIR:"&amp;ROUND(SUGERENCIAS!M179,0),IF(SUGERENCIAS!N179="SUBIR","^ SUBIR | Kg:"&amp;ROUND(SUGERENCIAS!K179,1)&amp;" R:"&amp;ROUND(SUGERENCIAS!L179,0)&amp;" RIR:"&amp;ROUND(SUGERENCIAS!M179,0),IF(SUGERENCIAS!N179="BAJAR","v BAJAR | Kg:"&amp;ROUND(SUGERENCIAS!K179,1)&amp;" R:"&amp;ROUND(SUGERENCIAS!L179,0)&amp;" RIR:"&amp;ROUND(SUGERENCIAS!M179,0),"= MANT | Kg:"&amp;ROUND(SUGERENCIAS!K179,1)&amp;" R:"&amp;ROUND(SUGERENCIAS!L179,0)&amp;" RIR:"&amp;ROUND(SUGERENCIAS!M179,0))))))</f>
        <v>Sin datos anteriores</v>
      </c>
      <c r="W83" s="69">
        <f>MAX(IF((G83&gt;0)*(IF(H83="",-1,H83)&gt;=0)*(IF(H83="",-1,H83)&lt;=1),IF(C83="peso_corporal",IF(ISNUMBER(E83),E83,0)+F83,F83)*G83*1000+F83,0),IF((J83&gt;0)*(IF(K83="",-1,K83)&gt;=0)*(IF(K83="",-1,K83)&lt;=1),IF(C83="peso_corporal",IF(ISNUMBER(E83),E83,0)+I83,I83)*J83*1000+I83,0),IF((M83&gt;0)*(IF(N83="",-1,N83)&gt;=0)*(IF(N83="",-1,N83)&lt;=1),IF(C83="peso_corporal",IF(ISNUMBER(E83),E83,0)+L83,L83)*M83*1000+L83,0),IF((P83&gt;0)*(IF(Q83="",-1,Q83)&gt;=0)*(IF(Q83="",-1,Q83)&lt;=1),IF(C83="peso_corporal",IF(ISNUMBER(E83),E83,0)+O83,O83)*P83*1000+O83,0),IF((S83&gt;0)*(IF(T83="",-1,T83)&gt;=0)*(IF(T83="",-1,T83)&lt;=1),IF(C83="peso_corporal",IF(ISNUMBER(E83),E83,0)+R83,R83)*S83*1000+R83,0))</f>
        <v>0</v>
      </c>
      <c r="X83" s="69">
        <f>IF(W83=0,0,IF(IF((S83&gt;0)*(IF(T83="",-1,T83)&gt;=0)*(IF(T83="",-1,T83)&lt;=1),IF(C83="peso_corporal",IF(ISNUMBER(E83),E83,0)+R83,R83)*S83*1000+R83,0)=W83,5,IF(IF((P83&gt;0)*(IF(Q83="",-1,Q83)&gt;=0)*(IF(Q83="",-1,Q83)&lt;=1),IF(C83="peso_corporal",IF(ISNUMBER(E83),E83,0)+O83,O83)*P83*1000+O83,0)=W83,4,IF(IF((M83&gt;0)*(IF(N83="",-1,N83)&gt;=0)*(IF(N83="",-1,N83)&lt;=1),IF(C83="peso_corporal",IF(ISNUMBER(E83),E83,0)+L83,L83)*M83*1000+L83,0)=W83,3,IF(IF((J83&gt;0)*(IF(K83="",-1,K83)&gt;=0)*(IF(K83="",-1,K83)&lt;=1),IF(C83="peso_corporal",IF(ISNUMBER(E83),E83,0)+I83,I83)*J83*1000+I83,0)=W83,2,IF(IF((G83&gt;0)*(IF(H83="",-1,H83)&gt;=0)*(IF(H83="",-1,H83)&lt;=1),IF(C83="peso_corporal",IF(ISNUMBER(E83),E83,0)+F83,F83)*G83*1000+F83,0)=W83,1,0))))))</f>
        <v>0</v>
      </c>
      <c r="Y83" s="69">
        <f>MAX(IF((G83&gt;0)*(IF(H83="",-1,H83)=0)*(1-(IF(H83="",-1,H83)&gt;=0)*(IF(H83="",-1,H83)&lt;=1)),IF(C83="peso_corporal",IF(ISNUMBER(E83),E83,0)+F83,F83)*G83*1000+F83,0),IF((J83&gt;0)*(IF(K83="",-1,K83)=0)*(1-(IF(K83="",-1,K83)&gt;=0)*(IF(K83="",-1,K83)&lt;=1)),IF(C83="peso_corporal",IF(ISNUMBER(E83),E83,0)+I83,I83)*J83*1000+I83,0),IF((M83&gt;0)*(IF(N83="",-1,N83)=0)*(1-(IF(N83="",-1,N83)&gt;=0)*(IF(N83="",-1,N83)&lt;=1)),IF(C83="peso_corporal",IF(ISNUMBER(E83),E83,0)+L83,L83)*M83*1000+L83,0),IF((P83&gt;0)*(IF(Q83="",-1,Q83)=0)*(1-(IF(Q83="",-1,Q83)&gt;=0)*(IF(Q83="",-1,Q83)&lt;=1)),IF(C83="peso_corporal",IF(ISNUMBER(E83),E83,0)+O83,O83)*P83*1000+O83,0),IF((S83&gt;0)*(IF(T83="",-1,T83)=0)*(1-(IF(T83="",-1,T83)&gt;=0)*(IF(T83="",-1,T83)&lt;=1)),IF(C83="peso_corporal",IF(ISNUMBER(E83),E83,0)+R83,R83)*S83*1000+R83,0))</f>
        <v>0</v>
      </c>
      <c r="Z83" s="69">
        <f>IF(Y83=0,0,IF(IF((S83&gt;0)*(IF(T83="",-1,T83)=0)*(1-(IF(T83="",-1,T83)&gt;=0)*(IF(T83="",-1,T83)&lt;=1)),IF(C83="peso_corporal",IF(ISNUMBER(E83),E83,0)+R83,R83)*S83*1000+R83,0)=Y83,5,IF(IF((P83&gt;0)*(IF(Q83="",-1,Q83)=0)*(1-(IF(Q83="",-1,Q83)&gt;=0)*(IF(Q83="",-1,Q83)&lt;=1)),IF(C83="peso_corporal",IF(ISNUMBER(E83),E83,0)+O83,O83)*P83*1000+O83,0)=Y83,4,IF(IF((M83&gt;0)*(IF(N83="",-1,N83)=0)*(1-(IF(N83="",-1,N83)&gt;=0)*(IF(N83="",-1,N83)&lt;=1)),IF(C83="peso_corporal",IF(ISNUMBER(E83),E83,0)+L83,L83)*M83*1000+L83,0)=Y83,3,IF(IF((J83&gt;0)*(IF(K83="",-1,K83)=0)*(1-(IF(K83="",-1,K83)&gt;=0)*(IF(K83="",-1,K83)&lt;=1)),IF(C83="peso_corporal",IF(ISNUMBER(E83),E83,0)+I83,I83)*J83*1000+I83,0)=Y83,2,IF(IF((G83&gt;0)*(IF(H83="",-1,H83)=0)*(1-(IF(H83="",-1,H83)&gt;=0)*(IF(H83="",-1,H83)&lt;=1)),IF(C83="peso_corporal",IF(ISNUMBER(E83),E83,0)+F83,F83)*G83*1000+F83,0)=Y83,1,0))))))</f>
        <v>0</v>
      </c>
      <c r="AA83" s="69">
        <f>MAX(IF((G83&gt;=3)*(1-(IF(H83="",-1,H83)&gt;=0)*(IF(H83="",-1,H83)&lt;=1))*(1-(IF(H83="",-1,H83)=0)),IF(C83="peso_corporal",IF(ISNUMBER(E83),E83,0)+F83,F83)*(30+G83)*100+F83,0),IF((J83&gt;=3)*(1-(IF(K83="",-1,K83)&gt;=0)*(IF(K83="",-1,K83)&lt;=1))*(1-(IF(K83="",-1,K83)=0)),IF(C83="peso_corporal",IF(ISNUMBER(E83),E83,0)+I83,I83)*(30+J83)*100+I83,0),IF((M83&gt;=3)*(1-(IF(N83="",-1,N83)&gt;=0)*(IF(N83="",-1,N83)&lt;=1))*(1-(IF(N83="",-1,N83)=0)),IF(C83="peso_corporal",IF(ISNUMBER(E83),E83,0)+L83,L83)*(30+M83)*100+L83,0),IF((P83&gt;=3)*(1-(IF(Q83="",-1,Q83)&gt;=0)*(IF(Q83="",-1,Q83)&lt;=1))*(1-(IF(Q83="",-1,Q83)=0)),IF(C83="peso_corporal",IF(ISNUMBER(E83),E83,0)+O83,O83)*(30+P83)*100+O83,0),IF((S83&gt;=3)*(1-(IF(T83="",-1,T83)&gt;=0)*(IF(T83="",-1,T83)&lt;=1))*(1-(IF(T83="",-1,T83)=0)),IF(C83="peso_corporal",IF(ISNUMBER(E83),E83,0)+R83,R83)*(30+S83)*100+R83,0))</f>
        <v>0</v>
      </c>
      <c r="AB83" s="69">
        <f>IF(AA83=0,0,IF(IF((S83&gt;=3)*(1-(IF(T83="",-1,T83)&gt;=0)*(IF(T83="",-1,T83)&lt;=1))*(1-(IF(T83="",-1,T83)=0)),IF(C83="peso_corporal",IF(ISNUMBER(E83),E83,0)+R83,R83)*(30+S83)*100+R83,0)=AA83,5,IF(IF((P83&gt;=3)*(1-(IF(Q83="",-1,Q83)&gt;=0)*(IF(Q83="",-1,Q83)&lt;=1))*(1-(IF(Q83="",-1,Q83)=0)),IF(C83="peso_corporal",IF(ISNUMBER(E83),E83,0)+O83,O83)*(30+P83)*100+O83,0)=AA83,4,IF(IF((M83&gt;=3)*(1-(IF(N83="",-1,N83)&gt;=0)*(IF(N83="",-1,N83)&lt;=1))*(1-(IF(N83="",-1,N83)=0)),IF(C83="peso_corporal",IF(ISNUMBER(E83),E83,0)+L83,L83)*(30+M83)*100+L83,0)=AA83,3,IF(IF((J83&gt;=3)*(1-(IF(K83="",-1,K83)&gt;=0)*(IF(K83="",-1,K83)&lt;=1))*(1-(IF(K83="",-1,K83)=0)),IF(C83="peso_corporal",IF(ISNUMBER(E83),E83,0)+I83,I83)*(30+J83)*100+I83,0)=AA83,2,IF(IF((G83&gt;=3)*(1-(IF(H83="",-1,H83)&gt;=0)*(IF(H83="",-1,H83)&lt;=1))*(1-(IF(H83="",-1,H83)=0)),IF(C83="peso_corporal",IF(ISNUMBER(E83),E83,0)+F83,F83)*(30+G83)*100+F83,0)=AA83,1,0))))))</f>
        <v>0</v>
      </c>
      <c r="AC83" s="69" t="str">
        <f>IF(X83&gt;0,"A"&amp;X83,IF(Z83&gt;0,"B"&amp;Z83,IF(AB83&gt;0,"C"&amp;AB83,"")))</f>
        <v/>
      </c>
    </row>
    <row r="84" spans="1:29" ht="6" customHeight="1">
      <c r="A84" s="13"/>
      <c r="B84" s="13"/>
      <c r="C84" s="13"/>
      <c r="D84" s="13"/>
      <c r="E84" s="13"/>
      <c r="F84" s="13"/>
      <c r="G84" s="13"/>
      <c r="H84" s="13"/>
      <c r="I84" s="13"/>
      <c r="J84" s="13"/>
      <c r="K84" s="13"/>
      <c r="L84" s="13"/>
      <c r="M84" s="13"/>
      <c r="N84" s="13"/>
      <c r="O84" s="13"/>
      <c r="P84" s="13"/>
      <c r="Q84" s="13"/>
      <c r="R84" s="13"/>
      <c r="S84" s="13"/>
      <c r="T84" s="13"/>
      <c r="U84" s="13"/>
      <c r="V84" s="13"/>
      <c r="W84" s="69"/>
      <c r="X84" s="69"/>
      <c r="Y84" s="69"/>
      <c r="Z84" s="69"/>
      <c r="AA84" s="69"/>
      <c r="AB84" s="69"/>
      <c r="AC84" s="69"/>
    </row>
    <row r="85" spans="1:29" ht="18" customHeight="1">
      <c r="A85" s="85" t="s">
        <v>69</v>
      </c>
      <c r="B85" s="73"/>
      <c r="C85" s="73"/>
      <c r="D85" s="73"/>
      <c r="E85" s="73"/>
      <c r="F85" s="73"/>
      <c r="G85" s="73"/>
      <c r="H85" s="73"/>
      <c r="I85" s="73"/>
      <c r="J85" s="73"/>
      <c r="K85" s="73"/>
      <c r="L85" s="73"/>
      <c r="M85" s="73"/>
      <c r="N85" s="73"/>
      <c r="O85" s="73"/>
      <c r="P85" s="73"/>
      <c r="Q85" s="73"/>
      <c r="R85" s="73"/>
      <c r="S85" s="73"/>
      <c r="T85" s="73"/>
      <c r="U85" s="73"/>
      <c r="V85" s="73"/>
      <c r="W85" s="69"/>
      <c r="X85" s="69"/>
      <c r="Y85" s="69"/>
      <c r="Z85" s="69"/>
      <c r="AA85" s="69"/>
      <c r="AB85" s="69"/>
      <c r="AC85" s="69"/>
    </row>
    <row r="86" spans="1:29" ht="15" customHeight="1">
      <c r="A86" s="81" t="s">
        <v>42</v>
      </c>
      <c r="B86" s="73"/>
      <c r="C86" s="73"/>
      <c r="D86" s="73"/>
      <c r="E86" s="73"/>
      <c r="F86" s="73"/>
      <c r="G86" s="73"/>
      <c r="H86" s="73"/>
      <c r="I86" s="73"/>
      <c r="J86" s="73"/>
      <c r="K86" s="73"/>
      <c r="L86" s="73"/>
      <c r="M86" s="73"/>
      <c r="N86" s="73"/>
      <c r="O86" s="73"/>
      <c r="P86" s="73"/>
      <c r="Q86" s="73"/>
      <c r="R86" s="73"/>
      <c r="S86" s="73"/>
      <c r="T86" s="73"/>
      <c r="U86" s="73"/>
      <c r="V86" s="73"/>
      <c r="W86" s="69"/>
      <c r="X86" s="69"/>
      <c r="Y86" s="69"/>
      <c r="Z86" s="69"/>
      <c r="AA86" s="69"/>
      <c r="AB86" s="69"/>
      <c r="AC86" s="69"/>
    </row>
    <row r="87" spans="1:29" ht="20.100000000000001" customHeight="1">
      <c r="A87" s="14" t="s">
        <v>45</v>
      </c>
      <c r="B87" s="15" t="s">
        <v>93</v>
      </c>
      <c r="C87" s="16" t="str">
        <f>IFERROR(INDEX(EJERCICIOS!$D$3:$D$75,MATCH(A87&amp;"|"&amp;B87,EJERCICIOS!$G$3:$G$75,0)),"--")</f>
        <v>--</v>
      </c>
      <c r="D87" s="17">
        <v>3</v>
      </c>
      <c r="E87" s="18">
        <f>IFERROR(LOOKUP(2,1/(MEDIDAS_Y_PESO!$B$3:$B$6&lt;&gt;""),MEDIDAS_Y_PESO!$B$3:$B$6),"--")</f>
        <v>80</v>
      </c>
      <c r="F87" s="19"/>
      <c r="G87" s="20"/>
      <c r="H87" s="21"/>
      <c r="I87" s="19"/>
      <c r="J87" s="20"/>
      <c r="K87" s="21"/>
      <c r="L87" s="19"/>
      <c r="M87" s="20"/>
      <c r="N87" s="21"/>
      <c r="O87" s="19"/>
      <c r="P87" s="20"/>
      <c r="Q87" s="21"/>
      <c r="R87" s="19"/>
      <c r="S87" s="20"/>
      <c r="T87" s="21"/>
      <c r="U87" s="22" t="str">
        <f>IFERROR(IF(IF(X87&gt;0,X87,IF(Z87&gt;0,Z87,IF(AB87&gt;0,AB87,0)))=0,"--",ROUND(CHOOSE(IF(X87&gt;0,X87,IF(Z87&gt;0,Z87,IF(AB87&gt;0,AB87,0))),IF(C87="peso_corporal",IF(ISNUMBER(E87),E87,0)+F87,F87)*(1+G87/30),IF(C87="peso_corporal",IF(ISNUMBER(E87),E87,0)+I87,I87)*(1+J87/30),IF(C87="peso_corporal",IF(ISNUMBER(E87),E87,0)+L87,L87)*(1+M87/30),IF(C87="peso_corporal",IF(ISNUMBER(E87),E87,0)+O87,O87)*(1+P87/30),IF(C87="peso_corporal",IF(ISNUMBER(E87),E87,0)+R87,R87)*(1+S87/30)),1)),"--")</f>
        <v>--</v>
      </c>
      <c r="V87" s="23" t="str">
        <f>IF(SUGERENCIAS!N230="SIN","Sin datos anteriores",IF(SUGERENCIAS!N230="SUBIR_F","^ SUBIR FUERTE | Kg:"&amp;ROUND(SUGERENCIAS!K230,1)&amp;" R:"&amp;ROUND(SUGERENCIAS!L230,0)&amp;" RIR:"&amp;ROUND(SUGERENCIAS!M230,0),IF(SUGERENCIAS!N230="SUBIR_E","^ SUBIR (Est.) | Kg:"&amp;ROUND(SUGERENCIAS!K230,1)&amp;" R:"&amp;ROUND(SUGERENCIAS!L230,0)&amp;" RIR:"&amp;ROUND(SUGERENCIAS!M230,0),IF(SUGERENCIAS!N230="SUBIR","^ SUBIR | Kg:"&amp;ROUND(SUGERENCIAS!K230,1)&amp;" R:"&amp;ROUND(SUGERENCIAS!L230,0)&amp;" RIR:"&amp;ROUND(SUGERENCIAS!M230,0),IF(SUGERENCIAS!N230="BAJAR","v BAJAR | Kg:"&amp;ROUND(SUGERENCIAS!K230,1)&amp;" R:"&amp;ROUND(SUGERENCIAS!L230,0)&amp;" RIR:"&amp;ROUND(SUGERENCIAS!M230,0),"= MANT | Kg:"&amp;ROUND(SUGERENCIAS!K230,1)&amp;" R:"&amp;ROUND(SUGERENCIAS!L230,0)&amp;" RIR:"&amp;ROUND(SUGERENCIAS!M230,0))))))</f>
        <v>Sin datos anteriores</v>
      </c>
      <c r="W87" s="69">
        <f>MAX(IF((G87&gt;0)*(IF(H87="",-1,H87)&gt;=1)*(IF(H87="",-1,H87)&lt;=3),IF(C87="peso_corporal",IF(ISNUMBER(E87),E87,0)+F87,F87)*G87*1000+F87,0),IF((J87&gt;0)*(IF(K87="",-1,K87)&gt;=1)*(IF(K87="",-1,K87)&lt;=3),IF(C87="peso_corporal",IF(ISNUMBER(E87),E87,0)+I87,I87)*J87*1000+I87,0),IF((M87&gt;0)*(IF(N87="",-1,N87)&gt;=1)*(IF(N87="",-1,N87)&lt;=3),IF(C87="peso_corporal",IF(ISNUMBER(E87),E87,0)+L87,L87)*M87*1000+L87,0),IF((P87&gt;0)*(IF(Q87="",-1,Q87)&gt;=1)*(IF(Q87="",-1,Q87)&lt;=3),IF(C87="peso_corporal",IF(ISNUMBER(E87),E87,0)+O87,O87)*P87*1000+O87,0),IF((S87&gt;0)*(IF(T87="",-1,T87)&gt;=1)*(IF(T87="",-1,T87)&lt;=3),IF(C87="peso_corporal",IF(ISNUMBER(E87),E87,0)+R87,R87)*S87*1000+R87,0))</f>
        <v>0</v>
      </c>
      <c r="X87" s="69">
        <f>IF(W87=0,0,IF(IF((S87&gt;0)*(IF(T87="",-1,T87)&gt;=1)*(IF(T87="",-1,T87)&lt;=3),IF(C87="peso_corporal",IF(ISNUMBER(E87),E87,0)+R87,R87)*S87*1000+R87,0)=W87,5,IF(IF((P87&gt;0)*(IF(Q87="",-1,Q87)&gt;=1)*(IF(Q87="",-1,Q87)&lt;=3),IF(C87="peso_corporal",IF(ISNUMBER(E87),E87,0)+O87,O87)*P87*1000+O87,0)=W87,4,IF(IF((M87&gt;0)*(IF(N87="",-1,N87)&gt;=1)*(IF(N87="",-1,N87)&lt;=3),IF(C87="peso_corporal",IF(ISNUMBER(E87),E87,0)+L87,L87)*M87*1000+L87,0)=W87,3,IF(IF((J87&gt;0)*(IF(K87="",-1,K87)&gt;=1)*(IF(K87="",-1,K87)&lt;=3),IF(C87="peso_corporal",IF(ISNUMBER(E87),E87,0)+I87,I87)*J87*1000+I87,0)=W87,2,IF(IF((G87&gt;0)*(IF(H87="",-1,H87)&gt;=1)*(IF(H87="",-1,H87)&lt;=3),IF(C87="peso_corporal",IF(ISNUMBER(E87),E87,0)+F87,F87)*G87*1000+F87,0)=W87,1,0))))))</f>
        <v>0</v>
      </c>
      <c r="Y87" s="69">
        <f>MAX(IF((G87&gt;0)*(IF(H87="",-1,H87)=0)*(1-(IF(H87="",-1,H87)&gt;=1)*(IF(H87="",-1,H87)&lt;=3)),IF(C87="peso_corporal",IF(ISNUMBER(E87),E87,0)+F87,F87)*G87*1000+F87,0),IF((J87&gt;0)*(IF(K87="",-1,K87)=0)*(1-(IF(K87="",-1,K87)&gt;=1)*(IF(K87="",-1,K87)&lt;=3)),IF(C87="peso_corporal",IF(ISNUMBER(E87),E87,0)+I87,I87)*J87*1000+I87,0),IF((M87&gt;0)*(IF(N87="",-1,N87)=0)*(1-(IF(N87="",-1,N87)&gt;=1)*(IF(N87="",-1,N87)&lt;=3)),IF(C87="peso_corporal",IF(ISNUMBER(E87),E87,0)+L87,L87)*M87*1000+L87,0),IF((P87&gt;0)*(IF(Q87="",-1,Q87)=0)*(1-(IF(Q87="",-1,Q87)&gt;=1)*(IF(Q87="",-1,Q87)&lt;=3)),IF(C87="peso_corporal",IF(ISNUMBER(E87),E87,0)+O87,O87)*P87*1000+O87,0),IF((S87&gt;0)*(IF(T87="",-1,T87)=0)*(1-(IF(T87="",-1,T87)&gt;=1)*(IF(T87="",-1,T87)&lt;=3)),IF(C87="peso_corporal",IF(ISNUMBER(E87),E87,0)+R87,R87)*S87*1000+R87,0))</f>
        <v>0</v>
      </c>
      <c r="Z87" s="69">
        <f>IF(Y87=0,0,IF(IF((S87&gt;0)*(IF(T87="",-1,T87)=0)*(1-(IF(T87="",-1,T87)&gt;=1)*(IF(T87="",-1,T87)&lt;=3)),IF(C87="peso_corporal",IF(ISNUMBER(E87),E87,0)+R87,R87)*S87*1000+R87,0)=Y87,5,IF(IF((P87&gt;0)*(IF(Q87="",-1,Q87)=0)*(1-(IF(Q87="",-1,Q87)&gt;=1)*(IF(Q87="",-1,Q87)&lt;=3)),IF(C87="peso_corporal",IF(ISNUMBER(E87),E87,0)+O87,O87)*P87*1000+O87,0)=Y87,4,IF(IF((M87&gt;0)*(IF(N87="",-1,N87)=0)*(1-(IF(N87="",-1,N87)&gt;=1)*(IF(N87="",-1,N87)&lt;=3)),IF(C87="peso_corporal",IF(ISNUMBER(E87),E87,0)+L87,L87)*M87*1000+L87,0)=Y87,3,IF(IF((J87&gt;0)*(IF(K87="",-1,K87)=0)*(1-(IF(K87="",-1,K87)&gt;=1)*(IF(K87="",-1,K87)&lt;=3)),IF(C87="peso_corporal",IF(ISNUMBER(E87),E87,0)+I87,I87)*J87*1000+I87,0)=Y87,2,IF(IF((G87&gt;0)*(IF(H87="",-1,H87)=0)*(1-(IF(H87="",-1,H87)&gt;=1)*(IF(H87="",-1,H87)&lt;=3)),IF(C87="peso_corporal",IF(ISNUMBER(E87),E87,0)+F87,F87)*G87*1000+F87,0)=Y87,1,0))))))</f>
        <v>0</v>
      </c>
      <c r="AA87" s="69">
        <f>MAX(IF((G87&gt;=6)*(1-(IF(H87="",-1,H87)&gt;=1)*(IF(H87="",-1,H87)&lt;=3))*(1-(IF(H87="",-1,H87)=0)),IF(C87="peso_corporal",IF(ISNUMBER(E87),E87,0)+F87,F87)*(30+G87)*100+F87,0),IF((J87&gt;=6)*(1-(IF(K87="",-1,K87)&gt;=1)*(IF(K87="",-1,K87)&lt;=3))*(1-(IF(K87="",-1,K87)=0)),IF(C87="peso_corporal",IF(ISNUMBER(E87),E87,0)+I87,I87)*(30+J87)*100+I87,0),IF((M87&gt;=6)*(1-(IF(N87="",-1,N87)&gt;=1)*(IF(N87="",-1,N87)&lt;=3))*(1-(IF(N87="",-1,N87)=0)),IF(C87="peso_corporal",IF(ISNUMBER(E87),E87,0)+L87,L87)*(30+M87)*100+L87,0),IF((P87&gt;=6)*(1-(IF(Q87="",-1,Q87)&gt;=1)*(IF(Q87="",-1,Q87)&lt;=3))*(1-(IF(Q87="",-1,Q87)=0)),IF(C87="peso_corporal",IF(ISNUMBER(E87),E87,0)+O87,O87)*(30+P87)*100+O87,0),IF((S87&gt;=6)*(1-(IF(T87="",-1,T87)&gt;=1)*(IF(T87="",-1,T87)&lt;=3))*(1-(IF(T87="",-1,T87)=0)),IF(C87="peso_corporal",IF(ISNUMBER(E87),E87,0)+R87,R87)*(30+S87)*100+R87,0))</f>
        <v>0</v>
      </c>
      <c r="AB87" s="69">
        <f>IF(AA87=0,0,IF(IF((S87&gt;=6)*(1-(IF(T87="",-1,T87)&gt;=1)*(IF(T87="",-1,T87)&lt;=3))*(1-(IF(T87="",-1,T87)=0)),IF(C87="peso_corporal",IF(ISNUMBER(E87),E87,0)+R87,R87)*(30+S87)*100+R87,0)=AA87,5,IF(IF((P87&gt;=6)*(1-(IF(Q87="",-1,Q87)&gt;=1)*(IF(Q87="",-1,Q87)&lt;=3))*(1-(IF(Q87="",-1,Q87)=0)),IF(C87="peso_corporal",IF(ISNUMBER(E87),E87,0)+O87,O87)*(30+P87)*100+O87,0)=AA87,4,IF(IF((M87&gt;=6)*(1-(IF(N87="",-1,N87)&gt;=1)*(IF(N87="",-1,N87)&lt;=3))*(1-(IF(N87="",-1,N87)=0)),IF(C87="peso_corporal",IF(ISNUMBER(E87),E87,0)+L87,L87)*(30+M87)*100+L87,0)=AA87,3,IF(IF((J87&gt;=6)*(1-(IF(K87="",-1,K87)&gt;=1)*(IF(K87="",-1,K87)&lt;=3))*(1-(IF(K87="",-1,K87)=0)),IF(C87="peso_corporal",IF(ISNUMBER(E87),E87,0)+I87,I87)*(30+J87)*100+I87,0)=AA87,2,IF(IF((G87&gt;=6)*(1-(IF(H87="",-1,H87)&gt;=1)*(IF(H87="",-1,H87)&lt;=3))*(1-(IF(H87="",-1,H87)=0)),IF(C87="peso_corporal",IF(ISNUMBER(E87),E87,0)+F87,F87)*(30+G87)*100+F87,0)=AA87,1,0))))))</f>
        <v>0</v>
      </c>
      <c r="AC87" s="69" t="str">
        <f>IF(X87&gt;0,"A"&amp;X87,IF(Z87&gt;0,"B"&amp;Z87,IF(AB87&gt;0,"C"&amp;AB87,"")))</f>
        <v/>
      </c>
    </row>
    <row r="88" spans="1:29" ht="20.100000000000001" customHeight="1">
      <c r="A88" s="14" t="s">
        <v>43</v>
      </c>
      <c r="B88" s="15" t="s">
        <v>159</v>
      </c>
      <c r="C88" s="16" t="str">
        <f>IFERROR(INDEX(EJERCICIOS!$D$3:$D$75,MATCH(A88&amp;"|"&amp;B88,EJERCICIOS!$G$3:$G$75,0)),"--")</f>
        <v>--</v>
      </c>
      <c r="D88" s="17">
        <v>3</v>
      </c>
      <c r="E88" s="18">
        <f>IFERROR(LOOKUP(2,1/(MEDIDAS_Y_PESO!$B$3:$B$6&lt;&gt;""),MEDIDAS_Y_PESO!$B$3:$B$6),"--")</f>
        <v>80</v>
      </c>
      <c r="F88" s="19"/>
      <c r="G88" s="20"/>
      <c r="H88" s="21"/>
      <c r="I88" s="19"/>
      <c r="J88" s="20"/>
      <c r="K88" s="21"/>
      <c r="L88" s="19"/>
      <c r="M88" s="20"/>
      <c r="N88" s="21"/>
      <c r="O88" s="19"/>
      <c r="P88" s="20"/>
      <c r="Q88" s="21"/>
      <c r="R88" s="19"/>
      <c r="S88" s="20"/>
      <c r="T88" s="21"/>
      <c r="U88" s="22" t="str">
        <f>IFERROR(IF(IF(X88&gt;0,X88,IF(Z88&gt;0,Z88,IF(AB88&gt;0,AB88,0)))=0,"--",ROUND(CHOOSE(IF(X88&gt;0,X88,IF(Z88&gt;0,Z88,IF(AB88&gt;0,AB88,0))),IF(C88="peso_corporal",IF(ISNUMBER(E88),E88,0)+F88,F88)*(1+G88/30),IF(C88="peso_corporal",IF(ISNUMBER(E88),E88,0)+I88,I88)*(1+J88/30),IF(C88="peso_corporal",IF(ISNUMBER(E88),E88,0)+L88,L88)*(1+M88/30),IF(C88="peso_corporal",IF(ISNUMBER(E88),E88,0)+O88,O88)*(1+P88/30),IF(C88="peso_corporal",IF(ISNUMBER(E88),E88,0)+R88,R88)*(1+S88/30)),1)),"--")</f>
        <v>--</v>
      </c>
      <c r="V88" s="23" t="str">
        <f>IF(SUGERENCIAS!N231="SIN","Sin datos anteriores",IF(SUGERENCIAS!N231="SUBIR_F","^ SUBIR FUERTE | Kg:"&amp;ROUND(SUGERENCIAS!K231,1)&amp;" R:"&amp;ROUND(SUGERENCIAS!L231,0)&amp;" RIR:"&amp;ROUND(SUGERENCIAS!M231,0),IF(SUGERENCIAS!N231="SUBIR_E","^ SUBIR (Est.) | Kg:"&amp;ROUND(SUGERENCIAS!K231,1)&amp;" R:"&amp;ROUND(SUGERENCIAS!L231,0)&amp;" RIR:"&amp;ROUND(SUGERENCIAS!M231,0),IF(SUGERENCIAS!N231="SUBIR","^ SUBIR | Kg:"&amp;ROUND(SUGERENCIAS!K231,1)&amp;" R:"&amp;ROUND(SUGERENCIAS!L231,0)&amp;" RIR:"&amp;ROUND(SUGERENCIAS!M231,0),IF(SUGERENCIAS!N231="BAJAR","v BAJAR | Kg:"&amp;ROUND(SUGERENCIAS!K231,1)&amp;" R:"&amp;ROUND(SUGERENCIAS!L231,0)&amp;" RIR:"&amp;ROUND(SUGERENCIAS!M231,0),"= MANT | Kg:"&amp;ROUND(SUGERENCIAS!K231,1)&amp;" R:"&amp;ROUND(SUGERENCIAS!L231,0)&amp;" RIR:"&amp;ROUND(SUGERENCIAS!M231,0))))))</f>
        <v>Sin datos anteriores</v>
      </c>
      <c r="W88" s="69">
        <f>MAX(IF((G88&gt;0)*(IF(H88="",-1,H88)&gt;=1)*(IF(H88="",-1,H88)&lt;=3),IF(C88="peso_corporal",IF(ISNUMBER(E88),E88,0)+F88,F88)*G88*1000+F88,0),IF((J88&gt;0)*(IF(K88="",-1,K88)&gt;=1)*(IF(K88="",-1,K88)&lt;=3),IF(C88="peso_corporal",IF(ISNUMBER(E88),E88,0)+I88,I88)*J88*1000+I88,0),IF((M88&gt;0)*(IF(N88="",-1,N88)&gt;=1)*(IF(N88="",-1,N88)&lt;=3),IF(C88="peso_corporal",IF(ISNUMBER(E88),E88,0)+L88,L88)*M88*1000+L88,0),IF((P88&gt;0)*(IF(Q88="",-1,Q88)&gt;=1)*(IF(Q88="",-1,Q88)&lt;=3),IF(C88="peso_corporal",IF(ISNUMBER(E88),E88,0)+O88,O88)*P88*1000+O88,0),IF((S88&gt;0)*(IF(T88="",-1,T88)&gt;=1)*(IF(T88="",-1,T88)&lt;=3),IF(C88="peso_corporal",IF(ISNUMBER(E88),E88,0)+R88,R88)*S88*1000+R88,0))</f>
        <v>0</v>
      </c>
      <c r="X88" s="69">
        <f>IF(W88=0,0,IF(IF((S88&gt;0)*(IF(T88="",-1,T88)&gt;=1)*(IF(T88="",-1,T88)&lt;=3),IF(C88="peso_corporal",IF(ISNUMBER(E88),E88,0)+R88,R88)*S88*1000+R88,0)=W88,5,IF(IF((P88&gt;0)*(IF(Q88="",-1,Q88)&gt;=1)*(IF(Q88="",-1,Q88)&lt;=3),IF(C88="peso_corporal",IF(ISNUMBER(E88),E88,0)+O88,O88)*P88*1000+O88,0)=W88,4,IF(IF((M88&gt;0)*(IF(N88="",-1,N88)&gt;=1)*(IF(N88="",-1,N88)&lt;=3),IF(C88="peso_corporal",IF(ISNUMBER(E88),E88,0)+L88,L88)*M88*1000+L88,0)=W88,3,IF(IF((J88&gt;0)*(IF(K88="",-1,K88)&gt;=1)*(IF(K88="",-1,K88)&lt;=3),IF(C88="peso_corporal",IF(ISNUMBER(E88),E88,0)+I88,I88)*J88*1000+I88,0)=W88,2,IF(IF((G88&gt;0)*(IF(H88="",-1,H88)&gt;=1)*(IF(H88="",-1,H88)&lt;=3),IF(C88="peso_corporal",IF(ISNUMBER(E88),E88,0)+F88,F88)*G88*1000+F88,0)=W88,1,0))))))</f>
        <v>0</v>
      </c>
      <c r="Y88" s="69">
        <f>MAX(IF((G88&gt;0)*(IF(H88="",-1,H88)=0)*(1-(IF(H88="",-1,H88)&gt;=1)*(IF(H88="",-1,H88)&lt;=3)),IF(C88="peso_corporal",IF(ISNUMBER(E88),E88,0)+F88,F88)*G88*1000+F88,0),IF((J88&gt;0)*(IF(K88="",-1,K88)=0)*(1-(IF(K88="",-1,K88)&gt;=1)*(IF(K88="",-1,K88)&lt;=3)),IF(C88="peso_corporal",IF(ISNUMBER(E88),E88,0)+I88,I88)*J88*1000+I88,0),IF((M88&gt;0)*(IF(N88="",-1,N88)=0)*(1-(IF(N88="",-1,N88)&gt;=1)*(IF(N88="",-1,N88)&lt;=3)),IF(C88="peso_corporal",IF(ISNUMBER(E88),E88,0)+L88,L88)*M88*1000+L88,0),IF((P88&gt;0)*(IF(Q88="",-1,Q88)=0)*(1-(IF(Q88="",-1,Q88)&gt;=1)*(IF(Q88="",-1,Q88)&lt;=3)),IF(C88="peso_corporal",IF(ISNUMBER(E88),E88,0)+O88,O88)*P88*1000+O88,0),IF((S88&gt;0)*(IF(T88="",-1,T88)=0)*(1-(IF(T88="",-1,T88)&gt;=1)*(IF(T88="",-1,T88)&lt;=3)),IF(C88="peso_corporal",IF(ISNUMBER(E88),E88,0)+R88,R88)*S88*1000+R88,0))</f>
        <v>0</v>
      </c>
      <c r="Z88" s="69">
        <f>IF(Y88=0,0,IF(IF((S88&gt;0)*(IF(T88="",-1,T88)=0)*(1-(IF(T88="",-1,T88)&gt;=1)*(IF(T88="",-1,T88)&lt;=3)),IF(C88="peso_corporal",IF(ISNUMBER(E88),E88,0)+R88,R88)*S88*1000+R88,0)=Y88,5,IF(IF((P88&gt;0)*(IF(Q88="",-1,Q88)=0)*(1-(IF(Q88="",-1,Q88)&gt;=1)*(IF(Q88="",-1,Q88)&lt;=3)),IF(C88="peso_corporal",IF(ISNUMBER(E88),E88,0)+O88,O88)*P88*1000+O88,0)=Y88,4,IF(IF((M88&gt;0)*(IF(N88="",-1,N88)=0)*(1-(IF(N88="",-1,N88)&gt;=1)*(IF(N88="",-1,N88)&lt;=3)),IF(C88="peso_corporal",IF(ISNUMBER(E88),E88,0)+L88,L88)*M88*1000+L88,0)=Y88,3,IF(IF((J88&gt;0)*(IF(K88="",-1,K88)=0)*(1-(IF(K88="",-1,K88)&gt;=1)*(IF(K88="",-1,K88)&lt;=3)),IF(C88="peso_corporal",IF(ISNUMBER(E88),E88,0)+I88,I88)*J88*1000+I88,0)=Y88,2,IF(IF((G88&gt;0)*(IF(H88="",-1,H88)=0)*(1-(IF(H88="",-1,H88)&gt;=1)*(IF(H88="",-1,H88)&lt;=3)),IF(C88="peso_corporal",IF(ISNUMBER(E88),E88,0)+F88,F88)*G88*1000+F88,0)=Y88,1,0))))))</f>
        <v>0</v>
      </c>
      <c r="AA88" s="69">
        <f>MAX(IF((G88&gt;=6)*(1-(IF(H88="",-1,H88)&gt;=1)*(IF(H88="",-1,H88)&lt;=3))*(1-(IF(H88="",-1,H88)=0)),IF(C88="peso_corporal",IF(ISNUMBER(E88),E88,0)+F88,F88)*(30+G88)*100+F88,0),IF((J88&gt;=6)*(1-(IF(K88="",-1,K88)&gt;=1)*(IF(K88="",-1,K88)&lt;=3))*(1-(IF(K88="",-1,K88)=0)),IF(C88="peso_corporal",IF(ISNUMBER(E88),E88,0)+I88,I88)*(30+J88)*100+I88,0),IF((M88&gt;=6)*(1-(IF(N88="",-1,N88)&gt;=1)*(IF(N88="",-1,N88)&lt;=3))*(1-(IF(N88="",-1,N88)=0)),IF(C88="peso_corporal",IF(ISNUMBER(E88),E88,0)+L88,L88)*(30+M88)*100+L88,0),IF((P88&gt;=6)*(1-(IF(Q88="",-1,Q88)&gt;=1)*(IF(Q88="",-1,Q88)&lt;=3))*(1-(IF(Q88="",-1,Q88)=0)),IF(C88="peso_corporal",IF(ISNUMBER(E88),E88,0)+O88,O88)*(30+P88)*100+O88,0),IF((S88&gt;=6)*(1-(IF(T88="",-1,T88)&gt;=1)*(IF(T88="",-1,T88)&lt;=3))*(1-(IF(T88="",-1,T88)=0)),IF(C88="peso_corporal",IF(ISNUMBER(E88),E88,0)+R88,R88)*(30+S88)*100+R88,0))</f>
        <v>0</v>
      </c>
      <c r="AB88" s="69">
        <f>IF(AA88=0,0,IF(IF((S88&gt;=6)*(1-(IF(T88="",-1,T88)&gt;=1)*(IF(T88="",-1,T88)&lt;=3))*(1-(IF(T88="",-1,T88)=0)),IF(C88="peso_corporal",IF(ISNUMBER(E88),E88,0)+R88,R88)*(30+S88)*100+R88,0)=AA88,5,IF(IF((P88&gt;=6)*(1-(IF(Q88="",-1,Q88)&gt;=1)*(IF(Q88="",-1,Q88)&lt;=3))*(1-(IF(Q88="",-1,Q88)=0)),IF(C88="peso_corporal",IF(ISNUMBER(E88),E88,0)+O88,O88)*(30+P88)*100+O88,0)=AA88,4,IF(IF((M88&gt;=6)*(1-(IF(N88="",-1,N88)&gt;=1)*(IF(N88="",-1,N88)&lt;=3))*(1-(IF(N88="",-1,N88)=0)),IF(C88="peso_corporal",IF(ISNUMBER(E88),E88,0)+L88,L88)*(30+M88)*100+L88,0)=AA88,3,IF(IF((J88&gt;=6)*(1-(IF(K88="",-1,K88)&gt;=1)*(IF(K88="",-1,K88)&lt;=3))*(1-(IF(K88="",-1,K88)=0)),IF(C88="peso_corporal",IF(ISNUMBER(E88),E88,0)+I88,I88)*(30+J88)*100+I88,0)=AA88,2,IF(IF((G88&gt;=6)*(1-(IF(H88="",-1,H88)&gt;=1)*(IF(H88="",-1,H88)&lt;=3))*(1-(IF(H88="",-1,H88)=0)),IF(C88="peso_corporal",IF(ISNUMBER(E88),E88,0)+F88,F88)*(30+G88)*100+F88,0)=AA88,1,0))))))</f>
        <v>0</v>
      </c>
      <c r="AC88" s="69" t="str">
        <f>IF(X88&gt;0,"A"&amp;X88,IF(Z88&gt;0,"B"&amp;Z88,IF(AB88&gt;0,"C"&amp;AB88,"")))</f>
        <v/>
      </c>
    </row>
    <row r="89" spans="1:29" ht="11.1" customHeight="1">
      <c r="A89" s="92" t="s">
        <v>160</v>
      </c>
      <c r="B89" s="73"/>
      <c r="C89" s="73"/>
      <c r="D89" s="73"/>
      <c r="E89" s="73"/>
      <c r="F89" s="73"/>
      <c r="G89" s="73"/>
      <c r="H89" s="73"/>
      <c r="I89" s="73"/>
      <c r="J89" s="73"/>
      <c r="K89" s="73"/>
      <c r="L89" s="73"/>
      <c r="M89" s="73"/>
      <c r="N89" s="73"/>
      <c r="O89" s="73"/>
      <c r="P89" s="73"/>
      <c r="Q89" s="73"/>
      <c r="R89" s="73"/>
      <c r="S89" s="73"/>
      <c r="T89" s="73"/>
      <c r="U89" s="73"/>
      <c r="V89" s="73"/>
      <c r="W89" s="69"/>
      <c r="X89" s="69"/>
      <c r="Y89" s="69"/>
      <c r="Z89" s="69"/>
      <c r="AA89" s="69"/>
      <c r="AB89" s="69"/>
      <c r="AC89" s="69"/>
    </row>
    <row r="90" spans="1:29" ht="20.100000000000001" customHeight="1">
      <c r="A90" s="14" t="s">
        <v>161</v>
      </c>
      <c r="B90" s="15" t="s">
        <v>162</v>
      </c>
      <c r="C90" s="16" t="str">
        <f>IFERROR(INDEX(EJERCICIOS!$D$3:$D$75,MATCH(A90&amp;"|"&amp;B90,EJERCICIOS!$G$3:$G$75,0)),"--")</f>
        <v>mancuerna</v>
      </c>
      <c r="D90" s="17">
        <v>3</v>
      </c>
      <c r="E90" s="18">
        <f>IFERROR(LOOKUP(2,1/(MEDIDAS_Y_PESO!$B$3:$B$6&lt;&gt;""),MEDIDAS_Y_PESO!$B$3:$B$6),"--")</f>
        <v>80</v>
      </c>
      <c r="F90" s="19"/>
      <c r="G90" s="20"/>
      <c r="H90" s="21"/>
      <c r="I90" s="19"/>
      <c r="J90" s="20"/>
      <c r="K90" s="21"/>
      <c r="L90" s="19"/>
      <c r="M90" s="20"/>
      <c r="N90" s="21"/>
      <c r="O90" s="19"/>
      <c r="P90" s="20"/>
      <c r="Q90" s="21"/>
      <c r="R90" s="19"/>
      <c r="S90" s="20"/>
      <c r="T90" s="21"/>
      <c r="U90" s="22" t="str">
        <f>IFERROR(IF(IF(X90&gt;0,X90,IF(Z90&gt;0,Z90,IF(AB90&gt;0,AB90,0)))=0,"--",ROUND(CHOOSE(IF(X90&gt;0,X90,IF(Z90&gt;0,Z90,IF(AB90&gt;0,AB90,0))),IF(C90="peso_corporal",IF(ISNUMBER(E90),E90,0)+F90,F90)*(1+G90/30),IF(C90="peso_corporal",IF(ISNUMBER(E90),E90,0)+I90,I90)*(1+J90/30),IF(C90="peso_corporal",IF(ISNUMBER(E90),E90,0)+L90,L90)*(1+M90/30),IF(C90="peso_corporal",IF(ISNUMBER(E90),E90,0)+O90,O90)*(1+P90/30),IF(C90="peso_corporal",IF(ISNUMBER(E90),E90,0)+R90,R90)*(1+S90/30)),1)),"--")</f>
        <v>--</v>
      </c>
      <c r="V90" s="23" t="str">
        <f>IF(SUGERENCIAS!N232="SIN","Sin datos anteriores",IF(SUGERENCIAS!N232="SUBIR_F","^ SUBIR FUERTE | Kg:"&amp;ROUND(SUGERENCIAS!K232,1)&amp;" R:"&amp;ROUND(SUGERENCIAS!L232,0)&amp;" RIR:"&amp;ROUND(SUGERENCIAS!M232,0),IF(SUGERENCIAS!N232="SUBIR_E","^ SUBIR (Est.) | Kg:"&amp;ROUND(SUGERENCIAS!K232,1)&amp;" R:"&amp;ROUND(SUGERENCIAS!L232,0)&amp;" RIR:"&amp;ROUND(SUGERENCIAS!M232,0),IF(SUGERENCIAS!N232="SUBIR","^ SUBIR | Kg:"&amp;ROUND(SUGERENCIAS!K232,1)&amp;" R:"&amp;ROUND(SUGERENCIAS!L232,0)&amp;" RIR:"&amp;ROUND(SUGERENCIAS!M232,0),IF(SUGERENCIAS!N232="BAJAR","v BAJAR | Kg:"&amp;ROUND(SUGERENCIAS!K232,1)&amp;" R:"&amp;ROUND(SUGERENCIAS!L232,0)&amp;" RIR:"&amp;ROUND(SUGERENCIAS!M232,0),"= MANT | Kg:"&amp;ROUND(SUGERENCIAS!K232,1)&amp;" R:"&amp;ROUND(SUGERENCIAS!L232,0)&amp;" RIR:"&amp;ROUND(SUGERENCIAS!M232,0))))))</f>
        <v>Sin datos anteriores</v>
      </c>
      <c r="W90" s="69">
        <f>MAX(IF((G90&gt;0)*(IF(H90="",-1,H90)&gt;=1)*(IF(H90="",-1,H90)&lt;=3),IF(C90="peso_corporal",IF(ISNUMBER(E90),E90,0)+F90,F90)*G90*1000+F90,0),IF((J90&gt;0)*(IF(K90="",-1,K90)&gt;=1)*(IF(K90="",-1,K90)&lt;=3),IF(C90="peso_corporal",IF(ISNUMBER(E90),E90,0)+I90,I90)*J90*1000+I90,0),IF((M90&gt;0)*(IF(N90="",-1,N90)&gt;=1)*(IF(N90="",-1,N90)&lt;=3),IF(C90="peso_corporal",IF(ISNUMBER(E90),E90,0)+L90,L90)*M90*1000+L90,0),IF((P90&gt;0)*(IF(Q90="",-1,Q90)&gt;=1)*(IF(Q90="",-1,Q90)&lt;=3),IF(C90="peso_corporal",IF(ISNUMBER(E90),E90,0)+O90,O90)*P90*1000+O90,0),IF((S90&gt;0)*(IF(T90="",-1,T90)&gt;=1)*(IF(T90="",-1,T90)&lt;=3),IF(C90="peso_corporal",IF(ISNUMBER(E90),E90,0)+R90,R90)*S90*1000+R90,0))</f>
        <v>0</v>
      </c>
      <c r="X90" s="69">
        <f>IF(W90=0,0,IF(IF((S90&gt;0)*(IF(T90="",-1,T90)&gt;=1)*(IF(T90="",-1,T90)&lt;=3),IF(C90="peso_corporal",IF(ISNUMBER(E90),E90,0)+R90,R90)*S90*1000+R90,0)=W90,5,IF(IF((P90&gt;0)*(IF(Q90="",-1,Q90)&gt;=1)*(IF(Q90="",-1,Q90)&lt;=3),IF(C90="peso_corporal",IF(ISNUMBER(E90),E90,0)+O90,O90)*P90*1000+O90,0)=W90,4,IF(IF((M90&gt;0)*(IF(N90="",-1,N90)&gt;=1)*(IF(N90="",-1,N90)&lt;=3),IF(C90="peso_corporal",IF(ISNUMBER(E90),E90,0)+L90,L90)*M90*1000+L90,0)=W90,3,IF(IF((J90&gt;0)*(IF(K90="",-1,K90)&gt;=1)*(IF(K90="",-1,K90)&lt;=3),IF(C90="peso_corporal",IF(ISNUMBER(E90),E90,0)+I90,I90)*J90*1000+I90,0)=W90,2,IF(IF((G90&gt;0)*(IF(H90="",-1,H90)&gt;=1)*(IF(H90="",-1,H90)&lt;=3),IF(C90="peso_corporal",IF(ISNUMBER(E90),E90,0)+F90,F90)*G90*1000+F90,0)=W90,1,0))))))</f>
        <v>0</v>
      </c>
      <c r="Y90" s="69">
        <f>MAX(IF((G90&gt;0)*(IF(H90="",-1,H90)=0)*(1-(IF(H90="",-1,H90)&gt;=1)*(IF(H90="",-1,H90)&lt;=3)),IF(C90="peso_corporal",IF(ISNUMBER(E90),E90,0)+F90,F90)*G90*1000+F90,0),IF((J90&gt;0)*(IF(K90="",-1,K90)=0)*(1-(IF(K90="",-1,K90)&gt;=1)*(IF(K90="",-1,K90)&lt;=3)),IF(C90="peso_corporal",IF(ISNUMBER(E90),E90,0)+I90,I90)*J90*1000+I90,0),IF((M90&gt;0)*(IF(N90="",-1,N90)=0)*(1-(IF(N90="",-1,N90)&gt;=1)*(IF(N90="",-1,N90)&lt;=3)),IF(C90="peso_corporal",IF(ISNUMBER(E90),E90,0)+L90,L90)*M90*1000+L90,0),IF((P90&gt;0)*(IF(Q90="",-1,Q90)=0)*(1-(IF(Q90="",-1,Q90)&gt;=1)*(IF(Q90="",-1,Q90)&lt;=3)),IF(C90="peso_corporal",IF(ISNUMBER(E90),E90,0)+O90,O90)*P90*1000+O90,0),IF((S90&gt;0)*(IF(T90="",-1,T90)=0)*(1-(IF(T90="",-1,T90)&gt;=1)*(IF(T90="",-1,T90)&lt;=3)),IF(C90="peso_corporal",IF(ISNUMBER(E90),E90,0)+R90,R90)*S90*1000+R90,0))</f>
        <v>0</v>
      </c>
      <c r="Z90" s="69">
        <f>IF(Y90=0,0,IF(IF((S90&gt;0)*(IF(T90="",-1,T90)=0)*(1-(IF(T90="",-1,T90)&gt;=1)*(IF(T90="",-1,T90)&lt;=3)),IF(C90="peso_corporal",IF(ISNUMBER(E90),E90,0)+R90,R90)*S90*1000+R90,0)=Y90,5,IF(IF((P90&gt;0)*(IF(Q90="",-1,Q90)=0)*(1-(IF(Q90="",-1,Q90)&gt;=1)*(IF(Q90="",-1,Q90)&lt;=3)),IF(C90="peso_corporal",IF(ISNUMBER(E90),E90,0)+O90,O90)*P90*1000+O90,0)=Y90,4,IF(IF((M90&gt;0)*(IF(N90="",-1,N90)=0)*(1-(IF(N90="",-1,N90)&gt;=1)*(IF(N90="",-1,N90)&lt;=3)),IF(C90="peso_corporal",IF(ISNUMBER(E90),E90,0)+L90,L90)*M90*1000+L90,0)=Y90,3,IF(IF((J90&gt;0)*(IF(K90="",-1,K90)=0)*(1-(IF(K90="",-1,K90)&gt;=1)*(IF(K90="",-1,K90)&lt;=3)),IF(C90="peso_corporal",IF(ISNUMBER(E90),E90,0)+I90,I90)*J90*1000+I90,0)=Y90,2,IF(IF((G90&gt;0)*(IF(H90="",-1,H90)=0)*(1-(IF(H90="",-1,H90)&gt;=1)*(IF(H90="",-1,H90)&lt;=3)),IF(C90="peso_corporal",IF(ISNUMBER(E90),E90,0)+F90,F90)*G90*1000+F90,0)=Y90,1,0))))))</f>
        <v>0</v>
      </c>
      <c r="AA90" s="69">
        <f>MAX(IF((G90&gt;=6)*(1-(IF(H90="",-1,H90)&gt;=1)*(IF(H90="",-1,H90)&lt;=3))*(1-(IF(H90="",-1,H90)=0)),IF(C90="peso_corporal",IF(ISNUMBER(E90),E90,0)+F90,F90)*(30+G90)*100+F90,0),IF((J90&gt;=6)*(1-(IF(K90="",-1,K90)&gt;=1)*(IF(K90="",-1,K90)&lt;=3))*(1-(IF(K90="",-1,K90)=0)),IF(C90="peso_corporal",IF(ISNUMBER(E90),E90,0)+I90,I90)*(30+J90)*100+I90,0),IF((M90&gt;=6)*(1-(IF(N90="",-1,N90)&gt;=1)*(IF(N90="",-1,N90)&lt;=3))*(1-(IF(N90="",-1,N90)=0)),IF(C90="peso_corporal",IF(ISNUMBER(E90),E90,0)+L90,L90)*(30+M90)*100+L90,0),IF((P90&gt;=6)*(1-(IF(Q90="",-1,Q90)&gt;=1)*(IF(Q90="",-1,Q90)&lt;=3))*(1-(IF(Q90="",-1,Q90)=0)),IF(C90="peso_corporal",IF(ISNUMBER(E90),E90,0)+O90,O90)*(30+P90)*100+O90,0),IF((S90&gt;=6)*(1-(IF(T90="",-1,T90)&gt;=1)*(IF(T90="",-1,T90)&lt;=3))*(1-(IF(T90="",-1,T90)=0)),IF(C90="peso_corporal",IF(ISNUMBER(E90),E90,0)+R90,R90)*(30+S90)*100+R90,0))</f>
        <v>0</v>
      </c>
      <c r="AB90" s="69">
        <f>IF(AA90=0,0,IF(IF((S90&gt;=6)*(1-(IF(T90="",-1,T90)&gt;=1)*(IF(T90="",-1,T90)&lt;=3))*(1-(IF(T90="",-1,T90)=0)),IF(C90="peso_corporal",IF(ISNUMBER(E90),E90,0)+R90,R90)*(30+S90)*100+R90,0)=AA90,5,IF(IF((P90&gt;=6)*(1-(IF(Q90="",-1,Q90)&gt;=1)*(IF(Q90="",-1,Q90)&lt;=3))*(1-(IF(Q90="",-1,Q90)=0)),IF(C90="peso_corporal",IF(ISNUMBER(E90),E90,0)+O90,O90)*(30+P90)*100+O90,0)=AA90,4,IF(IF((M90&gt;=6)*(1-(IF(N90="",-1,N90)&gt;=1)*(IF(N90="",-1,N90)&lt;=3))*(1-(IF(N90="",-1,N90)=0)),IF(C90="peso_corporal",IF(ISNUMBER(E90),E90,0)+L90,L90)*(30+M90)*100+L90,0)=AA90,3,IF(IF((J90&gt;=6)*(1-(IF(K90="",-1,K90)&gt;=1)*(IF(K90="",-1,K90)&lt;=3))*(1-(IF(K90="",-1,K90)=0)),IF(C90="peso_corporal",IF(ISNUMBER(E90),E90,0)+I90,I90)*(30+J90)*100+I90,0)=AA90,2,IF(IF((G90&gt;=6)*(1-(IF(H90="",-1,H90)&gt;=1)*(IF(H90="",-1,H90)&lt;=3))*(1-(IF(H90="",-1,H90)=0)),IF(C90="peso_corporal",IF(ISNUMBER(E90),E90,0)+F90,F90)*(30+G90)*100+F90,0)=AA90,1,0))))))</f>
        <v>0</v>
      </c>
      <c r="AC90" s="69" t="str">
        <f>IF(X90&gt;0,"A"&amp;X90,IF(Z90&gt;0,"B"&amp;Z90,IF(AB90&gt;0,"C"&amp;AB90,"")))</f>
        <v/>
      </c>
    </row>
    <row r="91" spans="1:29" ht="20.100000000000001" customHeight="1">
      <c r="A91" s="14" t="s">
        <v>163</v>
      </c>
      <c r="B91" s="15" t="s">
        <v>52</v>
      </c>
      <c r="C91" s="16" t="str">
        <f>IFERROR(INDEX(EJERCICIOS!$D$3:$D$75,MATCH(A91&amp;"|"&amp;B91,EJERCICIOS!$G$3:$G$75,0)),"--")</f>
        <v>polea</v>
      </c>
      <c r="D91" s="17">
        <v>3</v>
      </c>
      <c r="E91" s="18">
        <f>IFERROR(LOOKUP(2,1/(MEDIDAS_Y_PESO!$B$3:$B$6&lt;&gt;""),MEDIDAS_Y_PESO!$B$3:$B$6),"--")</f>
        <v>80</v>
      </c>
      <c r="F91" s="19"/>
      <c r="G91" s="20"/>
      <c r="H91" s="21"/>
      <c r="I91" s="19"/>
      <c r="J91" s="20"/>
      <c r="K91" s="21"/>
      <c r="L91" s="19"/>
      <c r="M91" s="20"/>
      <c r="N91" s="21"/>
      <c r="O91" s="19"/>
      <c r="P91" s="20"/>
      <c r="Q91" s="21"/>
      <c r="R91" s="19"/>
      <c r="S91" s="20"/>
      <c r="T91" s="21"/>
      <c r="U91" s="22" t="str">
        <f>IFERROR(IF(IF(X91&gt;0,X91,IF(Z91&gt;0,Z91,IF(AB91&gt;0,AB91,0)))=0,"--",ROUND(CHOOSE(IF(X91&gt;0,X91,IF(Z91&gt;0,Z91,IF(AB91&gt;0,AB91,0))),IF(C91="peso_corporal",IF(ISNUMBER(E91),E91,0)+F91,F91)*(1+G91/30),IF(C91="peso_corporal",IF(ISNUMBER(E91),E91,0)+I91,I91)*(1+J91/30),IF(C91="peso_corporal",IF(ISNUMBER(E91),E91,0)+L91,L91)*(1+M91/30),IF(C91="peso_corporal",IF(ISNUMBER(E91),E91,0)+O91,O91)*(1+P91/30),IF(C91="peso_corporal",IF(ISNUMBER(E91),E91,0)+R91,R91)*(1+S91/30)),1)),"--")</f>
        <v>--</v>
      </c>
      <c r="V91" s="23" t="str">
        <f>IF(SUGERENCIAS!N233="SIN","Sin datos anteriores",IF(SUGERENCIAS!N233="SUBIR_F","^ SUBIR FUERTE | Kg:"&amp;ROUND(SUGERENCIAS!K233,1)&amp;" R:"&amp;ROUND(SUGERENCIAS!L233,0)&amp;" RIR:"&amp;ROUND(SUGERENCIAS!M233,0),IF(SUGERENCIAS!N233="SUBIR_E","^ SUBIR (Est.) | Kg:"&amp;ROUND(SUGERENCIAS!K233,1)&amp;" R:"&amp;ROUND(SUGERENCIAS!L233,0)&amp;" RIR:"&amp;ROUND(SUGERENCIAS!M233,0),IF(SUGERENCIAS!N233="SUBIR","^ SUBIR | Kg:"&amp;ROUND(SUGERENCIAS!K233,1)&amp;" R:"&amp;ROUND(SUGERENCIAS!L233,0)&amp;" RIR:"&amp;ROUND(SUGERENCIAS!M233,0),IF(SUGERENCIAS!N233="BAJAR","v BAJAR | Kg:"&amp;ROUND(SUGERENCIAS!K233,1)&amp;" R:"&amp;ROUND(SUGERENCIAS!L233,0)&amp;" RIR:"&amp;ROUND(SUGERENCIAS!M233,0),"= MANT | Kg:"&amp;ROUND(SUGERENCIAS!K233,1)&amp;" R:"&amp;ROUND(SUGERENCIAS!L233,0)&amp;" RIR:"&amp;ROUND(SUGERENCIAS!M233,0))))))</f>
        <v>Sin datos anteriores</v>
      </c>
      <c r="W91" s="69">
        <f>MAX(IF((G91&gt;0)*(IF(H91="",-1,H91)&gt;=1)*(IF(H91="",-1,H91)&lt;=3),IF(C91="peso_corporal",IF(ISNUMBER(E91),E91,0)+F91,F91)*G91*1000+F91,0),IF((J91&gt;0)*(IF(K91="",-1,K91)&gt;=1)*(IF(K91="",-1,K91)&lt;=3),IF(C91="peso_corporal",IF(ISNUMBER(E91),E91,0)+I91,I91)*J91*1000+I91,0),IF((M91&gt;0)*(IF(N91="",-1,N91)&gt;=1)*(IF(N91="",-1,N91)&lt;=3),IF(C91="peso_corporal",IF(ISNUMBER(E91),E91,0)+L91,L91)*M91*1000+L91,0),IF((P91&gt;0)*(IF(Q91="",-1,Q91)&gt;=1)*(IF(Q91="",-1,Q91)&lt;=3),IF(C91="peso_corporal",IF(ISNUMBER(E91),E91,0)+O91,O91)*P91*1000+O91,0),IF((S91&gt;0)*(IF(T91="",-1,T91)&gt;=1)*(IF(T91="",-1,T91)&lt;=3),IF(C91="peso_corporal",IF(ISNUMBER(E91),E91,0)+R91,R91)*S91*1000+R91,0))</f>
        <v>0</v>
      </c>
      <c r="X91" s="69">
        <f>IF(W91=0,0,IF(IF((S91&gt;0)*(IF(T91="",-1,T91)&gt;=1)*(IF(T91="",-1,T91)&lt;=3),IF(C91="peso_corporal",IF(ISNUMBER(E91),E91,0)+R91,R91)*S91*1000+R91,0)=W91,5,IF(IF((P91&gt;0)*(IF(Q91="",-1,Q91)&gt;=1)*(IF(Q91="",-1,Q91)&lt;=3),IF(C91="peso_corporal",IF(ISNUMBER(E91),E91,0)+O91,O91)*P91*1000+O91,0)=W91,4,IF(IF((M91&gt;0)*(IF(N91="",-1,N91)&gt;=1)*(IF(N91="",-1,N91)&lt;=3),IF(C91="peso_corporal",IF(ISNUMBER(E91),E91,0)+L91,L91)*M91*1000+L91,0)=W91,3,IF(IF((J91&gt;0)*(IF(K91="",-1,K91)&gt;=1)*(IF(K91="",-1,K91)&lt;=3),IF(C91="peso_corporal",IF(ISNUMBER(E91),E91,0)+I91,I91)*J91*1000+I91,0)=W91,2,IF(IF((G91&gt;0)*(IF(H91="",-1,H91)&gt;=1)*(IF(H91="",-1,H91)&lt;=3),IF(C91="peso_corporal",IF(ISNUMBER(E91),E91,0)+F91,F91)*G91*1000+F91,0)=W91,1,0))))))</f>
        <v>0</v>
      </c>
      <c r="Y91" s="69">
        <f>MAX(IF((G91&gt;0)*(IF(H91="",-1,H91)=0)*(1-(IF(H91="",-1,H91)&gt;=1)*(IF(H91="",-1,H91)&lt;=3)),IF(C91="peso_corporal",IF(ISNUMBER(E91),E91,0)+F91,F91)*G91*1000+F91,0),IF((J91&gt;0)*(IF(K91="",-1,K91)=0)*(1-(IF(K91="",-1,K91)&gt;=1)*(IF(K91="",-1,K91)&lt;=3)),IF(C91="peso_corporal",IF(ISNUMBER(E91),E91,0)+I91,I91)*J91*1000+I91,0),IF((M91&gt;0)*(IF(N91="",-1,N91)=0)*(1-(IF(N91="",-1,N91)&gt;=1)*(IF(N91="",-1,N91)&lt;=3)),IF(C91="peso_corporal",IF(ISNUMBER(E91),E91,0)+L91,L91)*M91*1000+L91,0),IF((P91&gt;0)*(IF(Q91="",-1,Q91)=0)*(1-(IF(Q91="",-1,Q91)&gt;=1)*(IF(Q91="",-1,Q91)&lt;=3)),IF(C91="peso_corporal",IF(ISNUMBER(E91),E91,0)+O91,O91)*P91*1000+O91,0),IF((S91&gt;0)*(IF(T91="",-1,T91)=0)*(1-(IF(T91="",-1,T91)&gt;=1)*(IF(T91="",-1,T91)&lt;=3)),IF(C91="peso_corporal",IF(ISNUMBER(E91),E91,0)+R91,R91)*S91*1000+R91,0))</f>
        <v>0</v>
      </c>
      <c r="Z91" s="69">
        <f>IF(Y91=0,0,IF(IF((S91&gt;0)*(IF(T91="",-1,T91)=0)*(1-(IF(T91="",-1,T91)&gt;=1)*(IF(T91="",-1,T91)&lt;=3)),IF(C91="peso_corporal",IF(ISNUMBER(E91),E91,0)+R91,R91)*S91*1000+R91,0)=Y91,5,IF(IF((P91&gt;0)*(IF(Q91="",-1,Q91)=0)*(1-(IF(Q91="",-1,Q91)&gt;=1)*(IF(Q91="",-1,Q91)&lt;=3)),IF(C91="peso_corporal",IF(ISNUMBER(E91),E91,0)+O91,O91)*P91*1000+O91,0)=Y91,4,IF(IF((M91&gt;0)*(IF(N91="",-1,N91)=0)*(1-(IF(N91="",-1,N91)&gt;=1)*(IF(N91="",-1,N91)&lt;=3)),IF(C91="peso_corporal",IF(ISNUMBER(E91),E91,0)+L91,L91)*M91*1000+L91,0)=Y91,3,IF(IF((J91&gt;0)*(IF(K91="",-1,K91)=0)*(1-(IF(K91="",-1,K91)&gt;=1)*(IF(K91="",-1,K91)&lt;=3)),IF(C91="peso_corporal",IF(ISNUMBER(E91),E91,0)+I91,I91)*J91*1000+I91,0)=Y91,2,IF(IF((G91&gt;0)*(IF(H91="",-1,H91)=0)*(1-(IF(H91="",-1,H91)&gt;=1)*(IF(H91="",-1,H91)&lt;=3)),IF(C91="peso_corporal",IF(ISNUMBER(E91),E91,0)+F91,F91)*G91*1000+F91,0)=Y91,1,0))))))</f>
        <v>0</v>
      </c>
      <c r="AA91" s="69">
        <f>MAX(IF((G91&gt;=6)*(1-(IF(H91="",-1,H91)&gt;=1)*(IF(H91="",-1,H91)&lt;=3))*(1-(IF(H91="",-1,H91)=0)),IF(C91="peso_corporal",IF(ISNUMBER(E91),E91,0)+F91,F91)*(30+G91)*100+F91,0),IF((J91&gt;=6)*(1-(IF(K91="",-1,K91)&gt;=1)*(IF(K91="",-1,K91)&lt;=3))*(1-(IF(K91="",-1,K91)=0)),IF(C91="peso_corporal",IF(ISNUMBER(E91),E91,0)+I91,I91)*(30+J91)*100+I91,0),IF((M91&gt;=6)*(1-(IF(N91="",-1,N91)&gt;=1)*(IF(N91="",-1,N91)&lt;=3))*(1-(IF(N91="",-1,N91)=0)),IF(C91="peso_corporal",IF(ISNUMBER(E91),E91,0)+L91,L91)*(30+M91)*100+L91,0),IF((P91&gt;=6)*(1-(IF(Q91="",-1,Q91)&gt;=1)*(IF(Q91="",-1,Q91)&lt;=3))*(1-(IF(Q91="",-1,Q91)=0)),IF(C91="peso_corporal",IF(ISNUMBER(E91),E91,0)+O91,O91)*(30+P91)*100+O91,0),IF((S91&gt;=6)*(1-(IF(T91="",-1,T91)&gt;=1)*(IF(T91="",-1,T91)&lt;=3))*(1-(IF(T91="",-1,T91)=0)),IF(C91="peso_corporal",IF(ISNUMBER(E91),E91,0)+R91,R91)*(30+S91)*100+R91,0))</f>
        <v>0</v>
      </c>
      <c r="AB91" s="69">
        <f>IF(AA91=0,0,IF(IF((S91&gt;=6)*(1-(IF(T91="",-1,T91)&gt;=1)*(IF(T91="",-1,T91)&lt;=3))*(1-(IF(T91="",-1,T91)=0)),IF(C91="peso_corporal",IF(ISNUMBER(E91),E91,0)+R91,R91)*(30+S91)*100+R91,0)=AA91,5,IF(IF((P91&gt;=6)*(1-(IF(Q91="",-1,Q91)&gt;=1)*(IF(Q91="",-1,Q91)&lt;=3))*(1-(IF(Q91="",-1,Q91)=0)),IF(C91="peso_corporal",IF(ISNUMBER(E91),E91,0)+O91,O91)*(30+P91)*100+O91,0)=AA91,4,IF(IF((M91&gt;=6)*(1-(IF(N91="",-1,N91)&gt;=1)*(IF(N91="",-1,N91)&lt;=3))*(1-(IF(N91="",-1,N91)=0)),IF(C91="peso_corporal",IF(ISNUMBER(E91),E91,0)+L91,L91)*(30+M91)*100+L91,0)=AA91,3,IF(IF((J91&gt;=6)*(1-(IF(K91="",-1,K91)&gt;=1)*(IF(K91="",-1,K91)&lt;=3))*(1-(IF(K91="",-1,K91)=0)),IF(C91="peso_corporal",IF(ISNUMBER(E91),E91,0)+I91,I91)*(30+J91)*100+I91,0)=AA91,2,IF(IF((G91&gt;=6)*(1-(IF(H91="",-1,H91)&gt;=1)*(IF(H91="",-1,H91)&lt;=3))*(1-(IF(H91="",-1,H91)=0)),IF(C91="peso_corporal",IF(ISNUMBER(E91),E91,0)+F91,F91)*(30+G91)*100+F91,0)=AA91,1,0))))))</f>
        <v>0</v>
      </c>
      <c r="AC91" s="69" t="str">
        <f>IF(X91&gt;0,"A"&amp;X91,IF(Z91&gt;0,"B"&amp;Z91,IF(AB91&gt;0,"C"&amp;AB91,"")))</f>
        <v/>
      </c>
    </row>
    <row r="92" spans="1:29" ht="20.100000000000001" customHeight="1">
      <c r="A92" s="14" t="s">
        <v>164</v>
      </c>
      <c r="B92" s="15" t="s">
        <v>114</v>
      </c>
      <c r="C92" s="16" t="str">
        <f>IFERROR(INDEX(EJERCICIOS!$D$3:$D$75,MATCH(A92&amp;"|"&amp;B92,EJERCICIOS!$G$3:$G$75,0)),"--")</f>
        <v>polea</v>
      </c>
      <c r="D92" s="17">
        <v>3</v>
      </c>
      <c r="E92" s="18">
        <f>IFERROR(LOOKUP(2,1/(MEDIDAS_Y_PESO!$B$3:$B$6&lt;&gt;""),MEDIDAS_Y_PESO!$B$3:$B$6),"--")</f>
        <v>80</v>
      </c>
      <c r="F92" s="19"/>
      <c r="G92" s="20"/>
      <c r="H92" s="21"/>
      <c r="I92" s="19"/>
      <c r="J92" s="20"/>
      <c r="K92" s="21"/>
      <c r="L92" s="19"/>
      <c r="M92" s="20"/>
      <c r="N92" s="21"/>
      <c r="O92" s="19"/>
      <c r="P92" s="20"/>
      <c r="Q92" s="21"/>
      <c r="R92" s="19"/>
      <c r="S92" s="20"/>
      <c r="T92" s="21"/>
      <c r="U92" s="22" t="str">
        <f>IFERROR(IF(IF(X92&gt;0,X92,IF(Z92&gt;0,Z92,IF(AB92&gt;0,AB92,0)))=0,"--",ROUND(CHOOSE(IF(X92&gt;0,X92,IF(Z92&gt;0,Z92,IF(AB92&gt;0,AB92,0))),IF(C92="peso_corporal",IF(ISNUMBER(E92),E92,0)+F92,F92)*(1+G92/30),IF(C92="peso_corporal",IF(ISNUMBER(E92),E92,0)+I92,I92)*(1+J92/30),IF(C92="peso_corporal",IF(ISNUMBER(E92),E92,0)+L92,L92)*(1+M92/30),IF(C92="peso_corporal",IF(ISNUMBER(E92),E92,0)+O92,O92)*(1+P92/30),IF(C92="peso_corporal",IF(ISNUMBER(E92),E92,0)+R92,R92)*(1+S92/30)),1)),"--")</f>
        <v>--</v>
      </c>
      <c r="V92" s="23" t="str">
        <f>IF(SUGERENCIAS!N234="SIN","Sin datos anteriores",IF(SUGERENCIAS!N234="SUBIR_F","^ SUBIR FUERTE | Kg:"&amp;ROUND(SUGERENCIAS!K234,1)&amp;" R:"&amp;ROUND(SUGERENCIAS!L234,0)&amp;" RIR:"&amp;ROUND(SUGERENCIAS!M234,0),IF(SUGERENCIAS!N234="SUBIR_E","^ SUBIR (Est.) | Kg:"&amp;ROUND(SUGERENCIAS!K234,1)&amp;" R:"&amp;ROUND(SUGERENCIAS!L234,0)&amp;" RIR:"&amp;ROUND(SUGERENCIAS!M234,0),IF(SUGERENCIAS!N234="SUBIR","^ SUBIR | Kg:"&amp;ROUND(SUGERENCIAS!K234,1)&amp;" R:"&amp;ROUND(SUGERENCIAS!L234,0)&amp;" RIR:"&amp;ROUND(SUGERENCIAS!M234,0),IF(SUGERENCIAS!N234="BAJAR","v BAJAR | Kg:"&amp;ROUND(SUGERENCIAS!K234,1)&amp;" R:"&amp;ROUND(SUGERENCIAS!L234,0)&amp;" RIR:"&amp;ROUND(SUGERENCIAS!M234,0),"= MANT | Kg:"&amp;ROUND(SUGERENCIAS!K234,1)&amp;" R:"&amp;ROUND(SUGERENCIAS!L234,0)&amp;" RIR:"&amp;ROUND(SUGERENCIAS!M234,0))))))</f>
        <v>Sin datos anteriores</v>
      </c>
      <c r="W92" s="69">
        <f>MAX(IF((G92&gt;0)*(IF(H92="",-1,H92)&gt;=1)*(IF(H92="",-1,H92)&lt;=3),IF(C92="peso_corporal",IF(ISNUMBER(E92),E92,0)+F92,F92)*G92*1000+F92,0),IF((J92&gt;0)*(IF(K92="",-1,K92)&gt;=1)*(IF(K92="",-1,K92)&lt;=3),IF(C92="peso_corporal",IF(ISNUMBER(E92),E92,0)+I92,I92)*J92*1000+I92,0),IF((M92&gt;0)*(IF(N92="",-1,N92)&gt;=1)*(IF(N92="",-1,N92)&lt;=3),IF(C92="peso_corporal",IF(ISNUMBER(E92),E92,0)+L92,L92)*M92*1000+L92,0),IF((P92&gt;0)*(IF(Q92="",-1,Q92)&gt;=1)*(IF(Q92="",-1,Q92)&lt;=3),IF(C92="peso_corporal",IF(ISNUMBER(E92),E92,0)+O92,O92)*P92*1000+O92,0),IF((S92&gt;0)*(IF(T92="",-1,T92)&gt;=1)*(IF(T92="",-1,T92)&lt;=3),IF(C92="peso_corporal",IF(ISNUMBER(E92),E92,0)+R92,R92)*S92*1000+R92,0))</f>
        <v>0</v>
      </c>
      <c r="X92" s="69">
        <f>IF(W92=0,0,IF(IF((S92&gt;0)*(IF(T92="",-1,T92)&gt;=1)*(IF(T92="",-1,T92)&lt;=3),IF(C92="peso_corporal",IF(ISNUMBER(E92),E92,0)+R92,R92)*S92*1000+R92,0)=W92,5,IF(IF((P92&gt;0)*(IF(Q92="",-1,Q92)&gt;=1)*(IF(Q92="",-1,Q92)&lt;=3),IF(C92="peso_corporal",IF(ISNUMBER(E92),E92,0)+O92,O92)*P92*1000+O92,0)=W92,4,IF(IF((M92&gt;0)*(IF(N92="",-1,N92)&gt;=1)*(IF(N92="",-1,N92)&lt;=3),IF(C92="peso_corporal",IF(ISNUMBER(E92),E92,0)+L92,L92)*M92*1000+L92,0)=W92,3,IF(IF((J92&gt;0)*(IF(K92="",-1,K92)&gt;=1)*(IF(K92="",-1,K92)&lt;=3),IF(C92="peso_corporal",IF(ISNUMBER(E92),E92,0)+I92,I92)*J92*1000+I92,0)=W92,2,IF(IF((G92&gt;0)*(IF(H92="",-1,H92)&gt;=1)*(IF(H92="",-1,H92)&lt;=3),IF(C92="peso_corporal",IF(ISNUMBER(E92),E92,0)+F92,F92)*G92*1000+F92,0)=W92,1,0))))))</f>
        <v>0</v>
      </c>
      <c r="Y92" s="69">
        <f>MAX(IF((G92&gt;0)*(IF(H92="",-1,H92)=0)*(1-(IF(H92="",-1,H92)&gt;=1)*(IF(H92="",-1,H92)&lt;=3)),IF(C92="peso_corporal",IF(ISNUMBER(E92),E92,0)+F92,F92)*G92*1000+F92,0),IF((J92&gt;0)*(IF(K92="",-1,K92)=0)*(1-(IF(K92="",-1,K92)&gt;=1)*(IF(K92="",-1,K92)&lt;=3)),IF(C92="peso_corporal",IF(ISNUMBER(E92),E92,0)+I92,I92)*J92*1000+I92,0),IF((M92&gt;0)*(IF(N92="",-1,N92)=0)*(1-(IF(N92="",-1,N92)&gt;=1)*(IF(N92="",-1,N92)&lt;=3)),IF(C92="peso_corporal",IF(ISNUMBER(E92),E92,0)+L92,L92)*M92*1000+L92,0),IF((P92&gt;0)*(IF(Q92="",-1,Q92)=0)*(1-(IF(Q92="",-1,Q92)&gt;=1)*(IF(Q92="",-1,Q92)&lt;=3)),IF(C92="peso_corporal",IF(ISNUMBER(E92),E92,0)+O92,O92)*P92*1000+O92,0),IF((S92&gt;0)*(IF(T92="",-1,T92)=0)*(1-(IF(T92="",-1,T92)&gt;=1)*(IF(T92="",-1,T92)&lt;=3)),IF(C92="peso_corporal",IF(ISNUMBER(E92),E92,0)+R92,R92)*S92*1000+R92,0))</f>
        <v>0</v>
      </c>
      <c r="Z92" s="69">
        <f>IF(Y92=0,0,IF(IF((S92&gt;0)*(IF(T92="",-1,T92)=0)*(1-(IF(T92="",-1,T92)&gt;=1)*(IF(T92="",-1,T92)&lt;=3)),IF(C92="peso_corporal",IF(ISNUMBER(E92),E92,0)+R92,R92)*S92*1000+R92,0)=Y92,5,IF(IF((P92&gt;0)*(IF(Q92="",-1,Q92)=0)*(1-(IF(Q92="",-1,Q92)&gt;=1)*(IF(Q92="",-1,Q92)&lt;=3)),IF(C92="peso_corporal",IF(ISNUMBER(E92),E92,0)+O92,O92)*P92*1000+O92,0)=Y92,4,IF(IF((M92&gt;0)*(IF(N92="",-1,N92)=0)*(1-(IF(N92="",-1,N92)&gt;=1)*(IF(N92="",-1,N92)&lt;=3)),IF(C92="peso_corporal",IF(ISNUMBER(E92),E92,0)+L92,L92)*M92*1000+L92,0)=Y92,3,IF(IF((J92&gt;0)*(IF(K92="",-1,K92)=0)*(1-(IF(K92="",-1,K92)&gt;=1)*(IF(K92="",-1,K92)&lt;=3)),IF(C92="peso_corporal",IF(ISNUMBER(E92),E92,0)+I92,I92)*J92*1000+I92,0)=Y92,2,IF(IF((G92&gt;0)*(IF(H92="",-1,H92)=0)*(1-(IF(H92="",-1,H92)&gt;=1)*(IF(H92="",-1,H92)&lt;=3)),IF(C92="peso_corporal",IF(ISNUMBER(E92),E92,0)+F92,F92)*G92*1000+F92,0)=Y92,1,0))))))</f>
        <v>0</v>
      </c>
      <c r="AA92" s="69">
        <f>MAX(IF((G92&gt;=6)*(1-(IF(H92="",-1,H92)&gt;=1)*(IF(H92="",-1,H92)&lt;=3))*(1-(IF(H92="",-1,H92)=0)),IF(C92="peso_corporal",IF(ISNUMBER(E92),E92,0)+F92,F92)*(30+G92)*100+F92,0),IF((J92&gt;=6)*(1-(IF(K92="",-1,K92)&gt;=1)*(IF(K92="",-1,K92)&lt;=3))*(1-(IF(K92="",-1,K92)=0)),IF(C92="peso_corporal",IF(ISNUMBER(E92),E92,0)+I92,I92)*(30+J92)*100+I92,0),IF((M92&gt;=6)*(1-(IF(N92="",-1,N92)&gt;=1)*(IF(N92="",-1,N92)&lt;=3))*(1-(IF(N92="",-1,N92)=0)),IF(C92="peso_corporal",IF(ISNUMBER(E92),E92,0)+L92,L92)*(30+M92)*100+L92,0),IF((P92&gt;=6)*(1-(IF(Q92="",-1,Q92)&gt;=1)*(IF(Q92="",-1,Q92)&lt;=3))*(1-(IF(Q92="",-1,Q92)=0)),IF(C92="peso_corporal",IF(ISNUMBER(E92),E92,0)+O92,O92)*(30+P92)*100+O92,0),IF((S92&gt;=6)*(1-(IF(T92="",-1,T92)&gt;=1)*(IF(T92="",-1,T92)&lt;=3))*(1-(IF(T92="",-1,T92)=0)),IF(C92="peso_corporal",IF(ISNUMBER(E92),E92,0)+R92,R92)*(30+S92)*100+R92,0))</f>
        <v>0</v>
      </c>
      <c r="AB92" s="69">
        <f>IF(AA92=0,0,IF(IF((S92&gt;=6)*(1-(IF(T92="",-1,T92)&gt;=1)*(IF(T92="",-1,T92)&lt;=3))*(1-(IF(T92="",-1,T92)=0)),IF(C92="peso_corporal",IF(ISNUMBER(E92),E92,0)+R92,R92)*(30+S92)*100+R92,0)=AA92,5,IF(IF((P92&gt;=6)*(1-(IF(Q92="",-1,Q92)&gt;=1)*(IF(Q92="",-1,Q92)&lt;=3))*(1-(IF(Q92="",-1,Q92)=0)),IF(C92="peso_corporal",IF(ISNUMBER(E92),E92,0)+O92,O92)*(30+P92)*100+O92,0)=AA92,4,IF(IF((M92&gt;=6)*(1-(IF(N92="",-1,N92)&gt;=1)*(IF(N92="",-1,N92)&lt;=3))*(1-(IF(N92="",-1,N92)=0)),IF(C92="peso_corporal",IF(ISNUMBER(E92),E92,0)+L92,L92)*(30+M92)*100+L92,0)=AA92,3,IF(IF((J92&gt;=6)*(1-(IF(K92="",-1,K92)&gt;=1)*(IF(K92="",-1,K92)&lt;=3))*(1-(IF(K92="",-1,K92)=0)),IF(C92="peso_corporal",IF(ISNUMBER(E92),E92,0)+I92,I92)*(30+J92)*100+I92,0)=AA92,2,IF(IF((G92&gt;=6)*(1-(IF(H92="",-1,H92)&gt;=1)*(IF(H92="",-1,H92)&lt;=3))*(1-(IF(H92="",-1,H92)=0)),IF(C92="peso_corporal",IF(ISNUMBER(E92),E92,0)+F92,F92)*(30+G92)*100+F92,0)=AA92,1,0))))))</f>
        <v>0</v>
      </c>
      <c r="AC92" s="69" t="str">
        <f>IF(X92&gt;0,"A"&amp;X92,IF(Z92&gt;0,"B"&amp;Z92,IF(AB92&gt;0,"C"&amp;AB92,"")))</f>
        <v/>
      </c>
    </row>
    <row r="93" spans="1:29" ht="15" customHeight="1">
      <c r="A93" s="75" t="s">
        <v>28</v>
      </c>
      <c r="B93" s="73"/>
      <c r="C93" s="73"/>
      <c r="D93" s="73"/>
      <c r="E93" s="73"/>
      <c r="F93" s="73"/>
      <c r="G93" s="73"/>
      <c r="H93" s="73"/>
      <c r="I93" s="73"/>
      <c r="J93" s="73"/>
      <c r="K93" s="73"/>
      <c r="L93" s="73"/>
      <c r="M93" s="73"/>
      <c r="N93" s="73"/>
      <c r="O93" s="73"/>
      <c r="P93" s="73"/>
      <c r="Q93" s="73"/>
      <c r="R93" s="73"/>
      <c r="S93" s="73"/>
      <c r="T93" s="73"/>
      <c r="U93" s="73"/>
      <c r="V93" s="73"/>
      <c r="W93" s="69"/>
      <c r="X93" s="69"/>
      <c r="Y93" s="69"/>
      <c r="Z93" s="69"/>
      <c r="AA93" s="69"/>
      <c r="AB93" s="69"/>
      <c r="AC93" s="69"/>
    </row>
    <row r="94" spans="1:29" ht="11.1" customHeight="1">
      <c r="A94" s="76" t="s">
        <v>29</v>
      </c>
      <c r="B94" s="73"/>
      <c r="C94" s="73"/>
      <c r="D94" s="73"/>
      <c r="E94" s="73"/>
      <c r="F94" s="73"/>
      <c r="G94" s="73"/>
      <c r="H94" s="73"/>
      <c r="I94" s="73"/>
      <c r="J94" s="73"/>
      <c r="K94" s="73"/>
      <c r="L94" s="73"/>
      <c r="M94" s="73"/>
      <c r="N94" s="73"/>
      <c r="O94" s="73"/>
      <c r="P94" s="73"/>
      <c r="Q94" s="73"/>
      <c r="R94" s="73"/>
      <c r="S94" s="73"/>
      <c r="T94" s="73"/>
      <c r="U94" s="73"/>
      <c r="V94" s="73"/>
      <c r="W94" s="69"/>
      <c r="X94" s="69"/>
      <c r="Y94" s="69"/>
      <c r="Z94" s="69"/>
      <c r="AA94" s="69"/>
      <c r="AB94" s="69"/>
      <c r="AC94" s="69"/>
    </row>
    <row r="95" spans="1:29" ht="20.100000000000001" customHeight="1">
      <c r="A95" s="14" t="s">
        <v>30</v>
      </c>
      <c r="B95" s="15" t="s">
        <v>31</v>
      </c>
      <c r="C95" s="16" t="str">
        <f>IFERROR(INDEX(EJERCICIOS!$D$3:$D$75,MATCH(A95&amp;"|"&amp;B95,EJERCICIOS!$G$3:$G$75,0)),"--")</f>
        <v>mancuerna</v>
      </c>
      <c r="D95" s="17">
        <v>3</v>
      </c>
      <c r="E95" s="18">
        <f>IFERROR(LOOKUP(2,1/(MEDIDAS_Y_PESO!$B$3:$B$6&lt;&gt;""),MEDIDAS_Y_PESO!$B$3:$B$6),"--")</f>
        <v>80</v>
      </c>
      <c r="F95" s="19"/>
      <c r="G95" s="20"/>
      <c r="H95" s="21"/>
      <c r="I95" s="19"/>
      <c r="J95" s="20"/>
      <c r="K95" s="21"/>
      <c r="L95" s="19"/>
      <c r="M95" s="20"/>
      <c r="N95" s="21"/>
      <c r="O95" s="19"/>
      <c r="P95" s="20"/>
      <c r="Q95" s="21"/>
      <c r="R95" s="19"/>
      <c r="S95" s="20"/>
      <c r="T95" s="21"/>
      <c r="U95" s="22" t="str">
        <f>IFERROR(IF(IF(X95&gt;0,X95,IF(Z95&gt;0,Z95,IF(AB95&gt;0,AB95,0)))=0,"--",ROUND(CHOOSE(IF(X95&gt;0,X95,IF(Z95&gt;0,Z95,IF(AB95&gt;0,AB95,0))),IF(C95="peso_corporal",IF(ISNUMBER(E95),E95,0)+F95,F95)*(1+G95/30),IF(C95="peso_corporal",IF(ISNUMBER(E95),E95,0)+I95,I95)*(1+J95/30),IF(C95="peso_corporal",IF(ISNUMBER(E95),E95,0)+L95,L95)*(1+M95/30),IF(C95="peso_corporal",IF(ISNUMBER(E95),E95,0)+O95,O95)*(1+P95/30),IF(C95="peso_corporal",IF(ISNUMBER(E95),E95,0)+R95,R95)*(1+S95/30)),1)),"--")</f>
        <v>--</v>
      </c>
      <c r="V95" s="23" t="str">
        <f>IF(SUGERENCIAS!N235="SIN","Sin datos anteriores",IF(SUGERENCIAS!N235="SUBIR_F","^ SUBIR FUERTE | Kg:"&amp;ROUND(SUGERENCIAS!K235,1)&amp;" R:"&amp;ROUND(SUGERENCIAS!L235,0)&amp;" RIR:"&amp;ROUND(SUGERENCIAS!M235,0),IF(SUGERENCIAS!N235="SUBIR_E","^ SUBIR (Est.) | Kg:"&amp;ROUND(SUGERENCIAS!K235,1)&amp;" R:"&amp;ROUND(SUGERENCIAS!L235,0)&amp;" RIR:"&amp;ROUND(SUGERENCIAS!M235,0),IF(SUGERENCIAS!N235="SUBIR","^ SUBIR | Kg:"&amp;ROUND(SUGERENCIAS!K235,1)&amp;" R:"&amp;ROUND(SUGERENCIAS!L235,0)&amp;" RIR:"&amp;ROUND(SUGERENCIAS!M235,0),IF(SUGERENCIAS!N235="BAJAR","v BAJAR | Kg:"&amp;ROUND(SUGERENCIAS!K235,1)&amp;" R:"&amp;ROUND(SUGERENCIAS!L235,0)&amp;" RIR:"&amp;ROUND(SUGERENCIAS!M235,0),"= MANT | Kg:"&amp;ROUND(SUGERENCIAS!K235,1)&amp;" R:"&amp;ROUND(SUGERENCIAS!L235,0)&amp;" RIR:"&amp;ROUND(SUGERENCIAS!M235,0))))))</f>
        <v>Sin datos anteriores</v>
      </c>
      <c r="W95" s="69">
        <f>MAX(IF((G95&gt;0)*(IF(H95="",-1,H95)&gt;=1)*(IF(H95="",-1,H95)&lt;=3),IF(C95="peso_corporal",IF(ISNUMBER(E95),E95,0)+F95,F95)*G95*1000+F95,0),IF((J95&gt;0)*(IF(K95="",-1,K95)&gt;=1)*(IF(K95="",-1,K95)&lt;=3),IF(C95="peso_corporal",IF(ISNUMBER(E95),E95,0)+I95,I95)*J95*1000+I95,0),IF((M95&gt;0)*(IF(N95="",-1,N95)&gt;=1)*(IF(N95="",-1,N95)&lt;=3),IF(C95="peso_corporal",IF(ISNUMBER(E95),E95,0)+L95,L95)*M95*1000+L95,0),IF((P95&gt;0)*(IF(Q95="",-1,Q95)&gt;=1)*(IF(Q95="",-1,Q95)&lt;=3),IF(C95="peso_corporal",IF(ISNUMBER(E95),E95,0)+O95,O95)*P95*1000+O95,0),IF((S95&gt;0)*(IF(T95="",-1,T95)&gt;=1)*(IF(T95="",-1,T95)&lt;=3),IF(C95="peso_corporal",IF(ISNUMBER(E95),E95,0)+R95,R95)*S95*1000+R95,0))</f>
        <v>0</v>
      </c>
      <c r="X95" s="69">
        <f>IF(W95=0,0,IF(IF((S95&gt;0)*(IF(T95="",-1,T95)&gt;=1)*(IF(T95="",-1,T95)&lt;=3),IF(C95="peso_corporal",IF(ISNUMBER(E95),E95,0)+R95,R95)*S95*1000+R95,0)=W95,5,IF(IF((P95&gt;0)*(IF(Q95="",-1,Q95)&gt;=1)*(IF(Q95="",-1,Q95)&lt;=3),IF(C95="peso_corporal",IF(ISNUMBER(E95),E95,0)+O95,O95)*P95*1000+O95,0)=W95,4,IF(IF((M95&gt;0)*(IF(N95="",-1,N95)&gt;=1)*(IF(N95="",-1,N95)&lt;=3),IF(C95="peso_corporal",IF(ISNUMBER(E95),E95,0)+L95,L95)*M95*1000+L95,0)=W95,3,IF(IF((J95&gt;0)*(IF(K95="",-1,K95)&gt;=1)*(IF(K95="",-1,K95)&lt;=3),IF(C95="peso_corporal",IF(ISNUMBER(E95),E95,0)+I95,I95)*J95*1000+I95,0)=W95,2,IF(IF((G95&gt;0)*(IF(H95="",-1,H95)&gt;=1)*(IF(H95="",-1,H95)&lt;=3),IF(C95="peso_corporal",IF(ISNUMBER(E95),E95,0)+F95,F95)*G95*1000+F95,0)=W95,1,0))))))</f>
        <v>0</v>
      </c>
      <c r="Y95" s="69">
        <f>MAX(IF((G95&gt;0)*(IF(H95="",-1,H95)=0)*(1-(IF(H95="",-1,H95)&gt;=1)*(IF(H95="",-1,H95)&lt;=3)),IF(C95="peso_corporal",IF(ISNUMBER(E95),E95,0)+F95,F95)*G95*1000+F95,0),IF((J95&gt;0)*(IF(K95="",-1,K95)=0)*(1-(IF(K95="",-1,K95)&gt;=1)*(IF(K95="",-1,K95)&lt;=3)),IF(C95="peso_corporal",IF(ISNUMBER(E95),E95,0)+I95,I95)*J95*1000+I95,0),IF((M95&gt;0)*(IF(N95="",-1,N95)=0)*(1-(IF(N95="",-1,N95)&gt;=1)*(IF(N95="",-1,N95)&lt;=3)),IF(C95="peso_corporal",IF(ISNUMBER(E95),E95,0)+L95,L95)*M95*1000+L95,0),IF((P95&gt;0)*(IF(Q95="",-1,Q95)=0)*(1-(IF(Q95="",-1,Q95)&gt;=1)*(IF(Q95="",-1,Q95)&lt;=3)),IF(C95="peso_corporal",IF(ISNUMBER(E95),E95,0)+O95,O95)*P95*1000+O95,0),IF((S95&gt;0)*(IF(T95="",-1,T95)=0)*(1-(IF(T95="",-1,T95)&gt;=1)*(IF(T95="",-1,T95)&lt;=3)),IF(C95="peso_corporal",IF(ISNUMBER(E95),E95,0)+R95,R95)*S95*1000+R95,0))</f>
        <v>0</v>
      </c>
      <c r="Z95" s="69">
        <f>IF(Y95=0,0,IF(IF((S95&gt;0)*(IF(T95="",-1,T95)=0)*(1-(IF(T95="",-1,T95)&gt;=1)*(IF(T95="",-1,T95)&lt;=3)),IF(C95="peso_corporal",IF(ISNUMBER(E95),E95,0)+R95,R95)*S95*1000+R95,0)=Y95,5,IF(IF((P95&gt;0)*(IF(Q95="",-1,Q95)=0)*(1-(IF(Q95="",-1,Q95)&gt;=1)*(IF(Q95="",-1,Q95)&lt;=3)),IF(C95="peso_corporal",IF(ISNUMBER(E95),E95,0)+O95,O95)*P95*1000+O95,0)=Y95,4,IF(IF((M95&gt;0)*(IF(N95="",-1,N95)=0)*(1-(IF(N95="",-1,N95)&gt;=1)*(IF(N95="",-1,N95)&lt;=3)),IF(C95="peso_corporal",IF(ISNUMBER(E95),E95,0)+L95,L95)*M95*1000+L95,0)=Y95,3,IF(IF((J95&gt;0)*(IF(K95="",-1,K95)=0)*(1-(IF(K95="",-1,K95)&gt;=1)*(IF(K95="",-1,K95)&lt;=3)),IF(C95="peso_corporal",IF(ISNUMBER(E95),E95,0)+I95,I95)*J95*1000+I95,0)=Y95,2,IF(IF((G95&gt;0)*(IF(H95="",-1,H95)=0)*(1-(IF(H95="",-1,H95)&gt;=1)*(IF(H95="",-1,H95)&lt;=3)),IF(C95="peso_corporal",IF(ISNUMBER(E95),E95,0)+F95,F95)*G95*1000+F95,0)=Y95,1,0))))))</f>
        <v>0</v>
      </c>
      <c r="AA95" s="69">
        <f>MAX(IF((G95&gt;=6)*(1-(IF(H95="",-1,H95)&gt;=1)*(IF(H95="",-1,H95)&lt;=3))*(1-(IF(H95="",-1,H95)=0)),IF(C95="peso_corporal",IF(ISNUMBER(E95),E95,0)+F95,F95)*(30+G95)*100+F95,0),IF((J95&gt;=6)*(1-(IF(K95="",-1,K95)&gt;=1)*(IF(K95="",-1,K95)&lt;=3))*(1-(IF(K95="",-1,K95)=0)),IF(C95="peso_corporal",IF(ISNUMBER(E95),E95,0)+I95,I95)*(30+J95)*100+I95,0),IF((M95&gt;=6)*(1-(IF(N95="",-1,N95)&gt;=1)*(IF(N95="",-1,N95)&lt;=3))*(1-(IF(N95="",-1,N95)=0)),IF(C95="peso_corporal",IF(ISNUMBER(E95),E95,0)+L95,L95)*(30+M95)*100+L95,0),IF((P95&gt;=6)*(1-(IF(Q95="",-1,Q95)&gt;=1)*(IF(Q95="",-1,Q95)&lt;=3))*(1-(IF(Q95="",-1,Q95)=0)),IF(C95="peso_corporal",IF(ISNUMBER(E95),E95,0)+O95,O95)*(30+P95)*100+O95,0),IF((S95&gt;=6)*(1-(IF(T95="",-1,T95)&gt;=1)*(IF(T95="",-1,T95)&lt;=3))*(1-(IF(T95="",-1,T95)=0)),IF(C95="peso_corporal",IF(ISNUMBER(E95),E95,0)+R95,R95)*(30+S95)*100+R95,0))</f>
        <v>0</v>
      </c>
      <c r="AB95" s="69">
        <f>IF(AA95=0,0,IF(IF((S95&gt;=6)*(1-(IF(T95="",-1,T95)&gt;=1)*(IF(T95="",-1,T95)&lt;=3))*(1-(IF(T95="",-1,T95)=0)),IF(C95="peso_corporal",IF(ISNUMBER(E95),E95,0)+R95,R95)*(30+S95)*100+R95,0)=AA95,5,IF(IF((P95&gt;=6)*(1-(IF(Q95="",-1,Q95)&gt;=1)*(IF(Q95="",-1,Q95)&lt;=3))*(1-(IF(Q95="",-1,Q95)=0)),IF(C95="peso_corporal",IF(ISNUMBER(E95),E95,0)+O95,O95)*(30+P95)*100+O95,0)=AA95,4,IF(IF((M95&gt;=6)*(1-(IF(N95="",-1,N95)&gt;=1)*(IF(N95="",-1,N95)&lt;=3))*(1-(IF(N95="",-1,N95)=0)),IF(C95="peso_corporal",IF(ISNUMBER(E95),E95,0)+L95,L95)*(30+M95)*100+L95,0)=AA95,3,IF(IF((J95&gt;=6)*(1-(IF(K95="",-1,K95)&gt;=1)*(IF(K95="",-1,K95)&lt;=3))*(1-(IF(K95="",-1,K95)=0)),IF(C95="peso_corporal",IF(ISNUMBER(E95),E95,0)+I95,I95)*(30+J95)*100+I95,0)=AA95,2,IF(IF((G95&gt;=6)*(1-(IF(H95="",-1,H95)&gt;=1)*(IF(H95="",-1,H95)&lt;=3))*(1-(IF(H95="",-1,H95)=0)),IF(C95="peso_corporal",IF(ISNUMBER(E95),E95,0)+F95,F95)*(30+G95)*100+F95,0)=AA95,1,0))))))</f>
        <v>0</v>
      </c>
      <c r="AC95" s="69" t="str">
        <f>IF(X95&gt;0,"A"&amp;X95,IF(Z95&gt;0,"B"&amp;Z95,IF(AB95&gt;0,"C"&amp;AB95,"")))</f>
        <v/>
      </c>
    </row>
    <row r="96" spans="1:29" ht="11.1" customHeight="1">
      <c r="A96" s="84" t="s">
        <v>32</v>
      </c>
      <c r="B96" s="73"/>
      <c r="C96" s="73"/>
      <c r="D96" s="73"/>
      <c r="E96" s="73"/>
      <c r="F96" s="73"/>
      <c r="G96" s="73"/>
      <c r="H96" s="73"/>
      <c r="I96" s="73"/>
      <c r="J96" s="73"/>
      <c r="K96" s="73"/>
      <c r="L96" s="73"/>
      <c r="M96" s="73"/>
      <c r="N96" s="73"/>
      <c r="O96" s="73"/>
      <c r="P96" s="73"/>
      <c r="Q96" s="73"/>
      <c r="R96" s="73"/>
      <c r="S96" s="73"/>
      <c r="T96" s="73"/>
      <c r="U96" s="73"/>
      <c r="V96" s="73"/>
      <c r="W96" s="69"/>
      <c r="X96" s="69"/>
      <c r="Y96" s="69"/>
      <c r="Z96" s="69"/>
      <c r="AA96" s="69"/>
      <c r="AB96" s="69"/>
      <c r="AC96" s="69"/>
    </row>
    <row r="97" spans="1:29" ht="20.100000000000001" customHeight="1">
      <c r="A97" s="14" t="s">
        <v>61</v>
      </c>
      <c r="B97" s="15" t="s">
        <v>93</v>
      </c>
      <c r="C97" s="16" t="str">
        <f>IFERROR(INDEX(EJERCICIOS!$D$3:$D$75,MATCH(A97&amp;"|"&amp;B97,EJERCICIOS!$G$3:$G$75,0)),"--")</f>
        <v>disco</v>
      </c>
      <c r="D97" s="17">
        <v>3</v>
      </c>
      <c r="E97" s="18">
        <f>IFERROR(LOOKUP(2,1/(MEDIDAS_Y_PESO!$B$3:$B$6&lt;&gt;""),MEDIDAS_Y_PESO!$B$3:$B$6),"--")</f>
        <v>80</v>
      </c>
      <c r="F97" s="19"/>
      <c r="G97" s="20"/>
      <c r="H97" s="21"/>
      <c r="I97" s="19"/>
      <c r="J97" s="20"/>
      <c r="K97" s="21"/>
      <c r="L97" s="19"/>
      <c r="M97" s="20"/>
      <c r="N97" s="21"/>
      <c r="O97" s="19"/>
      <c r="P97" s="20"/>
      <c r="Q97" s="21"/>
      <c r="R97" s="19"/>
      <c r="S97" s="20"/>
      <c r="T97" s="21"/>
      <c r="U97" s="22" t="str">
        <f>IFERROR(IF(IF(X97&gt;0,X97,IF(Z97&gt;0,Z97,IF(AB97&gt;0,AB97,0)))=0,"--",ROUND(CHOOSE(IF(X97&gt;0,X97,IF(Z97&gt;0,Z97,IF(AB97&gt;0,AB97,0))),IF(C97="peso_corporal",IF(ISNUMBER(E97),E97,0)+F97,F97)*(1+G97/30),IF(C97="peso_corporal",IF(ISNUMBER(E97),E97,0)+I97,I97)*(1+J97/30),IF(C97="peso_corporal",IF(ISNUMBER(E97),E97,0)+L97,L97)*(1+M97/30),IF(C97="peso_corporal",IF(ISNUMBER(E97),E97,0)+O97,O97)*(1+P97/30),IF(C97="peso_corporal",IF(ISNUMBER(E97),E97,0)+R97,R97)*(1+S97/30)),1)),"--")</f>
        <v>--</v>
      </c>
      <c r="V97" s="23" t="str">
        <f>IF(SUGERENCIAS!N236="SIN","Sin datos anteriores",IF(SUGERENCIAS!N236="SUBIR_F","^ SUBIR FUERTE | Kg:"&amp;ROUND(SUGERENCIAS!K236,1)&amp;" R:"&amp;ROUND(SUGERENCIAS!L236,0)&amp;" RIR:"&amp;ROUND(SUGERENCIAS!M236,0),IF(SUGERENCIAS!N236="SUBIR_E","^ SUBIR (Est.) | Kg:"&amp;ROUND(SUGERENCIAS!K236,1)&amp;" R:"&amp;ROUND(SUGERENCIAS!L236,0)&amp;" RIR:"&amp;ROUND(SUGERENCIAS!M236,0),IF(SUGERENCIAS!N236="SUBIR","^ SUBIR | Kg:"&amp;ROUND(SUGERENCIAS!K236,1)&amp;" R:"&amp;ROUND(SUGERENCIAS!L236,0)&amp;" RIR:"&amp;ROUND(SUGERENCIAS!M236,0),IF(SUGERENCIAS!N236="BAJAR","v BAJAR | Kg:"&amp;ROUND(SUGERENCIAS!K236,1)&amp;" R:"&amp;ROUND(SUGERENCIAS!L236,0)&amp;" RIR:"&amp;ROUND(SUGERENCIAS!M236,0),"= MANT | Kg:"&amp;ROUND(SUGERENCIAS!K236,1)&amp;" R:"&amp;ROUND(SUGERENCIAS!L236,0)&amp;" RIR:"&amp;ROUND(SUGERENCIAS!M236,0))))))</f>
        <v>Sin datos anteriores</v>
      </c>
      <c r="W97" s="69">
        <f>MAX(IF((G97&gt;0)*(IF(H97="",-1,H97)&gt;=1)*(IF(H97="",-1,H97)&lt;=3),IF(C97="peso_corporal",IF(ISNUMBER(E97),E97,0)+F97,F97)*G97*1000+F97,0),IF((J97&gt;0)*(IF(K97="",-1,K97)&gt;=1)*(IF(K97="",-1,K97)&lt;=3),IF(C97="peso_corporal",IF(ISNUMBER(E97),E97,0)+I97,I97)*J97*1000+I97,0),IF((M97&gt;0)*(IF(N97="",-1,N97)&gt;=1)*(IF(N97="",-1,N97)&lt;=3),IF(C97="peso_corporal",IF(ISNUMBER(E97),E97,0)+L97,L97)*M97*1000+L97,0),IF((P97&gt;0)*(IF(Q97="",-1,Q97)&gt;=1)*(IF(Q97="",-1,Q97)&lt;=3),IF(C97="peso_corporal",IF(ISNUMBER(E97),E97,0)+O97,O97)*P97*1000+O97,0),IF((S97&gt;0)*(IF(T97="",-1,T97)&gt;=1)*(IF(T97="",-1,T97)&lt;=3),IF(C97="peso_corporal",IF(ISNUMBER(E97),E97,0)+R97,R97)*S97*1000+R97,0))</f>
        <v>0</v>
      </c>
      <c r="X97" s="69">
        <f>IF(W97=0,0,IF(IF((S97&gt;0)*(IF(T97="",-1,T97)&gt;=1)*(IF(T97="",-1,T97)&lt;=3),IF(C97="peso_corporal",IF(ISNUMBER(E97),E97,0)+R97,R97)*S97*1000+R97,0)=W97,5,IF(IF((P97&gt;0)*(IF(Q97="",-1,Q97)&gt;=1)*(IF(Q97="",-1,Q97)&lt;=3),IF(C97="peso_corporal",IF(ISNUMBER(E97),E97,0)+O97,O97)*P97*1000+O97,0)=W97,4,IF(IF((M97&gt;0)*(IF(N97="",-1,N97)&gt;=1)*(IF(N97="",-1,N97)&lt;=3),IF(C97="peso_corporal",IF(ISNUMBER(E97),E97,0)+L97,L97)*M97*1000+L97,0)=W97,3,IF(IF((J97&gt;0)*(IF(K97="",-1,K97)&gt;=1)*(IF(K97="",-1,K97)&lt;=3),IF(C97="peso_corporal",IF(ISNUMBER(E97),E97,0)+I97,I97)*J97*1000+I97,0)=W97,2,IF(IF((G97&gt;0)*(IF(H97="",-1,H97)&gt;=1)*(IF(H97="",-1,H97)&lt;=3),IF(C97="peso_corporal",IF(ISNUMBER(E97),E97,0)+F97,F97)*G97*1000+F97,0)=W97,1,0))))))</f>
        <v>0</v>
      </c>
      <c r="Y97" s="69">
        <f>MAX(IF((G97&gt;0)*(IF(H97="",-1,H97)=0)*(1-(IF(H97="",-1,H97)&gt;=1)*(IF(H97="",-1,H97)&lt;=3)),IF(C97="peso_corporal",IF(ISNUMBER(E97),E97,0)+F97,F97)*G97*1000+F97,0),IF((J97&gt;0)*(IF(K97="",-1,K97)=0)*(1-(IF(K97="",-1,K97)&gt;=1)*(IF(K97="",-1,K97)&lt;=3)),IF(C97="peso_corporal",IF(ISNUMBER(E97),E97,0)+I97,I97)*J97*1000+I97,0),IF((M97&gt;0)*(IF(N97="",-1,N97)=0)*(1-(IF(N97="",-1,N97)&gt;=1)*(IF(N97="",-1,N97)&lt;=3)),IF(C97="peso_corporal",IF(ISNUMBER(E97),E97,0)+L97,L97)*M97*1000+L97,0),IF((P97&gt;0)*(IF(Q97="",-1,Q97)=0)*(1-(IF(Q97="",-1,Q97)&gt;=1)*(IF(Q97="",-1,Q97)&lt;=3)),IF(C97="peso_corporal",IF(ISNUMBER(E97),E97,0)+O97,O97)*P97*1000+O97,0),IF((S97&gt;0)*(IF(T97="",-1,T97)=0)*(1-(IF(T97="",-1,T97)&gt;=1)*(IF(T97="",-1,T97)&lt;=3)),IF(C97="peso_corporal",IF(ISNUMBER(E97),E97,0)+R97,R97)*S97*1000+R97,0))</f>
        <v>0</v>
      </c>
      <c r="Z97" s="69">
        <f>IF(Y97=0,0,IF(IF((S97&gt;0)*(IF(T97="",-1,T97)=0)*(1-(IF(T97="",-1,T97)&gt;=1)*(IF(T97="",-1,T97)&lt;=3)),IF(C97="peso_corporal",IF(ISNUMBER(E97),E97,0)+R97,R97)*S97*1000+R97,0)=Y97,5,IF(IF((P97&gt;0)*(IF(Q97="",-1,Q97)=0)*(1-(IF(Q97="",-1,Q97)&gt;=1)*(IF(Q97="",-1,Q97)&lt;=3)),IF(C97="peso_corporal",IF(ISNUMBER(E97),E97,0)+O97,O97)*P97*1000+O97,0)=Y97,4,IF(IF((M97&gt;0)*(IF(N97="",-1,N97)=0)*(1-(IF(N97="",-1,N97)&gt;=1)*(IF(N97="",-1,N97)&lt;=3)),IF(C97="peso_corporal",IF(ISNUMBER(E97),E97,0)+L97,L97)*M97*1000+L97,0)=Y97,3,IF(IF((J97&gt;0)*(IF(K97="",-1,K97)=0)*(1-(IF(K97="",-1,K97)&gt;=1)*(IF(K97="",-1,K97)&lt;=3)),IF(C97="peso_corporal",IF(ISNUMBER(E97),E97,0)+I97,I97)*J97*1000+I97,0)=Y97,2,IF(IF((G97&gt;0)*(IF(H97="",-1,H97)=0)*(1-(IF(H97="",-1,H97)&gt;=1)*(IF(H97="",-1,H97)&lt;=3)),IF(C97="peso_corporal",IF(ISNUMBER(E97),E97,0)+F97,F97)*G97*1000+F97,0)=Y97,1,0))))))</f>
        <v>0</v>
      </c>
      <c r="AA97" s="69">
        <f>MAX(IF((G97&gt;=6)*(1-(IF(H97="",-1,H97)&gt;=1)*(IF(H97="",-1,H97)&lt;=3))*(1-(IF(H97="",-1,H97)=0)),IF(C97="peso_corporal",IF(ISNUMBER(E97),E97,0)+F97,F97)*(30+G97)*100+F97,0),IF((J97&gt;=6)*(1-(IF(K97="",-1,K97)&gt;=1)*(IF(K97="",-1,K97)&lt;=3))*(1-(IF(K97="",-1,K97)=0)),IF(C97="peso_corporal",IF(ISNUMBER(E97),E97,0)+I97,I97)*(30+J97)*100+I97,0),IF((M97&gt;=6)*(1-(IF(N97="",-1,N97)&gt;=1)*(IF(N97="",-1,N97)&lt;=3))*(1-(IF(N97="",-1,N97)=0)),IF(C97="peso_corporal",IF(ISNUMBER(E97),E97,0)+L97,L97)*(30+M97)*100+L97,0),IF((P97&gt;=6)*(1-(IF(Q97="",-1,Q97)&gt;=1)*(IF(Q97="",-1,Q97)&lt;=3))*(1-(IF(Q97="",-1,Q97)=0)),IF(C97="peso_corporal",IF(ISNUMBER(E97),E97,0)+O97,O97)*(30+P97)*100+O97,0),IF((S97&gt;=6)*(1-(IF(T97="",-1,T97)&gt;=1)*(IF(T97="",-1,T97)&lt;=3))*(1-(IF(T97="",-1,T97)=0)),IF(C97="peso_corporal",IF(ISNUMBER(E97),E97,0)+R97,R97)*(30+S97)*100+R97,0))</f>
        <v>0</v>
      </c>
      <c r="AB97" s="69">
        <f>IF(AA97=0,0,IF(IF((S97&gt;=6)*(1-(IF(T97="",-1,T97)&gt;=1)*(IF(T97="",-1,T97)&lt;=3))*(1-(IF(T97="",-1,T97)=0)),IF(C97="peso_corporal",IF(ISNUMBER(E97),E97,0)+R97,R97)*(30+S97)*100+R97,0)=AA97,5,IF(IF((P97&gt;=6)*(1-(IF(Q97="",-1,Q97)&gt;=1)*(IF(Q97="",-1,Q97)&lt;=3))*(1-(IF(Q97="",-1,Q97)=0)),IF(C97="peso_corporal",IF(ISNUMBER(E97),E97,0)+O97,O97)*(30+P97)*100+O97,0)=AA97,4,IF(IF((M97&gt;=6)*(1-(IF(N97="",-1,N97)&gt;=1)*(IF(N97="",-1,N97)&lt;=3))*(1-(IF(N97="",-1,N97)=0)),IF(C97="peso_corporal",IF(ISNUMBER(E97),E97,0)+L97,L97)*(30+M97)*100+L97,0)=AA97,3,IF(IF((J97&gt;=6)*(1-(IF(K97="",-1,K97)&gt;=1)*(IF(K97="",-1,K97)&lt;=3))*(1-(IF(K97="",-1,K97)=0)),IF(C97="peso_corporal",IF(ISNUMBER(E97),E97,0)+I97,I97)*(30+J97)*100+I97,0)=AA97,2,IF(IF((G97&gt;=6)*(1-(IF(H97="",-1,H97)&gt;=1)*(IF(H97="",-1,H97)&lt;=3))*(1-(IF(H97="",-1,H97)=0)),IF(C97="peso_corporal",IF(ISNUMBER(E97),E97,0)+F97,F97)*(30+G97)*100+F97,0)=AA97,1,0))))))</f>
        <v>0</v>
      </c>
      <c r="AC97" s="69" t="str">
        <f>IF(X97&gt;0,"A"&amp;X97,IF(Z97&gt;0,"B"&amp;Z97,IF(AB97&gt;0,"C"&amp;AB97,"")))</f>
        <v/>
      </c>
    </row>
    <row r="98" spans="1:29" ht="11.1" customHeight="1">
      <c r="A98" s="87" t="s">
        <v>165</v>
      </c>
      <c r="B98" s="73"/>
      <c r="C98" s="73"/>
      <c r="D98" s="73"/>
      <c r="E98" s="73"/>
      <c r="F98" s="73"/>
      <c r="G98" s="73"/>
      <c r="H98" s="73"/>
      <c r="I98" s="73"/>
      <c r="J98" s="73"/>
      <c r="K98" s="73"/>
      <c r="L98" s="73"/>
      <c r="M98" s="73"/>
      <c r="N98" s="73"/>
      <c r="O98" s="73"/>
      <c r="P98" s="73"/>
      <c r="Q98" s="73"/>
      <c r="R98" s="73"/>
      <c r="S98" s="73"/>
      <c r="T98" s="73"/>
      <c r="U98" s="73"/>
      <c r="V98" s="73"/>
      <c r="W98" s="69"/>
      <c r="X98" s="69"/>
      <c r="Y98" s="69"/>
      <c r="Z98" s="69"/>
      <c r="AA98" s="69"/>
      <c r="AB98" s="69"/>
      <c r="AC98" s="69"/>
    </row>
    <row r="99" spans="1:29" ht="20.100000000000001" customHeight="1">
      <c r="A99" s="14" t="s">
        <v>62</v>
      </c>
      <c r="B99" s="15" t="s">
        <v>63</v>
      </c>
      <c r="C99" s="16" t="str">
        <f>IFERROR(INDEX(EJERCICIOS!$D$3:$D$75,MATCH(A99&amp;"|"&amp;B99,EJERCICIOS!$G$3:$G$75,0)),"--")</f>
        <v>--</v>
      </c>
      <c r="D99" s="17">
        <v>3</v>
      </c>
      <c r="E99" s="18">
        <f>IFERROR(LOOKUP(2,1/(MEDIDAS_Y_PESO!$B$3:$B$6&lt;&gt;""),MEDIDAS_Y_PESO!$B$3:$B$6),"--")</f>
        <v>80</v>
      </c>
      <c r="F99" s="19"/>
      <c r="G99" s="20"/>
      <c r="H99" s="21"/>
      <c r="I99" s="19"/>
      <c r="J99" s="20"/>
      <c r="K99" s="21"/>
      <c r="L99" s="19"/>
      <c r="M99" s="20"/>
      <c r="N99" s="21"/>
      <c r="O99" s="19"/>
      <c r="P99" s="20"/>
      <c r="Q99" s="21"/>
      <c r="R99" s="19"/>
      <c r="S99" s="20"/>
      <c r="T99" s="21"/>
      <c r="U99" s="22" t="str">
        <f>IFERROR(IF(IF(X99&gt;0,X99,IF(Z99&gt;0,Z99,IF(AB99&gt;0,AB99,0)))=0,"--",ROUND(CHOOSE(IF(X99&gt;0,X99,IF(Z99&gt;0,Z99,IF(AB99&gt;0,AB99,0))),IF(C99="peso_corporal",IF(ISNUMBER(E99),E99,0)+F99,F99)*(1+G99/30),IF(C99="peso_corporal",IF(ISNUMBER(E99),E99,0)+I99,I99)*(1+J99/30),IF(C99="peso_corporal",IF(ISNUMBER(E99),E99,0)+L99,L99)*(1+M99/30),IF(C99="peso_corporal",IF(ISNUMBER(E99),E99,0)+O99,O99)*(1+P99/30),IF(C99="peso_corporal",IF(ISNUMBER(E99),E99,0)+R99,R99)*(1+S99/30)),1)),"--")</f>
        <v>--</v>
      </c>
      <c r="V99" s="23" t="str">
        <f>IF(SUGERENCIAS!N237="SIN","Sin datos anteriores",IF(SUGERENCIAS!N237="SUBIR_F","^ SUBIR FUERTE | Kg:"&amp;ROUND(SUGERENCIAS!K237,1)&amp;" R:"&amp;ROUND(SUGERENCIAS!L237,0)&amp;" RIR:"&amp;ROUND(SUGERENCIAS!M237,0),IF(SUGERENCIAS!N237="SUBIR_E","^ SUBIR (Est.) | Kg:"&amp;ROUND(SUGERENCIAS!K237,1)&amp;" R:"&amp;ROUND(SUGERENCIAS!L237,0)&amp;" RIR:"&amp;ROUND(SUGERENCIAS!M237,0),IF(SUGERENCIAS!N237="SUBIR","^ SUBIR | Kg:"&amp;ROUND(SUGERENCIAS!K237,1)&amp;" R:"&amp;ROUND(SUGERENCIAS!L237,0)&amp;" RIR:"&amp;ROUND(SUGERENCIAS!M237,0),IF(SUGERENCIAS!N237="BAJAR","v BAJAR | Kg:"&amp;ROUND(SUGERENCIAS!K237,1)&amp;" R:"&amp;ROUND(SUGERENCIAS!L237,0)&amp;" RIR:"&amp;ROUND(SUGERENCIAS!M237,0),"= MANT | Kg:"&amp;ROUND(SUGERENCIAS!K237,1)&amp;" R:"&amp;ROUND(SUGERENCIAS!L237,0)&amp;" RIR:"&amp;ROUND(SUGERENCIAS!M237,0))))))</f>
        <v>Sin datos anteriores</v>
      </c>
      <c r="W99" s="69">
        <f>MAX(IF((G99&gt;0)*(IF(H99="",-1,H99)&gt;=1)*(IF(H99="",-1,H99)&lt;=3),IF(C99="peso_corporal",IF(ISNUMBER(E99),E99,0)+F99,F99)*G99*1000+F99,0),IF((J99&gt;0)*(IF(K99="",-1,K99)&gt;=1)*(IF(K99="",-1,K99)&lt;=3),IF(C99="peso_corporal",IF(ISNUMBER(E99),E99,0)+I99,I99)*J99*1000+I99,0),IF((M99&gt;0)*(IF(N99="",-1,N99)&gt;=1)*(IF(N99="",-1,N99)&lt;=3),IF(C99="peso_corporal",IF(ISNUMBER(E99),E99,0)+L99,L99)*M99*1000+L99,0),IF((P99&gt;0)*(IF(Q99="",-1,Q99)&gt;=1)*(IF(Q99="",-1,Q99)&lt;=3),IF(C99="peso_corporal",IF(ISNUMBER(E99),E99,0)+O99,O99)*P99*1000+O99,0),IF((S99&gt;0)*(IF(T99="",-1,T99)&gt;=1)*(IF(T99="",-1,T99)&lt;=3),IF(C99="peso_corporal",IF(ISNUMBER(E99),E99,0)+R99,R99)*S99*1000+R99,0))</f>
        <v>0</v>
      </c>
      <c r="X99" s="69">
        <f>IF(W99=0,0,IF(IF((S99&gt;0)*(IF(T99="",-1,T99)&gt;=1)*(IF(T99="",-1,T99)&lt;=3),IF(C99="peso_corporal",IF(ISNUMBER(E99),E99,0)+R99,R99)*S99*1000+R99,0)=W99,5,IF(IF((P99&gt;0)*(IF(Q99="",-1,Q99)&gt;=1)*(IF(Q99="",-1,Q99)&lt;=3),IF(C99="peso_corporal",IF(ISNUMBER(E99),E99,0)+O99,O99)*P99*1000+O99,0)=W99,4,IF(IF((M99&gt;0)*(IF(N99="",-1,N99)&gt;=1)*(IF(N99="",-1,N99)&lt;=3),IF(C99="peso_corporal",IF(ISNUMBER(E99),E99,0)+L99,L99)*M99*1000+L99,0)=W99,3,IF(IF((J99&gt;0)*(IF(K99="",-1,K99)&gt;=1)*(IF(K99="",-1,K99)&lt;=3),IF(C99="peso_corporal",IF(ISNUMBER(E99),E99,0)+I99,I99)*J99*1000+I99,0)=W99,2,IF(IF((G99&gt;0)*(IF(H99="",-1,H99)&gt;=1)*(IF(H99="",-1,H99)&lt;=3),IF(C99="peso_corporal",IF(ISNUMBER(E99),E99,0)+F99,F99)*G99*1000+F99,0)=W99,1,0))))))</f>
        <v>0</v>
      </c>
      <c r="Y99" s="69">
        <f>MAX(IF((G99&gt;0)*(IF(H99="",-1,H99)=0)*(1-(IF(H99="",-1,H99)&gt;=1)*(IF(H99="",-1,H99)&lt;=3)),IF(C99="peso_corporal",IF(ISNUMBER(E99),E99,0)+F99,F99)*G99*1000+F99,0),IF((J99&gt;0)*(IF(K99="",-1,K99)=0)*(1-(IF(K99="",-1,K99)&gt;=1)*(IF(K99="",-1,K99)&lt;=3)),IF(C99="peso_corporal",IF(ISNUMBER(E99),E99,0)+I99,I99)*J99*1000+I99,0),IF((M99&gt;0)*(IF(N99="",-1,N99)=0)*(1-(IF(N99="",-1,N99)&gt;=1)*(IF(N99="",-1,N99)&lt;=3)),IF(C99="peso_corporal",IF(ISNUMBER(E99),E99,0)+L99,L99)*M99*1000+L99,0),IF((P99&gt;0)*(IF(Q99="",-1,Q99)=0)*(1-(IF(Q99="",-1,Q99)&gt;=1)*(IF(Q99="",-1,Q99)&lt;=3)),IF(C99="peso_corporal",IF(ISNUMBER(E99),E99,0)+O99,O99)*P99*1000+O99,0),IF((S99&gt;0)*(IF(T99="",-1,T99)=0)*(1-(IF(T99="",-1,T99)&gt;=1)*(IF(T99="",-1,T99)&lt;=3)),IF(C99="peso_corporal",IF(ISNUMBER(E99),E99,0)+R99,R99)*S99*1000+R99,0))</f>
        <v>0</v>
      </c>
      <c r="Z99" s="69">
        <f>IF(Y99=0,0,IF(IF((S99&gt;0)*(IF(T99="",-1,T99)=0)*(1-(IF(T99="",-1,T99)&gt;=1)*(IF(T99="",-1,T99)&lt;=3)),IF(C99="peso_corporal",IF(ISNUMBER(E99),E99,0)+R99,R99)*S99*1000+R99,0)=Y99,5,IF(IF((P99&gt;0)*(IF(Q99="",-1,Q99)=0)*(1-(IF(Q99="",-1,Q99)&gt;=1)*(IF(Q99="",-1,Q99)&lt;=3)),IF(C99="peso_corporal",IF(ISNUMBER(E99),E99,0)+O99,O99)*P99*1000+O99,0)=Y99,4,IF(IF((M99&gt;0)*(IF(N99="",-1,N99)=0)*(1-(IF(N99="",-1,N99)&gt;=1)*(IF(N99="",-1,N99)&lt;=3)),IF(C99="peso_corporal",IF(ISNUMBER(E99),E99,0)+L99,L99)*M99*1000+L99,0)=Y99,3,IF(IF((J99&gt;0)*(IF(K99="",-1,K99)=0)*(1-(IF(K99="",-1,K99)&gt;=1)*(IF(K99="",-1,K99)&lt;=3)),IF(C99="peso_corporal",IF(ISNUMBER(E99),E99,0)+I99,I99)*J99*1000+I99,0)=Y99,2,IF(IF((G99&gt;0)*(IF(H99="",-1,H99)=0)*(1-(IF(H99="",-1,H99)&gt;=1)*(IF(H99="",-1,H99)&lt;=3)),IF(C99="peso_corporal",IF(ISNUMBER(E99),E99,0)+F99,F99)*G99*1000+F99,0)=Y99,1,0))))))</f>
        <v>0</v>
      </c>
      <c r="AA99" s="69">
        <f>MAX(IF((G99&gt;=6)*(1-(IF(H99="",-1,H99)&gt;=1)*(IF(H99="",-1,H99)&lt;=3))*(1-(IF(H99="",-1,H99)=0)),IF(C99="peso_corporal",IF(ISNUMBER(E99),E99,0)+F99,F99)*(30+G99)*100+F99,0),IF((J99&gt;=6)*(1-(IF(K99="",-1,K99)&gt;=1)*(IF(K99="",-1,K99)&lt;=3))*(1-(IF(K99="",-1,K99)=0)),IF(C99="peso_corporal",IF(ISNUMBER(E99),E99,0)+I99,I99)*(30+J99)*100+I99,0),IF((M99&gt;=6)*(1-(IF(N99="",-1,N99)&gt;=1)*(IF(N99="",-1,N99)&lt;=3))*(1-(IF(N99="",-1,N99)=0)),IF(C99="peso_corporal",IF(ISNUMBER(E99),E99,0)+L99,L99)*(30+M99)*100+L99,0),IF((P99&gt;=6)*(1-(IF(Q99="",-1,Q99)&gt;=1)*(IF(Q99="",-1,Q99)&lt;=3))*(1-(IF(Q99="",-1,Q99)=0)),IF(C99="peso_corporal",IF(ISNUMBER(E99),E99,0)+O99,O99)*(30+P99)*100+O99,0),IF((S99&gt;=6)*(1-(IF(T99="",-1,T99)&gt;=1)*(IF(T99="",-1,T99)&lt;=3))*(1-(IF(T99="",-1,T99)=0)),IF(C99="peso_corporal",IF(ISNUMBER(E99),E99,0)+R99,R99)*(30+S99)*100+R99,0))</f>
        <v>0</v>
      </c>
      <c r="AB99" s="69">
        <f>IF(AA99=0,0,IF(IF((S99&gt;=6)*(1-(IF(T99="",-1,T99)&gt;=1)*(IF(T99="",-1,T99)&lt;=3))*(1-(IF(T99="",-1,T99)=0)),IF(C99="peso_corporal",IF(ISNUMBER(E99),E99,0)+R99,R99)*(30+S99)*100+R99,0)=AA99,5,IF(IF((P99&gt;=6)*(1-(IF(Q99="",-1,Q99)&gt;=1)*(IF(Q99="",-1,Q99)&lt;=3))*(1-(IF(Q99="",-1,Q99)=0)),IF(C99="peso_corporal",IF(ISNUMBER(E99),E99,0)+O99,O99)*(30+P99)*100+O99,0)=AA99,4,IF(IF((M99&gt;=6)*(1-(IF(N99="",-1,N99)&gt;=1)*(IF(N99="",-1,N99)&lt;=3))*(1-(IF(N99="",-1,N99)=0)),IF(C99="peso_corporal",IF(ISNUMBER(E99),E99,0)+L99,L99)*(30+M99)*100+L99,0)=AA99,3,IF(IF((J99&gt;=6)*(1-(IF(K99="",-1,K99)&gt;=1)*(IF(K99="",-1,K99)&lt;=3))*(1-(IF(K99="",-1,K99)=0)),IF(C99="peso_corporal",IF(ISNUMBER(E99),E99,0)+I99,I99)*(30+J99)*100+I99,0)=AA99,2,IF(IF((G99&gt;=6)*(1-(IF(H99="",-1,H99)&gt;=1)*(IF(H99="",-1,H99)&lt;=3))*(1-(IF(H99="",-1,H99)=0)),IF(C99="peso_corporal",IF(ISNUMBER(E99),E99,0)+F99,F99)*(30+G99)*100+F99,0)=AA99,1,0))))))</f>
        <v>0</v>
      </c>
      <c r="AC99" s="69" t="str">
        <f>IF(X99&gt;0,"A"&amp;X99,IF(Z99&gt;0,"B"&amp;Z99,IF(AB99&gt;0,"C"&amp;AB99,"")))</f>
        <v/>
      </c>
    </row>
    <row r="100" spans="1:29" ht="15" customHeight="1">
      <c r="A100" s="82" t="s">
        <v>47</v>
      </c>
      <c r="B100" s="73"/>
      <c r="C100" s="73"/>
      <c r="D100" s="73"/>
      <c r="E100" s="73"/>
      <c r="F100" s="73"/>
      <c r="G100" s="73"/>
      <c r="H100" s="73"/>
      <c r="I100" s="73"/>
      <c r="J100" s="73"/>
      <c r="K100" s="73"/>
      <c r="L100" s="73"/>
      <c r="M100" s="73"/>
      <c r="N100" s="73"/>
      <c r="O100" s="73"/>
      <c r="P100" s="73"/>
      <c r="Q100" s="73"/>
      <c r="R100" s="73"/>
      <c r="S100" s="73"/>
      <c r="T100" s="73"/>
      <c r="U100" s="73"/>
      <c r="V100" s="73"/>
      <c r="W100" s="69"/>
      <c r="X100" s="69"/>
      <c r="Y100" s="69"/>
      <c r="Z100" s="69"/>
      <c r="AA100" s="69"/>
      <c r="AB100" s="69"/>
      <c r="AC100" s="69"/>
    </row>
    <row r="101" spans="1:29" ht="20.100000000000001" customHeight="1">
      <c r="A101" s="14" t="s">
        <v>40</v>
      </c>
      <c r="B101" s="15" t="s">
        <v>41</v>
      </c>
      <c r="C101" s="16" t="str">
        <f>IFERROR(INDEX(EJERCICIOS!$D$3:$D$75,MATCH(A101&amp;"|"&amp;B101,EJERCICIOS!$G$3:$G$75,0)),"--")</f>
        <v>polea</v>
      </c>
      <c r="D101" s="17">
        <v>3</v>
      </c>
      <c r="E101" s="18">
        <f>IFERROR(LOOKUP(2,1/(MEDIDAS_Y_PESO!$B$3:$B$6&lt;&gt;""),MEDIDAS_Y_PESO!$B$3:$B$6),"--")</f>
        <v>80</v>
      </c>
      <c r="F101" s="19"/>
      <c r="G101" s="20"/>
      <c r="H101" s="21"/>
      <c r="I101" s="19"/>
      <c r="J101" s="20"/>
      <c r="K101" s="21"/>
      <c r="L101" s="19"/>
      <c r="M101" s="20"/>
      <c r="N101" s="21"/>
      <c r="O101" s="19"/>
      <c r="P101" s="20"/>
      <c r="Q101" s="21"/>
      <c r="R101" s="19"/>
      <c r="S101" s="20"/>
      <c r="T101" s="21"/>
      <c r="U101" s="22" t="str">
        <f>IFERROR(IF(IF(X101&gt;0,X101,IF(Z101&gt;0,Z101,IF(AB101&gt;0,AB101,0)))=0,"--",ROUND(CHOOSE(IF(X101&gt;0,X101,IF(Z101&gt;0,Z101,IF(AB101&gt;0,AB101,0))),IF(C101="peso_corporal",IF(ISNUMBER(E101),E101,0)+F101,F101)*(1+G101/30),IF(C101="peso_corporal",IF(ISNUMBER(E101),E101,0)+I101,I101)*(1+J101/30),IF(C101="peso_corporal",IF(ISNUMBER(E101),E101,0)+L101,L101)*(1+M101/30),IF(C101="peso_corporal",IF(ISNUMBER(E101),E101,0)+O101,O101)*(1+P101/30),IF(C101="peso_corporal",IF(ISNUMBER(E101),E101,0)+R101,R101)*(1+S101/30)),1)),"--")</f>
        <v>--</v>
      </c>
      <c r="V101" s="23" t="str">
        <f>IF(SUGERENCIAS!N238="SIN","Sin datos anteriores",IF(SUGERENCIAS!N238="SUBIR_F","^ SUBIR FUERTE | Kg:"&amp;ROUND(SUGERENCIAS!K238,1)&amp;" R:"&amp;ROUND(SUGERENCIAS!L238,0)&amp;" RIR:"&amp;ROUND(SUGERENCIAS!M238,0),IF(SUGERENCIAS!N238="SUBIR_E","^ SUBIR (Est.) | Kg:"&amp;ROUND(SUGERENCIAS!K238,1)&amp;" R:"&amp;ROUND(SUGERENCIAS!L238,0)&amp;" RIR:"&amp;ROUND(SUGERENCIAS!M238,0),IF(SUGERENCIAS!N238="SUBIR","^ SUBIR | Kg:"&amp;ROUND(SUGERENCIAS!K238,1)&amp;" R:"&amp;ROUND(SUGERENCIAS!L238,0)&amp;" RIR:"&amp;ROUND(SUGERENCIAS!M238,0),IF(SUGERENCIAS!N238="BAJAR","v BAJAR | Kg:"&amp;ROUND(SUGERENCIAS!K238,1)&amp;" R:"&amp;ROUND(SUGERENCIAS!L238,0)&amp;" RIR:"&amp;ROUND(SUGERENCIAS!M238,0),"= MANT | Kg:"&amp;ROUND(SUGERENCIAS!K238,1)&amp;" R:"&amp;ROUND(SUGERENCIAS!L238,0)&amp;" RIR:"&amp;ROUND(SUGERENCIAS!M238,0))))))</f>
        <v>Sin datos anteriores</v>
      </c>
      <c r="W101" s="69">
        <f>MAX(IF((G101&gt;0)*(IF(H101="",-1,H101)&gt;=1)*(IF(H101="",-1,H101)&lt;=3),IF(C101="peso_corporal",IF(ISNUMBER(E101),E101,0)+F101,F101)*G101*1000+F101,0),IF((J101&gt;0)*(IF(K101="",-1,K101)&gt;=1)*(IF(K101="",-1,K101)&lt;=3),IF(C101="peso_corporal",IF(ISNUMBER(E101),E101,0)+I101,I101)*J101*1000+I101,0),IF((M101&gt;0)*(IF(N101="",-1,N101)&gt;=1)*(IF(N101="",-1,N101)&lt;=3),IF(C101="peso_corporal",IF(ISNUMBER(E101),E101,0)+L101,L101)*M101*1000+L101,0),IF((P101&gt;0)*(IF(Q101="",-1,Q101)&gt;=1)*(IF(Q101="",-1,Q101)&lt;=3),IF(C101="peso_corporal",IF(ISNUMBER(E101),E101,0)+O101,O101)*P101*1000+O101,0),IF((S101&gt;0)*(IF(T101="",-1,T101)&gt;=1)*(IF(T101="",-1,T101)&lt;=3),IF(C101="peso_corporal",IF(ISNUMBER(E101),E101,0)+R101,R101)*S101*1000+R101,0))</f>
        <v>0</v>
      </c>
      <c r="X101" s="69">
        <f>IF(W101=0,0,IF(IF((S101&gt;0)*(IF(T101="",-1,T101)&gt;=1)*(IF(T101="",-1,T101)&lt;=3),IF(C101="peso_corporal",IF(ISNUMBER(E101),E101,0)+R101,R101)*S101*1000+R101,0)=W101,5,IF(IF((P101&gt;0)*(IF(Q101="",-1,Q101)&gt;=1)*(IF(Q101="",-1,Q101)&lt;=3),IF(C101="peso_corporal",IF(ISNUMBER(E101),E101,0)+O101,O101)*P101*1000+O101,0)=W101,4,IF(IF((M101&gt;0)*(IF(N101="",-1,N101)&gt;=1)*(IF(N101="",-1,N101)&lt;=3),IF(C101="peso_corporal",IF(ISNUMBER(E101),E101,0)+L101,L101)*M101*1000+L101,0)=W101,3,IF(IF((J101&gt;0)*(IF(K101="",-1,K101)&gt;=1)*(IF(K101="",-1,K101)&lt;=3),IF(C101="peso_corporal",IF(ISNUMBER(E101),E101,0)+I101,I101)*J101*1000+I101,0)=W101,2,IF(IF((G101&gt;0)*(IF(H101="",-1,H101)&gt;=1)*(IF(H101="",-1,H101)&lt;=3),IF(C101="peso_corporal",IF(ISNUMBER(E101),E101,0)+F101,F101)*G101*1000+F101,0)=W101,1,0))))))</f>
        <v>0</v>
      </c>
      <c r="Y101" s="69">
        <f>MAX(IF((G101&gt;0)*(IF(H101="",-1,H101)=0)*(1-(IF(H101="",-1,H101)&gt;=1)*(IF(H101="",-1,H101)&lt;=3)),IF(C101="peso_corporal",IF(ISNUMBER(E101),E101,0)+F101,F101)*G101*1000+F101,0),IF((J101&gt;0)*(IF(K101="",-1,K101)=0)*(1-(IF(K101="",-1,K101)&gt;=1)*(IF(K101="",-1,K101)&lt;=3)),IF(C101="peso_corporal",IF(ISNUMBER(E101),E101,0)+I101,I101)*J101*1000+I101,0),IF((M101&gt;0)*(IF(N101="",-1,N101)=0)*(1-(IF(N101="",-1,N101)&gt;=1)*(IF(N101="",-1,N101)&lt;=3)),IF(C101="peso_corporal",IF(ISNUMBER(E101),E101,0)+L101,L101)*M101*1000+L101,0),IF((P101&gt;0)*(IF(Q101="",-1,Q101)=0)*(1-(IF(Q101="",-1,Q101)&gt;=1)*(IF(Q101="",-1,Q101)&lt;=3)),IF(C101="peso_corporal",IF(ISNUMBER(E101),E101,0)+O101,O101)*P101*1000+O101,0),IF((S101&gt;0)*(IF(T101="",-1,T101)=0)*(1-(IF(T101="",-1,T101)&gt;=1)*(IF(T101="",-1,T101)&lt;=3)),IF(C101="peso_corporal",IF(ISNUMBER(E101),E101,0)+R101,R101)*S101*1000+R101,0))</f>
        <v>0</v>
      </c>
      <c r="Z101" s="69">
        <f>IF(Y101=0,0,IF(IF((S101&gt;0)*(IF(T101="",-1,T101)=0)*(1-(IF(T101="",-1,T101)&gt;=1)*(IF(T101="",-1,T101)&lt;=3)),IF(C101="peso_corporal",IF(ISNUMBER(E101),E101,0)+R101,R101)*S101*1000+R101,0)=Y101,5,IF(IF((P101&gt;0)*(IF(Q101="",-1,Q101)=0)*(1-(IF(Q101="",-1,Q101)&gt;=1)*(IF(Q101="",-1,Q101)&lt;=3)),IF(C101="peso_corporal",IF(ISNUMBER(E101),E101,0)+O101,O101)*P101*1000+O101,0)=Y101,4,IF(IF((M101&gt;0)*(IF(N101="",-1,N101)=0)*(1-(IF(N101="",-1,N101)&gt;=1)*(IF(N101="",-1,N101)&lt;=3)),IF(C101="peso_corporal",IF(ISNUMBER(E101),E101,0)+L101,L101)*M101*1000+L101,0)=Y101,3,IF(IF((J101&gt;0)*(IF(K101="",-1,K101)=0)*(1-(IF(K101="",-1,K101)&gt;=1)*(IF(K101="",-1,K101)&lt;=3)),IF(C101="peso_corporal",IF(ISNUMBER(E101),E101,0)+I101,I101)*J101*1000+I101,0)=Y101,2,IF(IF((G101&gt;0)*(IF(H101="",-1,H101)=0)*(1-(IF(H101="",-1,H101)&gt;=1)*(IF(H101="",-1,H101)&lt;=3)),IF(C101="peso_corporal",IF(ISNUMBER(E101),E101,0)+F101,F101)*G101*1000+F101,0)=Y101,1,0))))))</f>
        <v>0</v>
      </c>
      <c r="AA101" s="69">
        <f>MAX(IF((G101&gt;=6)*(1-(IF(H101="",-1,H101)&gt;=1)*(IF(H101="",-1,H101)&lt;=3))*(1-(IF(H101="",-1,H101)=0)),IF(C101="peso_corporal",IF(ISNUMBER(E101),E101,0)+F101,F101)*(30+G101)*100+F101,0),IF((J101&gt;=6)*(1-(IF(K101="",-1,K101)&gt;=1)*(IF(K101="",-1,K101)&lt;=3))*(1-(IF(K101="",-1,K101)=0)),IF(C101="peso_corporal",IF(ISNUMBER(E101),E101,0)+I101,I101)*(30+J101)*100+I101,0),IF((M101&gt;=6)*(1-(IF(N101="",-1,N101)&gt;=1)*(IF(N101="",-1,N101)&lt;=3))*(1-(IF(N101="",-1,N101)=0)),IF(C101="peso_corporal",IF(ISNUMBER(E101),E101,0)+L101,L101)*(30+M101)*100+L101,0),IF((P101&gt;=6)*(1-(IF(Q101="",-1,Q101)&gt;=1)*(IF(Q101="",-1,Q101)&lt;=3))*(1-(IF(Q101="",-1,Q101)=0)),IF(C101="peso_corporal",IF(ISNUMBER(E101),E101,0)+O101,O101)*(30+P101)*100+O101,0),IF((S101&gt;=6)*(1-(IF(T101="",-1,T101)&gt;=1)*(IF(T101="",-1,T101)&lt;=3))*(1-(IF(T101="",-1,T101)=0)),IF(C101="peso_corporal",IF(ISNUMBER(E101),E101,0)+R101,R101)*(30+S101)*100+R101,0))</f>
        <v>0</v>
      </c>
      <c r="AB101" s="69">
        <f>IF(AA101=0,0,IF(IF((S101&gt;=6)*(1-(IF(T101="",-1,T101)&gt;=1)*(IF(T101="",-1,T101)&lt;=3))*(1-(IF(T101="",-1,T101)=0)),IF(C101="peso_corporal",IF(ISNUMBER(E101),E101,0)+R101,R101)*(30+S101)*100+R101,0)=AA101,5,IF(IF((P101&gt;=6)*(1-(IF(Q101="",-1,Q101)&gt;=1)*(IF(Q101="",-1,Q101)&lt;=3))*(1-(IF(Q101="",-1,Q101)=0)),IF(C101="peso_corporal",IF(ISNUMBER(E101),E101,0)+O101,O101)*(30+P101)*100+O101,0)=AA101,4,IF(IF((M101&gt;=6)*(1-(IF(N101="",-1,N101)&gt;=1)*(IF(N101="",-1,N101)&lt;=3))*(1-(IF(N101="",-1,N101)=0)),IF(C101="peso_corporal",IF(ISNUMBER(E101),E101,0)+L101,L101)*(30+M101)*100+L101,0)=AA101,3,IF(IF((J101&gt;=6)*(1-(IF(K101="",-1,K101)&gt;=1)*(IF(K101="",-1,K101)&lt;=3))*(1-(IF(K101="",-1,K101)=0)),IF(C101="peso_corporal",IF(ISNUMBER(E101),E101,0)+I101,I101)*(30+J101)*100+I101,0)=AA101,2,IF(IF((G101&gt;=6)*(1-(IF(H101="",-1,H101)&gt;=1)*(IF(H101="",-1,H101)&lt;=3))*(1-(IF(H101="",-1,H101)=0)),IF(C101="peso_corporal",IF(ISNUMBER(E101),E101,0)+F101,F101)*(30+G101)*100+F101,0)=AA101,1,0))))))</f>
        <v>0</v>
      </c>
      <c r="AC101" s="69" t="str">
        <f>IF(X101&gt;0,"A"&amp;X101,IF(Z101&gt;0,"B"&amp;Z101,IF(AB101&gt;0,"C"&amp;AB101,"")))</f>
        <v/>
      </c>
    </row>
    <row r="102" spans="1:29" ht="20.100000000000001" customHeight="1">
      <c r="A102" s="14" t="s">
        <v>48</v>
      </c>
      <c r="B102" s="15" t="s">
        <v>166</v>
      </c>
      <c r="C102" s="16" t="str">
        <f>IFERROR(INDEX(EJERCICIOS!$D$3:$D$75,MATCH(A102&amp;"|"&amp;B102,EJERCICIOS!$G$3:$G$75,0)),"--")</f>
        <v>--</v>
      </c>
      <c r="D102" s="17">
        <v>3</v>
      </c>
      <c r="E102" s="18">
        <f>IFERROR(LOOKUP(2,1/(MEDIDAS_Y_PESO!$B$3:$B$6&lt;&gt;""),MEDIDAS_Y_PESO!$B$3:$B$6),"--")</f>
        <v>80</v>
      </c>
      <c r="F102" s="19"/>
      <c r="G102" s="20"/>
      <c r="H102" s="21"/>
      <c r="I102" s="19"/>
      <c r="J102" s="20"/>
      <c r="K102" s="21"/>
      <c r="L102" s="19"/>
      <c r="M102" s="20"/>
      <c r="N102" s="21"/>
      <c r="O102" s="19"/>
      <c r="P102" s="20"/>
      <c r="Q102" s="21"/>
      <c r="R102" s="19"/>
      <c r="S102" s="20"/>
      <c r="T102" s="21"/>
      <c r="U102" s="22" t="str">
        <f>IFERROR(IF(IF(X102&gt;0,X102,IF(Z102&gt;0,Z102,IF(AB102&gt;0,AB102,0)))=0,"--",ROUND(CHOOSE(IF(X102&gt;0,X102,IF(Z102&gt;0,Z102,IF(AB102&gt;0,AB102,0))),IF(C102="peso_corporal",IF(ISNUMBER(E102),E102,0)+F102,F102)*(1+G102/30),IF(C102="peso_corporal",IF(ISNUMBER(E102),E102,0)+I102,I102)*(1+J102/30),IF(C102="peso_corporal",IF(ISNUMBER(E102),E102,0)+L102,L102)*(1+M102/30),IF(C102="peso_corporal",IF(ISNUMBER(E102),E102,0)+O102,O102)*(1+P102/30),IF(C102="peso_corporal",IF(ISNUMBER(E102),E102,0)+R102,R102)*(1+S102/30)),1)),"--")</f>
        <v>--</v>
      </c>
      <c r="V102" s="23" t="str">
        <f>IF(SUGERENCIAS!N239="SIN","Sin datos anteriores",IF(SUGERENCIAS!N239="SUBIR_F","^ SUBIR FUERTE | Kg:"&amp;ROUND(SUGERENCIAS!K239,1)&amp;" R:"&amp;ROUND(SUGERENCIAS!L239,0)&amp;" RIR:"&amp;ROUND(SUGERENCIAS!M239,0),IF(SUGERENCIAS!N239="SUBIR_E","^ SUBIR (Est.) | Kg:"&amp;ROUND(SUGERENCIAS!K239,1)&amp;" R:"&amp;ROUND(SUGERENCIAS!L239,0)&amp;" RIR:"&amp;ROUND(SUGERENCIAS!M239,0),IF(SUGERENCIAS!N239="SUBIR","^ SUBIR | Kg:"&amp;ROUND(SUGERENCIAS!K239,1)&amp;" R:"&amp;ROUND(SUGERENCIAS!L239,0)&amp;" RIR:"&amp;ROUND(SUGERENCIAS!M239,0),IF(SUGERENCIAS!N239="BAJAR","v BAJAR | Kg:"&amp;ROUND(SUGERENCIAS!K239,1)&amp;" R:"&amp;ROUND(SUGERENCIAS!L239,0)&amp;" RIR:"&amp;ROUND(SUGERENCIAS!M239,0),"= MANT | Kg:"&amp;ROUND(SUGERENCIAS!K239,1)&amp;" R:"&amp;ROUND(SUGERENCIAS!L239,0)&amp;" RIR:"&amp;ROUND(SUGERENCIAS!M239,0))))))</f>
        <v>Sin datos anteriores</v>
      </c>
      <c r="W102" s="69">
        <f>MAX(IF((G102&gt;0)*(IF(H102="",-1,H102)&gt;=1)*(IF(H102="",-1,H102)&lt;=3),IF(C102="peso_corporal",IF(ISNUMBER(E102),E102,0)+F102,F102)*G102*1000+F102,0),IF((J102&gt;0)*(IF(K102="",-1,K102)&gt;=1)*(IF(K102="",-1,K102)&lt;=3),IF(C102="peso_corporal",IF(ISNUMBER(E102),E102,0)+I102,I102)*J102*1000+I102,0),IF((M102&gt;0)*(IF(N102="",-1,N102)&gt;=1)*(IF(N102="",-1,N102)&lt;=3),IF(C102="peso_corporal",IF(ISNUMBER(E102),E102,0)+L102,L102)*M102*1000+L102,0),IF((P102&gt;0)*(IF(Q102="",-1,Q102)&gt;=1)*(IF(Q102="",-1,Q102)&lt;=3),IF(C102="peso_corporal",IF(ISNUMBER(E102),E102,0)+O102,O102)*P102*1000+O102,0),IF((S102&gt;0)*(IF(T102="",-1,T102)&gt;=1)*(IF(T102="",-1,T102)&lt;=3),IF(C102="peso_corporal",IF(ISNUMBER(E102),E102,0)+R102,R102)*S102*1000+R102,0))</f>
        <v>0</v>
      </c>
      <c r="X102" s="69">
        <f>IF(W102=0,0,IF(IF((S102&gt;0)*(IF(T102="",-1,T102)&gt;=1)*(IF(T102="",-1,T102)&lt;=3),IF(C102="peso_corporal",IF(ISNUMBER(E102),E102,0)+R102,R102)*S102*1000+R102,0)=W102,5,IF(IF((P102&gt;0)*(IF(Q102="",-1,Q102)&gt;=1)*(IF(Q102="",-1,Q102)&lt;=3),IF(C102="peso_corporal",IF(ISNUMBER(E102),E102,0)+O102,O102)*P102*1000+O102,0)=W102,4,IF(IF((M102&gt;0)*(IF(N102="",-1,N102)&gt;=1)*(IF(N102="",-1,N102)&lt;=3),IF(C102="peso_corporal",IF(ISNUMBER(E102),E102,0)+L102,L102)*M102*1000+L102,0)=W102,3,IF(IF((J102&gt;0)*(IF(K102="",-1,K102)&gt;=1)*(IF(K102="",-1,K102)&lt;=3),IF(C102="peso_corporal",IF(ISNUMBER(E102),E102,0)+I102,I102)*J102*1000+I102,0)=W102,2,IF(IF((G102&gt;0)*(IF(H102="",-1,H102)&gt;=1)*(IF(H102="",-1,H102)&lt;=3),IF(C102="peso_corporal",IF(ISNUMBER(E102),E102,0)+F102,F102)*G102*1000+F102,0)=W102,1,0))))))</f>
        <v>0</v>
      </c>
      <c r="Y102" s="69">
        <f>MAX(IF((G102&gt;0)*(IF(H102="",-1,H102)=0)*(1-(IF(H102="",-1,H102)&gt;=1)*(IF(H102="",-1,H102)&lt;=3)),IF(C102="peso_corporal",IF(ISNUMBER(E102),E102,0)+F102,F102)*G102*1000+F102,0),IF((J102&gt;0)*(IF(K102="",-1,K102)=0)*(1-(IF(K102="",-1,K102)&gt;=1)*(IF(K102="",-1,K102)&lt;=3)),IF(C102="peso_corporal",IF(ISNUMBER(E102),E102,0)+I102,I102)*J102*1000+I102,0),IF((M102&gt;0)*(IF(N102="",-1,N102)=0)*(1-(IF(N102="",-1,N102)&gt;=1)*(IF(N102="",-1,N102)&lt;=3)),IF(C102="peso_corporal",IF(ISNUMBER(E102),E102,0)+L102,L102)*M102*1000+L102,0),IF((P102&gt;0)*(IF(Q102="",-1,Q102)=0)*(1-(IF(Q102="",-1,Q102)&gt;=1)*(IF(Q102="",-1,Q102)&lt;=3)),IF(C102="peso_corporal",IF(ISNUMBER(E102),E102,0)+O102,O102)*P102*1000+O102,0),IF((S102&gt;0)*(IF(T102="",-1,T102)=0)*(1-(IF(T102="",-1,T102)&gt;=1)*(IF(T102="",-1,T102)&lt;=3)),IF(C102="peso_corporal",IF(ISNUMBER(E102),E102,0)+R102,R102)*S102*1000+R102,0))</f>
        <v>0</v>
      </c>
      <c r="Z102" s="69">
        <f>IF(Y102=0,0,IF(IF((S102&gt;0)*(IF(T102="",-1,T102)=0)*(1-(IF(T102="",-1,T102)&gt;=1)*(IF(T102="",-1,T102)&lt;=3)),IF(C102="peso_corporal",IF(ISNUMBER(E102),E102,0)+R102,R102)*S102*1000+R102,0)=Y102,5,IF(IF((P102&gt;0)*(IF(Q102="",-1,Q102)=0)*(1-(IF(Q102="",-1,Q102)&gt;=1)*(IF(Q102="",-1,Q102)&lt;=3)),IF(C102="peso_corporal",IF(ISNUMBER(E102),E102,0)+O102,O102)*P102*1000+O102,0)=Y102,4,IF(IF((M102&gt;0)*(IF(N102="",-1,N102)=0)*(1-(IF(N102="",-1,N102)&gt;=1)*(IF(N102="",-1,N102)&lt;=3)),IF(C102="peso_corporal",IF(ISNUMBER(E102),E102,0)+L102,L102)*M102*1000+L102,0)=Y102,3,IF(IF((J102&gt;0)*(IF(K102="",-1,K102)=0)*(1-(IF(K102="",-1,K102)&gt;=1)*(IF(K102="",-1,K102)&lt;=3)),IF(C102="peso_corporal",IF(ISNUMBER(E102),E102,0)+I102,I102)*J102*1000+I102,0)=Y102,2,IF(IF((G102&gt;0)*(IF(H102="",-1,H102)=0)*(1-(IF(H102="",-1,H102)&gt;=1)*(IF(H102="",-1,H102)&lt;=3)),IF(C102="peso_corporal",IF(ISNUMBER(E102),E102,0)+F102,F102)*G102*1000+F102,0)=Y102,1,0))))))</f>
        <v>0</v>
      </c>
      <c r="AA102" s="69">
        <f>MAX(IF((G102&gt;=6)*(1-(IF(H102="",-1,H102)&gt;=1)*(IF(H102="",-1,H102)&lt;=3))*(1-(IF(H102="",-1,H102)=0)),IF(C102="peso_corporal",IF(ISNUMBER(E102),E102,0)+F102,F102)*(30+G102)*100+F102,0),IF((J102&gt;=6)*(1-(IF(K102="",-1,K102)&gt;=1)*(IF(K102="",-1,K102)&lt;=3))*(1-(IF(K102="",-1,K102)=0)),IF(C102="peso_corporal",IF(ISNUMBER(E102),E102,0)+I102,I102)*(30+J102)*100+I102,0),IF((M102&gt;=6)*(1-(IF(N102="",-1,N102)&gt;=1)*(IF(N102="",-1,N102)&lt;=3))*(1-(IF(N102="",-1,N102)=0)),IF(C102="peso_corporal",IF(ISNUMBER(E102),E102,0)+L102,L102)*(30+M102)*100+L102,0),IF((P102&gt;=6)*(1-(IF(Q102="",-1,Q102)&gt;=1)*(IF(Q102="",-1,Q102)&lt;=3))*(1-(IF(Q102="",-1,Q102)=0)),IF(C102="peso_corporal",IF(ISNUMBER(E102),E102,0)+O102,O102)*(30+P102)*100+O102,0),IF((S102&gt;=6)*(1-(IF(T102="",-1,T102)&gt;=1)*(IF(T102="",-1,T102)&lt;=3))*(1-(IF(T102="",-1,T102)=0)),IF(C102="peso_corporal",IF(ISNUMBER(E102),E102,0)+R102,R102)*(30+S102)*100+R102,0))</f>
        <v>0</v>
      </c>
      <c r="AB102" s="69">
        <f>IF(AA102=0,0,IF(IF((S102&gt;=6)*(1-(IF(T102="",-1,T102)&gt;=1)*(IF(T102="",-1,T102)&lt;=3))*(1-(IF(T102="",-1,T102)=0)),IF(C102="peso_corporal",IF(ISNUMBER(E102),E102,0)+R102,R102)*(30+S102)*100+R102,0)=AA102,5,IF(IF((P102&gt;=6)*(1-(IF(Q102="",-1,Q102)&gt;=1)*(IF(Q102="",-1,Q102)&lt;=3))*(1-(IF(Q102="",-1,Q102)=0)),IF(C102="peso_corporal",IF(ISNUMBER(E102),E102,0)+O102,O102)*(30+P102)*100+O102,0)=AA102,4,IF(IF((M102&gt;=6)*(1-(IF(N102="",-1,N102)&gt;=1)*(IF(N102="",-1,N102)&lt;=3))*(1-(IF(N102="",-1,N102)=0)),IF(C102="peso_corporal",IF(ISNUMBER(E102),E102,0)+L102,L102)*(30+M102)*100+L102,0)=AA102,3,IF(IF((J102&gt;=6)*(1-(IF(K102="",-1,K102)&gt;=1)*(IF(K102="",-1,K102)&lt;=3))*(1-(IF(K102="",-1,K102)=0)),IF(C102="peso_corporal",IF(ISNUMBER(E102),E102,0)+I102,I102)*(30+J102)*100+I102,0)=AA102,2,IF(IF((G102&gt;=6)*(1-(IF(H102="",-1,H102)&gt;=1)*(IF(H102="",-1,H102)&lt;=3))*(1-(IF(H102="",-1,H102)=0)),IF(C102="peso_corporal",IF(ISNUMBER(E102),E102,0)+F102,F102)*(30+G102)*100+F102,0)=AA102,1,0))))))</f>
        <v>0</v>
      </c>
      <c r="AC102" s="69" t="str">
        <f>IF(X102&gt;0,"A"&amp;X102,IF(Z102&gt;0,"B"&amp;Z102,IF(AB102&gt;0,"C"&amp;AB102,"")))</f>
        <v/>
      </c>
    </row>
    <row r="103" spans="1:29" ht="15" customHeight="1">
      <c r="A103" s="88" t="s">
        <v>50</v>
      </c>
      <c r="B103" s="73"/>
      <c r="C103" s="73"/>
      <c r="D103" s="73"/>
      <c r="E103" s="73"/>
      <c r="F103" s="73"/>
      <c r="G103" s="73"/>
      <c r="H103" s="73"/>
      <c r="I103" s="73"/>
      <c r="J103" s="73"/>
      <c r="K103" s="73"/>
      <c r="L103" s="73"/>
      <c r="M103" s="73"/>
      <c r="N103" s="73"/>
      <c r="O103" s="73"/>
      <c r="P103" s="73"/>
      <c r="Q103" s="73"/>
      <c r="R103" s="73"/>
      <c r="S103" s="73"/>
      <c r="T103" s="73"/>
      <c r="U103" s="73"/>
      <c r="V103" s="73"/>
      <c r="W103" s="69"/>
      <c r="X103" s="69"/>
      <c r="Y103" s="69"/>
      <c r="Z103" s="69"/>
      <c r="AA103" s="69"/>
      <c r="AB103" s="69"/>
      <c r="AC103" s="69"/>
    </row>
    <row r="104" spans="1:29" ht="20.100000000000001" customHeight="1">
      <c r="A104" s="14" t="s">
        <v>65</v>
      </c>
      <c r="B104" s="15" t="s">
        <v>137</v>
      </c>
      <c r="C104" s="16" t="str">
        <f>IFERROR(INDEX(EJERCICIOS!$D$3:$D$75,MATCH(A104&amp;"|"&amp;B104,EJERCICIOS!$G$3:$G$75,0)),"--")</f>
        <v>--</v>
      </c>
      <c r="D104" s="17">
        <v>3</v>
      </c>
      <c r="E104" s="18">
        <f>IFERROR(LOOKUP(2,1/(MEDIDAS_Y_PESO!$B$3:$B$6&lt;&gt;""),MEDIDAS_Y_PESO!$B$3:$B$6),"--")</f>
        <v>80</v>
      </c>
      <c r="F104" s="19"/>
      <c r="G104" s="20"/>
      <c r="H104" s="21"/>
      <c r="I104" s="19"/>
      <c r="J104" s="20"/>
      <c r="K104" s="21"/>
      <c r="L104" s="19"/>
      <c r="M104" s="20"/>
      <c r="N104" s="21"/>
      <c r="O104" s="19"/>
      <c r="P104" s="20"/>
      <c r="Q104" s="21"/>
      <c r="R104" s="19"/>
      <c r="S104" s="20"/>
      <c r="T104" s="21"/>
      <c r="U104" s="22" t="str">
        <f>IFERROR(IF(IF(X104&gt;0,X104,IF(Z104&gt;0,Z104,IF(AB104&gt;0,AB104,0)))=0,"--",ROUND(CHOOSE(IF(X104&gt;0,X104,IF(Z104&gt;0,Z104,IF(AB104&gt;0,AB104,0))),IF(C104="peso_corporal",IF(ISNUMBER(E104),E104,0)+F104,F104)*(1+G104/30),IF(C104="peso_corporal",IF(ISNUMBER(E104),E104,0)+I104,I104)*(1+J104/30),IF(C104="peso_corporal",IF(ISNUMBER(E104),E104,0)+L104,L104)*(1+M104/30),IF(C104="peso_corporal",IF(ISNUMBER(E104),E104,0)+O104,O104)*(1+P104/30),IF(C104="peso_corporal",IF(ISNUMBER(E104),E104,0)+R104,R104)*(1+S104/30)),1)),"--")</f>
        <v>--</v>
      </c>
      <c r="V104" s="23" t="str">
        <f>IF(SUGERENCIAS!N240="SIN","Sin datos anteriores",IF(SUGERENCIAS!N240="SUBIR_F","^ SUBIR FUERTE | Kg:"&amp;ROUND(SUGERENCIAS!K240,1)&amp;" R:"&amp;ROUND(SUGERENCIAS!L240,0)&amp;" RIR:"&amp;ROUND(SUGERENCIAS!M240,0),IF(SUGERENCIAS!N240="SUBIR_E","^ SUBIR (Est.) | Kg:"&amp;ROUND(SUGERENCIAS!K240,1)&amp;" R:"&amp;ROUND(SUGERENCIAS!L240,0)&amp;" RIR:"&amp;ROUND(SUGERENCIAS!M240,0),IF(SUGERENCIAS!N240="SUBIR","^ SUBIR | Kg:"&amp;ROUND(SUGERENCIAS!K240,1)&amp;" R:"&amp;ROUND(SUGERENCIAS!L240,0)&amp;" RIR:"&amp;ROUND(SUGERENCIAS!M240,0),IF(SUGERENCIAS!N240="BAJAR","v BAJAR | Kg:"&amp;ROUND(SUGERENCIAS!K240,1)&amp;" R:"&amp;ROUND(SUGERENCIAS!L240,0)&amp;" RIR:"&amp;ROUND(SUGERENCIAS!M240,0),"= MANT | Kg:"&amp;ROUND(SUGERENCIAS!K240,1)&amp;" R:"&amp;ROUND(SUGERENCIAS!L240,0)&amp;" RIR:"&amp;ROUND(SUGERENCIAS!M240,0))))))</f>
        <v>Sin datos anteriores</v>
      </c>
      <c r="W104" s="69">
        <f>MAX(IF((G104&gt;0)*(IF(H104="",-1,H104)&gt;=1)*(IF(H104="",-1,H104)&lt;=3),IF(C104="peso_corporal",IF(ISNUMBER(E104),E104,0)+F104,F104)*G104*1000+F104,0),IF((J104&gt;0)*(IF(K104="",-1,K104)&gt;=1)*(IF(K104="",-1,K104)&lt;=3),IF(C104="peso_corporal",IF(ISNUMBER(E104),E104,0)+I104,I104)*J104*1000+I104,0),IF((M104&gt;0)*(IF(N104="",-1,N104)&gt;=1)*(IF(N104="",-1,N104)&lt;=3),IF(C104="peso_corporal",IF(ISNUMBER(E104),E104,0)+L104,L104)*M104*1000+L104,0),IF((P104&gt;0)*(IF(Q104="",-1,Q104)&gt;=1)*(IF(Q104="",-1,Q104)&lt;=3),IF(C104="peso_corporal",IF(ISNUMBER(E104),E104,0)+O104,O104)*P104*1000+O104,0),IF((S104&gt;0)*(IF(T104="",-1,T104)&gt;=1)*(IF(T104="",-1,T104)&lt;=3),IF(C104="peso_corporal",IF(ISNUMBER(E104),E104,0)+R104,R104)*S104*1000+R104,0))</f>
        <v>0</v>
      </c>
      <c r="X104" s="69">
        <f>IF(W104=0,0,IF(IF((S104&gt;0)*(IF(T104="",-1,T104)&gt;=1)*(IF(T104="",-1,T104)&lt;=3),IF(C104="peso_corporal",IF(ISNUMBER(E104),E104,0)+R104,R104)*S104*1000+R104,0)=W104,5,IF(IF((P104&gt;0)*(IF(Q104="",-1,Q104)&gt;=1)*(IF(Q104="",-1,Q104)&lt;=3),IF(C104="peso_corporal",IF(ISNUMBER(E104),E104,0)+O104,O104)*P104*1000+O104,0)=W104,4,IF(IF((M104&gt;0)*(IF(N104="",-1,N104)&gt;=1)*(IF(N104="",-1,N104)&lt;=3),IF(C104="peso_corporal",IF(ISNUMBER(E104),E104,0)+L104,L104)*M104*1000+L104,0)=W104,3,IF(IF((J104&gt;0)*(IF(K104="",-1,K104)&gt;=1)*(IF(K104="",-1,K104)&lt;=3),IF(C104="peso_corporal",IF(ISNUMBER(E104),E104,0)+I104,I104)*J104*1000+I104,0)=W104,2,IF(IF((G104&gt;0)*(IF(H104="",-1,H104)&gt;=1)*(IF(H104="",-1,H104)&lt;=3),IF(C104="peso_corporal",IF(ISNUMBER(E104),E104,0)+F104,F104)*G104*1000+F104,0)=W104,1,0))))))</f>
        <v>0</v>
      </c>
      <c r="Y104" s="69">
        <f>MAX(IF((G104&gt;0)*(IF(H104="",-1,H104)=0)*(1-(IF(H104="",-1,H104)&gt;=1)*(IF(H104="",-1,H104)&lt;=3)),IF(C104="peso_corporal",IF(ISNUMBER(E104),E104,0)+F104,F104)*G104*1000+F104,0),IF((J104&gt;0)*(IF(K104="",-1,K104)=0)*(1-(IF(K104="",-1,K104)&gt;=1)*(IF(K104="",-1,K104)&lt;=3)),IF(C104="peso_corporal",IF(ISNUMBER(E104),E104,0)+I104,I104)*J104*1000+I104,0),IF((M104&gt;0)*(IF(N104="",-1,N104)=0)*(1-(IF(N104="",-1,N104)&gt;=1)*(IF(N104="",-1,N104)&lt;=3)),IF(C104="peso_corporal",IF(ISNUMBER(E104),E104,0)+L104,L104)*M104*1000+L104,0),IF((P104&gt;0)*(IF(Q104="",-1,Q104)=0)*(1-(IF(Q104="",-1,Q104)&gt;=1)*(IF(Q104="",-1,Q104)&lt;=3)),IF(C104="peso_corporal",IF(ISNUMBER(E104),E104,0)+O104,O104)*P104*1000+O104,0),IF((S104&gt;0)*(IF(T104="",-1,T104)=0)*(1-(IF(T104="",-1,T104)&gt;=1)*(IF(T104="",-1,T104)&lt;=3)),IF(C104="peso_corporal",IF(ISNUMBER(E104),E104,0)+R104,R104)*S104*1000+R104,0))</f>
        <v>0</v>
      </c>
      <c r="Z104" s="69">
        <f>IF(Y104=0,0,IF(IF((S104&gt;0)*(IF(T104="",-1,T104)=0)*(1-(IF(T104="",-1,T104)&gt;=1)*(IF(T104="",-1,T104)&lt;=3)),IF(C104="peso_corporal",IF(ISNUMBER(E104),E104,0)+R104,R104)*S104*1000+R104,0)=Y104,5,IF(IF((P104&gt;0)*(IF(Q104="",-1,Q104)=0)*(1-(IF(Q104="",-1,Q104)&gt;=1)*(IF(Q104="",-1,Q104)&lt;=3)),IF(C104="peso_corporal",IF(ISNUMBER(E104),E104,0)+O104,O104)*P104*1000+O104,0)=Y104,4,IF(IF((M104&gt;0)*(IF(N104="",-1,N104)=0)*(1-(IF(N104="",-1,N104)&gt;=1)*(IF(N104="",-1,N104)&lt;=3)),IF(C104="peso_corporal",IF(ISNUMBER(E104),E104,0)+L104,L104)*M104*1000+L104,0)=Y104,3,IF(IF((J104&gt;0)*(IF(K104="",-1,K104)=0)*(1-(IF(K104="",-1,K104)&gt;=1)*(IF(K104="",-1,K104)&lt;=3)),IF(C104="peso_corporal",IF(ISNUMBER(E104),E104,0)+I104,I104)*J104*1000+I104,0)=Y104,2,IF(IF((G104&gt;0)*(IF(H104="",-1,H104)=0)*(1-(IF(H104="",-1,H104)&gt;=1)*(IF(H104="",-1,H104)&lt;=3)),IF(C104="peso_corporal",IF(ISNUMBER(E104),E104,0)+F104,F104)*G104*1000+F104,0)=Y104,1,0))))))</f>
        <v>0</v>
      </c>
      <c r="AA104" s="69">
        <f>MAX(IF((G104&gt;=6)*(1-(IF(H104="",-1,H104)&gt;=1)*(IF(H104="",-1,H104)&lt;=3))*(1-(IF(H104="",-1,H104)=0)),IF(C104="peso_corporal",IF(ISNUMBER(E104),E104,0)+F104,F104)*(30+G104)*100+F104,0),IF((J104&gt;=6)*(1-(IF(K104="",-1,K104)&gt;=1)*(IF(K104="",-1,K104)&lt;=3))*(1-(IF(K104="",-1,K104)=0)),IF(C104="peso_corporal",IF(ISNUMBER(E104),E104,0)+I104,I104)*(30+J104)*100+I104,0),IF((M104&gt;=6)*(1-(IF(N104="",-1,N104)&gt;=1)*(IF(N104="",-1,N104)&lt;=3))*(1-(IF(N104="",-1,N104)=0)),IF(C104="peso_corporal",IF(ISNUMBER(E104),E104,0)+L104,L104)*(30+M104)*100+L104,0),IF((P104&gt;=6)*(1-(IF(Q104="",-1,Q104)&gt;=1)*(IF(Q104="",-1,Q104)&lt;=3))*(1-(IF(Q104="",-1,Q104)=0)),IF(C104="peso_corporal",IF(ISNUMBER(E104),E104,0)+O104,O104)*(30+P104)*100+O104,0),IF((S104&gt;=6)*(1-(IF(T104="",-1,T104)&gt;=1)*(IF(T104="",-1,T104)&lt;=3))*(1-(IF(T104="",-1,T104)=0)),IF(C104="peso_corporal",IF(ISNUMBER(E104),E104,0)+R104,R104)*(30+S104)*100+R104,0))</f>
        <v>0</v>
      </c>
      <c r="AB104" s="69">
        <f>IF(AA104=0,0,IF(IF((S104&gt;=6)*(1-(IF(T104="",-1,T104)&gt;=1)*(IF(T104="",-1,T104)&lt;=3))*(1-(IF(T104="",-1,T104)=0)),IF(C104="peso_corporal",IF(ISNUMBER(E104),E104,0)+R104,R104)*(30+S104)*100+R104,0)=AA104,5,IF(IF((P104&gt;=6)*(1-(IF(Q104="",-1,Q104)&gt;=1)*(IF(Q104="",-1,Q104)&lt;=3))*(1-(IF(Q104="",-1,Q104)=0)),IF(C104="peso_corporal",IF(ISNUMBER(E104),E104,0)+O104,O104)*(30+P104)*100+O104,0)=AA104,4,IF(IF((M104&gt;=6)*(1-(IF(N104="",-1,N104)&gt;=1)*(IF(N104="",-1,N104)&lt;=3))*(1-(IF(N104="",-1,N104)=0)),IF(C104="peso_corporal",IF(ISNUMBER(E104),E104,0)+L104,L104)*(30+M104)*100+L104,0)=AA104,3,IF(IF((J104&gt;=6)*(1-(IF(K104="",-1,K104)&gt;=1)*(IF(K104="",-1,K104)&lt;=3))*(1-(IF(K104="",-1,K104)=0)),IF(C104="peso_corporal",IF(ISNUMBER(E104),E104,0)+I104,I104)*(30+J104)*100+I104,0)=AA104,2,IF(IF((G104&gt;=6)*(1-(IF(H104="",-1,H104)&gt;=1)*(IF(H104="",-1,H104)&lt;=3))*(1-(IF(H104="",-1,H104)=0)),IF(C104="peso_corporal",IF(ISNUMBER(E104),E104,0)+F104,F104)*(30+G104)*100+F104,0)=AA104,1,0))))))</f>
        <v>0</v>
      </c>
      <c r="AC104" s="69" t="str">
        <f>IF(X104&gt;0,"A"&amp;X104,IF(Z104&gt;0,"B"&amp;Z104,IF(AB104&gt;0,"C"&amp;AB104,"")))</f>
        <v/>
      </c>
    </row>
    <row r="105" spans="1:29" ht="15" customHeight="1">
      <c r="A105" s="81" t="s">
        <v>53</v>
      </c>
      <c r="B105" s="73"/>
      <c r="C105" s="73"/>
      <c r="D105" s="73"/>
      <c r="E105" s="73"/>
      <c r="F105" s="73"/>
      <c r="G105" s="73"/>
      <c r="H105" s="73"/>
      <c r="I105" s="73"/>
      <c r="J105" s="73"/>
      <c r="K105" s="73"/>
      <c r="L105" s="73"/>
      <c r="M105" s="73"/>
      <c r="N105" s="73"/>
      <c r="O105" s="73"/>
      <c r="P105" s="73"/>
      <c r="Q105" s="73"/>
      <c r="R105" s="73"/>
      <c r="S105" s="73"/>
      <c r="T105" s="73"/>
      <c r="U105" s="73"/>
      <c r="V105" s="73"/>
      <c r="W105" s="69"/>
      <c r="X105" s="69"/>
      <c r="Y105" s="69"/>
      <c r="Z105" s="69"/>
      <c r="AA105" s="69"/>
      <c r="AB105" s="69"/>
      <c r="AC105" s="69"/>
    </row>
    <row r="106" spans="1:29" ht="20.100000000000001" customHeight="1">
      <c r="A106" s="14" t="s">
        <v>54</v>
      </c>
      <c r="B106" s="15" t="s">
        <v>115</v>
      </c>
      <c r="C106" s="16" t="str">
        <f>IFERROR(INDEX(EJERCICIOS!$D$3:$D$75,MATCH(A106&amp;"|"&amp;B106,EJERCICIOS!$G$3:$G$75,0)),"--")</f>
        <v>polea</v>
      </c>
      <c r="D106" s="17">
        <v>3</v>
      </c>
      <c r="E106" s="18">
        <f>IFERROR(LOOKUP(2,1/(MEDIDAS_Y_PESO!$B$3:$B$6&lt;&gt;""),MEDIDAS_Y_PESO!$B$3:$B$6),"--")</f>
        <v>80</v>
      </c>
      <c r="F106" s="19"/>
      <c r="G106" s="20"/>
      <c r="H106" s="21"/>
      <c r="I106" s="19"/>
      <c r="J106" s="20"/>
      <c r="K106" s="21"/>
      <c r="L106" s="19"/>
      <c r="M106" s="20"/>
      <c r="N106" s="21"/>
      <c r="O106" s="19"/>
      <c r="P106" s="20"/>
      <c r="Q106" s="21"/>
      <c r="R106" s="19"/>
      <c r="S106" s="20"/>
      <c r="T106" s="21"/>
      <c r="U106" s="22" t="str">
        <f>IFERROR(IF(IF(X106&gt;0,X106,IF(Z106&gt;0,Z106,IF(AB106&gt;0,AB106,0)))=0,"--",ROUND(CHOOSE(IF(X106&gt;0,X106,IF(Z106&gt;0,Z106,IF(AB106&gt;0,AB106,0))),IF(C106="peso_corporal",IF(ISNUMBER(E106),E106,0)+F106,F106)*(1+G106/30),IF(C106="peso_corporal",IF(ISNUMBER(E106),E106,0)+I106,I106)*(1+J106/30),IF(C106="peso_corporal",IF(ISNUMBER(E106),E106,0)+L106,L106)*(1+M106/30),IF(C106="peso_corporal",IF(ISNUMBER(E106),E106,0)+O106,O106)*(1+P106/30),IF(C106="peso_corporal",IF(ISNUMBER(E106),E106,0)+R106,R106)*(1+S106/30)),1)),"--")</f>
        <v>--</v>
      </c>
      <c r="V106" s="23" t="str">
        <f>IF(SUGERENCIAS!N241="SIN","Sin datos anteriores",IF(SUGERENCIAS!N241="SUBIR_F","^ SUBIR FUERTE | Kg:"&amp;ROUND(SUGERENCIAS!K241,1)&amp;" R:"&amp;ROUND(SUGERENCIAS!L241,0)&amp;" RIR:"&amp;ROUND(SUGERENCIAS!M241,0),IF(SUGERENCIAS!N241="SUBIR_E","^ SUBIR (Est.) | Kg:"&amp;ROUND(SUGERENCIAS!K241,1)&amp;" R:"&amp;ROUND(SUGERENCIAS!L241,0)&amp;" RIR:"&amp;ROUND(SUGERENCIAS!M241,0),IF(SUGERENCIAS!N241="SUBIR","^ SUBIR | Kg:"&amp;ROUND(SUGERENCIAS!K241,1)&amp;" R:"&amp;ROUND(SUGERENCIAS!L241,0)&amp;" RIR:"&amp;ROUND(SUGERENCIAS!M241,0),IF(SUGERENCIAS!N241="BAJAR","v BAJAR | Kg:"&amp;ROUND(SUGERENCIAS!K241,1)&amp;" R:"&amp;ROUND(SUGERENCIAS!L241,0)&amp;" RIR:"&amp;ROUND(SUGERENCIAS!M241,0),"= MANT | Kg:"&amp;ROUND(SUGERENCIAS!K241,1)&amp;" R:"&amp;ROUND(SUGERENCIAS!L241,0)&amp;" RIR:"&amp;ROUND(SUGERENCIAS!M241,0))))))</f>
        <v>= MANT | Kg:40 R:7 RIR:2</v>
      </c>
      <c r="W106" s="69">
        <f>MAX(IF((G106&gt;0)*(IF(H106="",-1,H106)&gt;=1)*(IF(H106="",-1,H106)&lt;=3),IF(C106="peso_corporal",IF(ISNUMBER(E106),E106,0)+F106,F106)*G106*1000+F106,0),IF((J106&gt;0)*(IF(K106="",-1,K106)&gt;=1)*(IF(K106="",-1,K106)&lt;=3),IF(C106="peso_corporal",IF(ISNUMBER(E106),E106,0)+I106,I106)*J106*1000+I106,0),IF((M106&gt;0)*(IF(N106="",-1,N106)&gt;=1)*(IF(N106="",-1,N106)&lt;=3),IF(C106="peso_corporal",IF(ISNUMBER(E106),E106,0)+L106,L106)*M106*1000+L106,0),IF((P106&gt;0)*(IF(Q106="",-1,Q106)&gt;=1)*(IF(Q106="",-1,Q106)&lt;=3),IF(C106="peso_corporal",IF(ISNUMBER(E106),E106,0)+O106,O106)*P106*1000+O106,0),IF((S106&gt;0)*(IF(T106="",-1,T106)&gt;=1)*(IF(T106="",-1,T106)&lt;=3),IF(C106="peso_corporal",IF(ISNUMBER(E106),E106,0)+R106,R106)*S106*1000+R106,0))</f>
        <v>0</v>
      </c>
      <c r="X106" s="69">
        <f>IF(W106=0,0,IF(IF((S106&gt;0)*(IF(T106="",-1,T106)&gt;=1)*(IF(T106="",-1,T106)&lt;=3),IF(C106="peso_corporal",IF(ISNUMBER(E106),E106,0)+R106,R106)*S106*1000+R106,0)=W106,5,IF(IF((P106&gt;0)*(IF(Q106="",-1,Q106)&gt;=1)*(IF(Q106="",-1,Q106)&lt;=3),IF(C106="peso_corporal",IF(ISNUMBER(E106),E106,0)+O106,O106)*P106*1000+O106,0)=W106,4,IF(IF((M106&gt;0)*(IF(N106="",-1,N106)&gt;=1)*(IF(N106="",-1,N106)&lt;=3),IF(C106="peso_corporal",IF(ISNUMBER(E106),E106,0)+L106,L106)*M106*1000+L106,0)=W106,3,IF(IF((J106&gt;0)*(IF(K106="",-1,K106)&gt;=1)*(IF(K106="",-1,K106)&lt;=3),IF(C106="peso_corporal",IF(ISNUMBER(E106),E106,0)+I106,I106)*J106*1000+I106,0)=W106,2,IF(IF((G106&gt;0)*(IF(H106="",-1,H106)&gt;=1)*(IF(H106="",-1,H106)&lt;=3),IF(C106="peso_corporal",IF(ISNUMBER(E106),E106,0)+F106,F106)*G106*1000+F106,0)=W106,1,0))))))</f>
        <v>0</v>
      </c>
      <c r="Y106" s="69">
        <f>MAX(IF((G106&gt;0)*(IF(H106="",-1,H106)=0)*(1-(IF(H106="",-1,H106)&gt;=1)*(IF(H106="",-1,H106)&lt;=3)),IF(C106="peso_corporal",IF(ISNUMBER(E106),E106,0)+F106,F106)*G106*1000+F106,0),IF((J106&gt;0)*(IF(K106="",-1,K106)=0)*(1-(IF(K106="",-1,K106)&gt;=1)*(IF(K106="",-1,K106)&lt;=3)),IF(C106="peso_corporal",IF(ISNUMBER(E106),E106,0)+I106,I106)*J106*1000+I106,0),IF((M106&gt;0)*(IF(N106="",-1,N106)=0)*(1-(IF(N106="",-1,N106)&gt;=1)*(IF(N106="",-1,N106)&lt;=3)),IF(C106="peso_corporal",IF(ISNUMBER(E106),E106,0)+L106,L106)*M106*1000+L106,0),IF((P106&gt;0)*(IF(Q106="",-1,Q106)=0)*(1-(IF(Q106="",-1,Q106)&gt;=1)*(IF(Q106="",-1,Q106)&lt;=3)),IF(C106="peso_corporal",IF(ISNUMBER(E106),E106,0)+O106,O106)*P106*1000+O106,0),IF((S106&gt;0)*(IF(T106="",-1,T106)=0)*(1-(IF(T106="",-1,T106)&gt;=1)*(IF(T106="",-1,T106)&lt;=3)),IF(C106="peso_corporal",IF(ISNUMBER(E106),E106,0)+R106,R106)*S106*1000+R106,0))</f>
        <v>0</v>
      </c>
      <c r="Z106" s="69">
        <f>IF(Y106=0,0,IF(IF((S106&gt;0)*(IF(T106="",-1,T106)=0)*(1-(IF(T106="",-1,T106)&gt;=1)*(IF(T106="",-1,T106)&lt;=3)),IF(C106="peso_corporal",IF(ISNUMBER(E106),E106,0)+R106,R106)*S106*1000+R106,0)=Y106,5,IF(IF((P106&gt;0)*(IF(Q106="",-1,Q106)=0)*(1-(IF(Q106="",-1,Q106)&gt;=1)*(IF(Q106="",-1,Q106)&lt;=3)),IF(C106="peso_corporal",IF(ISNUMBER(E106),E106,0)+O106,O106)*P106*1000+O106,0)=Y106,4,IF(IF((M106&gt;0)*(IF(N106="",-1,N106)=0)*(1-(IF(N106="",-1,N106)&gt;=1)*(IF(N106="",-1,N106)&lt;=3)),IF(C106="peso_corporal",IF(ISNUMBER(E106),E106,0)+L106,L106)*M106*1000+L106,0)=Y106,3,IF(IF((J106&gt;0)*(IF(K106="",-1,K106)=0)*(1-(IF(K106="",-1,K106)&gt;=1)*(IF(K106="",-1,K106)&lt;=3)),IF(C106="peso_corporal",IF(ISNUMBER(E106),E106,0)+I106,I106)*J106*1000+I106,0)=Y106,2,IF(IF((G106&gt;0)*(IF(H106="",-1,H106)=0)*(1-(IF(H106="",-1,H106)&gt;=1)*(IF(H106="",-1,H106)&lt;=3)),IF(C106="peso_corporal",IF(ISNUMBER(E106),E106,0)+F106,F106)*G106*1000+F106,0)=Y106,1,0))))))</f>
        <v>0</v>
      </c>
      <c r="AA106" s="69">
        <f>MAX(IF((G106&gt;=6)*(1-(IF(H106="",-1,H106)&gt;=1)*(IF(H106="",-1,H106)&lt;=3))*(1-(IF(H106="",-1,H106)=0)),IF(C106="peso_corporal",IF(ISNUMBER(E106),E106,0)+F106,F106)*(30+G106)*100+F106,0),IF((J106&gt;=6)*(1-(IF(K106="",-1,K106)&gt;=1)*(IF(K106="",-1,K106)&lt;=3))*(1-(IF(K106="",-1,K106)=0)),IF(C106="peso_corporal",IF(ISNUMBER(E106),E106,0)+I106,I106)*(30+J106)*100+I106,0),IF((M106&gt;=6)*(1-(IF(N106="",-1,N106)&gt;=1)*(IF(N106="",-1,N106)&lt;=3))*(1-(IF(N106="",-1,N106)=0)),IF(C106="peso_corporal",IF(ISNUMBER(E106),E106,0)+L106,L106)*(30+M106)*100+L106,0),IF((P106&gt;=6)*(1-(IF(Q106="",-1,Q106)&gt;=1)*(IF(Q106="",-1,Q106)&lt;=3))*(1-(IF(Q106="",-1,Q106)=0)),IF(C106="peso_corporal",IF(ISNUMBER(E106),E106,0)+O106,O106)*(30+P106)*100+O106,0),IF((S106&gt;=6)*(1-(IF(T106="",-1,T106)&gt;=1)*(IF(T106="",-1,T106)&lt;=3))*(1-(IF(T106="",-1,T106)=0)),IF(C106="peso_corporal",IF(ISNUMBER(E106),E106,0)+R106,R106)*(30+S106)*100+R106,0))</f>
        <v>0</v>
      </c>
      <c r="AB106" s="69">
        <f>IF(AA106=0,0,IF(IF((S106&gt;=6)*(1-(IF(T106="",-1,T106)&gt;=1)*(IF(T106="",-1,T106)&lt;=3))*(1-(IF(T106="",-1,T106)=0)),IF(C106="peso_corporal",IF(ISNUMBER(E106),E106,0)+R106,R106)*(30+S106)*100+R106,0)=AA106,5,IF(IF((P106&gt;=6)*(1-(IF(Q106="",-1,Q106)&gt;=1)*(IF(Q106="",-1,Q106)&lt;=3))*(1-(IF(Q106="",-1,Q106)=0)),IF(C106="peso_corporal",IF(ISNUMBER(E106),E106,0)+O106,O106)*(30+P106)*100+O106,0)=AA106,4,IF(IF((M106&gt;=6)*(1-(IF(N106="",-1,N106)&gt;=1)*(IF(N106="",-1,N106)&lt;=3))*(1-(IF(N106="",-1,N106)=0)),IF(C106="peso_corporal",IF(ISNUMBER(E106),E106,0)+L106,L106)*(30+M106)*100+L106,0)=AA106,3,IF(IF((J106&gt;=6)*(1-(IF(K106="",-1,K106)&gt;=1)*(IF(K106="",-1,K106)&lt;=3))*(1-(IF(K106="",-1,K106)=0)),IF(C106="peso_corporal",IF(ISNUMBER(E106),E106,0)+I106,I106)*(30+J106)*100+I106,0)=AA106,2,IF(IF((G106&gt;=6)*(1-(IF(H106="",-1,H106)&gt;=1)*(IF(H106="",-1,H106)&lt;=3))*(1-(IF(H106="",-1,H106)=0)),IF(C106="peso_corporal",IF(ISNUMBER(E106),E106,0)+F106,F106)*(30+G106)*100+F106,0)=AA106,1,0))))))</f>
        <v>0</v>
      </c>
      <c r="AC106" s="69" t="str">
        <f>IF(X106&gt;0,"A"&amp;X106,IF(Z106&gt;0,"B"&amp;Z106,IF(AB106&gt;0,"C"&amp;AB106,"")))</f>
        <v/>
      </c>
    </row>
    <row r="107" spans="1:29" ht="15" customHeight="1">
      <c r="A107" s="72" t="s">
        <v>56</v>
      </c>
      <c r="B107" s="73"/>
      <c r="C107" s="73"/>
      <c r="D107" s="73"/>
      <c r="E107" s="73"/>
      <c r="F107" s="73"/>
      <c r="G107" s="73"/>
      <c r="H107" s="73"/>
      <c r="I107" s="73"/>
      <c r="J107" s="73"/>
      <c r="K107" s="73"/>
      <c r="L107" s="73"/>
      <c r="M107" s="73"/>
      <c r="N107" s="73"/>
      <c r="O107" s="73"/>
      <c r="P107" s="73"/>
      <c r="Q107" s="73"/>
      <c r="R107" s="73"/>
      <c r="S107" s="73"/>
      <c r="T107" s="73"/>
      <c r="U107" s="73"/>
      <c r="V107" s="73"/>
      <c r="W107" s="69"/>
      <c r="X107" s="69"/>
      <c r="Y107" s="69"/>
      <c r="Z107" s="69"/>
      <c r="AA107" s="69"/>
      <c r="AB107" s="69"/>
      <c r="AC107" s="69"/>
    </row>
    <row r="108" spans="1:29" ht="20.100000000000001" customHeight="1">
      <c r="A108" s="14" t="s">
        <v>57</v>
      </c>
      <c r="B108" s="15" t="s">
        <v>58</v>
      </c>
      <c r="C108" s="16" t="str">
        <f>IFERROR(INDEX(EJERCICIOS!$D$3:$D$75,MATCH(A108&amp;"|"&amp;B108,EJERCICIOS!$G$3:$G$75,0)),"--")</f>
        <v>polea</v>
      </c>
      <c r="D108" s="17">
        <v>3</v>
      </c>
      <c r="E108" s="18">
        <f>IFERROR(LOOKUP(2,1/(MEDIDAS_Y_PESO!$B$3:$B$6&lt;&gt;""),MEDIDAS_Y_PESO!$B$3:$B$6),"--")</f>
        <v>80</v>
      </c>
      <c r="F108" s="19"/>
      <c r="G108" s="20"/>
      <c r="H108" s="21"/>
      <c r="I108" s="19"/>
      <c r="J108" s="20"/>
      <c r="K108" s="21"/>
      <c r="L108" s="19"/>
      <c r="M108" s="20"/>
      <c r="N108" s="21"/>
      <c r="O108" s="19"/>
      <c r="P108" s="20"/>
      <c r="Q108" s="21"/>
      <c r="R108" s="19"/>
      <c r="S108" s="20"/>
      <c r="T108" s="21"/>
      <c r="U108" s="22" t="str">
        <f>IFERROR(IF(IF(X108&gt;0,X108,IF(Z108&gt;0,Z108,IF(AB108&gt;0,AB108,0)))=0,"--",ROUND(CHOOSE(IF(X108&gt;0,X108,IF(Z108&gt;0,Z108,IF(AB108&gt;0,AB108,0))),IF(C108="peso_corporal",IF(ISNUMBER(E108),E108,0)+F108,F108)*(1+G108/30),IF(C108="peso_corporal",IF(ISNUMBER(E108),E108,0)+I108,I108)*(1+J108/30),IF(C108="peso_corporal",IF(ISNUMBER(E108),E108,0)+L108,L108)*(1+M108/30),IF(C108="peso_corporal",IF(ISNUMBER(E108),E108,0)+O108,O108)*(1+P108/30),IF(C108="peso_corporal",IF(ISNUMBER(E108),E108,0)+R108,R108)*(1+S108/30)),1)),"--")</f>
        <v>--</v>
      </c>
      <c r="V108" s="23" t="str">
        <f>IF(SUGERENCIAS!N242="SIN","Sin datos anteriores",IF(SUGERENCIAS!N242="SUBIR_F","^ SUBIR FUERTE | Kg:"&amp;ROUND(SUGERENCIAS!K242,1)&amp;" R:"&amp;ROUND(SUGERENCIAS!L242,0)&amp;" RIR:"&amp;ROUND(SUGERENCIAS!M242,0),IF(SUGERENCIAS!N242="SUBIR_E","^ SUBIR (Est.) | Kg:"&amp;ROUND(SUGERENCIAS!K242,1)&amp;" R:"&amp;ROUND(SUGERENCIAS!L242,0)&amp;" RIR:"&amp;ROUND(SUGERENCIAS!M242,0),IF(SUGERENCIAS!N242="SUBIR","^ SUBIR | Kg:"&amp;ROUND(SUGERENCIAS!K242,1)&amp;" R:"&amp;ROUND(SUGERENCIAS!L242,0)&amp;" RIR:"&amp;ROUND(SUGERENCIAS!M242,0),IF(SUGERENCIAS!N242="BAJAR","v BAJAR | Kg:"&amp;ROUND(SUGERENCIAS!K242,1)&amp;" R:"&amp;ROUND(SUGERENCIAS!L242,0)&amp;" RIR:"&amp;ROUND(SUGERENCIAS!M242,0),"= MANT | Kg:"&amp;ROUND(SUGERENCIAS!K242,1)&amp;" R:"&amp;ROUND(SUGERENCIAS!L242,0)&amp;" RIR:"&amp;ROUND(SUGERENCIAS!M242,0))))))</f>
        <v>Sin datos anteriores</v>
      </c>
      <c r="W108" s="69">
        <f>MAX(IF((G108&gt;0)*(IF(H108="",-1,H108)&gt;=1)*(IF(H108="",-1,H108)&lt;=3),IF(C108="peso_corporal",IF(ISNUMBER(E108),E108,0)+F108,F108)*G108*1000+F108,0),IF((J108&gt;0)*(IF(K108="",-1,K108)&gt;=1)*(IF(K108="",-1,K108)&lt;=3),IF(C108="peso_corporal",IF(ISNUMBER(E108),E108,0)+I108,I108)*J108*1000+I108,0),IF((M108&gt;0)*(IF(N108="",-1,N108)&gt;=1)*(IF(N108="",-1,N108)&lt;=3),IF(C108="peso_corporal",IF(ISNUMBER(E108),E108,0)+L108,L108)*M108*1000+L108,0),IF((P108&gt;0)*(IF(Q108="",-1,Q108)&gt;=1)*(IF(Q108="",-1,Q108)&lt;=3),IF(C108="peso_corporal",IF(ISNUMBER(E108),E108,0)+O108,O108)*P108*1000+O108,0),IF((S108&gt;0)*(IF(T108="",-1,T108)&gt;=1)*(IF(T108="",-1,T108)&lt;=3),IF(C108="peso_corporal",IF(ISNUMBER(E108),E108,0)+R108,R108)*S108*1000+R108,0))</f>
        <v>0</v>
      </c>
      <c r="X108" s="69">
        <f>IF(W108=0,0,IF(IF((S108&gt;0)*(IF(T108="",-1,T108)&gt;=1)*(IF(T108="",-1,T108)&lt;=3),IF(C108="peso_corporal",IF(ISNUMBER(E108),E108,0)+R108,R108)*S108*1000+R108,0)=W108,5,IF(IF((P108&gt;0)*(IF(Q108="",-1,Q108)&gt;=1)*(IF(Q108="",-1,Q108)&lt;=3),IF(C108="peso_corporal",IF(ISNUMBER(E108),E108,0)+O108,O108)*P108*1000+O108,0)=W108,4,IF(IF((M108&gt;0)*(IF(N108="",-1,N108)&gt;=1)*(IF(N108="",-1,N108)&lt;=3),IF(C108="peso_corporal",IF(ISNUMBER(E108),E108,0)+L108,L108)*M108*1000+L108,0)=W108,3,IF(IF((J108&gt;0)*(IF(K108="",-1,K108)&gt;=1)*(IF(K108="",-1,K108)&lt;=3),IF(C108="peso_corporal",IF(ISNUMBER(E108),E108,0)+I108,I108)*J108*1000+I108,0)=W108,2,IF(IF((G108&gt;0)*(IF(H108="",-1,H108)&gt;=1)*(IF(H108="",-1,H108)&lt;=3),IF(C108="peso_corporal",IF(ISNUMBER(E108),E108,0)+F108,F108)*G108*1000+F108,0)=W108,1,0))))))</f>
        <v>0</v>
      </c>
      <c r="Y108" s="69">
        <f>MAX(IF((G108&gt;0)*(IF(H108="",-1,H108)=0)*(1-(IF(H108="",-1,H108)&gt;=1)*(IF(H108="",-1,H108)&lt;=3)),IF(C108="peso_corporal",IF(ISNUMBER(E108),E108,0)+F108,F108)*G108*1000+F108,0),IF((J108&gt;0)*(IF(K108="",-1,K108)=0)*(1-(IF(K108="",-1,K108)&gt;=1)*(IF(K108="",-1,K108)&lt;=3)),IF(C108="peso_corporal",IF(ISNUMBER(E108),E108,0)+I108,I108)*J108*1000+I108,0),IF((M108&gt;0)*(IF(N108="",-1,N108)=0)*(1-(IF(N108="",-1,N108)&gt;=1)*(IF(N108="",-1,N108)&lt;=3)),IF(C108="peso_corporal",IF(ISNUMBER(E108),E108,0)+L108,L108)*M108*1000+L108,0),IF((P108&gt;0)*(IF(Q108="",-1,Q108)=0)*(1-(IF(Q108="",-1,Q108)&gt;=1)*(IF(Q108="",-1,Q108)&lt;=3)),IF(C108="peso_corporal",IF(ISNUMBER(E108),E108,0)+O108,O108)*P108*1000+O108,0),IF((S108&gt;0)*(IF(T108="",-1,T108)=0)*(1-(IF(T108="",-1,T108)&gt;=1)*(IF(T108="",-1,T108)&lt;=3)),IF(C108="peso_corporal",IF(ISNUMBER(E108),E108,0)+R108,R108)*S108*1000+R108,0))</f>
        <v>0</v>
      </c>
      <c r="Z108" s="69">
        <f>IF(Y108=0,0,IF(IF((S108&gt;0)*(IF(T108="",-1,T108)=0)*(1-(IF(T108="",-1,T108)&gt;=1)*(IF(T108="",-1,T108)&lt;=3)),IF(C108="peso_corporal",IF(ISNUMBER(E108),E108,0)+R108,R108)*S108*1000+R108,0)=Y108,5,IF(IF((P108&gt;0)*(IF(Q108="",-1,Q108)=0)*(1-(IF(Q108="",-1,Q108)&gt;=1)*(IF(Q108="",-1,Q108)&lt;=3)),IF(C108="peso_corporal",IF(ISNUMBER(E108),E108,0)+O108,O108)*P108*1000+O108,0)=Y108,4,IF(IF((M108&gt;0)*(IF(N108="",-1,N108)=0)*(1-(IF(N108="",-1,N108)&gt;=1)*(IF(N108="",-1,N108)&lt;=3)),IF(C108="peso_corporal",IF(ISNUMBER(E108),E108,0)+L108,L108)*M108*1000+L108,0)=Y108,3,IF(IF((J108&gt;0)*(IF(K108="",-1,K108)=0)*(1-(IF(K108="",-1,K108)&gt;=1)*(IF(K108="",-1,K108)&lt;=3)),IF(C108="peso_corporal",IF(ISNUMBER(E108),E108,0)+I108,I108)*J108*1000+I108,0)=Y108,2,IF(IF((G108&gt;0)*(IF(H108="",-1,H108)=0)*(1-(IF(H108="",-1,H108)&gt;=1)*(IF(H108="",-1,H108)&lt;=3)),IF(C108="peso_corporal",IF(ISNUMBER(E108),E108,0)+F108,F108)*G108*1000+F108,0)=Y108,1,0))))))</f>
        <v>0</v>
      </c>
      <c r="AA108" s="69">
        <f>MAX(IF((G108&gt;=6)*(1-(IF(H108="",-1,H108)&gt;=1)*(IF(H108="",-1,H108)&lt;=3))*(1-(IF(H108="",-1,H108)=0)),IF(C108="peso_corporal",IF(ISNUMBER(E108),E108,0)+F108,F108)*(30+G108)*100+F108,0),IF((J108&gt;=6)*(1-(IF(K108="",-1,K108)&gt;=1)*(IF(K108="",-1,K108)&lt;=3))*(1-(IF(K108="",-1,K108)=0)),IF(C108="peso_corporal",IF(ISNUMBER(E108),E108,0)+I108,I108)*(30+J108)*100+I108,0),IF((M108&gt;=6)*(1-(IF(N108="",-1,N108)&gt;=1)*(IF(N108="",-1,N108)&lt;=3))*(1-(IF(N108="",-1,N108)=0)),IF(C108="peso_corporal",IF(ISNUMBER(E108),E108,0)+L108,L108)*(30+M108)*100+L108,0),IF((P108&gt;=6)*(1-(IF(Q108="",-1,Q108)&gt;=1)*(IF(Q108="",-1,Q108)&lt;=3))*(1-(IF(Q108="",-1,Q108)=0)),IF(C108="peso_corporal",IF(ISNUMBER(E108),E108,0)+O108,O108)*(30+P108)*100+O108,0),IF((S108&gt;=6)*(1-(IF(T108="",-1,T108)&gt;=1)*(IF(T108="",-1,T108)&lt;=3))*(1-(IF(T108="",-1,T108)=0)),IF(C108="peso_corporal",IF(ISNUMBER(E108),E108,0)+R108,R108)*(30+S108)*100+R108,0))</f>
        <v>0</v>
      </c>
      <c r="AB108" s="69">
        <f>IF(AA108=0,0,IF(IF((S108&gt;=6)*(1-(IF(T108="",-1,T108)&gt;=1)*(IF(T108="",-1,T108)&lt;=3))*(1-(IF(T108="",-1,T108)=0)),IF(C108="peso_corporal",IF(ISNUMBER(E108),E108,0)+R108,R108)*(30+S108)*100+R108,0)=AA108,5,IF(IF((P108&gt;=6)*(1-(IF(Q108="",-1,Q108)&gt;=1)*(IF(Q108="",-1,Q108)&lt;=3))*(1-(IF(Q108="",-1,Q108)=0)),IF(C108="peso_corporal",IF(ISNUMBER(E108),E108,0)+O108,O108)*(30+P108)*100+O108,0)=AA108,4,IF(IF((M108&gt;=6)*(1-(IF(N108="",-1,N108)&gt;=1)*(IF(N108="",-1,N108)&lt;=3))*(1-(IF(N108="",-1,N108)=0)),IF(C108="peso_corporal",IF(ISNUMBER(E108),E108,0)+L108,L108)*(30+M108)*100+L108,0)=AA108,3,IF(IF((J108&gt;=6)*(1-(IF(K108="",-1,K108)&gt;=1)*(IF(K108="",-1,K108)&lt;=3))*(1-(IF(K108="",-1,K108)=0)),IF(C108="peso_corporal",IF(ISNUMBER(E108),E108,0)+I108,I108)*(30+J108)*100+I108,0)=AA108,2,IF(IF((G108&gt;=6)*(1-(IF(H108="",-1,H108)&gt;=1)*(IF(H108="",-1,H108)&lt;=3))*(1-(IF(H108="",-1,H108)=0)),IF(C108="peso_corporal",IF(ISNUMBER(E108),E108,0)+F108,F108)*(30+G108)*100+F108,0)=AA108,1,0))))))</f>
        <v>0</v>
      </c>
      <c r="AC108" s="69" t="str">
        <f>IF(X108&gt;0,"A"&amp;X108,IF(Z108&gt;0,"B"&amp;Z108,IF(AB108&gt;0,"C"&amp;AB108,"")))</f>
        <v/>
      </c>
    </row>
    <row r="109" spans="1:29" ht="6"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69"/>
      <c r="X109" s="69"/>
      <c r="Y109" s="69"/>
      <c r="Z109" s="69"/>
      <c r="AA109" s="69"/>
      <c r="AB109" s="69"/>
      <c r="AC109" s="69"/>
    </row>
    <row r="110" spans="1:29" ht="18" customHeight="1">
      <c r="A110" s="85" t="s">
        <v>70</v>
      </c>
      <c r="B110" s="73"/>
      <c r="C110" s="73"/>
      <c r="D110" s="73"/>
      <c r="E110" s="73"/>
      <c r="F110" s="73"/>
      <c r="G110" s="73"/>
      <c r="H110" s="73"/>
      <c r="I110" s="73"/>
      <c r="J110" s="73"/>
      <c r="K110" s="73"/>
      <c r="L110" s="73"/>
      <c r="M110" s="73"/>
      <c r="N110" s="73"/>
      <c r="O110" s="73"/>
      <c r="P110" s="73"/>
      <c r="Q110" s="73"/>
      <c r="R110" s="73"/>
      <c r="S110" s="73"/>
      <c r="T110" s="73"/>
      <c r="U110" s="73"/>
      <c r="V110" s="73"/>
      <c r="W110" s="69"/>
      <c r="X110" s="69"/>
      <c r="Y110" s="69"/>
      <c r="Z110" s="69"/>
      <c r="AA110" s="69"/>
      <c r="AB110" s="69"/>
      <c r="AC110" s="69"/>
    </row>
    <row r="111" spans="1:29" ht="15" customHeight="1">
      <c r="A111" s="81" t="s">
        <v>42</v>
      </c>
      <c r="B111" s="73"/>
      <c r="C111" s="73"/>
      <c r="D111" s="73"/>
      <c r="E111" s="73"/>
      <c r="F111" s="73"/>
      <c r="G111" s="73"/>
      <c r="H111" s="73"/>
      <c r="I111" s="73"/>
      <c r="J111" s="73"/>
      <c r="K111" s="73"/>
      <c r="L111" s="73"/>
      <c r="M111" s="73"/>
      <c r="N111" s="73"/>
      <c r="O111" s="73"/>
      <c r="P111" s="73"/>
      <c r="Q111" s="73"/>
      <c r="R111" s="73"/>
      <c r="S111" s="73"/>
      <c r="T111" s="73"/>
      <c r="U111" s="73"/>
      <c r="V111" s="73"/>
      <c r="W111" s="69"/>
      <c r="X111" s="69"/>
      <c r="Y111" s="69"/>
      <c r="Z111" s="69"/>
      <c r="AA111" s="69"/>
      <c r="AB111" s="69"/>
      <c r="AC111" s="69"/>
    </row>
    <row r="112" spans="1:29" ht="20.100000000000001" customHeight="1">
      <c r="A112" s="14" t="s">
        <v>45</v>
      </c>
      <c r="B112" s="15" t="s">
        <v>93</v>
      </c>
      <c r="C112" s="16" t="str">
        <f>IFERROR(INDEX(EJERCICIOS!$D$3:$D$75,MATCH(A112&amp;"|"&amp;B112,EJERCICIOS!$G$3:$G$75,0)),"--")</f>
        <v>--</v>
      </c>
      <c r="D112" s="17">
        <v>3</v>
      </c>
      <c r="E112" s="18">
        <f>IFERROR(LOOKUP(2,1/(MEDIDAS_Y_PESO!$B$3:$B$7&lt;&gt;""),MEDIDAS_Y_PESO!$B$3:$B$7),"--")</f>
        <v>80</v>
      </c>
      <c r="F112" s="19"/>
      <c r="G112" s="20"/>
      <c r="H112" s="21"/>
      <c r="I112" s="19"/>
      <c r="J112" s="20"/>
      <c r="K112" s="21"/>
      <c r="L112" s="19"/>
      <c r="M112" s="20"/>
      <c r="N112" s="21"/>
      <c r="O112" s="19"/>
      <c r="P112" s="20"/>
      <c r="Q112" s="21"/>
      <c r="R112" s="19"/>
      <c r="S112" s="20"/>
      <c r="T112" s="21"/>
      <c r="U112" s="22" t="str">
        <f>IFERROR(IF(IF(X112&gt;0,X112,IF(Z112&gt;0,Z112,IF(AB112&gt;0,AB112,0)))=0,"--",ROUND(CHOOSE(IF(X112&gt;0,X112,IF(Z112&gt;0,Z112,IF(AB112&gt;0,AB112,0))),IF(C112="peso_corporal",IF(ISNUMBER(E112),E112,0)+F112,F112)*(1+G112/30),IF(C112="peso_corporal",IF(ISNUMBER(E112),E112,0)+I112,I112)*(1+J112/30),IF(C112="peso_corporal",IF(ISNUMBER(E112),E112,0)+L112,L112)*(1+M112/30),IF(C112="peso_corporal",IF(ISNUMBER(E112),E112,0)+O112,O112)*(1+P112/30),IF(C112="peso_corporal",IF(ISNUMBER(E112),E112,0)+R112,R112)*(1+S112/30)),1)),"--")</f>
        <v>--</v>
      </c>
      <c r="V112" s="23" t="str">
        <f>IF(SUGERENCIAS!N293="SIN","Sin datos anteriores",IF(SUGERENCIAS!N293="SUBIR_F","^ SUBIR FUERTE | Kg:"&amp;ROUND(SUGERENCIAS!K293,1)&amp;" R:"&amp;ROUND(SUGERENCIAS!L293,0)&amp;" RIR:"&amp;ROUND(SUGERENCIAS!M293,0),IF(SUGERENCIAS!N293="SUBIR_E","^ SUBIR (Est.) | Kg:"&amp;ROUND(SUGERENCIAS!K293,1)&amp;" R:"&amp;ROUND(SUGERENCIAS!L293,0)&amp;" RIR:"&amp;ROUND(SUGERENCIAS!M293,0),IF(SUGERENCIAS!N293="SUBIR","^ SUBIR | Kg:"&amp;ROUND(SUGERENCIAS!K293,1)&amp;" R:"&amp;ROUND(SUGERENCIAS!L293,0)&amp;" RIR:"&amp;ROUND(SUGERENCIAS!M293,0),IF(SUGERENCIAS!N293="BAJAR","v BAJAR | Kg:"&amp;ROUND(SUGERENCIAS!K293,1)&amp;" R:"&amp;ROUND(SUGERENCIAS!L293,0)&amp;" RIR:"&amp;ROUND(SUGERENCIAS!M293,0),"= MANT | Kg:"&amp;ROUND(SUGERENCIAS!K293,1)&amp;" R:"&amp;ROUND(SUGERENCIAS!L293,0)&amp;" RIR:"&amp;ROUND(SUGERENCIAS!M293,0))))))</f>
        <v>Sin datos anteriores</v>
      </c>
      <c r="W112" s="69">
        <f>MAX(IF((G112&gt;0)*(IF(H112="",-1,H112)&gt;=1)*(IF(H112="",-1,H112)&lt;=3),IF(C112="peso_corporal",IF(ISNUMBER(E112),E112,0)+F112,F112)*G112*1000+F112,0),IF((J112&gt;0)*(IF(K112="",-1,K112)&gt;=1)*(IF(K112="",-1,K112)&lt;=3),IF(C112="peso_corporal",IF(ISNUMBER(E112),E112,0)+I112,I112)*J112*1000+I112,0),IF((M112&gt;0)*(IF(N112="",-1,N112)&gt;=1)*(IF(N112="",-1,N112)&lt;=3),IF(C112="peso_corporal",IF(ISNUMBER(E112),E112,0)+L112,L112)*M112*1000+L112,0),IF((P112&gt;0)*(IF(Q112="",-1,Q112)&gt;=1)*(IF(Q112="",-1,Q112)&lt;=3),IF(C112="peso_corporal",IF(ISNUMBER(E112),E112,0)+O112,O112)*P112*1000+O112,0),IF((S112&gt;0)*(IF(T112="",-1,T112)&gt;=1)*(IF(T112="",-1,T112)&lt;=3),IF(C112="peso_corporal",IF(ISNUMBER(E112),E112,0)+R112,R112)*S112*1000+R112,0))</f>
        <v>0</v>
      </c>
      <c r="X112" s="69">
        <f>IF(W112=0,0,IF(IF((S112&gt;0)*(IF(T112="",-1,T112)&gt;=1)*(IF(T112="",-1,T112)&lt;=3),IF(C112="peso_corporal",IF(ISNUMBER(E112),E112,0)+R112,R112)*S112*1000+R112,0)=W112,5,IF(IF((P112&gt;0)*(IF(Q112="",-1,Q112)&gt;=1)*(IF(Q112="",-1,Q112)&lt;=3),IF(C112="peso_corporal",IF(ISNUMBER(E112),E112,0)+O112,O112)*P112*1000+O112,0)=W112,4,IF(IF((M112&gt;0)*(IF(N112="",-1,N112)&gt;=1)*(IF(N112="",-1,N112)&lt;=3),IF(C112="peso_corporal",IF(ISNUMBER(E112),E112,0)+L112,L112)*M112*1000+L112,0)=W112,3,IF(IF((J112&gt;0)*(IF(K112="",-1,K112)&gt;=1)*(IF(K112="",-1,K112)&lt;=3),IF(C112="peso_corporal",IF(ISNUMBER(E112),E112,0)+I112,I112)*J112*1000+I112,0)=W112,2,IF(IF((G112&gt;0)*(IF(H112="",-1,H112)&gt;=1)*(IF(H112="",-1,H112)&lt;=3),IF(C112="peso_corporal",IF(ISNUMBER(E112),E112,0)+F112,F112)*G112*1000+F112,0)=W112,1,0))))))</f>
        <v>0</v>
      </c>
      <c r="Y112" s="69">
        <f>MAX(IF((G112&gt;0)*(IF(H112="",-1,H112)=0)*(1-(IF(H112="",-1,H112)&gt;=1)*(IF(H112="",-1,H112)&lt;=3)),IF(C112="peso_corporal",IF(ISNUMBER(E112),E112,0)+F112,F112)*G112*1000+F112,0),IF((J112&gt;0)*(IF(K112="",-1,K112)=0)*(1-(IF(K112="",-1,K112)&gt;=1)*(IF(K112="",-1,K112)&lt;=3)),IF(C112="peso_corporal",IF(ISNUMBER(E112),E112,0)+I112,I112)*J112*1000+I112,0),IF((M112&gt;0)*(IF(N112="",-1,N112)=0)*(1-(IF(N112="",-1,N112)&gt;=1)*(IF(N112="",-1,N112)&lt;=3)),IF(C112="peso_corporal",IF(ISNUMBER(E112),E112,0)+L112,L112)*M112*1000+L112,0),IF((P112&gt;0)*(IF(Q112="",-1,Q112)=0)*(1-(IF(Q112="",-1,Q112)&gt;=1)*(IF(Q112="",-1,Q112)&lt;=3)),IF(C112="peso_corporal",IF(ISNUMBER(E112),E112,0)+O112,O112)*P112*1000+O112,0),IF((S112&gt;0)*(IF(T112="",-1,T112)=0)*(1-(IF(T112="",-1,T112)&gt;=1)*(IF(T112="",-1,T112)&lt;=3)),IF(C112="peso_corporal",IF(ISNUMBER(E112),E112,0)+R112,R112)*S112*1000+R112,0))</f>
        <v>0</v>
      </c>
      <c r="Z112" s="69">
        <f>IF(Y112=0,0,IF(IF((S112&gt;0)*(IF(T112="",-1,T112)=0)*(1-(IF(T112="",-1,T112)&gt;=1)*(IF(T112="",-1,T112)&lt;=3)),IF(C112="peso_corporal",IF(ISNUMBER(E112),E112,0)+R112,R112)*S112*1000+R112,0)=Y112,5,IF(IF((P112&gt;0)*(IF(Q112="",-1,Q112)=0)*(1-(IF(Q112="",-1,Q112)&gt;=1)*(IF(Q112="",-1,Q112)&lt;=3)),IF(C112="peso_corporal",IF(ISNUMBER(E112),E112,0)+O112,O112)*P112*1000+O112,0)=Y112,4,IF(IF((M112&gt;0)*(IF(N112="",-1,N112)=0)*(1-(IF(N112="",-1,N112)&gt;=1)*(IF(N112="",-1,N112)&lt;=3)),IF(C112="peso_corporal",IF(ISNUMBER(E112),E112,0)+L112,L112)*M112*1000+L112,0)=Y112,3,IF(IF((J112&gt;0)*(IF(K112="",-1,K112)=0)*(1-(IF(K112="",-1,K112)&gt;=1)*(IF(K112="",-1,K112)&lt;=3)),IF(C112="peso_corporal",IF(ISNUMBER(E112),E112,0)+I112,I112)*J112*1000+I112,0)=Y112,2,IF(IF((G112&gt;0)*(IF(H112="",-1,H112)=0)*(1-(IF(H112="",-1,H112)&gt;=1)*(IF(H112="",-1,H112)&lt;=3)),IF(C112="peso_corporal",IF(ISNUMBER(E112),E112,0)+F112,F112)*G112*1000+F112,0)=Y112,1,0))))))</f>
        <v>0</v>
      </c>
      <c r="AA112" s="69">
        <f>MAX(IF((G112&gt;=6)*(1-(IF(H112="",-1,H112)&gt;=1)*(IF(H112="",-1,H112)&lt;=3))*(1-(IF(H112="",-1,H112)=0)),IF(C112="peso_corporal",IF(ISNUMBER(E112),E112,0)+F112,F112)*(30+G112)*100+F112,0),IF((J112&gt;=6)*(1-(IF(K112="",-1,K112)&gt;=1)*(IF(K112="",-1,K112)&lt;=3))*(1-(IF(K112="",-1,K112)=0)),IF(C112="peso_corporal",IF(ISNUMBER(E112),E112,0)+I112,I112)*(30+J112)*100+I112,0),IF((M112&gt;=6)*(1-(IF(N112="",-1,N112)&gt;=1)*(IF(N112="",-1,N112)&lt;=3))*(1-(IF(N112="",-1,N112)=0)),IF(C112="peso_corporal",IF(ISNUMBER(E112),E112,0)+L112,L112)*(30+M112)*100+L112,0),IF((P112&gt;=6)*(1-(IF(Q112="",-1,Q112)&gt;=1)*(IF(Q112="",-1,Q112)&lt;=3))*(1-(IF(Q112="",-1,Q112)=0)),IF(C112="peso_corporal",IF(ISNUMBER(E112),E112,0)+O112,O112)*(30+P112)*100+O112,0),IF((S112&gt;=6)*(1-(IF(T112="",-1,T112)&gt;=1)*(IF(T112="",-1,T112)&lt;=3))*(1-(IF(T112="",-1,T112)=0)),IF(C112="peso_corporal",IF(ISNUMBER(E112),E112,0)+R112,R112)*(30+S112)*100+R112,0))</f>
        <v>0</v>
      </c>
      <c r="AB112" s="69">
        <f>IF(AA112=0,0,IF(IF((S112&gt;=6)*(1-(IF(T112="",-1,T112)&gt;=1)*(IF(T112="",-1,T112)&lt;=3))*(1-(IF(T112="",-1,T112)=0)),IF(C112="peso_corporal",IF(ISNUMBER(E112),E112,0)+R112,R112)*(30+S112)*100+R112,0)=AA112,5,IF(IF((P112&gt;=6)*(1-(IF(Q112="",-1,Q112)&gt;=1)*(IF(Q112="",-1,Q112)&lt;=3))*(1-(IF(Q112="",-1,Q112)=0)),IF(C112="peso_corporal",IF(ISNUMBER(E112),E112,0)+O112,O112)*(30+P112)*100+O112,0)=AA112,4,IF(IF((M112&gt;=6)*(1-(IF(N112="",-1,N112)&gt;=1)*(IF(N112="",-1,N112)&lt;=3))*(1-(IF(N112="",-1,N112)=0)),IF(C112="peso_corporal",IF(ISNUMBER(E112),E112,0)+L112,L112)*(30+M112)*100+L112,0)=AA112,3,IF(IF((J112&gt;=6)*(1-(IF(K112="",-1,K112)&gt;=1)*(IF(K112="",-1,K112)&lt;=3))*(1-(IF(K112="",-1,K112)=0)),IF(C112="peso_corporal",IF(ISNUMBER(E112),E112,0)+I112,I112)*(30+J112)*100+I112,0)=AA112,2,IF(IF((G112&gt;=6)*(1-(IF(H112="",-1,H112)&gt;=1)*(IF(H112="",-1,H112)&lt;=3))*(1-(IF(H112="",-1,H112)=0)),IF(C112="peso_corporal",IF(ISNUMBER(E112),E112,0)+F112,F112)*(30+G112)*100+F112,0)=AA112,1,0))))))</f>
        <v>0</v>
      </c>
      <c r="AC112" s="69" t="str">
        <f>IF(X112&gt;0,"A"&amp;X112,IF(Z112&gt;0,"B"&amp;Z112,IF(AB112&gt;0,"C"&amp;AB112,"")))</f>
        <v/>
      </c>
    </row>
    <row r="113" spans="1:29" ht="20.100000000000001" customHeight="1">
      <c r="A113" s="14" t="s">
        <v>43</v>
      </c>
      <c r="B113" s="15" t="s">
        <v>159</v>
      </c>
      <c r="C113" s="16" t="str">
        <f>IFERROR(INDEX(EJERCICIOS!$D$3:$D$75,MATCH(A113&amp;"|"&amp;B113,EJERCICIOS!$G$3:$G$75,0)),"--")</f>
        <v>--</v>
      </c>
      <c r="D113" s="17">
        <v>3</v>
      </c>
      <c r="E113" s="18">
        <f>IFERROR(LOOKUP(2,1/(MEDIDAS_Y_PESO!$B$3:$B$7&lt;&gt;""),MEDIDAS_Y_PESO!$B$3:$B$7),"--")</f>
        <v>80</v>
      </c>
      <c r="F113" s="19"/>
      <c r="G113" s="20"/>
      <c r="H113" s="21"/>
      <c r="I113" s="19"/>
      <c r="J113" s="20"/>
      <c r="K113" s="21"/>
      <c r="L113" s="19"/>
      <c r="M113" s="20"/>
      <c r="N113" s="21"/>
      <c r="O113" s="19"/>
      <c r="P113" s="20"/>
      <c r="Q113" s="21"/>
      <c r="R113" s="19"/>
      <c r="S113" s="20"/>
      <c r="T113" s="21"/>
      <c r="U113" s="22" t="str">
        <f>IFERROR(IF(IF(X113&gt;0,X113,IF(Z113&gt;0,Z113,IF(AB113&gt;0,AB113,0)))=0,"--",ROUND(CHOOSE(IF(X113&gt;0,X113,IF(Z113&gt;0,Z113,IF(AB113&gt;0,AB113,0))),IF(C113="peso_corporal",IF(ISNUMBER(E113),E113,0)+F113,F113)*(1+G113/30),IF(C113="peso_corporal",IF(ISNUMBER(E113),E113,0)+I113,I113)*(1+J113/30),IF(C113="peso_corporal",IF(ISNUMBER(E113),E113,0)+L113,L113)*(1+M113/30),IF(C113="peso_corporal",IF(ISNUMBER(E113),E113,0)+O113,O113)*(1+P113/30),IF(C113="peso_corporal",IF(ISNUMBER(E113),E113,0)+R113,R113)*(1+S113/30)),1)),"--")</f>
        <v>--</v>
      </c>
      <c r="V113" s="23" t="str">
        <f>IF(SUGERENCIAS!N294="SIN","Sin datos anteriores",IF(SUGERENCIAS!N294="SUBIR_F","^ SUBIR FUERTE | Kg:"&amp;ROUND(SUGERENCIAS!K294,1)&amp;" R:"&amp;ROUND(SUGERENCIAS!L294,0)&amp;" RIR:"&amp;ROUND(SUGERENCIAS!M294,0),IF(SUGERENCIAS!N294="SUBIR_E","^ SUBIR (Est.) | Kg:"&amp;ROUND(SUGERENCIAS!K294,1)&amp;" R:"&amp;ROUND(SUGERENCIAS!L294,0)&amp;" RIR:"&amp;ROUND(SUGERENCIAS!M294,0),IF(SUGERENCIAS!N294="SUBIR","^ SUBIR | Kg:"&amp;ROUND(SUGERENCIAS!K294,1)&amp;" R:"&amp;ROUND(SUGERENCIAS!L294,0)&amp;" RIR:"&amp;ROUND(SUGERENCIAS!M294,0),IF(SUGERENCIAS!N294="BAJAR","v BAJAR | Kg:"&amp;ROUND(SUGERENCIAS!K294,1)&amp;" R:"&amp;ROUND(SUGERENCIAS!L294,0)&amp;" RIR:"&amp;ROUND(SUGERENCIAS!M294,0),"= MANT | Kg:"&amp;ROUND(SUGERENCIAS!K294,1)&amp;" R:"&amp;ROUND(SUGERENCIAS!L294,0)&amp;" RIR:"&amp;ROUND(SUGERENCIAS!M294,0))))))</f>
        <v>Sin datos anteriores</v>
      </c>
      <c r="W113" s="69">
        <f>MAX(IF((G113&gt;0)*(IF(H113="",-1,H113)&gt;=1)*(IF(H113="",-1,H113)&lt;=3),IF(C113="peso_corporal",IF(ISNUMBER(E113),E113,0)+F113,F113)*G113*1000+F113,0),IF((J113&gt;0)*(IF(K113="",-1,K113)&gt;=1)*(IF(K113="",-1,K113)&lt;=3),IF(C113="peso_corporal",IF(ISNUMBER(E113),E113,0)+I113,I113)*J113*1000+I113,0),IF((M113&gt;0)*(IF(N113="",-1,N113)&gt;=1)*(IF(N113="",-1,N113)&lt;=3),IF(C113="peso_corporal",IF(ISNUMBER(E113),E113,0)+L113,L113)*M113*1000+L113,0),IF((P113&gt;0)*(IF(Q113="",-1,Q113)&gt;=1)*(IF(Q113="",-1,Q113)&lt;=3),IF(C113="peso_corporal",IF(ISNUMBER(E113),E113,0)+O113,O113)*P113*1000+O113,0),IF((S113&gt;0)*(IF(T113="",-1,T113)&gt;=1)*(IF(T113="",-1,T113)&lt;=3),IF(C113="peso_corporal",IF(ISNUMBER(E113),E113,0)+R113,R113)*S113*1000+R113,0))</f>
        <v>0</v>
      </c>
      <c r="X113" s="69">
        <f>IF(W113=0,0,IF(IF((S113&gt;0)*(IF(T113="",-1,T113)&gt;=1)*(IF(T113="",-1,T113)&lt;=3),IF(C113="peso_corporal",IF(ISNUMBER(E113),E113,0)+R113,R113)*S113*1000+R113,0)=W113,5,IF(IF((P113&gt;0)*(IF(Q113="",-1,Q113)&gt;=1)*(IF(Q113="",-1,Q113)&lt;=3),IF(C113="peso_corporal",IF(ISNUMBER(E113),E113,0)+O113,O113)*P113*1000+O113,0)=W113,4,IF(IF((M113&gt;0)*(IF(N113="",-1,N113)&gt;=1)*(IF(N113="",-1,N113)&lt;=3),IF(C113="peso_corporal",IF(ISNUMBER(E113),E113,0)+L113,L113)*M113*1000+L113,0)=W113,3,IF(IF((J113&gt;0)*(IF(K113="",-1,K113)&gt;=1)*(IF(K113="",-1,K113)&lt;=3),IF(C113="peso_corporal",IF(ISNUMBER(E113),E113,0)+I113,I113)*J113*1000+I113,0)=W113,2,IF(IF((G113&gt;0)*(IF(H113="",-1,H113)&gt;=1)*(IF(H113="",-1,H113)&lt;=3),IF(C113="peso_corporal",IF(ISNUMBER(E113),E113,0)+F113,F113)*G113*1000+F113,0)=W113,1,0))))))</f>
        <v>0</v>
      </c>
      <c r="Y113" s="69">
        <f>MAX(IF((G113&gt;0)*(IF(H113="",-1,H113)=0)*(1-(IF(H113="",-1,H113)&gt;=1)*(IF(H113="",-1,H113)&lt;=3)),IF(C113="peso_corporal",IF(ISNUMBER(E113),E113,0)+F113,F113)*G113*1000+F113,0),IF((J113&gt;0)*(IF(K113="",-1,K113)=0)*(1-(IF(K113="",-1,K113)&gt;=1)*(IF(K113="",-1,K113)&lt;=3)),IF(C113="peso_corporal",IF(ISNUMBER(E113),E113,0)+I113,I113)*J113*1000+I113,0),IF((M113&gt;0)*(IF(N113="",-1,N113)=0)*(1-(IF(N113="",-1,N113)&gt;=1)*(IF(N113="",-1,N113)&lt;=3)),IF(C113="peso_corporal",IF(ISNUMBER(E113),E113,0)+L113,L113)*M113*1000+L113,0),IF((P113&gt;0)*(IF(Q113="",-1,Q113)=0)*(1-(IF(Q113="",-1,Q113)&gt;=1)*(IF(Q113="",-1,Q113)&lt;=3)),IF(C113="peso_corporal",IF(ISNUMBER(E113),E113,0)+O113,O113)*P113*1000+O113,0),IF((S113&gt;0)*(IF(T113="",-1,T113)=0)*(1-(IF(T113="",-1,T113)&gt;=1)*(IF(T113="",-1,T113)&lt;=3)),IF(C113="peso_corporal",IF(ISNUMBER(E113),E113,0)+R113,R113)*S113*1000+R113,0))</f>
        <v>0</v>
      </c>
      <c r="Z113" s="69">
        <f>IF(Y113=0,0,IF(IF((S113&gt;0)*(IF(T113="",-1,T113)=0)*(1-(IF(T113="",-1,T113)&gt;=1)*(IF(T113="",-1,T113)&lt;=3)),IF(C113="peso_corporal",IF(ISNUMBER(E113),E113,0)+R113,R113)*S113*1000+R113,0)=Y113,5,IF(IF((P113&gt;0)*(IF(Q113="",-1,Q113)=0)*(1-(IF(Q113="",-1,Q113)&gt;=1)*(IF(Q113="",-1,Q113)&lt;=3)),IF(C113="peso_corporal",IF(ISNUMBER(E113),E113,0)+O113,O113)*P113*1000+O113,0)=Y113,4,IF(IF((M113&gt;0)*(IF(N113="",-1,N113)=0)*(1-(IF(N113="",-1,N113)&gt;=1)*(IF(N113="",-1,N113)&lt;=3)),IF(C113="peso_corporal",IF(ISNUMBER(E113),E113,0)+L113,L113)*M113*1000+L113,0)=Y113,3,IF(IF((J113&gt;0)*(IF(K113="",-1,K113)=0)*(1-(IF(K113="",-1,K113)&gt;=1)*(IF(K113="",-1,K113)&lt;=3)),IF(C113="peso_corporal",IF(ISNUMBER(E113),E113,0)+I113,I113)*J113*1000+I113,0)=Y113,2,IF(IF((G113&gt;0)*(IF(H113="",-1,H113)=0)*(1-(IF(H113="",-1,H113)&gt;=1)*(IF(H113="",-1,H113)&lt;=3)),IF(C113="peso_corporal",IF(ISNUMBER(E113),E113,0)+F113,F113)*G113*1000+F113,0)=Y113,1,0))))))</f>
        <v>0</v>
      </c>
      <c r="AA113" s="69">
        <f>MAX(IF((G113&gt;=6)*(1-(IF(H113="",-1,H113)&gt;=1)*(IF(H113="",-1,H113)&lt;=3))*(1-(IF(H113="",-1,H113)=0)),IF(C113="peso_corporal",IF(ISNUMBER(E113),E113,0)+F113,F113)*(30+G113)*100+F113,0),IF((J113&gt;=6)*(1-(IF(K113="",-1,K113)&gt;=1)*(IF(K113="",-1,K113)&lt;=3))*(1-(IF(K113="",-1,K113)=0)),IF(C113="peso_corporal",IF(ISNUMBER(E113),E113,0)+I113,I113)*(30+J113)*100+I113,0),IF((M113&gt;=6)*(1-(IF(N113="",-1,N113)&gt;=1)*(IF(N113="",-1,N113)&lt;=3))*(1-(IF(N113="",-1,N113)=0)),IF(C113="peso_corporal",IF(ISNUMBER(E113),E113,0)+L113,L113)*(30+M113)*100+L113,0),IF((P113&gt;=6)*(1-(IF(Q113="",-1,Q113)&gt;=1)*(IF(Q113="",-1,Q113)&lt;=3))*(1-(IF(Q113="",-1,Q113)=0)),IF(C113="peso_corporal",IF(ISNUMBER(E113),E113,0)+O113,O113)*(30+P113)*100+O113,0),IF((S113&gt;=6)*(1-(IF(T113="",-1,T113)&gt;=1)*(IF(T113="",-1,T113)&lt;=3))*(1-(IF(T113="",-1,T113)=0)),IF(C113="peso_corporal",IF(ISNUMBER(E113),E113,0)+R113,R113)*(30+S113)*100+R113,0))</f>
        <v>0</v>
      </c>
      <c r="AB113" s="69">
        <f>IF(AA113=0,0,IF(IF((S113&gt;=6)*(1-(IF(T113="",-1,T113)&gt;=1)*(IF(T113="",-1,T113)&lt;=3))*(1-(IF(T113="",-1,T113)=0)),IF(C113="peso_corporal",IF(ISNUMBER(E113),E113,0)+R113,R113)*(30+S113)*100+R113,0)=AA113,5,IF(IF((P113&gt;=6)*(1-(IF(Q113="",-1,Q113)&gt;=1)*(IF(Q113="",-1,Q113)&lt;=3))*(1-(IF(Q113="",-1,Q113)=0)),IF(C113="peso_corporal",IF(ISNUMBER(E113),E113,0)+O113,O113)*(30+P113)*100+O113,0)=AA113,4,IF(IF((M113&gt;=6)*(1-(IF(N113="",-1,N113)&gt;=1)*(IF(N113="",-1,N113)&lt;=3))*(1-(IF(N113="",-1,N113)=0)),IF(C113="peso_corporal",IF(ISNUMBER(E113),E113,0)+L113,L113)*(30+M113)*100+L113,0)=AA113,3,IF(IF((J113&gt;=6)*(1-(IF(K113="",-1,K113)&gt;=1)*(IF(K113="",-1,K113)&lt;=3))*(1-(IF(K113="",-1,K113)=0)),IF(C113="peso_corporal",IF(ISNUMBER(E113),E113,0)+I113,I113)*(30+J113)*100+I113,0)=AA113,2,IF(IF((G113&gt;=6)*(1-(IF(H113="",-1,H113)&gt;=1)*(IF(H113="",-1,H113)&lt;=3))*(1-(IF(H113="",-1,H113)=0)),IF(C113="peso_corporal",IF(ISNUMBER(E113),E113,0)+F113,F113)*(30+G113)*100+F113,0)=AA113,1,0))))))</f>
        <v>0</v>
      </c>
      <c r="AC113" s="69" t="str">
        <f>IF(X113&gt;0,"A"&amp;X113,IF(Z113&gt;0,"B"&amp;Z113,IF(AB113&gt;0,"C"&amp;AB113,"")))</f>
        <v/>
      </c>
    </row>
    <row r="114" spans="1:29" ht="11.1" customHeight="1">
      <c r="A114" s="92" t="s">
        <v>160</v>
      </c>
      <c r="B114" s="73"/>
      <c r="C114" s="73"/>
      <c r="D114" s="73"/>
      <c r="E114" s="73"/>
      <c r="F114" s="73"/>
      <c r="G114" s="73"/>
      <c r="H114" s="73"/>
      <c r="I114" s="73"/>
      <c r="J114" s="73"/>
      <c r="K114" s="73"/>
      <c r="L114" s="73"/>
      <c r="M114" s="73"/>
      <c r="N114" s="73"/>
      <c r="O114" s="73"/>
      <c r="P114" s="73"/>
      <c r="Q114" s="73"/>
      <c r="R114" s="73"/>
      <c r="S114" s="73"/>
      <c r="T114" s="73"/>
      <c r="U114" s="73"/>
      <c r="V114" s="73"/>
      <c r="W114" s="69"/>
      <c r="X114" s="69"/>
      <c r="Y114" s="69"/>
      <c r="Z114" s="69"/>
      <c r="AA114" s="69"/>
      <c r="AB114" s="69"/>
      <c r="AC114" s="69"/>
    </row>
    <row r="115" spans="1:29" ht="20.100000000000001" customHeight="1">
      <c r="A115" s="14" t="s">
        <v>161</v>
      </c>
      <c r="B115" s="15" t="s">
        <v>162</v>
      </c>
      <c r="C115" s="16" t="str">
        <f>IFERROR(INDEX(EJERCICIOS!$D$3:$D$75,MATCH(A115&amp;"|"&amp;B115,EJERCICIOS!$G$3:$G$75,0)),"--")</f>
        <v>mancuerna</v>
      </c>
      <c r="D115" s="17">
        <v>3</v>
      </c>
      <c r="E115" s="18">
        <f>IFERROR(LOOKUP(2,1/(MEDIDAS_Y_PESO!$B$3:$B$7&lt;&gt;""),MEDIDAS_Y_PESO!$B$3:$B$7),"--")</f>
        <v>80</v>
      </c>
      <c r="F115" s="19"/>
      <c r="G115" s="20"/>
      <c r="H115" s="21"/>
      <c r="I115" s="19"/>
      <c r="J115" s="20"/>
      <c r="K115" s="21"/>
      <c r="L115" s="19"/>
      <c r="M115" s="20"/>
      <c r="N115" s="21"/>
      <c r="O115" s="19"/>
      <c r="P115" s="20"/>
      <c r="Q115" s="21"/>
      <c r="R115" s="19"/>
      <c r="S115" s="20"/>
      <c r="T115" s="21"/>
      <c r="U115" s="22" t="str">
        <f>IFERROR(IF(IF(X115&gt;0,X115,IF(Z115&gt;0,Z115,IF(AB115&gt;0,AB115,0)))=0,"--",ROUND(CHOOSE(IF(X115&gt;0,X115,IF(Z115&gt;0,Z115,IF(AB115&gt;0,AB115,0))),IF(C115="peso_corporal",IF(ISNUMBER(E115),E115,0)+F115,F115)*(1+G115/30),IF(C115="peso_corporal",IF(ISNUMBER(E115),E115,0)+I115,I115)*(1+J115/30),IF(C115="peso_corporal",IF(ISNUMBER(E115),E115,0)+L115,L115)*(1+M115/30),IF(C115="peso_corporal",IF(ISNUMBER(E115),E115,0)+O115,O115)*(1+P115/30),IF(C115="peso_corporal",IF(ISNUMBER(E115),E115,0)+R115,R115)*(1+S115/30)),1)),"--")</f>
        <v>--</v>
      </c>
      <c r="V115" s="23" t="str">
        <f>IF(SUGERENCIAS!N295="SIN","Sin datos anteriores",IF(SUGERENCIAS!N295="SUBIR_F","^ SUBIR FUERTE | Kg:"&amp;ROUND(SUGERENCIAS!K295,1)&amp;" R:"&amp;ROUND(SUGERENCIAS!L295,0)&amp;" RIR:"&amp;ROUND(SUGERENCIAS!M295,0),IF(SUGERENCIAS!N295="SUBIR_E","^ SUBIR (Est.) | Kg:"&amp;ROUND(SUGERENCIAS!K295,1)&amp;" R:"&amp;ROUND(SUGERENCIAS!L295,0)&amp;" RIR:"&amp;ROUND(SUGERENCIAS!M295,0),IF(SUGERENCIAS!N295="SUBIR","^ SUBIR | Kg:"&amp;ROUND(SUGERENCIAS!K295,1)&amp;" R:"&amp;ROUND(SUGERENCIAS!L295,0)&amp;" RIR:"&amp;ROUND(SUGERENCIAS!M295,0),IF(SUGERENCIAS!N295="BAJAR","v BAJAR | Kg:"&amp;ROUND(SUGERENCIAS!K295,1)&amp;" R:"&amp;ROUND(SUGERENCIAS!L295,0)&amp;" RIR:"&amp;ROUND(SUGERENCIAS!M295,0),"= MANT | Kg:"&amp;ROUND(SUGERENCIAS!K295,1)&amp;" R:"&amp;ROUND(SUGERENCIAS!L295,0)&amp;" RIR:"&amp;ROUND(SUGERENCIAS!M295,0))))))</f>
        <v>Sin datos anteriores</v>
      </c>
      <c r="W115" s="69">
        <f>MAX(IF((G115&gt;0)*(IF(H115="",-1,H115)&gt;=1)*(IF(H115="",-1,H115)&lt;=3),IF(C115="peso_corporal",IF(ISNUMBER(E115),E115,0)+F115,F115)*G115*1000+F115,0),IF((J115&gt;0)*(IF(K115="",-1,K115)&gt;=1)*(IF(K115="",-1,K115)&lt;=3),IF(C115="peso_corporal",IF(ISNUMBER(E115),E115,0)+I115,I115)*J115*1000+I115,0),IF((M115&gt;0)*(IF(N115="",-1,N115)&gt;=1)*(IF(N115="",-1,N115)&lt;=3),IF(C115="peso_corporal",IF(ISNUMBER(E115),E115,0)+L115,L115)*M115*1000+L115,0),IF((P115&gt;0)*(IF(Q115="",-1,Q115)&gt;=1)*(IF(Q115="",-1,Q115)&lt;=3),IF(C115="peso_corporal",IF(ISNUMBER(E115),E115,0)+O115,O115)*P115*1000+O115,0),IF((S115&gt;0)*(IF(T115="",-1,T115)&gt;=1)*(IF(T115="",-1,T115)&lt;=3),IF(C115="peso_corporal",IF(ISNUMBER(E115),E115,0)+R115,R115)*S115*1000+R115,0))</f>
        <v>0</v>
      </c>
      <c r="X115" s="69">
        <f>IF(W115=0,0,IF(IF((S115&gt;0)*(IF(T115="",-1,T115)&gt;=1)*(IF(T115="",-1,T115)&lt;=3),IF(C115="peso_corporal",IF(ISNUMBER(E115),E115,0)+R115,R115)*S115*1000+R115,0)=W115,5,IF(IF((P115&gt;0)*(IF(Q115="",-1,Q115)&gt;=1)*(IF(Q115="",-1,Q115)&lt;=3),IF(C115="peso_corporal",IF(ISNUMBER(E115),E115,0)+O115,O115)*P115*1000+O115,0)=W115,4,IF(IF((M115&gt;0)*(IF(N115="",-1,N115)&gt;=1)*(IF(N115="",-1,N115)&lt;=3),IF(C115="peso_corporal",IF(ISNUMBER(E115),E115,0)+L115,L115)*M115*1000+L115,0)=W115,3,IF(IF((J115&gt;0)*(IF(K115="",-1,K115)&gt;=1)*(IF(K115="",-1,K115)&lt;=3),IF(C115="peso_corporal",IF(ISNUMBER(E115),E115,0)+I115,I115)*J115*1000+I115,0)=W115,2,IF(IF((G115&gt;0)*(IF(H115="",-1,H115)&gt;=1)*(IF(H115="",-1,H115)&lt;=3),IF(C115="peso_corporal",IF(ISNUMBER(E115),E115,0)+F115,F115)*G115*1000+F115,0)=W115,1,0))))))</f>
        <v>0</v>
      </c>
      <c r="Y115" s="69">
        <f>MAX(IF((G115&gt;0)*(IF(H115="",-1,H115)=0)*(1-(IF(H115="",-1,H115)&gt;=1)*(IF(H115="",-1,H115)&lt;=3)),IF(C115="peso_corporal",IF(ISNUMBER(E115),E115,0)+F115,F115)*G115*1000+F115,0),IF((J115&gt;0)*(IF(K115="",-1,K115)=0)*(1-(IF(K115="",-1,K115)&gt;=1)*(IF(K115="",-1,K115)&lt;=3)),IF(C115="peso_corporal",IF(ISNUMBER(E115),E115,0)+I115,I115)*J115*1000+I115,0),IF((M115&gt;0)*(IF(N115="",-1,N115)=0)*(1-(IF(N115="",-1,N115)&gt;=1)*(IF(N115="",-1,N115)&lt;=3)),IF(C115="peso_corporal",IF(ISNUMBER(E115),E115,0)+L115,L115)*M115*1000+L115,0),IF((P115&gt;0)*(IF(Q115="",-1,Q115)=0)*(1-(IF(Q115="",-1,Q115)&gt;=1)*(IF(Q115="",-1,Q115)&lt;=3)),IF(C115="peso_corporal",IF(ISNUMBER(E115),E115,0)+O115,O115)*P115*1000+O115,0),IF((S115&gt;0)*(IF(T115="",-1,T115)=0)*(1-(IF(T115="",-1,T115)&gt;=1)*(IF(T115="",-1,T115)&lt;=3)),IF(C115="peso_corporal",IF(ISNUMBER(E115),E115,0)+R115,R115)*S115*1000+R115,0))</f>
        <v>0</v>
      </c>
      <c r="Z115" s="69">
        <f>IF(Y115=0,0,IF(IF((S115&gt;0)*(IF(T115="",-1,T115)=0)*(1-(IF(T115="",-1,T115)&gt;=1)*(IF(T115="",-1,T115)&lt;=3)),IF(C115="peso_corporal",IF(ISNUMBER(E115),E115,0)+R115,R115)*S115*1000+R115,0)=Y115,5,IF(IF((P115&gt;0)*(IF(Q115="",-1,Q115)=0)*(1-(IF(Q115="",-1,Q115)&gt;=1)*(IF(Q115="",-1,Q115)&lt;=3)),IF(C115="peso_corporal",IF(ISNUMBER(E115),E115,0)+O115,O115)*P115*1000+O115,0)=Y115,4,IF(IF((M115&gt;0)*(IF(N115="",-1,N115)=0)*(1-(IF(N115="",-1,N115)&gt;=1)*(IF(N115="",-1,N115)&lt;=3)),IF(C115="peso_corporal",IF(ISNUMBER(E115),E115,0)+L115,L115)*M115*1000+L115,0)=Y115,3,IF(IF((J115&gt;0)*(IF(K115="",-1,K115)=0)*(1-(IF(K115="",-1,K115)&gt;=1)*(IF(K115="",-1,K115)&lt;=3)),IF(C115="peso_corporal",IF(ISNUMBER(E115),E115,0)+I115,I115)*J115*1000+I115,0)=Y115,2,IF(IF((G115&gt;0)*(IF(H115="",-1,H115)=0)*(1-(IF(H115="",-1,H115)&gt;=1)*(IF(H115="",-1,H115)&lt;=3)),IF(C115="peso_corporal",IF(ISNUMBER(E115),E115,0)+F115,F115)*G115*1000+F115,0)=Y115,1,0))))))</f>
        <v>0</v>
      </c>
      <c r="AA115" s="69">
        <f>MAX(IF((G115&gt;=6)*(1-(IF(H115="",-1,H115)&gt;=1)*(IF(H115="",-1,H115)&lt;=3))*(1-(IF(H115="",-1,H115)=0)),IF(C115="peso_corporal",IF(ISNUMBER(E115),E115,0)+F115,F115)*(30+G115)*100+F115,0),IF((J115&gt;=6)*(1-(IF(K115="",-1,K115)&gt;=1)*(IF(K115="",-1,K115)&lt;=3))*(1-(IF(K115="",-1,K115)=0)),IF(C115="peso_corporal",IF(ISNUMBER(E115),E115,0)+I115,I115)*(30+J115)*100+I115,0),IF((M115&gt;=6)*(1-(IF(N115="",-1,N115)&gt;=1)*(IF(N115="",-1,N115)&lt;=3))*(1-(IF(N115="",-1,N115)=0)),IF(C115="peso_corporal",IF(ISNUMBER(E115),E115,0)+L115,L115)*(30+M115)*100+L115,0),IF((P115&gt;=6)*(1-(IF(Q115="",-1,Q115)&gt;=1)*(IF(Q115="",-1,Q115)&lt;=3))*(1-(IF(Q115="",-1,Q115)=0)),IF(C115="peso_corporal",IF(ISNUMBER(E115),E115,0)+O115,O115)*(30+P115)*100+O115,0),IF((S115&gt;=6)*(1-(IF(T115="",-1,T115)&gt;=1)*(IF(T115="",-1,T115)&lt;=3))*(1-(IF(T115="",-1,T115)=0)),IF(C115="peso_corporal",IF(ISNUMBER(E115),E115,0)+R115,R115)*(30+S115)*100+R115,0))</f>
        <v>0</v>
      </c>
      <c r="AB115" s="69">
        <f>IF(AA115=0,0,IF(IF((S115&gt;=6)*(1-(IF(T115="",-1,T115)&gt;=1)*(IF(T115="",-1,T115)&lt;=3))*(1-(IF(T115="",-1,T115)=0)),IF(C115="peso_corporal",IF(ISNUMBER(E115),E115,0)+R115,R115)*(30+S115)*100+R115,0)=AA115,5,IF(IF((P115&gt;=6)*(1-(IF(Q115="",-1,Q115)&gt;=1)*(IF(Q115="",-1,Q115)&lt;=3))*(1-(IF(Q115="",-1,Q115)=0)),IF(C115="peso_corporal",IF(ISNUMBER(E115),E115,0)+O115,O115)*(30+P115)*100+O115,0)=AA115,4,IF(IF((M115&gt;=6)*(1-(IF(N115="",-1,N115)&gt;=1)*(IF(N115="",-1,N115)&lt;=3))*(1-(IF(N115="",-1,N115)=0)),IF(C115="peso_corporal",IF(ISNUMBER(E115),E115,0)+L115,L115)*(30+M115)*100+L115,0)=AA115,3,IF(IF((J115&gt;=6)*(1-(IF(K115="",-1,K115)&gt;=1)*(IF(K115="",-1,K115)&lt;=3))*(1-(IF(K115="",-1,K115)=0)),IF(C115="peso_corporal",IF(ISNUMBER(E115),E115,0)+I115,I115)*(30+J115)*100+I115,0)=AA115,2,IF(IF((G115&gt;=6)*(1-(IF(H115="",-1,H115)&gt;=1)*(IF(H115="",-1,H115)&lt;=3))*(1-(IF(H115="",-1,H115)=0)),IF(C115="peso_corporal",IF(ISNUMBER(E115),E115,0)+F115,F115)*(30+G115)*100+F115,0)=AA115,1,0))))))</f>
        <v>0</v>
      </c>
      <c r="AC115" s="69" t="str">
        <f>IF(X115&gt;0,"A"&amp;X115,IF(Z115&gt;0,"B"&amp;Z115,IF(AB115&gt;0,"C"&amp;AB115,"")))</f>
        <v/>
      </c>
    </row>
    <row r="116" spans="1:29" ht="20.100000000000001" customHeight="1">
      <c r="A116" s="14" t="s">
        <v>163</v>
      </c>
      <c r="B116" s="15" t="s">
        <v>52</v>
      </c>
      <c r="C116" s="16" t="str">
        <f>IFERROR(INDEX(EJERCICIOS!$D$3:$D$75,MATCH(A116&amp;"|"&amp;B116,EJERCICIOS!$G$3:$G$75,0)),"--")</f>
        <v>polea</v>
      </c>
      <c r="D116" s="17">
        <v>3</v>
      </c>
      <c r="E116" s="18">
        <f>IFERROR(LOOKUP(2,1/(MEDIDAS_Y_PESO!$B$3:$B$7&lt;&gt;""),MEDIDAS_Y_PESO!$B$3:$B$7),"--")</f>
        <v>80</v>
      </c>
      <c r="F116" s="19"/>
      <c r="G116" s="20"/>
      <c r="H116" s="21"/>
      <c r="I116" s="19"/>
      <c r="J116" s="20"/>
      <c r="K116" s="21"/>
      <c r="L116" s="19"/>
      <c r="M116" s="20"/>
      <c r="N116" s="21"/>
      <c r="O116" s="19"/>
      <c r="P116" s="20"/>
      <c r="Q116" s="21"/>
      <c r="R116" s="19"/>
      <c r="S116" s="20"/>
      <c r="T116" s="21"/>
      <c r="U116" s="22" t="str">
        <f>IFERROR(IF(IF(X116&gt;0,X116,IF(Z116&gt;0,Z116,IF(AB116&gt;0,AB116,0)))=0,"--",ROUND(CHOOSE(IF(X116&gt;0,X116,IF(Z116&gt;0,Z116,IF(AB116&gt;0,AB116,0))),IF(C116="peso_corporal",IF(ISNUMBER(E116),E116,0)+F116,F116)*(1+G116/30),IF(C116="peso_corporal",IF(ISNUMBER(E116),E116,0)+I116,I116)*(1+J116/30),IF(C116="peso_corporal",IF(ISNUMBER(E116),E116,0)+L116,L116)*(1+M116/30),IF(C116="peso_corporal",IF(ISNUMBER(E116),E116,0)+O116,O116)*(1+P116/30),IF(C116="peso_corporal",IF(ISNUMBER(E116),E116,0)+R116,R116)*(1+S116/30)),1)),"--")</f>
        <v>--</v>
      </c>
      <c r="V116" s="23" t="str">
        <f>IF(SUGERENCIAS!N296="SIN","Sin datos anteriores",IF(SUGERENCIAS!N296="SUBIR_F","^ SUBIR FUERTE | Kg:"&amp;ROUND(SUGERENCIAS!K296,1)&amp;" R:"&amp;ROUND(SUGERENCIAS!L296,0)&amp;" RIR:"&amp;ROUND(SUGERENCIAS!M296,0),IF(SUGERENCIAS!N296="SUBIR_E","^ SUBIR (Est.) | Kg:"&amp;ROUND(SUGERENCIAS!K296,1)&amp;" R:"&amp;ROUND(SUGERENCIAS!L296,0)&amp;" RIR:"&amp;ROUND(SUGERENCIAS!M296,0),IF(SUGERENCIAS!N296="SUBIR","^ SUBIR | Kg:"&amp;ROUND(SUGERENCIAS!K296,1)&amp;" R:"&amp;ROUND(SUGERENCIAS!L296,0)&amp;" RIR:"&amp;ROUND(SUGERENCIAS!M296,0),IF(SUGERENCIAS!N296="BAJAR","v BAJAR | Kg:"&amp;ROUND(SUGERENCIAS!K296,1)&amp;" R:"&amp;ROUND(SUGERENCIAS!L296,0)&amp;" RIR:"&amp;ROUND(SUGERENCIAS!M296,0),"= MANT | Kg:"&amp;ROUND(SUGERENCIAS!K296,1)&amp;" R:"&amp;ROUND(SUGERENCIAS!L296,0)&amp;" RIR:"&amp;ROUND(SUGERENCIAS!M296,0))))))</f>
        <v>Sin datos anteriores</v>
      </c>
      <c r="W116" s="69">
        <f>MAX(IF((G116&gt;0)*(IF(H116="",-1,H116)&gt;=1)*(IF(H116="",-1,H116)&lt;=3),IF(C116="peso_corporal",IF(ISNUMBER(E116),E116,0)+F116,F116)*G116*1000+F116,0),IF((J116&gt;0)*(IF(K116="",-1,K116)&gt;=1)*(IF(K116="",-1,K116)&lt;=3),IF(C116="peso_corporal",IF(ISNUMBER(E116),E116,0)+I116,I116)*J116*1000+I116,0),IF((M116&gt;0)*(IF(N116="",-1,N116)&gt;=1)*(IF(N116="",-1,N116)&lt;=3),IF(C116="peso_corporal",IF(ISNUMBER(E116),E116,0)+L116,L116)*M116*1000+L116,0),IF((P116&gt;0)*(IF(Q116="",-1,Q116)&gt;=1)*(IF(Q116="",-1,Q116)&lt;=3),IF(C116="peso_corporal",IF(ISNUMBER(E116),E116,0)+O116,O116)*P116*1000+O116,0),IF((S116&gt;0)*(IF(T116="",-1,T116)&gt;=1)*(IF(T116="",-1,T116)&lt;=3),IF(C116="peso_corporal",IF(ISNUMBER(E116),E116,0)+R116,R116)*S116*1000+R116,0))</f>
        <v>0</v>
      </c>
      <c r="X116" s="69">
        <f>IF(W116=0,0,IF(IF((S116&gt;0)*(IF(T116="",-1,T116)&gt;=1)*(IF(T116="",-1,T116)&lt;=3),IF(C116="peso_corporal",IF(ISNUMBER(E116),E116,0)+R116,R116)*S116*1000+R116,0)=W116,5,IF(IF((P116&gt;0)*(IF(Q116="",-1,Q116)&gt;=1)*(IF(Q116="",-1,Q116)&lt;=3),IF(C116="peso_corporal",IF(ISNUMBER(E116),E116,0)+O116,O116)*P116*1000+O116,0)=W116,4,IF(IF((M116&gt;0)*(IF(N116="",-1,N116)&gt;=1)*(IF(N116="",-1,N116)&lt;=3),IF(C116="peso_corporal",IF(ISNUMBER(E116),E116,0)+L116,L116)*M116*1000+L116,0)=W116,3,IF(IF((J116&gt;0)*(IF(K116="",-1,K116)&gt;=1)*(IF(K116="",-1,K116)&lt;=3),IF(C116="peso_corporal",IF(ISNUMBER(E116),E116,0)+I116,I116)*J116*1000+I116,0)=W116,2,IF(IF((G116&gt;0)*(IF(H116="",-1,H116)&gt;=1)*(IF(H116="",-1,H116)&lt;=3),IF(C116="peso_corporal",IF(ISNUMBER(E116),E116,0)+F116,F116)*G116*1000+F116,0)=W116,1,0))))))</f>
        <v>0</v>
      </c>
      <c r="Y116" s="69">
        <f>MAX(IF((G116&gt;0)*(IF(H116="",-1,H116)=0)*(1-(IF(H116="",-1,H116)&gt;=1)*(IF(H116="",-1,H116)&lt;=3)),IF(C116="peso_corporal",IF(ISNUMBER(E116),E116,0)+F116,F116)*G116*1000+F116,0),IF((J116&gt;0)*(IF(K116="",-1,K116)=0)*(1-(IF(K116="",-1,K116)&gt;=1)*(IF(K116="",-1,K116)&lt;=3)),IF(C116="peso_corporal",IF(ISNUMBER(E116),E116,0)+I116,I116)*J116*1000+I116,0),IF((M116&gt;0)*(IF(N116="",-1,N116)=0)*(1-(IF(N116="",-1,N116)&gt;=1)*(IF(N116="",-1,N116)&lt;=3)),IF(C116="peso_corporal",IF(ISNUMBER(E116),E116,0)+L116,L116)*M116*1000+L116,0),IF((P116&gt;0)*(IF(Q116="",-1,Q116)=0)*(1-(IF(Q116="",-1,Q116)&gt;=1)*(IF(Q116="",-1,Q116)&lt;=3)),IF(C116="peso_corporal",IF(ISNUMBER(E116),E116,0)+O116,O116)*P116*1000+O116,0),IF((S116&gt;0)*(IF(T116="",-1,T116)=0)*(1-(IF(T116="",-1,T116)&gt;=1)*(IF(T116="",-1,T116)&lt;=3)),IF(C116="peso_corporal",IF(ISNUMBER(E116),E116,0)+R116,R116)*S116*1000+R116,0))</f>
        <v>0</v>
      </c>
      <c r="Z116" s="69">
        <f>IF(Y116=0,0,IF(IF((S116&gt;0)*(IF(T116="",-1,T116)=0)*(1-(IF(T116="",-1,T116)&gt;=1)*(IF(T116="",-1,T116)&lt;=3)),IF(C116="peso_corporal",IF(ISNUMBER(E116),E116,0)+R116,R116)*S116*1000+R116,0)=Y116,5,IF(IF((P116&gt;0)*(IF(Q116="",-1,Q116)=0)*(1-(IF(Q116="",-1,Q116)&gt;=1)*(IF(Q116="",-1,Q116)&lt;=3)),IF(C116="peso_corporal",IF(ISNUMBER(E116),E116,0)+O116,O116)*P116*1000+O116,0)=Y116,4,IF(IF((M116&gt;0)*(IF(N116="",-1,N116)=0)*(1-(IF(N116="",-1,N116)&gt;=1)*(IF(N116="",-1,N116)&lt;=3)),IF(C116="peso_corporal",IF(ISNUMBER(E116),E116,0)+L116,L116)*M116*1000+L116,0)=Y116,3,IF(IF((J116&gt;0)*(IF(K116="",-1,K116)=0)*(1-(IF(K116="",-1,K116)&gt;=1)*(IF(K116="",-1,K116)&lt;=3)),IF(C116="peso_corporal",IF(ISNUMBER(E116),E116,0)+I116,I116)*J116*1000+I116,0)=Y116,2,IF(IF((G116&gt;0)*(IF(H116="",-1,H116)=0)*(1-(IF(H116="",-1,H116)&gt;=1)*(IF(H116="",-1,H116)&lt;=3)),IF(C116="peso_corporal",IF(ISNUMBER(E116),E116,0)+F116,F116)*G116*1000+F116,0)=Y116,1,0))))))</f>
        <v>0</v>
      </c>
      <c r="AA116" s="69">
        <f>MAX(IF((G116&gt;=6)*(1-(IF(H116="",-1,H116)&gt;=1)*(IF(H116="",-1,H116)&lt;=3))*(1-(IF(H116="",-1,H116)=0)),IF(C116="peso_corporal",IF(ISNUMBER(E116),E116,0)+F116,F116)*(30+G116)*100+F116,0),IF((J116&gt;=6)*(1-(IF(K116="",-1,K116)&gt;=1)*(IF(K116="",-1,K116)&lt;=3))*(1-(IF(K116="",-1,K116)=0)),IF(C116="peso_corporal",IF(ISNUMBER(E116),E116,0)+I116,I116)*(30+J116)*100+I116,0),IF((M116&gt;=6)*(1-(IF(N116="",-1,N116)&gt;=1)*(IF(N116="",-1,N116)&lt;=3))*(1-(IF(N116="",-1,N116)=0)),IF(C116="peso_corporal",IF(ISNUMBER(E116),E116,0)+L116,L116)*(30+M116)*100+L116,0),IF((P116&gt;=6)*(1-(IF(Q116="",-1,Q116)&gt;=1)*(IF(Q116="",-1,Q116)&lt;=3))*(1-(IF(Q116="",-1,Q116)=0)),IF(C116="peso_corporal",IF(ISNUMBER(E116),E116,0)+O116,O116)*(30+P116)*100+O116,0),IF((S116&gt;=6)*(1-(IF(T116="",-1,T116)&gt;=1)*(IF(T116="",-1,T116)&lt;=3))*(1-(IF(T116="",-1,T116)=0)),IF(C116="peso_corporal",IF(ISNUMBER(E116),E116,0)+R116,R116)*(30+S116)*100+R116,0))</f>
        <v>0</v>
      </c>
      <c r="AB116" s="69">
        <f>IF(AA116=0,0,IF(IF((S116&gt;=6)*(1-(IF(T116="",-1,T116)&gt;=1)*(IF(T116="",-1,T116)&lt;=3))*(1-(IF(T116="",-1,T116)=0)),IF(C116="peso_corporal",IF(ISNUMBER(E116),E116,0)+R116,R116)*(30+S116)*100+R116,0)=AA116,5,IF(IF((P116&gt;=6)*(1-(IF(Q116="",-1,Q116)&gt;=1)*(IF(Q116="",-1,Q116)&lt;=3))*(1-(IF(Q116="",-1,Q116)=0)),IF(C116="peso_corporal",IF(ISNUMBER(E116),E116,0)+O116,O116)*(30+P116)*100+O116,0)=AA116,4,IF(IF((M116&gt;=6)*(1-(IF(N116="",-1,N116)&gt;=1)*(IF(N116="",-1,N116)&lt;=3))*(1-(IF(N116="",-1,N116)=0)),IF(C116="peso_corporal",IF(ISNUMBER(E116),E116,0)+L116,L116)*(30+M116)*100+L116,0)=AA116,3,IF(IF((J116&gt;=6)*(1-(IF(K116="",-1,K116)&gt;=1)*(IF(K116="",-1,K116)&lt;=3))*(1-(IF(K116="",-1,K116)=0)),IF(C116="peso_corporal",IF(ISNUMBER(E116),E116,0)+I116,I116)*(30+J116)*100+I116,0)=AA116,2,IF(IF((G116&gt;=6)*(1-(IF(H116="",-1,H116)&gt;=1)*(IF(H116="",-1,H116)&lt;=3))*(1-(IF(H116="",-1,H116)=0)),IF(C116="peso_corporal",IF(ISNUMBER(E116),E116,0)+F116,F116)*(30+G116)*100+F116,0)=AA116,1,0))))))</f>
        <v>0</v>
      </c>
      <c r="AC116" s="69" t="str">
        <f>IF(X116&gt;0,"A"&amp;X116,IF(Z116&gt;0,"B"&amp;Z116,IF(AB116&gt;0,"C"&amp;AB116,"")))</f>
        <v/>
      </c>
    </row>
    <row r="117" spans="1:29" ht="20.100000000000001" customHeight="1">
      <c r="A117" s="14" t="s">
        <v>164</v>
      </c>
      <c r="B117" s="15" t="s">
        <v>114</v>
      </c>
      <c r="C117" s="16" t="str">
        <f>IFERROR(INDEX(EJERCICIOS!$D$3:$D$75,MATCH(A117&amp;"|"&amp;B117,EJERCICIOS!$G$3:$G$75,0)),"--")</f>
        <v>polea</v>
      </c>
      <c r="D117" s="17">
        <v>3</v>
      </c>
      <c r="E117" s="18">
        <f>IFERROR(LOOKUP(2,1/(MEDIDAS_Y_PESO!$B$3:$B$7&lt;&gt;""),MEDIDAS_Y_PESO!$B$3:$B$7),"--")</f>
        <v>80</v>
      </c>
      <c r="F117" s="19"/>
      <c r="G117" s="20"/>
      <c r="H117" s="21"/>
      <c r="I117" s="19"/>
      <c r="J117" s="20"/>
      <c r="K117" s="21"/>
      <c r="L117" s="19"/>
      <c r="M117" s="20"/>
      <c r="N117" s="21"/>
      <c r="O117" s="19"/>
      <c r="P117" s="20"/>
      <c r="Q117" s="21"/>
      <c r="R117" s="19"/>
      <c r="S117" s="20"/>
      <c r="T117" s="21"/>
      <c r="U117" s="22" t="str">
        <f>IFERROR(IF(IF(X117&gt;0,X117,IF(Z117&gt;0,Z117,IF(AB117&gt;0,AB117,0)))=0,"--",ROUND(CHOOSE(IF(X117&gt;0,X117,IF(Z117&gt;0,Z117,IF(AB117&gt;0,AB117,0))),IF(C117="peso_corporal",IF(ISNUMBER(E117),E117,0)+F117,F117)*(1+G117/30),IF(C117="peso_corporal",IF(ISNUMBER(E117),E117,0)+I117,I117)*(1+J117/30),IF(C117="peso_corporal",IF(ISNUMBER(E117),E117,0)+L117,L117)*(1+M117/30),IF(C117="peso_corporal",IF(ISNUMBER(E117),E117,0)+O117,O117)*(1+P117/30),IF(C117="peso_corporal",IF(ISNUMBER(E117),E117,0)+R117,R117)*(1+S117/30)),1)),"--")</f>
        <v>--</v>
      </c>
      <c r="V117" s="23" t="str">
        <f>IF(SUGERENCIAS!N297="SIN","Sin datos anteriores",IF(SUGERENCIAS!N297="SUBIR_F","^ SUBIR FUERTE | Kg:"&amp;ROUND(SUGERENCIAS!K297,1)&amp;" R:"&amp;ROUND(SUGERENCIAS!L297,0)&amp;" RIR:"&amp;ROUND(SUGERENCIAS!M297,0),IF(SUGERENCIAS!N297="SUBIR_E","^ SUBIR (Est.) | Kg:"&amp;ROUND(SUGERENCIAS!K297,1)&amp;" R:"&amp;ROUND(SUGERENCIAS!L297,0)&amp;" RIR:"&amp;ROUND(SUGERENCIAS!M297,0),IF(SUGERENCIAS!N297="SUBIR","^ SUBIR | Kg:"&amp;ROUND(SUGERENCIAS!K297,1)&amp;" R:"&amp;ROUND(SUGERENCIAS!L297,0)&amp;" RIR:"&amp;ROUND(SUGERENCIAS!M297,0),IF(SUGERENCIAS!N297="BAJAR","v BAJAR | Kg:"&amp;ROUND(SUGERENCIAS!K297,1)&amp;" R:"&amp;ROUND(SUGERENCIAS!L297,0)&amp;" RIR:"&amp;ROUND(SUGERENCIAS!M297,0),"= MANT | Kg:"&amp;ROUND(SUGERENCIAS!K297,1)&amp;" R:"&amp;ROUND(SUGERENCIAS!L297,0)&amp;" RIR:"&amp;ROUND(SUGERENCIAS!M297,0))))))</f>
        <v>Sin datos anteriores</v>
      </c>
      <c r="W117" s="69">
        <f>MAX(IF((G117&gt;0)*(IF(H117="",-1,H117)&gt;=1)*(IF(H117="",-1,H117)&lt;=3),IF(C117="peso_corporal",IF(ISNUMBER(E117),E117,0)+F117,F117)*G117*1000+F117,0),IF((J117&gt;0)*(IF(K117="",-1,K117)&gt;=1)*(IF(K117="",-1,K117)&lt;=3),IF(C117="peso_corporal",IF(ISNUMBER(E117),E117,0)+I117,I117)*J117*1000+I117,0),IF((M117&gt;0)*(IF(N117="",-1,N117)&gt;=1)*(IF(N117="",-1,N117)&lt;=3),IF(C117="peso_corporal",IF(ISNUMBER(E117),E117,0)+L117,L117)*M117*1000+L117,0),IF((P117&gt;0)*(IF(Q117="",-1,Q117)&gt;=1)*(IF(Q117="",-1,Q117)&lt;=3),IF(C117="peso_corporal",IF(ISNUMBER(E117),E117,0)+O117,O117)*P117*1000+O117,0),IF((S117&gt;0)*(IF(T117="",-1,T117)&gt;=1)*(IF(T117="",-1,T117)&lt;=3),IF(C117="peso_corporal",IF(ISNUMBER(E117),E117,0)+R117,R117)*S117*1000+R117,0))</f>
        <v>0</v>
      </c>
      <c r="X117" s="69">
        <f>IF(W117=0,0,IF(IF((S117&gt;0)*(IF(T117="",-1,T117)&gt;=1)*(IF(T117="",-1,T117)&lt;=3),IF(C117="peso_corporal",IF(ISNUMBER(E117),E117,0)+R117,R117)*S117*1000+R117,0)=W117,5,IF(IF((P117&gt;0)*(IF(Q117="",-1,Q117)&gt;=1)*(IF(Q117="",-1,Q117)&lt;=3),IF(C117="peso_corporal",IF(ISNUMBER(E117),E117,0)+O117,O117)*P117*1000+O117,0)=W117,4,IF(IF((M117&gt;0)*(IF(N117="",-1,N117)&gt;=1)*(IF(N117="",-1,N117)&lt;=3),IF(C117="peso_corporal",IF(ISNUMBER(E117),E117,0)+L117,L117)*M117*1000+L117,0)=W117,3,IF(IF((J117&gt;0)*(IF(K117="",-1,K117)&gt;=1)*(IF(K117="",-1,K117)&lt;=3),IF(C117="peso_corporal",IF(ISNUMBER(E117),E117,0)+I117,I117)*J117*1000+I117,0)=W117,2,IF(IF((G117&gt;0)*(IF(H117="",-1,H117)&gt;=1)*(IF(H117="",-1,H117)&lt;=3),IF(C117="peso_corporal",IF(ISNUMBER(E117),E117,0)+F117,F117)*G117*1000+F117,0)=W117,1,0))))))</f>
        <v>0</v>
      </c>
      <c r="Y117" s="69">
        <f>MAX(IF((G117&gt;0)*(IF(H117="",-1,H117)=0)*(1-(IF(H117="",-1,H117)&gt;=1)*(IF(H117="",-1,H117)&lt;=3)),IF(C117="peso_corporal",IF(ISNUMBER(E117),E117,0)+F117,F117)*G117*1000+F117,0),IF((J117&gt;0)*(IF(K117="",-1,K117)=0)*(1-(IF(K117="",-1,K117)&gt;=1)*(IF(K117="",-1,K117)&lt;=3)),IF(C117="peso_corporal",IF(ISNUMBER(E117),E117,0)+I117,I117)*J117*1000+I117,0),IF((M117&gt;0)*(IF(N117="",-1,N117)=0)*(1-(IF(N117="",-1,N117)&gt;=1)*(IF(N117="",-1,N117)&lt;=3)),IF(C117="peso_corporal",IF(ISNUMBER(E117),E117,0)+L117,L117)*M117*1000+L117,0),IF((P117&gt;0)*(IF(Q117="",-1,Q117)=0)*(1-(IF(Q117="",-1,Q117)&gt;=1)*(IF(Q117="",-1,Q117)&lt;=3)),IF(C117="peso_corporal",IF(ISNUMBER(E117),E117,0)+O117,O117)*P117*1000+O117,0),IF((S117&gt;0)*(IF(T117="",-1,T117)=0)*(1-(IF(T117="",-1,T117)&gt;=1)*(IF(T117="",-1,T117)&lt;=3)),IF(C117="peso_corporal",IF(ISNUMBER(E117),E117,0)+R117,R117)*S117*1000+R117,0))</f>
        <v>0</v>
      </c>
      <c r="Z117" s="69">
        <f>IF(Y117=0,0,IF(IF((S117&gt;0)*(IF(T117="",-1,T117)=0)*(1-(IF(T117="",-1,T117)&gt;=1)*(IF(T117="",-1,T117)&lt;=3)),IF(C117="peso_corporal",IF(ISNUMBER(E117),E117,0)+R117,R117)*S117*1000+R117,0)=Y117,5,IF(IF((P117&gt;0)*(IF(Q117="",-1,Q117)=0)*(1-(IF(Q117="",-1,Q117)&gt;=1)*(IF(Q117="",-1,Q117)&lt;=3)),IF(C117="peso_corporal",IF(ISNUMBER(E117),E117,0)+O117,O117)*P117*1000+O117,0)=Y117,4,IF(IF((M117&gt;0)*(IF(N117="",-1,N117)=0)*(1-(IF(N117="",-1,N117)&gt;=1)*(IF(N117="",-1,N117)&lt;=3)),IF(C117="peso_corporal",IF(ISNUMBER(E117),E117,0)+L117,L117)*M117*1000+L117,0)=Y117,3,IF(IF((J117&gt;0)*(IF(K117="",-1,K117)=0)*(1-(IF(K117="",-1,K117)&gt;=1)*(IF(K117="",-1,K117)&lt;=3)),IF(C117="peso_corporal",IF(ISNUMBER(E117),E117,0)+I117,I117)*J117*1000+I117,0)=Y117,2,IF(IF((G117&gt;0)*(IF(H117="",-1,H117)=0)*(1-(IF(H117="",-1,H117)&gt;=1)*(IF(H117="",-1,H117)&lt;=3)),IF(C117="peso_corporal",IF(ISNUMBER(E117),E117,0)+F117,F117)*G117*1000+F117,0)=Y117,1,0))))))</f>
        <v>0</v>
      </c>
      <c r="AA117" s="69">
        <f>MAX(IF((G117&gt;=6)*(1-(IF(H117="",-1,H117)&gt;=1)*(IF(H117="",-1,H117)&lt;=3))*(1-(IF(H117="",-1,H117)=0)),IF(C117="peso_corporal",IF(ISNUMBER(E117),E117,0)+F117,F117)*(30+G117)*100+F117,0),IF((J117&gt;=6)*(1-(IF(K117="",-1,K117)&gt;=1)*(IF(K117="",-1,K117)&lt;=3))*(1-(IF(K117="",-1,K117)=0)),IF(C117="peso_corporal",IF(ISNUMBER(E117),E117,0)+I117,I117)*(30+J117)*100+I117,0),IF((M117&gt;=6)*(1-(IF(N117="",-1,N117)&gt;=1)*(IF(N117="",-1,N117)&lt;=3))*(1-(IF(N117="",-1,N117)=0)),IF(C117="peso_corporal",IF(ISNUMBER(E117),E117,0)+L117,L117)*(30+M117)*100+L117,0),IF((P117&gt;=6)*(1-(IF(Q117="",-1,Q117)&gt;=1)*(IF(Q117="",-1,Q117)&lt;=3))*(1-(IF(Q117="",-1,Q117)=0)),IF(C117="peso_corporal",IF(ISNUMBER(E117),E117,0)+O117,O117)*(30+P117)*100+O117,0),IF((S117&gt;=6)*(1-(IF(T117="",-1,T117)&gt;=1)*(IF(T117="",-1,T117)&lt;=3))*(1-(IF(T117="",-1,T117)=0)),IF(C117="peso_corporal",IF(ISNUMBER(E117),E117,0)+R117,R117)*(30+S117)*100+R117,0))</f>
        <v>0</v>
      </c>
      <c r="AB117" s="69">
        <f>IF(AA117=0,0,IF(IF((S117&gt;=6)*(1-(IF(T117="",-1,T117)&gt;=1)*(IF(T117="",-1,T117)&lt;=3))*(1-(IF(T117="",-1,T117)=0)),IF(C117="peso_corporal",IF(ISNUMBER(E117),E117,0)+R117,R117)*(30+S117)*100+R117,0)=AA117,5,IF(IF((P117&gt;=6)*(1-(IF(Q117="",-1,Q117)&gt;=1)*(IF(Q117="",-1,Q117)&lt;=3))*(1-(IF(Q117="",-1,Q117)=0)),IF(C117="peso_corporal",IF(ISNUMBER(E117),E117,0)+O117,O117)*(30+P117)*100+O117,0)=AA117,4,IF(IF((M117&gt;=6)*(1-(IF(N117="",-1,N117)&gt;=1)*(IF(N117="",-1,N117)&lt;=3))*(1-(IF(N117="",-1,N117)=0)),IF(C117="peso_corporal",IF(ISNUMBER(E117),E117,0)+L117,L117)*(30+M117)*100+L117,0)=AA117,3,IF(IF((J117&gt;=6)*(1-(IF(K117="",-1,K117)&gt;=1)*(IF(K117="",-1,K117)&lt;=3))*(1-(IF(K117="",-1,K117)=0)),IF(C117="peso_corporal",IF(ISNUMBER(E117),E117,0)+I117,I117)*(30+J117)*100+I117,0)=AA117,2,IF(IF((G117&gt;=6)*(1-(IF(H117="",-1,H117)&gt;=1)*(IF(H117="",-1,H117)&lt;=3))*(1-(IF(H117="",-1,H117)=0)),IF(C117="peso_corporal",IF(ISNUMBER(E117),E117,0)+F117,F117)*(30+G117)*100+F117,0)=AA117,1,0))))))</f>
        <v>0</v>
      </c>
      <c r="AC117" s="69" t="str">
        <f>IF(X117&gt;0,"A"&amp;X117,IF(Z117&gt;0,"B"&amp;Z117,IF(AB117&gt;0,"C"&amp;AB117,"")))</f>
        <v/>
      </c>
    </row>
    <row r="118" spans="1:29" ht="15" customHeight="1">
      <c r="A118" s="75" t="s">
        <v>28</v>
      </c>
      <c r="B118" s="73"/>
      <c r="C118" s="73"/>
      <c r="D118" s="73"/>
      <c r="E118" s="73"/>
      <c r="F118" s="73"/>
      <c r="G118" s="73"/>
      <c r="H118" s="73"/>
      <c r="I118" s="73"/>
      <c r="J118" s="73"/>
      <c r="K118" s="73"/>
      <c r="L118" s="73"/>
      <c r="M118" s="73"/>
      <c r="N118" s="73"/>
      <c r="O118" s="73"/>
      <c r="P118" s="73"/>
      <c r="Q118" s="73"/>
      <c r="R118" s="73"/>
      <c r="S118" s="73"/>
      <c r="T118" s="73"/>
      <c r="U118" s="73"/>
      <c r="V118" s="73"/>
      <c r="W118" s="69"/>
      <c r="X118" s="69"/>
      <c r="Y118" s="69"/>
      <c r="Z118" s="69"/>
      <c r="AA118" s="69"/>
      <c r="AB118" s="69"/>
      <c r="AC118" s="69"/>
    </row>
    <row r="119" spans="1:29" ht="11.1" customHeight="1">
      <c r="A119" s="76" t="s">
        <v>29</v>
      </c>
      <c r="B119" s="73"/>
      <c r="C119" s="73"/>
      <c r="D119" s="73"/>
      <c r="E119" s="73"/>
      <c r="F119" s="73"/>
      <c r="G119" s="73"/>
      <c r="H119" s="73"/>
      <c r="I119" s="73"/>
      <c r="J119" s="73"/>
      <c r="K119" s="73"/>
      <c r="L119" s="73"/>
      <c r="M119" s="73"/>
      <c r="N119" s="73"/>
      <c r="O119" s="73"/>
      <c r="P119" s="73"/>
      <c r="Q119" s="73"/>
      <c r="R119" s="73"/>
      <c r="S119" s="73"/>
      <c r="T119" s="73"/>
      <c r="U119" s="73"/>
      <c r="V119" s="73"/>
      <c r="W119" s="69"/>
      <c r="X119" s="69"/>
      <c r="Y119" s="69"/>
      <c r="Z119" s="69"/>
      <c r="AA119" s="69"/>
      <c r="AB119" s="69"/>
      <c r="AC119" s="69"/>
    </row>
    <row r="120" spans="1:29" ht="20.100000000000001" customHeight="1">
      <c r="A120" s="14" t="s">
        <v>30</v>
      </c>
      <c r="B120" s="15" t="s">
        <v>31</v>
      </c>
      <c r="C120" s="16" t="str">
        <f>IFERROR(INDEX(EJERCICIOS!$D$3:$D$75,MATCH(A120&amp;"|"&amp;B120,EJERCICIOS!$G$3:$G$75,0)),"--")</f>
        <v>mancuerna</v>
      </c>
      <c r="D120" s="17">
        <v>3</v>
      </c>
      <c r="E120" s="18">
        <f>IFERROR(LOOKUP(2,1/(MEDIDAS_Y_PESO!$B$3:$B$7&lt;&gt;""),MEDIDAS_Y_PESO!$B$3:$B$7),"--")</f>
        <v>80</v>
      </c>
      <c r="F120" s="19"/>
      <c r="G120" s="20"/>
      <c r="H120" s="21"/>
      <c r="I120" s="19"/>
      <c r="J120" s="20"/>
      <c r="K120" s="21"/>
      <c r="L120" s="19"/>
      <c r="M120" s="20"/>
      <c r="N120" s="21"/>
      <c r="O120" s="19"/>
      <c r="P120" s="20"/>
      <c r="Q120" s="21"/>
      <c r="R120" s="19"/>
      <c r="S120" s="20"/>
      <c r="T120" s="21"/>
      <c r="U120" s="22" t="str">
        <f>IFERROR(IF(IF(X120&gt;0,X120,IF(Z120&gt;0,Z120,IF(AB120&gt;0,AB120,0)))=0,"--",ROUND(CHOOSE(IF(X120&gt;0,X120,IF(Z120&gt;0,Z120,IF(AB120&gt;0,AB120,0))),IF(C120="peso_corporal",IF(ISNUMBER(E120),E120,0)+F120,F120)*(1+G120/30),IF(C120="peso_corporal",IF(ISNUMBER(E120),E120,0)+I120,I120)*(1+J120/30),IF(C120="peso_corporal",IF(ISNUMBER(E120),E120,0)+L120,L120)*(1+M120/30),IF(C120="peso_corporal",IF(ISNUMBER(E120),E120,0)+O120,O120)*(1+P120/30),IF(C120="peso_corporal",IF(ISNUMBER(E120),E120,0)+R120,R120)*(1+S120/30)),1)),"--")</f>
        <v>--</v>
      </c>
      <c r="V120" s="23" t="str">
        <f>IF(SUGERENCIAS!N298="SIN","Sin datos anteriores",IF(SUGERENCIAS!N298="SUBIR_F","^ SUBIR FUERTE | Kg:"&amp;ROUND(SUGERENCIAS!K298,1)&amp;" R:"&amp;ROUND(SUGERENCIAS!L298,0)&amp;" RIR:"&amp;ROUND(SUGERENCIAS!M298,0),IF(SUGERENCIAS!N298="SUBIR_E","^ SUBIR (Est.) | Kg:"&amp;ROUND(SUGERENCIAS!K298,1)&amp;" R:"&amp;ROUND(SUGERENCIAS!L298,0)&amp;" RIR:"&amp;ROUND(SUGERENCIAS!M298,0),IF(SUGERENCIAS!N298="SUBIR","^ SUBIR | Kg:"&amp;ROUND(SUGERENCIAS!K298,1)&amp;" R:"&amp;ROUND(SUGERENCIAS!L298,0)&amp;" RIR:"&amp;ROUND(SUGERENCIAS!M298,0),IF(SUGERENCIAS!N298="BAJAR","v BAJAR | Kg:"&amp;ROUND(SUGERENCIAS!K298,1)&amp;" R:"&amp;ROUND(SUGERENCIAS!L298,0)&amp;" RIR:"&amp;ROUND(SUGERENCIAS!M298,0),"= MANT | Kg:"&amp;ROUND(SUGERENCIAS!K298,1)&amp;" R:"&amp;ROUND(SUGERENCIAS!L298,0)&amp;" RIR:"&amp;ROUND(SUGERENCIAS!M298,0))))))</f>
        <v>Sin datos anteriores</v>
      </c>
      <c r="W120" s="69">
        <f>MAX(IF((G120&gt;0)*(IF(H120="",-1,H120)&gt;=1)*(IF(H120="",-1,H120)&lt;=3),IF(C120="peso_corporal",IF(ISNUMBER(E120),E120,0)+F120,F120)*G120*1000+F120,0),IF((J120&gt;0)*(IF(K120="",-1,K120)&gt;=1)*(IF(K120="",-1,K120)&lt;=3),IF(C120="peso_corporal",IF(ISNUMBER(E120),E120,0)+I120,I120)*J120*1000+I120,0),IF((M120&gt;0)*(IF(N120="",-1,N120)&gt;=1)*(IF(N120="",-1,N120)&lt;=3),IF(C120="peso_corporal",IF(ISNUMBER(E120),E120,0)+L120,L120)*M120*1000+L120,0),IF((P120&gt;0)*(IF(Q120="",-1,Q120)&gt;=1)*(IF(Q120="",-1,Q120)&lt;=3),IF(C120="peso_corporal",IF(ISNUMBER(E120),E120,0)+O120,O120)*P120*1000+O120,0),IF((S120&gt;0)*(IF(T120="",-1,T120)&gt;=1)*(IF(T120="",-1,T120)&lt;=3),IF(C120="peso_corporal",IF(ISNUMBER(E120),E120,0)+R120,R120)*S120*1000+R120,0))</f>
        <v>0</v>
      </c>
      <c r="X120" s="69">
        <f>IF(W120=0,0,IF(IF((S120&gt;0)*(IF(T120="",-1,T120)&gt;=1)*(IF(T120="",-1,T120)&lt;=3),IF(C120="peso_corporal",IF(ISNUMBER(E120),E120,0)+R120,R120)*S120*1000+R120,0)=W120,5,IF(IF((P120&gt;0)*(IF(Q120="",-1,Q120)&gt;=1)*(IF(Q120="",-1,Q120)&lt;=3),IF(C120="peso_corporal",IF(ISNUMBER(E120),E120,0)+O120,O120)*P120*1000+O120,0)=W120,4,IF(IF((M120&gt;0)*(IF(N120="",-1,N120)&gt;=1)*(IF(N120="",-1,N120)&lt;=3),IF(C120="peso_corporal",IF(ISNUMBER(E120),E120,0)+L120,L120)*M120*1000+L120,0)=W120,3,IF(IF((J120&gt;0)*(IF(K120="",-1,K120)&gt;=1)*(IF(K120="",-1,K120)&lt;=3),IF(C120="peso_corporal",IF(ISNUMBER(E120),E120,0)+I120,I120)*J120*1000+I120,0)=W120,2,IF(IF((G120&gt;0)*(IF(H120="",-1,H120)&gt;=1)*(IF(H120="",-1,H120)&lt;=3),IF(C120="peso_corporal",IF(ISNUMBER(E120),E120,0)+F120,F120)*G120*1000+F120,0)=W120,1,0))))))</f>
        <v>0</v>
      </c>
      <c r="Y120" s="69">
        <f>MAX(IF((G120&gt;0)*(IF(H120="",-1,H120)=0)*(1-(IF(H120="",-1,H120)&gt;=1)*(IF(H120="",-1,H120)&lt;=3)),IF(C120="peso_corporal",IF(ISNUMBER(E120),E120,0)+F120,F120)*G120*1000+F120,0),IF((J120&gt;0)*(IF(K120="",-1,K120)=0)*(1-(IF(K120="",-1,K120)&gt;=1)*(IF(K120="",-1,K120)&lt;=3)),IF(C120="peso_corporal",IF(ISNUMBER(E120),E120,0)+I120,I120)*J120*1000+I120,0),IF((M120&gt;0)*(IF(N120="",-1,N120)=0)*(1-(IF(N120="",-1,N120)&gt;=1)*(IF(N120="",-1,N120)&lt;=3)),IF(C120="peso_corporal",IF(ISNUMBER(E120),E120,0)+L120,L120)*M120*1000+L120,0),IF((P120&gt;0)*(IF(Q120="",-1,Q120)=0)*(1-(IF(Q120="",-1,Q120)&gt;=1)*(IF(Q120="",-1,Q120)&lt;=3)),IF(C120="peso_corporal",IF(ISNUMBER(E120),E120,0)+O120,O120)*P120*1000+O120,0),IF((S120&gt;0)*(IF(T120="",-1,T120)=0)*(1-(IF(T120="",-1,T120)&gt;=1)*(IF(T120="",-1,T120)&lt;=3)),IF(C120="peso_corporal",IF(ISNUMBER(E120),E120,0)+R120,R120)*S120*1000+R120,0))</f>
        <v>0</v>
      </c>
      <c r="Z120" s="69">
        <f>IF(Y120=0,0,IF(IF((S120&gt;0)*(IF(T120="",-1,T120)=0)*(1-(IF(T120="",-1,T120)&gt;=1)*(IF(T120="",-1,T120)&lt;=3)),IF(C120="peso_corporal",IF(ISNUMBER(E120),E120,0)+R120,R120)*S120*1000+R120,0)=Y120,5,IF(IF((P120&gt;0)*(IF(Q120="",-1,Q120)=0)*(1-(IF(Q120="",-1,Q120)&gt;=1)*(IF(Q120="",-1,Q120)&lt;=3)),IF(C120="peso_corporal",IF(ISNUMBER(E120),E120,0)+O120,O120)*P120*1000+O120,0)=Y120,4,IF(IF((M120&gt;0)*(IF(N120="",-1,N120)=0)*(1-(IF(N120="",-1,N120)&gt;=1)*(IF(N120="",-1,N120)&lt;=3)),IF(C120="peso_corporal",IF(ISNUMBER(E120),E120,0)+L120,L120)*M120*1000+L120,0)=Y120,3,IF(IF((J120&gt;0)*(IF(K120="",-1,K120)=0)*(1-(IF(K120="",-1,K120)&gt;=1)*(IF(K120="",-1,K120)&lt;=3)),IF(C120="peso_corporal",IF(ISNUMBER(E120),E120,0)+I120,I120)*J120*1000+I120,0)=Y120,2,IF(IF((G120&gt;0)*(IF(H120="",-1,H120)=0)*(1-(IF(H120="",-1,H120)&gt;=1)*(IF(H120="",-1,H120)&lt;=3)),IF(C120="peso_corporal",IF(ISNUMBER(E120),E120,0)+F120,F120)*G120*1000+F120,0)=Y120,1,0))))))</f>
        <v>0</v>
      </c>
      <c r="AA120" s="69">
        <f>MAX(IF((G120&gt;=6)*(1-(IF(H120="",-1,H120)&gt;=1)*(IF(H120="",-1,H120)&lt;=3))*(1-(IF(H120="",-1,H120)=0)),IF(C120="peso_corporal",IF(ISNUMBER(E120),E120,0)+F120,F120)*(30+G120)*100+F120,0),IF((J120&gt;=6)*(1-(IF(K120="",-1,K120)&gt;=1)*(IF(K120="",-1,K120)&lt;=3))*(1-(IF(K120="",-1,K120)=0)),IF(C120="peso_corporal",IF(ISNUMBER(E120),E120,0)+I120,I120)*(30+J120)*100+I120,0),IF((M120&gt;=6)*(1-(IF(N120="",-1,N120)&gt;=1)*(IF(N120="",-1,N120)&lt;=3))*(1-(IF(N120="",-1,N120)=0)),IF(C120="peso_corporal",IF(ISNUMBER(E120),E120,0)+L120,L120)*(30+M120)*100+L120,0),IF((P120&gt;=6)*(1-(IF(Q120="",-1,Q120)&gt;=1)*(IF(Q120="",-1,Q120)&lt;=3))*(1-(IF(Q120="",-1,Q120)=0)),IF(C120="peso_corporal",IF(ISNUMBER(E120),E120,0)+O120,O120)*(30+P120)*100+O120,0),IF((S120&gt;=6)*(1-(IF(T120="",-1,T120)&gt;=1)*(IF(T120="",-1,T120)&lt;=3))*(1-(IF(T120="",-1,T120)=0)),IF(C120="peso_corporal",IF(ISNUMBER(E120),E120,0)+R120,R120)*(30+S120)*100+R120,0))</f>
        <v>0</v>
      </c>
      <c r="AB120" s="69">
        <f>IF(AA120=0,0,IF(IF((S120&gt;=6)*(1-(IF(T120="",-1,T120)&gt;=1)*(IF(T120="",-1,T120)&lt;=3))*(1-(IF(T120="",-1,T120)=0)),IF(C120="peso_corporal",IF(ISNUMBER(E120),E120,0)+R120,R120)*(30+S120)*100+R120,0)=AA120,5,IF(IF((P120&gt;=6)*(1-(IF(Q120="",-1,Q120)&gt;=1)*(IF(Q120="",-1,Q120)&lt;=3))*(1-(IF(Q120="",-1,Q120)=0)),IF(C120="peso_corporal",IF(ISNUMBER(E120),E120,0)+O120,O120)*(30+P120)*100+O120,0)=AA120,4,IF(IF((M120&gt;=6)*(1-(IF(N120="",-1,N120)&gt;=1)*(IF(N120="",-1,N120)&lt;=3))*(1-(IF(N120="",-1,N120)=0)),IF(C120="peso_corporal",IF(ISNUMBER(E120),E120,0)+L120,L120)*(30+M120)*100+L120,0)=AA120,3,IF(IF((J120&gt;=6)*(1-(IF(K120="",-1,K120)&gt;=1)*(IF(K120="",-1,K120)&lt;=3))*(1-(IF(K120="",-1,K120)=0)),IF(C120="peso_corporal",IF(ISNUMBER(E120),E120,0)+I120,I120)*(30+J120)*100+I120,0)=AA120,2,IF(IF((G120&gt;=6)*(1-(IF(H120="",-1,H120)&gt;=1)*(IF(H120="",-1,H120)&lt;=3))*(1-(IF(H120="",-1,H120)=0)),IF(C120="peso_corporal",IF(ISNUMBER(E120),E120,0)+F120,F120)*(30+G120)*100+F120,0)=AA120,1,0))))))</f>
        <v>0</v>
      </c>
      <c r="AC120" s="69" t="str">
        <f>IF(X120&gt;0,"A"&amp;X120,IF(Z120&gt;0,"B"&amp;Z120,IF(AB120&gt;0,"C"&amp;AB120,"")))</f>
        <v/>
      </c>
    </row>
    <row r="121" spans="1:29" ht="11.1" customHeight="1">
      <c r="A121" s="84" t="s">
        <v>32</v>
      </c>
      <c r="B121" s="73"/>
      <c r="C121" s="73"/>
      <c r="D121" s="73"/>
      <c r="E121" s="73"/>
      <c r="F121" s="73"/>
      <c r="G121" s="73"/>
      <c r="H121" s="73"/>
      <c r="I121" s="73"/>
      <c r="J121" s="73"/>
      <c r="K121" s="73"/>
      <c r="L121" s="73"/>
      <c r="M121" s="73"/>
      <c r="N121" s="73"/>
      <c r="O121" s="73"/>
      <c r="P121" s="73"/>
      <c r="Q121" s="73"/>
      <c r="R121" s="73"/>
      <c r="S121" s="73"/>
      <c r="T121" s="73"/>
      <c r="U121" s="73"/>
      <c r="V121" s="73"/>
      <c r="W121" s="69"/>
      <c r="X121" s="69"/>
      <c r="Y121" s="69"/>
      <c r="Z121" s="69"/>
      <c r="AA121" s="69"/>
      <c r="AB121" s="69"/>
      <c r="AC121" s="69"/>
    </row>
    <row r="122" spans="1:29" ht="20.100000000000001" customHeight="1">
      <c r="A122" s="14" t="s">
        <v>61</v>
      </c>
      <c r="B122" s="15" t="s">
        <v>93</v>
      </c>
      <c r="C122" s="16" t="str">
        <f>IFERROR(INDEX(EJERCICIOS!$D$3:$D$75,MATCH(A122&amp;"|"&amp;B122,EJERCICIOS!$G$3:$G$75,0)),"--")</f>
        <v>disco</v>
      </c>
      <c r="D122" s="17">
        <v>3</v>
      </c>
      <c r="E122" s="18">
        <f>IFERROR(LOOKUP(2,1/(MEDIDAS_Y_PESO!$B$3:$B$7&lt;&gt;""),MEDIDAS_Y_PESO!$B$3:$B$7),"--")</f>
        <v>80</v>
      </c>
      <c r="F122" s="19"/>
      <c r="G122" s="20"/>
      <c r="H122" s="21"/>
      <c r="I122" s="19"/>
      <c r="J122" s="20"/>
      <c r="K122" s="21"/>
      <c r="L122" s="19"/>
      <c r="M122" s="20"/>
      <c r="N122" s="21"/>
      <c r="O122" s="19"/>
      <c r="P122" s="20"/>
      <c r="Q122" s="21"/>
      <c r="R122" s="19"/>
      <c r="S122" s="20"/>
      <c r="T122" s="21"/>
      <c r="U122" s="22" t="str">
        <f>IFERROR(IF(IF(X122&gt;0,X122,IF(Z122&gt;0,Z122,IF(AB122&gt;0,AB122,0)))=0,"--",ROUND(CHOOSE(IF(X122&gt;0,X122,IF(Z122&gt;0,Z122,IF(AB122&gt;0,AB122,0))),IF(C122="peso_corporal",IF(ISNUMBER(E122),E122,0)+F122,F122)*(1+G122/30),IF(C122="peso_corporal",IF(ISNUMBER(E122),E122,0)+I122,I122)*(1+J122/30),IF(C122="peso_corporal",IF(ISNUMBER(E122),E122,0)+L122,L122)*(1+M122/30),IF(C122="peso_corporal",IF(ISNUMBER(E122),E122,0)+O122,O122)*(1+P122/30),IF(C122="peso_corporal",IF(ISNUMBER(E122),E122,0)+R122,R122)*(1+S122/30)),1)),"--")</f>
        <v>--</v>
      </c>
      <c r="V122" s="23" t="str">
        <f>IF(SUGERENCIAS!N299="SIN","Sin datos anteriores",IF(SUGERENCIAS!N299="SUBIR_F","^ SUBIR FUERTE | Kg:"&amp;ROUND(SUGERENCIAS!K299,1)&amp;" R:"&amp;ROUND(SUGERENCIAS!L299,0)&amp;" RIR:"&amp;ROUND(SUGERENCIAS!M299,0),IF(SUGERENCIAS!N299="SUBIR_E","^ SUBIR (Est.) | Kg:"&amp;ROUND(SUGERENCIAS!K299,1)&amp;" R:"&amp;ROUND(SUGERENCIAS!L299,0)&amp;" RIR:"&amp;ROUND(SUGERENCIAS!M299,0),IF(SUGERENCIAS!N299="SUBIR","^ SUBIR | Kg:"&amp;ROUND(SUGERENCIAS!K299,1)&amp;" R:"&amp;ROUND(SUGERENCIAS!L299,0)&amp;" RIR:"&amp;ROUND(SUGERENCIAS!M299,0),IF(SUGERENCIAS!N299="BAJAR","v BAJAR | Kg:"&amp;ROUND(SUGERENCIAS!K299,1)&amp;" R:"&amp;ROUND(SUGERENCIAS!L299,0)&amp;" RIR:"&amp;ROUND(SUGERENCIAS!M299,0),"= MANT | Kg:"&amp;ROUND(SUGERENCIAS!K299,1)&amp;" R:"&amp;ROUND(SUGERENCIAS!L299,0)&amp;" RIR:"&amp;ROUND(SUGERENCIAS!M299,0))))))</f>
        <v>Sin datos anteriores</v>
      </c>
      <c r="W122" s="69">
        <f>MAX(IF((G122&gt;0)*(IF(H122="",-1,H122)&gt;=1)*(IF(H122="",-1,H122)&lt;=3),IF(C122="peso_corporal",IF(ISNUMBER(E122),E122,0)+F122,F122)*G122*1000+F122,0),IF((J122&gt;0)*(IF(K122="",-1,K122)&gt;=1)*(IF(K122="",-1,K122)&lt;=3),IF(C122="peso_corporal",IF(ISNUMBER(E122),E122,0)+I122,I122)*J122*1000+I122,0),IF((M122&gt;0)*(IF(N122="",-1,N122)&gt;=1)*(IF(N122="",-1,N122)&lt;=3),IF(C122="peso_corporal",IF(ISNUMBER(E122),E122,0)+L122,L122)*M122*1000+L122,0),IF((P122&gt;0)*(IF(Q122="",-1,Q122)&gt;=1)*(IF(Q122="",-1,Q122)&lt;=3),IF(C122="peso_corporal",IF(ISNUMBER(E122),E122,0)+O122,O122)*P122*1000+O122,0),IF((S122&gt;0)*(IF(T122="",-1,T122)&gt;=1)*(IF(T122="",-1,T122)&lt;=3),IF(C122="peso_corporal",IF(ISNUMBER(E122),E122,0)+R122,R122)*S122*1000+R122,0))</f>
        <v>0</v>
      </c>
      <c r="X122" s="69">
        <f>IF(W122=0,0,IF(IF((S122&gt;0)*(IF(T122="",-1,T122)&gt;=1)*(IF(T122="",-1,T122)&lt;=3),IF(C122="peso_corporal",IF(ISNUMBER(E122),E122,0)+R122,R122)*S122*1000+R122,0)=W122,5,IF(IF((P122&gt;0)*(IF(Q122="",-1,Q122)&gt;=1)*(IF(Q122="",-1,Q122)&lt;=3),IF(C122="peso_corporal",IF(ISNUMBER(E122),E122,0)+O122,O122)*P122*1000+O122,0)=W122,4,IF(IF((M122&gt;0)*(IF(N122="",-1,N122)&gt;=1)*(IF(N122="",-1,N122)&lt;=3),IF(C122="peso_corporal",IF(ISNUMBER(E122),E122,0)+L122,L122)*M122*1000+L122,0)=W122,3,IF(IF((J122&gt;0)*(IF(K122="",-1,K122)&gt;=1)*(IF(K122="",-1,K122)&lt;=3),IF(C122="peso_corporal",IF(ISNUMBER(E122),E122,0)+I122,I122)*J122*1000+I122,0)=W122,2,IF(IF((G122&gt;0)*(IF(H122="",-1,H122)&gt;=1)*(IF(H122="",-1,H122)&lt;=3),IF(C122="peso_corporal",IF(ISNUMBER(E122),E122,0)+F122,F122)*G122*1000+F122,0)=W122,1,0))))))</f>
        <v>0</v>
      </c>
      <c r="Y122" s="69">
        <f>MAX(IF((G122&gt;0)*(IF(H122="",-1,H122)=0)*(1-(IF(H122="",-1,H122)&gt;=1)*(IF(H122="",-1,H122)&lt;=3)),IF(C122="peso_corporal",IF(ISNUMBER(E122),E122,0)+F122,F122)*G122*1000+F122,0),IF((J122&gt;0)*(IF(K122="",-1,K122)=0)*(1-(IF(K122="",-1,K122)&gt;=1)*(IF(K122="",-1,K122)&lt;=3)),IF(C122="peso_corporal",IF(ISNUMBER(E122),E122,0)+I122,I122)*J122*1000+I122,0),IF((M122&gt;0)*(IF(N122="",-1,N122)=0)*(1-(IF(N122="",-1,N122)&gt;=1)*(IF(N122="",-1,N122)&lt;=3)),IF(C122="peso_corporal",IF(ISNUMBER(E122),E122,0)+L122,L122)*M122*1000+L122,0),IF((P122&gt;0)*(IF(Q122="",-1,Q122)=0)*(1-(IF(Q122="",-1,Q122)&gt;=1)*(IF(Q122="",-1,Q122)&lt;=3)),IF(C122="peso_corporal",IF(ISNUMBER(E122),E122,0)+O122,O122)*P122*1000+O122,0),IF((S122&gt;0)*(IF(T122="",-1,T122)=0)*(1-(IF(T122="",-1,T122)&gt;=1)*(IF(T122="",-1,T122)&lt;=3)),IF(C122="peso_corporal",IF(ISNUMBER(E122),E122,0)+R122,R122)*S122*1000+R122,0))</f>
        <v>0</v>
      </c>
      <c r="Z122" s="69">
        <f>IF(Y122=0,0,IF(IF((S122&gt;0)*(IF(T122="",-1,T122)=0)*(1-(IF(T122="",-1,T122)&gt;=1)*(IF(T122="",-1,T122)&lt;=3)),IF(C122="peso_corporal",IF(ISNUMBER(E122),E122,0)+R122,R122)*S122*1000+R122,0)=Y122,5,IF(IF((P122&gt;0)*(IF(Q122="",-1,Q122)=0)*(1-(IF(Q122="",-1,Q122)&gt;=1)*(IF(Q122="",-1,Q122)&lt;=3)),IF(C122="peso_corporal",IF(ISNUMBER(E122),E122,0)+O122,O122)*P122*1000+O122,0)=Y122,4,IF(IF((M122&gt;0)*(IF(N122="",-1,N122)=0)*(1-(IF(N122="",-1,N122)&gt;=1)*(IF(N122="",-1,N122)&lt;=3)),IF(C122="peso_corporal",IF(ISNUMBER(E122),E122,0)+L122,L122)*M122*1000+L122,0)=Y122,3,IF(IF((J122&gt;0)*(IF(K122="",-1,K122)=0)*(1-(IF(K122="",-1,K122)&gt;=1)*(IF(K122="",-1,K122)&lt;=3)),IF(C122="peso_corporal",IF(ISNUMBER(E122),E122,0)+I122,I122)*J122*1000+I122,0)=Y122,2,IF(IF((G122&gt;0)*(IF(H122="",-1,H122)=0)*(1-(IF(H122="",-1,H122)&gt;=1)*(IF(H122="",-1,H122)&lt;=3)),IF(C122="peso_corporal",IF(ISNUMBER(E122),E122,0)+F122,F122)*G122*1000+F122,0)=Y122,1,0))))))</f>
        <v>0</v>
      </c>
      <c r="AA122" s="69">
        <f>MAX(IF((G122&gt;=6)*(1-(IF(H122="",-1,H122)&gt;=1)*(IF(H122="",-1,H122)&lt;=3))*(1-(IF(H122="",-1,H122)=0)),IF(C122="peso_corporal",IF(ISNUMBER(E122),E122,0)+F122,F122)*(30+G122)*100+F122,0),IF((J122&gt;=6)*(1-(IF(K122="",-1,K122)&gt;=1)*(IF(K122="",-1,K122)&lt;=3))*(1-(IF(K122="",-1,K122)=0)),IF(C122="peso_corporal",IF(ISNUMBER(E122),E122,0)+I122,I122)*(30+J122)*100+I122,0),IF((M122&gt;=6)*(1-(IF(N122="",-1,N122)&gt;=1)*(IF(N122="",-1,N122)&lt;=3))*(1-(IF(N122="",-1,N122)=0)),IF(C122="peso_corporal",IF(ISNUMBER(E122),E122,0)+L122,L122)*(30+M122)*100+L122,0),IF((P122&gt;=6)*(1-(IF(Q122="",-1,Q122)&gt;=1)*(IF(Q122="",-1,Q122)&lt;=3))*(1-(IF(Q122="",-1,Q122)=0)),IF(C122="peso_corporal",IF(ISNUMBER(E122),E122,0)+O122,O122)*(30+P122)*100+O122,0),IF((S122&gt;=6)*(1-(IF(T122="",-1,T122)&gt;=1)*(IF(T122="",-1,T122)&lt;=3))*(1-(IF(T122="",-1,T122)=0)),IF(C122="peso_corporal",IF(ISNUMBER(E122),E122,0)+R122,R122)*(30+S122)*100+R122,0))</f>
        <v>0</v>
      </c>
      <c r="AB122" s="69">
        <f>IF(AA122=0,0,IF(IF((S122&gt;=6)*(1-(IF(T122="",-1,T122)&gt;=1)*(IF(T122="",-1,T122)&lt;=3))*(1-(IF(T122="",-1,T122)=0)),IF(C122="peso_corporal",IF(ISNUMBER(E122),E122,0)+R122,R122)*(30+S122)*100+R122,0)=AA122,5,IF(IF((P122&gt;=6)*(1-(IF(Q122="",-1,Q122)&gt;=1)*(IF(Q122="",-1,Q122)&lt;=3))*(1-(IF(Q122="",-1,Q122)=0)),IF(C122="peso_corporal",IF(ISNUMBER(E122),E122,0)+O122,O122)*(30+P122)*100+O122,0)=AA122,4,IF(IF((M122&gt;=6)*(1-(IF(N122="",-1,N122)&gt;=1)*(IF(N122="",-1,N122)&lt;=3))*(1-(IF(N122="",-1,N122)=0)),IF(C122="peso_corporal",IF(ISNUMBER(E122),E122,0)+L122,L122)*(30+M122)*100+L122,0)=AA122,3,IF(IF((J122&gt;=6)*(1-(IF(K122="",-1,K122)&gt;=1)*(IF(K122="",-1,K122)&lt;=3))*(1-(IF(K122="",-1,K122)=0)),IF(C122="peso_corporal",IF(ISNUMBER(E122),E122,0)+I122,I122)*(30+J122)*100+I122,0)=AA122,2,IF(IF((G122&gt;=6)*(1-(IF(H122="",-1,H122)&gt;=1)*(IF(H122="",-1,H122)&lt;=3))*(1-(IF(H122="",-1,H122)=0)),IF(C122="peso_corporal",IF(ISNUMBER(E122),E122,0)+F122,F122)*(30+G122)*100+F122,0)=AA122,1,0))))))</f>
        <v>0</v>
      </c>
      <c r="AC122" s="69" t="str">
        <f>IF(X122&gt;0,"A"&amp;X122,IF(Z122&gt;0,"B"&amp;Z122,IF(AB122&gt;0,"C"&amp;AB122,"")))</f>
        <v/>
      </c>
    </row>
    <row r="123" spans="1:29" ht="11.1" customHeight="1">
      <c r="A123" s="87" t="s">
        <v>165</v>
      </c>
      <c r="B123" s="73"/>
      <c r="C123" s="73"/>
      <c r="D123" s="73"/>
      <c r="E123" s="73"/>
      <c r="F123" s="73"/>
      <c r="G123" s="73"/>
      <c r="H123" s="73"/>
      <c r="I123" s="73"/>
      <c r="J123" s="73"/>
      <c r="K123" s="73"/>
      <c r="L123" s="73"/>
      <c r="M123" s="73"/>
      <c r="N123" s="73"/>
      <c r="O123" s="73"/>
      <c r="P123" s="73"/>
      <c r="Q123" s="73"/>
      <c r="R123" s="73"/>
      <c r="S123" s="73"/>
      <c r="T123" s="73"/>
      <c r="U123" s="73"/>
      <c r="V123" s="73"/>
      <c r="W123" s="69"/>
      <c r="X123" s="69"/>
      <c r="Y123" s="69"/>
      <c r="Z123" s="69"/>
      <c r="AA123" s="69"/>
      <c r="AB123" s="69"/>
      <c r="AC123" s="69"/>
    </row>
    <row r="124" spans="1:29" ht="20.100000000000001" customHeight="1">
      <c r="A124" s="14" t="s">
        <v>62</v>
      </c>
      <c r="B124" s="15" t="s">
        <v>63</v>
      </c>
      <c r="C124" s="16" t="str">
        <f>IFERROR(INDEX(EJERCICIOS!$D$3:$D$75,MATCH(A124&amp;"|"&amp;B124,EJERCICIOS!$G$3:$G$75,0)),"--")</f>
        <v>--</v>
      </c>
      <c r="D124" s="17">
        <v>3</v>
      </c>
      <c r="E124" s="18">
        <f>IFERROR(LOOKUP(2,1/(MEDIDAS_Y_PESO!$B$3:$B$7&lt;&gt;""),MEDIDAS_Y_PESO!$B$3:$B$7),"--")</f>
        <v>80</v>
      </c>
      <c r="F124" s="19"/>
      <c r="G124" s="20"/>
      <c r="H124" s="21"/>
      <c r="I124" s="19"/>
      <c r="J124" s="20"/>
      <c r="K124" s="21"/>
      <c r="L124" s="19"/>
      <c r="M124" s="20"/>
      <c r="N124" s="21"/>
      <c r="O124" s="19"/>
      <c r="P124" s="20"/>
      <c r="Q124" s="21"/>
      <c r="R124" s="19"/>
      <c r="S124" s="20"/>
      <c r="T124" s="21"/>
      <c r="U124" s="22" t="str">
        <f>IFERROR(IF(IF(X124&gt;0,X124,IF(Z124&gt;0,Z124,IF(AB124&gt;0,AB124,0)))=0,"--",ROUND(CHOOSE(IF(X124&gt;0,X124,IF(Z124&gt;0,Z124,IF(AB124&gt;0,AB124,0))),IF(C124="peso_corporal",IF(ISNUMBER(E124),E124,0)+F124,F124)*(1+G124/30),IF(C124="peso_corporal",IF(ISNUMBER(E124),E124,0)+I124,I124)*(1+J124/30),IF(C124="peso_corporal",IF(ISNUMBER(E124),E124,0)+L124,L124)*(1+M124/30),IF(C124="peso_corporal",IF(ISNUMBER(E124),E124,0)+O124,O124)*(1+P124/30),IF(C124="peso_corporal",IF(ISNUMBER(E124),E124,0)+R124,R124)*(1+S124/30)),1)),"--")</f>
        <v>--</v>
      </c>
      <c r="V124" s="23" t="str">
        <f>IF(SUGERENCIAS!N300="SIN","Sin datos anteriores",IF(SUGERENCIAS!N300="SUBIR_F","^ SUBIR FUERTE | Kg:"&amp;ROUND(SUGERENCIAS!K300,1)&amp;" R:"&amp;ROUND(SUGERENCIAS!L300,0)&amp;" RIR:"&amp;ROUND(SUGERENCIAS!M300,0),IF(SUGERENCIAS!N300="SUBIR_E","^ SUBIR (Est.) | Kg:"&amp;ROUND(SUGERENCIAS!K300,1)&amp;" R:"&amp;ROUND(SUGERENCIAS!L300,0)&amp;" RIR:"&amp;ROUND(SUGERENCIAS!M300,0),IF(SUGERENCIAS!N300="SUBIR","^ SUBIR | Kg:"&amp;ROUND(SUGERENCIAS!K300,1)&amp;" R:"&amp;ROUND(SUGERENCIAS!L300,0)&amp;" RIR:"&amp;ROUND(SUGERENCIAS!M300,0),IF(SUGERENCIAS!N300="BAJAR","v BAJAR | Kg:"&amp;ROUND(SUGERENCIAS!K300,1)&amp;" R:"&amp;ROUND(SUGERENCIAS!L300,0)&amp;" RIR:"&amp;ROUND(SUGERENCIAS!M300,0),"= MANT | Kg:"&amp;ROUND(SUGERENCIAS!K300,1)&amp;" R:"&amp;ROUND(SUGERENCIAS!L300,0)&amp;" RIR:"&amp;ROUND(SUGERENCIAS!M300,0))))))</f>
        <v>Sin datos anteriores</v>
      </c>
      <c r="W124" s="69">
        <f>MAX(IF((G124&gt;0)*(IF(H124="",-1,H124)&gt;=1)*(IF(H124="",-1,H124)&lt;=3),IF(C124="peso_corporal",IF(ISNUMBER(E124),E124,0)+F124,F124)*G124*1000+F124,0),IF((J124&gt;0)*(IF(K124="",-1,K124)&gt;=1)*(IF(K124="",-1,K124)&lt;=3),IF(C124="peso_corporal",IF(ISNUMBER(E124),E124,0)+I124,I124)*J124*1000+I124,0),IF((M124&gt;0)*(IF(N124="",-1,N124)&gt;=1)*(IF(N124="",-1,N124)&lt;=3),IF(C124="peso_corporal",IF(ISNUMBER(E124),E124,0)+L124,L124)*M124*1000+L124,0),IF((P124&gt;0)*(IF(Q124="",-1,Q124)&gt;=1)*(IF(Q124="",-1,Q124)&lt;=3),IF(C124="peso_corporal",IF(ISNUMBER(E124),E124,0)+O124,O124)*P124*1000+O124,0),IF((S124&gt;0)*(IF(T124="",-1,T124)&gt;=1)*(IF(T124="",-1,T124)&lt;=3),IF(C124="peso_corporal",IF(ISNUMBER(E124),E124,0)+R124,R124)*S124*1000+R124,0))</f>
        <v>0</v>
      </c>
      <c r="X124" s="69">
        <f>IF(W124=0,0,IF(IF((S124&gt;0)*(IF(T124="",-1,T124)&gt;=1)*(IF(T124="",-1,T124)&lt;=3),IF(C124="peso_corporal",IF(ISNUMBER(E124),E124,0)+R124,R124)*S124*1000+R124,0)=W124,5,IF(IF((P124&gt;0)*(IF(Q124="",-1,Q124)&gt;=1)*(IF(Q124="",-1,Q124)&lt;=3),IF(C124="peso_corporal",IF(ISNUMBER(E124),E124,0)+O124,O124)*P124*1000+O124,0)=W124,4,IF(IF((M124&gt;0)*(IF(N124="",-1,N124)&gt;=1)*(IF(N124="",-1,N124)&lt;=3),IF(C124="peso_corporal",IF(ISNUMBER(E124),E124,0)+L124,L124)*M124*1000+L124,0)=W124,3,IF(IF((J124&gt;0)*(IF(K124="",-1,K124)&gt;=1)*(IF(K124="",-1,K124)&lt;=3),IF(C124="peso_corporal",IF(ISNUMBER(E124),E124,0)+I124,I124)*J124*1000+I124,0)=W124,2,IF(IF((G124&gt;0)*(IF(H124="",-1,H124)&gt;=1)*(IF(H124="",-1,H124)&lt;=3),IF(C124="peso_corporal",IF(ISNUMBER(E124),E124,0)+F124,F124)*G124*1000+F124,0)=W124,1,0))))))</f>
        <v>0</v>
      </c>
      <c r="Y124" s="69">
        <f>MAX(IF((G124&gt;0)*(IF(H124="",-1,H124)=0)*(1-(IF(H124="",-1,H124)&gt;=1)*(IF(H124="",-1,H124)&lt;=3)),IF(C124="peso_corporal",IF(ISNUMBER(E124),E124,0)+F124,F124)*G124*1000+F124,0),IF((J124&gt;0)*(IF(K124="",-1,K124)=0)*(1-(IF(K124="",-1,K124)&gt;=1)*(IF(K124="",-1,K124)&lt;=3)),IF(C124="peso_corporal",IF(ISNUMBER(E124),E124,0)+I124,I124)*J124*1000+I124,0),IF((M124&gt;0)*(IF(N124="",-1,N124)=0)*(1-(IF(N124="",-1,N124)&gt;=1)*(IF(N124="",-1,N124)&lt;=3)),IF(C124="peso_corporal",IF(ISNUMBER(E124),E124,0)+L124,L124)*M124*1000+L124,0),IF((P124&gt;0)*(IF(Q124="",-1,Q124)=0)*(1-(IF(Q124="",-1,Q124)&gt;=1)*(IF(Q124="",-1,Q124)&lt;=3)),IF(C124="peso_corporal",IF(ISNUMBER(E124),E124,0)+O124,O124)*P124*1000+O124,0),IF((S124&gt;0)*(IF(T124="",-1,T124)=0)*(1-(IF(T124="",-1,T124)&gt;=1)*(IF(T124="",-1,T124)&lt;=3)),IF(C124="peso_corporal",IF(ISNUMBER(E124),E124,0)+R124,R124)*S124*1000+R124,0))</f>
        <v>0</v>
      </c>
      <c r="Z124" s="69">
        <f>IF(Y124=0,0,IF(IF((S124&gt;0)*(IF(T124="",-1,T124)=0)*(1-(IF(T124="",-1,T124)&gt;=1)*(IF(T124="",-1,T124)&lt;=3)),IF(C124="peso_corporal",IF(ISNUMBER(E124),E124,0)+R124,R124)*S124*1000+R124,0)=Y124,5,IF(IF((P124&gt;0)*(IF(Q124="",-1,Q124)=0)*(1-(IF(Q124="",-1,Q124)&gt;=1)*(IF(Q124="",-1,Q124)&lt;=3)),IF(C124="peso_corporal",IF(ISNUMBER(E124),E124,0)+O124,O124)*P124*1000+O124,0)=Y124,4,IF(IF((M124&gt;0)*(IF(N124="",-1,N124)=0)*(1-(IF(N124="",-1,N124)&gt;=1)*(IF(N124="",-1,N124)&lt;=3)),IF(C124="peso_corporal",IF(ISNUMBER(E124),E124,0)+L124,L124)*M124*1000+L124,0)=Y124,3,IF(IF((J124&gt;0)*(IF(K124="",-1,K124)=0)*(1-(IF(K124="",-1,K124)&gt;=1)*(IF(K124="",-1,K124)&lt;=3)),IF(C124="peso_corporal",IF(ISNUMBER(E124),E124,0)+I124,I124)*J124*1000+I124,0)=Y124,2,IF(IF((G124&gt;0)*(IF(H124="",-1,H124)=0)*(1-(IF(H124="",-1,H124)&gt;=1)*(IF(H124="",-1,H124)&lt;=3)),IF(C124="peso_corporal",IF(ISNUMBER(E124),E124,0)+F124,F124)*G124*1000+F124,0)=Y124,1,0))))))</f>
        <v>0</v>
      </c>
      <c r="AA124" s="69">
        <f>MAX(IF((G124&gt;=6)*(1-(IF(H124="",-1,H124)&gt;=1)*(IF(H124="",-1,H124)&lt;=3))*(1-(IF(H124="",-1,H124)=0)),IF(C124="peso_corporal",IF(ISNUMBER(E124),E124,0)+F124,F124)*(30+G124)*100+F124,0),IF((J124&gt;=6)*(1-(IF(K124="",-1,K124)&gt;=1)*(IF(K124="",-1,K124)&lt;=3))*(1-(IF(K124="",-1,K124)=0)),IF(C124="peso_corporal",IF(ISNUMBER(E124),E124,0)+I124,I124)*(30+J124)*100+I124,0),IF((M124&gt;=6)*(1-(IF(N124="",-1,N124)&gt;=1)*(IF(N124="",-1,N124)&lt;=3))*(1-(IF(N124="",-1,N124)=0)),IF(C124="peso_corporal",IF(ISNUMBER(E124),E124,0)+L124,L124)*(30+M124)*100+L124,0),IF((P124&gt;=6)*(1-(IF(Q124="",-1,Q124)&gt;=1)*(IF(Q124="",-1,Q124)&lt;=3))*(1-(IF(Q124="",-1,Q124)=0)),IF(C124="peso_corporal",IF(ISNUMBER(E124),E124,0)+O124,O124)*(30+P124)*100+O124,0),IF((S124&gt;=6)*(1-(IF(T124="",-1,T124)&gt;=1)*(IF(T124="",-1,T124)&lt;=3))*(1-(IF(T124="",-1,T124)=0)),IF(C124="peso_corporal",IF(ISNUMBER(E124),E124,0)+R124,R124)*(30+S124)*100+R124,0))</f>
        <v>0</v>
      </c>
      <c r="AB124" s="69">
        <f>IF(AA124=0,0,IF(IF((S124&gt;=6)*(1-(IF(T124="",-1,T124)&gt;=1)*(IF(T124="",-1,T124)&lt;=3))*(1-(IF(T124="",-1,T124)=0)),IF(C124="peso_corporal",IF(ISNUMBER(E124),E124,0)+R124,R124)*(30+S124)*100+R124,0)=AA124,5,IF(IF((P124&gt;=6)*(1-(IF(Q124="",-1,Q124)&gt;=1)*(IF(Q124="",-1,Q124)&lt;=3))*(1-(IF(Q124="",-1,Q124)=0)),IF(C124="peso_corporal",IF(ISNUMBER(E124),E124,0)+O124,O124)*(30+P124)*100+O124,0)=AA124,4,IF(IF((M124&gt;=6)*(1-(IF(N124="",-1,N124)&gt;=1)*(IF(N124="",-1,N124)&lt;=3))*(1-(IF(N124="",-1,N124)=0)),IF(C124="peso_corporal",IF(ISNUMBER(E124),E124,0)+L124,L124)*(30+M124)*100+L124,0)=AA124,3,IF(IF((J124&gt;=6)*(1-(IF(K124="",-1,K124)&gt;=1)*(IF(K124="",-1,K124)&lt;=3))*(1-(IF(K124="",-1,K124)=0)),IF(C124="peso_corporal",IF(ISNUMBER(E124),E124,0)+I124,I124)*(30+J124)*100+I124,0)=AA124,2,IF(IF((G124&gt;=6)*(1-(IF(H124="",-1,H124)&gt;=1)*(IF(H124="",-1,H124)&lt;=3))*(1-(IF(H124="",-1,H124)=0)),IF(C124="peso_corporal",IF(ISNUMBER(E124),E124,0)+F124,F124)*(30+G124)*100+F124,0)=AA124,1,0))))))</f>
        <v>0</v>
      </c>
      <c r="AC124" s="69" t="str">
        <f>IF(X124&gt;0,"A"&amp;X124,IF(Z124&gt;0,"B"&amp;Z124,IF(AB124&gt;0,"C"&amp;AB124,"")))</f>
        <v/>
      </c>
    </row>
    <row r="125" spans="1:29" ht="15" customHeight="1">
      <c r="A125" s="82" t="s">
        <v>47</v>
      </c>
      <c r="B125" s="73"/>
      <c r="C125" s="73"/>
      <c r="D125" s="73"/>
      <c r="E125" s="73"/>
      <c r="F125" s="73"/>
      <c r="G125" s="73"/>
      <c r="H125" s="73"/>
      <c r="I125" s="73"/>
      <c r="J125" s="73"/>
      <c r="K125" s="73"/>
      <c r="L125" s="73"/>
      <c r="M125" s="73"/>
      <c r="N125" s="73"/>
      <c r="O125" s="73"/>
      <c r="P125" s="73"/>
      <c r="Q125" s="73"/>
      <c r="R125" s="73"/>
      <c r="S125" s="73"/>
      <c r="T125" s="73"/>
      <c r="U125" s="73"/>
      <c r="V125" s="73"/>
      <c r="W125" s="69"/>
      <c r="X125" s="69"/>
      <c r="Y125" s="69"/>
      <c r="Z125" s="69"/>
      <c r="AA125" s="69"/>
      <c r="AB125" s="69"/>
      <c r="AC125" s="69"/>
    </row>
    <row r="126" spans="1:29" ht="20.100000000000001" customHeight="1">
      <c r="A126" s="14" t="s">
        <v>40</v>
      </c>
      <c r="B126" s="15" t="s">
        <v>41</v>
      </c>
      <c r="C126" s="16" t="str">
        <f>IFERROR(INDEX(EJERCICIOS!$D$3:$D$75,MATCH(A126&amp;"|"&amp;B126,EJERCICIOS!$G$3:$G$75,0)),"--")</f>
        <v>polea</v>
      </c>
      <c r="D126" s="17">
        <v>3</v>
      </c>
      <c r="E126" s="18">
        <f>IFERROR(LOOKUP(2,1/(MEDIDAS_Y_PESO!$B$3:$B$7&lt;&gt;""),MEDIDAS_Y_PESO!$B$3:$B$7),"--")</f>
        <v>80</v>
      </c>
      <c r="F126" s="19"/>
      <c r="G126" s="20"/>
      <c r="H126" s="21"/>
      <c r="I126" s="19"/>
      <c r="J126" s="20"/>
      <c r="K126" s="21"/>
      <c r="L126" s="19"/>
      <c r="M126" s="20"/>
      <c r="N126" s="21"/>
      <c r="O126" s="19"/>
      <c r="P126" s="20"/>
      <c r="Q126" s="21"/>
      <c r="R126" s="19"/>
      <c r="S126" s="20"/>
      <c r="T126" s="21"/>
      <c r="U126" s="22" t="str">
        <f>IFERROR(IF(IF(X126&gt;0,X126,IF(Z126&gt;0,Z126,IF(AB126&gt;0,AB126,0)))=0,"--",ROUND(CHOOSE(IF(X126&gt;0,X126,IF(Z126&gt;0,Z126,IF(AB126&gt;0,AB126,0))),IF(C126="peso_corporal",IF(ISNUMBER(E126),E126,0)+F126,F126)*(1+G126/30),IF(C126="peso_corporal",IF(ISNUMBER(E126),E126,0)+I126,I126)*(1+J126/30),IF(C126="peso_corporal",IF(ISNUMBER(E126),E126,0)+L126,L126)*(1+M126/30),IF(C126="peso_corporal",IF(ISNUMBER(E126),E126,0)+O126,O126)*(1+P126/30),IF(C126="peso_corporal",IF(ISNUMBER(E126),E126,0)+R126,R126)*(1+S126/30)),1)),"--")</f>
        <v>--</v>
      </c>
      <c r="V126" s="23" t="str">
        <f>IF(SUGERENCIAS!N301="SIN","Sin datos anteriores",IF(SUGERENCIAS!N301="SUBIR_F","^ SUBIR FUERTE | Kg:"&amp;ROUND(SUGERENCIAS!K301,1)&amp;" R:"&amp;ROUND(SUGERENCIAS!L301,0)&amp;" RIR:"&amp;ROUND(SUGERENCIAS!M301,0),IF(SUGERENCIAS!N301="SUBIR_E","^ SUBIR (Est.) | Kg:"&amp;ROUND(SUGERENCIAS!K301,1)&amp;" R:"&amp;ROUND(SUGERENCIAS!L301,0)&amp;" RIR:"&amp;ROUND(SUGERENCIAS!M301,0),IF(SUGERENCIAS!N301="SUBIR","^ SUBIR | Kg:"&amp;ROUND(SUGERENCIAS!K301,1)&amp;" R:"&amp;ROUND(SUGERENCIAS!L301,0)&amp;" RIR:"&amp;ROUND(SUGERENCIAS!M301,0),IF(SUGERENCIAS!N301="BAJAR","v BAJAR | Kg:"&amp;ROUND(SUGERENCIAS!K301,1)&amp;" R:"&amp;ROUND(SUGERENCIAS!L301,0)&amp;" RIR:"&amp;ROUND(SUGERENCIAS!M301,0),"= MANT | Kg:"&amp;ROUND(SUGERENCIAS!K301,1)&amp;" R:"&amp;ROUND(SUGERENCIAS!L301,0)&amp;" RIR:"&amp;ROUND(SUGERENCIAS!M301,0))))))</f>
        <v>Sin datos anteriores</v>
      </c>
      <c r="W126" s="69">
        <f>MAX(IF((G126&gt;0)*(IF(H126="",-1,H126)&gt;=1)*(IF(H126="",-1,H126)&lt;=3),IF(C126="peso_corporal",IF(ISNUMBER(E126),E126,0)+F126,F126)*G126*1000+F126,0),IF((J126&gt;0)*(IF(K126="",-1,K126)&gt;=1)*(IF(K126="",-1,K126)&lt;=3),IF(C126="peso_corporal",IF(ISNUMBER(E126),E126,0)+I126,I126)*J126*1000+I126,0),IF((M126&gt;0)*(IF(N126="",-1,N126)&gt;=1)*(IF(N126="",-1,N126)&lt;=3),IF(C126="peso_corporal",IF(ISNUMBER(E126),E126,0)+L126,L126)*M126*1000+L126,0),IF((P126&gt;0)*(IF(Q126="",-1,Q126)&gt;=1)*(IF(Q126="",-1,Q126)&lt;=3),IF(C126="peso_corporal",IF(ISNUMBER(E126),E126,0)+O126,O126)*P126*1000+O126,0),IF((S126&gt;0)*(IF(T126="",-1,T126)&gt;=1)*(IF(T126="",-1,T126)&lt;=3),IF(C126="peso_corporal",IF(ISNUMBER(E126),E126,0)+R126,R126)*S126*1000+R126,0))</f>
        <v>0</v>
      </c>
      <c r="X126" s="69">
        <f>IF(W126=0,0,IF(IF((S126&gt;0)*(IF(T126="",-1,T126)&gt;=1)*(IF(T126="",-1,T126)&lt;=3),IF(C126="peso_corporal",IF(ISNUMBER(E126),E126,0)+R126,R126)*S126*1000+R126,0)=W126,5,IF(IF((P126&gt;0)*(IF(Q126="",-1,Q126)&gt;=1)*(IF(Q126="",-1,Q126)&lt;=3),IF(C126="peso_corporal",IF(ISNUMBER(E126),E126,0)+O126,O126)*P126*1000+O126,0)=W126,4,IF(IF((M126&gt;0)*(IF(N126="",-1,N126)&gt;=1)*(IF(N126="",-1,N126)&lt;=3),IF(C126="peso_corporal",IF(ISNUMBER(E126),E126,0)+L126,L126)*M126*1000+L126,0)=W126,3,IF(IF((J126&gt;0)*(IF(K126="",-1,K126)&gt;=1)*(IF(K126="",-1,K126)&lt;=3),IF(C126="peso_corporal",IF(ISNUMBER(E126),E126,0)+I126,I126)*J126*1000+I126,0)=W126,2,IF(IF((G126&gt;0)*(IF(H126="",-1,H126)&gt;=1)*(IF(H126="",-1,H126)&lt;=3),IF(C126="peso_corporal",IF(ISNUMBER(E126),E126,0)+F126,F126)*G126*1000+F126,0)=W126,1,0))))))</f>
        <v>0</v>
      </c>
      <c r="Y126" s="69">
        <f>MAX(IF((G126&gt;0)*(IF(H126="",-1,H126)=0)*(1-(IF(H126="",-1,H126)&gt;=1)*(IF(H126="",-1,H126)&lt;=3)),IF(C126="peso_corporal",IF(ISNUMBER(E126),E126,0)+F126,F126)*G126*1000+F126,0),IF((J126&gt;0)*(IF(K126="",-1,K126)=0)*(1-(IF(K126="",-1,K126)&gt;=1)*(IF(K126="",-1,K126)&lt;=3)),IF(C126="peso_corporal",IF(ISNUMBER(E126),E126,0)+I126,I126)*J126*1000+I126,0),IF((M126&gt;0)*(IF(N126="",-1,N126)=0)*(1-(IF(N126="",-1,N126)&gt;=1)*(IF(N126="",-1,N126)&lt;=3)),IF(C126="peso_corporal",IF(ISNUMBER(E126),E126,0)+L126,L126)*M126*1000+L126,0),IF((P126&gt;0)*(IF(Q126="",-1,Q126)=0)*(1-(IF(Q126="",-1,Q126)&gt;=1)*(IF(Q126="",-1,Q126)&lt;=3)),IF(C126="peso_corporal",IF(ISNUMBER(E126),E126,0)+O126,O126)*P126*1000+O126,0),IF((S126&gt;0)*(IF(T126="",-1,T126)=0)*(1-(IF(T126="",-1,T126)&gt;=1)*(IF(T126="",-1,T126)&lt;=3)),IF(C126="peso_corporal",IF(ISNUMBER(E126),E126,0)+R126,R126)*S126*1000+R126,0))</f>
        <v>0</v>
      </c>
      <c r="Z126" s="69">
        <f>IF(Y126=0,0,IF(IF((S126&gt;0)*(IF(T126="",-1,T126)=0)*(1-(IF(T126="",-1,T126)&gt;=1)*(IF(T126="",-1,T126)&lt;=3)),IF(C126="peso_corporal",IF(ISNUMBER(E126),E126,0)+R126,R126)*S126*1000+R126,0)=Y126,5,IF(IF((P126&gt;0)*(IF(Q126="",-1,Q126)=0)*(1-(IF(Q126="",-1,Q126)&gt;=1)*(IF(Q126="",-1,Q126)&lt;=3)),IF(C126="peso_corporal",IF(ISNUMBER(E126),E126,0)+O126,O126)*P126*1000+O126,0)=Y126,4,IF(IF((M126&gt;0)*(IF(N126="",-1,N126)=0)*(1-(IF(N126="",-1,N126)&gt;=1)*(IF(N126="",-1,N126)&lt;=3)),IF(C126="peso_corporal",IF(ISNUMBER(E126),E126,0)+L126,L126)*M126*1000+L126,0)=Y126,3,IF(IF((J126&gt;0)*(IF(K126="",-1,K126)=0)*(1-(IF(K126="",-1,K126)&gt;=1)*(IF(K126="",-1,K126)&lt;=3)),IF(C126="peso_corporal",IF(ISNUMBER(E126),E126,0)+I126,I126)*J126*1000+I126,0)=Y126,2,IF(IF((G126&gt;0)*(IF(H126="",-1,H126)=0)*(1-(IF(H126="",-1,H126)&gt;=1)*(IF(H126="",-1,H126)&lt;=3)),IF(C126="peso_corporal",IF(ISNUMBER(E126),E126,0)+F126,F126)*G126*1000+F126,0)=Y126,1,0))))))</f>
        <v>0</v>
      </c>
      <c r="AA126" s="69">
        <f>MAX(IF((G126&gt;=6)*(1-(IF(H126="",-1,H126)&gt;=1)*(IF(H126="",-1,H126)&lt;=3))*(1-(IF(H126="",-1,H126)=0)),IF(C126="peso_corporal",IF(ISNUMBER(E126),E126,0)+F126,F126)*(30+G126)*100+F126,0),IF((J126&gt;=6)*(1-(IF(K126="",-1,K126)&gt;=1)*(IF(K126="",-1,K126)&lt;=3))*(1-(IF(K126="",-1,K126)=0)),IF(C126="peso_corporal",IF(ISNUMBER(E126),E126,0)+I126,I126)*(30+J126)*100+I126,0),IF((M126&gt;=6)*(1-(IF(N126="",-1,N126)&gt;=1)*(IF(N126="",-1,N126)&lt;=3))*(1-(IF(N126="",-1,N126)=0)),IF(C126="peso_corporal",IF(ISNUMBER(E126),E126,0)+L126,L126)*(30+M126)*100+L126,0),IF((P126&gt;=6)*(1-(IF(Q126="",-1,Q126)&gt;=1)*(IF(Q126="",-1,Q126)&lt;=3))*(1-(IF(Q126="",-1,Q126)=0)),IF(C126="peso_corporal",IF(ISNUMBER(E126),E126,0)+O126,O126)*(30+P126)*100+O126,0),IF((S126&gt;=6)*(1-(IF(T126="",-1,T126)&gt;=1)*(IF(T126="",-1,T126)&lt;=3))*(1-(IF(T126="",-1,T126)=0)),IF(C126="peso_corporal",IF(ISNUMBER(E126),E126,0)+R126,R126)*(30+S126)*100+R126,0))</f>
        <v>0</v>
      </c>
      <c r="AB126" s="69">
        <f>IF(AA126=0,0,IF(IF((S126&gt;=6)*(1-(IF(T126="",-1,T126)&gt;=1)*(IF(T126="",-1,T126)&lt;=3))*(1-(IF(T126="",-1,T126)=0)),IF(C126="peso_corporal",IF(ISNUMBER(E126),E126,0)+R126,R126)*(30+S126)*100+R126,0)=AA126,5,IF(IF((P126&gt;=6)*(1-(IF(Q126="",-1,Q126)&gt;=1)*(IF(Q126="",-1,Q126)&lt;=3))*(1-(IF(Q126="",-1,Q126)=0)),IF(C126="peso_corporal",IF(ISNUMBER(E126),E126,0)+O126,O126)*(30+P126)*100+O126,0)=AA126,4,IF(IF((M126&gt;=6)*(1-(IF(N126="",-1,N126)&gt;=1)*(IF(N126="",-1,N126)&lt;=3))*(1-(IF(N126="",-1,N126)=0)),IF(C126="peso_corporal",IF(ISNUMBER(E126),E126,0)+L126,L126)*(30+M126)*100+L126,0)=AA126,3,IF(IF((J126&gt;=6)*(1-(IF(K126="",-1,K126)&gt;=1)*(IF(K126="",-1,K126)&lt;=3))*(1-(IF(K126="",-1,K126)=0)),IF(C126="peso_corporal",IF(ISNUMBER(E126),E126,0)+I126,I126)*(30+J126)*100+I126,0)=AA126,2,IF(IF((G126&gt;=6)*(1-(IF(H126="",-1,H126)&gt;=1)*(IF(H126="",-1,H126)&lt;=3))*(1-(IF(H126="",-1,H126)=0)),IF(C126="peso_corporal",IF(ISNUMBER(E126),E126,0)+F126,F126)*(30+G126)*100+F126,0)=AA126,1,0))))))</f>
        <v>0</v>
      </c>
      <c r="AC126" s="69" t="str">
        <f>IF(X126&gt;0,"A"&amp;X126,IF(Z126&gt;0,"B"&amp;Z126,IF(AB126&gt;0,"C"&amp;AB126,"")))</f>
        <v/>
      </c>
    </row>
    <row r="127" spans="1:29" ht="20.100000000000001" customHeight="1">
      <c r="A127" s="14" t="s">
        <v>48</v>
      </c>
      <c r="B127" s="15" t="s">
        <v>166</v>
      </c>
      <c r="C127" s="16" t="str">
        <f>IFERROR(INDEX(EJERCICIOS!$D$3:$D$75,MATCH(A127&amp;"|"&amp;B127,EJERCICIOS!$G$3:$G$75,0)),"--")</f>
        <v>--</v>
      </c>
      <c r="D127" s="17">
        <v>3</v>
      </c>
      <c r="E127" s="18">
        <f>IFERROR(LOOKUP(2,1/(MEDIDAS_Y_PESO!$B$3:$B$7&lt;&gt;""),MEDIDAS_Y_PESO!$B$3:$B$7),"--")</f>
        <v>80</v>
      </c>
      <c r="F127" s="19"/>
      <c r="G127" s="20"/>
      <c r="H127" s="21"/>
      <c r="I127" s="19"/>
      <c r="J127" s="20"/>
      <c r="K127" s="21"/>
      <c r="L127" s="19"/>
      <c r="M127" s="20"/>
      <c r="N127" s="21"/>
      <c r="O127" s="19"/>
      <c r="P127" s="20"/>
      <c r="Q127" s="21"/>
      <c r="R127" s="19"/>
      <c r="S127" s="20"/>
      <c r="T127" s="21"/>
      <c r="U127" s="22" t="str">
        <f>IFERROR(IF(IF(X127&gt;0,X127,IF(Z127&gt;0,Z127,IF(AB127&gt;0,AB127,0)))=0,"--",ROUND(CHOOSE(IF(X127&gt;0,X127,IF(Z127&gt;0,Z127,IF(AB127&gt;0,AB127,0))),IF(C127="peso_corporal",IF(ISNUMBER(E127),E127,0)+F127,F127)*(1+G127/30),IF(C127="peso_corporal",IF(ISNUMBER(E127),E127,0)+I127,I127)*(1+J127/30),IF(C127="peso_corporal",IF(ISNUMBER(E127),E127,0)+L127,L127)*(1+M127/30),IF(C127="peso_corporal",IF(ISNUMBER(E127),E127,0)+O127,O127)*(1+P127/30),IF(C127="peso_corporal",IF(ISNUMBER(E127),E127,0)+R127,R127)*(1+S127/30)),1)),"--")</f>
        <v>--</v>
      </c>
      <c r="V127" s="23" t="str">
        <f>IF(SUGERENCIAS!N302="SIN","Sin datos anteriores",IF(SUGERENCIAS!N302="SUBIR_F","^ SUBIR FUERTE | Kg:"&amp;ROUND(SUGERENCIAS!K302,1)&amp;" R:"&amp;ROUND(SUGERENCIAS!L302,0)&amp;" RIR:"&amp;ROUND(SUGERENCIAS!M302,0),IF(SUGERENCIAS!N302="SUBIR_E","^ SUBIR (Est.) | Kg:"&amp;ROUND(SUGERENCIAS!K302,1)&amp;" R:"&amp;ROUND(SUGERENCIAS!L302,0)&amp;" RIR:"&amp;ROUND(SUGERENCIAS!M302,0),IF(SUGERENCIAS!N302="SUBIR","^ SUBIR | Kg:"&amp;ROUND(SUGERENCIAS!K302,1)&amp;" R:"&amp;ROUND(SUGERENCIAS!L302,0)&amp;" RIR:"&amp;ROUND(SUGERENCIAS!M302,0),IF(SUGERENCIAS!N302="BAJAR","v BAJAR | Kg:"&amp;ROUND(SUGERENCIAS!K302,1)&amp;" R:"&amp;ROUND(SUGERENCIAS!L302,0)&amp;" RIR:"&amp;ROUND(SUGERENCIAS!M302,0),"= MANT | Kg:"&amp;ROUND(SUGERENCIAS!K302,1)&amp;" R:"&amp;ROUND(SUGERENCIAS!L302,0)&amp;" RIR:"&amp;ROUND(SUGERENCIAS!M302,0))))))</f>
        <v>Sin datos anteriores</v>
      </c>
      <c r="W127" s="69">
        <f>MAX(IF((G127&gt;0)*(IF(H127="",-1,H127)&gt;=1)*(IF(H127="",-1,H127)&lt;=3),IF(C127="peso_corporal",IF(ISNUMBER(E127),E127,0)+F127,F127)*G127*1000+F127,0),IF((J127&gt;0)*(IF(K127="",-1,K127)&gt;=1)*(IF(K127="",-1,K127)&lt;=3),IF(C127="peso_corporal",IF(ISNUMBER(E127),E127,0)+I127,I127)*J127*1000+I127,0),IF((M127&gt;0)*(IF(N127="",-1,N127)&gt;=1)*(IF(N127="",-1,N127)&lt;=3),IF(C127="peso_corporal",IF(ISNUMBER(E127),E127,0)+L127,L127)*M127*1000+L127,0),IF((P127&gt;0)*(IF(Q127="",-1,Q127)&gt;=1)*(IF(Q127="",-1,Q127)&lt;=3),IF(C127="peso_corporal",IF(ISNUMBER(E127),E127,0)+O127,O127)*P127*1000+O127,0),IF((S127&gt;0)*(IF(T127="",-1,T127)&gt;=1)*(IF(T127="",-1,T127)&lt;=3),IF(C127="peso_corporal",IF(ISNUMBER(E127),E127,0)+R127,R127)*S127*1000+R127,0))</f>
        <v>0</v>
      </c>
      <c r="X127" s="69">
        <f>IF(W127=0,0,IF(IF((S127&gt;0)*(IF(T127="",-1,T127)&gt;=1)*(IF(T127="",-1,T127)&lt;=3),IF(C127="peso_corporal",IF(ISNUMBER(E127),E127,0)+R127,R127)*S127*1000+R127,0)=W127,5,IF(IF((P127&gt;0)*(IF(Q127="",-1,Q127)&gt;=1)*(IF(Q127="",-1,Q127)&lt;=3),IF(C127="peso_corporal",IF(ISNUMBER(E127),E127,0)+O127,O127)*P127*1000+O127,0)=W127,4,IF(IF((M127&gt;0)*(IF(N127="",-1,N127)&gt;=1)*(IF(N127="",-1,N127)&lt;=3),IF(C127="peso_corporal",IF(ISNUMBER(E127),E127,0)+L127,L127)*M127*1000+L127,0)=W127,3,IF(IF((J127&gt;0)*(IF(K127="",-1,K127)&gt;=1)*(IF(K127="",-1,K127)&lt;=3),IF(C127="peso_corporal",IF(ISNUMBER(E127),E127,0)+I127,I127)*J127*1000+I127,0)=W127,2,IF(IF((G127&gt;0)*(IF(H127="",-1,H127)&gt;=1)*(IF(H127="",-1,H127)&lt;=3),IF(C127="peso_corporal",IF(ISNUMBER(E127),E127,0)+F127,F127)*G127*1000+F127,0)=W127,1,0))))))</f>
        <v>0</v>
      </c>
      <c r="Y127" s="69">
        <f>MAX(IF((G127&gt;0)*(IF(H127="",-1,H127)=0)*(1-(IF(H127="",-1,H127)&gt;=1)*(IF(H127="",-1,H127)&lt;=3)),IF(C127="peso_corporal",IF(ISNUMBER(E127),E127,0)+F127,F127)*G127*1000+F127,0),IF((J127&gt;0)*(IF(K127="",-1,K127)=0)*(1-(IF(K127="",-1,K127)&gt;=1)*(IF(K127="",-1,K127)&lt;=3)),IF(C127="peso_corporal",IF(ISNUMBER(E127),E127,0)+I127,I127)*J127*1000+I127,0),IF((M127&gt;0)*(IF(N127="",-1,N127)=0)*(1-(IF(N127="",-1,N127)&gt;=1)*(IF(N127="",-1,N127)&lt;=3)),IF(C127="peso_corporal",IF(ISNUMBER(E127),E127,0)+L127,L127)*M127*1000+L127,0),IF((P127&gt;0)*(IF(Q127="",-1,Q127)=0)*(1-(IF(Q127="",-1,Q127)&gt;=1)*(IF(Q127="",-1,Q127)&lt;=3)),IF(C127="peso_corporal",IF(ISNUMBER(E127),E127,0)+O127,O127)*P127*1000+O127,0),IF((S127&gt;0)*(IF(T127="",-1,T127)=0)*(1-(IF(T127="",-1,T127)&gt;=1)*(IF(T127="",-1,T127)&lt;=3)),IF(C127="peso_corporal",IF(ISNUMBER(E127),E127,0)+R127,R127)*S127*1000+R127,0))</f>
        <v>0</v>
      </c>
      <c r="Z127" s="69">
        <f>IF(Y127=0,0,IF(IF((S127&gt;0)*(IF(T127="",-1,T127)=0)*(1-(IF(T127="",-1,T127)&gt;=1)*(IF(T127="",-1,T127)&lt;=3)),IF(C127="peso_corporal",IF(ISNUMBER(E127),E127,0)+R127,R127)*S127*1000+R127,0)=Y127,5,IF(IF((P127&gt;0)*(IF(Q127="",-1,Q127)=0)*(1-(IF(Q127="",-1,Q127)&gt;=1)*(IF(Q127="",-1,Q127)&lt;=3)),IF(C127="peso_corporal",IF(ISNUMBER(E127),E127,0)+O127,O127)*P127*1000+O127,0)=Y127,4,IF(IF((M127&gt;0)*(IF(N127="",-1,N127)=0)*(1-(IF(N127="",-1,N127)&gt;=1)*(IF(N127="",-1,N127)&lt;=3)),IF(C127="peso_corporal",IF(ISNUMBER(E127),E127,0)+L127,L127)*M127*1000+L127,0)=Y127,3,IF(IF((J127&gt;0)*(IF(K127="",-1,K127)=0)*(1-(IF(K127="",-1,K127)&gt;=1)*(IF(K127="",-1,K127)&lt;=3)),IF(C127="peso_corporal",IF(ISNUMBER(E127),E127,0)+I127,I127)*J127*1000+I127,0)=Y127,2,IF(IF((G127&gt;0)*(IF(H127="",-1,H127)=0)*(1-(IF(H127="",-1,H127)&gt;=1)*(IF(H127="",-1,H127)&lt;=3)),IF(C127="peso_corporal",IF(ISNUMBER(E127),E127,0)+F127,F127)*G127*1000+F127,0)=Y127,1,0))))))</f>
        <v>0</v>
      </c>
      <c r="AA127" s="69">
        <f>MAX(IF((G127&gt;=6)*(1-(IF(H127="",-1,H127)&gt;=1)*(IF(H127="",-1,H127)&lt;=3))*(1-(IF(H127="",-1,H127)=0)),IF(C127="peso_corporal",IF(ISNUMBER(E127),E127,0)+F127,F127)*(30+G127)*100+F127,0),IF((J127&gt;=6)*(1-(IF(K127="",-1,K127)&gt;=1)*(IF(K127="",-1,K127)&lt;=3))*(1-(IF(K127="",-1,K127)=0)),IF(C127="peso_corporal",IF(ISNUMBER(E127),E127,0)+I127,I127)*(30+J127)*100+I127,0),IF((M127&gt;=6)*(1-(IF(N127="",-1,N127)&gt;=1)*(IF(N127="",-1,N127)&lt;=3))*(1-(IF(N127="",-1,N127)=0)),IF(C127="peso_corporal",IF(ISNUMBER(E127),E127,0)+L127,L127)*(30+M127)*100+L127,0),IF((P127&gt;=6)*(1-(IF(Q127="",-1,Q127)&gt;=1)*(IF(Q127="",-1,Q127)&lt;=3))*(1-(IF(Q127="",-1,Q127)=0)),IF(C127="peso_corporal",IF(ISNUMBER(E127),E127,0)+O127,O127)*(30+P127)*100+O127,0),IF((S127&gt;=6)*(1-(IF(T127="",-1,T127)&gt;=1)*(IF(T127="",-1,T127)&lt;=3))*(1-(IF(T127="",-1,T127)=0)),IF(C127="peso_corporal",IF(ISNUMBER(E127),E127,0)+R127,R127)*(30+S127)*100+R127,0))</f>
        <v>0</v>
      </c>
      <c r="AB127" s="69">
        <f>IF(AA127=0,0,IF(IF((S127&gt;=6)*(1-(IF(T127="",-1,T127)&gt;=1)*(IF(T127="",-1,T127)&lt;=3))*(1-(IF(T127="",-1,T127)=0)),IF(C127="peso_corporal",IF(ISNUMBER(E127),E127,0)+R127,R127)*(30+S127)*100+R127,0)=AA127,5,IF(IF((P127&gt;=6)*(1-(IF(Q127="",-1,Q127)&gt;=1)*(IF(Q127="",-1,Q127)&lt;=3))*(1-(IF(Q127="",-1,Q127)=0)),IF(C127="peso_corporal",IF(ISNUMBER(E127),E127,0)+O127,O127)*(30+P127)*100+O127,0)=AA127,4,IF(IF((M127&gt;=6)*(1-(IF(N127="",-1,N127)&gt;=1)*(IF(N127="",-1,N127)&lt;=3))*(1-(IF(N127="",-1,N127)=0)),IF(C127="peso_corporal",IF(ISNUMBER(E127),E127,0)+L127,L127)*(30+M127)*100+L127,0)=AA127,3,IF(IF((J127&gt;=6)*(1-(IF(K127="",-1,K127)&gt;=1)*(IF(K127="",-1,K127)&lt;=3))*(1-(IF(K127="",-1,K127)=0)),IF(C127="peso_corporal",IF(ISNUMBER(E127),E127,0)+I127,I127)*(30+J127)*100+I127,0)=AA127,2,IF(IF((G127&gt;=6)*(1-(IF(H127="",-1,H127)&gt;=1)*(IF(H127="",-1,H127)&lt;=3))*(1-(IF(H127="",-1,H127)=0)),IF(C127="peso_corporal",IF(ISNUMBER(E127),E127,0)+F127,F127)*(30+G127)*100+F127,0)=AA127,1,0))))))</f>
        <v>0</v>
      </c>
      <c r="AC127" s="69" t="str">
        <f>IF(X127&gt;0,"A"&amp;X127,IF(Z127&gt;0,"B"&amp;Z127,IF(AB127&gt;0,"C"&amp;AB127,"")))</f>
        <v/>
      </c>
    </row>
    <row r="128" spans="1:29" ht="15" customHeight="1">
      <c r="A128" s="88" t="s">
        <v>50</v>
      </c>
      <c r="B128" s="73"/>
      <c r="C128" s="73"/>
      <c r="D128" s="73"/>
      <c r="E128" s="73"/>
      <c r="F128" s="73"/>
      <c r="G128" s="73"/>
      <c r="H128" s="73"/>
      <c r="I128" s="73"/>
      <c r="J128" s="73"/>
      <c r="K128" s="73"/>
      <c r="L128" s="73"/>
      <c r="M128" s="73"/>
      <c r="N128" s="73"/>
      <c r="O128" s="73"/>
      <c r="P128" s="73"/>
      <c r="Q128" s="73"/>
      <c r="R128" s="73"/>
      <c r="S128" s="73"/>
      <c r="T128" s="73"/>
      <c r="U128" s="73"/>
      <c r="V128" s="73"/>
      <c r="W128" s="69"/>
      <c r="X128" s="69"/>
      <c r="Y128" s="69"/>
      <c r="Z128" s="69"/>
      <c r="AA128" s="69"/>
      <c r="AB128" s="69"/>
      <c r="AC128" s="69"/>
    </row>
    <row r="129" spans="1:29" ht="20.100000000000001" customHeight="1">
      <c r="A129" s="14" t="s">
        <v>65</v>
      </c>
      <c r="B129" s="15" t="s">
        <v>137</v>
      </c>
      <c r="C129" s="16" t="str">
        <f>IFERROR(INDEX(EJERCICIOS!$D$3:$D$75,MATCH(A129&amp;"|"&amp;B129,EJERCICIOS!$G$3:$G$75,0)),"--")</f>
        <v>--</v>
      </c>
      <c r="D129" s="17">
        <v>3</v>
      </c>
      <c r="E129" s="18">
        <f>IFERROR(LOOKUP(2,1/(MEDIDAS_Y_PESO!$B$3:$B$7&lt;&gt;""),MEDIDAS_Y_PESO!$B$3:$B$7),"--")</f>
        <v>80</v>
      </c>
      <c r="F129" s="19"/>
      <c r="G129" s="20"/>
      <c r="H129" s="21"/>
      <c r="I129" s="19"/>
      <c r="J129" s="20"/>
      <c r="K129" s="21"/>
      <c r="L129" s="19"/>
      <c r="M129" s="20"/>
      <c r="N129" s="21"/>
      <c r="O129" s="19"/>
      <c r="P129" s="20"/>
      <c r="Q129" s="21"/>
      <c r="R129" s="19"/>
      <c r="S129" s="20"/>
      <c r="T129" s="21"/>
      <c r="U129" s="22" t="str">
        <f>IFERROR(IF(IF(X129&gt;0,X129,IF(Z129&gt;0,Z129,IF(AB129&gt;0,AB129,0)))=0,"--",ROUND(CHOOSE(IF(X129&gt;0,X129,IF(Z129&gt;0,Z129,IF(AB129&gt;0,AB129,0))),IF(C129="peso_corporal",IF(ISNUMBER(E129),E129,0)+F129,F129)*(1+G129/30),IF(C129="peso_corporal",IF(ISNUMBER(E129),E129,0)+I129,I129)*(1+J129/30),IF(C129="peso_corporal",IF(ISNUMBER(E129),E129,0)+L129,L129)*(1+M129/30),IF(C129="peso_corporal",IF(ISNUMBER(E129),E129,0)+O129,O129)*(1+P129/30),IF(C129="peso_corporal",IF(ISNUMBER(E129),E129,0)+R129,R129)*(1+S129/30)),1)),"--")</f>
        <v>--</v>
      </c>
      <c r="V129" s="23" t="str">
        <f>IF(SUGERENCIAS!N303="SIN","Sin datos anteriores",IF(SUGERENCIAS!N303="SUBIR_F","^ SUBIR FUERTE | Kg:"&amp;ROUND(SUGERENCIAS!K303,1)&amp;" R:"&amp;ROUND(SUGERENCIAS!L303,0)&amp;" RIR:"&amp;ROUND(SUGERENCIAS!M303,0),IF(SUGERENCIAS!N303="SUBIR_E","^ SUBIR (Est.) | Kg:"&amp;ROUND(SUGERENCIAS!K303,1)&amp;" R:"&amp;ROUND(SUGERENCIAS!L303,0)&amp;" RIR:"&amp;ROUND(SUGERENCIAS!M303,0),IF(SUGERENCIAS!N303="SUBIR","^ SUBIR | Kg:"&amp;ROUND(SUGERENCIAS!K303,1)&amp;" R:"&amp;ROUND(SUGERENCIAS!L303,0)&amp;" RIR:"&amp;ROUND(SUGERENCIAS!M303,0),IF(SUGERENCIAS!N303="BAJAR","v BAJAR | Kg:"&amp;ROUND(SUGERENCIAS!K303,1)&amp;" R:"&amp;ROUND(SUGERENCIAS!L303,0)&amp;" RIR:"&amp;ROUND(SUGERENCIAS!M303,0),"= MANT | Kg:"&amp;ROUND(SUGERENCIAS!K303,1)&amp;" R:"&amp;ROUND(SUGERENCIAS!L303,0)&amp;" RIR:"&amp;ROUND(SUGERENCIAS!M303,0))))))</f>
        <v>Sin datos anteriores</v>
      </c>
      <c r="W129" s="69">
        <f>MAX(IF((G129&gt;0)*(IF(H129="",-1,H129)&gt;=1)*(IF(H129="",-1,H129)&lt;=3),IF(C129="peso_corporal",IF(ISNUMBER(E129),E129,0)+F129,F129)*G129*1000+F129,0),IF((J129&gt;0)*(IF(K129="",-1,K129)&gt;=1)*(IF(K129="",-1,K129)&lt;=3),IF(C129="peso_corporal",IF(ISNUMBER(E129),E129,0)+I129,I129)*J129*1000+I129,0),IF((M129&gt;0)*(IF(N129="",-1,N129)&gt;=1)*(IF(N129="",-1,N129)&lt;=3),IF(C129="peso_corporal",IF(ISNUMBER(E129),E129,0)+L129,L129)*M129*1000+L129,0),IF((P129&gt;0)*(IF(Q129="",-1,Q129)&gt;=1)*(IF(Q129="",-1,Q129)&lt;=3),IF(C129="peso_corporal",IF(ISNUMBER(E129),E129,0)+O129,O129)*P129*1000+O129,0),IF((S129&gt;0)*(IF(T129="",-1,T129)&gt;=1)*(IF(T129="",-1,T129)&lt;=3),IF(C129="peso_corporal",IF(ISNUMBER(E129),E129,0)+R129,R129)*S129*1000+R129,0))</f>
        <v>0</v>
      </c>
      <c r="X129" s="69">
        <f>IF(W129=0,0,IF(IF((S129&gt;0)*(IF(T129="",-1,T129)&gt;=1)*(IF(T129="",-1,T129)&lt;=3),IF(C129="peso_corporal",IF(ISNUMBER(E129),E129,0)+R129,R129)*S129*1000+R129,0)=W129,5,IF(IF((P129&gt;0)*(IF(Q129="",-1,Q129)&gt;=1)*(IF(Q129="",-1,Q129)&lt;=3),IF(C129="peso_corporal",IF(ISNUMBER(E129),E129,0)+O129,O129)*P129*1000+O129,0)=W129,4,IF(IF((M129&gt;0)*(IF(N129="",-1,N129)&gt;=1)*(IF(N129="",-1,N129)&lt;=3),IF(C129="peso_corporal",IF(ISNUMBER(E129),E129,0)+L129,L129)*M129*1000+L129,0)=W129,3,IF(IF((J129&gt;0)*(IF(K129="",-1,K129)&gt;=1)*(IF(K129="",-1,K129)&lt;=3),IF(C129="peso_corporal",IF(ISNUMBER(E129),E129,0)+I129,I129)*J129*1000+I129,0)=W129,2,IF(IF((G129&gt;0)*(IF(H129="",-1,H129)&gt;=1)*(IF(H129="",-1,H129)&lt;=3),IF(C129="peso_corporal",IF(ISNUMBER(E129),E129,0)+F129,F129)*G129*1000+F129,0)=W129,1,0))))))</f>
        <v>0</v>
      </c>
      <c r="Y129" s="69">
        <f>MAX(IF((G129&gt;0)*(IF(H129="",-1,H129)=0)*(1-(IF(H129="",-1,H129)&gt;=1)*(IF(H129="",-1,H129)&lt;=3)),IF(C129="peso_corporal",IF(ISNUMBER(E129),E129,0)+F129,F129)*G129*1000+F129,0),IF((J129&gt;0)*(IF(K129="",-1,K129)=0)*(1-(IF(K129="",-1,K129)&gt;=1)*(IF(K129="",-1,K129)&lt;=3)),IF(C129="peso_corporal",IF(ISNUMBER(E129),E129,0)+I129,I129)*J129*1000+I129,0),IF((M129&gt;0)*(IF(N129="",-1,N129)=0)*(1-(IF(N129="",-1,N129)&gt;=1)*(IF(N129="",-1,N129)&lt;=3)),IF(C129="peso_corporal",IF(ISNUMBER(E129),E129,0)+L129,L129)*M129*1000+L129,0),IF((P129&gt;0)*(IF(Q129="",-1,Q129)=0)*(1-(IF(Q129="",-1,Q129)&gt;=1)*(IF(Q129="",-1,Q129)&lt;=3)),IF(C129="peso_corporal",IF(ISNUMBER(E129),E129,0)+O129,O129)*P129*1000+O129,0),IF((S129&gt;0)*(IF(T129="",-1,T129)=0)*(1-(IF(T129="",-1,T129)&gt;=1)*(IF(T129="",-1,T129)&lt;=3)),IF(C129="peso_corporal",IF(ISNUMBER(E129),E129,0)+R129,R129)*S129*1000+R129,0))</f>
        <v>0</v>
      </c>
      <c r="Z129" s="69">
        <f>IF(Y129=0,0,IF(IF((S129&gt;0)*(IF(T129="",-1,T129)=0)*(1-(IF(T129="",-1,T129)&gt;=1)*(IF(T129="",-1,T129)&lt;=3)),IF(C129="peso_corporal",IF(ISNUMBER(E129),E129,0)+R129,R129)*S129*1000+R129,0)=Y129,5,IF(IF((P129&gt;0)*(IF(Q129="",-1,Q129)=0)*(1-(IF(Q129="",-1,Q129)&gt;=1)*(IF(Q129="",-1,Q129)&lt;=3)),IF(C129="peso_corporal",IF(ISNUMBER(E129),E129,0)+O129,O129)*P129*1000+O129,0)=Y129,4,IF(IF((M129&gt;0)*(IF(N129="",-1,N129)=0)*(1-(IF(N129="",-1,N129)&gt;=1)*(IF(N129="",-1,N129)&lt;=3)),IF(C129="peso_corporal",IF(ISNUMBER(E129),E129,0)+L129,L129)*M129*1000+L129,0)=Y129,3,IF(IF((J129&gt;0)*(IF(K129="",-1,K129)=0)*(1-(IF(K129="",-1,K129)&gt;=1)*(IF(K129="",-1,K129)&lt;=3)),IF(C129="peso_corporal",IF(ISNUMBER(E129),E129,0)+I129,I129)*J129*1000+I129,0)=Y129,2,IF(IF((G129&gt;0)*(IF(H129="",-1,H129)=0)*(1-(IF(H129="",-1,H129)&gt;=1)*(IF(H129="",-1,H129)&lt;=3)),IF(C129="peso_corporal",IF(ISNUMBER(E129),E129,0)+F129,F129)*G129*1000+F129,0)=Y129,1,0))))))</f>
        <v>0</v>
      </c>
      <c r="AA129" s="69">
        <f>MAX(IF((G129&gt;=6)*(1-(IF(H129="",-1,H129)&gt;=1)*(IF(H129="",-1,H129)&lt;=3))*(1-(IF(H129="",-1,H129)=0)),IF(C129="peso_corporal",IF(ISNUMBER(E129),E129,0)+F129,F129)*(30+G129)*100+F129,0),IF((J129&gt;=6)*(1-(IF(K129="",-1,K129)&gt;=1)*(IF(K129="",-1,K129)&lt;=3))*(1-(IF(K129="",-1,K129)=0)),IF(C129="peso_corporal",IF(ISNUMBER(E129),E129,0)+I129,I129)*(30+J129)*100+I129,0),IF((M129&gt;=6)*(1-(IF(N129="",-1,N129)&gt;=1)*(IF(N129="",-1,N129)&lt;=3))*(1-(IF(N129="",-1,N129)=0)),IF(C129="peso_corporal",IF(ISNUMBER(E129),E129,0)+L129,L129)*(30+M129)*100+L129,0),IF((P129&gt;=6)*(1-(IF(Q129="",-1,Q129)&gt;=1)*(IF(Q129="",-1,Q129)&lt;=3))*(1-(IF(Q129="",-1,Q129)=0)),IF(C129="peso_corporal",IF(ISNUMBER(E129),E129,0)+O129,O129)*(30+P129)*100+O129,0),IF((S129&gt;=6)*(1-(IF(T129="",-1,T129)&gt;=1)*(IF(T129="",-1,T129)&lt;=3))*(1-(IF(T129="",-1,T129)=0)),IF(C129="peso_corporal",IF(ISNUMBER(E129),E129,0)+R129,R129)*(30+S129)*100+R129,0))</f>
        <v>0</v>
      </c>
      <c r="AB129" s="69">
        <f>IF(AA129=0,0,IF(IF((S129&gt;=6)*(1-(IF(T129="",-1,T129)&gt;=1)*(IF(T129="",-1,T129)&lt;=3))*(1-(IF(T129="",-1,T129)=0)),IF(C129="peso_corporal",IF(ISNUMBER(E129),E129,0)+R129,R129)*(30+S129)*100+R129,0)=AA129,5,IF(IF((P129&gt;=6)*(1-(IF(Q129="",-1,Q129)&gt;=1)*(IF(Q129="",-1,Q129)&lt;=3))*(1-(IF(Q129="",-1,Q129)=0)),IF(C129="peso_corporal",IF(ISNUMBER(E129),E129,0)+O129,O129)*(30+P129)*100+O129,0)=AA129,4,IF(IF((M129&gt;=6)*(1-(IF(N129="",-1,N129)&gt;=1)*(IF(N129="",-1,N129)&lt;=3))*(1-(IF(N129="",-1,N129)=0)),IF(C129="peso_corporal",IF(ISNUMBER(E129),E129,0)+L129,L129)*(30+M129)*100+L129,0)=AA129,3,IF(IF((J129&gt;=6)*(1-(IF(K129="",-1,K129)&gt;=1)*(IF(K129="",-1,K129)&lt;=3))*(1-(IF(K129="",-1,K129)=0)),IF(C129="peso_corporal",IF(ISNUMBER(E129),E129,0)+I129,I129)*(30+J129)*100+I129,0)=AA129,2,IF(IF((G129&gt;=6)*(1-(IF(H129="",-1,H129)&gt;=1)*(IF(H129="",-1,H129)&lt;=3))*(1-(IF(H129="",-1,H129)=0)),IF(C129="peso_corporal",IF(ISNUMBER(E129),E129,0)+F129,F129)*(30+G129)*100+F129,0)=AA129,1,0))))))</f>
        <v>0</v>
      </c>
      <c r="AC129" s="69" t="str">
        <f>IF(X129&gt;0,"A"&amp;X129,IF(Z129&gt;0,"B"&amp;Z129,IF(AB129&gt;0,"C"&amp;AB129,"")))</f>
        <v/>
      </c>
    </row>
    <row r="130" spans="1:29" ht="15" customHeight="1">
      <c r="A130" s="81" t="s">
        <v>53</v>
      </c>
      <c r="B130" s="73"/>
      <c r="C130" s="73"/>
      <c r="D130" s="73"/>
      <c r="E130" s="73"/>
      <c r="F130" s="73"/>
      <c r="G130" s="73"/>
      <c r="H130" s="73"/>
      <c r="I130" s="73"/>
      <c r="J130" s="73"/>
      <c r="K130" s="73"/>
      <c r="L130" s="73"/>
      <c r="M130" s="73"/>
      <c r="N130" s="73"/>
      <c r="O130" s="73"/>
      <c r="P130" s="73"/>
      <c r="Q130" s="73"/>
      <c r="R130" s="73"/>
      <c r="S130" s="73"/>
      <c r="T130" s="73"/>
      <c r="U130" s="73"/>
      <c r="V130" s="73"/>
      <c r="W130" s="69"/>
      <c r="X130" s="69"/>
      <c r="Y130" s="69"/>
      <c r="Z130" s="69"/>
      <c r="AA130" s="69"/>
      <c r="AB130" s="69"/>
      <c r="AC130" s="69"/>
    </row>
    <row r="131" spans="1:29" ht="20.100000000000001" customHeight="1">
      <c r="A131" s="14" t="s">
        <v>54</v>
      </c>
      <c r="B131" s="15" t="s">
        <v>115</v>
      </c>
      <c r="C131" s="16" t="str">
        <f>IFERROR(INDEX(EJERCICIOS!$D$3:$D$75,MATCH(A131&amp;"|"&amp;B131,EJERCICIOS!$G$3:$G$75,0)),"--")</f>
        <v>polea</v>
      </c>
      <c r="D131" s="17">
        <v>3</v>
      </c>
      <c r="E131" s="18">
        <f>IFERROR(LOOKUP(2,1/(MEDIDAS_Y_PESO!$B$3:$B$7&lt;&gt;""),MEDIDAS_Y_PESO!$B$3:$B$7),"--")</f>
        <v>80</v>
      </c>
      <c r="F131" s="19"/>
      <c r="G131" s="20"/>
      <c r="H131" s="21"/>
      <c r="I131" s="19"/>
      <c r="J131" s="20"/>
      <c r="K131" s="21"/>
      <c r="L131" s="19"/>
      <c r="M131" s="20"/>
      <c r="N131" s="21"/>
      <c r="O131" s="19"/>
      <c r="P131" s="20"/>
      <c r="Q131" s="21"/>
      <c r="R131" s="19"/>
      <c r="S131" s="20"/>
      <c r="T131" s="21"/>
      <c r="U131" s="22" t="str">
        <f>IFERROR(IF(IF(X131&gt;0,X131,IF(Z131&gt;0,Z131,IF(AB131&gt;0,AB131,0)))=0,"--",ROUND(CHOOSE(IF(X131&gt;0,X131,IF(Z131&gt;0,Z131,IF(AB131&gt;0,AB131,0))),IF(C131="peso_corporal",IF(ISNUMBER(E131),E131,0)+F131,F131)*(1+G131/30),IF(C131="peso_corporal",IF(ISNUMBER(E131),E131,0)+I131,I131)*(1+J131/30),IF(C131="peso_corporal",IF(ISNUMBER(E131),E131,0)+L131,L131)*(1+M131/30),IF(C131="peso_corporal",IF(ISNUMBER(E131),E131,0)+O131,O131)*(1+P131/30),IF(C131="peso_corporal",IF(ISNUMBER(E131),E131,0)+R131,R131)*(1+S131/30)),1)),"--")</f>
        <v>--</v>
      </c>
      <c r="V131" s="23" t="str">
        <f>IF(SUGERENCIAS!N304="SIN","Sin datos anteriores",IF(SUGERENCIAS!N304="SUBIR_F","^ SUBIR FUERTE | Kg:"&amp;ROUND(SUGERENCIAS!K304,1)&amp;" R:"&amp;ROUND(SUGERENCIAS!L304,0)&amp;" RIR:"&amp;ROUND(SUGERENCIAS!M304,0),IF(SUGERENCIAS!N304="SUBIR_E","^ SUBIR (Est.) | Kg:"&amp;ROUND(SUGERENCIAS!K304,1)&amp;" R:"&amp;ROUND(SUGERENCIAS!L304,0)&amp;" RIR:"&amp;ROUND(SUGERENCIAS!M304,0),IF(SUGERENCIAS!N304="SUBIR","^ SUBIR | Kg:"&amp;ROUND(SUGERENCIAS!K304,1)&amp;" R:"&amp;ROUND(SUGERENCIAS!L304,0)&amp;" RIR:"&amp;ROUND(SUGERENCIAS!M304,0),IF(SUGERENCIAS!N304="BAJAR","v BAJAR | Kg:"&amp;ROUND(SUGERENCIAS!K304,1)&amp;" R:"&amp;ROUND(SUGERENCIAS!L304,0)&amp;" RIR:"&amp;ROUND(SUGERENCIAS!M304,0),"= MANT | Kg:"&amp;ROUND(SUGERENCIAS!K304,1)&amp;" R:"&amp;ROUND(SUGERENCIAS!L304,0)&amp;" RIR:"&amp;ROUND(SUGERENCIAS!M304,0))))))</f>
        <v>= MANT | Kg:40 R:7 RIR:2</v>
      </c>
      <c r="W131" s="69">
        <f>MAX(IF((G131&gt;0)*(IF(H131="",-1,H131)&gt;=1)*(IF(H131="",-1,H131)&lt;=3),IF(C131="peso_corporal",IF(ISNUMBER(E131),E131,0)+F131,F131)*G131*1000+F131,0),IF((J131&gt;0)*(IF(K131="",-1,K131)&gt;=1)*(IF(K131="",-1,K131)&lt;=3),IF(C131="peso_corporal",IF(ISNUMBER(E131),E131,0)+I131,I131)*J131*1000+I131,0),IF((M131&gt;0)*(IF(N131="",-1,N131)&gt;=1)*(IF(N131="",-1,N131)&lt;=3),IF(C131="peso_corporal",IF(ISNUMBER(E131),E131,0)+L131,L131)*M131*1000+L131,0),IF((P131&gt;0)*(IF(Q131="",-1,Q131)&gt;=1)*(IF(Q131="",-1,Q131)&lt;=3),IF(C131="peso_corporal",IF(ISNUMBER(E131),E131,0)+O131,O131)*P131*1000+O131,0),IF((S131&gt;0)*(IF(T131="",-1,T131)&gt;=1)*(IF(T131="",-1,T131)&lt;=3),IF(C131="peso_corporal",IF(ISNUMBER(E131),E131,0)+R131,R131)*S131*1000+R131,0))</f>
        <v>0</v>
      </c>
      <c r="X131" s="69">
        <f>IF(W131=0,0,IF(IF((S131&gt;0)*(IF(T131="",-1,T131)&gt;=1)*(IF(T131="",-1,T131)&lt;=3),IF(C131="peso_corporal",IF(ISNUMBER(E131),E131,0)+R131,R131)*S131*1000+R131,0)=W131,5,IF(IF((P131&gt;0)*(IF(Q131="",-1,Q131)&gt;=1)*(IF(Q131="",-1,Q131)&lt;=3),IF(C131="peso_corporal",IF(ISNUMBER(E131),E131,0)+O131,O131)*P131*1000+O131,0)=W131,4,IF(IF((M131&gt;0)*(IF(N131="",-1,N131)&gt;=1)*(IF(N131="",-1,N131)&lt;=3),IF(C131="peso_corporal",IF(ISNUMBER(E131),E131,0)+L131,L131)*M131*1000+L131,0)=W131,3,IF(IF((J131&gt;0)*(IF(K131="",-1,K131)&gt;=1)*(IF(K131="",-1,K131)&lt;=3),IF(C131="peso_corporal",IF(ISNUMBER(E131),E131,0)+I131,I131)*J131*1000+I131,0)=W131,2,IF(IF((G131&gt;0)*(IF(H131="",-1,H131)&gt;=1)*(IF(H131="",-1,H131)&lt;=3),IF(C131="peso_corporal",IF(ISNUMBER(E131),E131,0)+F131,F131)*G131*1000+F131,0)=W131,1,0))))))</f>
        <v>0</v>
      </c>
      <c r="Y131" s="69">
        <f>MAX(IF((G131&gt;0)*(IF(H131="",-1,H131)=0)*(1-(IF(H131="",-1,H131)&gt;=1)*(IF(H131="",-1,H131)&lt;=3)),IF(C131="peso_corporal",IF(ISNUMBER(E131),E131,0)+F131,F131)*G131*1000+F131,0),IF((J131&gt;0)*(IF(K131="",-1,K131)=0)*(1-(IF(K131="",-1,K131)&gt;=1)*(IF(K131="",-1,K131)&lt;=3)),IF(C131="peso_corporal",IF(ISNUMBER(E131),E131,0)+I131,I131)*J131*1000+I131,0),IF((M131&gt;0)*(IF(N131="",-1,N131)=0)*(1-(IF(N131="",-1,N131)&gt;=1)*(IF(N131="",-1,N131)&lt;=3)),IF(C131="peso_corporal",IF(ISNUMBER(E131),E131,0)+L131,L131)*M131*1000+L131,0),IF((P131&gt;0)*(IF(Q131="",-1,Q131)=0)*(1-(IF(Q131="",-1,Q131)&gt;=1)*(IF(Q131="",-1,Q131)&lt;=3)),IF(C131="peso_corporal",IF(ISNUMBER(E131),E131,0)+O131,O131)*P131*1000+O131,0),IF((S131&gt;0)*(IF(T131="",-1,T131)=0)*(1-(IF(T131="",-1,T131)&gt;=1)*(IF(T131="",-1,T131)&lt;=3)),IF(C131="peso_corporal",IF(ISNUMBER(E131),E131,0)+R131,R131)*S131*1000+R131,0))</f>
        <v>0</v>
      </c>
      <c r="Z131" s="69">
        <f>IF(Y131=0,0,IF(IF((S131&gt;0)*(IF(T131="",-1,T131)=0)*(1-(IF(T131="",-1,T131)&gt;=1)*(IF(T131="",-1,T131)&lt;=3)),IF(C131="peso_corporal",IF(ISNUMBER(E131),E131,0)+R131,R131)*S131*1000+R131,0)=Y131,5,IF(IF((P131&gt;0)*(IF(Q131="",-1,Q131)=0)*(1-(IF(Q131="",-1,Q131)&gt;=1)*(IF(Q131="",-1,Q131)&lt;=3)),IF(C131="peso_corporal",IF(ISNUMBER(E131),E131,0)+O131,O131)*P131*1000+O131,0)=Y131,4,IF(IF((M131&gt;0)*(IF(N131="",-1,N131)=0)*(1-(IF(N131="",-1,N131)&gt;=1)*(IF(N131="",-1,N131)&lt;=3)),IF(C131="peso_corporal",IF(ISNUMBER(E131),E131,0)+L131,L131)*M131*1000+L131,0)=Y131,3,IF(IF((J131&gt;0)*(IF(K131="",-1,K131)=0)*(1-(IF(K131="",-1,K131)&gt;=1)*(IF(K131="",-1,K131)&lt;=3)),IF(C131="peso_corporal",IF(ISNUMBER(E131),E131,0)+I131,I131)*J131*1000+I131,0)=Y131,2,IF(IF((G131&gt;0)*(IF(H131="",-1,H131)=0)*(1-(IF(H131="",-1,H131)&gt;=1)*(IF(H131="",-1,H131)&lt;=3)),IF(C131="peso_corporal",IF(ISNUMBER(E131),E131,0)+F131,F131)*G131*1000+F131,0)=Y131,1,0))))))</f>
        <v>0</v>
      </c>
      <c r="AA131" s="69">
        <f>MAX(IF((G131&gt;=6)*(1-(IF(H131="",-1,H131)&gt;=1)*(IF(H131="",-1,H131)&lt;=3))*(1-(IF(H131="",-1,H131)=0)),IF(C131="peso_corporal",IF(ISNUMBER(E131),E131,0)+F131,F131)*(30+G131)*100+F131,0),IF((J131&gt;=6)*(1-(IF(K131="",-1,K131)&gt;=1)*(IF(K131="",-1,K131)&lt;=3))*(1-(IF(K131="",-1,K131)=0)),IF(C131="peso_corporal",IF(ISNUMBER(E131),E131,0)+I131,I131)*(30+J131)*100+I131,0),IF((M131&gt;=6)*(1-(IF(N131="",-1,N131)&gt;=1)*(IF(N131="",-1,N131)&lt;=3))*(1-(IF(N131="",-1,N131)=0)),IF(C131="peso_corporal",IF(ISNUMBER(E131),E131,0)+L131,L131)*(30+M131)*100+L131,0),IF((P131&gt;=6)*(1-(IF(Q131="",-1,Q131)&gt;=1)*(IF(Q131="",-1,Q131)&lt;=3))*(1-(IF(Q131="",-1,Q131)=0)),IF(C131="peso_corporal",IF(ISNUMBER(E131),E131,0)+O131,O131)*(30+P131)*100+O131,0),IF((S131&gt;=6)*(1-(IF(T131="",-1,T131)&gt;=1)*(IF(T131="",-1,T131)&lt;=3))*(1-(IF(T131="",-1,T131)=0)),IF(C131="peso_corporal",IF(ISNUMBER(E131),E131,0)+R131,R131)*(30+S131)*100+R131,0))</f>
        <v>0</v>
      </c>
      <c r="AB131" s="69">
        <f>IF(AA131=0,0,IF(IF((S131&gt;=6)*(1-(IF(T131="",-1,T131)&gt;=1)*(IF(T131="",-1,T131)&lt;=3))*(1-(IF(T131="",-1,T131)=0)),IF(C131="peso_corporal",IF(ISNUMBER(E131),E131,0)+R131,R131)*(30+S131)*100+R131,0)=AA131,5,IF(IF((P131&gt;=6)*(1-(IF(Q131="",-1,Q131)&gt;=1)*(IF(Q131="",-1,Q131)&lt;=3))*(1-(IF(Q131="",-1,Q131)=0)),IF(C131="peso_corporal",IF(ISNUMBER(E131),E131,0)+O131,O131)*(30+P131)*100+O131,0)=AA131,4,IF(IF((M131&gt;=6)*(1-(IF(N131="",-1,N131)&gt;=1)*(IF(N131="",-1,N131)&lt;=3))*(1-(IF(N131="",-1,N131)=0)),IF(C131="peso_corporal",IF(ISNUMBER(E131),E131,0)+L131,L131)*(30+M131)*100+L131,0)=AA131,3,IF(IF((J131&gt;=6)*(1-(IF(K131="",-1,K131)&gt;=1)*(IF(K131="",-1,K131)&lt;=3))*(1-(IF(K131="",-1,K131)=0)),IF(C131="peso_corporal",IF(ISNUMBER(E131),E131,0)+I131,I131)*(30+J131)*100+I131,0)=AA131,2,IF(IF((G131&gt;=6)*(1-(IF(H131="",-1,H131)&gt;=1)*(IF(H131="",-1,H131)&lt;=3))*(1-(IF(H131="",-1,H131)=0)),IF(C131="peso_corporal",IF(ISNUMBER(E131),E131,0)+F131,F131)*(30+G131)*100+F131,0)=AA131,1,0))))))</f>
        <v>0</v>
      </c>
      <c r="AC131" s="69" t="str">
        <f>IF(X131&gt;0,"A"&amp;X131,IF(Z131&gt;0,"B"&amp;Z131,IF(AB131&gt;0,"C"&amp;AB131,"")))</f>
        <v/>
      </c>
    </row>
    <row r="132" spans="1:29" ht="15" customHeight="1">
      <c r="A132" s="72" t="s">
        <v>56</v>
      </c>
      <c r="B132" s="73"/>
      <c r="C132" s="73"/>
      <c r="D132" s="73"/>
      <c r="E132" s="73"/>
      <c r="F132" s="73"/>
      <c r="G132" s="73"/>
      <c r="H132" s="73"/>
      <c r="I132" s="73"/>
      <c r="J132" s="73"/>
      <c r="K132" s="73"/>
      <c r="L132" s="73"/>
      <c r="M132" s="73"/>
      <c r="N132" s="73"/>
      <c r="O132" s="73"/>
      <c r="P132" s="73"/>
      <c r="Q132" s="73"/>
      <c r="R132" s="73"/>
      <c r="S132" s="73"/>
      <c r="T132" s="73"/>
      <c r="U132" s="73"/>
      <c r="V132" s="73"/>
      <c r="W132" s="69"/>
      <c r="X132" s="69"/>
      <c r="Y132" s="69"/>
      <c r="Z132" s="69"/>
      <c r="AA132" s="69"/>
      <c r="AB132" s="69"/>
      <c r="AC132" s="69"/>
    </row>
    <row r="133" spans="1:29" ht="20.100000000000001" customHeight="1">
      <c r="A133" s="14" t="s">
        <v>57</v>
      </c>
      <c r="B133" s="15" t="s">
        <v>58</v>
      </c>
      <c r="C133" s="16" t="str">
        <f>IFERROR(INDEX(EJERCICIOS!$D$3:$D$75,MATCH(A133&amp;"|"&amp;B133,EJERCICIOS!$G$3:$G$75,0)),"--")</f>
        <v>polea</v>
      </c>
      <c r="D133" s="17">
        <v>3</v>
      </c>
      <c r="E133" s="18">
        <f>IFERROR(LOOKUP(2,1/(MEDIDAS_Y_PESO!$B$3:$B$7&lt;&gt;""),MEDIDAS_Y_PESO!$B$3:$B$7),"--")</f>
        <v>80</v>
      </c>
      <c r="F133" s="19"/>
      <c r="G133" s="20"/>
      <c r="H133" s="21"/>
      <c r="I133" s="19"/>
      <c r="J133" s="20"/>
      <c r="K133" s="21"/>
      <c r="L133" s="19"/>
      <c r="M133" s="20"/>
      <c r="N133" s="21"/>
      <c r="O133" s="19"/>
      <c r="P133" s="20"/>
      <c r="Q133" s="21"/>
      <c r="R133" s="19"/>
      <c r="S133" s="20"/>
      <c r="T133" s="21"/>
      <c r="U133" s="22" t="str">
        <f>IFERROR(IF(IF(X133&gt;0,X133,IF(Z133&gt;0,Z133,IF(AB133&gt;0,AB133,0)))=0,"--",ROUND(CHOOSE(IF(X133&gt;0,X133,IF(Z133&gt;0,Z133,IF(AB133&gt;0,AB133,0))),IF(C133="peso_corporal",IF(ISNUMBER(E133),E133,0)+F133,F133)*(1+G133/30),IF(C133="peso_corporal",IF(ISNUMBER(E133),E133,0)+I133,I133)*(1+J133/30),IF(C133="peso_corporal",IF(ISNUMBER(E133),E133,0)+L133,L133)*(1+M133/30),IF(C133="peso_corporal",IF(ISNUMBER(E133),E133,0)+O133,O133)*(1+P133/30),IF(C133="peso_corporal",IF(ISNUMBER(E133),E133,0)+R133,R133)*(1+S133/30)),1)),"--")</f>
        <v>--</v>
      </c>
      <c r="V133" s="23" t="str">
        <f>IF(SUGERENCIAS!N305="SIN","Sin datos anteriores",IF(SUGERENCIAS!N305="SUBIR_F","^ SUBIR FUERTE | Kg:"&amp;ROUND(SUGERENCIAS!K305,1)&amp;" R:"&amp;ROUND(SUGERENCIAS!L305,0)&amp;" RIR:"&amp;ROUND(SUGERENCIAS!M305,0),IF(SUGERENCIAS!N305="SUBIR_E","^ SUBIR (Est.) | Kg:"&amp;ROUND(SUGERENCIAS!K305,1)&amp;" R:"&amp;ROUND(SUGERENCIAS!L305,0)&amp;" RIR:"&amp;ROUND(SUGERENCIAS!M305,0),IF(SUGERENCIAS!N305="SUBIR","^ SUBIR | Kg:"&amp;ROUND(SUGERENCIAS!K305,1)&amp;" R:"&amp;ROUND(SUGERENCIAS!L305,0)&amp;" RIR:"&amp;ROUND(SUGERENCIAS!M305,0),IF(SUGERENCIAS!N305="BAJAR","v BAJAR | Kg:"&amp;ROUND(SUGERENCIAS!K305,1)&amp;" R:"&amp;ROUND(SUGERENCIAS!L305,0)&amp;" RIR:"&amp;ROUND(SUGERENCIAS!M305,0),"= MANT | Kg:"&amp;ROUND(SUGERENCIAS!K305,1)&amp;" R:"&amp;ROUND(SUGERENCIAS!L305,0)&amp;" RIR:"&amp;ROUND(SUGERENCIAS!M305,0))))))</f>
        <v>Sin datos anteriores</v>
      </c>
      <c r="W133" s="69">
        <f>MAX(IF((G133&gt;0)*(IF(H133="",-1,H133)&gt;=1)*(IF(H133="",-1,H133)&lt;=3),IF(C133="peso_corporal",IF(ISNUMBER(E133),E133,0)+F133,F133)*G133*1000+F133,0),IF((J133&gt;0)*(IF(K133="",-1,K133)&gt;=1)*(IF(K133="",-1,K133)&lt;=3),IF(C133="peso_corporal",IF(ISNUMBER(E133),E133,0)+I133,I133)*J133*1000+I133,0),IF((M133&gt;0)*(IF(N133="",-1,N133)&gt;=1)*(IF(N133="",-1,N133)&lt;=3),IF(C133="peso_corporal",IF(ISNUMBER(E133),E133,0)+L133,L133)*M133*1000+L133,0),IF((P133&gt;0)*(IF(Q133="",-1,Q133)&gt;=1)*(IF(Q133="",-1,Q133)&lt;=3),IF(C133="peso_corporal",IF(ISNUMBER(E133),E133,0)+O133,O133)*P133*1000+O133,0),IF((S133&gt;0)*(IF(T133="",-1,T133)&gt;=1)*(IF(T133="",-1,T133)&lt;=3),IF(C133="peso_corporal",IF(ISNUMBER(E133),E133,0)+R133,R133)*S133*1000+R133,0))</f>
        <v>0</v>
      </c>
      <c r="X133" s="69">
        <f>IF(W133=0,0,IF(IF((S133&gt;0)*(IF(T133="",-1,T133)&gt;=1)*(IF(T133="",-1,T133)&lt;=3),IF(C133="peso_corporal",IF(ISNUMBER(E133),E133,0)+R133,R133)*S133*1000+R133,0)=W133,5,IF(IF((P133&gt;0)*(IF(Q133="",-1,Q133)&gt;=1)*(IF(Q133="",-1,Q133)&lt;=3),IF(C133="peso_corporal",IF(ISNUMBER(E133),E133,0)+O133,O133)*P133*1000+O133,0)=W133,4,IF(IF((M133&gt;0)*(IF(N133="",-1,N133)&gt;=1)*(IF(N133="",-1,N133)&lt;=3),IF(C133="peso_corporal",IF(ISNUMBER(E133),E133,0)+L133,L133)*M133*1000+L133,0)=W133,3,IF(IF((J133&gt;0)*(IF(K133="",-1,K133)&gt;=1)*(IF(K133="",-1,K133)&lt;=3),IF(C133="peso_corporal",IF(ISNUMBER(E133),E133,0)+I133,I133)*J133*1000+I133,0)=W133,2,IF(IF((G133&gt;0)*(IF(H133="",-1,H133)&gt;=1)*(IF(H133="",-1,H133)&lt;=3),IF(C133="peso_corporal",IF(ISNUMBER(E133),E133,0)+F133,F133)*G133*1000+F133,0)=W133,1,0))))))</f>
        <v>0</v>
      </c>
      <c r="Y133" s="69">
        <f>MAX(IF((G133&gt;0)*(IF(H133="",-1,H133)=0)*(1-(IF(H133="",-1,H133)&gt;=1)*(IF(H133="",-1,H133)&lt;=3)),IF(C133="peso_corporal",IF(ISNUMBER(E133),E133,0)+F133,F133)*G133*1000+F133,0),IF((J133&gt;0)*(IF(K133="",-1,K133)=0)*(1-(IF(K133="",-1,K133)&gt;=1)*(IF(K133="",-1,K133)&lt;=3)),IF(C133="peso_corporal",IF(ISNUMBER(E133),E133,0)+I133,I133)*J133*1000+I133,0),IF((M133&gt;0)*(IF(N133="",-1,N133)=0)*(1-(IF(N133="",-1,N133)&gt;=1)*(IF(N133="",-1,N133)&lt;=3)),IF(C133="peso_corporal",IF(ISNUMBER(E133),E133,0)+L133,L133)*M133*1000+L133,0),IF((P133&gt;0)*(IF(Q133="",-1,Q133)=0)*(1-(IF(Q133="",-1,Q133)&gt;=1)*(IF(Q133="",-1,Q133)&lt;=3)),IF(C133="peso_corporal",IF(ISNUMBER(E133),E133,0)+O133,O133)*P133*1000+O133,0),IF((S133&gt;0)*(IF(T133="",-1,T133)=0)*(1-(IF(T133="",-1,T133)&gt;=1)*(IF(T133="",-1,T133)&lt;=3)),IF(C133="peso_corporal",IF(ISNUMBER(E133),E133,0)+R133,R133)*S133*1000+R133,0))</f>
        <v>0</v>
      </c>
      <c r="Z133" s="69">
        <f>IF(Y133=0,0,IF(IF((S133&gt;0)*(IF(T133="",-1,T133)=0)*(1-(IF(T133="",-1,T133)&gt;=1)*(IF(T133="",-1,T133)&lt;=3)),IF(C133="peso_corporal",IF(ISNUMBER(E133),E133,0)+R133,R133)*S133*1000+R133,0)=Y133,5,IF(IF((P133&gt;0)*(IF(Q133="",-1,Q133)=0)*(1-(IF(Q133="",-1,Q133)&gt;=1)*(IF(Q133="",-1,Q133)&lt;=3)),IF(C133="peso_corporal",IF(ISNUMBER(E133),E133,0)+O133,O133)*P133*1000+O133,0)=Y133,4,IF(IF((M133&gt;0)*(IF(N133="",-1,N133)=0)*(1-(IF(N133="",-1,N133)&gt;=1)*(IF(N133="",-1,N133)&lt;=3)),IF(C133="peso_corporal",IF(ISNUMBER(E133),E133,0)+L133,L133)*M133*1000+L133,0)=Y133,3,IF(IF((J133&gt;0)*(IF(K133="",-1,K133)=0)*(1-(IF(K133="",-1,K133)&gt;=1)*(IF(K133="",-1,K133)&lt;=3)),IF(C133="peso_corporal",IF(ISNUMBER(E133),E133,0)+I133,I133)*J133*1000+I133,0)=Y133,2,IF(IF((G133&gt;0)*(IF(H133="",-1,H133)=0)*(1-(IF(H133="",-1,H133)&gt;=1)*(IF(H133="",-1,H133)&lt;=3)),IF(C133="peso_corporal",IF(ISNUMBER(E133),E133,0)+F133,F133)*G133*1000+F133,0)=Y133,1,0))))))</f>
        <v>0</v>
      </c>
      <c r="AA133" s="69">
        <f>MAX(IF((G133&gt;=6)*(1-(IF(H133="",-1,H133)&gt;=1)*(IF(H133="",-1,H133)&lt;=3))*(1-(IF(H133="",-1,H133)=0)),IF(C133="peso_corporal",IF(ISNUMBER(E133),E133,0)+F133,F133)*(30+G133)*100+F133,0),IF((J133&gt;=6)*(1-(IF(K133="",-1,K133)&gt;=1)*(IF(K133="",-1,K133)&lt;=3))*(1-(IF(K133="",-1,K133)=0)),IF(C133="peso_corporal",IF(ISNUMBER(E133),E133,0)+I133,I133)*(30+J133)*100+I133,0),IF((M133&gt;=6)*(1-(IF(N133="",-1,N133)&gt;=1)*(IF(N133="",-1,N133)&lt;=3))*(1-(IF(N133="",-1,N133)=0)),IF(C133="peso_corporal",IF(ISNUMBER(E133),E133,0)+L133,L133)*(30+M133)*100+L133,0),IF((P133&gt;=6)*(1-(IF(Q133="",-1,Q133)&gt;=1)*(IF(Q133="",-1,Q133)&lt;=3))*(1-(IF(Q133="",-1,Q133)=0)),IF(C133="peso_corporal",IF(ISNUMBER(E133),E133,0)+O133,O133)*(30+P133)*100+O133,0),IF((S133&gt;=6)*(1-(IF(T133="",-1,T133)&gt;=1)*(IF(T133="",-1,T133)&lt;=3))*(1-(IF(T133="",-1,T133)=0)),IF(C133="peso_corporal",IF(ISNUMBER(E133),E133,0)+R133,R133)*(30+S133)*100+R133,0))</f>
        <v>0</v>
      </c>
      <c r="AB133" s="69">
        <f>IF(AA133=0,0,IF(IF((S133&gt;=6)*(1-(IF(T133="",-1,T133)&gt;=1)*(IF(T133="",-1,T133)&lt;=3))*(1-(IF(T133="",-1,T133)=0)),IF(C133="peso_corporal",IF(ISNUMBER(E133),E133,0)+R133,R133)*(30+S133)*100+R133,0)=AA133,5,IF(IF((P133&gt;=6)*(1-(IF(Q133="",-1,Q133)&gt;=1)*(IF(Q133="",-1,Q133)&lt;=3))*(1-(IF(Q133="",-1,Q133)=0)),IF(C133="peso_corporal",IF(ISNUMBER(E133),E133,0)+O133,O133)*(30+P133)*100+O133,0)=AA133,4,IF(IF((M133&gt;=6)*(1-(IF(N133="",-1,N133)&gt;=1)*(IF(N133="",-1,N133)&lt;=3))*(1-(IF(N133="",-1,N133)=0)),IF(C133="peso_corporal",IF(ISNUMBER(E133),E133,0)+L133,L133)*(30+M133)*100+L133,0)=AA133,3,IF(IF((J133&gt;=6)*(1-(IF(K133="",-1,K133)&gt;=1)*(IF(K133="",-1,K133)&lt;=3))*(1-(IF(K133="",-1,K133)=0)),IF(C133="peso_corporal",IF(ISNUMBER(E133),E133,0)+I133,I133)*(30+J133)*100+I133,0)=AA133,2,IF(IF((G133&gt;=6)*(1-(IF(H133="",-1,H133)&gt;=1)*(IF(H133="",-1,H133)&lt;=3))*(1-(IF(H133="",-1,H133)=0)),IF(C133="peso_corporal",IF(ISNUMBER(E133),E133,0)+F133,F133)*(30+G133)*100+F133,0)=AA133,1,0))))))</f>
        <v>0</v>
      </c>
      <c r="AC133" s="69" t="str">
        <f>IF(X133&gt;0,"A"&amp;X133,IF(Z133&gt;0,"B"&amp;Z133,IF(AB133&gt;0,"C"&amp;AB133,"")))</f>
        <v/>
      </c>
    </row>
    <row r="134" spans="1:29" ht="6"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69"/>
      <c r="X134" s="69"/>
      <c r="Y134" s="69"/>
      <c r="Z134" s="69"/>
      <c r="AA134" s="69"/>
      <c r="AB134" s="69"/>
      <c r="AC134" s="69"/>
    </row>
    <row r="135" spans="1:29" ht="18" customHeight="1">
      <c r="A135" s="85" t="s">
        <v>71</v>
      </c>
      <c r="B135" s="73"/>
      <c r="C135" s="73"/>
      <c r="D135" s="73"/>
      <c r="E135" s="73"/>
      <c r="F135" s="73"/>
      <c r="G135" s="73"/>
      <c r="H135" s="73"/>
      <c r="I135" s="73"/>
      <c r="J135" s="73"/>
      <c r="K135" s="73"/>
      <c r="L135" s="73"/>
      <c r="M135" s="73"/>
      <c r="N135" s="73"/>
      <c r="O135" s="73"/>
      <c r="P135" s="73"/>
      <c r="Q135" s="73"/>
      <c r="R135" s="73"/>
      <c r="S135" s="73"/>
      <c r="T135" s="73"/>
      <c r="U135" s="73"/>
      <c r="V135" s="73"/>
      <c r="W135" s="69"/>
      <c r="X135" s="69"/>
      <c r="Y135" s="69"/>
      <c r="Z135" s="69"/>
      <c r="AA135" s="69"/>
      <c r="AB135" s="69"/>
      <c r="AC135" s="69"/>
    </row>
    <row r="136" spans="1:29" ht="15" customHeight="1">
      <c r="A136" s="81" t="s">
        <v>42</v>
      </c>
      <c r="B136" s="73"/>
      <c r="C136" s="73"/>
      <c r="D136" s="73"/>
      <c r="E136" s="73"/>
      <c r="F136" s="73"/>
      <c r="G136" s="73"/>
      <c r="H136" s="73"/>
      <c r="I136" s="73"/>
      <c r="J136" s="73"/>
      <c r="K136" s="73"/>
      <c r="L136" s="73"/>
      <c r="M136" s="73"/>
      <c r="N136" s="73"/>
      <c r="O136" s="73"/>
      <c r="P136" s="73"/>
      <c r="Q136" s="73"/>
      <c r="R136" s="73"/>
      <c r="S136" s="73"/>
      <c r="T136" s="73"/>
      <c r="U136" s="73"/>
      <c r="V136" s="73"/>
      <c r="W136" s="69"/>
      <c r="X136" s="69"/>
      <c r="Y136" s="69"/>
      <c r="Z136" s="69"/>
      <c r="AA136" s="69"/>
      <c r="AB136" s="69"/>
      <c r="AC136" s="69"/>
    </row>
    <row r="137" spans="1:29" ht="20.100000000000001" customHeight="1">
      <c r="A137" s="14" t="s">
        <v>45</v>
      </c>
      <c r="B137" s="15" t="s">
        <v>93</v>
      </c>
      <c r="C137" s="16" t="str">
        <f>IFERROR(INDEX(EJERCICIOS!$D$3:$D$75,MATCH(A137&amp;"|"&amp;B137,EJERCICIOS!$G$3:$G$75,0)),"--")</f>
        <v>--</v>
      </c>
      <c r="D137" s="17">
        <v>3</v>
      </c>
      <c r="E137" s="18">
        <f>IFERROR(LOOKUP(2,1/(MEDIDAS_Y_PESO!$B$3:$B$8&lt;&gt;""),MEDIDAS_Y_PESO!$B$3:$B$8),"--")</f>
        <v>80</v>
      </c>
      <c r="F137" s="19"/>
      <c r="G137" s="20"/>
      <c r="H137" s="21"/>
      <c r="I137" s="19"/>
      <c r="J137" s="20"/>
      <c r="K137" s="21"/>
      <c r="L137" s="19"/>
      <c r="M137" s="20"/>
      <c r="N137" s="21"/>
      <c r="O137" s="19"/>
      <c r="P137" s="20"/>
      <c r="Q137" s="21"/>
      <c r="R137" s="19"/>
      <c r="S137" s="20"/>
      <c r="T137" s="21"/>
      <c r="U137" s="22" t="str">
        <f>IFERROR(IF(IF(X137&gt;0,X137,IF(Z137&gt;0,Z137,IF(AB137&gt;0,AB137,0)))=0,"--",ROUND(CHOOSE(IF(X137&gt;0,X137,IF(Z137&gt;0,Z137,IF(AB137&gt;0,AB137,0))),IF(C137="peso_corporal",IF(ISNUMBER(E137),E137,0)+F137,F137)*(1+G137/30),IF(C137="peso_corporal",IF(ISNUMBER(E137),E137,0)+I137,I137)*(1+J137/30),IF(C137="peso_corporal",IF(ISNUMBER(E137),E137,0)+L137,L137)*(1+M137/30),IF(C137="peso_corporal",IF(ISNUMBER(E137),E137,0)+O137,O137)*(1+P137/30),IF(C137="peso_corporal",IF(ISNUMBER(E137),E137,0)+R137,R137)*(1+S137/30)),1)),"--")</f>
        <v>--</v>
      </c>
      <c r="V137" s="23" t="str">
        <f>IF(SUGERENCIAS!N356="SIN","Sin datos anteriores",IF(SUGERENCIAS!N356="SUBIR_F","^ SUBIR FUERTE | Kg:"&amp;ROUND(SUGERENCIAS!K356,1)&amp;" R:"&amp;ROUND(SUGERENCIAS!L356,0)&amp;" RIR:"&amp;ROUND(SUGERENCIAS!M356,0),IF(SUGERENCIAS!N356="SUBIR_E","^ SUBIR (Est.) | Kg:"&amp;ROUND(SUGERENCIAS!K356,1)&amp;" R:"&amp;ROUND(SUGERENCIAS!L356,0)&amp;" RIR:"&amp;ROUND(SUGERENCIAS!M356,0),IF(SUGERENCIAS!N356="SUBIR","^ SUBIR | Kg:"&amp;ROUND(SUGERENCIAS!K356,1)&amp;" R:"&amp;ROUND(SUGERENCIAS!L356,0)&amp;" RIR:"&amp;ROUND(SUGERENCIAS!M356,0),IF(SUGERENCIAS!N356="BAJAR","v BAJAR | Kg:"&amp;ROUND(SUGERENCIAS!K356,1)&amp;" R:"&amp;ROUND(SUGERENCIAS!L356,0)&amp;" RIR:"&amp;ROUND(SUGERENCIAS!M356,0),"= MANT | Kg:"&amp;ROUND(SUGERENCIAS!K356,1)&amp;" R:"&amp;ROUND(SUGERENCIAS!L356,0)&amp;" RIR:"&amp;ROUND(SUGERENCIAS!M356,0))))))</f>
        <v>Sin datos anteriores</v>
      </c>
      <c r="W137" s="69">
        <f>MAX(IF((G137&gt;0)*(IF(H137="",-1,H137)&gt;=0)*(IF(H137="",-1,H137)&lt;=1),IF(C137="peso_corporal",IF(ISNUMBER(E137),E137,0)+F137,F137)*G137*1000+F137,0),IF((J137&gt;0)*(IF(K137="",-1,K137)&gt;=0)*(IF(K137="",-1,K137)&lt;=1),IF(C137="peso_corporal",IF(ISNUMBER(E137),E137,0)+I137,I137)*J137*1000+I137,0),IF((M137&gt;0)*(IF(N137="",-1,N137)&gt;=0)*(IF(N137="",-1,N137)&lt;=1),IF(C137="peso_corporal",IF(ISNUMBER(E137),E137,0)+L137,L137)*M137*1000+L137,0),IF((P137&gt;0)*(IF(Q137="",-1,Q137)&gt;=0)*(IF(Q137="",-1,Q137)&lt;=1),IF(C137="peso_corporal",IF(ISNUMBER(E137),E137,0)+O137,O137)*P137*1000+O137,0),IF((S137&gt;0)*(IF(T137="",-1,T137)&gt;=0)*(IF(T137="",-1,T137)&lt;=1),IF(C137="peso_corporal",IF(ISNUMBER(E137),E137,0)+R137,R137)*S137*1000+R137,0))</f>
        <v>0</v>
      </c>
      <c r="X137" s="69">
        <f>IF(W137=0,0,IF(IF((S137&gt;0)*(IF(T137="",-1,T137)&gt;=0)*(IF(T137="",-1,T137)&lt;=1),IF(C137="peso_corporal",IF(ISNUMBER(E137),E137,0)+R137,R137)*S137*1000+R137,0)=W137,5,IF(IF((P137&gt;0)*(IF(Q137="",-1,Q137)&gt;=0)*(IF(Q137="",-1,Q137)&lt;=1),IF(C137="peso_corporal",IF(ISNUMBER(E137),E137,0)+O137,O137)*P137*1000+O137,0)=W137,4,IF(IF((M137&gt;0)*(IF(N137="",-1,N137)&gt;=0)*(IF(N137="",-1,N137)&lt;=1),IF(C137="peso_corporal",IF(ISNUMBER(E137),E137,0)+L137,L137)*M137*1000+L137,0)=W137,3,IF(IF((J137&gt;0)*(IF(K137="",-1,K137)&gt;=0)*(IF(K137="",-1,K137)&lt;=1),IF(C137="peso_corporal",IF(ISNUMBER(E137),E137,0)+I137,I137)*J137*1000+I137,0)=W137,2,IF(IF((G137&gt;0)*(IF(H137="",-1,H137)&gt;=0)*(IF(H137="",-1,H137)&lt;=1),IF(C137="peso_corporal",IF(ISNUMBER(E137),E137,0)+F137,F137)*G137*1000+F137,0)=W137,1,0))))))</f>
        <v>0</v>
      </c>
      <c r="Y137" s="69">
        <f>MAX(IF((G137&gt;0)*(IF(H137="",-1,H137)=0)*(1-(IF(H137="",-1,H137)&gt;=0)*(IF(H137="",-1,H137)&lt;=1)),IF(C137="peso_corporal",IF(ISNUMBER(E137),E137,0)+F137,F137)*G137*1000+F137,0),IF((J137&gt;0)*(IF(K137="",-1,K137)=0)*(1-(IF(K137="",-1,K137)&gt;=0)*(IF(K137="",-1,K137)&lt;=1)),IF(C137="peso_corporal",IF(ISNUMBER(E137),E137,0)+I137,I137)*J137*1000+I137,0),IF((M137&gt;0)*(IF(N137="",-1,N137)=0)*(1-(IF(N137="",-1,N137)&gt;=0)*(IF(N137="",-1,N137)&lt;=1)),IF(C137="peso_corporal",IF(ISNUMBER(E137),E137,0)+L137,L137)*M137*1000+L137,0),IF((P137&gt;0)*(IF(Q137="",-1,Q137)=0)*(1-(IF(Q137="",-1,Q137)&gt;=0)*(IF(Q137="",-1,Q137)&lt;=1)),IF(C137="peso_corporal",IF(ISNUMBER(E137),E137,0)+O137,O137)*P137*1000+O137,0),IF((S137&gt;0)*(IF(T137="",-1,T137)=0)*(1-(IF(T137="",-1,T137)&gt;=0)*(IF(T137="",-1,T137)&lt;=1)),IF(C137="peso_corporal",IF(ISNUMBER(E137),E137,0)+R137,R137)*S137*1000+R137,0))</f>
        <v>0</v>
      </c>
      <c r="Z137" s="69">
        <f>IF(Y137=0,0,IF(IF((S137&gt;0)*(IF(T137="",-1,T137)=0)*(1-(IF(T137="",-1,T137)&gt;=0)*(IF(T137="",-1,T137)&lt;=1)),IF(C137="peso_corporal",IF(ISNUMBER(E137),E137,0)+R137,R137)*S137*1000+R137,0)=Y137,5,IF(IF((P137&gt;0)*(IF(Q137="",-1,Q137)=0)*(1-(IF(Q137="",-1,Q137)&gt;=0)*(IF(Q137="",-1,Q137)&lt;=1)),IF(C137="peso_corporal",IF(ISNUMBER(E137),E137,0)+O137,O137)*P137*1000+O137,0)=Y137,4,IF(IF((M137&gt;0)*(IF(N137="",-1,N137)=0)*(1-(IF(N137="",-1,N137)&gt;=0)*(IF(N137="",-1,N137)&lt;=1)),IF(C137="peso_corporal",IF(ISNUMBER(E137),E137,0)+L137,L137)*M137*1000+L137,0)=Y137,3,IF(IF((J137&gt;0)*(IF(K137="",-1,K137)=0)*(1-(IF(K137="",-1,K137)&gt;=0)*(IF(K137="",-1,K137)&lt;=1)),IF(C137="peso_corporal",IF(ISNUMBER(E137),E137,0)+I137,I137)*J137*1000+I137,0)=Y137,2,IF(IF((G137&gt;0)*(IF(H137="",-1,H137)=0)*(1-(IF(H137="",-1,H137)&gt;=0)*(IF(H137="",-1,H137)&lt;=1)),IF(C137="peso_corporal",IF(ISNUMBER(E137),E137,0)+F137,F137)*G137*1000+F137,0)=Y137,1,0))))))</f>
        <v>0</v>
      </c>
      <c r="AA137" s="69">
        <f>MAX(IF((G137&gt;=3)*(1-(IF(H137="",-1,H137)&gt;=0)*(IF(H137="",-1,H137)&lt;=1))*(1-(IF(H137="",-1,H137)=0)),IF(C137="peso_corporal",IF(ISNUMBER(E137),E137,0)+F137,F137)*(30+G137)*100+F137,0),IF((J137&gt;=3)*(1-(IF(K137="",-1,K137)&gt;=0)*(IF(K137="",-1,K137)&lt;=1))*(1-(IF(K137="",-1,K137)=0)),IF(C137="peso_corporal",IF(ISNUMBER(E137),E137,0)+I137,I137)*(30+J137)*100+I137,0),IF((M137&gt;=3)*(1-(IF(N137="",-1,N137)&gt;=0)*(IF(N137="",-1,N137)&lt;=1))*(1-(IF(N137="",-1,N137)=0)),IF(C137="peso_corporal",IF(ISNUMBER(E137),E137,0)+L137,L137)*(30+M137)*100+L137,0),IF((P137&gt;=3)*(1-(IF(Q137="",-1,Q137)&gt;=0)*(IF(Q137="",-1,Q137)&lt;=1))*(1-(IF(Q137="",-1,Q137)=0)),IF(C137="peso_corporal",IF(ISNUMBER(E137),E137,0)+O137,O137)*(30+P137)*100+O137,0),IF((S137&gt;=3)*(1-(IF(T137="",-1,T137)&gt;=0)*(IF(T137="",-1,T137)&lt;=1))*(1-(IF(T137="",-1,T137)=0)),IF(C137="peso_corporal",IF(ISNUMBER(E137),E137,0)+R137,R137)*(30+S137)*100+R137,0))</f>
        <v>0</v>
      </c>
      <c r="AB137" s="69">
        <f>IF(AA137=0,0,IF(IF((S137&gt;=3)*(1-(IF(T137="",-1,T137)&gt;=0)*(IF(T137="",-1,T137)&lt;=1))*(1-(IF(T137="",-1,T137)=0)),IF(C137="peso_corporal",IF(ISNUMBER(E137),E137,0)+R137,R137)*(30+S137)*100+R137,0)=AA137,5,IF(IF((P137&gt;=3)*(1-(IF(Q137="",-1,Q137)&gt;=0)*(IF(Q137="",-1,Q137)&lt;=1))*(1-(IF(Q137="",-1,Q137)=0)),IF(C137="peso_corporal",IF(ISNUMBER(E137),E137,0)+O137,O137)*(30+P137)*100+O137,0)=AA137,4,IF(IF((M137&gt;=3)*(1-(IF(N137="",-1,N137)&gt;=0)*(IF(N137="",-1,N137)&lt;=1))*(1-(IF(N137="",-1,N137)=0)),IF(C137="peso_corporal",IF(ISNUMBER(E137),E137,0)+L137,L137)*(30+M137)*100+L137,0)=AA137,3,IF(IF((J137&gt;=3)*(1-(IF(K137="",-1,K137)&gt;=0)*(IF(K137="",-1,K137)&lt;=1))*(1-(IF(K137="",-1,K137)=0)),IF(C137="peso_corporal",IF(ISNUMBER(E137),E137,0)+I137,I137)*(30+J137)*100+I137,0)=AA137,2,IF(IF((G137&gt;=3)*(1-(IF(H137="",-1,H137)&gt;=0)*(IF(H137="",-1,H137)&lt;=1))*(1-(IF(H137="",-1,H137)=0)),IF(C137="peso_corporal",IF(ISNUMBER(E137),E137,0)+F137,F137)*(30+G137)*100+F137,0)=AA137,1,0))))))</f>
        <v>0</v>
      </c>
      <c r="AC137" s="69" t="str">
        <f>IF(X137&gt;0,"A"&amp;X137,IF(Z137&gt;0,"B"&amp;Z137,IF(AB137&gt;0,"C"&amp;AB137,"")))</f>
        <v/>
      </c>
    </row>
    <row r="138" spans="1:29" ht="20.100000000000001" customHeight="1">
      <c r="A138" s="14" t="s">
        <v>43</v>
      </c>
      <c r="B138" s="15" t="s">
        <v>159</v>
      </c>
      <c r="C138" s="16" t="str">
        <f>IFERROR(INDEX(EJERCICIOS!$D$3:$D$75,MATCH(A138&amp;"|"&amp;B138,EJERCICIOS!$G$3:$G$75,0)),"--")</f>
        <v>--</v>
      </c>
      <c r="D138" s="17">
        <v>3</v>
      </c>
      <c r="E138" s="18">
        <f>IFERROR(LOOKUP(2,1/(MEDIDAS_Y_PESO!$B$3:$B$8&lt;&gt;""),MEDIDAS_Y_PESO!$B$3:$B$8),"--")</f>
        <v>80</v>
      </c>
      <c r="F138" s="19"/>
      <c r="G138" s="20"/>
      <c r="H138" s="21"/>
      <c r="I138" s="19"/>
      <c r="J138" s="20"/>
      <c r="K138" s="21"/>
      <c r="L138" s="19"/>
      <c r="M138" s="20"/>
      <c r="N138" s="21"/>
      <c r="O138" s="19"/>
      <c r="P138" s="20"/>
      <c r="Q138" s="21"/>
      <c r="R138" s="19"/>
      <c r="S138" s="20"/>
      <c r="T138" s="21"/>
      <c r="U138" s="22" t="str">
        <f>IFERROR(IF(IF(X138&gt;0,X138,IF(Z138&gt;0,Z138,IF(AB138&gt;0,AB138,0)))=0,"--",ROUND(CHOOSE(IF(X138&gt;0,X138,IF(Z138&gt;0,Z138,IF(AB138&gt;0,AB138,0))),IF(C138="peso_corporal",IF(ISNUMBER(E138),E138,0)+F138,F138)*(1+G138/30),IF(C138="peso_corporal",IF(ISNUMBER(E138),E138,0)+I138,I138)*(1+J138/30),IF(C138="peso_corporal",IF(ISNUMBER(E138),E138,0)+L138,L138)*(1+M138/30),IF(C138="peso_corporal",IF(ISNUMBER(E138),E138,0)+O138,O138)*(1+P138/30),IF(C138="peso_corporal",IF(ISNUMBER(E138),E138,0)+R138,R138)*(1+S138/30)),1)),"--")</f>
        <v>--</v>
      </c>
      <c r="V138" s="23" t="str">
        <f>IF(SUGERENCIAS!N357="SIN","Sin datos anteriores",IF(SUGERENCIAS!N357="SUBIR_F","^ SUBIR FUERTE | Kg:"&amp;ROUND(SUGERENCIAS!K357,1)&amp;" R:"&amp;ROUND(SUGERENCIAS!L357,0)&amp;" RIR:"&amp;ROUND(SUGERENCIAS!M357,0),IF(SUGERENCIAS!N357="SUBIR_E","^ SUBIR (Est.) | Kg:"&amp;ROUND(SUGERENCIAS!K357,1)&amp;" R:"&amp;ROUND(SUGERENCIAS!L357,0)&amp;" RIR:"&amp;ROUND(SUGERENCIAS!M357,0),IF(SUGERENCIAS!N357="SUBIR","^ SUBIR | Kg:"&amp;ROUND(SUGERENCIAS!K357,1)&amp;" R:"&amp;ROUND(SUGERENCIAS!L357,0)&amp;" RIR:"&amp;ROUND(SUGERENCIAS!M357,0),IF(SUGERENCIAS!N357="BAJAR","v BAJAR | Kg:"&amp;ROUND(SUGERENCIAS!K357,1)&amp;" R:"&amp;ROUND(SUGERENCIAS!L357,0)&amp;" RIR:"&amp;ROUND(SUGERENCIAS!M357,0),"= MANT | Kg:"&amp;ROUND(SUGERENCIAS!K357,1)&amp;" R:"&amp;ROUND(SUGERENCIAS!L357,0)&amp;" RIR:"&amp;ROUND(SUGERENCIAS!M357,0))))))</f>
        <v>Sin datos anteriores</v>
      </c>
      <c r="W138" s="69">
        <f>MAX(IF((G138&gt;0)*(IF(H138="",-1,H138)&gt;=0)*(IF(H138="",-1,H138)&lt;=1),IF(C138="peso_corporal",IF(ISNUMBER(E138),E138,0)+F138,F138)*G138*1000+F138,0),IF((J138&gt;0)*(IF(K138="",-1,K138)&gt;=0)*(IF(K138="",-1,K138)&lt;=1),IF(C138="peso_corporal",IF(ISNUMBER(E138),E138,0)+I138,I138)*J138*1000+I138,0),IF((M138&gt;0)*(IF(N138="",-1,N138)&gt;=0)*(IF(N138="",-1,N138)&lt;=1),IF(C138="peso_corporal",IF(ISNUMBER(E138),E138,0)+L138,L138)*M138*1000+L138,0),IF((P138&gt;0)*(IF(Q138="",-1,Q138)&gt;=0)*(IF(Q138="",-1,Q138)&lt;=1),IF(C138="peso_corporal",IF(ISNUMBER(E138),E138,0)+O138,O138)*P138*1000+O138,0),IF((S138&gt;0)*(IF(T138="",-1,T138)&gt;=0)*(IF(T138="",-1,T138)&lt;=1),IF(C138="peso_corporal",IF(ISNUMBER(E138),E138,0)+R138,R138)*S138*1000+R138,0))</f>
        <v>0</v>
      </c>
      <c r="X138" s="69">
        <f>IF(W138=0,0,IF(IF((S138&gt;0)*(IF(T138="",-1,T138)&gt;=0)*(IF(T138="",-1,T138)&lt;=1),IF(C138="peso_corporal",IF(ISNUMBER(E138),E138,0)+R138,R138)*S138*1000+R138,0)=W138,5,IF(IF((P138&gt;0)*(IF(Q138="",-1,Q138)&gt;=0)*(IF(Q138="",-1,Q138)&lt;=1),IF(C138="peso_corporal",IF(ISNUMBER(E138),E138,0)+O138,O138)*P138*1000+O138,0)=W138,4,IF(IF((M138&gt;0)*(IF(N138="",-1,N138)&gt;=0)*(IF(N138="",-1,N138)&lt;=1),IF(C138="peso_corporal",IF(ISNUMBER(E138),E138,0)+L138,L138)*M138*1000+L138,0)=W138,3,IF(IF((J138&gt;0)*(IF(K138="",-1,K138)&gt;=0)*(IF(K138="",-1,K138)&lt;=1),IF(C138="peso_corporal",IF(ISNUMBER(E138),E138,0)+I138,I138)*J138*1000+I138,0)=W138,2,IF(IF((G138&gt;0)*(IF(H138="",-1,H138)&gt;=0)*(IF(H138="",-1,H138)&lt;=1),IF(C138="peso_corporal",IF(ISNUMBER(E138),E138,0)+F138,F138)*G138*1000+F138,0)=W138,1,0))))))</f>
        <v>0</v>
      </c>
      <c r="Y138" s="69">
        <f>MAX(IF((G138&gt;0)*(IF(H138="",-1,H138)=0)*(1-(IF(H138="",-1,H138)&gt;=0)*(IF(H138="",-1,H138)&lt;=1)),IF(C138="peso_corporal",IF(ISNUMBER(E138),E138,0)+F138,F138)*G138*1000+F138,0),IF((J138&gt;0)*(IF(K138="",-1,K138)=0)*(1-(IF(K138="",-1,K138)&gt;=0)*(IF(K138="",-1,K138)&lt;=1)),IF(C138="peso_corporal",IF(ISNUMBER(E138),E138,0)+I138,I138)*J138*1000+I138,0),IF((M138&gt;0)*(IF(N138="",-1,N138)=0)*(1-(IF(N138="",-1,N138)&gt;=0)*(IF(N138="",-1,N138)&lt;=1)),IF(C138="peso_corporal",IF(ISNUMBER(E138),E138,0)+L138,L138)*M138*1000+L138,0),IF((P138&gt;0)*(IF(Q138="",-1,Q138)=0)*(1-(IF(Q138="",-1,Q138)&gt;=0)*(IF(Q138="",-1,Q138)&lt;=1)),IF(C138="peso_corporal",IF(ISNUMBER(E138),E138,0)+O138,O138)*P138*1000+O138,0),IF((S138&gt;0)*(IF(T138="",-1,T138)=0)*(1-(IF(T138="",-1,T138)&gt;=0)*(IF(T138="",-1,T138)&lt;=1)),IF(C138="peso_corporal",IF(ISNUMBER(E138),E138,0)+R138,R138)*S138*1000+R138,0))</f>
        <v>0</v>
      </c>
      <c r="Z138" s="69">
        <f>IF(Y138=0,0,IF(IF((S138&gt;0)*(IF(T138="",-1,T138)=0)*(1-(IF(T138="",-1,T138)&gt;=0)*(IF(T138="",-1,T138)&lt;=1)),IF(C138="peso_corporal",IF(ISNUMBER(E138),E138,0)+R138,R138)*S138*1000+R138,0)=Y138,5,IF(IF((P138&gt;0)*(IF(Q138="",-1,Q138)=0)*(1-(IF(Q138="",-1,Q138)&gt;=0)*(IF(Q138="",-1,Q138)&lt;=1)),IF(C138="peso_corporal",IF(ISNUMBER(E138),E138,0)+O138,O138)*P138*1000+O138,0)=Y138,4,IF(IF((M138&gt;0)*(IF(N138="",-1,N138)=0)*(1-(IF(N138="",-1,N138)&gt;=0)*(IF(N138="",-1,N138)&lt;=1)),IF(C138="peso_corporal",IF(ISNUMBER(E138),E138,0)+L138,L138)*M138*1000+L138,0)=Y138,3,IF(IF((J138&gt;0)*(IF(K138="",-1,K138)=0)*(1-(IF(K138="",-1,K138)&gt;=0)*(IF(K138="",-1,K138)&lt;=1)),IF(C138="peso_corporal",IF(ISNUMBER(E138),E138,0)+I138,I138)*J138*1000+I138,0)=Y138,2,IF(IF((G138&gt;0)*(IF(H138="",-1,H138)=0)*(1-(IF(H138="",-1,H138)&gt;=0)*(IF(H138="",-1,H138)&lt;=1)),IF(C138="peso_corporal",IF(ISNUMBER(E138),E138,0)+F138,F138)*G138*1000+F138,0)=Y138,1,0))))))</f>
        <v>0</v>
      </c>
      <c r="AA138" s="69">
        <f>MAX(IF((G138&gt;=3)*(1-(IF(H138="",-1,H138)&gt;=0)*(IF(H138="",-1,H138)&lt;=1))*(1-(IF(H138="",-1,H138)=0)),IF(C138="peso_corporal",IF(ISNUMBER(E138),E138,0)+F138,F138)*(30+G138)*100+F138,0),IF((J138&gt;=3)*(1-(IF(K138="",-1,K138)&gt;=0)*(IF(K138="",-1,K138)&lt;=1))*(1-(IF(K138="",-1,K138)=0)),IF(C138="peso_corporal",IF(ISNUMBER(E138),E138,0)+I138,I138)*(30+J138)*100+I138,0),IF((M138&gt;=3)*(1-(IF(N138="",-1,N138)&gt;=0)*(IF(N138="",-1,N138)&lt;=1))*(1-(IF(N138="",-1,N138)=0)),IF(C138="peso_corporal",IF(ISNUMBER(E138),E138,0)+L138,L138)*(30+M138)*100+L138,0),IF((P138&gt;=3)*(1-(IF(Q138="",-1,Q138)&gt;=0)*(IF(Q138="",-1,Q138)&lt;=1))*(1-(IF(Q138="",-1,Q138)=0)),IF(C138="peso_corporal",IF(ISNUMBER(E138),E138,0)+O138,O138)*(30+P138)*100+O138,0),IF((S138&gt;=3)*(1-(IF(T138="",-1,T138)&gt;=0)*(IF(T138="",-1,T138)&lt;=1))*(1-(IF(T138="",-1,T138)=0)),IF(C138="peso_corporal",IF(ISNUMBER(E138),E138,0)+R138,R138)*(30+S138)*100+R138,0))</f>
        <v>0</v>
      </c>
      <c r="AB138" s="69">
        <f>IF(AA138=0,0,IF(IF((S138&gt;=3)*(1-(IF(T138="",-1,T138)&gt;=0)*(IF(T138="",-1,T138)&lt;=1))*(1-(IF(T138="",-1,T138)=0)),IF(C138="peso_corporal",IF(ISNUMBER(E138),E138,0)+R138,R138)*(30+S138)*100+R138,0)=AA138,5,IF(IF((P138&gt;=3)*(1-(IF(Q138="",-1,Q138)&gt;=0)*(IF(Q138="",-1,Q138)&lt;=1))*(1-(IF(Q138="",-1,Q138)=0)),IF(C138="peso_corporal",IF(ISNUMBER(E138),E138,0)+O138,O138)*(30+P138)*100+O138,0)=AA138,4,IF(IF((M138&gt;=3)*(1-(IF(N138="",-1,N138)&gt;=0)*(IF(N138="",-1,N138)&lt;=1))*(1-(IF(N138="",-1,N138)=0)),IF(C138="peso_corporal",IF(ISNUMBER(E138),E138,0)+L138,L138)*(30+M138)*100+L138,0)=AA138,3,IF(IF((J138&gt;=3)*(1-(IF(K138="",-1,K138)&gt;=0)*(IF(K138="",-1,K138)&lt;=1))*(1-(IF(K138="",-1,K138)=0)),IF(C138="peso_corporal",IF(ISNUMBER(E138),E138,0)+I138,I138)*(30+J138)*100+I138,0)=AA138,2,IF(IF((G138&gt;=3)*(1-(IF(H138="",-1,H138)&gt;=0)*(IF(H138="",-1,H138)&lt;=1))*(1-(IF(H138="",-1,H138)=0)),IF(C138="peso_corporal",IF(ISNUMBER(E138),E138,0)+F138,F138)*(30+G138)*100+F138,0)=AA138,1,0))))))</f>
        <v>0</v>
      </c>
      <c r="AC138" s="69" t="str">
        <f>IF(X138&gt;0,"A"&amp;X138,IF(Z138&gt;0,"B"&amp;Z138,IF(AB138&gt;0,"C"&amp;AB138,"")))</f>
        <v/>
      </c>
    </row>
    <row r="139" spans="1:29" ht="11.1" customHeight="1">
      <c r="A139" s="92" t="s">
        <v>160</v>
      </c>
      <c r="B139" s="73"/>
      <c r="C139" s="73"/>
      <c r="D139" s="73"/>
      <c r="E139" s="73"/>
      <c r="F139" s="73"/>
      <c r="G139" s="73"/>
      <c r="H139" s="73"/>
      <c r="I139" s="73"/>
      <c r="J139" s="73"/>
      <c r="K139" s="73"/>
      <c r="L139" s="73"/>
      <c r="M139" s="73"/>
      <c r="N139" s="73"/>
      <c r="O139" s="73"/>
      <c r="P139" s="73"/>
      <c r="Q139" s="73"/>
      <c r="R139" s="73"/>
      <c r="S139" s="73"/>
      <c r="T139" s="73"/>
      <c r="U139" s="73"/>
      <c r="V139" s="73"/>
      <c r="W139" s="69"/>
      <c r="X139" s="69"/>
      <c r="Y139" s="69"/>
      <c r="Z139" s="69"/>
      <c r="AA139" s="69"/>
      <c r="AB139" s="69"/>
      <c r="AC139" s="69"/>
    </row>
    <row r="140" spans="1:29" ht="20.100000000000001" customHeight="1">
      <c r="A140" s="14" t="s">
        <v>161</v>
      </c>
      <c r="B140" s="15" t="s">
        <v>162</v>
      </c>
      <c r="C140" s="16" t="str">
        <f>IFERROR(INDEX(EJERCICIOS!$D$3:$D$75,MATCH(A140&amp;"|"&amp;B140,EJERCICIOS!$G$3:$G$75,0)),"--")</f>
        <v>mancuerna</v>
      </c>
      <c r="D140" s="17">
        <v>3</v>
      </c>
      <c r="E140" s="18">
        <f>IFERROR(LOOKUP(2,1/(MEDIDAS_Y_PESO!$B$3:$B$8&lt;&gt;""),MEDIDAS_Y_PESO!$B$3:$B$8),"--")</f>
        <v>80</v>
      </c>
      <c r="F140" s="19"/>
      <c r="G140" s="20"/>
      <c r="H140" s="21"/>
      <c r="I140" s="19"/>
      <c r="J140" s="20"/>
      <c r="K140" s="21"/>
      <c r="L140" s="19"/>
      <c r="M140" s="20"/>
      <c r="N140" s="21"/>
      <c r="O140" s="19"/>
      <c r="P140" s="20"/>
      <c r="Q140" s="21"/>
      <c r="R140" s="19"/>
      <c r="S140" s="20"/>
      <c r="T140" s="21"/>
      <c r="U140" s="22" t="str">
        <f>IFERROR(IF(IF(X140&gt;0,X140,IF(Z140&gt;0,Z140,IF(AB140&gt;0,AB140,0)))=0,"--",ROUND(CHOOSE(IF(X140&gt;0,X140,IF(Z140&gt;0,Z140,IF(AB140&gt;0,AB140,0))),IF(C140="peso_corporal",IF(ISNUMBER(E140),E140,0)+F140,F140)*(1+G140/30),IF(C140="peso_corporal",IF(ISNUMBER(E140),E140,0)+I140,I140)*(1+J140/30),IF(C140="peso_corporal",IF(ISNUMBER(E140),E140,0)+L140,L140)*(1+M140/30),IF(C140="peso_corporal",IF(ISNUMBER(E140),E140,0)+O140,O140)*(1+P140/30),IF(C140="peso_corporal",IF(ISNUMBER(E140),E140,0)+R140,R140)*(1+S140/30)),1)),"--")</f>
        <v>--</v>
      </c>
      <c r="V140" s="23" t="str">
        <f>IF(SUGERENCIAS!N358="SIN","Sin datos anteriores",IF(SUGERENCIAS!N358="SUBIR_F","^ SUBIR FUERTE | Kg:"&amp;ROUND(SUGERENCIAS!K358,1)&amp;" R:"&amp;ROUND(SUGERENCIAS!L358,0)&amp;" RIR:"&amp;ROUND(SUGERENCIAS!M358,0),IF(SUGERENCIAS!N358="SUBIR_E","^ SUBIR (Est.) | Kg:"&amp;ROUND(SUGERENCIAS!K358,1)&amp;" R:"&amp;ROUND(SUGERENCIAS!L358,0)&amp;" RIR:"&amp;ROUND(SUGERENCIAS!M358,0),IF(SUGERENCIAS!N358="SUBIR","^ SUBIR | Kg:"&amp;ROUND(SUGERENCIAS!K358,1)&amp;" R:"&amp;ROUND(SUGERENCIAS!L358,0)&amp;" RIR:"&amp;ROUND(SUGERENCIAS!M358,0),IF(SUGERENCIAS!N358="BAJAR","v BAJAR | Kg:"&amp;ROUND(SUGERENCIAS!K358,1)&amp;" R:"&amp;ROUND(SUGERENCIAS!L358,0)&amp;" RIR:"&amp;ROUND(SUGERENCIAS!M358,0),"= MANT | Kg:"&amp;ROUND(SUGERENCIAS!K358,1)&amp;" R:"&amp;ROUND(SUGERENCIAS!L358,0)&amp;" RIR:"&amp;ROUND(SUGERENCIAS!M358,0))))))</f>
        <v>Sin datos anteriores</v>
      </c>
      <c r="W140" s="69">
        <f>MAX(IF((G140&gt;0)*(IF(H140="",-1,H140)&gt;=0)*(IF(H140="",-1,H140)&lt;=1),IF(C140="peso_corporal",IF(ISNUMBER(E140),E140,0)+F140,F140)*G140*1000+F140,0),IF((J140&gt;0)*(IF(K140="",-1,K140)&gt;=0)*(IF(K140="",-1,K140)&lt;=1),IF(C140="peso_corporal",IF(ISNUMBER(E140),E140,0)+I140,I140)*J140*1000+I140,0),IF((M140&gt;0)*(IF(N140="",-1,N140)&gt;=0)*(IF(N140="",-1,N140)&lt;=1),IF(C140="peso_corporal",IF(ISNUMBER(E140),E140,0)+L140,L140)*M140*1000+L140,0),IF((P140&gt;0)*(IF(Q140="",-1,Q140)&gt;=0)*(IF(Q140="",-1,Q140)&lt;=1),IF(C140="peso_corporal",IF(ISNUMBER(E140),E140,0)+O140,O140)*P140*1000+O140,0),IF((S140&gt;0)*(IF(T140="",-1,T140)&gt;=0)*(IF(T140="",-1,T140)&lt;=1),IF(C140="peso_corporal",IF(ISNUMBER(E140),E140,0)+R140,R140)*S140*1000+R140,0))</f>
        <v>0</v>
      </c>
      <c r="X140" s="69">
        <f>IF(W140=0,0,IF(IF((S140&gt;0)*(IF(T140="",-1,T140)&gt;=0)*(IF(T140="",-1,T140)&lt;=1),IF(C140="peso_corporal",IF(ISNUMBER(E140),E140,0)+R140,R140)*S140*1000+R140,0)=W140,5,IF(IF((P140&gt;0)*(IF(Q140="",-1,Q140)&gt;=0)*(IF(Q140="",-1,Q140)&lt;=1),IF(C140="peso_corporal",IF(ISNUMBER(E140),E140,0)+O140,O140)*P140*1000+O140,0)=W140,4,IF(IF((M140&gt;0)*(IF(N140="",-1,N140)&gt;=0)*(IF(N140="",-1,N140)&lt;=1),IF(C140="peso_corporal",IF(ISNUMBER(E140),E140,0)+L140,L140)*M140*1000+L140,0)=W140,3,IF(IF((J140&gt;0)*(IF(K140="",-1,K140)&gt;=0)*(IF(K140="",-1,K140)&lt;=1),IF(C140="peso_corporal",IF(ISNUMBER(E140),E140,0)+I140,I140)*J140*1000+I140,0)=W140,2,IF(IF((G140&gt;0)*(IF(H140="",-1,H140)&gt;=0)*(IF(H140="",-1,H140)&lt;=1),IF(C140="peso_corporal",IF(ISNUMBER(E140),E140,0)+F140,F140)*G140*1000+F140,0)=W140,1,0))))))</f>
        <v>0</v>
      </c>
      <c r="Y140" s="69">
        <f>MAX(IF((G140&gt;0)*(IF(H140="",-1,H140)=0)*(1-(IF(H140="",-1,H140)&gt;=0)*(IF(H140="",-1,H140)&lt;=1)),IF(C140="peso_corporal",IF(ISNUMBER(E140),E140,0)+F140,F140)*G140*1000+F140,0),IF((J140&gt;0)*(IF(K140="",-1,K140)=0)*(1-(IF(K140="",-1,K140)&gt;=0)*(IF(K140="",-1,K140)&lt;=1)),IF(C140="peso_corporal",IF(ISNUMBER(E140),E140,0)+I140,I140)*J140*1000+I140,0),IF((M140&gt;0)*(IF(N140="",-1,N140)=0)*(1-(IF(N140="",-1,N140)&gt;=0)*(IF(N140="",-1,N140)&lt;=1)),IF(C140="peso_corporal",IF(ISNUMBER(E140),E140,0)+L140,L140)*M140*1000+L140,0),IF((P140&gt;0)*(IF(Q140="",-1,Q140)=0)*(1-(IF(Q140="",-1,Q140)&gt;=0)*(IF(Q140="",-1,Q140)&lt;=1)),IF(C140="peso_corporal",IF(ISNUMBER(E140),E140,0)+O140,O140)*P140*1000+O140,0),IF((S140&gt;0)*(IF(T140="",-1,T140)=0)*(1-(IF(T140="",-1,T140)&gt;=0)*(IF(T140="",-1,T140)&lt;=1)),IF(C140="peso_corporal",IF(ISNUMBER(E140),E140,0)+R140,R140)*S140*1000+R140,0))</f>
        <v>0</v>
      </c>
      <c r="Z140" s="69">
        <f>IF(Y140=0,0,IF(IF((S140&gt;0)*(IF(T140="",-1,T140)=0)*(1-(IF(T140="",-1,T140)&gt;=0)*(IF(T140="",-1,T140)&lt;=1)),IF(C140="peso_corporal",IF(ISNUMBER(E140),E140,0)+R140,R140)*S140*1000+R140,0)=Y140,5,IF(IF((P140&gt;0)*(IF(Q140="",-1,Q140)=0)*(1-(IF(Q140="",-1,Q140)&gt;=0)*(IF(Q140="",-1,Q140)&lt;=1)),IF(C140="peso_corporal",IF(ISNUMBER(E140),E140,0)+O140,O140)*P140*1000+O140,0)=Y140,4,IF(IF((M140&gt;0)*(IF(N140="",-1,N140)=0)*(1-(IF(N140="",-1,N140)&gt;=0)*(IF(N140="",-1,N140)&lt;=1)),IF(C140="peso_corporal",IF(ISNUMBER(E140),E140,0)+L140,L140)*M140*1000+L140,0)=Y140,3,IF(IF((J140&gt;0)*(IF(K140="",-1,K140)=0)*(1-(IF(K140="",-1,K140)&gt;=0)*(IF(K140="",-1,K140)&lt;=1)),IF(C140="peso_corporal",IF(ISNUMBER(E140),E140,0)+I140,I140)*J140*1000+I140,0)=Y140,2,IF(IF((G140&gt;0)*(IF(H140="",-1,H140)=0)*(1-(IF(H140="",-1,H140)&gt;=0)*(IF(H140="",-1,H140)&lt;=1)),IF(C140="peso_corporal",IF(ISNUMBER(E140),E140,0)+F140,F140)*G140*1000+F140,0)=Y140,1,0))))))</f>
        <v>0</v>
      </c>
      <c r="AA140" s="69">
        <f>MAX(IF((G140&gt;=3)*(1-(IF(H140="",-1,H140)&gt;=0)*(IF(H140="",-1,H140)&lt;=1))*(1-(IF(H140="",-1,H140)=0)),IF(C140="peso_corporal",IF(ISNUMBER(E140),E140,0)+F140,F140)*(30+G140)*100+F140,0),IF((J140&gt;=3)*(1-(IF(K140="",-1,K140)&gt;=0)*(IF(K140="",-1,K140)&lt;=1))*(1-(IF(K140="",-1,K140)=0)),IF(C140="peso_corporal",IF(ISNUMBER(E140),E140,0)+I140,I140)*(30+J140)*100+I140,0),IF((M140&gt;=3)*(1-(IF(N140="",-1,N140)&gt;=0)*(IF(N140="",-1,N140)&lt;=1))*(1-(IF(N140="",-1,N140)=0)),IF(C140="peso_corporal",IF(ISNUMBER(E140),E140,0)+L140,L140)*(30+M140)*100+L140,0),IF((P140&gt;=3)*(1-(IF(Q140="",-1,Q140)&gt;=0)*(IF(Q140="",-1,Q140)&lt;=1))*(1-(IF(Q140="",-1,Q140)=0)),IF(C140="peso_corporal",IF(ISNUMBER(E140),E140,0)+O140,O140)*(30+P140)*100+O140,0),IF((S140&gt;=3)*(1-(IF(T140="",-1,T140)&gt;=0)*(IF(T140="",-1,T140)&lt;=1))*(1-(IF(T140="",-1,T140)=0)),IF(C140="peso_corporal",IF(ISNUMBER(E140),E140,0)+R140,R140)*(30+S140)*100+R140,0))</f>
        <v>0</v>
      </c>
      <c r="AB140" s="69">
        <f>IF(AA140=0,0,IF(IF((S140&gt;=3)*(1-(IF(T140="",-1,T140)&gt;=0)*(IF(T140="",-1,T140)&lt;=1))*(1-(IF(T140="",-1,T140)=0)),IF(C140="peso_corporal",IF(ISNUMBER(E140),E140,0)+R140,R140)*(30+S140)*100+R140,0)=AA140,5,IF(IF((P140&gt;=3)*(1-(IF(Q140="",-1,Q140)&gt;=0)*(IF(Q140="",-1,Q140)&lt;=1))*(1-(IF(Q140="",-1,Q140)=0)),IF(C140="peso_corporal",IF(ISNUMBER(E140),E140,0)+O140,O140)*(30+P140)*100+O140,0)=AA140,4,IF(IF((M140&gt;=3)*(1-(IF(N140="",-1,N140)&gt;=0)*(IF(N140="",-1,N140)&lt;=1))*(1-(IF(N140="",-1,N140)=0)),IF(C140="peso_corporal",IF(ISNUMBER(E140),E140,0)+L140,L140)*(30+M140)*100+L140,0)=AA140,3,IF(IF((J140&gt;=3)*(1-(IF(K140="",-1,K140)&gt;=0)*(IF(K140="",-1,K140)&lt;=1))*(1-(IF(K140="",-1,K140)=0)),IF(C140="peso_corporal",IF(ISNUMBER(E140),E140,0)+I140,I140)*(30+J140)*100+I140,0)=AA140,2,IF(IF((G140&gt;=3)*(1-(IF(H140="",-1,H140)&gt;=0)*(IF(H140="",-1,H140)&lt;=1))*(1-(IF(H140="",-1,H140)=0)),IF(C140="peso_corporal",IF(ISNUMBER(E140),E140,0)+F140,F140)*(30+G140)*100+F140,0)=AA140,1,0))))))</f>
        <v>0</v>
      </c>
      <c r="AC140" s="69" t="str">
        <f>IF(X140&gt;0,"A"&amp;X140,IF(Z140&gt;0,"B"&amp;Z140,IF(AB140&gt;0,"C"&amp;AB140,"")))</f>
        <v/>
      </c>
    </row>
    <row r="141" spans="1:29" ht="20.100000000000001" customHeight="1">
      <c r="A141" s="14" t="s">
        <v>163</v>
      </c>
      <c r="B141" s="15" t="s">
        <v>52</v>
      </c>
      <c r="C141" s="16" t="str">
        <f>IFERROR(INDEX(EJERCICIOS!$D$3:$D$75,MATCH(A141&amp;"|"&amp;B141,EJERCICIOS!$G$3:$G$75,0)),"--")</f>
        <v>polea</v>
      </c>
      <c r="D141" s="17">
        <v>3</v>
      </c>
      <c r="E141" s="18">
        <f>IFERROR(LOOKUP(2,1/(MEDIDAS_Y_PESO!$B$3:$B$8&lt;&gt;""),MEDIDAS_Y_PESO!$B$3:$B$8),"--")</f>
        <v>80</v>
      </c>
      <c r="F141" s="19"/>
      <c r="G141" s="20"/>
      <c r="H141" s="21"/>
      <c r="I141" s="19"/>
      <c r="J141" s="20"/>
      <c r="K141" s="21"/>
      <c r="L141" s="19"/>
      <c r="M141" s="20"/>
      <c r="N141" s="21"/>
      <c r="O141" s="19"/>
      <c r="P141" s="20"/>
      <c r="Q141" s="21"/>
      <c r="R141" s="19"/>
      <c r="S141" s="20"/>
      <c r="T141" s="21"/>
      <c r="U141" s="22" t="str">
        <f>IFERROR(IF(IF(X141&gt;0,X141,IF(Z141&gt;0,Z141,IF(AB141&gt;0,AB141,0)))=0,"--",ROUND(CHOOSE(IF(X141&gt;0,X141,IF(Z141&gt;0,Z141,IF(AB141&gt;0,AB141,0))),IF(C141="peso_corporal",IF(ISNUMBER(E141),E141,0)+F141,F141)*(1+G141/30),IF(C141="peso_corporal",IF(ISNUMBER(E141),E141,0)+I141,I141)*(1+J141/30),IF(C141="peso_corporal",IF(ISNUMBER(E141),E141,0)+L141,L141)*(1+M141/30),IF(C141="peso_corporal",IF(ISNUMBER(E141),E141,0)+O141,O141)*(1+P141/30),IF(C141="peso_corporal",IF(ISNUMBER(E141),E141,0)+R141,R141)*(1+S141/30)),1)),"--")</f>
        <v>--</v>
      </c>
      <c r="V141" s="23" t="str">
        <f>IF(SUGERENCIAS!N359="SIN","Sin datos anteriores",IF(SUGERENCIAS!N359="SUBIR_F","^ SUBIR FUERTE | Kg:"&amp;ROUND(SUGERENCIAS!K359,1)&amp;" R:"&amp;ROUND(SUGERENCIAS!L359,0)&amp;" RIR:"&amp;ROUND(SUGERENCIAS!M359,0),IF(SUGERENCIAS!N359="SUBIR_E","^ SUBIR (Est.) | Kg:"&amp;ROUND(SUGERENCIAS!K359,1)&amp;" R:"&amp;ROUND(SUGERENCIAS!L359,0)&amp;" RIR:"&amp;ROUND(SUGERENCIAS!M359,0),IF(SUGERENCIAS!N359="SUBIR","^ SUBIR | Kg:"&amp;ROUND(SUGERENCIAS!K359,1)&amp;" R:"&amp;ROUND(SUGERENCIAS!L359,0)&amp;" RIR:"&amp;ROUND(SUGERENCIAS!M359,0),IF(SUGERENCIAS!N359="BAJAR","v BAJAR | Kg:"&amp;ROUND(SUGERENCIAS!K359,1)&amp;" R:"&amp;ROUND(SUGERENCIAS!L359,0)&amp;" RIR:"&amp;ROUND(SUGERENCIAS!M359,0),"= MANT | Kg:"&amp;ROUND(SUGERENCIAS!K359,1)&amp;" R:"&amp;ROUND(SUGERENCIAS!L359,0)&amp;" RIR:"&amp;ROUND(SUGERENCIAS!M359,0))))))</f>
        <v>Sin datos anteriores</v>
      </c>
      <c r="W141" s="69">
        <f>MAX(IF((G141&gt;0)*(IF(H141="",-1,H141)&gt;=0)*(IF(H141="",-1,H141)&lt;=1),IF(C141="peso_corporal",IF(ISNUMBER(E141),E141,0)+F141,F141)*G141*1000+F141,0),IF((J141&gt;0)*(IF(K141="",-1,K141)&gt;=0)*(IF(K141="",-1,K141)&lt;=1),IF(C141="peso_corporal",IF(ISNUMBER(E141),E141,0)+I141,I141)*J141*1000+I141,0),IF((M141&gt;0)*(IF(N141="",-1,N141)&gt;=0)*(IF(N141="",-1,N141)&lt;=1),IF(C141="peso_corporal",IF(ISNUMBER(E141),E141,0)+L141,L141)*M141*1000+L141,0),IF((P141&gt;0)*(IF(Q141="",-1,Q141)&gt;=0)*(IF(Q141="",-1,Q141)&lt;=1),IF(C141="peso_corporal",IF(ISNUMBER(E141),E141,0)+O141,O141)*P141*1000+O141,0),IF((S141&gt;0)*(IF(T141="",-1,T141)&gt;=0)*(IF(T141="",-1,T141)&lt;=1),IF(C141="peso_corporal",IF(ISNUMBER(E141),E141,0)+R141,R141)*S141*1000+R141,0))</f>
        <v>0</v>
      </c>
      <c r="X141" s="69">
        <f>IF(W141=0,0,IF(IF((S141&gt;0)*(IF(T141="",-1,T141)&gt;=0)*(IF(T141="",-1,T141)&lt;=1),IF(C141="peso_corporal",IF(ISNUMBER(E141),E141,0)+R141,R141)*S141*1000+R141,0)=W141,5,IF(IF((P141&gt;0)*(IF(Q141="",-1,Q141)&gt;=0)*(IF(Q141="",-1,Q141)&lt;=1),IF(C141="peso_corporal",IF(ISNUMBER(E141),E141,0)+O141,O141)*P141*1000+O141,0)=W141,4,IF(IF((M141&gt;0)*(IF(N141="",-1,N141)&gt;=0)*(IF(N141="",-1,N141)&lt;=1),IF(C141="peso_corporal",IF(ISNUMBER(E141),E141,0)+L141,L141)*M141*1000+L141,0)=W141,3,IF(IF((J141&gt;0)*(IF(K141="",-1,K141)&gt;=0)*(IF(K141="",-1,K141)&lt;=1),IF(C141="peso_corporal",IF(ISNUMBER(E141),E141,0)+I141,I141)*J141*1000+I141,0)=W141,2,IF(IF((G141&gt;0)*(IF(H141="",-1,H141)&gt;=0)*(IF(H141="",-1,H141)&lt;=1),IF(C141="peso_corporal",IF(ISNUMBER(E141),E141,0)+F141,F141)*G141*1000+F141,0)=W141,1,0))))))</f>
        <v>0</v>
      </c>
      <c r="Y141" s="69">
        <f>MAX(IF((G141&gt;0)*(IF(H141="",-1,H141)=0)*(1-(IF(H141="",-1,H141)&gt;=0)*(IF(H141="",-1,H141)&lt;=1)),IF(C141="peso_corporal",IF(ISNUMBER(E141),E141,0)+F141,F141)*G141*1000+F141,0),IF((J141&gt;0)*(IF(K141="",-1,K141)=0)*(1-(IF(K141="",-1,K141)&gt;=0)*(IF(K141="",-1,K141)&lt;=1)),IF(C141="peso_corporal",IF(ISNUMBER(E141),E141,0)+I141,I141)*J141*1000+I141,0),IF((M141&gt;0)*(IF(N141="",-1,N141)=0)*(1-(IF(N141="",-1,N141)&gt;=0)*(IF(N141="",-1,N141)&lt;=1)),IF(C141="peso_corporal",IF(ISNUMBER(E141),E141,0)+L141,L141)*M141*1000+L141,0),IF((P141&gt;0)*(IF(Q141="",-1,Q141)=0)*(1-(IF(Q141="",-1,Q141)&gt;=0)*(IF(Q141="",-1,Q141)&lt;=1)),IF(C141="peso_corporal",IF(ISNUMBER(E141),E141,0)+O141,O141)*P141*1000+O141,0),IF((S141&gt;0)*(IF(T141="",-1,T141)=0)*(1-(IF(T141="",-1,T141)&gt;=0)*(IF(T141="",-1,T141)&lt;=1)),IF(C141="peso_corporal",IF(ISNUMBER(E141),E141,0)+R141,R141)*S141*1000+R141,0))</f>
        <v>0</v>
      </c>
      <c r="Z141" s="69">
        <f>IF(Y141=0,0,IF(IF((S141&gt;0)*(IF(T141="",-1,T141)=0)*(1-(IF(T141="",-1,T141)&gt;=0)*(IF(T141="",-1,T141)&lt;=1)),IF(C141="peso_corporal",IF(ISNUMBER(E141),E141,0)+R141,R141)*S141*1000+R141,0)=Y141,5,IF(IF((P141&gt;0)*(IF(Q141="",-1,Q141)=0)*(1-(IF(Q141="",-1,Q141)&gt;=0)*(IF(Q141="",-1,Q141)&lt;=1)),IF(C141="peso_corporal",IF(ISNUMBER(E141),E141,0)+O141,O141)*P141*1000+O141,0)=Y141,4,IF(IF((M141&gt;0)*(IF(N141="",-1,N141)=0)*(1-(IF(N141="",-1,N141)&gt;=0)*(IF(N141="",-1,N141)&lt;=1)),IF(C141="peso_corporal",IF(ISNUMBER(E141),E141,0)+L141,L141)*M141*1000+L141,0)=Y141,3,IF(IF((J141&gt;0)*(IF(K141="",-1,K141)=0)*(1-(IF(K141="",-1,K141)&gt;=0)*(IF(K141="",-1,K141)&lt;=1)),IF(C141="peso_corporal",IF(ISNUMBER(E141),E141,0)+I141,I141)*J141*1000+I141,0)=Y141,2,IF(IF((G141&gt;0)*(IF(H141="",-1,H141)=0)*(1-(IF(H141="",-1,H141)&gt;=0)*(IF(H141="",-1,H141)&lt;=1)),IF(C141="peso_corporal",IF(ISNUMBER(E141),E141,0)+F141,F141)*G141*1000+F141,0)=Y141,1,0))))))</f>
        <v>0</v>
      </c>
      <c r="AA141" s="69">
        <f>MAX(IF((G141&gt;=3)*(1-(IF(H141="",-1,H141)&gt;=0)*(IF(H141="",-1,H141)&lt;=1))*(1-(IF(H141="",-1,H141)=0)),IF(C141="peso_corporal",IF(ISNUMBER(E141),E141,0)+F141,F141)*(30+G141)*100+F141,0),IF((J141&gt;=3)*(1-(IF(K141="",-1,K141)&gt;=0)*(IF(K141="",-1,K141)&lt;=1))*(1-(IF(K141="",-1,K141)=0)),IF(C141="peso_corporal",IF(ISNUMBER(E141),E141,0)+I141,I141)*(30+J141)*100+I141,0),IF((M141&gt;=3)*(1-(IF(N141="",-1,N141)&gt;=0)*(IF(N141="",-1,N141)&lt;=1))*(1-(IF(N141="",-1,N141)=0)),IF(C141="peso_corporal",IF(ISNUMBER(E141),E141,0)+L141,L141)*(30+M141)*100+L141,0),IF((P141&gt;=3)*(1-(IF(Q141="",-1,Q141)&gt;=0)*(IF(Q141="",-1,Q141)&lt;=1))*(1-(IF(Q141="",-1,Q141)=0)),IF(C141="peso_corporal",IF(ISNUMBER(E141),E141,0)+O141,O141)*(30+P141)*100+O141,0),IF((S141&gt;=3)*(1-(IF(T141="",-1,T141)&gt;=0)*(IF(T141="",-1,T141)&lt;=1))*(1-(IF(T141="",-1,T141)=0)),IF(C141="peso_corporal",IF(ISNUMBER(E141),E141,0)+R141,R141)*(30+S141)*100+R141,0))</f>
        <v>0</v>
      </c>
      <c r="AB141" s="69">
        <f>IF(AA141=0,0,IF(IF((S141&gt;=3)*(1-(IF(T141="",-1,T141)&gt;=0)*(IF(T141="",-1,T141)&lt;=1))*(1-(IF(T141="",-1,T141)=0)),IF(C141="peso_corporal",IF(ISNUMBER(E141),E141,0)+R141,R141)*(30+S141)*100+R141,0)=AA141,5,IF(IF((P141&gt;=3)*(1-(IF(Q141="",-1,Q141)&gt;=0)*(IF(Q141="",-1,Q141)&lt;=1))*(1-(IF(Q141="",-1,Q141)=0)),IF(C141="peso_corporal",IF(ISNUMBER(E141),E141,0)+O141,O141)*(30+P141)*100+O141,0)=AA141,4,IF(IF((M141&gt;=3)*(1-(IF(N141="",-1,N141)&gt;=0)*(IF(N141="",-1,N141)&lt;=1))*(1-(IF(N141="",-1,N141)=0)),IF(C141="peso_corporal",IF(ISNUMBER(E141),E141,0)+L141,L141)*(30+M141)*100+L141,0)=AA141,3,IF(IF((J141&gt;=3)*(1-(IF(K141="",-1,K141)&gt;=0)*(IF(K141="",-1,K141)&lt;=1))*(1-(IF(K141="",-1,K141)=0)),IF(C141="peso_corporal",IF(ISNUMBER(E141),E141,0)+I141,I141)*(30+J141)*100+I141,0)=AA141,2,IF(IF((G141&gt;=3)*(1-(IF(H141="",-1,H141)&gt;=0)*(IF(H141="",-1,H141)&lt;=1))*(1-(IF(H141="",-1,H141)=0)),IF(C141="peso_corporal",IF(ISNUMBER(E141),E141,0)+F141,F141)*(30+G141)*100+F141,0)=AA141,1,0))))))</f>
        <v>0</v>
      </c>
      <c r="AC141" s="69" t="str">
        <f>IF(X141&gt;0,"A"&amp;X141,IF(Z141&gt;0,"B"&amp;Z141,IF(AB141&gt;0,"C"&amp;AB141,"")))</f>
        <v/>
      </c>
    </row>
    <row r="142" spans="1:29" ht="20.100000000000001" customHeight="1">
      <c r="A142" s="14" t="s">
        <v>164</v>
      </c>
      <c r="B142" s="15" t="s">
        <v>114</v>
      </c>
      <c r="C142" s="16" t="str">
        <f>IFERROR(INDEX(EJERCICIOS!$D$3:$D$75,MATCH(A142&amp;"|"&amp;B142,EJERCICIOS!$G$3:$G$75,0)),"--")</f>
        <v>polea</v>
      </c>
      <c r="D142" s="17">
        <v>3</v>
      </c>
      <c r="E142" s="18">
        <f>IFERROR(LOOKUP(2,1/(MEDIDAS_Y_PESO!$B$3:$B$8&lt;&gt;""),MEDIDAS_Y_PESO!$B$3:$B$8),"--")</f>
        <v>80</v>
      </c>
      <c r="F142" s="19"/>
      <c r="G142" s="20"/>
      <c r="H142" s="21"/>
      <c r="I142" s="19"/>
      <c r="J142" s="20"/>
      <c r="K142" s="21"/>
      <c r="L142" s="19"/>
      <c r="M142" s="20"/>
      <c r="N142" s="21"/>
      <c r="O142" s="19"/>
      <c r="P142" s="20"/>
      <c r="Q142" s="21"/>
      <c r="R142" s="19"/>
      <c r="S142" s="20"/>
      <c r="T142" s="21"/>
      <c r="U142" s="22" t="str">
        <f>IFERROR(IF(IF(X142&gt;0,X142,IF(Z142&gt;0,Z142,IF(AB142&gt;0,AB142,0)))=0,"--",ROUND(CHOOSE(IF(X142&gt;0,X142,IF(Z142&gt;0,Z142,IF(AB142&gt;0,AB142,0))),IF(C142="peso_corporal",IF(ISNUMBER(E142),E142,0)+F142,F142)*(1+G142/30),IF(C142="peso_corporal",IF(ISNUMBER(E142),E142,0)+I142,I142)*(1+J142/30),IF(C142="peso_corporal",IF(ISNUMBER(E142),E142,0)+L142,L142)*(1+M142/30),IF(C142="peso_corporal",IF(ISNUMBER(E142),E142,0)+O142,O142)*(1+P142/30),IF(C142="peso_corporal",IF(ISNUMBER(E142),E142,0)+R142,R142)*(1+S142/30)),1)),"--")</f>
        <v>--</v>
      </c>
      <c r="V142" s="23" t="str">
        <f>IF(SUGERENCIAS!N360="SIN","Sin datos anteriores",IF(SUGERENCIAS!N360="SUBIR_F","^ SUBIR FUERTE | Kg:"&amp;ROUND(SUGERENCIAS!K360,1)&amp;" R:"&amp;ROUND(SUGERENCIAS!L360,0)&amp;" RIR:"&amp;ROUND(SUGERENCIAS!M360,0),IF(SUGERENCIAS!N360="SUBIR_E","^ SUBIR (Est.) | Kg:"&amp;ROUND(SUGERENCIAS!K360,1)&amp;" R:"&amp;ROUND(SUGERENCIAS!L360,0)&amp;" RIR:"&amp;ROUND(SUGERENCIAS!M360,0),IF(SUGERENCIAS!N360="SUBIR","^ SUBIR | Kg:"&amp;ROUND(SUGERENCIAS!K360,1)&amp;" R:"&amp;ROUND(SUGERENCIAS!L360,0)&amp;" RIR:"&amp;ROUND(SUGERENCIAS!M360,0),IF(SUGERENCIAS!N360="BAJAR","v BAJAR | Kg:"&amp;ROUND(SUGERENCIAS!K360,1)&amp;" R:"&amp;ROUND(SUGERENCIAS!L360,0)&amp;" RIR:"&amp;ROUND(SUGERENCIAS!M360,0),"= MANT | Kg:"&amp;ROUND(SUGERENCIAS!K360,1)&amp;" R:"&amp;ROUND(SUGERENCIAS!L360,0)&amp;" RIR:"&amp;ROUND(SUGERENCIAS!M360,0))))))</f>
        <v>Sin datos anteriores</v>
      </c>
      <c r="W142" s="69">
        <f>MAX(IF((G142&gt;0)*(IF(H142="",-1,H142)&gt;=0)*(IF(H142="",-1,H142)&lt;=1),IF(C142="peso_corporal",IF(ISNUMBER(E142),E142,0)+F142,F142)*G142*1000+F142,0),IF((J142&gt;0)*(IF(K142="",-1,K142)&gt;=0)*(IF(K142="",-1,K142)&lt;=1),IF(C142="peso_corporal",IF(ISNUMBER(E142),E142,0)+I142,I142)*J142*1000+I142,0),IF((M142&gt;0)*(IF(N142="",-1,N142)&gt;=0)*(IF(N142="",-1,N142)&lt;=1),IF(C142="peso_corporal",IF(ISNUMBER(E142),E142,0)+L142,L142)*M142*1000+L142,0),IF((P142&gt;0)*(IF(Q142="",-1,Q142)&gt;=0)*(IF(Q142="",-1,Q142)&lt;=1),IF(C142="peso_corporal",IF(ISNUMBER(E142),E142,0)+O142,O142)*P142*1000+O142,0),IF((S142&gt;0)*(IF(T142="",-1,T142)&gt;=0)*(IF(T142="",-1,T142)&lt;=1),IF(C142="peso_corporal",IF(ISNUMBER(E142),E142,0)+R142,R142)*S142*1000+R142,0))</f>
        <v>0</v>
      </c>
      <c r="X142" s="69">
        <f>IF(W142=0,0,IF(IF((S142&gt;0)*(IF(T142="",-1,T142)&gt;=0)*(IF(T142="",-1,T142)&lt;=1),IF(C142="peso_corporal",IF(ISNUMBER(E142),E142,0)+R142,R142)*S142*1000+R142,0)=W142,5,IF(IF((P142&gt;0)*(IF(Q142="",-1,Q142)&gt;=0)*(IF(Q142="",-1,Q142)&lt;=1),IF(C142="peso_corporal",IF(ISNUMBER(E142),E142,0)+O142,O142)*P142*1000+O142,0)=W142,4,IF(IF((M142&gt;0)*(IF(N142="",-1,N142)&gt;=0)*(IF(N142="",-1,N142)&lt;=1),IF(C142="peso_corporal",IF(ISNUMBER(E142),E142,0)+L142,L142)*M142*1000+L142,0)=W142,3,IF(IF((J142&gt;0)*(IF(K142="",-1,K142)&gt;=0)*(IF(K142="",-1,K142)&lt;=1),IF(C142="peso_corporal",IF(ISNUMBER(E142),E142,0)+I142,I142)*J142*1000+I142,0)=W142,2,IF(IF((G142&gt;0)*(IF(H142="",-1,H142)&gt;=0)*(IF(H142="",-1,H142)&lt;=1),IF(C142="peso_corporal",IF(ISNUMBER(E142),E142,0)+F142,F142)*G142*1000+F142,0)=W142,1,0))))))</f>
        <v>0</v>
      </c>
      <c r="Y142" s="69">
        <f>MAX(IF((G142&gt;0)*(IF(H142="",-1,H142)=0)*(1-(IF(H142="",-1,H142)&gt;=0)*(IF(H142="",-1,H142)&lt;=1)),IF(C142="peso_corporal",IF(ISNUMBER(E142),E142,0)+F142,F142)*G142*1000+F142,0),IF((J142&gt;0)*(IF(K142="",-1,K142)=0)*(1-(IF(K142="",-1,K142)&gt;=0)*(IF(K142="",-1,K142)&lt;=1)),IF(C142="peso_corporal",IF(ISNUMBER(E142),E142,0)+I142,I142)*J142*1000+I142,0),IF((M142&gt;0)*(IF(N142="",-1,N142)=0)*(1-(IF(N142="",-1,N142)&gt;=0)*(IF(N142="",-1,N142)&lt;=1)),IF(C142="peso_corporal",IF(ISNUMBER(E142),E142,0)+L142,L142)*M142*1000+L142,0),IF((P142&gt;0)*(IF(Q142="",-1,Q142)=0)*(1-(IF(Q142="",-1,Q142)&gt;=0)*(IF(Q142="",-1,Q142)&lt;=1)),IF(C142="peso_corporal",IF(ISNUMBER(E142),E142,0)+O142,O142)*P142*1000+O142,0),IF((S142&gt;0)*(IF(T142="",-1,T142)=0)*(1-(IF(T142="",-1,T142)&gt;=0)*(IF(T142="",-1,T142)&lt;=1)),IF(C142="peso_corporal",IF(ISNUMBER(E142),E142,0)+R142,R142)*S142*1000+R142,0))</f>
        <v>0</v>
      </c>
      <c r="Z142" s="69">
        <f>IF(Y142=0,0,IF(IF((S142&gt;0)*(IF(T142="",-1,T142)=0)*(1-(IF(T142="",-1,T142)&gt;=0)*(IF(T142="",-1,T142)&lt;=1)),IF(C142="peso_corporal",IF(ISNUMBER(E142),E142,0)+R142,R142)*S142*1000+R142,0)=Y142,5,IF(IF((P142&gt;0)*(IF(Q142="",-1,Q142)=0)*(1-(IF(Q142="",-1,Q142)&gt;=0)*(IF(Q142="",-1,Q142)&lt;=1)),IF(C142="peso_corporal",IF(ISNUMBER(E142),E142,0)+O142,O142)*P142*1000+O142,0)=Y142,4,IF(IF((M142&gt;0)*(IF(N142="",-1,N142)=0)*(1-(IF(N142="",-1,N142)&gt;=0)*(IF(N142="",-1,N142)&lt;=1)),IF(C142="peso_corporal",IF(ISNUMBER(E142),E142,0)+L142,L142)*M142*1000+L142,0)=Y142,3,IF(IF((J142&gt;0)*(IF(K142="",-1,K142)=0)*(1-(IF(K142="",-1,K142)&gt;=0)*(IF(K142="",-1,K142)&lt;=1)),IF(C142="peso_corporal",IF(ISNUMBER(E142),E142,0)+I142,I142)*J142*1000+I142,0)=Y142,2,IF(IF((G142&gt;0)*(IF(H142="",-1,H142)=0)*(1-(IF(H142="",-1,H142)&gt;=0)*(IF(H142="",-1,H142)&lt;=1)),IF(C142="peso_corporal",IF(ISNUMBER(E142),E142,0)+F142,F142)*G142*1000+F142,0)=Y142,1,0))))))</f>
        <v>0</v>
      </c>
      <c r="AA142" s="69">
        <f>MAX(IF((G142&gt;=3)*(1-(IF(H142="",-1,H142)&gt;=0)*(IF(H142="",-1,H142)&lt;=1))*(1-(IF(H142="",-1,H142)=0)),IF(C142="peso_corporal",IF(ISNUMBER(E142),E142,0)+F142,F142)*(30+G142)*100+F142,0),IF((J142&gt;=3)*(1-(IF(K142="",-1,K142)&gt;=0)*(IF(K142="",-1,K142)&lt;=1))*(1-(IF(K142="",-1,K142)=0)),IF(C142="peso_corporal",IF(ISNUMBER(E142),E142,0)+I142,I142)*(30+J142)*100+I142,0),IF((M142&gt;=3)*(1-(IF(N142="",-1,N142)&gt;=0)*(IF(N142="",-1,N142)&lt;=1))*(1-(IF(N142="",-1,N142)=0)),IF(C142="peso_corporal",IF(ISNUMBER(E142),E142,0)+L142,L142)*(30+M142)*100+L142,0),IF((P142&gt;=3)*(1-(IF(Q142="",-1,Q142)&gt;=0)*(IF(Q142="",-1,Q142)&lt;=1))*(1-(IF(Q142="",-1,Q142)=0)),IF(C142="peso_corporal",IF(ISNUMBER(E142),E142,0)+O142,O142)*(30+P142)*100+O142,0),IF((S142&gt;=3)*(1-(IF(T142="",-1,T142)&gt;=0)*(IF(T142="",-1,T142)&lt;=1))*(1-(IF(T142="",-1,T142)=0)),IF(C142="peso_corporal",IF(ISNUMBER(E142),E142,0)+R142,R142)*(30+S142)*100+R142,0))</f>
        <v>0</v>
      </c>
      <c r="AB142" s="69">
        <f>IF(AA142=0,0,IF(IF((S142&gt;=3)*(1-(IF(T142="",-1,T142)&gt;=0)*(IF(T142="",-1,T142)&lt;=1))*(1-(IF(T142="",-1,T142)=0)),IF(C142="peso_corporal",IF(ISNUMBER(E142),E142,0)+R142,R142)*(30+S142)*100+R142,0)=AA142,5,IF(IF((P142&gt;=3)*(1-(IF(Q142="",-1,Q142)&gt;=0)*(IF(Q142="",-1,Q142)&lt;=1))*(1-(IF(Q142="",-1,Q142)=0)),IF(C142="peso_corporal",IF(ISNUMBER(E142),E142,0)+O142,O142)*(30+P142)*100+O142,0)=AA142,4,IF(IF((M142&gt;=3)*(1-(IF(N142="",-1,N142)&gt;=0)*(IF(N142="",-1,N142)&lt;=1))*(1-(IF(N142="",-1,N142)=0)),IF(C142="peso_corporal",IF(ISNUMBER(E142),E142,0)+L142,L142)*(30+M142)*100+L142,0)=AA142,3,IF(IF((J142&gt;=3)*(1-(IF(K142="",-1,K142)&gt;=0)*(IF(K142="",-1,K142)&lt;=1))*(1-(IF(K142="",-1,K142)=0)),IF(C142="peso_corporal",IF(ISNUMBER(E142),E142,0)+I142,I142)*(30+J142)*100+I142,0)=AA142,2,IF(IF((G142&gt;=3)*(1-(IF(H142="",-1,H142)&gt;=0)*(IF(H142="",-1,H142)&lt;=1))*(1-(IF(H142="",-1,H142)=0)),IF(C142="peso_corporal",IF(ISNUMBER(E142),E142,0)+F142,F142)*(30+G142)*100+F142,0)=AA142,1,0))))))</f>
        <v>0</v>
      </c>
      <c r="AC142" s="69" t="str">
        <f>IF(X142&gt;0,"A"&amp;X142,IF(Z142&gt;0,"B"&amp;Z142,IF(AB142&gt;0,"C"&amp;AB142,"")))</f>
        <v/>
      </c>
    </row>
    <row r="143" spans="1:29" ht="15" customHeight="1">
      <c r="A143" s="75" t="s">
        <v>28</v>
      </c>
      <c r="B143" s="73"/>
      <c r="C143" s="73"/>
      <c r="D143" s="73"/>
      <c r="E143" s="73"/>
      <c r="F143" s="73"/>
      <c r="G143" s="73"/>
      <c r="H143" s="73"/>
      <c r="I143" s="73"/>
      <c r="J143" s="73"/>
      <c r="K143" s="73"/>
      <c r="L143" s="73"/>
      <c r="M143" s="73"/>
      <c r="N143" s="73"/>
      <c r="O143" s="73"/>
      <c r="P143" s="73"/>
      <c r="Q143" s="73"/>
      <c r="R143" s="73"/>
      <c r="S143" s="73"/>
      <c r="T143" s="73"/>
      <c r="U143" s="73"/>
      <c r="V143" s="73"/>
      <c r="W143" s="69"/>
      <c r="X143" s="69"/>
      <c r="Y143" s="69"/>
      <c r="Z143" s="69"/>
      <c r="AA143" s="69"/>
      <c r="AB143" s="69"/>
      <c r="AC143" s="69"/>
    </row>
    <row r="144" spans="1:29" ht="11.1" customHeight="1">
      <c r="A144" s="76" t="s">
        <v>29</v>
      </c>
      <c r="B144" s="73"/>
      <c r="C144" s="73"/>
      <c r="D144" s="73"/>
      <c r="E144" s="73"/>
      <c r="F144" s="73"/>
      <c r="G144" s="73"/>
      <c r="H144" s="73"/>
      <c r="I144" s="73"/>
      <c r="J144" s="73"/>
      <c r="K144" s="73"/>
      <c r="L144" s="73"/>
      <c r="M144" s="73"/>
      <c r="N144" s="73"/>
      <c r="O144" s="73"/>
      <c r="P144" s="73"/>
      <c r="Q144" s="73"/>
      <c r="R144" s="73"/>
      <c r="S144" s="73"/>
      <c r="T144" s="73"/>
      <c r="U144" s="73"/>
      <c r="V144" s="73"/>
      <c r="W144" s="69"/>
      <c r="X144" s="69"/>
      <c r="Y144" s="69"/>
      <c r="Z144" s="69"/>
      <c r="AA144" s="69"/>
      <c r="AB144" s="69"/>
      <c r="AC144" s="69"/>
    </row>
    <row r="145" spans="1:29" ht="20.100000000000001" customHeight="1">
      <c r="A145" s="14" t="s">
        <v>30</v>
      </c>
      <c r="B145" s="15" t="s">
        <v>31</v>
      </c>
      <c r="C145" s="16" t="str">
        <f>IFERROR(INDEX(EJERCICIOS!$D$3:$D$75,MATCH(A145&amp;"|"&amp;B145,EJERCICIOS!$G$3:$G$75,0)),"--")</f>
        <v>mancuerna</v>
      </c>
      <c r="D145" s="17">
        <v>3</v>
      </c>
      <c r="E145" s="18">
        <f>IFERROR(LOOKUP(2,1/(MEDIDAS_Y_PESO!$B$3:$B$8&lt;&gt;""),MEDIDAS_Y_PESO!$B$3:$B$8),"--")</f>
        <v>80</v>
      </c>
      <c r="F145" s="19"/>
      <c r="G145" s="20"/>
      <c r="H145" s="21"/>
      <c r="I145" s="19"/>
      <c r="J145" s="20"/>
      <c r="K145" s="21"/>
      <c r="L145" s="19"/>
      <c r="M145" s="20"/>
      <c r="N145" s="21"/>
      <c r="O145" s="19"/>
      <c r="P145" s="20"/>
      <c r="Q145" s="21"/>
      <c r="R145" s="19"/>
      <c r="S145" s="20"/>
      <c r="T145" s="21"/>
      <c r="U145" s="22" t="str">
        <f>IFERROR(IF(IF(X145&gt;0,X145,IF(Z145&gt;0,Z145,IF(AB145&gt;0,AB145,0)))=0,"--",ROUND(CHOOSE(IF(X145&gt;0,X145,IF(Z145&gt;0,Z145,IF(AB145&gt;0,AB145,0))),IF(C145="peso_corporal",IF(ISNUMBER(E145),E145,0)+F145,F145)*(1+G145/30),IF(C145="peso_corporal",IF(ISNUMBER(E145),E145,0)+I145,I145)*(1+J145/30),IF(C145="peso_corporal",IF(ISNUMBER(E145),E145,0)+L145,L145)*(1+M145/30),IF(C145="peso_corporal",IF(ISNUMBER(E145),E145,0)+O145,O145)*(1+P145/30),IF(C145="peso_corporal",IF(ISNUMBER(E145),E145,0)+R145,R145)*(1+S145/30)),1)),"--")</f>
        <v>--</v>
      </c>
      <c r="V145" s="23" t="str">
        <f>IF(SUGERENCIAS!N361="SIN","Sin datos anteriores",IF(SUGERENCIAS!N361="SUBIR_F","^ SUBIR FUERTE | Kg:"&amp;ROUND(SUGERENCIAS!K361,1)&amp;" R:"&amp;ROUND(SUGERENCIAS!L361,0)&amp;" RIR:"&amp;ROUND(SUGERENCIAS!M361,0),IF(SUGERENCIAS!N361="SUBIR_E","^ SUBIR (Est.) | Kg:"&amp;ROUND(SUGERENCIAS!K361,1)&amp;" R:"&amp;ROUND(SUGERENCIAS!L361,0)&amp;" RIR:"&amp;ROUND(SUGERENCIAS!M361,0),IF(SUGERENCIAS!N361="SUBIR","^ SUBIR | Kg:"&amp;ROUND(SUGERENCIAS!K361,1)&amp;" R:"&amp;ROUND(SUGERENCIAS!L361,0)&amp;" RIR:"&amp;ROUND(SUGERENCIAS!M361,0),IF(SUGERENCIAS!N361="BAJAR","v BAJAR | Kg:"&amp;ROUND(SUGERENCIAS!K361,1)&amp;" R:"&amp;ROUND(SUGERENCIAS!L361,0)&amp;" RIR:"&amp;ROUND(SUGERENCIAS!M361,0),"= MANT | Kg:"&amp;ROUND(SUGERENCIAS!K361,1)&amp;" R:"&amp;ROUND(SUGERENCIAS!L361,0)&amp;" RIR:"&amp;ROUND(SUGERENCIAS!M361,0))))))</f>
        <v>Sin datos anteriores</v>
      </c>
      <c r="W145" s="69">
        <f>MAX(IF((G145&gt;0)*(IF(H145="",-1,H145)&gt;=0)*(IF(H145="",-1,H145)&lt;=1),IF(C145="peso_corporal",IF(ISNUMBER(E145),E145,0)+F145,F145)*G145*1000+F145,0),IF((J145&gt;0)*(IF(K145="",-1,K145)&gt;=0)*(IF(K145="",-1,K145)&lt;=1),IF(C145="peso_corporal",IF(ISNUMBER(E145),E145,0)+I145,I145)*J145*1000+I145,0),IF((M145&gt;0)*(IF(N145="",-1,N145)&gt;=0)*(IF(N145="",-1,N145)&lt;=1),IF(C145="peso_corporal",IF(ISNUMBER(E145),E145,0)+L145,L145)*M145*1000+L145,0),IF((P145&gt;0)*(IF(Q145="",-1,Q145)&gt;=0)*(IF(Q145="",-1,Q145)&lt;=1),IF(C145="peso_corporal",IF(ISNUMBER(E145),E145,0)+O145,O145)*P145*1000+O145,0),IF((S145&gt;0)*(IF(T145="",-1,T145)&gt;=0)*(IF(T145="",-1,T145)&lt;=1),IF(C145="peso_corporal",IF(ISNUMBER(E145),E145,0)+R145,R145)*S145*1000+R145,0))</f>
        <v>0</v>
      </c>
      <c r="X145" s="69">
        <f>IF(W145=0,0,IF(IF((S145&gt;0)*(IF(T145="",-1,T145)&gt;=0)*(IF(T145="",-1,T145)&lt;=1),IF(C145="peso_corporal",IF(ISNUMBER(E145),E145,0)+R145,R145)*S145*1000+R145,0)=W145,5,IF(IF((P145&gt;0)*(IF(Q145="",-1,Q145)&gt;=0)*(IF(Q145="",-1,Q145)&lt;=1),IF(C145="peso_corporal",IF(ISNUMBER(E145),E145,0)+O145,O145)*P145*1000+O145,0)=W145,4,IF(IF((M145&gt;0)*(IF(N145="",-1,N145)&gt;=0)*(IF(N145="",-1,N145)&lt;=1),IF(C145="peso_corporal",IF(ISNUMBER(E145),E145,0)+L145,L145)*M145*1000+L145,0)=W145,3,IF(IF((J145&gt;0)*(IF(K145="",-1,K145)&gt;=0)*(IF(K145="",-1,K145)&lt;=1),IF(C145="peso_corporal",IF(ISNUMBER(E145),E145,0)+I145,I145)*J145*1000+I145,0)=W145,2,IF(IF((G145&gt;0)*(IF(H145="",-1,H145)&gt;=0)*(IF(H145="",-1,H145)&lt;=1),IF(C145="peso_corporal",IF(ISNUMBER(E145),E145,0)+F145,F145)*G145*1000+F145,0)=W145,1,0))))))</f>
        <v>0</v>
      </c>
      <c r="Y145" s="69">
        <f>MAX(IF((G145&gt;0)*(IF(H145="",-1,H145)=0)*(1-(IF(H145="",-1,H145)&gt;=0)*(IF(H145="",-1,H145)&lt;=1)),IF(C145="peso_corporal",IF(ISNUMBER(E145),E145,0)+F145,F145)*G145*1000+F145,0),IF((J145&gt;0)*(IF(K145="",-1,K145)=0)*(1-(IF(K145="",-1,K145)&gt;=0)*(IF(K145="",-1,K145)&lt;=1)),IF(C145="peso_corporal",IF(ISNUMBER(E145),E145,0)+I145,I145)*J145*1000+I145,0),IF((M145&gt;0)*(IF(N145="",-1,N145)=0)*(1-(IF(N145="",-1,N145)&gt;=0)*(IF(N145="",-1,N145)&lt;=1)),IF(C145="peso_corporal",IF(ISNUMBER(E145),E145,0)+L145,L145)*M145*1000+L145,0),IF((P145&gt;0)*(IF(Q145="",-1,Q145)=0)*(1-(IF(Q145="",-1,Q145)&gt;=0)*(IF(Q145="",-1,Q145)&lt;=1)),IF(C145="peso_corporal",IF(ISNUMBER(E145),E145,0)+O145,O145)*P145*1000+O145,0),IF((S145&gt;0)*(IF(T145="",-1,T145)=0)*(1-(IF(T145="",-1,T145)&gt;=0)*(IF(T145="",-1,T145)&lt;=1)),IF(C145="peso_corporal",IF(ISNUMBER(E145),E145,0)+R145,R145)*S145*1000+R145,0))</f>
        <v>0</v>
      </c>
      <c r="Z145" s="69">
        <f>IF(Y145=0,0,IF(IF((S145&gt;0)*(IF(T145="",-1,T145)=0)*(1-(IF(T145="",-1,T145)&gt;=0)*(IF(T145="",-1,T145)&lt;=1)),IF(C145="peso_corporal",IF(ISNUMBER(E145),E145,0)+R145,R145)*S145*1000+R145,0)=Y145,5,IF(IF((P145&gt;0)*(IF(Q145="",-1,Q145)=0)*(1-(IF(Q145="",-1,Q145)&gt;=0)*(IF(Q145="",-1,Q145)&lt;=1)),IF(C145="peso_corporal",IF(ISNUMBER(E145),E145,0)+O145,O145)*P145*1000+O145,0)=Y145,4,IF(IF((M145&gt;0)*(IF(N145="",-1,N145)=0)*(1-(IF(N145="",-1,N145)&gt;=0)*(IF(N145="",-1,N145)&lt;=1)),IF(C145="peso_corporal",IF(ISNUMBER(E145),E145,0)+L145,L145)*M145*1000+L145,0)=Y145,3,IF(IF((J145&gt;0)*(IF(K145="",-1,K145)=0)*(1-(IF(K145="",-1,K145)&gt;=0)*(IF(K145="",-1,K145)&lt;=1)),IF(C145="peso_corporal",IF(ISNUMBER(E145),E145,0)+I145,I145)*J145*1000+I145,0)=Y145,2,IF(IF((G145&gt;0)*(IF(H145="",-1,H145)=0)*(1-(IF(H145="",-1,H145)&gt;=0)*(IF(H145="",-1,H145)&lt;=1)),IF(C145="peso_corporal",IF(ISNUMBER(E145),E145,0)+F145,F145)*G145*1000+F145,0)=Y145,1,0))))))</f>
        <v>0</v>
      </c>
      <c r="AA145" s="69">
        <f>MAX(IF((G145&gt;=3)*(1-(IF(H145="",-1,H145)&gt;=0)*(IF(H145="",-1,H145)&lt;=1))*(1-(IF(H145="",-1,H145)=0)),IF(C145="peso_corporal",IF(ISNUMBER(E145),E145,0)+F145,F145)*(30+G145)*100+F145,0),IF((J145&gt;=3)*(1-(IF(K145="",-1,K145)&gt;=0)*(IF(K145="",-1,K145)&lt;=1))*(1-(IF(K145="",-1,K145)=0)),IF(C145="peso_corporal",IF(ISNUMBER(E145),E145,0)+I145,I145)*(30+J145)*100+I145,0),IF((M145&gt;=3)*(1-(IF(N145="",-1,N145)&gt;=0)*(IF(N145="",-1,N145)&lt;=1))*(1-(IF(N145="",-1,N145)=0)),IF(C145="peso_corporal",IF(ISNUMBER(E145),E145,0)+L145,L145)*(30+M145)*100+L145,0),IF((P145&gt;=3)*(1-(IF(Q145="",-1,Q145)&gt;=0)*(IF(Q145="",-1,Q145)&lt;=1))*(1-(IF(Q145="",-1,Q145)=0)),IF(C145="peso_corporal",IF(ISNUMBER(E145),E145,0)+O145,O145)*(30+P145)*100+O145,0),IF((S145&gt;=3)*(1-(IF(T145="",-1,T145)&gt;=0)*(IF(T145="",-1,T145)&lt;=1))*(1-(IF(T145="",-1,T145)=0)),IF(C145="peso_corporal",IF(ISNUMBER(E145),E145,0)+R145,R145)*(30+S145)*100+R145,0))</f>
        <v>0</v>
      </c>
      <c r="AB145" s="69">
        <f>IF(AA145=0,0,IF(IF((S145&gt;=3)*(1-(IF(T145="",-1,T145)&gt;=0)*(IF(T145="",-1,T145)&lt;=1))*(1-(IF(T145="",-1,T145)=0)),IF(C145="peso_corporal",IF(ISNUMBER(E145),E145,0)+R145,R145)*(30+S145)*100+R145,0)=AA145,5,IF(IF((P145&gt;=3)*(1-(IF(Q145="",-1,Q145)&gt;=0)*(IF(Q145="",-1,Q145)&lt;=1))*(1-(IF(Q145="",-1,Q145)=0)),IF(C145="peso_corporal",IF(ISNUMBER(E145),E145,0)+O145,O145)*(30+P145)*100+O145,0)=AA145,4,IF(IF((M145&gt;=3)*(1-(IF(N145="",-1,N145)&gt;=0)*(IF(N145="",-1,N145)&lt;=1))*(1-(IF(N145="",-1,N145)=0)),IF(C145="peso_corporal",IF(ISNUMBER(E145),E145,0)+L145,L145)*(30+M145)*100+L145,0)=AA145,3,IF(IF((J145&gt;=3)*(1-(IF(K145="",-1,K145)&gt;=0)*(IF(K145="",-1,K145)&lt;=1))*(1-(IF(K145="",-1,K145)=0)),IF(C145="peso_corporal",IF(ISNUMBER(E145),E145,0)+I145,I145)*(30+J145)*100+I145,0)=AA145,2,IF(IF((G145&gt;=3)*(1-(IF(H145="",-1,H145)&gt;=0)*(IF(H145="",-1,H145)&lt;=1))*(1-(IF(H145="",-1,H145)=0)),IF(C145="peso_corporal",IF(ISNUMBER(E145),E145,0)+F145,F145)*(30+G145)*100+F145,0)=AA145,1,0))))))</f>
        <v>0</v>
      </c>
      <c r="AC145" s="69" t="str">
        <f>IF(X145&gt;0,"A"&amp;X145,IF(Z145&gt;0,"B"&amp;Z145,IF(AB145&gt;0,"C"&amp;AB145,"")))</f>
        <v/>
      </c>
    </row>
    <row r="146" spans="1:29" ht="11.1" customHeight="1">
      <c r="A146" s="84" t="s">
        <v>32</v>
      </c>
      <c r="B146" s="73"/>
      <c r="C146" s="73"/>
      <c r="D146" s="73"/>
      <c r="E146" s="73"/>
      <c r="F146" s="73"/>
      <c r="G146" s="73"/>
      <c r="H146" s="73"/>
      <c r="I146" s="73"/>
      <c r="J146" s="73"/>
      <c r="K146" s="73"/>
      <c r="L146" s="73"/>
      <c r="M146" s="73"/>
      <c r="N146" s="73"/>
      <c r="O146" s="73"/>
      <c r="P146" s="73"/>
      <c r="Q146" s="73"/>
      <c r="R146" s="73"/>
      <c r="S146" s="73"/>
      <c r="T146" s="73"/>
      <c r="U146" s="73"/>
      <c r="V146" s="73"/>
      <c r="W146" s="69"/>
      <c r="X146" s="69"/>
      <c r="Y146" s="69"/>
      <c r="Z146" s="69"/>
      <c r="AA146" s="69"/>
      <c r="AB146" s="69"/>
      <c r="AC146" s="69"/>
    </row>
    <row r="147" spans="1:29" ht="20.100000000000001" customHeight="1">
      <c r="A147" s="14" t="s">
        <v>61</v>
      </c>
      <c r="B147" s="15" t="s">
        <v>93</v>
      </c>
      <c r="C147" s="16" t="str">
        <f>IFERROR(INDEX(EJERCICIOS!$D$3:$D$75,MATCH(A147&amp;"|"&amp;B147,EJERCICIOS!$G$3:$G$75,0)),"--")</f>
        <v>disco</v>
      </c>
      <c r="D147" s="17">
        <v>3</v>
      </c>
      <c r="E147" s="18">
        <f>IFERROR(LOOKUP(2,1/(MEDIDAS_Y_PESO!$B$3:$B$8&lt;&gt;""),MEDIDAS_Y_PESO!$B$3:$B$8),"--")</f>
        <v>80</v>
      </c>
      <c r="F147" s="19"/>
      <c r="G147" s="20"/>
      <c r="H147" s="21"/>
      <c r="I147" s="19"/>
      <c r="J147" s="20"/>
      <c r="K147" s="21"/>
      <c r="L147" s="19"/>
      <c r="M147" s="20"/>
      <c r="N147" s="21"/>
      <c r="O147" s="19"/>
      <c r="P147" s="20"/>
      <c r="Q147" s="21"/>
      <c r="R147" s="19"/>
      <c r="S147" s="20"/>
      <c r="T147" s="21"/>
      <c r="U147" s="22" t="str">
        <f>IFERROR(IF(IF(X147&gt;0,X147,IF(Z147&gt;0,Z147,IF(AB147&gt;0,AB147,0)))=0,"--",ROUND(CHOOSE(IF(X147&gt;0,X147,IF(Z147&gt;0,Z147,IF(AB147&gt;0,AB147,0))),IF(C147="peso_corporal",IF(ISNUMBER(E147),E147,0)+F147,F147)*(1+G147/30),IF(C147="peso_corporal",IF(ISNUMBER(E147),E147,0)+I147,I147)*(1+J147/30),IF(C147="peso_corporal",IF(ISNUMBER(E147),E147,0)+L147,L147)*(1+M147/30),IF(C147="peso_corporal",IF(ISNUMBER(E147),E147,0)+O147,O147)*(1+P147/30),IF(C147="peso_corporal",IF(ISNUMBER(E147),E147,0)+R147,R147)*(1+S147/30)),1)),"--")</f>
        <v>--</v>
      </c>
      <c r="V147" s="23" t="str">
        <f>IF(SUGERENCIAS!N362="SIN","Sin datos anteriores",IF(SUGERENCIAS!N362="SUBIR_F","^ SUBIR FUERTE | Kg:"&amp;ROUND(SUGERENCIAS!K362,1)&amp;" R:"&amp;ROUND(SUGERENCIAS!L362,0)&amp;" RIR:"&amp;ROUND(SUGERENCIAS!M362,0),IF(SUGERENCIAS!N362="SUBIR_E","^ SUBIR (Est.) | Kg:"&amp;ROUND(SUGERENCIAS!K362,1)&amp;" R:"&amp;ROUND(SUGERENCIAS!L362,0)&amp;" RIR:"&amp;ROUND(SUGERENCIAS!M362,0),IF(SUGERENCIAS!N362="SUBIR","^ SUBIR | Kg:"&amp;ROUND(SUGERENCIAS!K362,1)&amp;" R:"&amp;ROUND(SUGERENCIAS!L362,0)&amp;" RIR:"&amp;ROUND(SUGERENCIAS!M362,0),IF(SUGERENCIAS!N362="BAJAR","v BAJAR | Kg:"&amp;ROUND(SUGERENCIAS!K362,1)&amp;" R:"&amp;ROUND(SUGERENCIAS!L362,0)&amp;" RIR:"&amp;ROUND(SUGERENCIAS!M362,0),"= MANT | Kg:"&amp;ROUND(SUGERENCIAS!K362,1)&amp;" R:"&amp;ROUND(SUGERENCIAS!L362,0)&amp;" RIR:"&amp;ROUND(SUGERENCIAS!M362,0))))))</f>
        <v>Sin datos anteriores</v>
      </c>
      <c r="W147" s="69">
        <f>MAX(IF((G147&gt;0)*(IF(H147="",-1,H147)&gt;=0)*(IF(H147="",-1,H147)&lt;=1),IF(C147="peso_corporal",IF(ISNUMBER(E147),E147,0)+F147,F147)*G147*1000+F147,0),IF((J147&gt;0)*(IF(K147="",-1,K147)&gt;=0)*(IF(K147="",-1,K147)&lt;=1),IF(C147="peso_corporal",IF(ISNUMBER(E147),E147,0)+I147,I147)*J147*1000+I147,0),IF((M147&gt;0)*(IF(N147="",-1,N147)&gt;=0)*(IF(N147="",-1,N147)&lt;=1),IF(C147="peso_corporal",IF(ISNUMBER(E147),E147,0)+L147,L147)*M147*1000+L147,0),IF((P147&gt;0)*(IF(Q147="",-1,Q147)&gt;=0)*(IF(Q147="",-1,Q147)&lt;=1),IF(C147="peso_corporal",IF(ISNUMBER(E147),E147,0)+O147,O147)*P147*1000+O147,0),IF((S147&gt;0)*(IF(T147="",-1,T147)&gt;=0)*(IF(T147="",-1,T147)&lt;=1),IF(C147="peso_corporal",IF(ISNUMBER(E147),E147,0)+R147,R147)*S147*1000+R147,0))</f>
        <v>0</v>
      </c>
      <c r="X147" s="69">
        <f>IF(W147=0,0,IF(IF((S147&gt;0)*(IF(T147="",-1,T147)&gt;=0)*(IF(T147="",-1,T147)&lt;=1),IF(C147="peso_corporal",IF(ISNUMBER(E147),E147,0)+R147,R147)*S147*1000+R147,0)=W147,5,IF(IF((P147&gt;0)*(IF(Q147="",-1,Q147)&gt;=0)*(IF(Q147="",-1,Q147)&lt;=1),IF(C147="peso_corporal",IF(ISNUMBER(E147),E147,0)+O147,O147)*P147*1000+O147,0)=W147,4,IF(IF((M147&gt;0)*(IF(N147="",-1,N147)&gt;=0)*(IF(N147="",-1,N147)&lt;=1),IF(C147="peso_corporal",IF(ISNUMBER(E147),E147,0)+L147,L147)*M147*1000+L147,0)=W147,3,IF(IF((J147&gt;0)*(IF(K147="",-1,K147)&gt;=0)*(IF(K147="",-1,K147)&lt;=1),IF(C147="peso_corporal",IF(ISNUMBER(E147),E147,0)+I147,I147)*J147*1000+I147,0)=W147,2,IF(IF((G147&gt;0)*(IF(H147="",-1,H147)&gt;=0)*(IF(H147="",-1,H147)&lt;=1),IF(C147="peso_corporal",IF(ISNUMBER(E147),E147,0)+F147,F147)*G147*1000+F147,0)=W147,1,0))))))</f>
        <v>0</v>
      </c>
      <c r="Y147" s="69">
        <f>MAX(IF((G147&gt;0)*(IF(H147="",-1,H147)=0)*(1-(IF(H147="",-1,H147)&gt;=0)*(IF(H147="",-1,H147)&lt;=1)),IF(C147="peso_corporal",IF(ISNUMBER(E147),E147,0)+F147,F147)*G147*1000+F147,0),IF((J147&gt;0)*(IF(K147="",-1,K147)=0)*(1-(IF(K147="",-1,K147)&gt;=0)*(IF(K147="",-1,K147)&lt;=1)),IF(C147="peso_corporal",IF(ISNUMBER(E147),E147,0)+I147,I147)*J147*1000+I147,0),IF((M147&gt;0)*(IF(N147="",-1,N147)=0)*(1-(IF(N147="",-1,N147)&gt;=0)*(IF(N147="",-1,N147)&lt;=1)),IF(C147="peso_corporal",IF(ISNUMBER(E147),E147,0)+L147,L147)*M147*1000+L147,0),IF((P147&gt;0)*(IF(Q147="",-1,Q147)=0)*(1-(IF(Q147="",-1,Q147)&gt;=0)*(IF(Q147="",-1,Q147)&lt;=1)),IF(C147="peso_corporal",IF(ISNUMBER(E147),E147,0)+O147,O147)*P147*1000+O147,0),IF((S147&gt;0)*(IF(T147="",-1,T147)=0)*(1-(IF(T147="",-1,T147)&gt;=0)*(IF(T147="",-1,T147)&lt;=1)),IF(C147="peso_corporal",IF(ISNUMBER(E147),E147,0)+R147,R147)*S147*1000+R147,0))</f>
        <v>0</v>
      </c>
      <c r="Z147" s="69">
        <f>IF(Y147=0,0,IF(IF((S147&gt;0)*(IF(T147="",-1,T147)=0)*(1-(IF(T147="",-1,T147)&gt;=0)*(IF(T147="",-1,T147)&lt;=1)),IF(C147="peso_corporal",IF(ISNUMBER(E147),E147,0)+R147,R147)*S147*1000+R147,0)=Y147,5,IF(IF((P147&gt;0)*(IF(Q147="",-1,Q147)=0)*(1-(IF(Q147="",-1,Q147)&gt;=0)*(IF(Q147="",-1,Q147)&lt;=1)),IF(C147="peso_corporal",IF(ISNUMBER(E147),E147,0)+O147,O147)*P147*1000+O147,0)=Y147,4,IF(IF((M147&gt;0)*(IF(N147="",-1,N147)=0)*(1-(IF(N147="",-1,N147)&gt;=0)*(IF(N147="",-1,N147)&lt;=1)),IF(C147="peso_corporal",IF(ISNUMBER(E147),E147,0)+L147,L147)*M147*1000+L147,0)=Y147,3,IF(IF((J147&gt;0)*(IF(K147="",-1,K147)=0)*(1-(IF(K147="",-1,K147)&gt;=0)*(IF(K147="",-1,K147)&lt;=1)),IF(C147="peso_corporal",IF(ISNUMBER(E147),E147,0)+I147,I147)*J147*1000+I147,0)=Y147,2,IF(IF((G147&gt;0)*(IF(H147="",-1,H147)=0)*(1-(IF(H147="",-1,H147)&gt;=0)*(IF(H147="",-1,H147)&lt;=1)),IF(C147="peso_corporal",IF(ISNUMBER(E147),E147,0)+F147,F147)*G147*1000+F147,0)=Y147,1,0))))))</f>
        <v>0</v>
      </c>
      <c r="AA147" s="69">
        <f>MAX(IF((G147&gt;=3)*(1-(IF(H147="",-1,H147)&gt;=0)*(IF(H147="",-1,H147)&lt;=1))*(1-(IF(H147="",-1,H147)=0)),IF(C147="peso_corporal",IF(ISNUMBER(E147),E147,0)+F147,F147)*(30+G147)*100+F147,0),IF((J147&gt;=3)*(1-(IF(K147="",-1,K147)&gt;=0)*(IF(K147="",-1,K147)&lt;=1))*(1-(IF(K147="",-1,K147)=0)),IF(C147="peso_corporal",IF(ISNUMBER(E147),E147,0)+I147,I147)*(30+J147)*100+I147,0),IF((M147&gt;=3)*(1-(IF(N147="",-1,N147)&gt;=0)*(IF(N147="",-1,N147)&lt;=1))*(1-(IF(N147="",-1,N147)=0)),IF(C147="peso_corporal",IF(ISNUMBER(E147),E147,0)+L147,L147)*(30+M147)*100+L147,0),IF((P147&gt;=3)*(1-(IF(Q147="",-1,Q147)&gt;=0)*(IF(Q147="",-1,Q147)&lt;=1))*(1-(IF(Q147="",-1,Q147)=0)),IF(C147="peso_corporal",IF(ISNUMBER(E147),E147,0)+O147,O147)*(30+P147)*100+O147,0),IF((S147&gt;=3)*(1-(IF(T147="",-1,T147)&gt;=0)*(IF(T147="",-1,T147)&lt;=1))*(1-(IF(T147="",-1,T147)=0)),IF(C147="peso_corporal",IF(ISNUMBER(E147),E147,0)+R147,R147)*(30+S147)*100+R147,0))</f>
        <v>0</v>
      </c>
      <c r="AB147" s="69">
        <f>IF(AA147=0,0,IF(IF((S147&gt;=3)*(1-(IF(T147="",-1,T147)&gt;=0)*(IF(T147="",-1,T147)&lt;=1))*(1-(IF(T147="",-1,T147)=0)),IF(C147="peso_corporal",IF(ISNUMBER(E147),E147,0)+R147,R147)*(30+S147)*100+R147,0)=AA147,5,IF(IF((P147&gt;=3)*(1-(IF(Q147="",-1,Q147)&gt;=0)*(IF(Q147="",-1,Q147)&lt;=1))*(1-(IF(Q147="",-1,Q147)=0)),IF(C147="peso_corporal",IF(ISNUMBER(E147),E147,0)+O147,O147)*(30+P147)*100+O147,0)=AA147,4,IF(IF((M147&gt;=3)*(1-(IF(N147="",-1,N147)&gt;=0)*(IF(N147="",-1,N147)&lt;=1))*(1-(IF(N147="",-1,N147)=0)),IF(C147="peso_corporal",IF(ISNUMBER(E147),E147,0)+L147,L147)*(30+M147)*100+L147,0)=AA147,3,IF(IF((J147&gt;=3)*(1-(IF(K147="",-1,K147)&gt;=0)*(IF(K147="",-1,K147)&lt;=1))*(1-(IF(K147="",-1,K147)=0)),IF(C147="peso_corporal",IF(ISNUMBER(E147),E147,0)+I147,I147)*(30+J147)*100+I147,0)=AA147,2,IF(IF((G147&gt;=3)*(1-(IF(H147="",-1,H147)&gt;=0)*(IF(H147="",-1,H147)&lt;=1))*(1-(IF(H147="",-1,H147)=0)),IF(C147="peso_corporal",IF(ISNUMBER(E147),E147,0)+F147,F147)*(30+G147)*100+F147,0)=AA147,1,0))))))</f>
        <v>0</v>
      </c>
      <c r="AC147" s="69" t="str">
        <f>IF(X147&gt;0,"A"&amp;X147,IF(Z147&gt;0,"B"&amp;Z147,IF(AB147&gt;0,"C"&amp;AB147,"")))</f>
        <v/>
      </c>
    </row>
    <row r="148" spans="1:29" ht="11.1" customHeight="1">
      <c r="A148" s="87" t="s">
        <v>165</v>
      </c>
      <c r="B148" s="73"/>
      <c r="C148" s="73"/>
      <c r="D148" s="73"/>
      <c r="E148" s="73"/>
      <c r="F148" s="73"/>
      <c r="G148" s="73"/>
      <c r="H148" s="73"/>
      <c r="I148" s="73"/>
      <c r="J148" s="73"/>
      <c r="K148" s="73"/>
      <c r="L148" s="73"/>
      <c r="M148" s="73"/>
      <c r="N148" s="73"/>
      <c r="O148" s="73"/>
      <c r="P148" s="73"/>
      <c r="Q148" s="73"/>
      <c r="R148" s="73"/>
      <c r="S148" s="73"/>
      <c r="T148" s="73"/>
      <c r="U148" s="73"/>
      <c r="V148" s="73"/>
      <c r="W148" s="69"/>
      <c r="X148" s="69"/>
      <c r="Y148" s="69"/>
      <c r="Z148" s="69"/>
      <c r="AA148" s="69"/>
      <c r="AB148" s="69"/>
      <c r="AC148" s="69"/>
    </row>
    <row r="149" spans="1:29" ht="20.100000000000001" customHeight="1">
      <c r="A149" s="14" t="s">
        <v>62</v>
      </c>
      <c r="B149" s="15" t="s">
        <v>63</v>
      </c>
      <c r="C149" s="16" t="str">
        <f>IFERROR(INDEX(EJERCICIOS!$D$3:$D$75,MATCH(A149&amp;"|"&amp;B149,EJERCICIOS!$G$3:$G$75,0)),"--")</f>
        <v>--</v>
      </c>
      <c r="D149" s="17">
        <v>3</v>
      </c>
      <c r="E149" s="18">
        <f>IFERROR(LOOKUP(2,1/(MEDIDAS_Y_PESO!$B$3:$B$8&lt;&gt;""),MEDIDAS_Y_PESO!$B$3:$B$8),"--")</f>
        <v>80</v>
      </c>
      <c r="F149" s="19"/>
      <c r="G149" s="20"/>
      <c r="H149" s="21"/>
      <c r="I149" s="19"/>
      <c r="J149" s="20"/>
      <c r="K149" s="21"/>
      <c r="L149" s="19"/>
      <c r="M149" s="20"/>
      <c r="N149" s="21"/>
      <c r="O149" s="19"/>
      <c r="P149" s="20"/>
      <c r="Q149" s="21"/>
      <c r="R149" s="19"/>
      <c r="S149" s="20"/>
      <c r="T149" s="21"/>
      <c r="U149" s="22" t="str">
        <f>IFERROR(IF(IF(X149&gt;0,X149,IF(Z149&gt;0,Z149,IF(AB149&gt;0,AB149,0)))=0,"--",ROUND(CHOOSE(IF(X149&gt;0,X149,IF(Z149&gt;0,Z149,IF(AB149&gt;0,AB149,0))),IF(C149="peso_corporal",IF(ISNUMBER(E149),E149,0)+F149,F149)*(1+G149/30),IF(C149="peso_corporal",IF(ISNUMBER(E149),E149,0)+I149,I149)*(1+J149/30),IF(C149="peso_corporal",IF(ISNUMBER(E149),E149,0)+L149,L149)*(1+M149/30),IF(C149="peso_corporal",IF(ISNUMBER(E149),E149,0)+O149,O149)*(1+P149/30),IF(C149="peso_corporal",IF(ISNUMBER(E149),E149,0)+R149,R149)*(1+S149/30)),1)),"--")</f>
        <v>--</v>
      </c>
      <c r="V149" s="23" t="str">
        <f>IF(SUGERENCIAS!N363="SIN","Sin datos anteriores",IF(SUGERENCIAS!N363="SUBIR_F","^ SUBIR FUERTE | Kg:"&amp;ROUND(SUGERENCIAS!K363,1)&amp;" R:"&amp;ROUND(SUGERENCIAS!L363,0)&amp;" RIR:"&amp;ROUND(SUGERENCIAS!M363,0),IF(SUGERENCIAS!N363="SUBIR_E","^ SUBIR (Est.) | Kg:"&amp;ROUND(SUGERENCIAS!K363,1)&amp;" R:"&amp;ROUND(SUGERENCIAS!L363,0)&amp;" RIR:"&amp;ROUND(SUGERENCIAS!M363,0),IF(SUGERENCIAS!N363="SUBIR","^ SUBIR | Kg:"&amp;ROUND(SUGERENCIAS!K363,1)&amp;" R:"&amp;ROUND(SUGERENCIAS!L363,0)&amp;" RIR:"&amp;ROUND(SUGERENCIAS!M363,0),IF(SUGERENCIAS!N363="BAJAR","v BAJAR | Kg:"&amp;ROUND(SUGERENCIAS!K363,1)&amp;" R:"&amp;ROUND(SUGERENCIAS!L363,0)&amp;" RIR:"&amp;ROUND(SUGERENCIAS!M363,0),"= MANT | Kg:"&amp;ROUND(SUGERENCIAS!K363,1)&amp;" R:"&amp;ROUND(SUGERENCIAS!L363,0)&amp;" RIR:"&amp;ROUND(SUGERENCIAS!M363,0))))))</f>
        <v>Sin datos anteriores</v>
      </c>
      <c r="W149" s="69">
        <f>MAX(IF((G149&gt;0)*(IF(H149="",-1,H149)&gt;=0)*(IF(H149="",-1,H149)&lt;=1),IF(C149="peso_corporal",IF(ISNUMBER(E149),E149,0)+F149,F149)*G149*1000+F149,0),IF((J149&gt;0)*(IF(K149="",-1,K149)&gt;=0)*(IF(K149="",-1,K149)&lt;=1),IF(C149="peso_corporal",IF(ISNUMBER(E149),E149,0)+I149,I149)*J149*1000+I149,0),IF((M149&gt;0)*(IF(N149="",-1,N149)&gt;=0)*(IF(N149="",-1,N149)&lt;=1),IF(C149="peso_corporal",IF(ISNUMBER(E149),E149,0)+L149,L149)*M149*1000+L149,0),IF((P149&gt;0)*(IF(Q149="",-1,Q149)&gt;=0)*(IF(Q149="",-1,Q149)&lt;=1),IF(C149="peso_corporal",IF(ISNUMBER(E149),E149,0)+O149,O149)*P149*1000+O149,0),IF((S149&gt;0)*(IF(T149="",-1,T149)&gt;=0)*(IF(T149="",-1,T149)&lt;=1),IF(C149="peso_corporal",IF(ISNUMBER(E149),E149,0)+R149,R149)*S149*1000+R149,0))</f>
        <v>0</v>
      </c>
      <c r="X149" s="69">
        <f>IF(W149=0,0,IF(IF((S149&gt;0)*(IF(T149="",-1,T149)&gt;=0)*(IF(T149="",-1,T149)&lt;=1),IF(C149="peso_corporal",IF(ISNUMBER(E149),E149,0)+R149,R149)*S149*1000+R149,0)=W149,5,IF(IF((P149&gt;0)*(IF(Q149="",-1,Q149)&gt;=0)*(IF(Q149="",-1,Q149)&lt;=1),IF(C149="peso_corporal",IF(ISNUMBER(E149),E149,0)+O149,O149)*P149*1000+O149,0)=W149,4,IF(IF((M149&gt;0)*(IF(N149="",-1,N149)&gt;=0)*(IF(N149="",-1,N149)&lt;=1),IF(C149="peso_corporal",IF(ISNUMBER(E149),E149,0)+L149,L149)*M149*1000+L149,0)=W149,3,IF(IF((J149&gt;0)*(IF(K149="",-1,K149)&gt;=0)*(IF(K149="",-1,K149)&lt;=1),IF(C149="peso_corporal",IF(ISNUMBER(E149),E149,0)+I149,I149)*J149*1000+I149,0)=W149,2,IF(IF((G149&gt;0)*(IF(H149="",-1,H149)&gt;=0)*(IF(H149="",-1,H149)&lt;=1),IF(C149="peso_corporal",IF(ISNUMBER(E149),E149,0)+F149,F149)*G149*1000+F149,0)=W149,1,0))))))</f>
        <v>0</v>
      </c>
      <c r="Y149" s="69">
        <f>MAX(IF((G149&gt;0)*(IF(H149="",-1,H149)=0)*(1-(IF(H149="",-1,H149)&gt;=0)*(IF(H149="",-1,H149)&lt;=1)),IF(C149="peso_corporal",IF(ISNUMBER(E149),E149,0)+F149,F149)*G149*1000+F149,0),IF((J149&gt;0)*(IF(K149="",-1,K149)=0)*(1-(IF(K149="",-1,K149)&gt;=0)*(IF(K149="",-1,K149)&lt;=1)),IF(C149="peso_corporal",IF(ISNUMBER(E149),E149,0)+I149,I149)*J149*1000+I149,0),IF((M149&gt;0)*(IF(N149="",-1,N149)=0)*(1-(IF(N149="",-1,N149)&gt;=0)*(IF(N149="",-1,N149)&lt;=1)),IF(C149="peso_corporal",IF(ISNUMBER(E149),E149,0)+L149,L149)*M149*1000+L149,0),IF((P149&gt;0)*(IF(Q149="",-1,Q149)=0)*(1-(IF(Q149="",-1,Q149)&gt;=0)*(IF(Q149="",-1,Q149)&lt;=1)),IF(C149="peso_corporal",IF(ISNUMBER(E149),E149,0)+O149,O149)*P149*1000+O149,0),IF((S149&gt;0)*(IF(T149="",-1,T149)=0)*(1-(IF(T149="",-1,T149)&gt;=0)*(IF(T149="",-1,T149)&lt;=1)),IF(C149="peso_corporal",IF(ISNUMBER(E149),E149,0)+R149,R149)*S149*1000+R149,0))</f>
        <v>0</v>
      </c>
      <c r="Z149" s="69">
        <f>IF(Y149=0,0,IF(IF((S149&gt;0)*(IF(T149="",-1,T149)=0)*(1-(IF(T149="",-1,T149)&gt;=0)*(IF(T149="",-1,T149)&lt;=1)),IF(C149="peso_corporal",IF(ISNUMBER(E149),E149,0)+R149,R149)*S149*1000+R149,0)=Y149,5,IF(IF((P149&gt;0)*(IF(Q149="",-1,Q149)=0)*(1-(IF(Q149="",-1,Q149)&gt;=0)*(IF(Q149="",-1,Q149)&lt;=1)),IF(C149="peso_corporal",IF(ISNUMBER(E149),E149,0)+O149,O149)*P149*1000+O149,0)=Y149,4,IF(IF((M149&gt;0)*(IF(N149="",-1,N149)=0)*(1-(IF(N149="",-1,N149)&gt;=0)*(IF(N149="",-1,N149)&lt;=1)),IF(C149="peso_corporal",IF(ISNUMBER(E149),E149,0)+L149,L149)*M149*1000+L149,0)=Y149,3,IF(IF((J149&gt;0)*(IF(K149="",-1,K149)=0)*(1-(IF(K149="",-1,K149)&gt;=0)*(IF(K149="",-1,K149)&lt;=1)),IF(C149="peso_corporal",IF(ISNUMBER(E149),E149,0)+I149,I149)*J149*1000+I149,0)=Y149,2,IF(IF((G149&gt;0)*(IF(H149="",-1,H149)=0)*(1-(IF(H149="",-1,H149)&gt;=0)*(IF(H149="",-1,H149)&lt;=1)),IF(C149="peso_corporal",IF(ISNUMBER(E149),E149,0)+F149,F149)*G149*1000+F149,0)=Y149,1,0))))))</f>
        <v>0</v>
      </c>
      <c r="AA149" s="69">
        <f>MAX(IF((G149&gt;=3)*(1-(IF(H149="",-1,H149)&gt;=0)*(IF(H149="",-1,H149)&lt;=1))*(1-(IF(H149="",-1,H149)=0)),IF(C149="peso_corporal",IF(ISNUMBER(E149),E149,0)+F149,F149)*(30+G149)*100+F149,0),IF((J149&gt;=3)*(1-(IF(K149="",-1,K149)&gt;=0)*(IF(K149="",-1,K149)&lt;=1))*(1-(IF(K149="",-1,K149)=0)),IF(C149="peso_corporal",IF(ISNUMBER(E149),E149,0)+I149,I149)*(30+J149)*100+I149,0),IF((M149&gt;=3)*(1-(IF(N149="",-1,N149)&gt;=0)*(IF(N149="",-1,N149)&lt;=1))*(1-(IF(N149="",-1,N149)=0)),IF(C149="peso_corporal",IF(ISNUMBER(E149),E149,0)+L149,L149)*(30+M149)*100+L149,0),IF((P149&gt;=3)*(1-(IF(Q149="",-1,Q149)&gt;=0)*(IF(Q149="",-1,Q149)&lt;=1))*(1-(IF(Q149="",-1,Q149)=0)),IF(C149="peso_corporal",IF(ISNUMBER(E149),E149,0)+O149,O149)*(30+P149)*100+O149,0),IF((S149&gt;=3)*(1-(IF(T149="",-1,T149)&gt;=0)*(IF(T149="",-1,T149)&lt;=1))*(1-(IF(T149="",-1,T149)=0)),IF(C149="peso_corporal",IF(ISNUMBER(E149),E149,0)+R149,R149)*(30+S149)*100+R149,0))</f>
        <v>0</v>
      </c>
      <c r="AB149" s="69">
        <f>IF(AA149=0,0,IF(IF((S149&gt;=3)*(1-(IF(T149="",-1,T149)&gt;=0)*(IF(T149="",-1,T149)&lt;=1))*(1-(IF(T149="",-1,T149)=0)),IF(C149="peso_corporal",IF(ISNUMBER(E149),E149,0)+R149,R149)*(30+S149)*100+R149,0)=AA149,5,IF(IF((P149&gt;=3)*(1-(IF(Q149="",-1,Q149)&gt;=0)*(IF(Q149="",-1,Q149)&lt;=1))*(1-(IF(Q149="",-1,Q149)=0)),IF(C149="peso_corporal",IF(ISNUMBER(E149),E149,0)+O149,O149)*(30+P149)*100+O149,0)=AA149,4,IF(IF((M149&gt;=3)*(1-(IF(N149="",-1,N149)&gt;=0)*(IF(N149="",-1,N149)&lt;=1))*(1-(IF(N149="",-1,N149)=0)),IF(C149="peso_corporal",IF(ISNUMBER(E149),E149,0)+L149,L149)*(30+M149)*100+L149,0)=AA149,3,IF(IF((J149&gt;=3)*(1-(IF(K149="",-1,K149)&gt;=0)*(IF(K149="",-1,K149)&lt;=1))*(1-(IF(K149="",-1,K149)=0)),IF(C149="peso_corporal",IF(ISNUMBER(E149),E149,0)+I149,I149)*(30+J149)*100+I149,0)=AA149,2,IF(IF((G149&gt;=3)*(1-(IF(H149="",-1,H149)&gt;=0)*(IF(H149="",-1,H149)&lt;=1))*(1-(IF(H149="",-1,H149)=0)),IF(C149="peso_corporal",IF(ISNUMBER(E149),E149,0)+F149,F149)*(30+G149)*100+F149,0)=AA149,1,0))))))</f>
        <v>0</v>
      </c>
      <c r="AC149" s="69" t="str">
        <f>IF(X149&gt;0,"A"&amp;X149,IF(Z149&gt;0,"B"&amp;Z149,IF(AB149&gt;0,"C"&amp;AB149,"")))</f>
        <v/>
      </c>
    </row>
    <row r="150" spans="1:29" ht="15" customHeight="1">
      <c r="A150" s="82" t="s">
        <v>47</v>
      </c>
      <c r="B150" s="73"/>
      <c r="C150" s="73"/>
      <c r="D150" s="73"/>
      <c r="E150" s="73"/>
      <c r="F150" s="73"/>
      <c r="G150" s="73"/>
      <c r="H150" s="73"/>
      <c r="I150" s="73"/>
      <c r="J150" s="73"/>
      <c r="K150" s="73"/>
      <c r="L150" s="73"/>
      <c r="M150" s="73"/>
      <c r="N150" s="73"/>
      <c r="O150" s="73"/>
      <c r="P150" s="73"/>
      <c r="Q150" s="73"/>
      <c r="R150" s="73"/>
      <c r="S150" s="73"/>
      <c r="T150" s="73"/>
      <c r="U150" s="73"/>
      <c r="V150" s="73"/>
      <c r="W150" s="69"/>
      <c r="X150" s="69"/>
      <c r="Y150" s="69"/>
      <c r="Z150" s="69"/>
      <c r="AA150" s="69"/>
      <c r="AB150" s="69"/>
      <c r="AC150" s="69"/>
    </row>
    <row r="151" spans="1:29" ht="20.100000000000001" customHeight="1">
      <c r="A151" s="14" t="s">
        <v>40</v>
      </c>
      <c r="B151" s="15" t="s">
        <v>41</v>
      </c>
      <c r="C151" s="16" t="str">
        <f>IFERROR(INDEX(EJERCICIOS!$D$3:$D$75,MATCH(A151&amp;"|"&amp;B151,EJERCICIOS!$G$3:$G$75,0)),"--")</f>
        <v>polea</v>
      </c>
      <c r="D151" s="17">
        <v>3</v>
      </c>
      <c r="E151" s="18">
        <f>IFERROR(LOOKUP(2,1/(MEDIDAS_Y_PESO!$B$3:$B$8&lt;&gt;""),MEDIDAS_Y_PESO!$B$3:$B$8),"--")</f>
        <v>80</v>
      </c>
      <c r="F151" s="19"/>
      <c r="G151" s="20"/>
      <c r="H151" s="21"/>
      <c r="I151" s="19"/>
      <c r="J151" s="20"/>
      <c r="K151" s="21"/>
      <c r="L151" s="19"/>
      <c r="M151" s="20"/>
      <c r="N151" s="21"/>
      <c r="O151" s="19"/>
      <c r="P151" s="20"/>
      <c r="Q151" s="21"/>
      <c r="R151" s="19"/>
      <c r="S151" s="20"/>
      <c r="T151" s="21"/>
      <c r="U151" s="22" t="str">
        <f>IFERROR(IF(IF(X151&gt;0,X151,IF(Z151&gt;0,Z151,IF(AB151&gt;0,AB151,0)))=0,"--",ROUND(CHOOSE(IF(X151&gt;0,X151,IF(Z151&gt;0,Z151,IF(AB151&gt;0,AB151,0))),IF(C151="peso_corporal",IF(ISNUMBER(E151),E151,0)+F151,F151)*(1+G151/30),IF(C151="peso_corporal",IF(ISNUMBER(E151),E151,0)+I151,I151)*(1+J151/30),IF(C151="peso_corporal",IF(ISNUMBER(E151),E151,0)+L151,L151)*(1+M151/30),IF(C151="peso_corporal",IF(ISNUMBER(E151),E151,0)+O151,O151)*(1+P151/30),IF(C151="peso_corporal",IF(ISNUMBER(E151),E151,0)+R151,R151)*(1+S151/30)),1)),"--")</f>
        <v>--</v>
      </c>
      <c r="V151" s="23" t="str">
        <f>IF(SUGERENCIAS!N364="SIN","Sin datos anteriores",IF(SUGERENCIAS!N364="SUBIR_F","^ SUBIR FUERTE | Kg:"&amp;ROUND(SUGERENCIAS!K364,1)&amp;" R:"&amp;ROUND(SUGERENCIAS!L364,0)&amp;" RIR:"&amp;ROUND(SUGERENCIAS!M364,0),IF(SUGERENCIAS!N364="SUBIR_E","^ SUBIR (Est.) | Kg:"&amp;ROUND(SUGERENCIAS!K364,1)&amp;" R:"&amp;ROUND(SUGERENCIAS!L364,0)&amp;" RIR:"&amp;ROUND(SUGERENCIAS!M364,0),IF(SUGERENCIAS!N364="SUBIR","^ SUBIR | Kg:"&amp;ROUND(SUGERENCIAS!K364,1)&amp;" R:"&amp;ROUND(SUGERENCIAS!L364,0)&amp;" RIR:"&amp;ROUND(SUGERENCIAS!M364,0),IF(SUGERENCIAS!N364="BAJAR","v BAJAR | Kg:"&amp;ROUND(SUGERENCIAS!K364,1)&amp;" R:"&amp;ROUND(SUGERENCIAS!L364,0)&amp;" RIR:"&amp;ROUND(SUGERENCIAS!M364,0),"= MANT | Kg:"&amp;ROUND(SUGERENCIAS!K364,1)&amp;" R:"&amp;ROUND(SUGERENCIAS!L364,0)&amp;" RIR:"&amp;ROUND(SUGERENCIAS!M364,0))))))</f>
        <v>Sin datos anteriores</v>
      </c>
      <c r="W151" s="69">
        <f>MAX(IF((G151&gt;0)*(IF(H151="",-1,H151)&gt;=0)*(IF(H151="",-1,H151)&lt;=1),IF(C151="peso_corporal",IF(ISNUMBER(E151),E151,0)+F151,F151)*G151*1000+F151,0),IF((J151&gt;0)*(IF(K151="",-1,K151)&gt;=0)*(IF(K151="",-1,K151)&lt;=1),IF(C151="peso_corporal",IF(ISNUMBER(E151),E151,0)+I151,I151)*J151*1000+I151,0),IF((M151&gt;0)*(IF(N151="",-1,N151)&gt;=0)*(IF(N151="",-1,N151)&lt;=1),IF(C151="peso_corporal",IF(ISNUMBER(E151),E151,0)+L151,L151)*M151*1000+L151,0),IF((P151&gt;0)*(IF(Q151="",-1,Q151)&gt;=0)*(IF(Q151="",-1,Q151)&lt;=1),IF(C151="peso_corporal",IF(ISNUMBER(E151),E151,0)+O151,O151)*P151*1000+O151,0),IF((S151&gt;0)*(IF(T151="",-1,T151)&gt;=0)*(IF(T151="",-1,T151)&lt;=1),IF(C151="peso_corporal",IF(ISNUMBER(E151),E151,0)+R151,R151)*S151*1000+R151,0))</f>
        <v>0</v>
      </c>
      <c r="X151" s="69">
        <f>IF(W151=0,0,IF(IF((S151&gt;0)*(IF(T151="",-1,T151)&gt;=0)*(IF(T151="",-1,T151)&lt;=1),IF(C151="peso_corporal",IF(ISNUMBER(E151),E151,0)+R151,R151)*S151*1000+R151,0)=W151,5,IF(IF((P151&gt;0)*(IF(Q151="",-1,Q151)&gt;=0)*(IF(Q151="",-1,Q151)&lt;=1),IF(C151="peso_corporal",IF(ISNUMBER(E151),E151,0)+O151,O151)*P151*1000+O151,0)=W151,4,IF(IF((M151&gt;0)*(IF(N151="",-1,N151)&gt;=0)*(IF(N151="",-1,N151)&lt;=1),IF(C151="peso_corporal",IF(ISNUMBER(E151),E151,0)+L151,L151)*M151*1000+L151,0)=W151,3,IF(IF((J151&gt;0)*(IF(K151="",-1,K151)&gt;=0)*(IF(K151="",-1,K151)&lt;=1),IF(C151="peso_corporal",IF(ISNUMBER(E151),E151,0)+I151,I151)*J151*1000+I151,0)=W151,2,IF(IF((G151&gt;0)*(IF(H151="",-1,H151)&gt;=0)*(IF(H151="",-1,H151)&lt;=1),IF(C151="peso_corporal",IF(ISNUMBER(E151),E151,0)+F151,F151)*G151*1000+F151,0)=W151,1,0))))))</f>
        <v>0</v>
      </c>
      <c r="Y151" s="69">
        <f>MAX(IF((G151&gt;0)*(IF(H151="",-1,H151)=0)*(1-(IF(H151="",-1,H151)&gt;=0)*(IF(H151="",-1,H151)&lt;=1)),IF(C151="peso_corporal",IF(ISNUMBER(E151),E151,0)+F151,F151)*G151*1000+F151,0),IF((J151&gt;0)*(IF(K151="",-1,K151)=0)*(1-(IF(K151="",-1,K151)&gt;=0)*(IF(K151="",-1,K151)&lt;=1)),IF(C151="peso_corporal",IF(ISNUMBER(E151),E151,0)+I151,I151)*J151*1000+I151,0),IF((M151&gt;0)*(IF(N151="",-1,N151)=0)*(1-(IF(N151="",-1,N151)&gt;=0)*(IF(N151="",-1,N151)&lt;=1)),IF(C151="peso_corporal",IF(ISNUMBER(E151),E151,0)+L151,L151)*M151*1000+L151,0),IF((P151&gt;0)*(IF(Q151="",-1,Q151)=0)*(1-(IF(Q151="",-1,Q151)&gt;=0)*(IF(Q151="",-1,Q151)&lt;=1)),IF(C151="peso_corporal",IF(ISNUMBER(E151),E151,0)+O151,O151)*P151*1000+O151,0),IF((S151&gt;0)*(IF(T151="",-1,T151)=0)*(1-(IF(T151="",-1,T151)&gt;=0)*(IF(T151="",-1,T151)&lt;=1)),IF(C151="peso_corporal",IF(ISNUMBER(E151),E151,0)+R151,R151)*S151*1000+R151,0))</f>
        <v>0</v>
      </c>
      <c r="Z151" s="69">
        <f>IF(Y151=0,0,IF(IF((S151&gt;0)*(IF(T151="",-1,T151)=0)*(1-(IF(T151="",-1,T151)&gt;=0)*(IF(T151="",-1,T151)&lt;=1)),IF(C151="peso_corporal",IF(ISNUMBER(E151),E151,0)+R151,R151)*S151*1000+R151,0)=Y151,5,IF(IF((P151&gt;0)*(IF(Q151="",-1,Q151)=0)*(1-(IF(Q151="",-1,Q151)&gt;=0)*(IF(Q151="",-1,Q151)&lt;=1)),IF(C151="peso_corporal",IF(ISNUMBER(E151),E151,0)+O151,O151)*P151*1000+O151,0)=Y151,4,IF(IF((M151&gt;0)*(IF(N151="",-1,N151)=0)*(1-(IF(N151="",-1,N151)&gt;=0)*(IF(N151="",-1,N151)&lt;=1)),IF(C151="peso_corporal",IF(ISNUMBER(E151),E151,0)+L151,L151)*M151*1000+L151,0)=Y151,3,IF(IF((J151&gt;0)*(IF(K151="",-1,K151)=0)*(1-(IF(K151="",-1,K151)&gt;=0)*(IF(K151="",-1,K151)&lt;=1)),IF(C151="peso_corporal",IF(ISNUMBER(E151),E151,0)+I151,I151)*J151*1000+I151,0)=Y151,2,IF(IF((G151&gt;0)*(IF(H151="",-1,H151)=0)*(1-(IF(H151="",-1,H151)&gt;=0)*(IF(H151="",-1,H151)&lt;=1)),IF(C151="peso_corporal",IF(ISNUMBER(E151),E151,0)+F151,F151)*G151*1000+F151,0)=Y151,1,0))))))</f>
        <v>0</v>
      </c>
      <c r="AA151" s="69">
        <f>MAX(IF((G151&gt;=3)*(1-(IF(H151="",-1,H151)&gt;=0)*(IF(H151="",-1,H151)&lt;=1))*(1-(IF(H151="",-1,H151)=0)),IF(C151="peso_corporal",IF(ISNUMBER(E151),E151,0)+F151,F151)*(30+G151)*100+F151,0),IF((J151&gt;=3)*(1-(IF(K151="",-1,K151)&gt;=0)*(IF(K151="",-1,K151)&lt;=1))*(1-(IF(K151="",-1,K151)=0)),IF(C151="peso_corporal",IF(ISNUMBER(E151),E151,0)+I151,I151)*(30+J151)*100+I151,0),IF((M151&gt;=3)*(1-(IF(N151="",-1,N151)&gt;=0)*(IF(N151="",-1,N151)&lt;=1))*(1-(IF(N151="",-1,N151)=0)),IF(C151="peso_corporal",IF(ISNUMBER(E151),E151,0)+L151,L151)*(30+M151)*100+L151,0),IF((P151&gt;=3)*(1-(IF(Q151="",-1,Q151)&gt;=0)*(IF(Q151="",-1,Q151)&lt;=1))*(1-(IF(Q151="",-1,Q151)=0)),IF(C151="peso_corporal",IF(ISNUMBER(E151),E151,0)+O151,O151)*(30+P151)*100+O151,0),IF((S151&gt;=3)*(1-(IF(T151="",-1,T151)&gt;=0)*(IF(T151="",-1,T151)&lt;=1))*(1-(IF(T151="",-1,T151)=0)),IF(C151="peso_corporal",IF(ISNUMBER(E151),E151,0)+R151,R151)*(30+S151)*100+R151,0))</f>
        <v>0</v>
      </c>
      <c r="AB151" s="69">
        <f>IF(AA151=0,0,IF(IF((S151&gt;=3)*(1-(IF(T151="",-1,T151)&gt;=0)*(IF(T151="",-1,T151)&lt;=1))*(1-(IF(T151="",-1,T151)=0)),IF(C151="peso_corporal",IF(ISNUMBER(E151),E151,0)+R151,R151)*(30+S151)*100+R151,0)=AA151,5,IF(IF((P151&gt;=3)*(1-(IF(Q151="",-1,Q151)&gt;=0)*(IF(Q151="",-1,Q151)&lt;=1))*(1-(IF(Q151="",-1,Q151)=0)),IF(C151="peso_corporal",IF(ISNUMBER(E151),E151,0)+O151,O151)*(30+P151)*100+O151,0)=AA151,4,IF(IF((M151&gt;=3)*(1-(IF(N151="",-1,N151)&gt;=0)*(IF(N151="",-1,N151)&lt;=1))*(1-(IF(N151="",-1,N151)=0)),IF(C151="peso_corporal",IF(ISNUMBER(E151),E151,0)+L151,L151)*(30+M151)*100+L151,0)=AA151,3,IF(IF((J151&gt;=3)*(1-(IF(K151="",-1,K151)&gt;=0)*(IF(K151="",-1,K151)&lt;=1))*(1-(IF(K151="",-1,K151)=0)),IF(C151="peso_corporal",IF(ISNUMBER(E151),E151,0)+I151,I151)*(30+J151)*100+I151,0)=AA151,2,IF(IF((G151&gt;=3)*(1-(IF(H151="",-1,H151)&gt;=0)*(IF(H151="",-1,H151)&lt;=1))*(1-(IF(H151="",-1,H151)=0)),IF(C151="peso_corporal",IF(ISNUMBER(E151),E151,0)+F151,F151)*(30+G151)*100+F151,0)=AA151,1,0))))))</f>
        <v>0</v>
      </c>
      <c r="AC151" s="69" t="str">
        <f>IF(X151&gt;0,"A"&amp;X151,IF(Z151&gt;0,"B"&amp;Z151,IF(AB151&gt;0,"C"&amp;AB151,"")))</f>
        <v/>
      </c>
    </row>
    <row r="152" spans="1:29" ht="20.100000000000001" customHeight="1">
      <c r="A152" s="14" t="s">
        <v>48</v>
      </c>
      <c r="B152" s="15" t="s">
        <v>166</v>
      </c>
      <c r="C152" s="16" t="str">
        <f>IFERROR(INDEX(EJERCICIOS!$D$3:$D$75,MATCH(A152&amp;"|"&amp;B152,EJERCICIOS!$G$3:$G$75,0)),"--")</f>
        <v>--</v>
      </c>
      <c r="D152" s="17">
        <v>3</v>
      </c>
      <c r="E152" s="18">
        <f>IFERROR(LOOKUP(2,1/(MEDIDAS_Y_PESO!$B$3:$B$8&lt;&gt;""),MEDIDAS_Y_PESO!$B$3:$B$8),"--")</f>
        <v>80</v>
      </c>
      <c r="F152" s="19"/>
      <c r="G152" s="20"/>
      <c r="H152" s="21"/>
      <c r="I152" s="19"/>
      <c r="J152" s="20"/>
      <c r="K152" s="21"/>
      <c r="L152" s="19"/>
      <c r="M152" s="20"/>
      <c r="N152" s="21"/>
      <c r="O152" s="19"/>
      <c r="P152" s="20"/>
      <c r="Q152" s="21"/>
      <c r="R152" s="19"/>
      <c r="S152" s="20"/>
      <c r="T152" s="21"/>
      <c r="U152" s="22" t="str">
        <f>IFERROR(IF(IF(X152&gt;0,X152,IF(Z152&gt;0,Z152,IF(AB152&gt;0,AB152,0)))=0,"--",ROUND(CHOOSE(IF(X152&gt;0,X152,IF(Z152&gt;0,Z152,IF(AB152&gt;0,AB152,0))),IF(C152="peso_corporal",IF(ISNUMBER(E152),E152,0)+F152,F152)*(1+G152/30),IF(C152="peso_corporal",IF(ISNUMBER(E152),E152,0)+I152,I152)*(1+J152/30),IF(C152="peso_corporal",IF(ISNUMBER(E152),E152,0)+L152,L152)*(1+M152/30),IF(C152="peso_corporal",IF(ISNUMBER(E152),E152,0)+O152,O152)*(1+P152/30),IF(C152="peso_corporal",IF(ISNUMBER(E152),E152,0)+R152,R152)*(1+S152/30)),1)),"--")</f>
        <v>--</v>
      </c>
      <c r="V152" s="23" t="str">
        <f>IF(SUGERENCIAS!N365="SIN","Sin datos anteriores",IF(SUGERENCIAS!N365="SUBIR_F","^ SUBIR FUERTE | Kg:"&amp;ROUND(SUGERENCIAS!K365,1)&amp;" R:"&amp;ROUND(SUGERENCIAS!L365,0)&amp;" RIR:"&amp;ROUND(SUGERENCIAS!M365,0),IF(SUGERENCIAS!N365="SUBIR_E","^ SUBIR (Est.) | Kg:"&amp;ROUND(SUGERENCIAS!K365,1)&amp;" R:"&amp;ROUND(SUGERENCIAS!L365,0)&amp;" RIR:"&amp;ROUND(SUGERENCIAS!M365,0),IF(SUGERENCIAS!N365="SUBIR","^ SUBIR | Kg:"&amp;ROUND(SUGERENCIAS!K365,1)&amp;" R:"&amp;ROUND(SUGERENCIAS!L365,0)&amp;" RIR:"&amp;ROUND(SUGERENCIAS!M365,0),IF(SUGERENCIAS!N365="BAJAR","v BAJAR | Kg:"&amp;ROUND(SUGERENCIAS!K365,1)&amp;" R:"&amp;ROUND(SUGERENCIAS!L365,0)&amp;" RIR:"&amp;ROUND(SUGERENCIAS!M365,0),"= MANT | Kg:"&amp;ROUND(SUGERENCIAS!K365,1)&amp;" R:"&amp;ROUND(SUGERENCIAS!L365,0)&amp;" RIR:"&amp;ROUND(SUGERENCIAS!M365,0))))))</f>
        <v>Sin datos anteriores</v>
      </c>
      <c r="W152" s="69">
        <f>MAX(IF((G152&gt;0)*(IF(H152="",-1,H152)&gt;=0)*(IF(H152="",-1,H152)&lt;=1),IF(C152="peso_corporal",IF(ISNUMBER(E152),E152,0)+F152,F152)*G152*1000+F152,0),IF((J152&gt;0)*(IF(K152="",-1,K152)&gt;=0)*(IF(K152="",-1,K152)&lt;=1),IF(C152="peso_corporal",IF(ISNUMBER(E152),E152,0)+I152,I152)*J152*1000+I152,0),IF((M152&gt;0)*(IF(N152="",-1,N152)&gt;=0)*(IF(N152="",-1,N152)&lt;=1),IF(C152="peso_corporal",IF(ISNUMBER(E152),E152,0)+L152,L152)*M152*1000+L152,0),IF((P152&gt;0)*(IF(Q152="",-1,Q152)&gt;=0)*(IF(Q152="",-1,Q152)&lt;=1),IF(C152="peso_corporal",IF(ISNUMBER(E152),E152,0)+O152,O152)*P152*1000+O152,0),IF((S152&gt;0)*(IF(T152="",-1,T152)&gt;=0)*(IF(T152="",-1,T152)&lt;=1),IF(C152="peso_corporal",IF(ISNUMBER(E152),E152,0)+R152,R152)*S152*1000+R152,0))</f>
        <v>0</v>
      </c>
      <c r="X152" s="69">
        <f>IF(W152=0,0,IF(IF((S152&gt;0)*(IF(T152="",-1,T152)&gt;=0)*(IF(T152="",-1,T152)&lt;=1),IF(C152="peso_corporal",IF(ISNUMBER(E152),E152,0)+R152,R152)*S152*1000+R152,0)=W152,5,IF(IF((P152&gt;0)*(IF(Q152="",-1,Q152)&gt;=0)*(IF(Q152="",-1,Q152)&lt;=1),IF(C152="peso_corporal",IF(ISNUMBER(E152),E152,0)+O152,O152)*P152*1000+O152,0)=W152,4,IF(IF((M152&gt;0)*(IF(N152="",-1,N152)&gt;=0)*(IF(N152="",-1,N152)&lt;=1),IF(C152="peso_corporal",IF(ISNUMBER(E152),E152,0)+L152,L152)*M152*1000+L152,0)=W152,3,IF(IF((J152&gt;0)*(IF(K152="",-1,K152)&gt;=0)*(IF(K152="",-1,K152)&lt;=1),IF(C152="peso_corporal",IF(ISNUMBER(E152),E152,0)+I152,I152)*J152*1000+I152,0)=W152,2,IF(IF((G152&gt;0)*(IF(H152="",-1,H152)&gt;=0)*(IF(H152="",-1,H152)&lt;=1),IF(C152="peso_corporal",IF(ISNUMBER(E152),E152,0)+F152,F152)*G152*1000+F152,0)=W152,1,0))))))</f>
        <v>0</v>
      </c>
      <c r="Y152" s="69">
        <f>MAX(IF((G152&gt;0)*(IF(H152="",-1,H152)=0)*(1-(IF(H152="",-1,H152)&gt;=0)*(IF(H152="",-1,H152)&lt;=1)),IF(C152="peso_corporal",IF(ISNUMBER(E152),E152,0)+F152,F152)*G152*1000+F152,0),IF((J152&gt;0)*(IF(K152="",-1,K152)=0)*(1-(IF(K152="",-1,K152)&gt;=0)*(IF(K152="",-1,K152)&lt;=1)),IF(C152="peso_corporal",IF(ISNUMBER(E152),E152,0)+I152,I152)*J152*1000+I152,0),IF((M152&gt;0)*(IF(N152="",-1,N152)=0)*(1-(IF(N152="",-1,N152)&gt;=0)*(IF(N152="",-1,N152)&lt;=1)),IF(C152="peso_corporal",IF(ISNUMBER(E152),E152,0)+L152,L152)*M152*1000+L152,0),IF((P152&gt;0)*(IF(Q152="",-1,Q152)=0)*(1-(IF(Q152="",-1,Q152)&gt;=0)*(IF(Q152="",-1,Q152)&lt;=1)),IF(C152="peso_corporal",IF(ISNUMBER(E152),E152,0)+O152,O152)*P152*1000+O152,0),IF((S152&gt;0)*(IF(T152="",-1,T152)=0)*(1-(IF(T152="",-1,T152)&gt;=0)*(IF(T152="",-1,T152)&lt;=1)),IF(C152="peso_corporal",IF(ISNUMBER(E152),E152,0)+R152,R152)*S152*1000+R152,0))</f>
        <v>0</v>
      </c>
      <c r="Z152" s="69">
        <f>IF(Y152=0,0,IF(IF((S152&gt;0)*(IF(T152="",-1,T152)=0)*(1-(IF(T152="",-1,T152)&gt;=0)*(IF(T152="",-1,T152)&lt;=1)),IF(C152="peso_corporal",IF(ISNUMBER(E152),E152,0)+R152,R152)*S152*1000+R152,0)=Y152,5,IF(IF((P152&gt;0)*(IF(Q152="",-1,Q152)=0)*(1-(IF(Q152="",-1,Q152)&gt;=0)*(IF(Q152="",-1,Q152)&lt;=1)),IF(C152="peso_corporal",IF(ISNUMBER(E152),E152,0)+O152,O152)*P152*1000+O152,0)=Y152,4,IF(IF((M152&gt;0)*(IF(N152="",-1,N152)=0)*(1-(IF(N152="",-1,N152)&gt;=0)*(IF(N152="",-1,N152)&lt;=1)),IF(C152="peso_corporal",IF(ISNUMBER(E152),E152,0)+L152,L152)*M152*1000+L152,0)=Y152,3,IF(IF((J152&gt;0)*(IF(K152="",-1,K152)=0)*(1-(IF(K152="",-1,K152)&gt;=0)*(IF(K152="",-1,K152)&lt;=1)),IF(C152="peso_corporal",IF(ISNUMBER(E152),E152,0)+I152,I152)*J152*1000+I152,0)=Y152,2,IF(IF((G152&gt;0)*(IF(H152="",-1,H152)=0)*(1-(IF(H152="",-1,H152)&gt;=0)*(IF(H152="",-1,H152)&lt;=1)),IF(C152="peso_corporal",IF(ISNUMBER(E152),E152,0)+F152,F152)*G152*1000+F152,0)=Y152,1,0))))))</f>
        <v>0</v>
      </c>
      <c r="AA152" s="69">
        <f>MAX(IF((G152&gt;=3)*(1-(IF(H152="",-1,H152)&gt;=0)*(IF(H152="",-1,H152)&lt;=1))*(1-(IF(H152="",-1,H152)=0)),IF(C152="peso_corporal",IF(ISNUMBER(E152),E152,0)+F152,F152)*(30+G152)*100+F152,0),IF((J152&gt;=3)*(1-(IF(K152="",-1,K152)&gt;=0)*(IF(K152="",-1,K152)&lt;=1))*(1-(IF(K152="",-1,K152)=0)),IF(C152="peso_corporal",IF(ISNUMBER(E152),E152,0)+I152,I152)*(30+J152)*100+I152,0),IF((M152&gt;=3)*(1-(IF(N152="",-1,N152)&gt;=0)*(IF(N152="",-1,N152)&lt;=1))*(1-(IF(N152="",-1,N152)=0)),IF(C152="peso_corporal",IF(ISNUMBER(E152),E152,0)+L152,L152)*(30+M152)*100+L152,0),IF((P152&gt;=3)*(1-(IF(Q152="",-1,Q152)&gt;=0)*(IF(Q152="",-1,Q152)&lt;=1))*(1-(IF(Q152="",-1,Q152)=0)),IF(C152="peso_corporal",IF(ISNUMBER(E152),E152,0)+O152,O152)*(30+P152)*100+O152,0),IF((S152&gt;=3)*(1-(IF(T152="",-1,T152)&gt;=0)*(IF(T152="",-1,T152)&lt;=1))*(1-(IF(T152="",-1,T152)=0)),IF(C152="peso_corporal",IF(ISNUMBER(E152),E152,0)+R152,R152)*(30+S152)*100+R152,0))</f>
        <v>0</v>
      </c>
      <c r="AB152" s="69">
        <f>IF(AA152=0,0,IF(IF((S152&gt;=3)*(1-(IF(T152="",-1,T152)&gt;=0)*(IF(T152="",-1,T152)&lt;=1))*(1-(IF(T152="",-1,T152)=0)),IF(C152="peso_corporal",IF(ISNUMBER(E152),E152,0)+R152,R152)*(30+S152)*100+R152,0)=AA152,5,IF(IF((P152&gt;=3)*(1-(IF(Q152="",-1,Q152)&gt;=0)*(IF(Q152="",-1,Q152)&lt;=1))*(1-(IF(Q152="",-1,Q152)=0)),IF(C152="peso_corporal",IF(ISNUMBER(E152),E152,0)+O152,O152)*(30+P152)*100+O152,0)=AA152,4,IF(IF((M152&gt;=3)*(1-(IF(N152="",-1,N152)&gt;=0)*(IF(N152="",-1,N152)&lt;=1))*(1-(IF(N152="",-1,N152)=0)),IF(C152="peso_corporal",IF(ISNUMBER(E152),E152,0)+L152,L152)*(30+M152)*100+L152,0)=AA152,3,IF(IF((J152&gt;=3)*(1-(IF(K152="",-1,K152)&gt;=0)*(IF(K152="",-1,K152)&lt;=1))*(1-(IF(K152="",-1,K152)=0)),IF(C152="peso_corporal",IF(ISNUMBER(E152),E152,0)+I152,I152)*(30+J152)*100+I152,0)=AA152,2,IF(IF((G152&gt;=3)*(1-(IF(H152="",-1,H152)&gt;=0)*(IF(H152="",-1,H152)&lt;=1))*(1-(IF(H152="",-1,H152)=0)),IF(C152="peso_corporal",IF(ISNUMBER(E152),E152,0)+F152,F152)*(30+G152)*100+F152,0)=AA152,1,0))))))</f>
        <v>0</v>
      </c>
      <c r="AC152" s="69" t="str">
        <f>IF(X152&gt;0,"A"&amp;X152,IF(Z152&gt;0,"B"&amp;Z152,IF(AB152&gt;0,"C"&amp;AB152,"")))</f>
        <v/>
      </c>
    </row>
    <row r="153" spans="1:29" ht="15" customHeight="1">
      <c r="A153" s="88" t="s">
        <v>50</v>
      </c>
      <c r="B153" s="73"/>
      <c r="C153" s="73"/>
      <c r="D153" s="73"/>
      <c r="E153" s="73"/>
      <c r="F153" s="73"/>
      <c r="G153" s="73"/>
      <c r="H153" s="73"/>
      <c r="I153" s="73"/>
      <c r="J153" s="73"/>
      <c r="K153" s="73"/>
      <c r="L153" s="73"/>
      <c r="M153" s="73"/>
      <c r="N153" s="73"/>
      <c r="O153" s="73"/>
      <c r="P153" s="73"/>
      <c r="Q153" s="73"/>
      <c r="R153" s="73"/>
      <c r="S153" s="73"/>
      <c r="T153" s="73"/>
      <c r="U153" s="73"/>
      <c r="V153" s="73"/>
      <c r="W153" s="69"/>
      <c r="X153" s="69"/>
      <c r="Y153" s="69"/>
      <c r="Z153" s="69"/>
      <c r="AA153" s="69"/>
      <c r="AB153" s="69"/>
      <c r="AC153" s="69"/>
    </row>
    <row r="154" spans="1:29" ht="20.100000000000001" customHeight="1">
      <c r="A154" s="14" t="s">
        <v>65</v>
      </c>
      <c r="B154" s="15" t="s">
        <v>137</v>
      </c>
      <c r="C154" s="16" t="str">
        <f>IFERROR(INDEX(EJERCICIOS!$D$3:$D$75,MATCH(A154&amp;"|"&amp;B154,EJERCICIOS!$G$3:$G$75,0)),"--")</f>
        <v>--</v>
      </c>
      <c r="D154" s="17">
        <v>3</v>
      </c>
      <c r="E154" s="18">
        <f>IFERROR(LOOKUP(2,1/(MEDIDAS_Y_PESO!$B$3:$B$8&lt;&gt;""),MEDIDAS_Y_PESO!$B$3:$B$8),"--")</f>
        <v>80</v>
      </c>
      <c r="F154" s="19"/>
      <c r="G154" s="20"/>
      <c r="H154" s="21"/>
      <c r="I154" s="19"/>
      <c r="J154" s="20"/>
      <c r="K154" s="21"/>
      <c r="L154" s="19"/>
      <c r="M154" s="20"/>
      <c r="N154" s="21"/>
      <c r="O154" s="19"/>
      <c r="P154" s="20"/>
      <c r="Q154" s="21"/>
      <c r="R154" s="19"/>
      <c r="S154" s="20"/>
      <c r="T154" s="21"/>
      <c r="U154" s="22" t="str">
        <f>IFERROR(IF(IF(X154&gt;0,X154,IF(Z154&gt;0,Z154,IF(AB154&gt;0,AB154,0)))=0,"--",ROUND(CHOOSE(IF(X154&gt;0,X154,IF(Z154&gt;0,Z154,IF(AB154&gt;0,AB154,0))),IF(C154="peso_corporal",IF(ISNUMBER(E154),E154,0)+F154,F154)*(1+G154/30),IF(C154="peso_corporal",IF(ISNUMBER(E154),E154,0)+I154,I154)*(1+J154/30),IF(C154="peso_corporal",IF(ISNUMBER(E154),E154,0)+L154,L154)*(1+M154/30),IF(C154="peso_corporal",IF(ISNUMBER(E154),E154,0)+O154,O154)*(1+P154/30),IF(C154="peso_corporal",IF(ISNUMBER(E154),E154,0)+R154,R154)*(1+S154/30)),1)),"--")</f>
        <v>--</v>
      </c>
      <c r="V154" s="23" t="str">
        <f>IF(SUGERENCIAS!N366="SIN","Sin datos anteriores",IF(SUGERENCIAS!N366="SUBIR_F","^ SUBIR FUERTE | Kg:"&amp;ROUND(SUGERENCIAS!K366,1)&amp;" R:"&amp;ROUND(SUGERENCIAS!L366,0)&amp;" RIR:"&amp;ROUND(SUGERENCIAS!M366,0),IF(SUGERENCIAS!N366="SUBIR_E","^ SUBIR (Est.) | Kg:"&amp;ROUND(SUGERENCIAS!K366,1)&amp;" R:"&amp;ROUND(SUGERENCIAS!L366,0)&amp;" RIR:"&amp;ROUND(SUGERENCIAS!M366,0),IF(SUGERENCIAS!N366="SUBIR","^ SUBIR | Kg:"&amp;ROUND(SUGERENCIAS!K366,1)&amp;" R:"&amp;ROUND(SUGERENCIAS!L366,0)&amp;" RIR:"&amp;ROUND(SUGERENCIAS!M366,0),IF(SUGERENCIAS!N366="BAJAR","v BAJAR | Kg:"&amp;ROUND(SUGERENCIAS!K366,1)&amp;" R:"&amp;ROUND(SUGERENCIAS!L366,0)&amp;" RIR:"&amp;ROUND(SUGERENCIAS!M366,0),"= MANT | Kg:"&amp;ROUND(SUGERENCIAS!K366,1)&amp;" R:"&amp;ROUND(SUGERENCIAS!L366,0)&amp;" RIR:"&amp;ROUND(SUGERENCIAS!M366,0))))))</f>
        <v>Sin datos anteriores</v>
      </c>
      <c r="W154" s="69">
        <f>MAX(IF((G154&gt;0)*(IF(H154="",-1,H154)&gt;=0)*(IF(H154="",-1,H154)&lt;=1),IF(C154="peso_corporal",IF(ISNUMBER(E154),E154,0)+F154,F154)*G154*1000+F154,0),IF((J154&gt;0)*(IF(K154="",-1,K154)&gt;=0)*(IF(K154="",-1,K154)&lt;=1),IF(C154="peso_corporal",IF(ISNUMBER(E154),E154,0)+I154,I154)*J154*1000+I154,0),IF((M154&gt;0)*(IF(N154="",-1,N154)&gt;=0)*(IF(N154="",-1,N154)&lt;=1),IF(C154="peso_corporal",IF(ISNUMBER(E154),E154,0)+L154,L154)*M154*1000+L154,0),IF((P154&gt;0)*(IF(Q154="",-1,Q154)&gt;=0)*(IF(Q154="",-1,Q154)&lt;=1),IF(C154="peso_corporal",IF(ISNUMBER(E154),E154,0)+O154,O154)*P154*1000+O154,0),IF((S154&gt;0)*(IF(T154="",-1,T154)&gt;=0)*(IF(T154="",-1,T154)&lt;=1),IF(C154="peso_corporal",IF(ISNUMBER(E154),E154,0)+R154,R154)*S154*1000+R154,0))</f>
        <v>0</v>
      </c>
      <c r="X154" s="69">
        <f>IF(W154=0,0,IF(IF((S154&gt;0)*(IF(T154="",-1,T154)&gt;=0)*(IF(T154="",-1,T154)&lt;=1),IF(C154="peso_corporal",IF(ISNUMBER(E154),E154,0)+R154,R154)*S154*1000+R154,0)=W154,5,IF(IF((P154&gt;0)*(IF(Q154="",-1,Q154)&gt;=0)*(IF(Q154="",-1,Q154)&lt;=1),IF(C154="peso_corporal",IF(ISNUMBER(E154),E154,0)+O154,O154)*P154*1000+O154,0)=W154,4,IF(IF((M154&gt;0)*(IF(N154="",-1,N154)&gt;=0)*(IF(N154="",-1,N154)&lt;=1),IF(C154="peso_corporal",IF(ISNUMBER(E154),E154,0)+L154,L154)*M154*1000+L154,0)=W154,3,IF(IF((J154&gt;0)*(IF(K154="",-1,K154)&gt;=0)*(IF(K154="",-1,K154)&lt;=1),IF(C154="peso_corporal",IF(ISNUMBER(E154),E154,0)+I154,I154)*J154*1000+I154,0)=W154,2,IF(IF((G154&gt;0)*(IF(H154="",-1,H154)&gt;=0)*(IF(H154="",-1,H154)&lt;=1),IF(C154="peso_corporal",IF(ISNUMBER(E154),E154,0)+F154,F154)*G154*1000+F154,0)=W154,1,0))))))</f>
        <v>0</v>
      </c>
      <c r="Y154" s="69">
        <f>MAX(IF((G154&gt;0)*(IF(H154="",-1,H154)=0)*(1-(IF(H154="",-1,H154)&gt;=0)*(IF(H154="",-1,H154)&lt;=1)),IF(C154="peso_corporal",IF(ISNUMBER(E154),E154,0)+F154,F154)*G154*1000+F154,0),IF((J154&gt;0)*(IF(K154="",-1,K154)=0)*(1-(IF(K154="",-1,K154)&gt;=0)*(IF(K154="",-1,K154)&lt;=1)),IF(C154="peso_corporal",IF(ISNUMBER(E154),E154,0)+I154,I154)*J154*1000+I154,0),IF((M154&gt;0)*(IF(N154="",-1,N154)=0)*(1-(IF(N154="",-1,N154)&gt;=0)*(IF(N154="",-1,N154)&lt;=1)),IF(C154="peso_corporal",IF(ISNUMBER(E154),E154,0)+L154,L154)*M154*1000+L154,0),IF((P154&gt;0)*(IF(Q154="",-1,Q154)=0)*(1-(IF(Q154="",-1,Q154)&gt;=0)*(IF(Q154="",-1,Q154)&lt;=1)),IF(C154="peso_corporal",IF(ISNUMBER(E154),E154,0)+O154,O154)*P154*1000+O154,0),IF((S154&gt;0)*(IF(T154="",-1,T154)=0)*(1-(IF(T154="",-1,T154)&gt;=0)*(IF(T154="",-1,T154)&lt;=1)),IF(C154="peso_corporal",IF(ISNUMBER(E154),E154,0)+R154,R154)*S154*1000+R154,0))</f>
        <v>0</v>
      </c>
      <c r="Z154" s="69">
        <f>IF(Y154=0,0,IF(IF((S154&gt;0)*(IF(T154="",-1,T154)=0)*(1-(IF(T154="",-1,T154)&gt;=0)*(IF(T154="",-1,T154)&lt;=1)),IF(C154="peso_corporal",IF(ISNUMBER(E154),E154,0)+R154,R154)*S154*1000+R154,0)=Y154,5,IF(IF((P154&gt;0)*(IF(Q154="",-1,Q154)=0)*(1-(IF(Q154="",-1,Q154)&gt;=0)*(IF(Q154="",-1,Q154)&lt;=1)),IF(C154="peso_corporal",IF(ISNUMBER(E154),E154,0)+O154,O154)*P154*1000+O154,0)=Y154,4,IF(IF((M154&gt;0)*(IF(N154="",-1,N154)=0)*(1-(IF(N154="",-1,N154)&gt;=0)*(IF(N154="",-1,N154)&lt;=1)),IF(C154="peso_corporal",IF(ISNUMBER(E154),E154,0)+L154,L154)*M154*1000+L154,0)=Y154,3,IF(IF((J154&gt;0)*(IF(K154="",-1,K154)=0)*(1-(IF(K154="",-1,K154)&gt;=0)*(IF(K154="",-1,K154)&lt;=1)),IF(C154="peso_corporal",IF(ISNUMBER(E154),E154,0)+I154,I154)*J154*1000+I154,0)=Y154,2,IF(IF((G154&gt;0)*(IF(H154="",-1,H154)=0)*(1-(IF(H154="",-1,H154)&gt;=0)*(IF(H154="",-1,H154)&lt;=1)),IF(C154="peso_corporal",IF(ISNUMBER(E154),E154,0)+F154,F154)*G154*1000+F154,0)=Y154,1,0))))))</f>
        <v>0</v>
      </c>
      <c r="AA154" s="69">
        <f>MAX(IF((G154&gt;=3)*(1-(IF(H154="",-1,H154)&gt;=0)*(IF(H154="",-1,H154)&lt;=1))*(1-(IF(H154="",-1,H154)=0)),IF(C154="peso_corporal",IF(ISNUMBER(E154),E154,0)+F154,F154)*(30+G154)*100+F154,0),IF((J154&gt;=3)*(1-(IF(K154="",-1,K154)&gt;=0)*(IF(K154="",-1,K154)&lt;=1))*(1-(IF(K154="",-1,K154)=0)),IF(C154="peso_corporal",IF(ISNUMBER(E154),E154,0)+I154,I154)*(30+J154)*100+I154,0),IF((M154&gt;=3)*(1-(IF(N154="",-1,N154)&gt;=0)*(IF(N154="",-1,N154)&lt;=1))*(1-(IF(N154="",-1,N154)=0)),IF(C154="peso_corporal",IF(ISNUMBER(E154),E154,0)+L154,L154)*(30+M154)*100+L154,0),IF((P154&gt;=3)*(1-(IF(Q154="",-1,Q154)&gt;=0)*(IF(Q154="",-1,Q154)&lt;=1))*(1-(IF(Q154="",-1,Q154)=0)),IF(C154="peso_corporal",IF(ISNUMBER(E154),E154,0)+O154,O154)*(30+P154)*100+O154,0),IF((S154&gt;=3)*(1-(IF(T154="",-1,T154)&gt;=0)*(IF(T154="",-1,T154)&lt;=1))*(1-(IF(T154="",-1,T154)=0)),IF(C154="peso_corporal",IF(ISNUMBER(E154),E154,0)+R154,R154)*(30+S154)*100+R154,0))</f>
        <v>0</v>
      </c>
      <c r="AB154" s="69">
        <f>IF(AA154=0,0,IF(IF((S154&gt;=3)*(1-(IF(T154="",-1,T154)&gt;=0)*(IF(T154="",-1,T154)&lt;=1))*(1-(IF(T154="",-1,T154)=0)),IF(C154="peso_corporal",IF(ISNUMBER(E154),E154,0)+R154,R154)*(30+S154)*100+R154,0)=AA154,5,IF(IF((P154&gt;=3)*(1-(IF(Q154="",-1,Q154)&gt;=0)*(IF(Q154="",-1,Q154)&lt;=1))*(1-(IF(Q154="",-1,Q154)=0)),IF(C154="peso_corporal",IF(ISNUMBER(E154),E154,0)+O154,O154)*(30+P154)*100+O154,0)=AA154,4,IF(IF((M154&gt;=3)*(1-(IF(N154="",-1,N154)&gt;=0)*(IF(N154="",-1,N154)&lt;=1))*(1-(IF(N154="",-1,N154)=0)),IF(C154="peso_corporal",IF(ISNUMBER(E154),E154,0)+L154,L154)*(30+M154)*100+L154,0)=AA154,3,IF(IF((J154&gt;=3)*(1-(IF(K154="",-1,K154)&gt;=0)*(IF(K154="",-1,K154)&lt;=1))*(1-(IF(K154="",-1,K154)=0)),IF(C154="peso_corporal",IF(ISNUMBER(E154),E154,0)+I154,I154)*(30+J154)*100+I154,0)=AA154,2,IF(IF((G154&gt;=3)*(1-(IF(H154="",-1,H154)&gt;=0)*(IF(H154="",-1,H154)&lt;=1))*(1-(IF(H154="",-1,H154)=0)),IF(C154="peso_corporal",IF(ISNUMBER(E154),E154,0)+F154,F154)*(30+G154)*100+F154,0)=AA154,1,0))))))</f>
        <v>0</v>
      </c>
      <c r="AC154" s="69" t="str">
        <f>IF(X154&gt;0,"A"&amp;X154,IF(Z154&gt;0,"B"&amp;Z154,IF(AB154&gt;0,"C"&amp;AB154,"")))</f>
        <v/>
      </c>
    </row>
    <row r="155" spans="1:29" ht="15" customHeight="1">
      <c r="A155" s="81" t="s">
        <v>53</v>
      </c>
      <c r="B155" s="73"/>
      <c r="C155" s="73"/>
      <c r="D155" s="73"/>
      <c r="E155" s="73"/>
      <c r="F155" s="73"/>
      <c r="G155" s="73"/>
      <c r="H155" s="73"/>
      <c r="I155" s="73"/>
      <c r="J155" s="73"/>
      <c r="K155" s="73"/>
      <c r="L155" s="73"/>
      <c r="M155" s="73"/>
      <c r="N155" s="73"/>
      <c r="O155" s="73"/>
      <c r="P155" s="73"/>
      <c r="Q155" s="73"/>
      <c r="R155" s="73"/>
      <c r="S155" s="73"/>
      <c r="T155" s="73"/>
      <c r="U155" s="73"/>
      <c r="V155" s="73"/>
      <c r="W155" s="69"/>
      <c r="X155" s="69"/>
      <c r="Y155" s="69"/>
      <c r="Z155" s="69"/>
      <c r="AA155" s="69"/>
      <c r="AB155" s="69"/>
      <c r="AC155" s="69"/>
    </row>
    <row r="156" spans="1:29" ht="20.100000000000001" customHeight="1">
      <c r="A156" s="14" t="s">
        <v>54</v>
      </c>
      <c r="B156" s="15" t="s">
        <v>115</v>
      </c>
      <c r="C156" s="16" t="str">
        <f>IFERROR(INDEX(EJERCICIOS!$D$3:$D$75,MATCH(A156&amp;"|"&amp;B156,EJERCICIOS!$G$3:$G$75,0)),"--")</f>
        <v>polea</v>
      </c>
      <c r="D156" s="17">
        <v>3</v>
      </c>
      <c r="E156" s="18">
        <f>IFERROR(LOOKUP(2,1/(MEDIDAS_Y_PESO!$B$3:$B$8&lt;&gt;""),MEDIDAS_Y_PESO!$B$3:$B$8),"--")</f>
        <v>80</v>
      </c>
      <c r="F156" s="19"/>
      <c r="G156" s="20"/>
      <c r="H156" s="21"/>
      <c r="I156" s="19"/>
      <c r="J156" s="20"/>
      <c r="K156" s="21"/>
      <c r="L156" s="19"/>
      <c r="M156" s="20"/>
      <c r="N156" s="21"/>
      <c r="O156" s="19"/>
      <c r="P156" s="20"/>
      <c r="Q156" s="21"/>
      <c r="R156" s="19"/>
      <c r="S156" s="20"/>
      <c r="T156" s="21"/>
      <c r="U156" s="22" t="str">
        <f>IFERROR(IF(IF(X156&gt;0,X156,IF(Z156&gt;0,Z156,IF(AB156&gt;0,AB156,0)))=0,"--",ROUND(CHOOSE(IF(X156&gt;0,X156,IF(Z156&gt;0,Z156,IF(AB156&gt;0,AB156,0))),IF(C156="peso_corporal",IF(ISNUMBER(E156),E156,0)+F156,F156)*(1+G156/30),IF(C156="peso_corporal",IF(ISNUMBER(E156),E156,0)+I156,I156)*(1+J156/30),IF(C156="peso_corporal",IF(ISNUMBER(E156),E156,0)+L156,L156)*(1+M156/30),IF(C156="peso_corporal",IF(ISNUMBER(E156),E156,0)+O156,O156)*(1+P156/30),IF(C156="peso_corporal",IF(ISNUMBER(E156),E156,0)+R156,R156)*(1+S156/30)),1)),"--")</f>
        <v>--</v>
      </c>
      <c r="V156" s="23" t="str">
        <f>IF(SUGERENCIAS!N367="SIN","Sin datos anteriores",IF(SUGERENCIAS!N367="SUBIR_F","^ SUBIR FUERTE | Kg:"&amp;ROUND(SUGERENCIAS!K367,1)&amp;" R:"&amp;ROUND(SUGERENCIAS!L367,0)&amp;" RIR:"&amp;ROUND(SUGERENCIAS!M367,0),IF(SUGERENCIAS!N367="SUBIR_E","^ SUBIR (Est.) | Kg:"&amp;ROUND(SUGERENCIAS!K367,1)&amp;" R:"&amp;ROUND(SUGERENCIAS!L367,0)&amp;" RIR:"&amp;ROUND(SUGERENCIAS!M367,0),IF(SUGERENCIAS!N367="SUBIR","^ SUBIR | Kg:"&amp;ROUND(SUGERENCIAS!K367,1)&amp;" R:"&amp;ROUND(SUGERENCIAS!L367,0)&amp;" RIR:"&amp;ROUND(SUGERENCIAS!M367,0),IF(SUGERENCIAS!N367="BAJAR","v BAJAR | Kg:"&amp;ROUND(SUGERENCIAS!K367,1)&amp;" R:"&amp;ROUND(SUGERENCIAS!L367,0)&amp;" RIR:"&amp;ROUND(SUGERENCIAS!M367,0),"= MANT | Kg:"&amp;ROUND(SUGERENCIAS!K367,1)&amp;" R:"&amp;ROUND(SUGERENCIAS!L367,0)&amp;" RIR:"&amp;ROUND(SUGERENCIAS!M367,0))))))</f>
        <v>= MANT | Kg:40 R:7 RIR:2</v>
      </c>
      <c r="W156" s="69">
        <f>MAX(IF((G156&gt;0)*(IF(H156="",-1,H156)&gt;=0)*(IF(H156="",-1,H156)&lt;=1),IF(C156="peso_corporal",IF(ISNUMBER(E156),E156,0)+F156,F156)*G156*1000+F156,0),IF((J156&gt;0)*(IF(K156="",-1,K156)&gt;=0)*(IF(K156="",-1,K156)&lt;=1),IF(C156="peso_corporal",IF(ISNUMBER(E156),E156,0)+I156,I156)*J156*1000+I156,0),IF((M156&gt;0)*(IF(N156="",-1,N156)&gt;=0)*(IF(N156="",-1,N156)&lt;=1),IF(C156="peso_corporal",IF(ISNUMBER(E156),E156,0)+L156,L156)*M156*1000+L156,0),IF((P156&gt;0)*(IF(Q156="",-1,Q156)&gt;=0)*(IF(Q156="",-1,Q156)&lt;=1),IF(C156="peso_corporal",IF(ISNUMBER(E156),E156,0)+O156,O156)*P156*1000+O156,0),IF((S156&gt;0)*(IF(T156="",-1,T156)&gt;=0)*(IF(T156="",-1,T156)&lt;=1),IF(C156="peso_corporal",IF(ISNUMBER(E156),E156,0)+R156,R156)*S156*1000+R156,0))</f>
        <v>0</v>
      </c>
      <c r="X156" s="69">
        <f>IF(W156=0,0,IF(IF((S156&gt;0)*(IF(T156="",-1,T156)&gt;=0)*(IF(T156="",-1,T156)&lt;=1),IF(C156="peso_corporal",IF(ISNUMBER(E156),E156,0)+R156,R156)*S156*1000+R156,0)=W156,5,IF(IF((P156&gt;0)*(IF(Q156="",-1,Q156)&gt;=0)*(IF(Q156="",-1,Q156)&lt;=1),IF(C156="peso_corporal",IF(ISNUMBER(E156),E156,0)+O156,O156)*P156*1000+O156,0)=W156,4,IF(IF((M156&gt;0)*(IF(N156="",-1,N156)&gt;=0)*(IF(N156="",-1,N156)&lt;=1),IF(C156="peso_corporal",IF(ISNUMBER(E156),E156,0)+L156,L156)*M156*1000+L156,0)=W156,3,IF(IF((J156&gt;0)*(IF(K156="",-1,K156)&gt;=0)*(IF(K156="",-1,K156)&lt;=1),IF(C156="peso_corporal",IF(ISNUMBER(E156),E156,0)+I156,I156)*J156*1000+I156,0)=W156,2,IF(IF((G156&gt;0)*(IF(H156="",-1,H156)&gt;=0)*(IF(H156="",-1,H156)&lt;=1),IF(C156="peso_corporal",IF(ISNUMBER(E156),E156,0)+F156,F156)*G156*1000+F156,0)=W156,1,0))))))</f>
        <v>0</v>
      </c>
      <c r="Y156" s="69">
        <f>MAX(IF((G156&gt;0)*(IF(H156="",-1,H156)=0)*(1-(IF(H156="",-1,H156)&gt;=0)*(IF(H156="",-1,H156)&lt;=1)),IF(C156="peso_corporal",IF(ISNUMBER(E156),E156,0)+F156,F156)*G156*1000+F156,0),IF((J156&gt;0)*(IF(K156="",-1,K156)=0)*(1-(IF(K156="",-1,K156)&gt;=0)*(IF(K156="",-1,K156)&lt;=1)),IF(C156="peso_corporal",IF(ISNUMBER(E156),E156,0)+I156,I156)*J156*1000+I156,0),IF((M156&gt;0)*(IF(N156="",-1,N156)=0)*(1-(IF(N156="",-1,N156)&gt;=0)*(IF(N156="",-1,N156)&lt;=1)),IF(C156="peso_corporal",IF(ISNUMBER(E156),E156,0)+L156,L156)*M156*1000+L156,0),IF((P156&gt;0)*(IF(Q156="",-1,Q156)=0)*(1-(IF(Q156="",-1,Q156)&gt;=0)*(IF(Q156="",-1,Q156)&lt;=1)),IF(C156="peso_corporal",IF(ISNUMBER(E156),E156,0)+O156,O156)*P156*1000+O156,0),IF((S156&gt;0)*(IF(T156="",-1,T156)=0)*(1-(IF(T156="",-1,T156)&gt;=0)*(IF(T156="",-1,T156)&lt;=1)),IF(C156="peso_corporal",IF(ISNUMBER(E156),E156,0)+R156,R156)*S156*1000+R156,0))</f>
        <v>0</v>
      </c>
      <c r="Z156" s="69">
        <f>IF(Y156=0,0,IF(IF((S156&gt;0)*(IF(T156="",-1,T156)=0)*(1-(IF(T156="",-1,T156)&gt;=0)*(IF(T156="",-1,T156)&lt;=1)),IF(C156="peso_corporal",IF(ISNUMBER(E156),E156,0)+R156,R156)*S156*1000+R156,0)=Y156,5,IF(IF((P156&gt;0)*(IF(Q156="",-1,Q156)=0)*(1-(IF(Q156="",-1,Q156)&gt;=0)*(IF(Q156="",-1,Q156)&lt;=1)),IF(C156="peso_corporal",IF(ISNUMBER(E156),E156,0)+O156,O156)*P156*1000+O156,0)=Y156,4,IF(IF((M156&gt;0)*(IF(N156="",-1,N156)=0)*(1-(IF(N156="",-1,N156)&gt;=0)*(IF(N156="",-1,N156)&lt;=1)),IF(C156="peso_corporal",IF(ISNUMBER(E156),E156,0)+L156,L156)*M156*1000+L156,0)=Y156,3,IF(IF((J156&gt;0)*(IF(K156="",-1,K156)=0)*(1-(IF(K156="",-1,K156)&gt;=0)*(IF(K156="",-1,K156)&lt;=1)),IF(C156="peso_corporal",IF(ISNUMBER(E156),E156,0)+I156,I156)*J156*1000+I156,0)=Y156,2,IF(IF((G156&gt;0)*(IF(H156="",-1,H156)=0)*(1-(IF(H156="",-1,H156)&gt;=0)*(IF(H156="",-1,H156)&lt;=1)),IF(C156="peso_corporal",IF(ISNUMBER(E156),E156,0)+F156,F156)*G156*1000+F156,0)=Y156,1,0))))))</f>
        <v>0</v>
      </c>
      <c r="AA156" s="69">
        <f>MAX(IF((G156&gt;=3)*(1-(IF(H156="",-1,H156)&gt;=0)*(IF(H156="",-1,H156)&lt;=1))*(1-(IF(H156="",-1,H156)=0)),IF(C156="peso_corporal",IF(ISNUMBER(E156),E156,0)+F156,F156)*(30+G156)*100+F156,0),IF((J156&gt;=3)*(1-(IF(K156="",-1,K156)&gt;=0)*(IF(K156="",-1,K156)&lt;=1))*(1-(IF(K156="",-1,K156)=0)),IF(C156="peso_corporal",IF(ISNUMBER(E156),E156,0)+I156,I156)*(30+J156)*100+I156,0),IF((M156&gt;=3)*(1-(IF(N156="",-1,N156)&gt;=0)*(IF(N156="",-1,N156)&lt;=1))*(1-(IF(N156="",-1,N156)=0)),IF(C156="peso_corporal",IF(ISNUMBER(E156),E156,0)+L156,L156)*(30+M156)*100+L156,0),IF((P156&gt;=3)*(1-(IF(Q156="",-1,Q156)&gt;=0)*(IF(Q156="",-1,Q156)&lt;=1))*(1-(IF(Q156="",-1,Q156)=0)),IF(C156="peso_corporal",IF(ISNUMBER(E156),E156,0)+O156,O156)*(30+P156)*100+O156,0),IF((S156&gt;=3)*(1-(IF(T156="",-1,T156)&gt;=0)*(IF(T156="",-1,T156)&lt;=1))*(1-(IF(T156="",-1,T156)=0)),IF(C156="peso_corporal",IF(ISNUMBER(E156),E156,0)+R156,R156)*(30+S156)*100+R156,0))</f>
        <v>0</v>
      </c>
      <c r="AB156" s="69">
        <f>IF(AA156=0,0,IF(IF((S156&gt;=3)*(1-(IF(T156="",-1,T156)&gt;=0)*(IF(T156="",-1,T156)&lt;=1))*(1-(IF(T156="",-1,T156)=0)),IF(C156="peso_corporal",IF(ISNUMBER(E156),E156,0)+R156,R156)*(30+S156)*100+R156,0)=AA156,5,IF(IF((P156&gt;=3)*(1-(IF(Q156="",-1,Q156)&gt;=0)*(IF(Q156="",-1,Q156)&lt;=1))*(1-(IF(Q156="",-1,Q156)=0)),IF(C156="peso_corporal",IF(ISNUMBER(E156),E156,0)+O156,O156)*(30+P156)*100+O156,0)=AA156,4,IF(IF((M156&gt;=3)*(1-(IF(N156="",-1,N156)&gt;=0)*(IF(N156="",-1,N156)&lt;=1))*(1-(IF(N156="",-1,N156)=0)),IF(C156="peso_corporal",IF(ISNUMBER(E156),E156,0)+L156,L156)*(30+M156)*100+L156,0)=AA156,3,IF(IF((J156&gt;=3)*(1-(IF(K156="",-1,K156)&gt;=0)*(IF(K156="",-1,K156)&lt;=1))*(1-(IF(K156="",-1,K156)=0)),IF(C156="peso_corporal",IF(ISNUMBER(E156),E156,0)+I156,I156)*(30+J156)*100+I156,0)=AA156,2,IF(IF((G156&gt;=3)*(1-(IF(H156="",-1,H156)&gt;=0)*(IF(H156="",-1,H156)&lt;=1))*(1-(IF(H156="",-1,H156)=0)),IF(C156="peso_corporal",IF(ISNUMBER(E156),E156,0)+F156,F156)*(30+G156)*100+F156,0)=AA156,1,0))))))</f>
        <v>0</v>
      </c>
      <c r="AC156" s="69" t="str">
        <f>IF(X156&gt;0,"A"&amp;X156,IF(Z156&gt;0,"B"&amp;Z156,IF(AB156&gt;0,"C"&amp;AB156,"")))</f>
        <v/>
      </c>
    </row>
    <row r="157" spans="1:29" ht="15" customHeight="1">
      <c r="A157" s="72" t="s">
        <v>56</v>
      </c>
      <c r="B157" s="73"/>
      <c r="C157" s="73"/>
      <c r="D157" s="73"/>
      <c r="E157" s="73"/>
      <c r="F157" s="73"/>
      <c r="G157" s="73"/>
      <c r="H157" s="73"/>
      <c r="I157" s="73"/>
      <c r="J157" s="73"/>
      <c r="K157" s="73"/>
      <c r="L157" s="73"/>
      <c r="M157" s="73"/>
      <c r="N157" s="73"/>
      <c r="O157" s="73"/>
      <c r="P157" s="73"/>
      <c r="Q157" s="73"/>
      <c r="R157" s="73"/>
      <c r="S157" s="73"/>
      <c r="T157" s="73"/>
      <c r="U157" s="73"/>
      <c r="V157" s="73"/>
      <c r="W157" s="69"/>
      <c r="X157" s="69"/>
      <c r="Y157" s="69"/>
      <c r="Z157" s="69"/>
      <c r="AA157" s="69"/>
      <c r="AB157" s="69"/>
      <c r="AC157" s="69"/>
    </row>
    <row r="158" spans="1:29" ht="20.100000000000001" customHeight="1">
      <c r="A158" s="14" t="s">
        <v>57</v>
      </c>
      <c r="B158" s="15" t="s">
        <v>58</v>
      </c>
      <c r="C158" s="16" t="str">
        <f>IFERROR(INDEX(EJERCICIOS!$D$3:$D$75,MATCH(A158&amp;"|"&amp;B158,EJERCICIOS!$G$3:$G$75,0)),"--")</f>
        <v>polea</v>
      </c>
      <c r="D158" s="17">
        <v>3</v>
      </c>
      <c r="E158" s="18">
        <f>IFERROR(LOOKUP(2,1/(MEDIDAS_Y_PESO!$B$3:$B$8&lt;&gt;""),MEDIDAS_Y_PESO!$B$3:$B$8),"--")</f>
        <v>80</v>
      </c>
      <c r="F158" s="19"/>
      <c r="G158" s="20"/>
      <c r="H158" s="21"/>
      <c r="I158" s="19"/>
      <c r="J158" s="20"/>
      <c r="K158" s="21"/>
      <c r="L158" s="19"/>
      <c r="M158" s="20"/>
      <c r="N158" s="21"/>
      <c r="O158" s="19"/>
      <c r="P158" s="20"/>
      <c r="Q158" s="21"/>
      <c r="R158" s="19"/>
      <c r="S158" s="20"/>
      <c r="T158" s="21"/>
      <c r="U158" s="22" t="str">
        <f>IFERROR(IF(IF(X158&gt;0,X158,IF(Z158&gt;0,Z158,IF(AB158&gt;0,AB158,0)))=0,"--",ROUND(CHOOSE(IF(X158&gt;0,X158,IF(Z158&gt;0,Z158,IF(AB158&gt;0,AB158,0))),IF(C158="peso_corporal",IF(ISNUMBER(E158),E158,0)+F158,F158)*(1+G158/30),IF(C158="peso_corporal",IF(ISNUMBER(E158),E158,0)+I158,I158)*(1+J158/30),IF(C158="peso_corporal",IF(ISNUMBER(E158),E158,0)+L158,L158)*(1+M158/30),IF(C158="peso_corporal",IF(ISNUMBER(E158),E158,0)+O158,O158)*(1+P158/30),IF(C158="peso_corporal",IF(ISNUMBER(E158),E158,0)+R158,R158)*(1+S158/30)),1)),"--")</f>
        <v>--</v>
      </c>
      <c r="V158" s="23" t="str">
        <f>IF(SUGERENCIAS!N368="SIN","Sin datos anteriores",IF(SUGERENCIAS!N368="SUBIR_F","^ SUBIR FUERTE | Kg:"&amp;ROUND(SUGERENCIAS!K368,1)&amp;" R:"&amp;ROUND(SUGERENCIAS!L368,0)&amp;" RIR:"&amp;ROUND(SUGERENCIAS!M368,0),IF(SUGERENCIAS!N368="SUBIR_E","^ SUBIR (Est.) | Kg:"&amp;ROUND(SUGERENCIAS!K368,1)&amp;" R:"&amp;ROUND(SUGERENCIAS!L368,0)&amp;" RIR:"&amp;ROUND(SUGERENCIAS!M368,0),IF(SUGERENCIAS!N368="SUBIR","^ SUBIR | Kg:"&amp;ROUND(SUGERENCIAS!K368,1)&amp;" R:"&amp;ROUND(SUGERENCIAS!L368,0)&amp;" RIR:"&amp;ROUND(SUGERENCIAS!M368,0),IF(SUGERENCIAS!N368="BAJAR","v BAJAR | Kg:"&amp;ROUND(SUGERENCIAS!K368,1)&amp;" R:"&amp;ROUND(SUGERENCIAS!L368,0)&amp;" RIR:"&amp;ROUND(SUGERENCIAS!M368,0),"= MANT | Kg:"&amp;ROUND(SUGERENCIAS!K368,1)&amp;" R:"&amp;ROUND(SUGERENCIAS!L368,0)&amp;" RIR:"&amp;ROUND(SUGERENCIAS!M368,0))))))</f>
        <v>Sin datos anteriores</v>
      </c>
      <c r="W158" s="69">
        <f>MAX(IF((G158&gt;0)*(IF(H158="",-1,H158)&gt;=0)*(IF(H158="",-1,H158)&lt;=1),IF(C158="peso_corporal",IF(ISNUMBER(E158),E158,0)+F158,F158)*G158*1000+F158,0),IF((J158&gt;0)*(IF(K158="",-1,K158)&gt;=0)*(IF(K158="",-1,K158)&lt;=1),IF(C158="peso_corporal",IF(ISNUMBER(E158),E158,0)+I158,I158)*J158*1000+I158,0),IF((M158&gt;0)*(IF(N158="",-1,N158)&gt;=0)*(IF(N158="",-1,N158)&lt;=1),IF(C158="peso_corporal",IF(ISNUMBER(E158),E158,0)+L158,L158)*M158*1000+L158,0),IF((P158&gt;0)*(IF(Q158="",-1,Q158)&gt;=0)*(IF(Q158="",-1,Q158)&lt;=1),IF(C158="peso_corporal",IF(ISNUMBER(E158),E158,0)+O158,O158)*P158*1000+O158,0),IF((S158&gt;0)*(IF(T158="",-1,T158)&gt;=0)*(IF(T158="",-1,T158)&lt;=1),IF(C158="peso_corporal",IF(ISNUMBER(E158),E158,0)+R158,R158)*S158*1000+R158,0))</f>
        <v>0</v>
      </c>
      <c r="X158" s="69">
        <f>IF(W158=0,0,IF(IF((S158&gt;0)*(IF(T158="",-1,T158)&gt;=0)*(IF(T158="",-1,T158)&lt;=1),IF(C158="peso_corporal",IF(ISNUMBER(E158),E158,0)+R158,R158)*S158*1000+R158,0)=W158,5,IF(IF((P158&gt;0)*(IF(Q158="",-1,Q158)&gt;=0)*(IF(Q158="",-1,Q158)&lt;=1),IF(C158="peso_corporal",IF(ISNUMBER(E158),E158,0)+O158,O158)*P158*1000+O158,0)=W158,4,IF(IF((M158&gt;0)*(IF(N158="",-1,N158)&gt;=0)*(IF(N158="",-1,N158)&lt;=1),IF(C158="peso_corporal",IF(ISNUMBER(E158),E158,0)+L158,L158)*M158*1000+L158,0)=W158,3,IF(IF((J158&gt;0)*(IF(K158="",-1,K158)&gt;=0)*(IF(K158="",-1,K158)&lt;=1),IF(C158="peso_corporal",IF(ISNUMBER(E158),E158,0)+I158,I158)*J158*1000+I158,0)=W158,2,IF(IF((G158&gt;0)*(IF(H158="",-1,H158)&gt;=0)*(IF(H158="",-1,H158)&lt;=1),IF(C158="peso_corporal",IF(ISNUMBER(E158),E158,0)+F158,F158)*G158*1000+F158,0)=W158,1,0))))))</f>
        <v>0</v>
      </c>
      <c r="Y158" s="69">
        <f>MAX(IF((G158&gt;0)*(IF(H158="",-1,H158)=0)*(1-(IF(H158="",-1,H158)&gt;=0)*(IF(H158="",-1,H158)&lt;=1)),IF(C158="peso_corporal",IF(ISNUMBER(E158),E158,0)+F158,F158)*G158*1000+F158,0),IF((J158&gt;0)*(IF(K158="",-1,K158)=0)*(1-(IF(K158="",-1,K158)&gt;=0)*(IF(K158="",-1,K158)&lt;=1)),IF(C158="peso_corporal",IF(ISNUMBER(E158),E158,0)+I158,I158)*J158*1000+I158,0),IF((M158&gt;0)*(IF(N158="",-1,N158)=0)*(1-(IF(N158="",-1,N158)&gt;=0)*(IF(N158="",-1,N158)&lt;=1)),IF(C158="peso_corporal",IF(ISNUMBER(E158),E158,0)+L158,L158)*M158*1000+L158,0),IF((P158&gt;0)*(IF(Q158="",-1,Q158)=0)*(1-(IF(Q158="",-1,Q158)&gt;=0)*(IF(Q158="",-1,Q158)&lt;=1)),IF(C158="peso_corporal",IF(ISNUMBER(E158),E158,0)+O158,O158)*P158*1000+O158,0),IF((S158&gt;0)*(IF(T158="",-1,T158)=0)*(1-(IF(T158="",-1,T158)&gt;=0)*(IF(T158="",-1,T158)&lt;=1)),IF(C158="peso_corporal",IF(ISNUMBER(E158),E158,0)+R158,R158)*S158*1000+R158,0))</f>
        <v>0</v>
      </c>
      <c r="Z158" s="69">
        <f>IF(Y158=0,0,IF(IF((S158&gt;0)*(IF(T158="",-1,T158)=0)*(1-(IF(T158="",-1,T158)&gt;=0)*(IF(T158="",-1,T158)&lt;=1)),IF(C158="peso_corporal",IF(ISNUMBER(E158),E158,0)+R158,R158)*S158*1000+R158,0)=Y158,5,IF(IF((P158&gt;0)*(IF(Q158="",-1,Q158)=0)*(1-(IF(Q158="",-1,Q158)&gt;=0)*(IF(Q158="",-1,Q158)&lt;=1)),IF(C158="peso_corporal",IF(ISNUMBER(E158),E158,0)+O158,O158)*P158*1000+O158,0)=Y158,4,IF(IF((M158&gt;0)*(IF(N158="",-1,N158)=0)*(1-(IF(N158="",-1,N158)&gt;=0)*(IF(N158="",-1,N158)&lt;=1)),IF(C158="peso_corporal",IF(ISNUMBER(E158),E158,0)+L158,L158)*M158*1000+L158,0)=Y158,3,IF(IF((J158&gt;0)*(IF(K158="",-1,K158)=0)*(1-(IF(K158="",-1,K158)&gt;=0)*(IF(K158="",-1,K158)&lt;=1)),IF(C158="peso_corporal",IF(ISNUMBER(E158),E158,0)+I158,I158)*J158*1000+I158,0)=Y158,2,IF(IF((G158&gt;0)*(IF(H158="",-1,H158)=0)*(1-(IF(H158="",-1,H158)&gt;=0)*(IF(H158="",-1,H158)&lt;=1)),IF(C158="peso_corporal",IF(ISNUMBER(E158),E158,0)+F158,F158)*G158*1000+F158,0)=Y158,1,0))))))</f>
        <v>0</v>
      </c>
      <c r="AA158" s="69">
        <f>MAX(IF((G158&gt;=3)*(1-(IF(H158="",-1,H158)&gt;=0)*(IF(H158="",-1,H158)&lt;=1))*(1-(IF(H158="",-1,H158)=0)),IF(C158="peso_corporal",IF(ISNUMBER(E158),E158,0)+F158,F158)*(30+G158)*100+F158,0),IF((J158&gt;=3)*(1-(IF(K158="",-1,K158)&gt;=0)*(IF(K158="",-1,K158)&lt;=1))*(1-(IF(K158="",-1,K158)=0)),IF(C158="peso_corporal",IF(ISNUMBER(E158),E158,0)+I158,I158)*(30+J158)*100+I158,0),IF((M158&gt;=3)*(1-(IF(N158="",-1,N158)&gt;=0)*(IF(N158="",-1,N158)&lt;=1))*(1-(IF(N158="",-1,N158)=0)),IF(C158="peso_corporal",IF(ISNUMBER(E158),E158,0)+L158,L158)*(30+M158)*100+L158,0),IF((P158&gt;=3)*(1-(IF(Q158="",-1,Q158)&gt;=0)*(IF(Q158="",-1,Q158)&lt;=1))*(1-(IF(Q158="",-1,Q158)=0)),IF(C158="peso_corporal",IF(ISNUMBER(E158),E158,0)+O158,O158)*(30+P158)*100+O158,0),IF((S158&gt;=3)*(1-(IF(T158="",-1,T158)&gt;=0)*(IF(T158="",-1,T158)&lt;=1))*(1-(IF(T158="",-1,T158)=0)),IF(C158="peso_corporal",IF(ISNUMBER(E158),E158,0)+R158,R158)*(30+S158)*100+R158,0))</f>
        <v>0</v>
      </c>
      <c r="AB158" s="69">
        <f>IF(AA158=0,0,IF(IF((S158&gt;=3)*(1-(IF(T158="",-1,T158)&gt;=0)*(IF(T158="",-1,T158)&lt;=1))*(1-(IF(T158="",-1,T158)=0)),IF(C158="peso_corporal",IF(ISNUMBER(E158),E158,0)+R158,R158)*(30+S158)*100+R158,0)=AA158,5,IF(IF((P158&gt;=3)*(1-(IF(Q158="",-1,Q158)&gt;=0)*(IF(Q158="",-1,Q158)&lt;=1))*(1-(IF(Q158="",-1,Q158)=0)),IF(C158="peso_corporal",IF(ISNUMBER(E158),E158,0)+O158,O158)*(30+P158)*100+O158,0)=AA158,4,IF(IF((M158&gt;=3)*(1-(IF(N158="",-1,N158)&gt;=0)*(IF(N158="",-1,N158)&lt;=1))*(1-(IF(N158="",-1,N158)=0)),IF(C158="peso_corporal",IF(ISNUMBER(E158),E158,0)+L158,L158)*(30+M158)*100+L158,0)=AA158,3,IF(IF((J158&gt;=3)*(1-(IF(K158="",-1,K158)&gt;=0)*(IF(K158="",-1,K158)&lt;=1))*(1-(IF(K158="",-1,K158)=0)),IF(C158="peso_corporal",IF(ISNUMBER(E158),E158,0)+I158,I158)*(30+J158)*100+I158,0)=AA158,2,IF(IF((G158&gt;=3)*(1-(IF(H158="",-1,H158)&gt;=0)*(IF(H158="",-1,H158)&lt;=1))*(1-(IF(H158="",-1,H158)=0)),IF(C158="peso_corporal",IF(ISNUMBER(E158),E158,0)+F158,F158)*(30+G158)*100+F158,0)=AA158,1,0))))))</f>
        <v>0</v>
      </c>
      <c r="AC158" s="69" t="str">
        <f>IF(X158&gt;0,"A"&amp;X158,IF(Z158&gt;0,"B"&amp;Z158,IF(AB158&gt;0,"C"&amp;AB158,"")))</f>
        <v/>
      </c>
    </row>
    <row r="159" spans="1:29" ht="6"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69"/>
      <c r="X159" s="69"/>
      <c r="Y159" s="69"/>
      <c r="Z159" s="69"/>
      <c r="AA159" s="69"/>
      <c r="AB159" s="69"/>
      <c r="AC159" s="69"/>
    </row>
    <row r="160" spans="1:29" ht="18" customHeight="1">
      <c r="A160" s="85" t="s">
        <v>72</v>
      </c>
      <c r="B160" s="73"/>
      <c r="C160" s="73"/>
      <c r="D160" s="73"/>
      <c r="E160" s="73"/>
      <c r="F160" s="73"/>
      <c r="G160" s="73"/>
      <c r="H160" s="73"/>
      <c r="I160" s="73"/>
      <c r="J160" s="73"/>
      <c r="K160" s="73"/>
      <c r="L160" s="73"/>
      <c r="M160" s="73"/>
      <c r="N160" s="73"/>
      <c r="O160" s="73"/>
      <c r="P160" s="73"/>
      <c r="Q160" s="73"/>
      <c r="R160" s="73"/>
      <c r="S160" s="73"/>
      <c r="T160" s="73"/>
      <c r="U160" s="73"/>
      <c r="V160" s="73"/>
      <c r="W160" s="69"/>
      <c r="X160" s="69"/>
      <c r="Y160" s="69"/>
      <c r="Z160" s="69"/>
      <c r="AA160" s="69"/>
      <c r="AB160" s="69"/>
      <c r="AC160" s="69"/>
    </row>
    <row r="161" spans="1:29" ht="15" customHeight="1">
      <c r="A161" s="81" t="s">
        <v>42</v>
      </c>
      <c r="B161" s="73"/>
      <c r="C161" s="73"/>
      <c r="D161" s="73"/>
      <c r="E161" s="73"/>
      <c r="F161" s="73"/>
      <c r="G161" s="73"/>
      <c r="H161" s="73"/>
      <c r="I161" s="73"/>
      <c r="J161" s="73"/>
      <c r="K161" s="73"/>
      <c r="L161" s="73"/>
      <c r="M161" s="73"/>
      <c r="N161" s="73"/>
      <c r="O161" s="73"/>
      <c r="P161" s="73"/>
      <c r="Q161" s="73"/>
      <c r="R161" s="73"/>
      <c r="S161" s="73"/>
      <c r="T161" s="73"/>
      <c r="U161" s="73"/>
      <c r="V161" s="73"/>
      <c r="W161" s="69"/>
      <c r="X161" s="69"/>
      <c r="Y161" s="69"/>
      <c r="Z161" s="69"/>
      <c r="AA161" s="69"/>
      <c r="AB161" s="69"/>
      <c r="AC161" s="69"/>
    </row>
    <row r="162" spans="1:29" ht="20.100000000000001" customHeight="1">
      <c r="A162" s="14" t="s">
        <v>45</v>
      </c>
      <c r="B162" s="15" t="s">
        <v>93</v>
      </c>
      <c r="C162" s="16" t="str">
        <f>IFERROR(INDEX(EJERCICIOS!$D$3:$D$75,MATCH(A162&amp;"|"&amp;B162,EJERCICIOS!$G$3:$G$75,0)),"--")</f>
        <v>--</v>
      </c>
      <c r="D162" s="17">
        <v>3</v>
      </c>
      <c r="E162" s="18">
        <f>IFERROR(LOOKUP(2,1/(MEDIDAS_Y_PESO!$B$3:$B$9&lt;&gt;""),MEDIDAS_Y_PESO!$B$3:$B$9),"--")</f>
        <v>80</v>
      </c>
      <c r="F162" s="19"/>
      <c r="G162" s="20"/>
      <c r="H162" s="21"/>
      <c r="I162" s="19"/>
      <c r="J162" s="20"/>
      <c r="K162" s="21"/>
      <c r="L162" s="19"/>
      <c r="M162" s="20"/>
      <c r="N162" s="21"/>
      <c r="O162" s="19"/>
      <c r="P162" s="20"/>
      <c r="Q162" s="21"/>
      <c r="R162" s="19"/>
      <c r="S162" s="20"/>
      <c r="T162" s="21"/>
      <c r="U162" s="22" t="str">
        <f>IFERROR(IF(IF(X162&gt;0,X162,IF(Z162&gt;0,Z162,IF(AB162&gt;0,AB162,0)))=0,"--",ROUND(CHOOSE(IF(X162&gt;0,X162,IF(Z162&gt;0,Z162,IF(AB162&gt;0,AB162,0))),IF(C162="peso_corporal",IF(ISNUMBER(E162),E162,0)+F162,F162)*(1+G162/30),IF(C162="peso_corporal",IF(ISNUMBER(E162),E162,0)+I162,I162)*(1+J162/30),IF(C162="peso_corporal",IF(ISNUMBER(E162),E162,0)+L162,L162)*(1+M162/30),IF(C162="peso_corporal",IF(ISNUMBER(E162),E162,0)+O162,O162)*(1+P162/30),IF(C162="peso_corporal",IF(ISNUMBER(E162),E162,0)+R162,R162)*(1+S162/30)),1)),"--")</f>
        <v>--</v>
      </c>
      <c r="V162" s="23" t="str">
        <f>IF(SUGERENCIAS!N419="SIN","Sin datos anteriores",IF(SUGERENCIAS!N419="SUBIR_F","^ SUBIR FUERTE | Kg:"&amp;ROUND(SUGERENCIAS!K419,1)&amp;" R:"&amp;ROUND(SUGERENCIAS!L419,0)&amp;" RIR:"&amp;ROUND(SUGERENCIAS!M419,0),IF(SUGERENCIAS!N419="SUBIR_E","^ SUBIR (Est.) | Kg:"&amp;ROUND(SUGERENCIAS!K419,1)&amp;" R:"&amp;ROUND(SUGERENCIAS!L419,0)&amp;" RIR:"&amp;ROUND(SUGERENCIAS!M419,0),IF(SUGERENCIAS!N419="SUBIR","^ SUBIR | Kg:"&amp;ROUND(SUGERENCIAS!K419,1)&amp;" R:"&amp;ROUND(SUGERENCIAS!L419,0)&amp;" RIR:"&amp;ROUND(SUGERENCIAS!M419,0),IF(SUGERENCIAS!N419="BAJAR","v BAJAR | Kg:"&amp;ROUND(SUGERENCIAS!K419,1)&amp;" R:"&amp;ROUND(SUGERENCIAS!L419,0)&amp;" RIR:"&amp;ROUND(SUGERENCIAS!M419,0),"= MANT | Kg:"&amp;ROUND(SUGERENCIAS!K419,1)&amp;" R:"&amp;ROUND(SUGERENCIAS!L419,0)&amp;" RIR:"&amp;ROUND(SUGERENCIAS!M419,0))))))</f>
        <v>Sin datos anteriores</v>
      </c>
      <c r="W162" s="69">
        <f>MAX(IF((G162&gt;0)*(IF(H162="",-1,H162)&gt;=1)*(IF(H162="",-1,H162)&lt;=3),IF(C162="peso_corporal",IF(ISNUMBER(E162),E162,0)+F162,F162)*G162*1000+F162,0),IF((J162&gt;0)*(IF(K162="",-1,K162)&gt;=1)*(IF(K162="",-1,K162)&lt;=3),IF(C162="peso_corporal",IF(ISNUMBER(E162),E162,0)+I162,I162)*J162*1000+I162,0),IF((M162&gt;0)*(IF(N162="",-1,N162)&gt;=1)*(IF(N162="",-1,N162)&lt;=3),IF(C162="peso_corporal",IF(ISNUMBER(E162),E162,0)+L162,L162)*M162*1000+L162,0),IF((P162&gt;0)*(IF(Q162="",-1,Q162)&gt;=1)*(IF(Q162="",-1,Q162)&lt;=3),IF(C162="peso_corporal",IF(ISNUMBER(E162),E162,0)+O162,O162)*P162*1000+O162,0),IF((S162&gt;0)*(IF(T162="",-1,T162)&gt;=1)*(IF(T162="",-1,T162)&lt;=3),IF(C162="peso_corporal",IF(ISNUMBER(E162),E162,0)+R162,R162)*S162*1000+R162,0))</f>
        <v>0</v>
      </c>
      <c r="X162" s="69">
        <f>IF(W162=0,0,IF(IF((S162&gt;0)*(IF(T162="",-1,T162)&gt;=1)*(IF(T162="",-1,T162)&lt;=3),IF(C162="peso_corporal",IF(ISNUMBER(E162),E162,0)+R162,R162)*S162*1000+R162,0)=W162,5,IF(IF((P162&gt;0)*(IF(Q162="",-1,Q162)&gt;=1)*(IF(Q162="",-1,Q162)&lt;=3),IF(C162="peso_corporal",IF(ISNUMBER(E162),E162,0)+O162,O162)*P162*1000+O162,0)=W162,4,IF(IF((M162&gt;0)*(IF(N162="",-1,N162)&gt;=1)*(IF(N162="",-1,N162)&lt;=3),IF(C162="peso_corporal",IF(ISNUMBER(E162),E162,0)+L162,L162)*M162*1000+L162,0)=W162,3,IF(IF((J162&gt;0)*(IF(K162="",-1,K162)&gt;=1)*(IF(K162="",-1,K162)&lt;=3),IF(C162="peso_corporal",IF(ISNUMBER(E162),E162,0)+I162,I162)*J162*1000+I162,0)=W162,2,IF(IF((G162&gt;0)*(IF(H162="",-1,H162)&gt;=1)*(IF(H162="",-1,H162)&lt;=3),IF(C162="peso_corporal",IF(ISNUMBER(E162),E162,0)+F162,F162)*G162*1000+F162,0)=W162,1,0))))))</f>
        <v>0</v>
      </c>
      <c r="Y162" s="69">
        <f>MAX(IF((G162&gt;0)*(IF(H162="",-1,H162)=0)*(1-(IF(H162="",-1,H162)&gt;=1)*(IF(H162="",-1,H162)&lt;=3)),IF(C162="peso_corporal",IF(ISNUMBER(E162),E162,0)+F162,F162)*G162*1000+F162,0),IF((J162&gt;0)*(IF(K162="",-1,K162)=0)*(1-(IF(K162="",-1,K162)&gt;=1)*(IF(K162="",-1,K162)&lt;=3)),IF(C162="peso_corporal",IF(ISNUMBER(E162),E162,0)+I162,I162)*J162*1000+I162,0),IF((M162&gt;0)*(IF(N162="",-1,N162)=0)*(1-(IF(N162="",-1,N162)&gt;=1)*(IF(N162="",-1,N162)&lt;=3)),IF(C162="peso_corporal",IF(ISNUMBER(E162),E162,0)+L162,L162)*M162*1000+L162,0),IF((P162&gt;0)*(IF(Q162="",-1,Q162)=0)*(1-(IF(Q162="",-1,Q162)&gt;=1)*(IF(Q162="",-1,Q162)&lt;=3)),IF(C162="peso_corporal",IF(ISNUMBER(E162),E162,0)+O162,O162)*P162*1000+O162,0),IF((S162&gt;0)*(IF(T162="",-1,T162)=0)*(1-(IF(T162="",-1,T162)&gt;=1)*(IF(T162="",-1,T162)&lt;=3)),IF(C162="peso_corporal",IF(ISNUMBER(E162),E162,0)+R162,R162)*S162*1000+R162,0))</f>
        <v>0</v>
      </c>
      <c r="Z162" s="69">
        <f>IF(Y162=0,0,IF(IF((S162&gt;0)*(IF(T162="",-1,T162)=0)*(1-(IF(T162="",-1,T162)&gt;=1)*(IF(T162="",-1,T162)&lt;=3)),IF(C162="peso_corporal",IF(ISNUMBER(E162),E162,0)+R162,R162)*S162*1000+R162,0)=Y162,5,IF(IF((P162&gt;0)*(IF(Q162="",-1,Q162)=0)*(1-(IF(Q162="",-1,Q162)&gt;=1)*(IF(Q162="",-1,Q162)&lt;=3)),IF(C162="peso_corporal",IF(ISNUMBER(E162),E162,0)+O162,O162)*P162*1000+O162,0)=Y162,4,IF(IF((M162&gt;0)*(IF(N162="",-1,N162)=0)*(1-(IF(N162="",-1,N162)&gt;=1)*(IF(N162="",-1,N162)&lt;=3)),IF(C162="peso_corporal",IF(ISNUMBER(E162),E162,0)+L162,L162)*M162*1000+L162,0)=Y162,3,IF(IF((J162&gt;0)*(IF(K162="",-1,K162)=0)*(1-(IF(K162="",-1,K162)&gt;=1)*(IF(K162="",-1,K162)&lt;=3)),IF(C162="peso_corporal",IF(ISNUMBER(E162),E162,0)+I162,I162)*J162*1000+I162,0)=Y162,2,IF(IF((G162&gt;0)*(IF(H162="",-1,H162)=0)*(1-(IF(H162="",-1,H162)&gt;=1)*(IF(H162="",-1,H162)&lt;=3)),IF(C162="peso_corporal",IF(ISNUMBER(E162),E162,0)+F162,F162)*G162*1000+F162,0)=Y162,1,0))))))</f>
        <v>0</v>
      </c>
      <c r="AA162" s="69">
        <f>MAX(IF((G162&gt;=6)*(1-(IF(H162="",-1,H162)&gt;=1)*(IF(H162="",-1,H162)&lt;=3))*(1-(IF(H162="",-1,H162)=0)),IF(C162="peso_corporal",IF(ISNUMBER(E162),E162,0)+F162,F162)*(30+G162)*100+F162,0),IF((J162&gt;=6)*(1-(IF(K162="",-1,K162)&gt;=1)*(IF(K162="",-1,K162)&lt;=3))*(1-(IF(K162="",-1,K162)=0)),IF(C162="peso_corporal",IF(ISNUMBER(E162),E162,0)+I162,I162)*(30+J162)*100+I162,0),IF((M162&gt;=6)*(1-(IF(N162="",-1,N162)&gt;=1)*(IF(N162="",-1,N162)&lt;=3))*(1-(IF(N162="",-1,N162)=0)),IF(C162="peso_corporal",IF(ISNUMBER(E162),E162,0)+L162,L162)*(30+M162)*100+L162,0),IF((P162&gt;=6)*(1-(IF(Q162="",-1,Q162)&gt;=1)*(IF(Q162="",-1,Q162)&lt;=3))*(1-(IF(Q162="",-1,Q162)=0)),IF(C162="peso_corporal",IF(ISNUMBER(E162),E162,0)+O162,O162)*(30+P162)*100+O162,0),IF((S162&gt;=6)*(1-(IF(T162="",-1,T162)&gt;=1)*(IF(T162="",-1,T162)&lt;=3))*(1-(IF(T162="",-1,T162)=0)),IF(C162="peso_corporal",IF(ISNUMBER(E162),E162,0)+R162,R162)*(30+S162)*100+R162,0))</f>
        <v>0</v>
      </c>
      <c r="AB162" s="69">
        <f>IF(AA162=0,0,IF(IF((S162&gt;=6)*(1-(IF(T162="",-1,T162)&gt;=1)*(IF(T162="",-1,T162)&lt;=3))*(1-(IF(T162="",-1,T162)=0)),IF(C162="peso_corporal",IF(ISNUMBER(E162),E162,0)+R162,R162)*(30+S162)*100+R162,0)=AA162,5,IF(IF((P162&gt;=6)*(1-(IF(Q162="",-1,Q162)&gt;=1)*(IF(Q162="",-1,Q162)&lt;=3))*(1-(IF(Q162="",-1,Q162)=0)),IF(C162="peso_corporal",IF(ISNUMBER(E162),E162,0)+O162,O162)*(30+P162)*100+O162,0)=AA162,4,IF(IF((M162&gt;=6)*(1-(IF(N162="",-1,N162)&gt;=1)*(IF(N162="",-1,N162)&lt;=3))*(1-(IF(N162="",-1,N162)=0)),IF(C162="peso_corporal",IF(ISNUMBER(E162),E162,0)+L162,L162)*(30+M162)*100+L162,0)=AA162,3,IF(IF((J162&gt;=6)*(1-(IF(K162="",-1,K162)&gt;=1)*(IF(K162="",-1,K162)&lt;=3))*(1-(IF(K162="",-1,K162)=0)),IF(C162="peso_corporal",IF(ISNUMBER(E162),E162,0)+I162,I162)*(30+J162)*100+I162,0)=AA162,2,IF(IF((G162&gt;=6)*(1-(IF(H162="",-1,H162)&gt;=1)*(IF(H162="",-1,H162)&lt;=3))*(1-(IF(H162="",-1,H162)=0)),IF(C162="peso_corporal",IF(ISNUMBER(E162),E162,0)+F162,F162)*(30+G162)*100+F162,0)=AA162,1,0))))))</f>
        <v>0</v>
      </c>
      <c r="AC162" s="69" t="str">
        <f>IF(X162&gt;0,"A"&amp;X162,IF(Z162&gt;0,"B"&amp;Z162,IF(AB162&gt;0,"C"&amp;AB162,"")))</f>
        <v/>
      </c>
    </row>
    <row r="163" spans="1:29" ht="20.100000000000001" customHeight="1">
      <c r="A163" s="14" t="s">
        <v>43</v>
      </c>
      <c r="B163" s="15" t="s">
        <v>159</v>
      </c>
      <c r="C163" s="16" t="str">
        <f>IFERROR(INDEX(EJERCICIOS!$D$3:$D$75,MATCH(A163&amp;"|"&amp;B163,EJERCICIOS!$G$3:$G$75,0)),"--")</f>
        <v>--</v>
      </c>
      <c r="D163" s="17">
        <v>3</v>
      </c>
      <c r="E163" s="18">
        <f>IFERROR(LOOKUP(2,1/(MEDIDAS_Y_PESO!$B$3:$B$9&lt;&gt;""),MEDIDAS_Y_PESO!$B$3:$B$9),"--")</f>
        <v>80</v>
      </c>
      <c r="F163" s="19"/>
      <c r="G163" s="20"/>
      <c r="H163" s="21"/>
      <c r="I163" s="19"/>
      <c r="J163" s="20"/>
      <c r="K163" s="21"/>
      <c r="L163" s="19"/>
      <c r="M163" s="20"/>
      <c r="N163" s="21"/>
      <c r="O163" s="19"/>
      <c r="P163" s="20"/>
      <c r="Q163" s="21"/>
      <c r="R163" s="19"/>
      <c r="S163" s="20"/>
      <c r="T163" s="21"/>
      <c r="U163" s="22" t="str">
        <f>IFERROR(IF(IF(X163&gt;0,X163,IF(Z163&gt;0,Z163,IF(AB163&gt;0,AB163,0)))=0,"--",ROUND(CHOOSE(IF(X163&gt;0,X163,IF(Z163&gt;0,Z163,IF(AB163&gt;0,AB163,0))),IF(C163="peso_corporal",IF(ISNUMBER(E163),E163,0)+F163,F163)*(1+G163/30),IF(C163="peso_corporal",IF(ISNUMBER(E163),E163,0)+I163,I163)*(1+J163/30),IF(C163="peso_corporal",IF(ISNUMBER(E163),E163,0)+L163,L163)*(1+M163/30),IF(C163="peso_corporal",IF(ISNUMBER(E163),E163,0)+O163,O163)*(1+P163/30),IF(C163="peso_corporal",IF(ISNUMBER(E163),E163,0)+R163,R163)*(1+S163/30)),1)),"--")</f>
        <v>--</v>
      </c>
      <c r="V163" s="23" t="str">
        <f>IF(SUGERENCIAS!N420="SIN","Sin datos anteriores",IF(SUGERENCIAS!N420="SUBIR_F","^ SUBIR FUERTE | Kg:"&amp;ROUND(SUGERENCIAS!K420,1)&amp;" R:"&amp;ROUND(SUGERENCIAS!L420,0)&amp;" RIR:"&amp;ROUND(SUGERENCIAS!M420,0),IF(SUGERENCIAS!N420="SUBIR_E","^ SUBIR (Est.) | Kg:"&amp;ROUND(SUGERENCIAS!K420,1)&amp;" R:"&amp;ROUND(SUGERENCIAS!L420,0)&amp;" RIR:"&amp;ROUND(SUGERENCIAS!M420,0),IF(SUGERENCIAS!N420="SUBIR","^ SUBIR | Kg:"&amp;ROUND(SUGERENCIAS!K420,1)&amp;" R:"&amp;ROUND(SUGERENCIAS!L420,0)&amp;" RIR:"&amp;ROUND(SUGERENCIAS!M420,0),IF(SUGERENCIAS!N420="BAJAR","v BAJAR | Kg:"&amp;ROUND(SUGERENCIAS!K420,1)&amp;" R:"&amp;ROUND(SUGERENCIAS!L420,0)&amp;" RIR:"&amp;ROUND(SUGERENCIAS!M420,0),"= MANT | Kg:"&amp;ROUND(SUGERENCIAS!K420,1)&amp;" R:"&amp;ROUND(SUGERENCIAS!L420,0)&amp;" RIR:"&amp;ROUND(SUGERENCIAS!M420,0))))))</f>
        <v>Sin datos anteriores</v>
      </c>
      <c r="W163" s="69">
        <f>MAX(IF((G163&gt;0)*(IF(H163="",-1,H163)&gt;=1)*(IF(H163="",-1,H163)&lt;=3),IF(C163="peso_corporal",IF(ISNUMBER(E163),E163,0)+F163,F163)*G163*1000+F163,0),IF((J163&gt;0)*(IF(K163="",-1,K163)&gt;=1)*(IF(K163="",-1,K163)&lt;=3),IF(C163="peso_corporal",IF(ISNUMBER(E163),E163,0)+I163,I163)*J163*1000+I163,0),IF((M163&gt;0)*(IF(N163="",-1,N163)&gt;=1)*(IF(N163="",-1,N163)&lt;=3),IF(C163="peso_corporal",IF(ISNUMBER(E163),E163,0)+L163,L163)*M163*1000+L163,0),IF((P163&gt;0)*(IF(Q163="",-1,Q163)&gt;=1)*(IF(Q163="",-1,Q163)&lt;=3),IF(C163="peso_corporal",IF(ISNUMBER(E163),E163,0)+O163,O163)*P163*1000+O163,0),IF((S163&gt;0)*(IF(T163="",-1,T163)&gt;=1)*(IF(T163="",-1,T163)&lt;=3),IF(C163="peso_corporal",IF(ISNUMBER(E163),E163,0)+R163,R163)*S163*1000+R163,0))</f>
        <v>0</v>
      </c>
      <c r="X163" s="69">
        <f>IF(W163=0,0,IF(IF((S163&gt;0)*(IF(T163="",-1,T163)&gt;=1)*(IF(T163="",-1,T163)&lt;=3),IF(C163="peso_corporal",IF(ISNUMBER(E163),E163,0)+R163,R163)*S163*1000+R163,0)=W163,5,IF(IF((P163&gt;0)*(IF(Q163="",-1,Q163)&gt;=1)*(IF(Q163="",-1,Q163)&lt;=3),IF(C163="peso_corporal",IF(ISNUMBER(E163),E163,0)+O163,O163)*P163*1000+O163,0)=W163,4,IF(IF((M163&gt;0)*(IF(N163="",-1,N163)&gt;=1)*(IF(N163="",-1,N163)&lt;=3),IF(C163="peso_corporal",IF(ISNUMBER(E163),E163,0)+L163,L163)*M163*1000+L163,0)=W163,3,IF(IF((J163&gt;0)*(IF(K163="",-1,K163)&gt;=1)*(IF(K163="",-1,K163)&lt;=3),IF(C163="peso_corporal",IF(ISNUMBER(E163),E163,0)+I163,I163)*J163*1000+I163,0)=W163,2,IF(IF((G163&gt;0)*(IF(H163="",-1,H163)&gt;=1)*(IF(H163="",-1,H163)&lt;=3),IF(C163="peso_corporal",IF(ISNUMBER(E163),E163,0)+F163,F163)*G163*1000+F163,0)=W163,1,0))))))</f>
        <v>0</v>
      </c>
      <c r="Y163" s="69">
        <f>MAX(IF((G163&gt;0)*(IF(H163="",-1,H163)=0)*(1-(IF(H163="",-1,H163)&gt;=1)*(IF(H163="",-1,H163)&lt;=3)),IF(C163="peso_corporal",IF(ISNUMBER(E163),E163,0)+F163,F163)*G163*1000+F163,0),IF((J163&gt;0)*(IF(K163="",-1,K163)=0)*(1-(IF(K163="",-1,K163)&gt;=1)*(IF(K163="",-1,K163)&lt;=3)),IF(C163="peso_corporal",IF(ISNUMBER(E163),E163,0)+I163,I163)*J163*1000+I163,0),IF((M163&gt;0)*(IF(N163="",-1,N163)=0)*(1-(IF(N163="",-1,N163)&gt;=1)*(IF(N163="",-1,N163)&lt;=3)),IF(C163="peso_corporal",IF(ISNUMBER(E163),E163,0)+L163,L163)*M163*1000+L163,0),IF((P163&gt;0)*(IF(Q163="",-1,Q163)=0)*(1-(IF(Q163="",-1,Q163)&gt;=1)*(IF(Q163="",-1,Q163)&lt;=3)),IF(C163="peso_corporal",IF(ISNUMBER(E163),E163,0)+O163,O163)*P163*1000+O163,0),IF((S163&gt;0)*(IF(T163="",-1,T163)=0)*(1-(IF(T163="",-1,T163)&gt;=1)*(IF(T163="",-1,T163)&lt;=3)),IF(C163="peso_corporal",IF(ISNUMBER(E163),E163,0)+R163,R163)*S163*1000+R163,0))</f>
        <v>0</v>
      </c>
      <c r="Z163" s="69">
        <f>IF(Y163=0,0,IF(IF((S163&gt;0)*(IF(T163="",-1,T163)=0)*(1-(IF(T163="",-1,T163)&gt;=1)*(IF(T163="",-1,T163)&lt;=3)),IF(C163="peso_corporal",IF(ISNUMBER(E163),E163,0)+R163,R163)*S163*1000+R163,0)=Y163,5,IF(IF((P163&gt;0)*(IF(Q163="",-1,Q163)=0)*(1-(IF(Q163="",-1,Q163)&gt;=1)*(IF(Q163="",-1,Q163)&lt;=3)),IF(C163="peso_corporal",IF(ISNUMBER(E163),E163,0)+O163,O163)*P163*1000+O163,0)=Y163,4,IF(IF((M163&gt;0)*(IF(N163="",-1,N163)=0)*(1-(IF(N163="",-1,N163)&gt;=1)*(IF(N163="",-1,N163)&lt;=3)),IF(C163="peso_corporal",IF(ISNUMBER(E163),E163,0)+L163,L163)*M163*1000+L163,0)=Y163,3,IF(IF((J163&gt;0)*(IF(K163="",-1,K163)=0)*(1-(IF(K163="",-1,K163)&gt;=1)*(IF(K163="",-1,K163)&lt;=3)),IF(C163="peso_corporal",IF(ISNUMBER(E163),E163,0)+I163,I163)*J163*1000+I163,0)=Y163,2,IF(IF((G163&gt;0)*(IF(H163="",-1,H163)=0)*(1-(IF(H163="",-1,H163)&gt;=1)*(IF(H163="",-1,H163)&lt;=3)),IF(C163="peso_corporal",IF(ISNUMBER(E163),E163,0)+F163,F163)*G163*1000+F163,0)=Y163,1,0))))))</f>
        <v>0</v>
      </c>
      <c r="AA163" s="69">
        <f>MAX(IF((G163&gt;=6)*(1-(IF(H163="",-1,H163)&gt;=1)*(IF(H163="",-1,H163)&lt;=3))*(1-(IF(H163="",-1,H163)=0)),IF(C163="peso_corporal",IF(ISNUMBER(E163),E163,0)+F163,F163)*(30+G163)*100+F163,0),IF((J163&gt;=6)*(1-(IF(K163="",-1,K163)&gt;=1)*(IF(K163="",-1,K163)&lt;=3))*(1-(IF(K163="",-1,K163)=0)),IF(C163="peso_corporal",IF(ISNUMBER(E163),E163,0)+I163,I163)*(30+J163)*100+I163,0),IF((M163&gt;=6)*(1-(IF(N163="",-1,N163)&gt;=1)*(IF(N163="",-1,N163)&lt;=3))*(1-(IF(N163="",-1,N163)=0)),IF(C163="peso_corporal",IF(ISNUMBER(E163),E163,0)+L163,L163)*(30+M163)*100+L163,0),IF((P163&gt;=6)*(1-(IF(Q163="",-1,Q163)&gt;=1)*(IF(Q163="",-1,Q163)&lt;=3))*(1-(IF(Q163="",-1,Q163)=0)),IF(C163="peso_corporal",IF(ISNUMBER(E163),E163,0)+O163,O163)*(30+P163)*100+O163,0),IF((S163&gt;=6)*(1-(IF(T163="",-1,T163)&gt;=1)*(IF(T163="",-1,T163)&lt;=3))*(1-(IF(T163="",-1,T163)=0)),IF(C163="peso_corporal",IF(ISNUMBER(E163),E163,0)+R163,R163)*(30+S163)*100+R163,0))</f>
        <v>0</v>
      </c>
      <c r="AB163" s="69">
        <f>IF(AA163=0,0,IF(IF((S163&gt;=6)*(1-(IF(T163="",-1,T163)&gt;=1)*(IF(T163="",-1,T163)&lt;=3))*(1-(IF(T163="",-1,T163)=0)),IF(C163="peso_corporal",IF(ISNUMBER(E163),E163,0)+R163,R163)*(30+S163)*100+R163,0)=AA163,5,IF(IF((P163&gt;=6)*(1-(IF(Q163="",-1,Q163)&gt;=1)*(IF(Q163="",-1,Q163)&lt;=3))*(1-(IF(Q163="",-1,Q163)=0)),IF(C163="peso_corporal",IF(ISNUMBER(E163),E163,0)+O163,O163)*(30+P163)*100+O163,0)=AA163,4,IF(IF((M163&gt;=6)*(1-(IF(N163="",-1,N163)&gt;=1)*(IF(N163="",-1,N163)&lt;=3))*(1-(IF(N163="",-1,N163)=0)),IF(C163="peso_corporal",IF(ISNUMBER(E163),E163,0)+L163,L163)*(30+M163)*100+L163,0)=AA163,3,IF(IF((J163&gt;=6)*(1-(IF(K163="",-1,K163)&gt;=1)*(IF(K163="",-1,K163)&lt;=3))*(1-(IF(K163="",-1,K163)=0)),IF(C163="peso_corporal",IF(ISNUMBER(E163),E163,0)+I163,I163)*(30+J163)*100+I163,0)=AA163,2,IF(IF((G163&gt;=6)*(1-(IF(H163="",-1,H163)&gt;=1)*(IF(H163="",-1,H163)&lt;=3))*(1-(IF(H163="",-1,H163)=0)),IF(C163="peso_corporal",IF(ISNUMBER(E163),E163,0)+F163,F163)*(30+G163)*100+F163,0)=AA163,1,0))))))</f>
        <v>0</v>
      </c>
      <c r="AC163" s="69" t="str">
        <f>IF(X163&gt;0,"A"&amp;X163,IF(Z163&gt;0,"B"&amp;Z163,IF(AB163&gt;0,"C"&amp;AB163,"")))</f>
        <v/>
      </c>
    </row>
    <row r="164" spans="1:29" ht="11.1" customHeight="1">
      <c r="A164" s="92" t="s">
        <v>160</v>
      </c>
      <c r="B164" s="73"/>
      <c r="C164" s="73"/>
      <c r="D164" s="73"/>
      <c r="E164" s="73"/>
      <c r="F164" s="73"/>
      <c r="G164" s="73"/>
      <c r="H164" s="73"/>
      <c r="I164" s="73"/>
      <c r="J164" s="73"/>
      <c r="K164" s="73"/>
      <c r="L164" s="73"/>
      <c r="M164" s="73"/>
      <c r="N164" s="73"/>
      <c r="O164" s="73"/>
      <c r="P164" s="73"/>
      <c r="Q164" s="73"/>
      <c r="R164" s="73"/>
      <c r="S164" s="73"/>
      <c r="T164" s="73"/>
      <c r="U164" s="73"/>
      <c r="V164" s="73"/>
      <c r="W164" s="69"/>
      <c r="X164" s="69"/>
      <c r="Y164" s="69"/>
      <c r="Z164" s="69"/>
      <c r="AA164" s="69"/>
      <c r="AB164" s="69"/>
      <c r="AC164" s="69"/>
    </row>
    <row r="165" spans="1:29" ht="20.100000000000001" customHeight="1">
      <c r="A165" s="14" t="s">
        <v>161</v>
      </c>
      <c r="B165" s="15" t="s">
        <v>162</v>
      </c>
      <c r="C165" s="16" t="str">
        <f>IFERROR(INDEX(EJERCICIOS!$D$3:$D$75,MATCH(A165&amp;"|"&amp;B165,EJERCICIOS!$G$3:$G$75,0)),"--")</f>
        <v>mancuerna</v>
      </c>
      <c r="D165" s="17">
        <v>3</v>
      </c>
      <c r="E165" s="18">
        <f>IFERROR(LOOKUP(2,1/(MEDIDAS_Y_PESO!$B$3:$B$9&lt;&gt;""),MEDIDAS_Y_PESO!$B$3:$B$9),"--")</f>
        <v>80</v>
      </c>
      <c r="F165" s="19"/>
      <c r="G165" s="20"/>
      <c r="H165" s="21"/>
      <c r="I165" s="19"/>
      <c r="J165" s="20"/>
      <c r="K165" s="21"/>
      <c r="L165" s="19"/>
      <c r="M165" s="20"/>
      <c r="N165" s="21"/>
      <c r="O165" s="19"/>
      <c r="P165" s="20"/>
      <c r="Q165" s="21"/>
      <c r="R165" s="19"/>
      <c r="S165" s="20"/>
      <c r="T165" s="21"/>
      <c r="U165" s="22" t="str">
        <f>IFERROR(IF(IF(X165&gt;0,X165,IF(Z165&gt;0,Z165,IF(AB165&gt;0,AB165,0)))=0,"--",ROUND(CHOOSE(IF(X165&gt;0,X165,IF(Z165&gt;0,Z165,IF(AB165&gt;0,AB165,0))),IF(C165="peso_corporal",IF(ISNUMBER(E165),E165,0)+F165,F165)*(1+G165/30),IF(C165="peso_corporal",IF(ISNUMBER(E165),E165,0)+I165,I165)*(1+J165/30),IF(C165="peso_corporal",IF(ISNUMBER(E165),E165,0)+L165,L165)*(1+M165/30),IF(C165="peso_corporal",IF(ISNUMBER(E165),E165,0)+O165,O165)*(1+P165/30),IF(C165="peso_corporal",IF(ISNUMBER(E165),E165,0)+R165,R165)*(1+S165/30)),1)),"--")</f>
        <v>--</v>
      </c>
      <c r="V165" s="23" t="str">
        <f>IF(SUGERENCIAS!N421="SIN","Sin datos anteriores",IF(SUGERENCIAS!N421="SUBIR_F","^ SUBIR FUERTE | Kg:"&amp;ROUND(SUGERENCIAS!K421,1)&amp;" R:"&amp;ROUND(SUGERENCIAS!L421,0)&amp;" RIR:"&amp;ROUND(SUGERENCIAS!M421,0),IF(SUGERENCIAS!N421="SUBIR_E","^ SUBIR (Est.) | Kg:"&amp;ROUND(SUGERENCIAS!K421,1)&amp;" R:"&amp;ROUND(SUGERENCIAS!L421,0)&amp;" RIR:"&amp;ROUND(SUGERENCIAS!M421,0),IF(SUGERENCIAS!N421="SUBIR","^ SUBIR | Kg:"&amp;ROUND(SUGERENCIAS!K421,1)&amp;" R:"&amp;ROUND(SUGERENCIAS!L421,0)&amp;" RIR:"&amp;ROUND(SUGERENCIAS!M421,0),IF(SUGERENCIAS!N421="BAJAR","v BAJAR | Kg:"&amp;ROUND(SUGERENCIAS!K421,1)&amp;" R:"&amp;ROUND(SUGERENCIAS!L421,0)&amp;" RIR:"&amp;ROUND(SUGERENCIAS!M421,0),"= MANT | Kg:"&amp;ROUND(SUGERENCIAS!K421,1)&amp;" R:"&amp;ROUND(SUGERENCIAS!L421,0)&amp;" RIR:"&amp;ROUND(SUGERENCIAS!M421,0))))))</f>
        <v>Sin datos anteriores</v>
      </c>
      <c r="W165" s="69">
        <f>MAX(IF((G165&gt;0)*(IF(H165="",-1,H165)&gt;=1)*(IF(H165="",-1,H165)&lt;=3),IF(C165="peso_corporal",IF(ISNUMBER(E165),E165,0)+F165,F165)*G165*1000+F165,0),IF((J165&gt;0)*(IF(K165="",-1,K165)&gt;=1)*(IF(K165="",-1,K165)&lt;=3),IF(C165="peso_corporal",IF(ISNUMBER(E165),E165,0)+I165,I165)*J165*1000+I165,0),IF((M165&gt;0)*(IF(N165="",-1,N165)&gt;=1)*(IF(N165="",-1,N165)&lt;=3),IF(C165="peso_corporal",IF(ISNUMBER(E165),E165,0)+L165,L165)*M165*1000+L165,0),IF((P165&gt;0)*(IF(Q165="",-1,Q165)&gt;=1)*(IF(Q165="",-1,Q165)&lt;=3),IF(C165="peso_corporal",IF(ISNUMBER(E165),E165,0)+O165,O165)*P165*1000+O165,0),IF((S165&gt;0)*(IF(T165="",-1,T165)&gt;=1)*(IF(T165="",-1,T165)&lt;=3),IF(C165="peso_corporal",IF(ISNUMBER(E165),E165,0)+R165,R165)*S165*1000+R165,0))</f>
        <v>0</v>
      </c>
      <c r="X165" s="69">
        <f>IF(W165=0,0,IF(IF((S165&gt;0)*(IF(T165="",-1,T165)&gt;=1)*(IF(T165="",-1,T165)&lt;=3),IF(C165="peso_corporal",IF(ISNUMBER(E165),E165,0)+R165,R165)*S165*1000+R165,0)=W165,5,IF(IF((P165&gt;0)*(IF(Q165="",-1,Q165)&gt;=1)*(IF(Q165="",-1,Q165)&lt;=3),IF(C165="peso_corporal",IF(ISNUMBER(E165),E165,0)+O165,O165)*P165*1000+O165,0)=W165,4,IF(IF((M165&gt;0)*(IF(N165="",-1,N165)&gt;=1)*(IF(N165="",-1,N165)&lt;=3),IF(C165="peso_corporal",IF(ISNUMBER(E165),E165,0)+L165,L165)*M165*1000+L165,0)=W165,3,IF(IF((J165&gt;0)*(IF(K165="",-1,K165)&gt;=1)*(IF(K165="",-1,K165)&lt;=3),IF(C165="peso_corporal",IF(ISNUMBER(E165),E165,0)+I165,I165)*J165*1000+I165,0)=W165,2,IF(IF((G165&gt;0)*(IF(H165="",-1,H165)&gt;=1)*(IF(H165="",-1,H165)&lt;=3),IF(C165="peso_corporal",IF(ISNUMBER(E165),E165,0)+F165,F165)*G165*1000+F165,0)=W165,1,0))))))</f>
        <v>0</v>
      </c>
      <c r="Y165" s="69">
        <f>MAX(IF((G165&gt;0)*(IF(H165="",-1,H165)=0)*(1-(IF(H165="",-1,H165)&gt;=1)*(IF(H165="",-1,H165)&lt;=3)),IF(C165="peso_corporal",IF(ISNUMBER(E165),E165,0)+F165,F165)*G165*1000+F165,0),IF((J165&gt;0)*(IF(K165="",-1,K165)=0)*(1-(IF(K165="",-1,K165)&gt;=1)*(IF(K165="",-1,K165)&lt;=3)),IF(C165="peso_corporal",IF(ISNUMBER(E165),E165,0)+I165,I165)*J165*1000+I165,0),IF((M165&gt;0)*(IF(N165="",-1,N165)=0)*(1-(IF(N165="",-1,N165)&gt;=1)*(IF(N165="",-1,N165)&lt;=3)),IF(C165="peso_corporal",IF(ISNUMBER(E165),E165,0)+L165,L165)*M165*1000+L165,0),IF((P165&gt;0)*(IF(Q165="",-1,Q165)=0)*(1-(IF(Q165="",-1,Q165)&gt;=1)*(IF(Q165="",-1,Q165)&lt;=3)),IF(C165="peso_corporal",IF(ISNUMBER(E165),E165,0)+O165,O165)*P165*1000+O165,0),IF((S165&gt;0)*(IF(T165="",-1,T165)=0)*(1-(IF(T165="",-1,T165)&gt;=1)*(IF(T165="",-1,T165)&lt;=3)),IF(C165="peso_corporal",IF(ISNUMBER(E165),E165,0)+R165,R165)*S165*1000+R165,0))</f>
        <v>0</v>
      </c>
      <c r="Z165" s="69">
        <f>IF(Y165=0,0,IF(IF((S165&gt;0)*(IF(T165="",-1,T165)=0)*(1-(IF(T165="",-1,T165)&gt;=1)*(IF(T165="",-1,T165)&lt;=3)),IF(C165="peso_corporal",IF(ISNUMBER(E165),E165,0)+R165,R165)*S165*1000+R165,0)=Y165,5,IF(IF((P165&gt;0)*(IF(Q165="",-1,Q165)=0)*(1-(IF(Q165="",-1,Q165)&gt;=1)*(IF(Q165="",-1,Q165)&lt;=3)),IF(C165="peso_corporal",IF(ISNUMBER(E165),E165,0)+O165,O165)*P165*1000+O165,0)=Y165,4,IF(IF((M165&gt;0)*(IF(N165="",-1,N165)=0)*(1-(IF(N165="",-1,N165)&gt;=1)*(IF(N165="",-1,N165)&lt;=3)),IF(C165="peso_corporal",IF(ISNUMBER(E165),E165,0)+L165,L165)*M165*1000+L165,0)=Y165,3,IF(IF((J165&gt;0)*(IF(K165="",-1,K165)=0)*(1-(IF(K165="",-1,K165)&gt;=1)*(IF(K165="",-1,K165)&lt;=3)),IF(C165="peso_corporal",IF(ISNUMBER(E165),E165,0)+I165,I165)*J165*1000+I165,0)=Y165,2,IF(IF((G165&gt;0)*(IF(H165="",-1,H165)=0)*(1-(IF(H165="",-1,H165)&gt;=1)*(IF(H165="",-1,H165)&lt;=3)),IF(C165="peso_corporal",IF(ISNUMBER(E165),E165,0)+F165,F165)*G165*1000+F165,0)=Y165,1,0))))))</f>
        <v>0</v>
      </c>
      <c r="AA165" s="69">
        <f>MAX(IF((G165&gt;=6)*(1-(IF(H165="",-1,H165)&gt;=1)*(IF(H165="",-1,H165)&lt;=3))*(1-(IF(H165="",-1,H165)=0)),IF(C165="peso_corporal",IF(ISNUMBER(E165),E165,0)+F165,F165)*(30+G165)*100+F165,0),IF((J165&gt;=6)*(1-(IF(K165="",-1,K165)&gt;=1)*(IF(K165="",-1,K165)&lt;=3))*(1-(IF(K165="",-1,K165)=0)),IF(C165="peso_corporal",IF(ISNUMBER(E165),E165,0)+I165,I165)*(30+J165)*100+I165,0),IF((M165&gt;=6)*(1-(IF(N165="",-1,N165)&gt;=1)*(IF(N165="",-1,N165)&lt;=3))*(1-(IF(N165="",-1,N165)=0)),IF(C165="peso_corporal",IF(ISNUMBER(E165),E165,0)+L165,L165)*(30+M165)*100+L165,0),IF((P165&gt;=6)*(1-(IF(Q165="",-1,Q165)&gt;=1)*(IF(Q165="",-1,Q165)&lt;=3))*(1-(IF(Q165="",-1,Q165)=0)),IF(C165="peso_corporal",IF(ISNUMBER(E165),E165,0)+O165,O165)*(30+P165)*100+O165,0),IF((S165&gt;=6)*(1-(IF(T165="",-1,T165)&gt;=1)*(IF(T165="",-1,T165)&lt;=3))*(1-(IF(T165="",-1,T165)=0)),IF(C165="peso_corporal",IF(ISNUMBER(E165),E165,0)+R165,R165)*(30+S165)*100+R165,0))</f>
        <v>0</v>
      </c>
      <c r="AB165" s="69">
        <f>IF(AA165=0,0,IF(IF((S165&gt;=6)*(1-(IF(T165="",-1,T165)&gt;=1)*(IF(T165="",-1,T165)&lt;=3))*(1-(IF(T165="",-1,T165)=0)),IF(C165="peso_corporal",IF(ISNUMBER(E165),E165,0)+R165,R165)*(30+S165)*100+R165,0)=AA165,5,IF(IF((P165&gt;=6)*(1-(IF(Q165="",-1,Q165)&gt;=1)*(IF(Q165="",-1,Q165)&lt;=3))*(1-(IF(Q165="",-1,Q165)=0)),IF(C165="peso_corporal",IF(ISNUMBER(E165),E165,0)+O165,O165)*(30+P165)*100+O165,0)=AA165,4,IF(IF((M165&gt;=6)*(1-(IF(N165="",-1,N165)&gt;=1)*(IF(N165="",-1,N165)&lt;=3))*(1-(IF(N165="",-1,N165)=0)),IF(C165="peso_corporal",IF(ISNUMBER(E165),E165,0)+L165,L165)*(30+M165)*100+L165,0)=AA165,3,IF(IF((J165&gt;=6)*(1-(IF(K165="",-1,K165)&gt;=1)*(IF(K165="",-1,K165)&lt;=3))*(1-(IF(K165="",-1,K165)=0)),IF(C165="peso_corporal",IF(ISNUMBER(E165),E165,0)+I165,I165)*(30+J165)*100+I165,0)=AA165,2,IF(IF((G165&gt;=6)*(1-(IF(H165="",-1,H165)&gt;=1)*(IF(H165="",-1,H165)&lt;=3))*(1-(IF(H165="",-1,H165)=0)),IF(C165="peso_corporal",IF(ISNUMBER(E165),E165,0)+F165,F165)*(30+G165)*100+F165,0)=AA165,1,0))))))</f>
        <v>0</v>
      </c>
      <c r="AC165" s="69" t="str">
        <f>IF(X165&gt;0,"A"&amp;X165,IF(Z165&gt;0,"B"&amp;Z165,IF(AB165&gt;0,"C"&amp;AB165,"")))</f>
        <v/>
      </c>
    </row>
    <row r="166" spans="1:29" ht="20.100000000000001" customHeight="1">
      <c r="A166" s="14" t="s">
        <v>163</v>
      </c>
      <c r="B166" s="15" t="s">
        <v>52</v>
      </c>
      <c r="C166" s="16" t="str">
        <f>IFERROR(INDEX(EJERCICIOS!$D$3:$D$75,MATCH(A166&amp;"|"&amp;B166,EJERCICIOS!$G$3:$G$75,0)),"--")</f>
        <v>polea</v>
      </c>
      <c r="D166" s="17">
        <v>3</v>
      </c>
      <c r="E166" s="18">
        <f>IFERROR(LOOKUP(2,1/(MEDIDAS_Y_PESO!$B$3:$B$9&lt;&gt;""),MEDIDAS_Y_PESO!$B$3:$B$9),"--")</f>
        <v>80</v>
      </c>
      <c r="F166" s="19"/>
      <c r="G166" s="20"/>
      <c r="H166" s="21"/>
      <c r="I166" s="19"/>
      <c r="J166" s="20"/>
      <c r="K166" s="21"/>
      <c r="L166" s="19"/>
      <c r="M166" s="20"/>
      <c r="N166" s="21"/>
      <c r="O166" s="19"/>
      <c r="P166" s="20"/>
      <c r="Q166" s="21"/>
      <c r="R166" s="19"/>
      <c r="S166" s="20"/>
      <c r="T166" s="21"/>
      <c r="U166" s="22" t="str">
        <f>IFERROR(IF(IF(X166&gt;0,X166,IF(Z166&gt;0,Z166,IF(AB166&gt;0,AB166,0)))=0,"--",ROUND(CHOOSE(IF(X166&gt;0,X166,IF(Z166&gt;0,Z166,IF(AB166&gt;0,AB166,0))),IF(C166="peso_corporal",IF(ISNUMBER(E166),E166,0)+F166,F166)*(1+G166/30),IF(C166="peso_corporal",IF(ISNUMBER(E166),E166,0)+I166,I166)*(1+J166/30),IF(C166="peso_corporal",IF(ISNUMBER(E166),E166,0)+L166,L166)*(1+M166/30),IF(C166="peso_corporal",IF(ISNUMBER(E166),E166,0)+O166,O166)*(1+P166/30),IF(C166="peso_corporal",IF(ISNUMBER(E166),E166,0)+R166,R166)*(1+S166/30)),1)),"--")</f>
        <v>--</v>
      </c>
      <c r="V166" s="23" t="str">
        <f>IF(SUGERENCIAS!N422="SIN","Sin datos anteriores",IF(SUGERENCIAS!N422="SUBIR_F","^ SUBIR FUERTE | Kg:"&amp;ROUND(SUGERENCIAS!K422,1)&amp;" R:"&amp;ROUND(SUGERENCIAS!L422,0)&amp;" RIR:"&amp;ROUND(SUGERENCIAS!M422,0),IF(SUGERENCIAS!N422="SUBIR_E","^ SUBIR (Est.) | Kg:"&amp;ROUND(SUGERENCIAS!K422,1)&amp;" R:"&amp;ROUND(SUGERENCIAS!L422,0)&amp;" RIR:"&amp;ROUND(SUGERENCIAS!M422,0),IF(SUGERENCIAS!N422="SUBIR","^ SUBIR | Kg:"&amp;ROUND(SUGERENCIAS!K422,1)&amp;" R:"&amp;ROUND(SUGERENCIAS!L422,0)&amp;" RIR:"&amp;ROUND(SUGERENCIAS!M422,0),IF(SUGERENCIAS!N422="BAJAR","v BAJAR | Kg:"&amp;ROUND(SUGERENCIAS!K422,1)&amp;" R:"&amp;ROUND(SUGERENCIAS!L422,0)&amp;" RIR:"&amp;ROUND(SUGERENCIAS!M422,0),"= MANT | Kg:"&amp;ROUND(SUGERENCIAS!K422,1)&amp;" R:"&amp;ROUND(SUGERENCIAS!L422,0)&amp;" RIR:"&amp;ROUND(SUGERENCIAS!M422,0))))))</f>
        <v>Sin datos anteriores</v>
      </c>
      <c r="W166" s="69">
        <f>MAX(IF((G166&gt;0)*(IF(H166="",-1,H166)&gt;=1)*(IF(H166="",-1,H166)&lt;=3),IF(C166="peso_corporal",IF(ISNUMBER(E166),E166,0)+F166,F166)*G166*1000+F166,0),IF((J166&gt;0)*(IF(K166="",-1,K166)&gt;=1)*(IF(K166="",-1,K166)&lt;=3),IF(C166="peso_corporal",IF(ISNUMBER(E166),E166,0)+I166,I166)*J166*1000+I166,0),IF((M166&gt;0)*(IF(N166="",-1,N166)&gt;=1)*(IF(N166="",-1,N166)&lt;=3),IF(C166="peso_corporal",IF(ISNUMBER(E166),E166,0)+L166,L166)*M166*1000+L166,0),IF((P166&gt;0)*(IF(Q166="",-1,Q166)&gt;=1)*(IF(Q166="",-1,Q166)&lt;=3),IF(C166="peso_corporal",IF(ISNUMBER(E166),E166,0)+O166,O166)*P166*1000+O166,0),IF((S166&gt;0)*(IF(T166="",-1,T166)&gt;=1)*(IF(T166="",-1,T166)&lt;=3),IF(C166="peso_corporal",IF(ISNUMBER(E166),E166,0)+R166,R166)*S166*1000+R166,0))</f>
        <v>0</v>
      </c>
      <c r="X166" s="69">
        <f>IF(W166=0,0,IF(IF((S166&gt;0)*(IF(T166="",-1,T166)&gt;=1)*(IF(T166="",-1,T166)&lt;=3),IF(C166="peso_corporal",IF(ISNUMBER(E166),E166,0)+R166,R166)*S166*1000+R166,0)=W166,5,IF(IF((P166&gt;0)*(IF(Q166="",-1,Q166)&gt;=1)*(IF(Q166="",-1,Q166)&lt;=3),IF(C166="peso_corporal",IF(ISNUMBER(E166),E166,0)+O166,O166)*P166*1000+O166,0)=W166,4,IF(IF((M166&gt;0)*(IF(N166="",-1,N166)&gt;=1)*(IF(N166="",-1,N166)&lt;=3),IF(C166="peso_corporal",IF(ISNUMBER(E166),E166,0)+L166,L166)*M166*1000+L166,0)=W166,3,IF(IF((J166&gt;0)*(IF(K166="",-1,K166)&gt;=1)*(IF(K166="",-1,K166)&lt;=3),IF(C166="peso_corporal",IF(ISNUMBER(E166),E166,0)+I166,I166)*J166*1000+I166,0)=W166,2,IF(IF((G166&gt;0)*(IF(H166="",-1,H166)&gt;=1)*(IF(H166="",-1,H166)&lt;=3),IF(C166="peso_corporal",IF(ISNUMBER(E166),E166,0)+F166,F166)*G166*1000+F166,0)=W166,1,0))))))</f>
        <v>0</v>
      </c>
      <c r="Y166" s="69">
        <f>MAX(IF((G166&gt;0)*(IF(H166="",-1,H166)=0)*(1-(IF(H166="",-1,H166)&gt;=1)*(IF(H166="",-1,H166)&lt;=3)),IF(C166="peso_corporal",IF(ISNUMBER(E166),E166,0)+F166,F166)*G166*1000+F166,0),IF((J166&gt;0)*(IF(K166="",-1,K166)=0)*(1-(IF(K166="",-1,K166)&gt;=1)*(IF(K166="",-1,K166)&lt;=3)),IF(C166="peso_corporal",IF(ISNUMBER(E166),E166,0)+I166,I166)*J166*1000+I166,0),IF((M166&gt;0)*(IF(N166="",-1,N166)=0)*(1-(IF(N166="",-1,N166)&gt;=1)*(IF(N166="",-1,N166)&lt;=3)),IF(C166="peso_corporal",IF(ISNUMBER(E166),E166,0)+L166,L166)*M166*1000+L166,0),IF((P166&gt;0)*(IF(Q166="",-1,Q166)=0)*(1-(IF(Q166="",-1,Q166)&gt;=1)*(IF(Q166="",-1,Q166)&lt;=3)),IF(C166="peso_corporal",IF(ISNUMBER(E166),E166,0)+O166,O166)*P166*1000+O166,0),IF((S166&gt;0)*(IF(T166="",-1,T166)=0)*(1-(IF(T166="",-1,T166)&gt;=1)*(IF(T166="",-1,T166)&lt;=3)),IF(C166="peso_corporal",IF(ISNUMBER(E166),E166,0)+R166,R166)*S166*1000+R166,0))</f>
        <v>0</v>
      </c>
      <c r="Z166" s="69">
        <f>IF(Y166=0,0,IF(IF((S166&gt;0)*(IF(T166="",-1,T166)=0)*(1-(IF(T166="",-1,T166)&gt;=1)*(IF(T166="",-1,T166)&lt;=3)),IF(C166="peso_corporal",IF(ISNUMBER(E166),E166,0)+R166,R166)*S166*1000+R166,0)=Y166,5,IF(IF((P166&gt;0)*(IF(Q166="",-1,Q166)=0)*(1-(IF(Q166="",-1,Q166)&gt;=1)*(IF(Q166="",-1,Q166)&lt;=3)),IF(C166="peso_corporal",IF(ISNUMBER(E166),E166,0)+O166,O166)*P166*1000+O166,0)=Y166,4,IF(IF((M166&gt;0)*(IF(N166="",-1,N166)=0)*(1-(IF(N166="",-1,N166)&gt;=1)*(IF(N166="",-1,N166)&lt;=3)),IF(C166="peso_corporal",IF(ISNUMBER(E166),E166,0)+L166,L166)*M166*1000+L166,0)=Y166,3,IF(IF((J166&gt;0)*(IF(K166="",-1,K166)=0)*(1-(IF(K166="",-1,K166)&gt;=1)*(IF(K166="",-1,K166)&lt;=3)),IF(C166="peso_corporal",IF(ISNUMBER(E166),E166,0)+I166,I166)*J166*1000+I166,0)=Y166,2,IF(IF((G166&gt;0)*(IF(H166="",-1,H166)=0)*(1-(IF(H166="",-1,H166)&gt;=1)*(IF(H166="",-1,H166)&lt;=3)),IF(C166="peso_corporal",IF(ISNUMBER(E166),E166,0)+F166,F166)*G166*1000+F166,0)=Y166,1,0))))))</f>
        <v>0</v>
      </c>
      <c r="AA166" s="69">
        <f>MAX(IF((G166&gt;=6)*(1-(IF(H166="",-1,H166)&gt;=1)*(IF(H166="",-1,H166)&lt;=3))*(1-(IF(H166="",-1,H166)=0)),IF(C166="peso_corporal",IF(ISNUMBER(E166),E166,0)+F166,F166)*(30+G166)*100+F166,0),IF((J166&gt;=6)*(1-(IF(K166="",-1,K166)&gt;=1)*(IF(K166="",-1,K166)&lt;=3))*(1-(IF(K166="",-1,K166)=0)),IF(C166="peso_corporal",IF(ISNUMBER(E166),E166,0)+I166,I166)*(30+J166)*100+I166,0),IF((M166&gt;=6)*(1-(IF(N166="",-1,N166)&gt;=1)*(IF(N166="",-1,N166)&lt;=3))*(1-(IF(N166="",-1,N166)=0)),IF(C166="peso_corporal",IF(ISNUMBER(E166),E166,0)+L166,L166)*(30+M166)*100+L166,0),IF((P166&gt;=6)*(1-(IF(Q166="",-1,Q166)&gt;=1)*(IF(Q166="",-1,Q166)&lt;=3))*(1-(IF(Q166="",-1,Q166)=0)),IF(C166="peso_corporal",IF(ISNUMBER(E166),E166,0)+O166,O166)*(30+P166)*100+O166,0),IF((S166&gt;=6)*(1-(IF(T166="",-1,T166)&gt;=1)*(IF(T166="",-1,T166)&lt;=3))*(1-(IF(T166="",-1,T166)=0)),IF(C166="peso_corporal",IF(ISNUMBER(E166),E166,0)+R166,R166)*(30+S166)*100+R166,0))</f>
        <v>0</v>
      </c>
      <c r="AB166" s="69">
        <f>IF(AA166=0,0,IF(IF((S166&gt;=6)*(1-(IF(T166="",-1,T166)&gt;=1)*(IF(T166="",-1,T166)&lt;=3))*(1-(IF(T166="",-1,T166)=0)),IF(C166="peso_corporal",IF(ISNUMBER(E166),E166,0)+R166,R166)*(30+S166)*100+R166,0)=AA166,5,IF(IF((P166&gt;=6)*(1-(IF(Q166="",-1,Q166)&gt;=1)*(IF(Q166="",-1,Q166)&lt;=3))*(1-(IF(Q166="",-1,Q166)=0)),IF(C166="peso_corporal",IF(ISNUMBER(E166),E166,0)+O166,O166)*(30+P166)*100+O166,0)=AA166,4,IF(IF((M166&gt;=6)*(1-(IF(N166="",-1,N166)&gt;=1)*(IF(N166="",-1,N166)&lt;=3))*(1-(IF(N166="",-1,N166)=0)),IF(C166="peso_corporal",IF(ISNUMBER(E166),E166,0)+L166,L166)*(30+M166)*100+L166,0)=AA166,3,IF(IF((J166&gt;=6)*(1-(IF(K166="",-1,K166)&gt;=1)*(IF(K166="",-1,K166)&lt;=3))*(1-(IF(K166="",-1,K166)=0)),IF(C166="peso_corporal",IF(ISNUMBER(E166),E166,0)+I166,I166)*(30+J166)*100+I166,0)=AA166,2,IF(IF((G166&gt;=6)*(1-(IF(H166="",-1,H166)&gt;=1)*(IF(H166="",-1,H166)&lt;=3))*(1-(IF(H166="",-1,H166)=0)),IF(C166="peso_corporal",IF(ISNUMBER(E166),E166,0)+F166,F166)*(30+G166)*100+F166,0)=AA166,1,0))))))</f>
        <v>0</v>
      </c>
      <c r="AC166" s="69" t="str">
        <f>IF(X166&gt;0,"A"&amp;X166,IF(Z166&gt;0,"B"&amp;Z166,IF(AB166&gt;0,"C"&amp;AB166,"")))</f>
        <v/>
      </c>
    </row>
    <row r="167" spans="1:29" ht="20.100000000000001" customHeight="1">
      <c r="A167" s="14" t="s">
        <v>164</v>
      </c>
      <c r="B167" s="15" t="s">
        <v>114</v>
      </c>
      <c r="C167" s="16" t="str">
        <f>IFERROR(INDEX(EJERCICIOS!$D$3:$D$75,MATCH(A167&amp;"|"&amp;B167,EJERCICIOS!$G$3:$G$75,0)),"--")</f>
        <v>polea</v>
      </c>
      <c r="D167" s="17">
        <v>3</v>
      </c>
      <c r="E167" s="18">
        <f>IFERROR(LOOKUP(2,1/(MEDIDAS_Y_PESO!$B$3:$B$9&lt;&gt;""),MEDIDAS_Y_PESO!$B$3:$B$9),"--")</f>
        <v>80</v>
      </c>
      <c r="F167" s="19"/>
      <c r="G167" s="20"/>
      <c r="H167" s="21"/>
      <c r="I167" s="19"/>
      <c r="J167" s="20"/>
      <c r="K167" s="21"/>
      <c r="L167" s="19"/>
      <c r="M167" s="20"/>
      <c r="N167" s="21"/>
      <c r="O167" s="19"/>
      <c r="P167" s="20"/>
      <c r="Q167" s="21"/>
      <c r="R167" s="19"/>
      <c r="S167" s="20"/>
      <c r="T167" s="21"/>
      <c r="U167" s="22" t="str">
        <f>IFERROR(IF(IF(X167&gt;0,X167,IF(Z167&gt;0,Z167,IF(AB167&gt;0,AB167,0)))=0,"--",ROUND(CHOOSE(IF(X167&gt;0,X167,IF(Z167&gt;0,Z167,IF(AB167&gt;0,AB167,0))),IF(C167="peso_corporal",IF(ISNUMBER(E167),E167,0)+F167,F167)*(1+G167/30),IF(C167="peso_corporal",IF(ISNUMBER(E167),E167,0)+I167,I167)*(1+J167/30),IF(C167="peso_corporal",IF(ISNUMBER(E167),E167,0)+L167,L167)*(1+M167/30),IF(C167="peso_corporal",IF(ISNUMBER(E167),E167,0)+O167,O167)*(1+P167/30),IF(C167="peso_corporal",IF(ISNUMBER(E167),E167,0)+R167,R167)*(1+S167/30)),1)),"--")</f>
        <v>--</v>
      </c>
      <c r="V167" s="23" t="str">
        <f>IF(SUGERENCIAS!N423="SIN","Sin datos anteriores",IF(SUGERENCIAS!N423="SUBIR_F","^ SUBIR FUERTE | Kg:"&amp;ROUND(SUGERENCIAS!K423,1)&amp;" R:"&amp;ROUND(SUGERENCIAS!L423,0)&amp;" RIR:"&amp;ROUND(SUGERENCIAS!M423,0),IF(SUGERENCIAS!N423="SUBIR_E","^ SUBIR (Est.) | Kg:"&amp;ROUND(SUGERENCIAS!K423,1)&amp;" R:"&amp;ROUND(SUGERENCIAS!L423,0)&amp;" RIR:"&amp;ROUND(SUGERENCIAS!M423,0),IF(SUGERENCIAS!N423="SUBIR","^ SUBIR | Kg:"&amp;ROUND(SUGERENCIAS!K423,1)&amp;" R:"&amp;ROUND(SUGERENCIAS!L423,0)&amp;" RIR:"&amp;ROUND(SUGERENCIAS!M423,0),IF(SUGERENCIAS!N423="BAJAR","v BAJAR | Kg:"&amp;ROUND(SUGERENCIAS!K423,1)&amp;" R:"&amp;ROUND(SUGERENCIAS!L423,0)&amp;" RIR:"&amp;ROUND(SUGERENCIAS!M423,0),"= MANT | Kg:"&amp;ROUND(SUGERENCIAS!K423,1)&amp;" R:"&amp;ROUND(SUGERENCIAS!L423,0)&amp;" RIR:"&amp;ROUND(SUGERENCIAS!M423,0))))))</f>
        <v>Sin datos anteriores</v>
      </c>
      <c r="W167" s="69">
        <f>MAX(IF((G167&gt;0)*(IF(H167="",-1,H167)&gt;=1)*(IF(H167="",-1,H167)&lt;=3),IF(C167="peso_corporal",IF(ISNUMBER(E167),E167,0)+F167,F167)*G167*1000+F167,0),IF((J167&gt;0)*(IF(K167="",-1,K167)&gt;=1)*(IF(K167="",-1,K167)&lt;=3),IF(C167="peso_corporal",IF(ISNUMBER(E167),E167,0)+I167,I167)*J167*1000+I167,0),IF((M167&gt;0)*(IF(N167="",-1,N167)&gt;=1)*(IF(N167="",-1,N167)&lt;=3),IF(C167="peso_corporal",IF(ISNUMBER(E167),E167,0)+L167,L167)*M167*1000+L167,0),IF((P167&gt;0)*(IF(Q167="",-1,Q167)&gt;=1)*(IF(Q167="",-1,Q167)&lt;=3),IF(C167="peso_corporal",IF(ISNUMBER(E167),E167,0)+O167,O167)*P167*1000+O167,0),IF((S167&gt;0)*(IF(T167="",-1,T167)&gt;=1)*(IF(T167="",-1,T167)&lt;=3),IF(C167="peso_corporal",IF(ISNUMBER(E167),E167,0)+R167,R167)*S167*1000+R167,0))</f>
        <v>0</v>
      </c>
      <c r="X167" s="69">
        <f>IF(W167=0,0,IF(IF((S167&gt;0)*(IF(T167="",-1,T167)&gt;=1)*(IF(T167="",-1,T167)&lt;=3),IF(C167="peso_corporal",IF(ISNUMBER(E167),E167,0)+R167,R167)*S167*1000+R167,0)=W167,5,IF(IF((P167&gt;0)*(IF(Q167="",-1,Q167)&gt;=1)*(IF(Q167="",-1,Q167)&lt;=3),IF(C167="peso_corporal",IF(ISNUMBER(E167),E167,0)+O167,O167)*P167*1000+O167,0)=W167,4,IF(IF((M167&gt;0)*(IF(N167="",-1,N167)&gt;=1)*(IF(N167="",-1,N167)&lt;=3),IF(C167="peso_corporal",IF(ISNUMBER(E167),E167,0)+L167,L167)*M167*1000+L167,0)=W167,3,IF(IF((J167&gt;0)*(IF(K167="",-1,K167)&gt;=1)*(IF(K167="",-1,K167)&lt;=3),IF(C167="peso_corporal",IF(ISNUMBER(E167),E167,0)+I167,I167)*J167*1000+I167,0)=W167,2,IF(IF((G167&gt;0)*(IF(H167="",-1,H167)&gt;=1)*(IF(H167="",-1,H167)&lt;=3),IF(C167="peso_corporal",IF(ISNUMBER(E167),E167,0)+F167,F167)*G167*1000+F167,0)=W167,1,0))))))</f>
        <v>0</v>
      </c>
      <c r="Y167" s="69">
        <f>MAX(IF((G167&gt;0)*(IF(H167="",-1,H167)=0)*(1-(IF(H167="",-1,H167)&gt;=1)*(IF(H167="",-1,H167)&lt;=3)),IF(C167="peso_corporal",IF(ISNUMBER(E167),E167,0)+F167,F167)*G167*1000+F167,0),IF((J167&gt;0)*(IF(K167="",-1,K167)=0)*(1-(IF(K167="",-1,K167)&gt;=1)*(IF(K167="",-1,K167)&lt;=3)),IF(C167="peso_corporal",IF(ISNUMBER(E167),E167,0)+I167,I167)*J167*1000+I167,0),IF((M167&gt;0)*(IF(N167="",-1,N167)=0)*(1-(IF(N167="",-1,N167)&gt;=1)*(IF(N167="",-1,N167)&lt;=3)),IF(C167="peso_corporal",IF(ISNUMBER(E167),E167,0)+L167,L167)*M167*1000+L167,0),IF((P167&gt;0)*(IF(Q167="",-1,Q167)=0)*(1-(IF(Q167="",-1,Q167)&gt;=1)*(IF(Q167="",-1,Q167)&lt;=3)),IF(C167="peso_corporal",IF(ISNUMBER(E167),E167,0)+O167,O167)*P167*1000+O167,0),IF((S167&gt;0)*(IF(T167="",-1,T167)=0)*(1-(IF(T167="",-1,T167)&gt;=1)*(IF(T167="",-1,T167)&lt;=3)),IF(C167="peso_corporal",IF(ISNUMBER(E167),E167,0)+R167,R167)*S167*1000+R167,0))</f>
        <v>0</v>
      </c>
      <c r="Z167" s="69">
        <f>IF(Y167=0,0,IF(IF((S167&gt;0)*(IF(T167="",-1,T167)=0)*(1-(IF(T167="",-1,T167)&gt;=1)*(IF(T167="",-1,T167)&lt;=3)),IF(C167="peso_corporal",IF(ISNUMBER(E167),E167,0)+R167,R167)*S167*1000+R167,0)=Y167,5,IF(IF((P167&gt;0)*(IF(Q167="",-1,Q167)=0)*(1-(IF(Q167="",-1,Q167)&gt;=1)*(IF(Q167="",-1,Q167)&lt;=3)),IF(C167="peso_corporal",IF(ISNUMBER(E167),E167,0)+O167,O167)*P167*1000+O167,0)=Y167,4,IF(IF((M167&gt;0)*(IF(N167="",-1,N167)=0)*(1-(IF(N167="",-1,N167)&gt;=1)*(IF(N167="",-1,N167)&lt;=3)),IF(C167="peso_corporal",IF(ISNUMBER(E167),E167,0)+L167,L167)*M167*1000+L167,0)=Y167,3,IF(IF((J167&gt;0)*(IF(K167="",-1,K167)=0)*(1-(IF(K167="",-1,K167)&gt;=1)*(IF(K167="",-1,K167)&lt;=3)),IF(C167="peso_corporal",IF(ISNUMBER(E167),E167,0)+I167,I167)*J167*1000+I167,0)=Y167,2,IF(IF((G167&gt;0)*(IF(H167="",-1,H167)=0)*(1-(IF(H167="",-1,H167)&gt;=1)*(IF(H167="",-1,H167)&lt;=3)),IF(C167="peso_corporal",IF(ISNUMBER(E167),E167,0)+F167,F167)*G167*1000+F167,0)=Y167,1,0))))))</f>
        <v>0</v>
      </c>
      <c r="AA167" s="69">
        <f>MAX(IF((G167&gt;=6)*(1-(IF(H167="",-1,H167)&gt;=1)*(IF(H167="",-1,H167)&lt;=3))*(1-(IF(H167="",-1,H167)=0)),IF(C167="peso_corporal",IF(ISNUMBER(E167),E167,0)+F167,F167)*(30+G167)*100+F167,0),IF((J167&gt;=6)*(1-(IF(K167="",-1,K167)&gt;=1)*(IF(K167="",-1,K167)&lt;=3))*(1-(IF(K167="",-1,K167)=0)),IF(C167="peso_corporal",IF(ISNUMBER(E167),E167,0)+I167,I167)*(30+J167)*100+I167,0),IF((M167&gt;=6)*(1-(IF(N167="",-1,N167)&gt;=1)*(IF(N167="",-1,N167)&lt;=3))*(1-(IF(N167="",-1,N167)=0)),IF(C167="peso_corporal",IF(ISNUMBER(E167),E167,0)+L167,L167)*(30+M167)*100+L167,0),IF((P167&gt;=6)*(1-(IF(Q167="",-1,Q167)&gt;=1)*(IF(Q167="",-1,Q167)&lt;=3))*(1-(IF(Q167="",-1,Q167)=0)),IF(C167="peso_corporal",IF(ISNUMBER(E167),E167,0)+O167,O167)*(30+P167)*100+O167,0),IF((S167&gt;=6)*(1-(IF(T167="",-1,T167)&gt;=1)*(IF(T167="",-1,T167)&lt;=3))*(1-(IF(T167="",-1,T167)=0)),IF(C167="peso_corporal",IF(ISNUMBER(E167),E167,0)+R167,R167)*(30+S167)*100+R167,0))</f>
        <v>0</v>
      </c>
      <c r="AB167" s="69">
        <f>IF(AA167=0,0,IF(IF((S167&gt;=6)*(1-(IF(T167="",-1,T167)&gt;=1)*(IF(T167="",-1,T167)&lt;=3))*(1-(IF(T167="",-1,T167)=0)),IF(C167="peso_corporal",IF(ISNUMBER(E167),E167,0)+R167,R167)*(30+S167)*100+R167,0)=AA167,5,IF(IF((P167&gt;=6)*(1-(IF(Q167="",-1,Q167)&gt;=1)*(IF(Q167="",-1,Q167)&lt;=3))*(1-(IF(Q167="",-1,Q167)=0)),IF(C167="peso_corporal",IF(ISNUMBER(E167),E167,0)+O167,O167)*(30+P167)*100+O167,0)=AA167,4,IF(IF((M167&gt;=6)*(1-(IF(N167="",-1,N167)&gt;=1)*(IF(N167="",-1,N167)&lt;=3))*(1-(IF(N167="",-1,N167)=0)),IF(C167="peso_corporal",IF(ISNUMBER(E167),E167,0)+L167,L167)*(30+M167)*100+L167,0)=AA167,3,IF(IF((J167&gt;=6)*(1-(IF(K167="",-1,K167)&gt;=1)*(IF(K167="",-1,K167)&lt;=3))*(1-(IF(K167="",-1,K167)=0)),IF(C167="peso_corporal",IF(ISNUMBER(E167),E167,0)+I167,I167)*(30+J167)*100+I167,0)=AA167,2,IF(IF((G167&gt;=6)*(1-(IF(H167="",-1,H167)&gt;=1)*(IF(H167="",-1,H167)&lt;=3))*(1-(IF(H167="",-1,H167)=0)),IF(C167="peso_corporal",IF(ISNUMBER(E167),E167,0)+F167,F167)*(30+G167)*100+F167,0)=AA167,1,0))))))</f>
        <v>0</v>
      </c>
      <c r="AC167" s="69" t="str">
        <f>IF(X167&gt;0,"A"&amp;X167,IF(Z167&gt;0,"B"&amp;Z167,IF(AB167&gt;0,"C"&amp;AB167,"")))</f>
        <v/>
      </c>
    </row>
    <row r="168" spans="1:29" ht="15" customHeight="1">
      <c r="A168" s="75" t="s">
        <v>28</v>
      </c>
      <c r="B168" s="73"/>
      <c r="C168" s="73"/>
      <c r="D168" s="73"/>
      <c r="E168" s="73"/>
      <c r="F168" s="73"/>
      <c r="G168" s="73"/>
      <c r="H168" s="73"/>
      <c r="I168" s="73"/>
      <c r="J168" s="73"/>
      <c r="K168" s="73"/>
      <c r="L168" s="73"/>
      <c r="M168" s="73"/>
      <c r="N168" s="73"/>
      <c r="O168" s="73"/>
      <c r="P168" s="73"/>
      <c r="Q168" s="73"/>
      <c r="R168" s="73"/>
      <c r="S168" s="73"/>
      <c r="T168" s="73"/>
      <c r="U168" s="73"/>
      <c r="V168" s="73"/>
      <c r="W168" s="69"/>
      <c r="X168" s="69"/>
      <c r="Y168" s="69"/>
      <c r="Z168" s="69"/>
      <c r="AA168" s="69"/>
      <c r="AB168" s="69"/>
      <c r="AC168" s="69"/>
    </row>
    <row r="169" spans="1:29" ht="11.1" customHeight="1">
      <c r="A169" s="76" t="s">
        <v>29</v>
      </c>
      <c r="B169" s="73"/>
      <c r="C169" s="73"/>
      <c r="D169" s="73"/>
      <c r="E169" s="73"/>
      <c r="F169" s="73"/>
      <c r="G169" s="73"/>
      <c r="H169" s="73"/>
      <c r="I169" s="73"/>
      <c r="J169" s="73"/>
      <c r="K169" s="73"/>
      <c r="L169" s="73"/>
      <c r="M169" s="73"/>
      <c r="N169" s="73"/>
      <c r="O169" s="73"/>
      <c r="P169" s="73"/>
      <c r="Q169" s="73"/>
      <c r="R169" s="73"/>
      <c r="S169" s="73"/>
      <c r="T169" s="73"/>
      <c r="U169" s="73"/>
      <c r="V169" s="73"/>
      <c r="W169" s="69"/>
      <c r="X169" s="69"/>
      <c r="Y169" s="69"/>
      <c r="Z169" s="69"/>
      <c r="AA169" s="69"/>
      <c r="AB169" s="69"/>
      <c r="AC169" s="69"/>
    </row>
    <row r="170" spans="1:29" ht="20.100000000000001" customHeight="1">
      <c r="A170" s="14" t="s">
        <v>30</v>
      </c>
      <c r="B170" s="15" t="s">
        <v>31</v>
      </c>
      <c r="C170" s="16" t="str">
        <f>IFERROR(INDEX(EJERCICIOS!$D$3:$D$75,MATCH(A170&amp;"|"&amp;B170,EJERCICIOS!$G$3:$G$75,0)),"--")</f>
        <v>mancuerna</v>
      </c>
      <c r="D170" s="17">
        <v>3</v>
      </c>
      <c r="E170" s="18">
        <f>IFERROR(LOOKUP(2,1/(MEDIDAS_Y_PESO!$B$3:$B$9&lt;&gt;""),MEDIDAS_Y_PESO!$B$3:$B$9),"--")</f>
        <v>80</v>
      </c>
      <c r="F170" s="19"/>
      <c r="G170" s="20"/>
      <c r="H170" s="21"/>
      <c r="I170" s="19"/>
      <c r="J170" s="20"/>
      <c r="K170" s="21"/>
      <c r="L170" s="19"/>
      <c r="M170" s="20"/>
      <c r="N170" s="21"/>
      <c r="O170" s="19"/>
      <c r="P170" s="20"/>
      <c r="Q170" s="21"/>
      <c r="R170" s="19"/>
      <c r="S170" s="20"/>
      <c r="T170" s="21"/>
      <c r="U170" s="22" t="str">
        <f>IFERROR(IF(IF(X170&gt;0,X170,IF(Z170&gt;0,Z170,IF(AB170&gt;0,AB170,0)))=0,"--",ROUND(CHOOSE(IF(X170&gt;0,X170,IF(Z170&gt;0,Z170,IF(AB170&gt;0,AB170,0))),IF(C170="peso_corporal",IF(ISNUMBER(E170),E170,0)+F170,F170)*(1+G170/30),IF(C170="peso_corporal",IF(ISNUMBER(E170),E170,0)+I170,I170)*(1+J170/30),IF(C170="peso_corporal",IF(ISNUMBER(E170),E170,0)+L170,L170)*(1+M170/30),IF(C170="peso_corporal",IF(ISNUMBER(E170),E170,0)+O170,O170)*(1+P170/30),IF(C170="peso_corporal",IF(ISNUMBER(E170),E170,0)+R170,R170)*(1+S170/30)),1)),"--")</f>
        <v>--</v>
      </c>
      <c r="V170" s="23" t="str">
        <f>IF(SUGERENCIAS!N424="SIN","Sin datos anteriores",IF(SUGERENCIAS!N424="SUBIR_F","^ SUBIR FUERTE | Kg:"&amp;ROUND(SUGERENCIAS!K424,1)&amp;" R:"&amp;ROUND(SUGERENCIAS!L424,0)&amp;" RIR:"&amp;ROUND(SUGERENCIAS!M424,0),IF(SUGERENCIAS!N424="SUBIR_E","^ SUBIR (Est.) | Kg:"&amp;ROUND(SUGERENCIAS!K424,1)&amp;" R:"&amp;ROUND(SUGERENCIAS!L424,0)&amp;" RIR:"&amp;ROUND(SUGERENCIAS!M424,0),IF(SUGERENCIAS!N424="SUBIR","^ SUBIR | Kg:"&amp;ROUND(SUGERENCIAS!K424,1)&amp;" R:"&amp;ROUND(SUGERENCIAS!L424,0)&amp;" RIR:"&amp;ROUND(SUGERENCIAS!M424,0),IF(SUGERENCIAS!N424="BAJAR","v BAJAR | Kg:"&amp;ROUND(SUGERENCIAS!K424,1)&amp;" R:"&amp;ROUND(SUGERENCIAS!L424,0)&amp;" RIR:"&amp;ROUND(SUGERENCIAS!M424,0),"= MANT | Kg:"&amp;ROUND(SUGERENCIAS!K424,1)&amp;" R:"&amp;ROUND(SUGERENCIAS!L424,0)&amp;" RIR:"&amp;ROUND(SUGERENCIAS!M424,0))))))</f>
        <v>Sin datos anteriores</v>
      </c>
      <c r="W170" s="69">
        <f>MAX(IF((G170&gt;0)*(IF(H170="",-1,H170)&gt;=1)*(IF(H170="",-1,H170)&lt;=3),IF(C170="peso_corporal",IF(ISNUMBER(E170),E170,0)+F170,F170)*G170*1000+F170,0),IF((J170&gt;0)*(IF(K170="",-1,K170)&gt;=1)*(IF(K170="",-1,K170)&lt;=3),IF(C170="peso_corporal",IF(ISNUMBER(E170),E170,0)+I170,I170)*J170*1000+I170,0),IF((M170&gt;0)*(IF(N170="",-1,N170)&gt;=1)*(IF(N170="",-1,N170)&lt;=3),IF(C170="peso_corporal",IF(ISNUMBER(E170),E170,0)+L170,L170)*M170*1000+L170,0),IF((P170&gt;0)*(IF(Q170="",-1,Q170)&gt;=1)*(IF(Q170="",-1,Q170)&lt;=3),IF(C170="peso_corporal",IF(ISNUMBER(E170),E170,0)+O170,O170)*P170*1000+O170,0),IF((S170&gt;0)*(IF(T170="",-1,T170)&gt;=1)*(IF(T170="",-1,T170)&lt;=3),IF(C170="peso_corporal",IF(ISNUMBER(E170),E170,0)+R170,R170)*S170*1000+R170,0))</f>
        <v>0</v>
      </c>
      <c r="X170" s="69">
        <f>IF(W170=0,0,IF(IF((S170&gt;0)*(IF(T170="",-1,T170)&gt;=1)*(IF(T170="",-1,T170)&lt;=3),IF(C170="peso_corporal",IF(ISNUMBER(E170),E170,0)+R170,R170)*S170*1000+R170,0)=W170,5,IF(IF((P170&gt;0)*(IF(Q170="",-1,Q170)&gt;=1)*(IF(Q170="",-1,Q170)&lt;=3),IF(C170="peso_corporal",IF(ISNUMBER(E170),E170,0)+O170,O170)*P170*1000+O170,0)=W170,4,IF(IF((M170&gt;0)*(IF(N170="",-1,N170)&gt;=1)*(IF(N170="",-1,N170)&lt;=3),IF(C170="peso_corporal",IF(ISNUMBER(E170),E170,0)+L170,L170)*M170*1000+L170,0)=W170,3,IF(IF((J170&gt;0)*(IF(K170="",-1,K170)&gt;=1)*(IF(K170="",-1,K170)&lt;=3),IF(C170="peso_corporal",IF(ISNUMBER(E170),E170,0)+I170,I170)*J170*1000+I170,0)=W170,2,IF(IF((G170&gt;0)*(IF(H170="",-1,H170)&gt;=1)*(IF(H170="",-1,H170)&lt;=3),IF(C170="peso_corporal",IF(ISNUMBER(E170),E170,0)+F170,F170)*G170*1000+F170,0)=W170,1,0))))))</f>
        <v>0</v>
      </c>
      <c r="Y170" s="69">
        <f>MAX(IF((G170&gt;0)*(IF(H170="",-1,H170)=0)*(1-(IF(H170="",-1,H170)&gt;=1)*(IF(H170="",-1,H170)&lt;=3)),IF(C170="peso_corporal",IF(ISNUMBER(E170),E170,0)+F170,F170)*G170*1000+F170,0),IF((J170&gt;0)*(IF(K170="",-1,K170)=0)*(1-(IF(K170="",-1,K170)&gt;=1)*(IF(K170="",-1,K170)&lt;=3)),IF(C170="peso_corporal",IF(ISNUMBER(E170),E170,0)+I170,I170)*J170*1000+I170,0),IF((M170&gt;0)*(IF(N170="",-1,N170)=0)*(1-(IF(N170="",-1,N170)&gt;=1)*(IF(N170="",-1,N170)&lt;=3)),IF(C170="peso_corporal",IF(ISNUMBER(E170),E170,0)+L170,L170)*M170*1000+L170,0),IF((P170&gt;0)*(IF(Q170="",-1,Q170)=0)*(1-(IF(Q170="",-1,Q170)&gt;=1)*(IF(Q170="",-1,Q170)&lt;=3)),IF(C170="peso_corporal",IF(ISNUMBER(E170),E170,0)+O170,O170)*P170*1000+O170,0),IF((S170&gt;0)*(IF(T170="",-1,T170)=0)*(1-(IF(T170="",-1,T170)&gt;=1)*(IF(T170="",-1,T170)&lt;=3)),IF(C170="peso_corporal",IF(ISNUMBER(E170),E170,0)+R170,R170)*S170*1000+R170,0))</f>
        <v>0</v>
      </c>
      <c r="Z170" s="69">
        <f>IF(Y170=0,0,IF(IF((S170&gt;0)*(IF(T170="",-1,T170)=0)*(1-(IF(T170="",-1,T170)&gt;=1)*(IF(T170="",-1,T170)&lt;=3)),IF(C170="peso_corporal",IF(ISNUMBER(E170),E170,0)+R170,R170)*S170*1000+R170,0)=Y170,5,IF(IF((P170&gt;0)*(IF(Q170="",-1,Q170)=0)*(1-(IF(Q170="",-1,Q170)&gt;=1)*(IF(Q170="",-1,Q170)&lt;=3)),IF(C170="peso_corporal",IF(ISNUMBER(E170),E170,0)+O170,O170)*P170*1000+O170,0)=Y170,4,IF(IF((M170&gt;0)*(IF(N170="",-1,N170)=0)*(1-(IF(N170="",-1,N170)&gt;=1)*(IF(N170="",-1,N170)&lt;=3)),IF(C170="peso_corporal",IF(ISNUMBER(E170),E170,0)+L170,L170)*M170*1000+L170,0)=Y170,3,IF(IF((J170&gt;0)*(IF(K170="",-1,K170)=0)*(1-(IF(K170="",-1,K170)&gt;=1)*(IF(K170="",-1,K170)&lt;=3)),IF(C170="peso_corporal",IF(ISNUMBER(E170),E170,0)+I170,I170)*J170*1000+I170,0)=Y170,2,IF(IF((G170&gt;0)*(IF(H170="",-1,H170)=0)*(1-(IF(H170="",-1,H170)&gt;=1)*(IF(H170="",-1,H170)&lt;=3)),IF(C170="peso_corporal",IF(ISNUMBER(E170),E170,0)+F170,F170)*G170*1000+F170,0)=Y170,1,0))))))</f>
        <v>0</v>
      </c>
      <c r="AA170" s="69">
        <f>MAX(IF((G170&gt;=6)*(1-(IF(H170="",-1,H170)&gt;=1)*(IF(H170="",-1,H170)&lt;=3))*(1-(IF(H170="",-1,H170)=0)),IF(C170="peso_corporal",IF(ISNUMBER(E170),E170,0)+F170,F170)*(30+G170)*100+F170,0),IF((J170&gt;=6)*(1-(IF(K170="",-1,K170)&gt;=1)*(IF(K170="",-1,K170)&lt;=3))*(1-(IF(K170="",-1,K170)=0)),IF(C170="peso_corporal",IF(ISNUMBER(E170),E170,0)+I170,I170)*(30+J170)*100+I170,0),IF((M170&gt;=6)*(1-(IF(N170="",-1,N170)&gt;=1)*(IF(N170="",-1,N170)&lt;=3))*(1-(IF(N170="",-1,N170)=0)),IF(C170="peso_corporal",IF(ISNUMBER(E170),E170,0)+L170,L170)*(30+M170)*100+L170,0),IF((P170&gt;=6)*(1-(IF(Q170="",-1,Q170)&gt;=1)*(IF(Q170="",-1,Q170)&lt;=3))*(1-(IF(Q170="",-1,Q170)=0)),IF(C170="peso_corporal",IF(ISNUMBER(E170),E170,0)+O170,O170)*(30+P170)*100+O170,0),IF((S170&gt;=6)*(1-(IF(T170="",-1,T170)&gt;=1)*(IF(T170="",-1,T170)&lt;=3))*(1-(IF(T170="",-1,T170)=0)),IF(C170="peso_corporal",IF(ISNUMBER(E170),E170,0)+R170,R170)*(30+S170)*100+R170,0))</f>
        <v>0</v>
      </c>
      <c r="AB170" s="69">
        <f>IF(AA170=0,0,IF(IF((S170&gt;=6)*(1-(IF(T170="",-1,T170)&gt;=1)*(IF(T170="",-1,T170)&lt;=3))*(1-(IF(T170="",-1,T170)=0)),IF(C170="peso_corporal",IF(ISNUMBER(E170),E170,0)+R170,R170)*(30+S170)*100+R170,0)=AA170,5,IF(IF((P170&gt;=6)*(1-(IF(Q170="",-1,Q170)&gt;=1)*(IF(Q170="",-1,Q170)&lt;=3))*(1-(IF(Q170="",-1,Q170)=0)),IF(C170="peso_corporal",IF(ISNUMBER(E170),E170,0)+O170,O170)*(30+P170)*100+O170,0)=AA170,4,IF(IF((M170&gt;=6)*(1-(IF(N170="",-1,N170)&gt;=1)*(IF(N170="",-1,N170)&lt;=3))*(1-(IF(N170="",-1,N170)=0)),IF(C170="peso_corporal",IF(ISNUMBER(E170),E170,0)+L170,L170)*(30+M170)*100+L170,0)=AA170,3,IF(IF((J170&gt;=6)*(1-(IF(K170="",-1,K170)&gt;=1)*(IF(K170="",-1,K170)&lt;=3))*(1-(IF(K170="",-1,K170)=0)),IF(C170="peso_corporal",IF(ISNUMBER(E170),E170,0)+I170,I170)*(30+J170)*100+I170,0)=AA170,2,IF(IF((G170&gt;=6)*(1-(IF(H170="",-1,H170)&gt;=1)*(IF(H170="",-1,H170)&lt;=3))*(1-(IF(H170="",-1,H170)=0)),IF(C170="peso_corporal",IF(ISNUMBER(E170),E170,0)+F170,F170)*(30+G170)*100+F170,0)=AA170,1,0))))))</f>
        <v>0</v>
      </c>
      <c r="AC170" s="69" t="str">
        <f>IF(X170&gt;0,"A"&amp;X170,IF(Z170&gt;0,"B"&amp;Z170,IF(AB170&gt;0,"C"&amp;AB170,"")))</f>
        <v/>
      </c>
    </row>
    <row r="171" spans="1:29" ht="11.1" customHeight="1">
      <c r="A171" s="84" t="s">
        <v>32</v>
      </c>
      <c r="B171" s="73"/>
      <c r="C171" s="73"/>
      <c r="D171" s="73"/>
      <c r="E171" s="73"/>
      <c r="F171" s="73"/>
      <c r="G171" s="73"/>
      <c r="H171" s="73"/>
      <c r="I171" s="73"/>
      <c r="J171" s="73"/>
      <c r="K171" s="73"/>
      <c r="L171" s="73"/>
      <c r="M171" s="73"/>
      <c r="N171" s="73"/>
      <c r="O171" s="73"/>
      <c r="P171" s="73"/>
      <c r="Q171" s="73"/>
      <c r="R171" s="73"/>
      <c r="S171" s="73"/>
      <c r="T171" s="73"/>
      <c r="U171" s="73"/>
      <c r="V171" s="73"/>
      <c r="W171" s="69"/>
      <c r="X171" s="69"/>
      <c r="Y171" s="69"/>
      <c r="Z171" s="69"/>
      <c r="AA171" s="69"/>
      <c r="AB171" s="69"/>
      <c r="AC171" s="69"/>
    </row>
    <row r="172" spans="1:29" ht="20.100000000000001" customHeight="1">
      <c r="A172" s="14" t="s">
        <v>61</v>
      </c>
      <c r="B172" s="15" t="s">
        <v>93</v>
      </c>
      <c r="C172" s="16" t="str">
        <f>IFERROR(INDEX(EJERCICIOS!$D$3:$D$75,MATCH(A172&amp;"|"&amp;B172,EJERCICIOS!$G$3:$G$75,0)),"--")</f>
        <v>disco</v>
      </c>
      <c r="D172" s="17">
        <v>3</v>
      </c>
      <c r="E172" s="18">
        <f>IFERROR(LOOKUP(2,1/(MEDIDAS_Y_PESO!$B$3:$B$9&lt;&gt;""),MEDIDAS_Y_PESO!$B$3:$B$9),"--")</f>
        <v>80</v>
      </c>
      <c r="F172" s="19"/>
      <c r="G172" s="20"/>
      <c r="H172" s="21"/>
      <c r="I172" s="19"/>
      <c r="J172" s="20"/>
      <c r="K172" s="21"/>
      <c r="L172" s="19"/>
      <c r="M172" s="20"/>
      <c r="N172" s="21"/>
      <c r="O172" s="19"/>
      <c r="P172" s="20"/>
      <c r="Q172" s="21"/>
      <c r="R172" s="19"/>
      <c r="S172" s="20"/>
      <c r="T172" s="21"/>
      <c r="U172" s="22" t="str">
        <f>IFERROR(IF(IF(X172&gt;0,X172,IF(Z172&gt;0,Z172,IF(AB172&gt;0,AB172,0)))=0,"--",ROUND(CHOOSE(IF(X172&gt;0,X172,IF(Z172&gt;0,Z172,IF(AB172&gt;0,AB172,0))),IF(C172="peso_corporal",IF(ISNUMBER(E172),E172,0)+F172,F172)*(1+G172/30),IF(C172="peso_corporal",IF(ISNUMBER(E172),E172,0)+I172,I172)*(1+J172/30),IF(C172="peso_corporal",IF(ISNUMBER(E172),E172,0)+L172,L172)*(1+M172/30),IF(C172="peso_corporal",IF(ISNUMBER(E172),E172,0)+O172,O172)*(1+P172/30),IF(C172="peso_corporal",IF(ISNUMBER(E172),E172,0)+R172,R172)*(1+S172/30)),1)),"--")</f>
        <v>--</v>
      </c>
      <c r="V172" s="23" t="str">
        <f>IF(SUGERENCIAS!N425="SIN","Sin datos anteriores",IF(SUGERENCIAS!N425="SUBIR_F","^ SUBIR FUERTE | Kg:"&amp;ROUND(SUGERENCIAS!K425,1)&amp;" R:"&amp;ROUND(SUGERENCIAS!L425,0)&amp;" RIR:"&amp;ROUND(SUGERENCIAS!M425,0),IF(SUGERENCIAS!N425="SUBIR_E","^ SUBIR (Est.) | Kg:"&amp;ROUND(SUGERENCIAS!K425,1)&amp;" R:"&amp;ROUND(SUGERENCIAS!L425,0)&amp;" RIR:"&amp;ROUND(SUGERENCIAS!M425,0),IF(SUGERENCIAS!N425="SUBIR","^ SUBIR | Kg:"&amp;ROUND(SUGERENCIAS!K425,1)&amp;" R:"&amp;ROUND(SUGERENCIAS!L425,0)&amp;" RIR:"&amp;ROUND(SUGERENCIAS!M425,0),IF(SUGERENCIAS!N425="BAJAR","v BAJAR | Kg:"&amp;ROUND(SUGERENCIAS!K425,1)&amp;" R:"&amp;ROUND(SUGERENCIAS!L425,0)&amp;" RIR:"&amp;ROUND(SUGERENCIAS!M425,0),"= MANT | Kg:"&amp;ROUND(SUGERENCIAS!K425,1)&amp;" R:"&amp;ROUND(SUGERENCIAS!L425,0)&amp;" RIR:"&amp;ROUND(SUGERENCIAS!M425,0))))))</f>
        <v>Sin datos anteriores</v>
      </c>
      <c r="W172" s="69">
        <f>MAX(IF((G172&gt;0)*(IF(H172="",-1,H172)&gt;=1)*(IF(H172="",-1,H172)&lt;=3),IF(C172="peso_corporal",IF(ISNUMBER(E172),E172,0)+F172,F172)*G172*1000+F172,0),IF((J172&gt;0)*(IF(K172="",-1,K172)&gt;=1)*(IF(K172="",-1,K172)&lt;=3),IF(C172="peso_corporal",IF(ISNUMBER(E172),E172,0)+I172,I172)*J172*1000+I172,0),IF((M172&gt;0)*(IF(N172="",-1,N172)&gt;=1)*(IF(N172="",-1,N172)&lt;=3),IF(C172="peso_corporal",IF(ISNUMBER(E172),E172,0)+L172,L172)*M172*1000+L172,0),IF((P172&gt;0)*(IF(Q172="",-1,Q172)&gt;=1)*(IF(Q172="",-1,Q172)&lt;=3),IF(C172="peso_corporal",IF(ISNUMBER(E172),E172,0)+O172,O172)*P172*1000+O172,0),IF((S172&gt;0)*(IF(T172="",-1,T172)&gt;=1)*(IF(T172="",-1,T172)&lt;=3),IF(C172="peso_corporal",IF(ISNUMBER(E172),E172,0)+R172,R172)*S172*1000+R172,0))</f>
        <v>0</v>
      </c>
      <c r="X172" s="69">
        <f>IF(W172=0,0,IF(IF((S172&gt;0)*(IF(T172="",-1,T172)&gt;=1)*(IF(T172="",-1,T172)&lt;=3),IF(C172="peso_corporal",IF(ISNUMBER(E172),E172,0)+R172,R172)*S172*1000+R172,0)=W172,5,IF(IF((P172&gt;0)*(IF(Q172="",-1,Q172)&gt;=1)*(IF(Q172="",-1,Q172)&lt;=3),IF(C172="peso_corporal",IF(ISNUMBER(E172),E172,0)+O172,O172)*P172*1000+O172,0)=W172,4,IF(IF((M172&gt;0)*(IF(N172="",-1,N172)&gt;=1)*(IF(N172="",-1,N172)&lt;=3),IF(C172="peso_corporal",IF(ISNUMBER(E172),E172,0)+L172,L172)*M172*1000+L172,0)=W172,3,IF(IF((J172&gt;0)*(IF(K172="",-1,K172)&gt;=1)*(IF(K172="",-1,K172)&lt;=3),IF(C172="peso_corporal",IF(ISNUMBER(E172),E172,0)+I172,I172)*J172*1000+I172,0)=W172,2,IF(IF((G172&gt;0)*(IF(H172="",-1,H172)&gt;=1)*(IF(H172="",-1,H172)&lt;=3),IF(C172="peso_corporal",IF(ISNUMBER(E172),E172,0)+F172,F172)*G172*1000+F172,0)=W172,1,0))))))</f>
        <v>0</v>
      </c>
      <c r="Y172" s="69">
        <f>MAX(IF((G172&gt;0)*(IF(H172="",-1,H172)=0)*(1-(IF(H172="",-1,H172)&gt;=1)*(IF(H172="",-1,H172)&lt;=3)),IF(C172="peso_corporal",IF(ISNUMBER(E172),E172,0)+F172,F172)*G172*1000+F172,0),IF((J172&gt;0)*(IF(K172="",-1,K172)=0)*(1-(IF(K172="",-1,K172)&gt;=1)*(IF(K172="",-1,K172)&lt;=3)),IF(C172="peso_corporal",IF(ISNUMBER(E172),E172,0)+I172,I172)*J172*1000+I172,0),IF((M172&gt;0)*(IF(N172="",-1,N172)=0)*(1-(IF(N172="",-1,N172)&gt;=1)*(IF(N172="",-1,N172)&lt;=3)),IF(C172="peso_corporal",IF(ISNUMBER(E172),E172,0)+L172,L172)*M172*1000+L172,0),IF((P172&gt;0)*(IF(Q172="",-1,Q172)=0)*(1-(IF(Q172="",-1,Q172)&gt;=1)*(IF(Q172="",-1,Q172)&lt;=3)),IF(C172="peso_corporal",IF(ISNUMBER(E172),E172,0)+O172,O172)*P172*1000+O172,0),IF((S172&gt;0)*(IF(T172="",-1,T172)=0)*(1-(IF(T172="",-1,T172)&gt;=1)*(IF(T172="",-1,T172)&lt;=3)),IF(C172="peso_corporal",IF(ISNUMBER(E172),E172,0)+R172,R172)*S172*1000+R172,0))</f>
        <v>0</v>
      </c>
      <c r="Z172" s="69">
        <f>IF(Y172=0,0,IF(IF((S172&gt;0)*(IF(T172="",-1,T172)=0)*(1-(IF(T172="",-1,T172)&gt;=1)*(IF(T172="",-1,T172)&lt;=3)),IF(C172="peso_corporal",IF(ISNUMBER(E172),E172,0)+R172,R172)*S172*1000+R172,0)=Y172,5,IF(IF((P172&gt;0)*(IF(Q172="",-1,Q172)=0)*(1-(IF(Q172="",-1,Q172)&gt;=1)*(IF(Q172="",-1,Q172)&lt;=3)),IF(C172="peso_corporal",IF(ISNUMBER(E172),E172,0)+O172,O172)*P172*1000+O172,0)=Y172,4,IF(IF((M172&gt;0)*(IF(N172="",-1,N172)=0)*(1-(IF(N172="",-1,N172)&gt;=1)*(IF(N172="",-1,N172)&lt;=3)),IF(C172="peso_corporal",IF(ISNUMBER(E172),E172,0)+L172,L172)*M172*1000+L172,0)=Y172,3,IF(IF((J172&gt;0)*(IF(K172="",-1,K172)=0)*(1-(IF(K172="",-1,K172)&gt;=1)*(IF(K172="",-1,K172)&lt;=3)),IF(C172="peso_corporal",IF(ISNUMBER(E172),E172,0)+I172,I172)*J172*1000+I172,0)=Y172,2,IF(IF((G172&gt;0)*(IF(H172="",-1,H172)=0)*(1-(IF(H172="",-1,H172)&gt;=1)*(IF(H172="",-1,H172)&lt;=3)),IF(C172="peso_corporal",IF(ISNUMBER(E172),E172,0)+F172,F172)*G172*1000+F172,0)=Y172,1,0))))))</f>
        <v>0</v>
      </c>
      <c r="AA172" s="69">
        <f>MAX(IF((G172&gt;=6)*(1-(IF(H172="",-1,H172)&gt;=1)*(IF(H172="",-1,H172)&lt;=3))*(1-(IF(H172="",-1,H172)=0)),IF(C172="peso_corporal",IF(ISNUMBER(E172),E172,0)+F172,F172)*(30+G172)*100+F172,0),IF((J172&gt;=6)*(1-(IF(K172="",-1,K172)&gt;=1)*(IF(K172="",-1,K172)&lt;=3))*(1-(IF(K172="",-1,K172)=0)),IF(C172="peso_corporal",IF(ISNUMBER(E172),E172,0)+I172,I172)*(30+J172)*100+I172,0),IF((M172&gt;=6)*(1-(IF(N172="",-1,N172)&gt;=1)*(IF(N172="",-1,N172)&lt;=3))*(1-(IF(N172="",-1,N172)=0)),IF(C172="peso_corporal",IF(ISNUMBER(E172),E172,0)+L172,L172)*(30+M172)*100+L172,0),IF((P172&gt;=6)*(1-(IF(Q172="",-1,Q172)&gt;=1)*(IF(Q172="",-1,Q172)&lt;=3))*(1-(IF(Q172="",-1,Q172)=0)),IF(C172="peso_corporal",IF(ISNUMBER(E172),E172,0)+O172,O172)*(30+P172)*100+O172,0),IF((S172&gt;=6)*(1-(IF(T172="",-1,T172)&gt;=1)*(IF(T172="",-1,T172)&lt;=3))*(1-(IF(T172="",-1,T172)=0)),IF(C172="peso_corporal",IF(ISNUMBER(E172),E172,0)+R172,R172)*(30+S172)*100+R172,0))</f>
        <v>0</v>
      </c>
      <c r="AB172" s="69">
        <f>IF(AA172=0,0,IF(IF((S172&gt;=6)*(1-(IF(T172="",-1,T172)&gt;=1)*(IF(T172="",-1,T172)&lt;=3))*(1-(IF(T172="",-1,T172)=0)),IF(C172="peso_corporal",IF(ISNUMBER(E172),E172,0)+R172,R172)*(30+S172)*100+R172,0)=AA172,5,IF(IF((P172&gt;=6)*(1-(IF(Q172="",-1,Q172)&gt;=1)*(IF(Q172="",-1,Q172)&lt;=3))*(1-(IF(Q172="",-1,Q172)=0)),IF(C172="peso_corporal",IF(ISNUMBER(E172),E172,0)+O172,O172)*(30+P172)*100+O172,0)=AA172,4,IF(IF((M172&gt;=6)*(1-(IF(N172="",-1,N172)&gt;=1)*(IF(N172="",-1,N172)&lt;=3))*(1-(IF(N172="",-1,N172)=0)),IF(C172="peso_corporal",IF(ISNUMBER(E172),E172,0)+L172,L172)*(30+M172)*100+L172,0)=AA172,3,IF(IF((J172&gt;=6)*(1-(IF(K172="",-1,K172)&gt;=1)*(IF(K172="",-1,K172)&lt;=3))*(1-(IF(K172="",-1,K172)=0)),IF(C172="peso_corporal",IF(ISNUMBER(E172),E172,0)+I172,I172)*(30+J172)*100+I172,0)=AA172,2,IF(IF((G172&gt;=6)*(1-(IF(H172="",-1,H172)&gt;=1)*(IF(H172="",-1,H172)&lt;=3))*(1-(IF(H172="",-1,H172)=0)),IF(C172="peso_corporal",IF(ISNUMBER(E172),E172,0)+F172,F172)*(30+G172)*100+F172,0)=AA172,1,0))))))</f>
        <v>0</v>
      </c>
      <c r="AC172" s="69" t="str">
        <f>IF(X172&gt;0,"A"&amp;X172,IF(Z172&gt;0,"B"&amp;Z172,IF(AB172&gt;0,"C"&amp;AB172,"")))</f>
        <v/>
      </c>
    </row>
    <row r="173" spans="1:29" ht="11.1" customHeight="1">
      <c r="A173" s="87" t="s">
        <v>165</v>
      </c>
      <c r="B173" s="73"/>
      <c r="C173" s="73"/>
      <c r="D173" s="73"/>
      <c r="E173" s="73"/>
      <c r="F173" s="73"/>
      <c r="G173" s="73"/>
      <c r="H173" s="73"/>
      <c r="I173" s="73"/>
      <c r="J173" s="73"/>
      <c r="K173" s="73"/>
      <c r="L173" s="73"/>
      <c r="M173" s="73"/>
      <c r="N173" s="73"/>
      <c r="O173" s="73"/>
      <c r="P173" s="73"/>
      <c r="Q173" s="73"/>
      <c r="R173" s="73"/>
      <c r="S173" s="73"/>
      <c r="T173" s="73"/>
      <c r="U173" s="73"/>
      <c r="V173" s="73"/>
      <c r="W173" s="69"/>
      <c r="X173" s="69"/>
      <c r="Y173" s="69"/>
      <c r="Z173" s="69"/>
      <c r="AA173" s="69"/>
      <c r="AB173" s="69"/>
      <c r="AC173" s="69"/>
    </row>
    <row r="174" spans="1:29" ht="20.100000000000001" customHeight="1">
      <c r="A174" s="14" t="s">
        <v>62</v>
      </c>
      <c r="B174" s="15" t="s">
        <v>63</v>
      </c>
      <c r="C174" s="16" t="str">
        <f>IFERROR(INDEX(EJERCICIOS!$D$3:$D$75,MATCH(A174&amp;"|"&amp;B174,EJERCICIOS!$G$3:$G$75,0)),"--")</f>
        <v>--</v>
      </c>
      <c r="D174" s="17">
        <v>3</v>
      </c>
      <c r="E174" s="18">
        <f>IFERROR(LOOKUP(2,1/(MEDIDAS_Y_PESO!$B$3:$B$9&lt;&gt;""),MEDIDAS_Y_PESO!$B$3:$B$9),"--")</f>
        <v>80</v>
      </c>
      <c r="F174" s="19"/>
      <c r="G174" s="20"/>
      <c r="H174" s="21"/>
      <c r="I174" s="19"/>
      <c r="J174" s="20"/>
      <c r="K174" s="21"/>
      <c r="L174" s="19"/>
      <c r="M174" s="20"/>
      <c r="N174" s="21"/>
      <c r="O174" s="19"/>
      <c r="P174" s="20"/>
      <c r="Q174" s="21"/>
      <c r="R174" s="19"/>
      <c r="S174" s="20"/>
      <c r="T174" s="21"/>
      <c r="U174" s="22" t="str">
        <f>IFERROR(IF(IF(X174&gt;0,X174,IF(Z174&gt;0,Z174,IF(AB174&gt;0,AB174,0)))=0,"--",ROUND(CHOOSE(IF(X174&gt;0,X174,IF(Z174&gt;0,Z174,IF(AB174&gt;0,AB174,0))),IF(C174="peso_corporal",IF(ISNUMBER(E174),E174,0)+F174,F174)*(1+G174/30),IF(C174="peso_corporal",IF(ISNUMBER(E174),E174,0)+I174,I174)*(1+J174/30),IF(C174="peso_corporal",IF(ISNUMBER(E174),E174,0)+L174,L174)*(1+M174/30),IF(C174="peso_corporal",IF(ISNUMBER(E174),E174,0)+O174,O174)*(1+P174/30),IF(C174="peso_corporal",IF(ISNUMBER(E174),E174,0)+R174,R174)*(1+S174/30)),1)),"--")</f>
        <v>--</v>
      </c>
      <c r="V174" s="23" t="str">
        <f>IF(SUGERENCIAS!N426="SIN","Sin datos anteriores",IF(SUGERENCIAS!N426="SUBIR_F","^ SUBIR FUERTE | Kg:"&amp;ROUND(SUGERENCIAS!K426,1)&amp;" R:"&amp;ROUND(SUGERENCIAS!L426,0)&amp;" RIR:"&amp;ROUND(SUGERENCIAS!M426,0),IF(SUGERENCIAS!N426="SUBIR_E","^ SUBIR (Est.) | Kg:"&amp;ROUND(SUGERENCIAS!K426,1)&amp;" R:"&amp;ROUND(SUGERENCIAS!L426,0)&amp;" RIR:"&amp;ROUND(SUGERENCIAS!M426,0),IF(SUGERENCIAS!N426="SUBIR","^ SUBIR | Kg:"&amp;ROUND(SUGERENCIAS!K426,1)&amp;" R:"&amp;ROUND(SUGERENCIAS!L426,0)&amp;" RIR:"&amp;ROUND(SUGERENCIAS!M426,0),IF(SUGERENCIAS!N426="BAJAR","v BAJAR | Kg:"&amp;ROUND(SUGERENCIAS!K426,1)&amp;" R:"&amp;ROUND(SUGERENCIAS!L426,0)&amp;" RIR:"&amp;ROUND(SUGERENCIAS!M426,0),"= MANT | Kg:"&amp;ROUND(SUGERENCIAS!K426,1)&amp;" R:"&amp;ROUND(SUGERENCIAS!L426,0)&amp;" RIR:"&amp;ROUND(SUGERENCIAS!M426,0))))))</f>
        <v>Sin datos anteriores</v>
      </c>
      <c r="W174" s="69">
        <f>MAX(IF((G174&gt;0)*(IF(H174="",-1,H174)&gt;=1)*(IF(H174="",-1,H174)&lt;=3),IF(C174="peso_corporal",IF(ISNUMBER(E174),E174,0)+F174,F174)*G174*1000+F174,0),IF((J174&gt;0)*(IF(K174="",-1,K174)&gt;=1)*(IF(K174="",-1,K174)&lt;=3),IF(C174="peso_corporal",IF(ISNUMBER(E174),E174,0)+I174,I174)*J174*1000+I174,0),IF((M174&gt;0)*(IF(N174="",-1,N174)&gt;=1)*(IF(N174="",-1,N174)&lt;=3),IF(C174="peso_corporal",IF(ISNUMBER(E174),E174,0)+L174,L174)*M174*1000+L174,0),IF((P174&gt;0)*(IF(Q174="",-1,Q174)&gt;=1)*(IF(Q174="",-1,Q174)&lt;=3),IF(C174="peso_corporal",IF(ISNUMBER(E174),E174,0)+O174,O174)*P174*1000+O174,0),IF((S174&gt;0)*(IF(T174="",-1,T174)&gt;=1)*(IF(T174="",-1,T174)&lt;=3),IF(C174="peso_corporal",IF(ISNUMBER(E174),E174,0)+R174,R174)*S174*1000+R174,0))</f>
        <v>0</v>
      </c>
      <c r="X174" s="69">
        <f>IF(W174=0,0,IF(IF((S174&gt;0)*(IF(T174="",-1,T174)&gt;=1)*(IF(T174="",-1,T174)&lt;=3),IF(C174="peso_corporal",IF(ISNUMBER(E174),E174,0)+R174,R174)*S174*1000+R174,0)=W174,5,IF(IF((P174&gt;0)*(IF(Q174="",-1,Q174)&gt;=1)*(IF(Q174="",-1,Q174)&lt;=3),IF(C174="peso_corporal",IF(ISNUMBER(E174),E174,0)+O174,O174)*P174*1000+O174,0)=W174,4,IF(IF((M174&gt;0)*(IF(N174="",-1,N174)&gt;=1)*(IF(N174="",-1,N174)&lt;=3),IF(C174="peso_corporal",IF(ISNUMBER(E174),E174,0)+L174,L174)*M174*1000+L174,0)=W174,3,IF(IF((J174&gt;0)*(IF(K174="",-1,K174)&gt;=1)*(IF(K174="",-1,K174)&lt;=3),IF(C174="peso_corporal",IF(ISNUMBER(E174),E174,0)+I174,I174)*J174*1000+I174,0)=W174,2,IF(IF((G174&gt;0)*(IF(H174="",-1,H174)&gt;=1)*(IF(H174="",-1,H174)&lt;=3),IF(C174="peso_corporal",IF(ISNUMBER(E174),E174,0)+F174,F174)*G174*1000+F174,0)=W174,1,0))))))</f>
        <v>0</v>
      </c>
      <c r="Y174" s="69">
        <f>MAX(IF((G174&gt;0)*(IF(H174="",-1,H174)=0)*(1-(IF(H174="",-1,H174)&gt;=1)*(IF(H174="",-1,H174)&lt;=3)),IF(C174="peso_corporal",IF(ISNUMBER(E174),E174,0)+F174,F174)*G174*1000+F174,0),IF((J174&gt;0)*(IF(K174="",-1,K174)=0)*(1-(IF(K174="",-1,K174)&gt;=1)*(IF(K174="",-1,K174)&lt;=3)),IF(C174="peso_corporal",IF(ISNUMBER(E174),E174,0)+I174,I174)*J174*1000+I174,0),IF((M174&gt;0)*(IF(N174="",-1,N174)=0)*(1-(IF(N174="",-1,N174)&gt;=1)*(IF(N174="",-1,N174)&lt;=3)),IF(C174="peso_corporal",IF(ISNUMBER(E174),E174,0)+L174,L174)*M174*1000+L174,0),IF((P174&gt;0)*(IF(Q174="",-1,Q174)=0)*(1-(IF(Q174="",-1,Q174)&gt;=1)*(IF(Q174="",-1,Q174)&lt;=3)),IF(C174="peso_corporal",IF(ISNUMBER(E174),E174,0)+O174,O174)*P174*1000+O174,0),IF((S174&gt;0)*(IF(T174="",-1,T174)=0)*(1-(IF(T174="",-1,T174)&gt;=1)*(IF(T174="",-1,T174)&lt;=3)),IF(C174="peso_corporal",IF(ISNUMBER(E174),E174,0)+R174,R174)*S174*1000+R174,0))</f>
        <v>0</v>
      </c>
      <c r="Z174" s="69">
        <f>IF(Y174=0,0,IF(IF((S174&gt;0)*(IF(T174="",-1,T174)=0)*(1-(IF(T174="",-1,T174)&gt;=1)*(IF(T174="",-1,T174)&lt;=3)),IF(C174="peso_corporal",IF(ISNUMBER(E174),E174,0)+R174,R174)*S174*1000+R174,0)=Y174,5,IF(IF((P174&gt;0)*(IF(Q174="",-1,Q174)=0)*(1-(IF(Q174="",-1,Q174)&gt;=1)*(IF(Q174="",-1,Q174)&lt;=3)),IF(C174="peso_corporal",IF(ISNUMBER(E174),E174,0)+O174,O174)*P174*1000+O174,0)=Y174,4,IF(IF((M174&gt;0)*(IF(N174="",-1,N174)=0)*(1-(IF(N174="",-1,N174)&gt;=1)*(IF(N174="",-1,N174)&lt;=3)),IF(C174="peso_corporal",IF(ISNUMBER(E174),E174,0)+L174,L174)*M174*1000+L174,0)=Y174,3,IF(IF((J174&gt;0)*(IF(K174="",-1,K174)=0)*(1-(IF(K174="",-1,K174)&gt;=1)*(IF(K174="",-1,K174)&lt;=3)),IF(C174="peso_corporal",IF(ISNUMBER(E174),E174,0)+I174,I174)*J174*1000+I174,0)=Y174,2,IF(IF((G174&gt;0)*(IF(H174="",-1,H174)=0)*(1-(IF(H174="",-1,H174)&gt;=1)*(IF(H174="",-1,H174)&lt;=3)),IF(C174="peso_corporal",IF(ISNUMBER(E174),E174,0)+F174,F174)*G174*1000+F174,0)=Y174,1,0))))))</f>
        <v>0</v>
      </c>
      <c r="AA174" s="69">
        <f>MAX(IF((G174&gt;=6)*(1-(IF(H174="",-1,H174)&gt;=1)*(IF(H174="",-1,H174)&lt;=3))*(1-(IF(H174="",-1,H174)=0)),IF(C174="peso_corporal",IF(ISNUMBER(E174),E174,0)+F174,F174)*(30+G174)*100+F174,0),IF((J174&gt;=6)*(1-(IF(K174="",-1,K174)&gt;=1)*(IF(K174="",-1,K174)&lt;=3))*(1-(IF(K174="",-1,K174)=0)),IF(C174="peso_corporal",IF(ISNUMBER(E174),E174,0)+I174,I174)*(30+J174)*100+I174,0),IF((M174&gt;=6)*(1-(IF(N174="",-1,N174)&gt;=1)*(IF(N174="",-1,N174)&lt;=3))*(1-(IF(N174="",-1,N174)=0)),IF(C174="peso_corporal",IF(ISNUMBER(E174),E174,0)+L174,L174)*(30+M174)*100+L174,0),IF((P174&gt;=6)*(1-(IF(Q174="",-1,Q174)&gt;=1)*(IF(Q174="",-1,Q174)&lt;=3))*(1-(IF(Q174="",-1,Q174)=0)),IF(C174="peso_corporal",IF(ISNUMBER(E174),E174,0)+O174,O174)*(30+P174)*100+O174,0),IF((S174&gt;=6)*(1-(IF(T174="",-1,T174)&gt;=1)*(IF(T174="",-1,T174)&lt;=3))*(1-(IF(T174="",-1,T174)=0)),IF(C174="peso_corporal",IF(ISNUMBER(E174),E174,0)+R174,R174)*(30+S174)*100+R174,0))</f>
        <v>0</v>
      </c>
      <c r="AB174" s="69">
        <f>IF(AA174=0,0,IF(IF((S174&gt;=6)*(1-(IF(T174="",-1,T174)&gt;=1)*(IF(T174="",-1,T174)&lt;=3))*(1-(IF(T174="",-1,T174)=0)),IF(C174="peso_corporal",IF(ISNUMBER(E174),E174,0)+R174,R174)*(30+S174)*100+R174,0)=AA174,5,IF(IF((P174&gt;=6)*(1-(IF(Q174="",-1,Q174)&gt;=1)*(IF(Q174="",-1,Q174)&lt;=3))*(1-(IF(Q174="",-1,Q174)=0)),IF(C174="peso_corporal",IF(ISNUMBER(E174),E174,0)+O174,O174)*(30+P174)*100+O174,0)=AA174,4,IF(IF((M174&gt;=6)*(1-(IF(N174="",-1,N174)&gt;=1)*(IF(N174="",-1,N174)&lt;=3))*(1-(IF(N174="",-1,N174)=0)),IF(C174="peso_corporal",IF(ISNUMBER(E174),E174,0)+L174,L174)*(30+M174)*100+L174,0)=AA174,3,IF(IF((J174&gt;=6)*(1-(IF(K174="",-1,K174)&gt;=1)*(IF(K174="",-1,K174)&lt;=3))*(1-(IF(K174="",-1,K174)=0)),IF(C174="peso_corporal",IF(ISNUMBER(E174),E174,0)+I174,I174)*(30+J174)*100+I174,0)=AA174,2,IF(IF((G174&gt;=6)*(1-(IF(H174="",-1,H174)&gt;=1)*(IF(H174="",-1,H174)&lt;=3))*(1-(IF(H174="",-1,H174)=0)),IF(C174="peso_corporal",IF(ISNUMBER(E174),E174,0)+F174,F174)*(30+G174)*100+F174,0)=AA174,1,0))))))</f>
        <v>0</v>
      </c>
      <c r="AC174" s="69" t="str">
        <f>IF(X174&gt;0,"A"&amp;X174,IF(Z174&gt;0,"B"&amp;Z174,IF(AB174&gt;0,"C"&amp;AB174,"")))</f>
        <v/>
      </c>
    </row>
    <row r="175" spans="1:29" ht="15" customHeight="1">
      <c r="A175" s="82" t="s">
        <v>47</v>
      </c>
      <c r="B175" s="73"/>
      <c r="C175" s="73"/>
      <c r="D175" s="73"/>
      <c r="E175" s="73"/>
      <c r="F175" s="73"/>
      <c r="G175" s="73"/>
      <c r="H175" s="73"/>
      <c r="I175" s="73"/>
      <c r="J175" s="73"/>
      <c r="K175" s="73"/>
      <c r="L175" s="73"/>
      <c r="M175" s="73"/>
      <c r="N175" s="73"/>
      <c r="O175" s="73"/>
      <c r="P175" s="73"/>
      <c r="Q175" s="73"/>
      <c r="R175" s="73"/>
      <c r="S175" s="73"/>
      <c r="T175" s="73"/>
      <c r="U175" s="73"/>
      <c r="V175" s="73"/>
      <c r="W175" s="69"/>
      <c r="X175" s="69"/>
      <c r="Y175" s="69"/>
      <c r="Z175" s="69"/>
      <c r="AA175" s="69"/>
      <c r="AB175" s="69"/>
      <c r="AC175" s="69"/>
    </row>
    <row r="176" spans="1:29" ht="20.100000000000001" customHeight="1">
      <c r="A176" s="14" t="s">
        <v>40</v>
      </c>
      <c r="B176" s="15" t="s">
        <v>41</v>
      </c>
      <c r="C176" s="16" t="str">
        <f>IFERROR(INDEX(EJERCICIOS!$D$3:$D$75,MATCH(A176&amp;"|"&amp;B176,EJERCICIOS!$G$3:$G$75,0)),"--")</f>
        <v>polea</v>
      </c>
      <c r="D176" s="17">
        <v>3</v>
      </c>
      <c r="E176" s="18">
        <f>IFERROR(LOOKUP(2,1/(MEDIDAS_Y_PESO!$B$3:$B$9&lt;&gt;""),MEDIDAS_Y_PESO!$B$3:$B$9),"--")</f>
        <v>80</v>
      </c>
      <c r="F176" s="19"/>
      <c r="G176" s="20"/>
      <c r="H176" s="21"/>
      <c r="I176" s="19"/>
      <c r="J176" s="20"/>
      <c r="K176" s="21"/>
      <c r="L176" s="19"/>
      <c r="M176" s="20"/>
      <c r="N176" s="21"/>
      <c r="O176" s="19"/>
      <c r="P176" s="20"/>
      <c r="Q176" s="21"/>
      <c r="R176" s="19"/>
      <c r="S176" s="20"/>
      <c r="T176" s="21"/>
      <c r="U176" s="22" t="str">
        <f>IFERROR(IF(IF(X176&gt;0,X176,IF(Z176&gt;0,Z176,IF(AB176&gt;0,AB176,0)))=0,"--",ROUND(CHOOSE(IF(X176&gt;0,X176,IF(Z176&gt;0,Z176,IF(AB176&gt;0,AB176,0))),IF(C176="peso_corporal",IF(ISNUMBER(E176),E176,0)+F176,F176)*(1+G176/30),IF(C176="peso_corporal",IF(ISNUMBER(E176),E176,0)+I176,I176)*(1+J176/30),IF(C176="peso_corporal",IF(ISNUMBER(E176),E176,0)+L176,L176)*(1+M176/30),IF(C176="peso_corporal",IF(ISNUMBER(E176),E176,0)+O176,O176)*(1+P176/30),IF(C176="peso_corporal",IF(ISNUMBER(E176),E176,0)+R176,R176)*(1+S176/30)),1)),"--")</f>
        <v>--</v>
      </c>
      <c r="V176" s="23" t="str">
        <f>IF(SUGERENCIAS!N427="SIN","Sin datos anteriores",IF(SUGERENCIAS!N427="SUBIR_F","^ SUBIR FUERTE | Kg:"&amp;ROUND(SUGERENCIAS!K427,1)&amp;" R:"&amp;ROUND(SUGERENCIAS!L427,0)&amp;" RIR:"&amp;ROUND(SUGERENCIAS!M427,0),IF(SUGERENCIAS!N427="SUBIR_E","^ SUBIR (Est.) | Kg:"&amp;ROUND(SUGERENCIAS!K427,1)&amp;" R:"&amp;ROUND(SUGERENCIAS!L427,0)&amp;" RIR:"&amp;ROUND(SUGERENCIAS!M427,0),IF(SUGERENCIAS!N427="SUBIR","^ SUBIR | Kg:"&amp;ROUND(SUGERENCIAS!K427,1)&amp;" R:"&amp;ROUND(SUGERENCIAS!L427,0)&amp;" RIR:"&amp;ROUND(SUGERENCIAS!M427,0),IF(SUGERENCIAS!N427="BAJAR","v BAJAR | Kg:"&amp;ROUND(SUGERENCIAS!K427,1)&amp;" R:"&amp;ROUND(SUGERENCIAS!L427,0)&amp;" RIR:"&amp;ROUND(SUGERENCIAS!M427,0),"= MANT | Kg:"&amp;ROUND(SUGERENCIAS!K427,1)&amp;" R:"&amp;ROUND(SUGERENCIAS!L427,0)&amp;" RIR:"&amp;ROUND(SUGERENCIAS!M427,0))))))</f>
        <v>Sin datos anteriores</v>
      </c>
      <c r="W176" s="69">
        <f>MAX(IF((G176&gt;0)*(IF(H176="",-1,H176)&gt;=1)*(IF(H176="",-1,H176)&lt;=3),IF(C176="peso_corporal",IF(ISNUMBER(E176),E176,0)+F176,F176)*G176*1000+F176,0),IF((J176&gt;0)*(IF(K176="",-1,K176)&gt;=1)*(IF(K176="",-1,K176)&lt;=3),IF(C176="peso_corporal",IF(ISNUMBER(E176),E176,0)+I176,I176)*J176*1000+I176,0),IF((M176&gt;0)*(IF(N176="",-1,N176)&gt;=1)*(IF(N176="",-1,N176)&lt;=3),IF(C176="peso_corporal",IF(ISNUMBER(E176),E176,0)+L176,L176)*M176*1000+L176,0),IF((P176&gt;0)*(IF(Q176="",-1,Q176)&gt;=1)*(IF(Q176="",-1,Q176)&lt;=3),IF(C176="peso_corporal",IF(ISNUMBER(E176),E176,0)+O176,O176)*P176*1000+O176,0),IF((S176&gt;0)*(IF(T176="",-1,T176)&gt;=1)*(IF(T176="",-1,T176)&lt;=3),IF(C176="peso_corporal",IF(ISNUMBER(E176),E176,0)+R176,R176)*S176*1000+R176,0))</f>
        <v>0</v>
      </c>
      <c r="X176" s="69">
        <f>IF(W176=0,0,IF(IF((S176&gt;0)*(IF(T176="",-1,T176)&gt;=1)*(IF(T176="",-1,T176)&lt;=3),IF(C176="peso_corporal",IF(ISNUMBER(E176),E176,0)+R176,R176)*S176*1000+R176,0)=W176,5,IF(IF((P176&gt;0)*(IF(Q176="",-1,Q176)&gt;=1)*(IF(Q176="",-1,Q176)&lt;=3),IF(C176="peso_corporal",IF(ISNUMBER(E176),E176,0)+O176,O176)*P176*1000+O176,0)=W176,4,IF(IF((M176&gt;0)*(IF(N176="",-1,N176)&gt;=1)*(IF(N176="",-1,N176)&lt;=3),IF(C176="peso_corporal",IF(ISNUMBER(E176),E176,0)+L176,L176)*M176*1000+L176,0)=W176,3,IF(IF((J176&gt;0)*(IF(K176="",-1,K176)&gt;=1)*(IF(K176="",-1,K176)&lt;=3),IF(C176="peso_corporal",IF(ISNUMBER(E176),E176,0)+I176,I176)*J176*1000+I176,0)=W176,2,IF(IF((G176&gt;0)*(IF(H176="",-1,H176)&gt;=1)*(IF(H176="",-1,H176)&lt;=3),IF(C176="peso_corporal",IF(ISNUMBER(E176),E176,0)+F176,F176)*G176*1000+F176,0)=W176,1,0))))))</f>
        <v>0</v>
      </c>
      <c r="Y176" s="69">
        <f>MAX(IF((G176&gt;0)*(IF(H176="",-1,H176)=0)*(1-(IF(H176="",-1,H176)&gt;=1)*(IF(H176="",-1,H176)&lt;=3)),IF(C176="peso_corporal",IF(ISNUMBER(E176),E176,0)+F176,F176)*G176*1000+F176,0),IF((J176&gt;0)*(IF(K176="",-1,K176)=0)*(1-(IF(K176="",-1,K176)&gt;=1)*(IF(K176="",-1,K176)&lt;=3)),IF(C176="peso_corporal",IF(ISNUMBER(E176),E176,0)+I176,I176)*J176*1000+I176,0),IF((M176&gt;0)*(IF(N176="",-1,N176)=0)*(1-(IF(N176="",-1,N176)&gt;=1)*(IF(N176="",-1,N176)&lt;=3)),IF(C176="peso_corporal",IF(ISNUMBER(E176),E176,0)+L176,L176)*M176*1000+L176,0),IF((P176&gt;0)*(IF(Q176="",-1,Q176)=0)*(1-(IF(Q176="",-1,Q176)&gt;=1)*(IF(Q176="",-1,Q176)&lt;=3)),IF(C176="peso_corporal",IF(ISNUMBER(E176),E176,0)+O176,O176)*P176*1000+O176,0),IF((S176&gt;0)*(IF(T176="",-1,T176)=0)*(1-(IF(T176="",-1,T176)&gt;=1)*(IF(T176="",-1,T176)&lt;=3)),IF(C176="peso_corporal",IF(ISNUMBER(E176),E176,0)+R176,R176)*S176*1000+R176,0))</f>
        <v>0</v>
      </c>
      <c r="Z176" s="69">
        <f>IF(Y176=0,0,IF(IF((S176&gt;0)*(IF(T176="",-1,T176)=0)*(1-(IF(T176="",-1,T176)&gt;=1)*(IF(T176="",-1,T176)&lt;=3)),IF(C176="peso_corporal",IF(ISNUMBER(E176),E176,0)+R176,R176)*S176*1000+R176,0)=Y176,5,IF(IF((P176&gt;0)*(IF(Q176="",-1,Q176)=0)*(1-(IF(Q176="",-1,Q176)&gt;=1)*(IF(Q176="",-1,Q176)&lt;=3)),IF(C176="peso_corporal",IF(ISNUMBER(E176),E176,0)+O176,O176)*P176*1000+O176,0)=Y176,4,IF(IF((M176&gt;0)*(IF(N176="",-1,N176)=0)*(1-(IF(N176="",-1,N176)&gt;=1)*(IF(N176="",-1,N176)&lt;=3)),IF(C176="peso_corporal",IF(ISNUMBER(E176),E176,0)+L176,L176)*M176*1000+L176,0)=Y176,3,IF(IF((J176&gt;0)*(IF(K176="",-1,K176)=0)*(1-(IF(K176="",-1,K176)&gt;=1)*(IF(K176="",-1,K176)&lt;=3)),IF(C176="peso_corporal",IF(ISNUMBER(E176),E176,0)+I176,I176)*J176*1000+I176,0)=Y176,2,IF(IF((G176&gt;0)*(IF(H176="",-1,H176)=0)*(1-(IF(H176="",-1,H176)&gt;=1)*(IF(H176="",-1,H176)&lt;=3)),IF(C176="peso_corporal",IF(ISNUMBER(E176),E176,0)+F176,F176)*G176*1000+F176,0)=Y176,1,0))))))</f>
        <v>0</v>
      </c>
      <c r="AA176" s="69">
        <f>MAX(IF((G176&gt;=6)*(1-(IF(H176="",-1,H176)&gt;=1)*(IF(H176="",-1,H176)&lt;=3))*(1-(IF(H176="",-1,H176)=0)),IF(C176="peso_corporal",IF(ISNUMBER(E176),E176,0)+F176,F176)*(30+G176)*100+F176,0),IF((J176&gt;=6)*(1-(IF(K176="",-1,K176)&gt;=1)*(IF(K176="",-1,K176)&lt;=3))*(1-(IF(K176="",-1,K176)=0)),IF(C176="peso_corporal",IF(ISNUMBER(E176),E176,0)+I176,I176)*(30+J176)*100+I176,0),IF((M176&gt;=6)*(1-(IF(N176="",-1,N176)&gt;=1)*(IF(N176="",-1,N176)&lt;=3))*(1-(IF(N176="",-1,N176)=0)),IF(C176="peso_corporal",IF(ISNUMBER(E176),E176,0)+L176,L176)*(30+M176)*100+L176,0),IF((P176&gt;=6)*(1-(IF(Q176="",-1,Q176)&gt;=1)*(IF(Q176="",-1,Q176)&lt;=3))*(1-(IF(Q176="",-1,Q176)=0)),IF(C176="peso_corporal",IF(ISNUMBER(E176),E176,0)+O176,O176)*(30+P176)*100+O176,0),IF((S176&gt;=6)*(1-(IF(T176="",-1,T176)&gt;=1)*(IF(T176="",-1,T176)&lt;=3))*(1-(IF(T176="",-1,T176)=0)),IF(C176="peso_corporal",IF(ISNUMBER(E176),E176,0)+R176,R176)*(30+S176)*100+R176,0))</f>
        <v>0</v>
      </c>
      <c r="AB176" s="69">
        <f>IF(AA176=0,0,IF(IF((S176&gt;=6)*(1-(IF(T176="",-1,T176)&gt;=1)*(IF(T176="",-1,T176)&lt;=3))*(1-(IF(T176="",-1,T176)=0)),IF(C176="peso_corporal",IF(ISNUMBER(E176),E176,0)+R176,R176)*(30+S176)*100+R176,0)=AA176,5,IF(IF((P176&gt;=6)*(1-(IF(Q176="",-1,Q176)&gt;=1)*(IF(Q176="",-1,Q176)&lt;=3))*(1-(IF(Q176="",-1,Q176)=0)),IF(C176="peso_corporal",IF(ISNUMBER(E176),E176,0)+O176,O176)*(30+P176)*100+O176,0)=AA176,4,IF(IF((M176&gt;=6)*(1-(IF(N176="",-1,N176)&gt;=1)*(IF(N176="",-1,N176)&lt;=3))*(1-(IF(N176="",-1,N176)=0)),IF(C176="peso_corporal",IF(ISNUMBER(E176),E176,0)+L176,L176)*(30+M176)*100+L176,0)=AA176,3,IF(IF((J176&gt;=6)*(1-(IF(K176="",-1,K176)&gt;=1)*(IF(K176="",-1,K176)&lt;=3))*(1-(IF(K176="",-1,K176)=0)),IF(C176="peso_corporal",IF(ISNUMBER(E176),E176,0)+I176,I176)*(30+J176)*100+I176,0)=AA176,2,IF(IF((G176&gt;=6)*(1-(IF(H176="",-1,H176)&gt;=1)*(IF(H176="",-1,H176)&lt;=3))*(1-(IF(H176="",-1,H176)=0)),IF(C176="peso_corporal",IF(ISNUMBER(E176),E176,0)+F176,F176)*(30+G176)*100+F176,0)=AA176,1,0))))))</f>
        <v>0</v>
      </c>
      <c r="AC176" s="69" t="str">
        <f>IF(X176&gt;0,"A"&amp;X176,IF(Z176&gt;0,"B"&amp;Z176,IF(AB176&gt;0,"C"&amp;AB176,"")))</f>
        <v/>
      </c>
    </row>
    <row r="177" spans="1:29" ht="20.100000000000001" customHeight="1">
      <c r="A177" s="14" t="s">
        <v>48</v>
      </c>
      <c r="B177" s="15" t="s">
        <v>166</v>
      </c>
      <c r="C177" s="16" t="str">
        <f>IFERROR(INDEX(EJERCICIOS!$D$3:$D$75,MATCH(A177&amp;"|"&amp;B177,EJERCICIOS!$G$3:$G$75,0)),"--")</f>
        <v>--</v>
      </c>
      <c r="D177" s="17">
        <v>3</v>
      </c>
      <c r="E177" s="18">
        <f>IFERROR(LOOKUP(2,1/(MEDIDAS_Y_PESO!$B$3:$B$9&lt;&gt;""),MEDIDAS_Y_PESO!$B$3:$B$9),"--")</f>
        <v>80</v>
      </c>
      <c r="F177" s="19"/>
      <c r="G177" s="20"/>
      <c r="H177" s="21"/>
      <c r="I177" s="19"/>
      <c r="J177" s="20"/>
      <c r="K177" s="21"/>
      <c r="L177" s="19"/>
      <c r="M177" s="20"/>
      <c r="N177" s="21"/>
      <c r="O177" s="19"/>
      <c r="P177" s="20"/>
      <c r="Q177" s="21"/>
      <c r="R177" s="19"/>
      <c r="S177" s="20"/>
      <c r="T177" s="21"/>
      <c r="U177" s="22" t="str">
        <f>IFERROR(IF(IF(X177&gt;0,X177,IF(Z177&gt;0,Z177,IF(AB177&gt;0,AB177,0)))=0,"--",ROUND(CHOOSE(IF(X177&gt;0,X177,IF(Z177&gt;0,Z177,IF(AB177&gt;0,AB177,0))),IF(C177="peso_corporal",IF(ISNUMBER(E177),E177,0)+F177,F177)*(1+G177/30),IF(C177="peso_corporal",IF(ISNUMBER(E177),E177,0)+I177,I177)*(1+J177/30),IF(C177="peso_corporal",IF(ISNUMBER(E177),E177,0)+L177,L177)*(1+M177/30),IF(C177="peso_corporal",IF(ISNUMBER(E177),E177,0)+O177,O177)*(1+P177/30),IF(C177="peso_corporal",IF(ISNUMBER(E177),E177,0)+R177,R177)*(1+S177/30)),1)),"--")</f>
        <v>--</v>
      </c>
      <c r="V177" s="23" t="str">
        <f>IF(SUGERENCIAS!N428="SIN","Sin datos anteriores",IF(SUGERENCIAS!N428="SUBIR_F","^ SUBIR FUERTE | Kg:"&amp;ROUND(SUGERENCIAS!K428,1)&amp;" R:"&amp;ROUND(SUGERENCIAS!L428,0)&amp;" RIR:"&amp;ROUND(SUGERENCIAS!M428,0),IF(SUGERENCIAS!N428="SUBIR_E","^ SUBIR (Est.) | Kg:"&amp;ROUND(SUGERENCIAS!K428,1)&amp;" R:"&amp;ROUND(SUGERENCIAS!L428,0)&amp;" RIR:"&amp;ROUND(SUGERENCIAS!M428,0),IF(SUGERENCIAS!N428="SUBIR","^ SUBIR | Kg:"&amp;ROUND(SUGERENCIAS!K428,1)&amp;" R:"&amp;ROUND(SUGERENCIAS!L428,0)&amp;" RIR:"&amp;ROUND(SUGERENCIAS!M428,0),IF(SUGERENCIAS!N428="BAJAR","v BAJAR | Kg:"&amp;ROUND(SUGERENCIAS!K428,1)&amp;" R:"&amp;ROUND(SUGERENCIAS!L428,0)&amp;" RIR:"&amp;ROUND(SUGERENCIAS!M428,0),"= MANT | Kg:"&amp;ROUND(SUGERENCIAS!K428,1)&amp;" R:"&amp;ROUND(SUGERENCIAS!L428,0)&amp;" RIR:"&amp;ROUND(SUGERENCIAS!M428,0))))))</f>
        <v>Sin datos anteriores</v>
      </c>
      <c r="W177" s="69">
        <f>MAX(IF((G177&gt;0)*(IF(H177="",-1,H177)&gt;=1)*(IF(H177="",-1,H177)&lt;=3),IF(C177="peso_corporal",IF(ISNUMBER(E177),E177,0)+F177,F177)*G177*1000+F177,0),IF((J177&gt;0)*(IF(K177="",-1,K177)&gt;=1)*(IF(K177="",-1,K177)&lt;=3),IF(C177="peso_corporal",IF(ISNUMBER(E177),E177,0)+I177,I177)*J177*1000+I177,0),IF((M177&gt;0)*(IF(N177="",-1,N177)&gt;=1)*(IF(N177="",-1,N177)&lt;=3),IF(C177="peso_corporal",IF(ISNUMBER(E177),E177,0)+L177,L177)*M177*1000+L177,0),IF((P177&gt;0)*(IF(Q177="",-1,Q177)&gt;=1)*(IF(Q177="",-1,Q177)&lt;=3),IF(C177="peso_corporal",IF(ISNUMBER(E177),E177,0)+O177,O177)*P177*1000+O177,0),IF((S177&gt;0)*(IF(T177="",-1,T177)&gt;=1)*(IF(T177="",-1,T177)&lt;=3),IF(C177="peso_corporal",IF(ISNUMBER(E177),E177,0)+R177,R177)*S177*1000+R177,0))</f>
        <v>0</v>
      </c>
      <c r="X177" s="69">
        <f>IF(W177=0,0,IF(IF((S177&gt;0)*(IF(T177="",-1,T177)&gt;=1)*(IF(T177="",-1,T177)&lt;=3),IF(C177="peso_corporal",IF(ISNUMBER(E177),E177,0)+R177,R177)*S177*1000+R177,0)=W177,5,IF(IF((P177&gt;0)*(IF(Q177="",-1,Q177)&gt;=1)*(IF(Q177="",-1,Q177)&lt;=3),IF(C177="peso_corporal",IF(ISNUMBER(E177),E177,0)+O177,O177)*P177*1000+O177,0)=W177,4,IF(IF((M177&gt;0)*(IF(N177="",-1,N177)&gt;=1)*(IF(N177="",-1,N177)&lt;=3),IF(C177="peso_corporal",IF(ISNUMBER(E177),E177,0)+L177,L177)*M177*1000+L177,0)=W177,3,IF(IF((J177&gt;0)*(IF(K177="",-1,K177)&gt;=1)*(IF(K177="",-1,K177)&lt;=3),IF(C177="peso_corporal",IF(ISNUMBER(E177),E177,0)+I177,I177)*J177*1000+I177,0)=W177,2,IF(IF((G177&gt;0)*(IF(H177="",-1,H177)&gt;=1)*(IF(H177="",-1,H177)&lt;=3),IF(C177="peso_corporal",IF(ISNUMBER(E177),E177,0)+F177,F177)*G177*1000+F177,0)=W177,1,0))))))</f>
        <v>0</v>
      </c>
      <c r="Y177" s="69">
        <f>MAX(IF((G177&gt;0)*(IF(H177="",-1,H177)=0)*(1-(IF(H177="",-1,H177)&gt;=1)*(IF(H177="",-1,H177)&lt;=3)),IF(C177="peso_corporal",IF(ISNUMBER(E177),E177,0)+F177,F177)*G177*1000+F177,0),IF((J177&gt;0)*(IF(K177="",-1,K177)=0)*(1-(IF(K177="",-1,K177)&gt;=1)*(IF(K177="",-1,K177)&lt;=3)),IF(C177="peso_corporal",IF(ISNUMBER(E177),E177,0)+I177,I177)*J177*1000+I177,0),IF((M177&gt;0)*(IF(N177="",-1,N177)=0)*(1-(IF(N177="",-1,N177)&gt;=1)*(IF(N177="",-1,N177)&lt;=3)),IF(C177="peso_corporal",IF(ISNUMBER(E177),E177,0)+L177,L177)*M177*1000+L177,0),IF((P177&gt;0)*(IF(Q177="",-1,Q177)=0)*(1-(IF(Q177="",-1,Q177)&gt;=1)*(IF(Q177="",-1,Q177)&lt;=3)),IF(C177="peso_corporal",IF(ISNUMBER(E177),E177,0)+O177,O177)*P177*1000+O177,0),IF((S177&gt;0)*(IF(T177="",-1,T177)=0)*(1-(IF(T177="",-1,T177)&gt;=1)*(IF(T177="",-1,T177)&lt;=3)),IF(C177="peso_corporal",IF(ISNUMBER(E177),E177,0)+R177,R177)*S177*1000+R177,0))</f>
        <v>0</v>
      </c>
      <c r="Z177" s="69">
        <f>IF(Y177=0,0,IF(IF((S177&gt;0)*(IF(T177="",-1,T177)=0)*(1-(IF(T177="",-1,T177)&gt;=1)*(IF(T177="",-1,T177)&lt;=3)),IF(C177="peso_corporal",IF(ISNUMBER(E177),E177,0)+R177,R177)*S177*1000+R177,0)=Y177,5,IF(IF((P177&gt;0)*(IF(Q177="",-1,Q177)=0)*(1-(IF(Q177="",-1,Q177)&gt;=1)*(IF(Q177="",-1,Q177)&lt;=3)),IF(C177="peso_corporal",IF(ISNUMBER(E177),E177,0)+O177,O177)*P177*1000+O177,0)=Y177,4,IF(IF((M177&gt;0)*(IF(N177="",-1,N177)=0)*(1-(IF(N177="",-1,N177)&gt;=1)*(IF(N177="",-1,N177)&lt;=3)),IF(C177="peso_corporal",IF(ISNUMBER(E177),E177,0)+L177,L177)*M177*1000+L177,0)=Y177,3,IF(IF((J177&gt;0)*(IF(K177="",-1,K177)=0)*(1-(IF(K177="",-1,K177)&gt;=1)*(IF(K177="",-1,K177)&lt;=3)),IF(C177="peso_corporal",IF(ISNUMBER(E177),E177,0)+I177,I177)*J177*1000+I177,0)=Y177,2,IF(IF((G177&gt;0)*(IF(H177="",-1,H177)=0)*(1-(IF(H177="",-1,H177)&gt;=1)*(IF(H177="",-1,H177)&lt;=3)),IF(C177="peso_corporal",IF(ISNUMBER(E177),E177,0)+F177,F177)*G177*1000+F177,0)=Y177,1,0))))))</f>
        <v>0</v>
      </c>
      <c r="AA177" s="69">
        <f>MAX(IF((G177&gt;=6)*(1-(IF(H177="",-1,H177)&gt;=1)*(IF(H177="",-1,H177)&lt;=3))*(1-(IF(H177="",-1,H177)=0)),IF(C177="peso_corporal",IF(ISNUMBER(E177),E177,0)+F177,F177)*(30+G177)*100+F177,0),IF((J177&gt;=6)*(1-(IF(K177="",-1,K177)&gt;=1)*(IF(K177="",-1,K177)&lt;=3))*(1-(IF(K177="",-1,K177)=0)),IF(C177="peso_corporal",IF(ISNUMBER(E177),E177,0)+I177,I177)*(30+J177)*100+I177,0),IF((M177&gt;=6)*(1-(IF(N177="",-1,N177)&gt;=1)*(IF(N177="",-1,N177)&lt;=3))*(1-(IF(N177="",-1,N177)=0)),IF(C177="peso_corporal",IF(ISNUMBER(E177),E177,0)+L177,L177)*(30+M177)*100+L177,0),IF((P177&gt;=6)*(1-(IF(Q177="",-1,Q177)&gt;=1)*(IF(Q177="",-1,Q177)&lt;=3))*(1-(IF(Q177="",-1,Q177)=0)),IF(C177="peso_corporal",IF(ISNUMBER(E177),E177,0)+O177,O177)*(30+P177)*100+O177,0),IF((S177&gt;=6)*(1-(IF(T177="",-1,T177)&gt;=1)*(IF(T177="",-1,T177)&lt;=3))*(1-(IF(T177="",-1,T177)=0)),IF(C177="peso_corporal",IF(ISNUMBER(E177),E177,0)+R177,R177)*(30+S177)*100+R177,0))</f>
        <v>0</v>
      </c>
      <c r="AB177" s="69">
        <f>IF(AA177=0,0,IF(IF((S177&gt;=6)*(1-(IF(T177="",-1,T177)&gt;=1)*(IF(T177="",-1,T177)&lt;=3))*(1-(IF(T177="",-1,T177)=0)),IF(C177="peso_corporal",IF(ISNUMBER(E177),E177,0)+R177,R177)*(30+S177)*100+R177,0)=AA177,5,IF(IF((P177&gt;=6)*(1-(IF(Q177="",-1,Q177)&gt;=1)*(IF(Q177="",-1,Q177)&lt;=3))*(1-(IF(Q177="",-1,Q177)=0)),IF(C177="peso_corporal",IF(ISNUMBER(E177),E177,0)+O177,O177)*(30+P177)*100+O177,0)=AA177,4,IF(IF((M177&gt;=6)*(1-(IF(N177="",-1,N177)&gt;=1)*(IF(N177="",-1,N177)&lt;=3))*(1-(IF(N177="",-1,N177)=0)),IF(C177="peso_corporal",IF(ISNUMBER(E177),E177,0)+L177,L177)*(30+M177)*100+L177,0)=AA177,3,IF(IF((J177&gt;=6)*(1-(IF(K177="",-1,K177)&gt;=1)*(IF(K177="",-1,K177)&lt;=3))*(1-(IF(K177="",-1,K177)=0)),IF(C177="peso_corporal",IF(ISNUMBER(E177),E177,0)+I177,I177)*(30+J177)*100+I177,0)=AA177,2,IF(IF((G177&gt;=6)*(1-(IF(H177="",-1,H177)&gt;=1)*(IF(H177="",-1,H177)&lt;=3))*(1-(IF(H177="",-1,H177)=0)),IF(C177="peso_corporal",IF(ISNUMBER(E177),E177,0)+F177,F177)*(30+G177)*100+F177,0)=AA177,1,0))))))</f>
        <v>0</v>
      </c>
      <c r="AC177" s="69" t="str">
        <f>IF(X177&gt;0,"A"&amp;X177,IF(Z177&gt;0,"B"&amp;Z177,IF(AB177&gt;0,"C"&amp;AB177,"")))</f>
        <v/>
      </c>
    </row>
    <row r="178" spans="1:29" ht="15" customHeight="1">
      <c r="A178" s="88" t="s">
        <v>50</v>
      </c>
      <c r="B178" s="73"/>
      <c r="C178" s="73"/>
      <c r="D178" s="73"/>
      <c r="E178" s="73"/>
      <c r="F178" s="73"/>
      <c r="G178" s="73"/>
      <c r="H178" s="73"/>
      <c r="I178" s="73"/>
      <c r="J178" s="73"/>
      <c r="K178" s="73"/>
      <c r="L178" s="73"/>
      <c r="M178" s="73"/>
      <c r="N178" s="73"/>
      <c r="O178" s="73"/>
      <c r="P178" s="73"/>
      <c r="Q178" s="73"/>
      <c r="R178" s="73"/>
      <c r="S178" s="73"/>
      <c r="T178" s="73"/>
      <c r="U178" s="73"/>
      <c r="V178" s="73"/>
      <c r="W178" s="69"/>
      <c r="X178" s="69"/>
      <c r="Y178" s="69"/>
      <c r="Z178" s="69"/>
      <c r="AA178" s="69"/>
      <c r="AB178" s="69"/>
      <c r="AC178" s="69"/>
    </row>
    <row r="179" spans="1:29" ht="20.100000000000001" customHeight="1">
      <c r="A179" s="14" t="s">
        <v>65</v>
      </c>
      <c r="B179" s="15" t="s">
        <v>137</v>
      </c>
      <c r="C179" s="16" t="str">
        <f>IFERROR(INDEX(EJERCICIOS!$D$3:$D$75,MATCH(A179&amp;"|"&amp;B179,EJERCICIOS!$G$3:$G$75,0)),"--")</f>
        <v>--</v>
      </c>
      <c r="D179" s="17">
        <v>3</v>
      </c>
      <c r="E179" s="18">
        <f>IFERROR(LOOKUP(2,1/(MEDIDAS_Y_PESO!$B$3:$B$9&lt;&gt;""),MEDIDAS_Y_PESO!$B$3:$B$9),"--")</f>
        <v>80</v>
      </c>
      <c r="F179" s="19"/>
      <c r="G179" s="20"/>
      <c r="H179" s="21"/>
      <c r="I179" s="19"/>
      <c r="J179" s="20"/>
      <c r="K179" s="21"/>
      <c r="L179" s="19"/>
      <c r="M179" s="20"/>
      <c r="N179" s="21"/>
      <c r="O179" s="19"/>
      <c r="P179" s="20"/>
      <c r="Q179" s="21"/>
      <c r="R179" s="19"/>
      <c r="S179" s="20"/>
      <c r="T179" s="21"/>
      <c r="U179" s="22" t="str">
        <f>IFERROR(IF(IF(X179&gt;0,X179,IF(Z179&gt;0,Z179,IF(AB179&gt;0,AB179,0)))=0,"--",ROUND(CHOOSE(IF(X179&gt;0,X179,IF(Z179&gt;0,Z179,IF(AB179&gt;0,AB179,0))),IF(C179="peso_corporal",IF(ISNUMBER(E179),E179,0)+F179,F179)*(1+G179/30),IF(C179="peso_corporal",IF(ISNUMBER(E179),E179,0)+I179,I179)*(1+J179/30),IF(C179="peso_corporal",IF(ISNUMBER(E179),E179,0)+L179,L179)*(1+M179/30),IF(C179="peso_corporal",IF(ISNUMBER(E179),E179,0)+O179,O179)*(1+P179/30),IF(C179="peso_corporal",IF(ISNUMBER(E179),E179,0)+R179,R179)*(1+S179/30)),1)),"--")</f>
        <v>--</v>
      </c>
      <c r="V179" s="23" t="str">
        <f>IF(SUGERENCIAS!N429="SIN","Sin datos anteriores",IF(SUGERENCIAS!N429="SUBIR_F","^ SUBIR FUERTE | Kg:"&amp;ROUND(SUGERENCIAS!K429,1)&amp;" R:"&amp;ROUND(SUGERENCIAS!L429,0)&amp;" RIR:"&amp;ROUND(SUGERENCIAS!M429,0),IF(SUGERENCIAS!N429="SUBIR_E","^ SUBIR (Est.) | Kg:"&amp;ROUND(SUGERENCIAS!K429,1)&amp;" R:"&amp;ROUND(SUGERENCIAS!L429,0)&amp;" RIR:"&amp;ROUND(SUGERENCIAS!M429,0),IF(SUGERENCIAS!N429="SUBIR","^ SUBIR | Kg:"&amp;ROUND(SUGERENCIAS!K429,1)&amp;" R:"&amp;ROUND(SUGERENCIAS!L429,0)&amp;" RIR:"&amp;ROUND(SUGERENCIAS!M429,0),IF(SUGERENCIAS!N429="BAJAR","v BAJAR | Kg:"&amp;ROUND(SUGERENCIAS!K429,1)&amp;" R:"&amp;ROUND(SUGERENCIAS!L429,0)&amp;" RIR:"&amp;ROUND(SUGERENCIAS!M429,0),"= MANT | Kg:"&amp;ROUND(SUGERENCIAS!K429,1)&amp;" R:"&amp;ROUND(SUGERENCIAS!L429,0)&amp;" RIR:"&amp;ROUND(SUGERENCIAS!M429,0))))))</f>
        <v>Sin datos anteriores</v>
      </c>
      <c r="W179" s="69">
        <f>MAX(IF((G179&gt;0)*(IF(H179="",-1,H179)&gt;=1)*(IF(H179="",-1,H179)&lt;=3),IF(C179="peso_corporal",IF(ISNUMBER(E179),E179,0)+F179,F179)*G179*1000+F179,0),IF((J179&gt;0)*(IF(K179="",-1,K179)&gt;=1)*(IF(K179="",-1,K179)&lt;=3),IF(C179="peso_corporal",IF(ISNUMBER(E179),E179,0)+I179,I179)*J179*1000+I179,0),IF((M179&gt;0)*(IF(N179="",-1,N179)&gt;=1)*(IF(N179="",-1,N179)&lt;=3),IF(C179="peso_corporal",IF(ISNUMBER(E179),E179,0)+L179,L179)*M179*1000+L179,0),IF((P179&gt;0)*(IF(Q179="",-1,Q179)&gt;=1)*(IF(Q179="",-1,Q179)&lt;=3),IF(C179="peso_corporal",IF(ISNUMBER(E179),E179,0)+O179,O179)*P179*1000+O179,0),IF((S179&gt;0)*(IF(T179="",-1,T179)&gt;=1)*(IF(T179="",-1,T179)&lt;=3),IF(C179="peso_corporal",IF(ISNUMBER(E179),E179,0)+R179,R179)*S179*1000+R179,0))</f>
        <v>0</v>
      </c>
      <c r="X179" s="69">
        <f>IF(W179=0,0,IF(IF((S179&gt;0)*(IF(T179="",-1,T179)&gt;=1)*(IF(T179="",-1,T179)&lt;=3),IF(C179="peso_corporal",IF(ISNUMBER(E179),E179,0)+R179,R179)*S179*1000+R179,0)=W179,5,IF(IF((P179&gt;0)*(IF(Q179="",-1,Q179)&gt;=1)*(IF(Q179="",-1,Q179)&lt;=3),IF(C179="peso_corporal",IF(ISNUMBER(E179),E179,0)+O179,O179)*P179*1000+O179,0)=W179,4,IF(IF((M179&gt;0)*(IF(N179="",-1,N179)&gt;=1)*(IF(N179="",-1,N179)&lt;=3),IF(C179="peso_corporal",IF(ISNUMBER(E179),E179,0)+L179,L179)*M179*1000+L179,0)=W179,3,IF(IF((J179&gt;0)*(IF(K179="",-1,K179)&gt;=1)*(IF(K179="",-1,K179)&lt;=3),IF(C179="peso_corporal",IF(ISNUMBER(E179),E179,0)+I179,I179)*J179*1000+I179,0)=W179,2,IF(IF((G179&gt;0)*(IF(H179="",-1,H179)&gt;=1)*(IF(H179="",-1,H179)&lt;=3),IF(C179="peso_corporal",IF(ISNUMBER(E179),E179,0)+F179,F179)*G179*1000+F179,0)=W179,1,0))))))</f>
        <v>0</v>
      </c>
      <c r="Y179" s="69">
        <f>MAX(IF((G179&gt;0)*(IF(H179="",-1,H179)=0)*(1-(IF(H179="",-1,H179)&gt;=1)*(IF(H179="",-1,H179)&lt;=3)),IF(C179="peso_corporal",IF(ISNUMBER(E179),E179,0)+F179,F179)*G179*1000+F179,0),IF((J179&gt;0)*(IF(K179="",-1,K179)=0)*(1-(IF(K179="",-1,K179)&gt;=1)*(IF(K179="",-1,K179)&lt;=3)),IF(C179="peso_corporal",IF(ISNUMBER(E179),E179,0)+I179,I179)*J179*1000+I179,0),IF((M179&gt;0)*(IF(N179="",-1,N179)=0)*(1-(IF(N179="",-1,N179)&gt;=1)*(IF(N179="",-1,N179)&lt;=3)),IF(C179="peso_corporal",IF(ISNUMBER(E179),E179,0)+L179,L179)*M179*1000+L179,0),IF((P179&gt;0)*(IF(Q179="",-1,Q179)=0)*(1-(IF(Q179="",-1,Q179)&gt;=1)*(IF(Q179="",-1,Q179)&lt;=3)),IF(C179="peso_corporal",IF(ISNUMBER(E179),E179,0)+O179,O179)*P179*1000+O179,0),IF((S179&gt;0)*(IF(T179="",-1,T179)=0)*(1-(IF(T179="",-1,T179)&gt;=1)*(IF(T179="",-1,T179)&lt;=3)),IF(C179="peso_corporal",IF(ISNUMBER(E179),E179,0)+R179,R179)*S179*1000+R179,0))</f>
        <v>0</v>
      </c>
      <c r="Z179" s="69">
        <f>IF(Y179=0,0,IF(IF((S179&gt;0)*(IF(T179="",-1,T179)=0)*(1-(IF(T179="",-1,T179)&gt;=1)*(IF(T179="",-1,T179)&lt;=3)),IF(C179="peso_corporal",IF(ISNUMBER(E179),E179,0)+R179,R179)*S179*1000+R179,0)=Y179,5,IF(IF((P179&gt;0)*(IF(Q179="",-1,Q179)=0)*(1-(IF(Q179="",-1,Q179)&gt;=1)*(IF(Q179="",-1,Q179)&lt;=3)),IF(C179="peso_corporal",IF(ISNUMBER(E179),E179,0)+O179,O179)*P179*1000+O179,0)=Y179,4,IF(IF((M179&gt;0)*(IF(N179="",-1,N179)=0)*(1-(IF(N179="",-1,N179)&gt;=1)*(IF(N179="",-1,N179)&lt;=3)),IF(C179="peso_corporal",IF(ISNUMBER(E179),E179,0)+L179,L179)*M179*1000+L179,0)=Y179,3,IF(IF((J179&gt;0)*(IF(K179="",-1,K179)=0)*(1-(IF(K179="",-1,K179)&gt;=1)*(IF(K179="",-1,K179)&lt;=3)),IF(C179="peso_corporal",IF(ISNUMBER(E179),E179,0)+I179,I179)*J179*1000+I179,0)=Y179,2,IF(IF((G179&gt;0)*(IF(H179="",-1,H179)=0)*(1-(IF(H179="",-1,H179)&gt;=1)*(IF(H179="",-1,H179)&lt;=3)),IF(C179="peso_corporal",IF(ISNUMBER(E179),E179,0)+F179,F179)*G179*1000+F179,0)=Y179,1,0))))))</f>
        <v>0</v>
      </c>
      <c r="AA179" s="69">
        <f>MAX(IF((G179&gt;=6)*(1-(IF(H179="",-1,H179)&gt;=1)*(IF(H179="",-1,H179)&lt;=3))*(1-(IF(H179="",-1,H179)=0)),IF(C179="peso_corporal",IF(ISNUMBER(E179),E179,0)+F179,F179)*(30+G179)*100+F179,0),IF((J179&gt;=6)*(1-(IF(K179="",-1,K179)&gt;=1)*(IF(K179="",-1,K179)&lt;=3))*(1-(IF(K179="",-1,K179)=0)),IF(C179="peso_corporal",IF(ISNUMBER(E179),E179,0)+I179,I179)*(30+J179)*100+I179,0),IF((M179&gt;=6)*(1-(IF(N179="",-1,N179)&gt;=1)*(IF(N179="",-1,N179)&lt;=3))*(1-(IF(N179="",-1,N179)=0)),IF(C179="peso_corporal",IF(ISNUMBER(E179),E179,0)+L179,L179)*(30+M179)*100+L179,0),IF((P179&gt;=6)*(1-(IF(Q179="",-1,Q179)&gt;=1)*(IF(Q179="",-1,Q179)&lt;=3))*(1-(IF(Q179="",-1,Q179)=0)),IF(C179="peso_corporal",IF(ISNUMBER(E179),E179,0)+O179,O179)*(30+P179)*100+O179,0),IF((S179&gt;=6)*(1-(IF(T179="",-1,T179)&gt;=1)*(IF(T179="",-1,T179)&lt;=3))*(1-(IF(T179="",-1,T179)=0)),IF(C179="peso_corporal",IF(ISNUMBER(E179),E179,0)+R179,R179)*(30+S179)*100+R179,0))</f>
        <v>0</v>
      </c>
      <c r="AB179" s="69">
        <f>IF(AA179=0,0,IF(IF((S179&gt;=6)*(1-(IF(T179="",-1,T179)&gt;=1)*(IF(T179="",-1,T179)&lt;=3))*(1-(IF(T179="",-1,T179)=0)),IF(C179="peso_corporal",IF(ISNUMBER(E179),E179,0)+R179,R179)*(30+S179)*100+R179,0)=AA179,5,IF(IF((P179&gt;=6)*(1-(IF(Q179="",-1,Q179)&gt;=1)*(IF(Q179="",-1,Q179)&lt;=3))*(1-(IF(Q179="",-1,Q179)=0)),IF(C179="peso_corporal",IF(ISNUMBER(E179),E179,0)+O179,O179)*(30+P179)*100+O179,0)=AA179,4,IF(IF((M179&gt;=6)*(1-(IF(N179="",-1,N179)&gt;=1)*(IF(N179="",-1,N179)&lt;=3))*(1-(IF(N179="",-1,N179)=0)),IF(C179="peso_corporal",IF(ISNUMBER(E179),E179,0)+L179,L179)*(30+M179)*100+L179,0)=AA179,3,IF(IF((J179&gt;=6)*(1-(IF(K179="",-1,K179)&gt;=1)*(IF(K179="",-1,K179)&lt;=3))*(1-(IF(K179="",-1,K179)=0)),IF(C179="peso_corporal",IF(ISNUMBER(E179),E179,0)+I179,I179)*(30+J179)*100+I179,0)=AA179,2,IF(IF((G179&gt;=6)*(1-(IF(H179="",-1,H179)&gt;=1)*(IF(H179="",-1,H179)&lt;=3))*(1-(IF(H179="",-1,H179)=0)),IF(C179="peso_corporal",IF(ISNUMBER(E179),E179,0)+F179,F179)*(30+G179)*100+F179,0)=AA179,1,0))))))</f>
        <v>0</v>
      </c>
      <c r="AC179" s="69" t="str">
        <f>IF(X179&gt;0,"A"&amp;X179,IF(Z179&gt;0,"B"&amp;Z179,IF(AB179&gt;0,"C"&amp;AB179,"")))</f>
        <v/>
      </c>
    </row>
    <row r="180" spans="1:29" ht="15" customHeight="1">
      <c r="A180" s="81" t="s">
        <v>53</v>
      </c>
      <c r="B180" s="73"/>
      <c r="C180" s="73"/>
      <c r="D180" s="73"/>
      <c r="E180" s="73"/>
      <c r="F180" s="73"/>
      <c r="G180" s="73"/>
      <c r="H180" s="73"/>
      <c r="I180" s="73"/>
      <c r="J180" s="73"/>
      <c r="K180" s="73"/>
      <c r="L180" s="73"/>
      <c r="M180" s="73"/>
      <c r="N180" s="73"/>
      <c r="O180" s="73"/>
      <c r="P180" s="73"/>
      <c r="Q180" s="73"/>
      <c r="R180" s="73"/>
      <c r="S180" s="73"/>
      <c r="T180" s="73"/>
      <c r="U180" s="73"/>
      <c r="V180" s="73"/>
      <c r="W180" s="69"/>
      <c r="X180" s="69"/>
      <c r="Y180" s="69"/>
      <c r="Z180" s="69"/>
      <c r="AA180" s="69"/>
      <c r="AB180" s="69"/>
      <c r="AC180" s="69"/>
    </row>
    <row r="181" spans="1:29" ht="20.100000000000001" customHeight="1">
      <c r="A181" s="14" t="s">
        <v>54</v>
      </c>
      <c r="B181" s="15" t="s">
        <v>115</v>
      </c>
      <c r="C181" s="16" t="str">
        <f>IFERROR(INDEX(EJERCICIOS!$D$3:$D$75,MATCH(A181&amp;"|"&amp;B181,EJERCICIOS!$G$3:$G$75,0)),"--")</f>
        <v>polea</v>
      </c>
      <c r="D181" s="17">
        <v>3</v>
      </c>
      <c r="E181" s="18">
        <f>IFERROR(LOOKUP(2,1/(MEDIDAS_Y_PESO!$B$3:$B$9&lt;&gt;""),MEDIDAS_Y_PESO!$B$3:$B$9),"--")</f>
        <v>80</v>
      </c>
      <c r="F181" s="19"/>
      <c r="G181" s="20"/>
      <c r="H181" s="21"/>
      <c r="I181" s="19"/>
      <c r="J181" s="20"/>
      <c r="K181" s="21"/>
      <c r="L181" s="19"/>
      <c r="M181" s="20"/>
      <c r="N181" s="21"/>
      <c r="O181" s="19"/>
      <c r="P181" s="20"/>
      <c r="Q181" s="21"/>
      <c r="R181" s="19"/>
      <c r="S181" s="20"/>
      <c r="T181" s="21"/>
      <c r="U181" s="22" t="str">
        <f>IFERROR(IF(IF(X181&gt;0,X181,IF(Z181&gt;0,Z181,IF(AB181&gt;0,AB181,0)))=0,"--",ROUND(CHOOSE(IF(X181&gt;0,X181,IF(Z181&gt;0,Z181,IF(AB181&gt;0,AB181,0))),IF(C181="peso_corporal",IF(ISNUMBER(E181),E181,0)+F181,F181)*(1+G181/30),IF(C181="peso_corporal",IF(ISNUMBER(E181),E181,0)+I181,I181)*(1+J181/30),IF(C181="peso_corporal",IF(ISNUMBER(E181),E181,0)+L181,L181)*(1+M181/30),IF(C181="peso_corporal",IF(ISNUMBER(E181),E181,0)+O181,O181)*(1+P181/30),IF(C181="peso_corporal",IF(ISNUMBER(E181),E181,0)+R181,R181)*(1+S181/30)),1)),"--")</f>
        <v>--</v>
      </c>
      <c r="V181" s="23" t="str">
        <f>IF(SUGERENCIAS!N430="SIN","Sin datos anteriores",IF(SUGERENCIAS!N430="SUBIR_F","^ SUBIR FUERTE | Kg:"&amp;ROUND(SUGERENCIAS!K430,1)&amp;" R:"&amp;ROUND(SUGERENCIAS!L430,0)&amp;" RIR:"&amp;ROUND(SUGERENCIAS!M430,0),IF(SUGERENCIAS!N430="SUBIR_E","^ SUBIR (Est.) | Kg:"&amp;ROUND(SUGERENCIAS!K430,1)&amp;" R:"&amp;ROUND(SUGERENCIAS!L430,0)&amp;" RIR:"&amp;ROUND(SUGERENCIAS!M430,0),IF(SUGERENCIAS!N430="SUBIR","^ SUBIR | Kg:"&amp;ROUND(SUGERENCIAS!K430,1)&amp;" R:"&amp;ROUND(SUGERENCIAS!L430,0)&amp;" RIR:"&amp;ROUND(SUGERENCIAS!M430,0),IF(SUGERENCIAS!N430="BAJAR","v BAJAR | Kg:"&amp;ROUND(SUGERENCIAS!K430,1)&amp;" R:"&amp;ROUND(SUGERENCIAS!L430,0)&amp;" RIR:"&amp;ROUND(SUGERENCIAS!M430,0),"= MANT | Kg:"&amp;ROUND(SUGERENCIAS!K430,1)&amp;" R:"&amp;ROUND(SUGERENCIAS!L430,0)&amp;" RIR:"&amp;ROUND(SUGERENCIAS!M430,0))))))</f>
        <v>= MANT | Kg:40 R:7 RIR:2</v>
      </c>
      <c r="W181" s="69">
        <f>MAX(IF((G181&gt;0)*(IF(H181="",-1,H181)&gt;=1)*(IF(H181="",-1,H181)&lt;=3),IF(C181="peso_corporal",IF(ISNUMBER(E181),E181,0)+F181,F181)*G181*1000+F181,0),IF((J181&gt;0)*(IF(K181="",-1,K181)&gt;=1)*(IF(K181="",-1,K181)&lt;=3),IF(C181="peso_corporal",IF(ISNUMBER(E181),E181,0)+I181,I181)*J181*1000+I181,0),IF((M181&gt;0)*(IF(N181="",-1,N181)&gt;=1)*(IF(N181="",-1,N181)&lt;=3),IF(C181="peso_corporal",IF(ISNUMBER(E181),E181,0)+L181,L181)*M181*1000+L181,0),IF((P181&gt;0)*(IF(Q181="",-1,Q181)&gt;=1)*(IF(Q181="",-1,Q181)&lt;=3),IF(C181="peso_corporal",IF(ISNUMBER(E181),E181,0)+O181,O181)*P181*1000+O181,0),IF((S181&gt;0)*(IF(T181="",-1,T181)&gt;=1)*(IF(T181="",-1,T181)&lt;=3),IF(C181="peso_corporal",IF(ISNUMBER(E181),E181,0)+R181,R181)*S181*1000+R181,0))</f>
        <v>0</v>
      </c>
      <c r="X181" s="69">
        <f>IF(W181=0,0,IF(IF((S181&gt;0)*(IF(T181="",-1,T181)&gt;=1)*(IF(T181="",-1,T181)&lt;=3),IF(C181="peso_corporal",IF(ISNUMBER(E181),E181,0)+R181,R181)*S181*1000+R181,0)=W181,5,IF(IF((P181&gt;0)*(IF(Q181="",-1,Q181)&gt;=1)*(IF(Q181="",-1,Q181)&lt;=3),IF(C181="peso_corporal",IF(ISNUMBER(E181),E181,0)+O181,O181)*P181*1000+O181,0)=W181,4,IF(IF((M181&gt;0)*(IF(N181="",-1,N181)&gt;=1)*(IF(N181="",-1,N181)&lt;=3),IF(C181="peso_corporal",IF(ISNUMBER(E181),E181,0)+L181,L181)*M181*1000+L181,0)=W181,3,IF(IF((J181&gt;0)*(IF(K181="",-1,K181)&gt;=1)*(IF(K181="",-1,K181)&lt;=3),IF(C181="peso_corporal",IF(ISNUMBER(E181),E181,0)+I181,I181)*J181*1000+I181,0)=W181,2,IF(IF((G181&gt;0)*(IF(H181="",-1,H181)&gt;=1)*(IF(H181="",-1,H181)&lt;=3),IF(C181="peso_corporal",IF(ISNUMBER(E181),E181,0)+F181,F181)*G181*1000+F181,0)=W181,1,0))))))</f>
        <v>0</v>
      </c>
      <c r="Y181" s="69">
        <f>MAX(IF((G181&gt;0)*(IF(H181="",-1,H181)=0)*(1-(IF(H181="",-1,H181)&gt;=1)*(IF(H181="",-1,H181)&lt;=3)),IF(C181="peso_corporal",IF(ISNUMBER(E181),E181,0)+F181,F181)*G181*1000+F181,0),IF((J181&gt;0)*(IF(K181="",-1,K181)=0)*(1-(IF(K181="",-1,K181)&gt;=1)*(IF(K181="",-1,K181)&lt;=3)),IF(C181="peso_corporal",IF(ISNUMBER(E181),E181,0)+I181,I181)*J181*1000+I181,0),IF((M181&gt;0)*(IF(N181="",-1,N181)=0)*(1-(IF(N181="",-1,N181)&gt;=1)*(IF(N181="",-1,N181)&lt;=3)),IF(C181="peso_corporal",IF(ISNUMBER(E181),E181,0)+L181,L181)*M181*1000+L181,0),IF((P181&gt;0)*(IF(Q181="",-1,Q181)=0)*(1-(IF(Q181="",-1,Q181)&gt;=1)*(IF(Q181="",-1,Q181)&lt;=3)),IF(C181="peso_corporal",IF(ISNUMBER(E181),E181,0)+O181,O181)*P181*1000+O181,0),IF((S181&gt;0)*(IF(T181="",-1,T181)=0)*(1-(IF(T181="",-1,T181)&gt;=1)*(IF(T181="",-1,T181)&lt;=3)),IF(C181="peso_corporal",IF(ISNUMBER(E181),E181,0)+R181,R181)*S181*1000+R181,0))</f>
        <v>0</v>
      </c>
      <c r="Z181" s="69">
        <f>IF(Y181=0,0,IF(IF((S181&gt;0)*(IF(T181="",-1,T181)=0)*(1-(IF(T181="",-1,T181)&gt;=1)*(IF(T181="",-1,T181)&lt;=3)),IF(C181="peso_corporal",IF(ISNUMBER(E181),E181,0)+R181,R181)*S181*1000+R181,0)=Y181,5,IF(IF((P181&gt;0)*(IF(Q181="",-1,Q181)=0)*(1-(IF(Q181="",-1,Q181)&gt;=1)*(IF(Q181="",-1,Q181)&lt;=3)),IF(C181="peso_corporal",IF(ISNUMBER(E181),E181,0)+O181,O181)*P181*1000+O181,0)=Y181,4,IF(IF((M181&gt;0)*(IF(N181="",-1,N181)=0)*(1-(IF(N181="",-1,N181)&gt;=1)*(IF(N181="",-1,N181)&lt;=3)),IF(C181="peso_corporal",IF(ISNUMBER(E181),E181,0)+L181,L181)*M181*1000+L181,0)=Y181,3,IF(IF((J181&gt;0)*(IF(K181="",-1,K181)=0)*(1-(IF(K181="",-1,K181)&gt;=1)*(IF(K181="",-1,K181)&lt;=3)),IF(C181="peso_corporal",IF(ISNUMBER(E181),E181,0)+I181,I181)*J181*1000+I181,0)=Y181,2,IF(IF((G181&gt;0)*(IF(H181="",-1,H181)=0)*(1-(IF(H181="",-1,H181)&gt;=1)*(IF(H181="",-1,H181)&lt;=3)),IF(C181="peso_corporal",IF(ISNUMBER(E181),E181,0)+F181,F181)*G181*1000+F181,0)=Y181,1,0))))))</f>
        <v>0</v>
      </c>
      <c r="AA181" s="69">
        <f>MAX(IF((G181&gt;=6)*(1-(IF(H181="",-1,H181)&gt;=1)*(IF(H181="",-1,H181)&lt;=3))*(1-(IF(H181="",-1,H181)=0)),IF(C181="peso_corporal",IF(ISNUMBER(E181),E181,0)+F181,F181)*(30+G181)*100+F181,0),IF((J181&gt;=6)*(1-(IF(K181="",-1,K181)&gt;=1)*(IF(K181="",-1,K181)&lt;=3))*(1-(IF(K181="",-1,K181)=0)),IF(C181="peso_corporal",IF(ISNUMBER(E181),E181,0)+I181,I181)*(30+J181)*100+I181,0),IF((M181&gt;=6)*(1-(IF(N181="",-1,N181)&gt;=1)*(IF(N181="",-1,N181)&lt;=3))*(1-(IF(N181="",-1,N181)=0)),IF(C181="peso_corporal",IF(ISNUMBER(E181),E181,0)+L181,L181)*(30+M181)*100+L181,0),IF((P181&gt;=6)*(1-(IF(Q181="",-1,Q181)&gt;=1)*(IF(Q181="",-1,Q181)&lt;=3))*(1-(IF(Q181="",-1,Q181)=0)),IF(C181="peso_corporal",IF(ISNUMBER(E181),E181,0)+O181,O181)*(30+P181)*100+O181,0),IF((S181&gt;=6)*(1-(IF(T181="",-1,T181)&gt;=1)*(IF(T181="",-1,T181)&lt;=3))*(1-(IF(T181="",-1,T181)=0)),IF(C181="peso_corporal",IF(ISNUMBER(E181),E181,0)+R181,R181)*(30+S181)*100+R181,0))</f>
        <v>0</v>
      </c>
      <c r="AB181" s="69">
        <f>IF(AA181=0,0,IF(IF((S181&gt;=6)*(1-(IF(T181="",-1,T181)&gt;=1)*(IF(T181="",-1,T181)&lt;=3))*(1-(IF(T181="",-1,T181)=0)),IF(C181="peso_corporal",IF(ISNUMBER(E181),E181,0)+R181,R181)*(30+S181)*100+R181,0)=AA181,5,IF(IF((P181&gt;=6)*(1-(IF(Q181="",-1,Q181)&gt;=1)*(IF(Q181="",-1,Q181)&lt;=3))*(1-(IF(Q181="",-1,Q181)=0)),IF(C181="peso_corporal",IF(ISNUMBER(E181),E181,0)+O181,O181)*(30+P181)*100+O181,0)=AA181,4,IF(IF((M181&gt;=6)*(1-(IF(N181="",-1,N181)&gt;=1)*(IF(N181="",-1,N181)&lt;=3))*(1-(IF(N181="",-1,N181)=0)),IF(C181="peso_corporal",IF(ISNUMBER(E181),E181,0)+L181,L181)*(30+M181)*100+L181,0)=AA181,3,IF(IF((J181&gt;=6)*(1-(IF(K181="",-1,K181)&gt;=1)*(IF(K181="",-1,K181)&lt;=3))*(1-(IF(K181="",-1,K181)=0)),IF(C181="peso_corporal",IF(ISNUMBER(E181),E181,0)+I181,I181)*(30+J181)*100+I181,0)=AA181,2,IF(IF((G181&gt;=6)*(1-(IF(H181="",-1,H181)&gt;=1)*(IF(H181="",-1,H181)&lt;=3))*(1-(IF(H181="",-1,H181)=0)),IF(C181="peso_corporal",IF(ISNUMBER(E181),E181,0)+F181,F181)*(30+G181)*100+F181,0)=AA181,1,0))))))</f>
        <v>0</v>
      </c>
      <c r="AC181" s="69" t="str">
        <f>IF(X181&gt;0,"A"&amp;X181,IF(Z181&gt;0,"B"&amp;Z181,IF(AB181&gt;0,"C"&amp;AB181,"")))</f>
        <v/>
      </c>
    </row>
    <row r="182" spans="1:29" ht="15" customHeight="1">
      <c r="A182" s="72" t="s">
        <v>56</v>
      </c>
      <c r="B182" s="73"/>
      <c r="C182" s="73"/>
      <c r="D182" s="73"/>
      <c r="E182" s="73"/>
      <c r="F182" s="73"/>
      <c r="G182" s="73"/>
      <c r="H182" s="73"/>
      <c r="I182" s="73"/>
      <c r="J182" s="73"/>
      <c r="K182" s="73"/>
      <c r="L182" s="73"/>
      <c r="M182" s="73"/>
      <c r="N182" s="73"/>
      <c r="O182" s="73"/>
      <c r="P182" s="73"/>
      <c r="Q182" s="73"/>
      <c r="R182" s="73"/>
      <c r="S182" s="73"/>
      <c r="T182" s="73"/>
      <c r="U182" s="73"/>
      <c r="V182" s="73"/>
      <c r="W182" s="69"/>
      <c r="X182" s="69"/>
      <c r="Y182" s="69"/>
      <c r="Z182" s="69"/>
      <c r="AA182" s="69"/>
      <c r="AB182" s="69"/>
      <c r="AC182" s="69"/>
    </row>
    <row r="183" spans="1:29" ht="20.100000000000001" customHeight="1">
      <c r="A183" s="14" t="s">
        <v>57</v>
      </c>
      <c r="B183" s="15" t="s">
        <v>58</v>
      </c>
      <c r="C183" s="16" t="str">
        <f>IFERROR(INDEX(EJERCICIOS!$D$3:$D$75,MATCH(A183&amp;"|"&amp;B183,EJERCICIOS!$G$3:$G$75,0)),"--")</f>
        <v>polea</v>
      </c>
      <c r="D183" s="17">
        <v>3</v>
      </c>
      <c r="E183" s="18">
        <f>IFERROR(LOOKUP(2,1/(MEDIDAS_Y_PESO!$B$3:$B$9&lt;&gt;""),MEDIDAS_Y_PESO!$B$3:$B$9),"--")</f>
        <v>80</v>
      </c>
      <c r="F183" s="19"/>
      <c r="G183" s="20"/>
      <c r="H183" s="21"/>
      <c r="I183" s="19"/>
      <c r="J183" s="20"/>
      <c r="K183" s="21"/>
      <c r="L183" s="19"/>
      <c r="M183" s="20"/>
      <c r="N183" s="21"/>
      <c r="O183" s="19"/>
      <c r="P183" s="20"/>
      <c r="Q183" s="21"/>
      <c r="R183" s="19"/>
      <c r="S183" s="20"/>
      <c r="T183" s="21"/>
      <c r="U183" s="22" t="str">
        <f>IFERROR(IF(IF(X183&gt;0,X183,IF(Z183&gt;0,Z183,IF(AB183&gt;0,AB183,0)))=0,"--",ROUND(CHOOSE(IF(X183&gt;0,X183,IF(Z183&gt;0,Z183,IF(AB183&gt;0,AB183,0))),IF(C183="peso_corporal",IF(ISNUMBER(E183),E183,0)+F183,F183)*(1+G183/30),IF(C183="peso_corporal",IF(ISNUMBER(E183),E183,0)+I183,I183)*(1+J183/30),IF(C183="peso_corporal",IF(ISNUMBER(E183),E183,0)+L183,L183)*(1+M183/30),IF(C183="peso_corporal",IF(ISNUMBER(E183),E183,0)+O183,O183)*(1+P183/30),IF(C183="peso_corporal",IF(ISNUMBER(E183),E183,0)+R183,R183)*(1+S183/30)),1)),"--")</f>
        <v>--</v>
      </c>
      <c r="V183" s="23" t="str">
        <f>IF(SUGERENCIAS!N431="SIN","Sin datos anteriores",IF(SUGERENCIAS!N431="SUBIR_F","^ SUBIR FUERTE | Kg:"&amp;ROUND(SUGERENCIAS!K431,1)&amp;" R:"&amp;ROUND(SUGERENCIAS!L431,0)&amp;" RIR:"&amp;ROUND(SUGERENCIAS!M431,0),IF(SUGERENCIAS!N431="SUBIR_E","^ SUBIR (Est.) | Kg:"&amp;ROUND(SUGERENCIAS!K431,1)&amp;" R:"&amp;ROUND(SUGERENCIAS!L431,0)&amp;" RIR:"&amp;ROUND(SUGERENCIAS!M431,0),IF(SUGERENCIAS!N431="SUBIR","^ SUBIR | Kg:"&amp;ROUND(SUGERENCIAS!K431,1)&amp;" R:"&amp;ROUND(SUGERENCIAS!L431,0)&amp;" RIR:"&amp;ROUND(SUGERENCIAS!M431,0),IF(SUGERENCIAS!N431="BAJAR","v BAJAR | Kg:"&amp;ROUND(SUGERENCIAS!K431,1)&amp;" R:"&amp;ROUND(SUGERENCIAS!L431,0)&amp;" RIR:"&amp;ROUND(SUGERENCIAS!M431,0),"= MANT | Kg:"&amp;ROUND(SUGERENCIAS!K431,1)&amp;" R:"&amp;ROUND(SUGERENCIAS!L431,0)&amp;" RIR:"&amp;ROUND(SUGERENCIAS!M431,0))))))</f>
        <v>Sin datos anteriores</v>
      </c>
      <c r="W183" s="69">
        <f>MAX(IF((G183&gt;0)*(IF(H183="",-1,H183)&gt;=1)*(IF(H183="",-1,H183)&lt;=3),IF(C183="peso_corporal",IF(ISNUMBER(E183),E183,0)+F183,F183)*G183*1000+F183,0),IF((J183&gt;0)*(IF(K183="",-1,K183)&gt;=1)*(IF(K183="",-1,K183)&lt;=3),IF(C183="peso_corporal",IF(ISNUMBER(E183),E183,0)+I183,I183)*J183*1000+I183,0),IF((M183&gt;0)*(IF(N183="",-1,N183)&gt;=1)*(IF(N183="",-1,N183)&lt;=3),IF(C183="peso_corporal",IF(ISNUMBER(E183),E183,0)+L183,L183)*M183*1000+L183,0),IF((P183&gt;0)*(IF(Q183="",-1,Q183)&gt;=1)*(IF(Q183="",-1,Q183)&lt;=3),IF(C183="peso_corporal",IF(ISNUMBER(E183),E183,0)+O183,O183)*P183*1000+O183,0),IF((S183&gt;0)*(IF(T183="",-1,T183)&gt;=1)*(IF(T183="",-1,T183)&lt;=3),IF(C183="peso_corporal",IF(ISNUMBER(E183),E183,0)+R183,R183)*S183*1000+R183,0))</f>
        <v>0</v>
      </c>
      <c r="X183" s="69">
        <f>IF(W183=0,0,IF(IF((S183&gt;0)*(IF(T183="",-1,T183)&gt;=1)*(IF(T183="",-1,T183)&lt;=3),IF(C183="peso_corporal",IF(ISNUMBER(E183),E183,0)+R183,R183)*S183*1000+R183,0)=W183,5,IF(IF((P183&gt;0)*(IF(Q183="",-1,Q183)&gt;=1)*(IF(Q183="",-1,Q183)&lt;=3),IF(C183="peso_corporal",IF(ISNUMBER(E183),E183,0)+O183,O183)*P183*1000+O183,0)=W183,4,IF(IF((M183&gt;0)*(IF(N183="",-1,N183)&gt;=1)*(IF(N183="",-1,N183)&lt;=3),IF(C183="peso_corporal",IF(ISNUMBER(E183),E183,0)+L183,L183)*M183*1000+L183,0)=W183,3,IF(IF((J183&gt;0)*(IF(K183="",-1,K183)&gt;=1)*(IF(K183="",-1,K183)&lt;=3),IF(C183="peso_corporal",IF(ISNUMBER(E183),E183,0)+I183,I183)*J183*1000+I183,0)=W183,2,IF(IF((G183&gt;0)*(IF(H183="",-1,H183)&gt;=1)*(IF(H183="",-1,H183)&lt;=3),IF(C183="peso_corporal",IF(ISNUMBER(E183),E183,0)+F183,F183)*G183*1000+F183,0)=W183,1,0))))))</f>
        <v>0</v>
      </c>
      <c r="Y183" s="69">
        <f>MAX(IF((G183&gt;0)*(IF(H183="",-1,H183)=0)*(1-(IF(H183="",-1,H183)&gt;=1)*(IF(H183="",-1,H183)&lt;=3)),IF(C183="peso_corporal",IF(ISNUMBER(E183),E183,0)+F183,F183)*G183*1000+F183,0),IF((J183&gt;0)*(IF(K183="",-1,K183)=0)*(1-(IF(K183="",-1,K183)&gt;=1)*(IF(K183="",-1,K183)&lt;=3)),IF(C183="peso_corporal",IF(ISNUMBER(E183),E183,0)+I183,I183)*J183*1000+I183,0),IF((M183&gt;0)*(IF(N183="",-1,N183)=0)*(1-(IF(N183="",-1,N183)&gt;=1)*(IF(N183="",-1,N183)&lt;=3)),IF(C183="peso_corporal",IF(ISNUMBER(E183),E183,0)+L183,L183)*M183*1000+L183,0),IF((P183&gt;0)*(IF(Q183="",-1,Q183)=0)*(1-(IF(Q183="",-1,Q183)&gt;=1)*(IF(Q183="",-1,Q183)&lt;=3)),IF(C183="peso_corporal",IF(ISNUMBER(E183),E183,0)+O183,O183)*P183*1000+O183,0),IF((S183&gt;0)*(IF(T183="",-1,T183)=0)*(1-(IF(T183="",-1,T183)&gt;=1)*(IF(T183="",-1,T183)&lt;=3)),IF(C183="peso_corporal",IF(ISNUMBER(E183),E183,0)+R183,R183)*S183*1000+R183,0))</f>
        <v>0</v>
      </c>
      <c r="Z183" s="69">
        <f>IF(Y183=0,0,IF(IF((S183&gt;0)*(IF(T183="",-1,T183)=0)*(1-(IF(T183="",-1,T183)&gt;=1)*(IF(T183="",-1,T183)&lt;=3)),IF(C183="peso_corporal",IF(ISNUMBER(E183),E183,0)+R183,R183)*S183*1000+R183,0)=Y183,5,IF(IF((P183&gt;0)*(IF(Q183="",-1,Q183)=0)*(1-(IF(Q183="",-1,Q183)&gt;=1)*(IF(Q183="",-1,Q183)&lt;=3)),IF(C183="peso_corporal",IF(ISNUMBER(E183),E183,0)+O183,O183)*P183*1000+O183,0)=Y183,4,IF(IF((M183&gt;0)*(IF(N183="",-1,N183)=0)*(1-(IF(N183="",-1,N183)&gt;=1)*(IF(N183="",-1,N183)&lt;=3)),IF(C183="peso_corporal",IF(ISNUMBER(E183),E183,0)+L183,L183)*M183*1000+L183,0)=Y183,3,IF(IF((J183&gt;0)*(IF(K183="",-1,K183)=0)*(1-(IF(K183="",-1,K183)&gt;=1)*(IF(K183="",-1,K183)&lt;=3)),IF(C183="peso_corporal",IF(ISNUMBER(E183),E183,0)+I183,I183)*J183*1000+I183,0)=Y183,2,IF(IF((G183&gt;0)*(IF(H183="",-1,H183)=0)*(1-(IF(H183="",-1,H183)&gt;=1)*(IF(H183="",-1,H183)&lt;=3)),IF(C183="peso_corporal",IF(ISNUMBER(E183),E183,0)+F183,F183)*G183*1000+F183,0)=Y183,1,0))))))</f>
        <v>0</v>
      </c>
      <c r="AA183" s="69">
        <f>MAX(IF((G183&gt;=6)*(1-(IF(H183="",-1,H183)&gt;=1)*(IF(H183="",-1,H183)&lt;=3))*(1-(IF(H183="",-1,H183)=0)),IF(C183="peso_corporal",IF(ISNUMBER(E183),E183,0)+F183,F183)*(30+G183)*100+F183,0),IF((J183&gt;=6)*(1-(IF(K183="",-1,K183)&gt;=1)*(IF(K183="",-1,K183)&lt;=3))*(1-(IF(K183="",-1,K183)=0)),IF(C183="peso_corporal",IF(ISNUMBER(E183),E183,0)+I183,I183)*(30+J183)*100+I183,0),IF((M183&gt;=6)*(1-(IF(N183="",-1,N183)&gt;=1)*(IF(N183="",-1,N183)&lt;=3))*(1-(IF(N183="",-1,N183)=0)),IF(C183="peso_corporal",IF(ISNUMBER(E183),E183,0)+L183,L183)*(30+M183)*100+L183,0),IF((P183&gt;=6)*(1-(IF(Q183="",-1,Q183)&gt;=1)*(IF(Q183="",-1,Q183)&lt;=3))*(1-(IF(Q183="",-1,Q183)=0)),IF(C183="peso_corporal",IF(ISNUMBER(E183),E183,0)+O183,O183)*(30+P183)*100+O183,0),IF((S183&gt;=6)*(1-(IF(T183="",-1,T183)&gt;=1)*(IF(T183="",-1,T183)&lt;=3))*(1-(IF(T183="",-1,T183)=0)),IF(C183="peso_corporal",IF(ISNUMBER(E183),E183,0)+R183,R183)*(30+S183)*100+R183,0))</f>
        <v>0</v>
      </c>
      <c r="AB183" s="69">
        <f>IF(AA183=0,0,IF(IF((S183&gt;=6)*(1-(IF(T183="",-1,T183)&gt;=1)*(IF(T183="",-1,T183)&lt;=3))*(1-(IF(T183="",-1,T183)=0)),IF(C183="peso_corporal",IF(ISNUMBER(E183),E183,0)+R183,R183)*(30+S183)*100+R183,0)=AA183,5,IF(IF((P183&gt;=6)*(1-(IF(Q183="",-1,Q183)&gt;=1)*(IF(Q183="",-1,Q183)&lt;=3))*(1-(IF(Q183="",-1,Q183)=0)),IF(C183="peso_corporal",IF(ISNUMBER(E183),E183,0)+O183,O183)*(30+P183)*100+O183,0)=AA183,4,IF(IF((M183&gt;=6)*(1-(IF(N183="",-1,N183)&gt;=1)*(IF(N183="",-1,N183)&lt;=3))*(1-(IF(N183="",-1,N183)=0)),IF(C183="peso_corporal",IF(ISNUMBER(E183),E183,0)+L183,L183)*(30+M183)*100+L183,0)=AA183,3,IF(IF((J183&gt;=6)*(1-(IF(K183="",-1,K183)&gt;=1)*(IF(K183="",-1,K183)&lt;=3))*(1-(IF(K183="",-1,K183)=0)),IF(C183="peso_corporal",IF(ISNUMBER(E183),E183,0)+I183,I183)*(30+J183)*100+I183,0)=AA183,2,IF(IF((G183&gt;=6)*(1-(IF(H183="",-1,H183)&gt;=1)*(IF(H183="",-1,H183)&lt;=3))*(1-(IF(H183="",-1,H183)=0)),IF(C183="peso_corporal",IF(ISNUMBER(E183),E183,0)+F183,F183)*(30+G183)*100+F183,0)=AA183,1,0))))))</f>
        <v>0</v>
      </c>
      <c r="AC183" s="69" t="str">
        <f>IF(X183&gt;0,"A"&amp;X183,IF(Z183&gt;0,"B"&amp;Z183,IF(AB183&gt;0,"C"&amp;AB183,"")))</f>
        <v/>
      </c>
    </row>
    <row r="184" spans="1:29" ht="6"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69"/>
      <c r="X184" s="69"/>
      <c r="Y184" s="69"/>
      <c r="Z184" s="69"/>
      <c r="AA184" s="69"/>
      <c r="AB184" s="69"/>
      <c r="AC184" s="69"/>
    </row>
    <row r="185" spans="1:29" ht="18" customHeight="1">
      <c r="A185" s="85" t="s">
        <v>73</v>
      </c>
      <c r="B185" s="73"/>
      <c r="C185" s="73"/>
      <c r="D185" s="73"/>
      <c r="E185" s="73"/>
      <c r="F185" s="73"/>
      <c r="G185" s="73"/>
      <c r="H185" s="73"/>
      <c r="I185" s="73"/>
      <c r="J185" s="73"/>
      <c r="K185" s="73"/>
      <c r="L185" s="73"/>
      <c r="M185" s="73"/>
      <c r="N185" s="73"/>
      <c r="O185" s="73"/>
      <c r="P185" s="73"/>
      <c r="Q185" s="73"/>
      <c r="R185" s="73"/>
      <c r="S185" s="73"/>
      <c r="T185" s="73"/>
      <c r="U185" s="73"/>
      <c r="V185" s="73"/>
      <c r="W185" s="69"/>
      <c r="X185" s="69"/>
      <c r="Y185" s="69"/>
      <c r="Z185" s="69"/>
      <c r="AA185" s="69"/>
      <c r="AB185" s="69"/>
      <c r="AC185" s="69"/>
    </row>
    <row r="186" spans="1:29" ht="15" customHeight="1">
      <c r="A186" s="81" t="s">
        <v>42</v>
      </c>
      <c r="B186" s="73"/>
      <c r="C186" s="73"/>
      <c r="D186" s="73"/>
      <c r="E186" s="73"/>
      <c r="F186" s="73"/>
      <c r="G186" s="73"/>
      <c r="H186" s="73"/>
      <c r="I186" s="73"/>
      <c r="J186" s="73"/>
      <c r="K186" s="73"/>
      <c r="L186" s="73"/>
      <c r="M186" s="73"/>
      <c r="N186" s="73"/>
      <c r="O186" s="73"/>
      <c r="P186" s="73"/>
      <c r="Q186" s="73"/>
      <c r="R186" s="73"/>
      <c r="S186" s="73"/>
      <c r="T186" s="73"/>
      <c r="U186" s="73"/>
      <c r="V186" s="73"/>
      <c r="W186" s="69"/>
      <c r="X186" s="69"/>
      <c r="Y186" s="69"/>
      <c r="Z186" s="69"/>
      <c r="AA186" s="69"/>
      <c r="AB186" s="69"/>
      <c r="AC186" s="69"/>
    </row>
    <row r="187" spans="1:29" ht="20.100000000000001" customHeight="1">
      <c r="A187" s="14" t="s">
        <v>45</v>
      </c>
      <c r="B187" s="15" t="s">
        <v>93</v>
      </c>
      <c r="C187" s="16" t="str">
        <f>IFERROR(INDEX(EJERCICIOS!$D$3:$D$75,MATCH(A187&amp;"|"&amp;B187,EJERCICIOS!$G$3:$G$75,0)),"--")</f>
        <v>--</v>
      </c>
      <c r="D187" s="17">
        <v>3</v>
      </c>
      <c r="E187" s="18">
        <f>IFERROR(LOOKUP(2,1/(MEDIDAS_Y_PESO!$B$3:$B$10&lt;&gt;""),MEDIDAS_Y_PESO!$B$3:$B$10),"--")</f>
        <v>80</v>
      </c>
      <c r="F187" s="19"/>
      <c r="G187" s="20"/>
      <c r="H187" s="21"/>
      <c r="I187" s="19"/>
      <c r="J187" s="20"/>
      <c r="K187" s="21"/>
      <c r="L187" s="19"/>
      <c r="M187" s="20"/>
      <c r="N187" s="21"/>
      <c r="O187" s="19"/>
      <c r="P187" s="20"/>
      <c r="Q187" s="21"/>
      <c r="R187" s="19"/>
      <c r="S187" s="20"/>
      <c r="T187" s="21"/>
      <c r="U187" s="22" t="str">
        <f>IFERROR(IF(IF(X187&gt;0,X187,IF(Z187&gt;0,Z187,IF(AB187&gt;0,AB187,0)))=0,"--",ROUND(CHOOSE(IF(X187&gt;0,X187,IF(Z187&gt;0,Z187,IF(AB187&gt;0,AB187,0))),IF(C187="peso_corporal",IF(ISNUMBER(E187),E187,0)+F187,F187)*(1+G187/30),IF(C187="peso_corporal",IF(ISNUMBER(E187),E187,0)+I187,I187)*(1+J187/30),IF(C187="peso_corporal",IF(ISNUMBER(E187),E187,0)+L187,L187)*(1+M187/30),IF(C187="peso_corporal",IF(ISNUMBER(E187),E187,0)+O187,O187)*(1+P187/30),IF(C187="peso_corporal",IF(ISNUMBER(E187),E187,0)+R187,R187)*(1+S187/30)),1)),"--")</f>
        <v>--</v>
      </c>
      <c r="V187" s="23" t="str">
        <f>IF(SUGERENCIAS!N482="SIN","Sin datos anteriores",IF(SUGERENCIAS!N482="SUBIR_F","^ SUBIR FUERTE | Kg:"&amp;ROUND(SUGERENCIAS!K482,1)&amp;" R:"&amp;ROUND(SUGERENCIAS!L482,0)&amp;" RIR:"&amp;ROUND(SUGERENCIAS!M482,0),IF(SUGERENCIAS!N482="SUBIR_E","^ SUBIR (Est.) | Kg:"&amp;ROUND(SUGERENCIAS!K482,1)&amp;" R:"&amp;ROUND(SUGERENCIAS!L482,0)&amp;" RIR:"&amp;ROUND(SUGERENCIAS!M482,0),IF(SUGERENCIAS!N482="SUBIR","^ SUBIR | Kg:"&amp;ROUND(SUGERENCIAS!K482,1)&amp;" R:"&amp;ROUND(SUGERENCIAS!L482,0)&amp;" RIR:"&amp;ROUND(SUGERENCIAS!M482,0),IF(SUGERENCIAS!N482="BAJAR","v BAJAR | Kg:"&amp;ROUND(SUGERENCIAS!K482,1)&amp;" R:"&amp;ROUND(SUGERENCIAS!L482,0)&amp;" RIR:"&amp;ROUND(SUGERENCIAS!M482,0),"= MANT | Kg:"&amp;ROUND(SUGERENCIAS!K482,1)&amp;" R:"&amp;ROUND(SUGERENCIAS!L482,0)&amp;" RIR:"&amp;ROUND(SUGERENCIAS!M482,0))))))</f>
        <v>Sin datos anteriores</v>
      </c>
      <c r="W187" s="69">
        <f>MAX(IF((G187&gt;0)*(IF(H187="",-1,H187)&gt;=1)*(IF(H187="",-1,H187)&lt;=3),IF(C187="peso_corporal",IF(ISNUMBER(E187),E187,0)+F187,F187)*G187*1000+F187,0),IF((J187&gt;0)*(IF(K187="",-1,K187)&gt;=1)*(IF(K187="",-1,K187)&lt;=3),IF(C187="peso_corporal",IF(ISNUMBER(E187),E187,0)+I187,I187)*J187*1000+I187,0),IF((M187&gt;0)*(IF(N187="",-1,N187)&gt;=1)*(IF(N187="",-1,N187)&lt;=3),IF(C187="peso_corporal",IF(ISNUMBER(E187),E187,0)+L187,L187)*M187*1000+L187,0),IF((P187&gt;0)*(IF(Q187="",-1,Q187)&gt;=1)*(IF(Q187="",-1,Q187)&lt;=3),IF(C187="peso_corporal",IF(ISNUMBER(E187),E187,0)+O187,O187)*P187*1000+O187,0),IF((S187&gt;0)*(IF(T187="",-1,T187)&gt;=1)*(IF(T187="",-1,T187)&lt;=3),IF(C187="peso_corporal",IF(ISNUMBER(E187),E187,0)+R187,R187)*S187*1000+R187,0))</f>
        <v>0</v>
      </c>
      <c r="X187" s="69">
        <f>IF(W187=0,0,IF(IF((S187&gt;0)*(IF(T187="",-1,T187)&gt;=1)*(IF(T187="",-1,T187)&lt;=3),IF(C187="peso_corporal",IF(ISNUMBER(E187),E187,0)+R187,R187)*S187*1000+R187,0)=W187,5,IF(IF((P187&gt;0)*(IF(Q187="",-1,Q187)&gt;=1)*(IF(Q187="",-1,Q187)&lt;=3),IF(C187="peso_corporal",IF(ISNUMBER(E187),E187,0)+O187,O187)*P187*1000+O187,0)=W187,4,IF(IF((M187&gt;0)*(IF(N187="",-1,N187)&gt;=1)*(IF(N187="",-1,N187)&lt;=3),IF(C187="peso_corporal",IF(ISNUMBER(E187),E187,0)+L187,L187)*M187*1000+L187,0)=W187,3,IF(IF((J187&gt;0)*(IF(K187="",-1,K187)&gt;=1)*(IF(K187="",-1,K187)&lt;=3),IF(C187="peso_corporal",IF(ISNUMBER(E187),E187,0)+I187,I187)*J187*1000+I187,0)=W187,2,IF(IF((G187&gt;0)*(IF(H187="",-1,H187)&gt;=1)*(IF(H187="",-1,H187)&lt;=3),IF(C187="peso_corporal",IF(ISNUMBER(E187),E187,0)+F187,F187)*G187*1000+F187,0)=W187,1,0))))))</f>
        <v>0</v>
      </c>
      <c r="Y187" s="69">
        <f>MAX(IF((G187&gt;0)*(IF(H187="",-1,H187)=0)*(1-(IF(H187="",-1,H187)&gt;=1)*(IF(H187="",-1,H187)&lt;=3)),IF(C187="peso_corporal",IF(ISNUMBER(E187),E187,0)+F187,F187)*G187*1000+F187,0),IF((J187&gt;0)*(IF(K187="",-1,K187)=0)*(1-(IF(K187="",-1,K187)&gt;=1)*(IF(K187="",-1,K187)&lt;=3)),IF(C187="peso_corporal",IF(ISNUMBER(E187),E187,0)+I187,I187)*J187*1000+I187,0),IF((M187&gt;0)*(IF(N187="",-1,N187)=0)*(1-(IF(N187="",-1,N187)&gt;=1)*(IF(N187="",-1,N187)&lt;=3)),IF(C187="peso_corporal",IF(ISNUMBER(E187),E187,0)+L187,L187)*M187*1000+L187,0),IF((P187&gt;0)*(IF(Q187="",-1,Q187)=0)*(1-(IF(Q187="",-1,Q187)&gt;=1)*(IF(Q187="",-1,Q187)&lt;=3)),IF(C187="peso_corporal",IF(ISNUMBER(E187),E187,0)+O187,O187)*P187*1000+O187,0),IF((S187&gt;0)*(IF(T187="",-1,T187)=0)*(1-(IF(T187="",-1,T187)&gt;=1)*(IF(T187="",-1,T187)&lt;=3)),IF(C187="peso_corporal",IF(ISNUMBER(E187),E187,0)+R187,R187)*S187*1000+R187,0))</f>
        <v>0</v>
      </c>
      <c r="Z187" s="69">
        <f>IF(Y187=0,0,IF(IF((S187&gt;0)*(IF(T187="",-1,T187)=0)*(1-(IF(T187="",-1,T187)&gt;=1)*(IF(T187="",-1,T187)&lt;=3)),IF(C187="peso_corporal",IF(ISNUMBER(E187),E187,0)+R187,R187)*S187*1000+R187,0)=Y187,5,IF(IF((P187&gt;0)*(IF(Q187="",-1,Q187)=0)*(1-(IF(Q187="",-1,Q187)&gt;=1)*(IF(Q187="",-1,Q187)&lt;=3)),IF(C187="peso_corporal",IF(ISNUMBER(E187),E187,0)+O187,O187)*P187*1000+O187,0)=Y187,4,IF(IF((M187&gt;0)*(IF(N187="",-1,N187)=0)*(1-(IF(N187="",-1,N187)&gt;=1)*(IF(N187="",-1,N187)&lt;=3)),IF(C187="peso_corporal",IF(ISNUMBER(E187),E187,0)+L187,L187)*M187*1000+L187,0)=Y187,3,IF(IF((J187&gt;0)*(IF(K187="",-1,K187)=0)*(1-(IF(K187="",-1,K187)&gt;=1)*(IF(K187="",-1,K187)&lt;=3)),IF(C187="peso_corporal",IF(ISNUMBER(E187),E187,0)+I187,I187)*J187*1000+I187,0)=Y187,2,IF(IF((G187&gt;0)*(IF(H187="",-1,H187)=0)*(1-(IF(H187="",-1,H187)&gt;=1)*(IF(H187="",-1,H187)&lt;=3)),IF(C187="peso_corporal",IF(ISNUMBER(E187),E187,0)+F187,F187)*G187*1000+F187,0)=Y187,1,0))))))</f>
        <v>0</v>
      </c>
      <c r="AA187" s="69">
        <f>MAX(IF((G187&gt;=6)*(1-(IF(H187="",-1,H187)&gt;=1)*(IF(H187="",-1,H187)&lt;=3))*(1-(IF(H187="",-1,H187)=0)),IF(C187="peso_corporal",IF(ISNUMBER(E187),E187,0)+F187,F187)*(30+G187)*100+F187,0),IF((J187&gt;=6)*(1-(IF(K187="",-1,K187)&gt;=1)*(IF(K187="",-1,K187)&lt;=3))*(1-(IF(K187="",-1,K187)=0)),IF(C187="peso_corporal",IF(ISNUMBER(E187),E187,0)+I187,I187)*(30+J187)*100+I187,0),IF((M187&gt;=6)*(1-(IF(N187="",-1,N187)&gt;=1)*(IF(N187="",-1,N187)&lt;=3))*(1-(IF(N187="",-1,N187)=0)),IF(C187="peso_corporal",IF(ISNUMBER(E187),E187,0)+L187,L187)*(30+M187)*100+L187,0),IF((P187&gt;=6)*(1-(IF(Q187="",-1,Q187)&gt;=1)*(IF(Q187="",-1,Q187)&lt;=3))*(1-(IF(Q187="",-1,Q187)=0)),IF(C187="peso_corporal",IF(ISNUMBER(E187),E187,0)+O187,O187)*(30+P187)*100+O187,0),IF((S187&gt;=6)*(1-(IF(T187="",-1,T187)&gt;=1)*(IF(T187="",-1,T187)&lt;=3))*(1-(IF(T187="",-1,T187)=0)),IF(C187="peso_corporal",IF(ISNUMBER(E187),E187,0)+R187,R187)*(30+S187)*100+R187,0))</f>
        <v>0</v>
      </c>
      <c r="AB187" s="69">
        <f>IF(AA187=0,0,IF(IF((S187&gt;=6)*(1-(IF(T187="",-1,T187)&gt;=1)*(IF(T187="",-1,T187)&lt;=3))*(1-(IF(T187="",-1,T187)=0)),IF(C187="peso_corporal",IF(ISNUMBER(E187),E187,0)+R187,R187)*(30+S187)*100+R187,0)=AA187,5,IF(IF((P187&gt;=6)*(1-(IF(Q187="",-1,Q187)&gt;=1)*(IF(Q187="",-1,Q187)&lt;=3))*(1-(IF(Q187="",-1,Q187)=0)),IF(C187="peso_corporal",IF(ISNUMBER(E187),E187,0)+O187,O187)*(30+P187)*100+O187,0)=AA187,4,IF(IF((M187&gt;=6)*(1-(IF(N187="",-1,N187)&gt;=1)*(IF(N187="",-1,N187)&lt;=3))*(1-(IF(N187="",-1,N187)=0)),IF(C187="peso_corporal",IF(ISNUMBER(E187),E187,0)+L187,L187)*(30+M187)*100+L187,0)=AA187,3,IF(IF((J187&gt;=6)*(1-(IF(K187="",-1,K187)&gt;=1)*(IF(K187="",-1,K187)&lt;=3))*(1-(IF(K187="",-1,K187)=0)),IF(C187="peso_corporal",IF(ISNUMBER(E187),E187,0)+I187,I187)*(30+J187)*100+I187,0)=AA187,2,IF(IF((G187&gt;=6)*(1-(IF(H187="",-1,H187)&gt;=1)*(IF(H187="",-1,H187)&lt;=3))*(1-(IF(H187="",-1,H187)=0)),IF(C187="peso_corporal",IF(ISNUMBER(E187),E187,0)+F187,F187)*(30+G187)*100+F187,0)=AA187,1,0))))))</f>
        <v>0</v>
      </c>
      <c r="AC187" s="69" t="str">
        <f>IF(X187&gt;0,"A"&amp;X187,IF(Z187&gt;0,"B"&amp;Z187,IF(AB187&gt;0,"C"&amp;AB187,"")))</f>
        <v/>
      </c>
    </row>
    <row r="188" spans="1:29" ht="20.100000000000001" customHeight="1">
      <c r="A188" s="14" t="s">
        <v>43</v>
      </c>
      <c r="B188" s="15" t="s">
        <v>159</v>
      </c>
      <c r="C188" s="16" t="str">
        <f>IFERROR(INDEX(EJERCICIOS!$D$3:$D$75,MATCH(A188&amp;"|"&amp;B188,EJERCICIOS!$G$3:$G$75,0)),"--")</f>
        <v>--</v>
      </c>
      <c r="D188" s="17">
        <v>3</v>
      </c>
      <c r="E188" s="18">
        <f>IFERROR(LOOKUP(2,1/(MEDIDAS_Y_PESO!$B$3:$B$10&lt;&gt;""),MEDIDAS_Y_PESO!$B$3:$B$10),"--")</f>
        <v>80</v>
      </c>
      <c r="F188" s="19"/>
      <c r="G188" s="20"/>
      <c r="H188" s="21"/>
      <c r="I188" s="19"/>
      <c r="J188" s="20"/>
      <c r="K188" s="21"/>
      <c r="L188" s="19"/>
      <c r="M188" s="20"/>
      <c r="N188" s="21"/>
      <c r="O188" s="19"/>
      <c r="P188" s="20"/>
      <c r="Q188" s="21"/>
      <c r="R188" s="19"/>
      <c r="S188" s="20"/>
      <c r="T188" s="21"/>
      <c r="U188" s="22" t="str">
        <f>IFERROR(IF(IF(X188&gt;0,X188,IF(Z188&gt;0,Z188,IF(AB188&gt;0,AB188,0)))=0,"--",ROUND(CHOOSE(IF(X188&gt;0,X188,IF(Z188&gt;0,Z188,IF(AB188&gt;0,AB188,0))),IF(C188="peso_corporal",IF(ISNUMBER(E188),E188,0)+F188,F188)*(1+G188/30),IF(C188="peso_corporal",IF(ISNUMBER(E188),E188,0)+I188,I188)*(1+J188/30),IF(C188="peso_corporal",IF(ISNUMBER(E188),E188,0)+L188,L188)*(1+M188/30),IF(C188="peso_corporal",IF(ISNUMBER(E188),E188,0)+O188,O188)*(1+P188/30),IF(C188="peso_corporal",IF(ISNUMBER(E188),E188,0)+R188,R188)*(1+S188/30)),1)),"--")</f>
        <v>--</v>
      </c>
      <c r="V188" s="23" t="str">
        <f>IF(SUGERENCIAS!N483="SIN","Sin datos anteriores",IF(SUGERENCIAS!N483="SUBIR_F","^ SUBIR FUERTE | Kg:"&amp;ROUND(SUGERENCIAS!K483,1)&amp;" R:"&amp;ROUND(SUGERENCIAS!L483,0)&amp;" RIR:"&amp;ROUND(SUGERENCIAS!M483,0),IF(SUGERENCIAS!N483="SUBIR_E","^ SUBIR (Est.) | Kg:"&amp;ROUND(SUGERENCIAS!K483,1)&amp;" R:"&amp;ROUND(SUGERENCIAS!L483,0)&amp;" RIR:"&amp;ROUND(SUGERENCIAS!M483,0),IF(SUGERENCIAS!N483="SUBIR","^ SUBIR | Kg:"&amp;ROUND(SUGERENCIAS!K483,1)&amp;" R:"&amp;ROUND(SUGERENCIAS!L483,0)&amp;" RIR:"&amp;ROUND(SUGERENCIAS!M483,0),IF(SUGERENCIAS!N483="BAJAR","v BAJAR | Kg:"&amp;ROUND(SUGERENCIAS!K483,1)&amp;" R:"&amp;ROUND(SUGERENCIAS!L483,0)&amp;" RIR:"&amp;ROUND(SUGERENCIAS!M483,0),"= MANT | Kg:"&amp;ROUND(SUGERENCIAS!K483,1)&amp;" R:"&amp;ROUND(SUGERENCIAS!L483,0)&amp;" RIR:"&amp;ROUND(SUGERENCIAS!M483,0))))))</f>
        <v>Sin datos anteriores</v>
      </c>
      <c r="W188" s="69">
        <f>MAX(IF((G188&gt;0)*(IF(H188="",-1,H188)&gt;=1)*(IF(H188="",-1,H188)&lt;=3),IF(C188="peso_corporal",IF(ISNUMBER(E188),E188,0)+F188,F188)*G188*1000+F188,0),IF((J188&gt;0)*(IF(K188="",-1,K188)&gt;=1)*(IF(K188="",-1,K188)&lt;=3),IF(C188="peso_corporal",IF(ISNUMBER(E188),E188,0)+I188,I188)*J188*1000+I188,0),IF((M188&gt;0)*(IF(N188="",-1,N188)&gt;=1)*(IF(N188="",-1,N188)&lt;=3),IF(C188="peso_corporal",IF(ISNUMBER(E188),E188,0)+L188,L188)*M188*1000+L188,0),IF((P188&gt;0)*(IF(Q188="",-1,Q188)&gt;=1)*(IF(Q188="",-1,Q188)&lt;=3),IF(C188="peso_corporal",IF(ISNUMBER(E188),E188,0)+O188,O188)*P188*1000+O188,0),IF((S188&gt;0)*(IF(T188="",-1,T188)&gt;=1)*(IF(T188="",-1,T188)&lt;=3),IF(C188="peso_corporal",IF(ISNUMBER(E188),E188,0)+R188,R188)*S188*1000+R188,0))</f>
        <v>0</v>
      </c>
      <c r="X188" s="69">
        <f>IF(W188=0,0,IF(IF((S188&gt;0)*(IF(T188="",-1,T188)&gt;=1)*(IF(T188="",-1,T188)&lt;=3),IF(C188="peso_corporal",IF(ISNUMBER(E188),E188,0)+R188,R188)*S188*1000+R188,0)=W188,5,IF(IF((P188&gt;0)*(IF(Q188="",-1,Q188)&gt;=1)*(IF(Q188="",-1,Q188)&lt;=3),IF(C188="peso_corporal",IF(ISNUMBER(E188),E188,0)+O188,O188)*P188*1000+O188,0)=W188,4,IF(IF((M188&gt;0)*(IF(N188="",-1,N188)&gt;=1)*(IF(N188="",-1,N188)&lt;=3),IF(C188="peso_corporal",IF(ISNUMBER(E188),E188,0)+L188,L188)*M188*1000+L188,0)=W188,3,IF(IF((J188&gt;0)*(IF(K188="",-1,K188)&gt;=1)*(IF(K188="",-1,K188)&lt;=3),IF(C188="peso_corporal",IF(ISNUMBER(E188),E188,0)+I188,I188)*J188*1000+I188,0)=W188,2,IF(IF((G188&gt;0)*(IF(H188="",-1,H188)&gt;=1)*(IF(H188="",-1,H188)&lt;=3),IF(C188="peso_corporal",IF(ISNUMBER(E188),E188,0)+F188,F188)*G188*1000+F188,0)=W188,1,0))))))</f>
        <v>0</v>
      </c>
      <c r="Y188" s="69">
        <f>MAX(IF((G188&gt;0)*(IF(H188="",-1,H188)=0)*(1-(IF(H188="",-1,H188)&gt;=1)*(IF(H188="",-1,H188)&lt;=3)),IF(C188="peso_corporal",IF(ISNUMBER(E188),E188,0)+F188,F188)*G188*1000+F188,0),IF((J188&gt;0)*(IF(K188="",-1,K188)=0)*(1-(IF(K188="",-1,K188)&gt;=1)*(IF(K188="",-1,K188)&lt;=3)),IF(C188="peso_corporal",IF(ISNUMBER(E188),E188,0)+I188,I188)*J188*1000+I188,0),IF((M188&gt;0)*(IF(N188="",-1,N188)=0)*(1-(IF(N188="",-1,N188)&gt;=1)*(IF(N188="",-1,N188)&lt;=3)),IF(C188="peso_corporal",IF(ISNUMBER(E188),E188,0)+L188,L188)*M188*1000+L188,0),IF((P188&gt;0)*(IF(Q188="",-1,Q188)=0)*(1-(IF(Q188="",-1,Q188)&gt;=1)*(IF(Q188="",-1,Q188)&lt;=3)),IF(C188="peso_corporal",IF(ISNUMBER(E188),E188,0)+O188,O188)*P188*1000+O188,0),IF((S188&gt;0)*(IF(T188="",-1,T188)=0)*(1-(IF(T188="",-1,T188)&gt;=1)*(IF(T188="",-1,T188)&lt;=3)),IF(C188="peso_corporal",IF(ISNUMBER(E188),E188,0)+R188,R188)*S188*1000+R188,0))</f>
        <v>0</v>
      </c>
      <c r="Z188" s="69">
        <f>IF(Y188=0,0,IF(IF((S188&gt;0)*(IF(T188="",-1,T188)=0)*(1-(IF(T188="",-1,T188)&gt;=1)*(IF(T188="",-1,T188)&lt;=3)),IF(C188="peso_corporal",IF(ISNUMBER(E188),E188,0)+R188,R188)*S188*1000+R188,0)=Y188,5,IF(IF((P188&gt;0)*(IF(Q188="",-1,Q188)=0)*(1-(IF(Q188="",-1,Q188)&gt;=1)*(IF(Q188="",-1,Q188)&lt;=3)),IF(C188="peso_corporal",IF(ISNUMBER(E188),E188,0)+O188,O188)*P188*1000+O188,0)=Y188,4,IF(IF((M188&gt;0)*(IF(N188="",-1,N188)=0)*(1-(IF(N188="",-1,N188)&gt;=1)*(IF(N188="",-1,N188)&lt;=3)),IF(C188="peso_corporal",IF(ISNUMBER(E188),E188,0)+L188,L188)*M188*1000+L188,0)=Y188,3,IF(IF((J188&gt;0)*(IF(K188="",-1,K188)=0)*(1-(IF(K188="",-1,K188)&gt;=1)*(IF(K188="",-1,K188)&lt;=3)),IF(C188="peso_corporal",IF(ISNUMBER(E188),E188,0)+I188,I188)*J188*1000+I188,0)=Y188,2,IF(IF((G188&gt;0)*(IF(H188="",-1,H188)=0)*(1-(IF(H188="",-1,H188)&gt;=1)*(IF(H188="",-1,H188)&lt;=3)),IF(C188="peso_corporal",IF(ISNUMBER(E188),E188,0)+F188,F188)*G188*1000+F188,0)=Y188,1,0))))))</f>
        <v>0</v>
      </c>
      <c r="AA188" s="69">
        <f>MAX(IF((G188&gt;=6)*(1-(IF(H188="",-1,H188)&gt;=1)*(IF(H188="",-1,H188)&lt;=3))*(1-(IF(H188="",-1,H188)=0)),IF(C188="peso_corporal",IF(ISNUMBER(E188),E188,0)+F188,F188)*(30+G188)*100+F188,0),IF((J188&gt;=6)*(1-(IF(K188="",-1,K188)&gt;=1)*(IF(K188="",-1,K188)&lt;=3))*(1-(IF(K188="",-1,K188)=0)),IF(C188="peso_corporal",IF(ISNUMBER(E188),E188,0)+I188,I188)*(30+J188)*100+I188,0),IF((M188&gt;=6)*(1-(IF(N188="",-1,N188)&gt;=1)*(IF(N188="",-1,N188)&lt;=3))*(1-(IF(N188="",-1,N188)=0)),IF(C188="peso_corporal",IF(ISNUMBER(E188),E188,0)+L188,L188)*(30+M188)*100+L188,0),IF((P188&gt;=6)*(1-(IF(Q188="",-1,Q188)&gt;=1)*(IF(Q188="",-1,Q188)&lt;=3))*(1-(IF(Q188="",-1,Q188)=0)),IF(C188="peso_corporal",IF(ISNUMBER(E188),E188,0)+O188,O188)*(30+P188)*100+O188,0),IF((S188&gt;=6)*(1-(IF(T188="",-1,T188)&gt;=1)*(IF(T188="",-1,T188)&lt;=3))*(1-(IF(T188="",-1,T188)=0)),IF(C188="peso_corporal",IF(ISNUMBER(E188),E188,0)+R188,R188)*(30+S188)*100+R188,0))</f>
        <v>0</v>
      </c>
      <c r="AB188" s="69">
        <f>IF(AA188=0,0,IF(IF((S188&gt;=6)*(1-(IF(T188="",-1,T188)&gt;=1)*(IF(T188="",-1,T188)&lt;=3))*(1-(IF(T188="",-1,T188)=0)),IF(C188="peso_corporal",IF(ISNUMBER(E188),E188,0)+R188,R188)*(30+S188)*100+R188,0)=AA188,5,IF(IF((P188&gt;=6)*(1-(IF(Q188="",-1,Q188)&gt;=1)*(IF(Q188="",-1,Q188)&lt;=3))*(1-(IF(Q188="",-1,Q188)=0)),IF(C188="peso_corporal",IF(ISNUMBER(E188),E188,0)+O188,O188)*(30+P188)*100+O188,0)=AA188,4,IF(IF((M188&gt;=6)*(1-(IF(N188="",-1,N188)&gt;=1)*(IF(N188="",-1,N188)&lt;=3))*(1-(IF(N188="",-1,N188)=0)),IF(C188="peso_corporal",IF(ISNUMBER(E188),E188,0)+L188,L188)*(30+M188)*100+L188,0)=AA188,3,IF(IF((J188&gt;=6)*(1-(IF(K188="",-1,K188)&gt;=1)*(IF(K188="",-1,K188)&lt;=3))*(1-(IF(K188="",-1,K188)=0)),IF(C188="peso_corporal",IF(ISNUMBER(E188),E188,0)+I188,I188)*(30+J188)*100+I188,0)=AA188,2,IF(IF((G188&gt;=6)*(1-(IF(H188="",-1,H188)&gt;=1)*(IF(H188="",-1,H188)&lt;=3))*(1-(IF(H188="",-1,H188)=0)),IF(C188="peso_corporal",IF(ISNUMBER(E188),E188,0)+F188,F188)*(30+G188)*100+F188,0)=AA188,1,0))))))</f>
        <v>0</v>
      </c>
      <c r="AC188" s="69" t="str">
        <f>IF(X188&gt;0,"A"&amp;X188,IF(Z188&gt;0,"B"&amp;Z188,IF(AB188&gt;0,"C"&amp;AB188,"")))</f>
        <v/>
      </c>
    </row>
    <row r="189" spans="1:29" ht="11.1" customHeight="1">
      <c r="A189" s="92" t="s">
        <v>160</v>
      </c>
      <c r="B189" s="73"/>
      <c r="C189" s="73"/>
      <c r="D189" s="73"/>
      <c r="E189" s="73"/>
      <c r="F189" s="73"/>
      <c r="G189" s="73"/>
      <c r="H189" s="73"/>
      <c r="I189" s="73"/>
      <c r="J189" s="73"/>
      <c r="K189" s="73"/>
      <c r="L189" s="73"/>
      <c r="M189" s="73"/>
      <c r="N189" s="73"/>
      <c r="O189" s="73"/>
      <c r="P189" s="73"/>
      <c r="Q189" s="73"/>
      <c r="R189" s="73"/>
      <c r="S189" s="73"/>
      <c r="T189" s="73"/>
      <c r="U189" s="73"/>
      <c r="V189" s="73"/>
      <c r="W189" s="69"/>
      <c r="X189" s="69"/>
      <c r="Y189" s="69"/>
      <c r="Z189" s="69"/>
      <c r="AA189" s="69"/>
      <c r="AB189" s="69"/>
      <c r="AC189" s="69"/>
    </row>
    <row r="190" spans="1:29" ht="20.100000000000001" customHeight="1">
      <c r="A190" s="14" t="s">
        <v>161</v>
      </c>
      <c r="B190" s="15" t="s">
        <v>162</v>
      </c>
      <c r="C190" s="16" t="str">
        <f>IFERROR(INDEX(EJERCICIOS!$D$3:$D$75,MATCH(A190&amp;"|"&amp;B190,EJERCICIOS!$G$3:$G$75,0)),"--")</f>
        <v>mancuerna</v>
      </c>
      <c r="D190" s="17">
        <v>3</v>
      </c>
      <c r="E190" s="18">
        <f>IFERROR(LOOKUP(2,1/(MEDIDAS_Y_PESO!$B$3:$B$10&lt;&gt;""),MEDIDAS_Y_PESO!$B$3:$B$10),"--")</f>
        <v>80</v>
      </c>
      <c r="F190" s="19"/>
      <c r="G190" s="20"/>
      <c r="H190" s="21"/>
      <c r="I190" s="19"/>
      <c r="J190" s="20"/>
      <c r="K190" s="21"/>
      <c r="L190" s="19"/>
      <c r="M190" s="20"/>
      <c r="N190" s="21"/>
      <c r="O190" s="19"/>
      <c r="P190" s="20"/>
      <c r="Q190" s="21"/>
      <c r="R190" s="19"/>
      <c r="S190" s="20"/>
      <c r="T190" s="21"/>
      <c r="U190" s="22" t="str">
        <f>IFERROR(IF(IF(X190&gt;0,X190,IF(Z190&gt;0,Z190,IF(AB190&gt;0,AB190,0)))=0,"--",ROUND(CHOOSE(IF(X190&gt;0,X190,IF(Z190&gt;0,Z190,IF(AB190&gt;0,AB190,0))),IF(C190="peso_corporal",IF(ISNUMBER(E190),E190,0)+F190,F190)*(1+G190/30),IF(C190="peso_corporal",IF(ISNUMBER(E190),E190,0)+I190,I190)*(1+J190/30),IF(C190="peso_corporal",IF(ISNUMBER(E190),E190,0)+L190,L190)*(1+M190/30),IF(C190="peso_corporal",IF(ISNUMBER(E190),E190,0)+O190,O190)*(1+P190/30),IF(C190="peso_corporal",IF(ISNUMBER(E190),E190,0)+R190,R190)*(1+S190/30)),1)),"--")</f>
        <v>--</v>
      </c>
      <c r="V190" s="23" t="str">
        <f>IF(SUGERENCIAS!N484="SIN","Sin datos anteriores",IF(SUGERENCIAS!N484="SUBIR_F","^ SUBIR FUERTE | Kg:"&amp;ROUND(SUGERENCIAS!K484,1)&amp;" R:"&amp;ROUND(SUGERENCIAS!L484,0)&amp;" RIR:"&amp;ROUND(SUGERENCIAS!M484,0),IF(SUGERENCIAS!N484="SUBIR_E","^ SUBIR (Est.) | Kg:"&amp;ROUND(SUGERENCIAS!K484,1)&amp;" R:"&amp;ROUND(SUGERENCIAS!L484,0)&amp;" RIR:"&amp;ROUND(SUGERENCIAS!M484,0),IF(SUGERENCIAS!N484="SUBIR","^ SUBIR | Kg:"&amp;ROUND(SUGERENCIAS!K484,1)&amp;" R:"&amp;ROUND(SUGERENCIAS!L484,0)&amp;" RIR:"&amp;ROUND(SUGERENCIAS!M484,0),IF(SUGERENCIAS!N484="BAJAR","v BAJAR | Kg:"&amp;ROUND(SUGERENCIAS!K484,1)&amp;" R:"&amp;ROUND(SUGERENCIAS!L484,0)&amp;" RIR:"&amp;ROUND(SUGERENCIAS!M484,0),"= MANT | Kg:"&amp;ROUND(SUGERENCIAS!K484,1)&amp;" R:"&amp;ROUND(SUGERENCIAS!L484,0)&amp;" RIR:"&amp;ROUND(SUGERENCIAS!M484,0))))))</f>
        <v>Sin datos anteriores</v>
      </c>
      <c r="W190" s="69">
        <f>MAX(IF((G190&gt;0)*(IF(H190="",-1,H190)&gt;=1)*(IF(H190="",-1,H190)&lt;=3),IF(C190="peso_corporal",IF(ISNUMBER(E190),E190,0)+F190,F190)*G190*1000+F190,0),IF((J190&gt;0)*(IF(K190="",-1,K190)&gt;=1)*(IF(K190="",-1,K190)&lt;=3),IF(C190="peso_corporal",IF(ISNUMBER(E190),E190,0)+I190,I190)*J190*1000+I190,0),IF((M190&gt;0)*(IF(N190="",-1,N190)&gt;=1)*(IF(N190="",-1,N190)&lt;=3),IF(C190="peso_corporal",IF(ISNUMBER(E190),E190,0)+L190,L190)*M190*1000+L190,0),IF((P190&gt;0)*(IF(Q190="",-1,Q190)&gt;=1)*(IF(Q190="",-1,Q190)&lt;=3),IF(C190="peso_corporal",IF(ISNUMBER(E190),E190,0)+O190,O190)*P190*1000+O190,0),IF((S190&gt;0)*(IF(T190="",-1,T190)&gt;=1)*(IF(T190="",-1,T190)&lt;=3),IF(C190="peso_corporal",IF(ISNUMBER(E190),E190,0)+R190,R190)*S190*1000+R190,0))</f>
        <v>0</v>
      </c>
      <c r="X190" s="69">
        <f>IF(W190=0,0,IF(IF((S190&gt;0)*(IF(T190="",-1,T190)&gt;=1)*(IF(T190="",-1,T190)&lt;=3),IF(C190="peso_corporal",IF(ISNUMBER(E190),E190,0)+R190,R190)*S190*1000+R190,0)=W190,5,IF(IF((P190&gt;0)*(IF(Q190="",-1,Q190)&gt;=1)*(IF(Q190="",-1,Q190)&lt;=3),IF(C190="peso_corporal",IF(ISNUMBER(E190),E190,0)+O190,O190)*P190*1000+O190,0)=W190,4,IF(IF((M190&gt;0)*(IF(N190="",-1,N190)&gt;=1)*(IF(N190="",-1,N190)&lt;=3),IF(C190="peso_corporal",IF(ISNUMBER(E190),E190,0)+L190,L190)*M190*1000+L190,0)=W190,3,IF(IF((J190&gt;0)*(IF(K190="",-1,K190)&gt;=1)*(IF(K190="",-1,K190)&lt;=3),IF(C190="peso_corporal",IF(ISNUMBER(E190),E190,0)+I190,I190)*J190*1000+I190,0)=W190,2,IF(IF((G190&gt;0)*(IF(H190="",-1,H190)&gt;=1)*(IF(H190="",-1,H190)&lt;=3),IF(C190="peso_corporal",IF(ISNUMBER(E190),E190,0)+F190,F190)*G190*1000+F190,0)=W190,1,0))))))</f>
        <v>0</v>
      </c>
      <c r="Y190" s="69">
        <f>MAX(IF((G190&gt;0)*(IF(H190="",-1,H190)=0)*(1-(IF(H190="",-1,H190)&gt;=1)*(IF(H190="",-1,H190)&lt;=3)),IF(C190="peso_corporal",IF(ISNUMBER(E190),E190,0)+F190,F190)*G190*1000+F190,0),IF((J190&gt;0)*(IF(K190="",-1,K190)=0)*(1-(IF(K190="",-1,K190)&gt;=1)*(IF(K190="",-1,K190)&lt;=3)),IF(C190="peso_corporal",IF(ISNUMBER(E190),E190,0)+I190,I190)*J190*1000+I190,0),IF((M190&gt;0)*(IF(N190="",-1,N190)=0)*(1-(IF(N190="",-1,N190)&gt;=1)*(IF(N190="",-1,N190)&lt;=3)),IF(C190="peso_corporal",IF(ISNUMBER(E190),E190,0)+L190,L190)*M190*1000+L190,0),IF((P190&gt;0)*(IF(Q190="",-1,Q190)=0)*(1-(IF(Q190="",-1,Q190)&gt;=1)*(IF(Q190="",-1,Q190)&lt;=3)),IF(C190="peso_corporal",IF(ISNUMBER(E190),E190,0)+O190,O190)*P190*1000+O190,0),IF((S190&gt;0)*(IF(T190="",-1,T190)=0)*(1-(IF(T190="",-1,T190)&gt;=1)*(IF(T190="",-1,T190)&lt;=3)),IF(C190="peso_corporal",IF(ISNUMBER(E190),E190,0)+R190,R190)*S190*1000+R190,0))</f>
        <v>0</v>
      </c>
      <c r="Z190" s="69">
        <f>IF(Y190=0,0,IF(IF((S190&gt;0)*(IF(T190="",-1,T190)=0)*(1-(IF(T190="",-1,T190)&gt;=1)*(IF(T190="",-1,T190)&lt;=3)),IF(C190="peso_corporal",IF(ISNUMBER(E190),E190,0)+R190,R190)*S190*1000+R190,0)=Y190,5,IF(IF((P190&gt;0)*(IF(Q190="",-1,Q190)=0)*(1-(IF(Q190="",-1,Q190)&gt;=1)*(IF(Q190="",-1,Q190)&lt;=3)),IF(C190="peso_corporal",IF(ISNUMBER(E190),E190,0)+O190,O190)*P190*1000+O190,0)=Y190,4,IF(IF((M190&gt;0)*(IF(N190="",-1,N190)=0)*(1-(IF(N190="",-1,N190)&gt;=1)*(IF(N190="",-1,N190)&lt;=3)),IF(C190="peso_corporal",IF(ISNUMBER(E190),E190,0)+L190,L190)*M190*1000+L190,0)=Y190,3,IF(IF((J190&gt;0)*(IF(K190="",-1,K190)=0)*(1-(IF(K190="",-1,K190)&gt;=1)*(IF(K190="",-1,K190)&lt;=3)),IF(C190="peso_corporal",IF(ISNUMBER(E190),E190,0)+I190,I190)*J190*1000+I190,0)=Y190,2,IF(IF((G190&gt;0)*(IF(H190="",-1,H190)=0)*(1-(IF(H190="",-1,H190)&gt;=1)*(IF(H190="",-1,H190)&lt;=3)),IF(C190="peso_corporal",IF(ISNUMBER(E190),E190,0)+F190,F190)*G190*1000+F190,0)=Y190,1,0))))))</f>
        <v>0</v>
      </c>
      <c r="AA190" s="69">
        <f>MAX(IF((G190&gt;=6)*(1-(IF(H190="",-1,H190)&gt;=1)*(IF(H190="",-1,H190)&lt;=3))*(1-(IF(H190="",-1,H190)=0)),IF(C190="peso_corporal",IF(ISNUMBER(E190),E190,0)+F190,F190)*(30+G190)*100+F190,0),IF((J190&gt;=6)*(1-(IF(K190="",-1,K190)&gt;=1)*(IF(K190="",-1,K190)&lt;=3))*(1-(IF(K190="",-1,K190)=0)),IF(C190="peso_corporal",IF(ISNUMBER(E190),E190,0)+I190,I190)*(30+J190)*100+I190,0),IF((M190&gt;=6)*(1-(IF(N190="",-1,N190)&gt;=1)*(IF(N190="",-1,N190)&lt;=3))*(1-(IF(N190="",-1,N190)=0)),IF(C190="peso_corporal",IF(ISNUMBER(E190),E190,0)+L190,L190)*(30+M190)*100+L190,0),IF((P190&gt;=6)*(1-(IF(Q190="",-1,Q190)&gt;=1)*(IF(Q190="",-1,Q190)&lt;=3))*(1-(IF(Q190="",-1,Q190)=0)),IF(C190="peso_corporal",IF(ISNUMBER(E190),E190,0)+O190,O190)*(30+P190)*100+O190,0),IF((S190&gt;=6)*(1-(IF(T190="",-1,T190)&gt;=1)*(IF(T190="",-1,T190)&lt;=3))*(1-(IF(T190="",-1,T190)=0)),IF(C190="peso_corporal",IF(ISNUMBER(E190),E190,0)+R190,R190)*(30+S190)*100+R190,0))</f>
        <v>0</v>
      </c>
      <c r="AB190" s="69">
        <f>IF(AA190=0,0,IF(IF((S190&gt;=6)*(1-(IF(T190="",-1,T190)&gt;=1)*(IF(T190="",-1,T190)&lt;=3))*(1-(IF(T190="",-1,T190)=0)),IF(C190="peso_corporal",IF(ISNUMBER(E190),E190,0)+R190,R190)*(30+S190)*100+R190,0)=AA190,5,IF(IF((P190&gt;=6)*(1-(IF(Q190="",-1,Q190)&gt;=1)*(IF(Q190="",-1,Q190)&lt;=3))*(1-(IF(Q190="",-1,Q190)=0)),IF(C190="peso_corporal",IF(ISNUMBER(E190),E190,0)+O190,O190)*(30+P190)*100+O190,0)=AA190,4,IF(IF((M190&gt;=6)*(1-(IF(N190="",-1,N190)&gt;=1)*(IF(N190="",-1,N190)&lt;=3))*(1-(IF(N190="",-1,N190)=0)),IF(C190="peso_corporal",IF(ISNUMBER(E190),E190,0)+L190,L190)*(30+M190)*100+L190,0)=AA190,3,IF(IF((J190&gt;=6)*(1-(IF(K190="",-1,K190)&gt;=1)*(IF(K190="",-1,K190)&lt;=3))*(1-(IF(K190="",-1,K190)=0)),IF(C190="peso_corporal",IF(ISNUMBER(E190),E190,0)+I190,I190)*(30+J190)*100+I190,0)=AA190,2,IF(IF((G190&gt;=6)*(1-(IF(H190="",-1,H190)&gt;=1)*(IF(H190="",-1,H190)&lt;=3))*(1-(IF(H190="",-1,H190)=0)),IF(C190="peso_corporal",IF(ISNUMBER(E190),E190,0)+F190,F190)*(30+G190)*100+F190,0)=AA190,1,0))))))</f>
        <v>0</v>
      </c>
      <c r="AC190" s="69" t="str">
        <f>IF(X190&gt;0,"A"&amp;X190,IF(Z190&gt;0,"B"&amp;Z190,IF(AB190&gt;0,"C"&amp;AB190,"")))</f>
        <v/>
      </c>
    </row>
    <row r="191" spans="1:29" ht="20.100000000000001" customHeight="1">
      <c r="A191" s="14" t="s">
        <v>163</v>
      </c>
      <c r="B191" s="15" t="s">
        <v>52</v>
      </c>
      <c r="C191" s="16" t="str">
        <f>IFERROR(INDEX(EJERCICIOS!$D$3:$D$75,MATCH(A191&amp;"|"&amp;B191,EJERCICIOS!$G$3:$G$75,0)),"--")</f>
        <v>polea</v>
      </c>
      <c r="D191" s="17">
        <v>3</v>
      </c>
      <c r="E191" s="18">
        <f>IFERROR(LOOKUP(2,1/(MEDIDAS_Y_PESO!$B$3:$B$10&lt;&gt;""),MEDIDAS_Y_PESO!$B$3:$B$10),"--")</f>
        <v>80</v>
      </c>
      <c r="F191" s="19"/>
      <c r="G191" s="20"/>
      <c r="H191" s="21"/>
      <c r="I191" s="19"/>
      <c r="J191" s="20"/>
      <c r="K191" s="21"/>
      <c r="L191" s="19"/>
      <c r="M191" s="20"/>
      <c r="N191" s="21"/>
      <c r="O191" s="19"/>
      <c r="P191" s="20"/>
      <c r="Q191" s="21"/>
      <c r="R191" s="19"/>
      <c r="S191" s="20"/>
      <c r="T191" s="21"/>
      <c r="U191" s="22" t="str">
        <f>IFERROR(IF(IF(X191&gt;0,X191,IF(Z191&gt;0,Z191,IF(AB191&gt;0,AB191,0)))=0,"--",ROUND(CHOOSE(IF(X191&gt;0,X191,IF(Z191&gt;0,Z191,IF(AB191&gt;0,AB191,0))),IF(C191="peso_corporal",IF(ISNUMBER(E191),E191,0)+F191,F191)*(1+G191/30),IF(C191="peso_corporal",IF(ISNUMBER(E191),E191,0)+I191,I191)*(1+J191/30),IF(C191="peso_corporal",IF(ISNUMBER(E191),E191,0)+L191,L191)*(1+M191/30),IF(C191="peso_corporal",IF(ISNUMBER(E191),E191,0)+O191,O191)*(1+P191/30),IF(C191="peso_corporal",IF(ISNUMBER(E191),E191,0)+R191,R191)*(1+S191/30)),1)),"--")</f>
        <v>--</v>
      </c>
      <c r="V191" s="23" t="str">
        <f>IF(SUGERENCIAS!N485="SIN","Sin datos anteriores",IF(SUGERENCIAS!N485="SUBIR_F","^ SUBIR FUERTE | Kg:"&amp;ROUND(SUGERENCIAS!K485,1)&amp;" R:"&amp;ROUND(SUGERENCIAS!L485,0)&amp;" RIR:"&amp;ROUND(SUGERENCIAS!M485,0),IF(SUGERENCIAS!N485="SUBIR_E","^ SUBIR (Est.) | Kg:"&amp;ROUND(SUGERENCIAS!K485,1)&amp;" R:"&amp;ROUND(SUGERENCIAS!L485,0)&amp;" RIR:"&amp;ROUND(SUGERENCIAS!M485,0),IF(SUGERENCIAS!N485="SUBIR","^ SUBIR | Kg:"&amp;ROUND(SUGERENCIAS!K485,1)&amp;" R:"&amp;ROUND(SUGERENCIAS!L485,0)&amp;" RIR:"&amp;ROUND(SUGERENCIAS!M485,0),IF(SUGERENCIAS!N485="BAJAR","v BAJAR | Kg:"&amp;ROUND(SUGERENCIAS!K485,1)&amp;" R:"&amp;ROUND(SUGERENCIAS!L485,0)&amp;" RIR:"&amp;ROUND(SUGERENCIAS!M485,0),"= MANT | Kg:"&amp;ROUND(SUGERENCIAS!K485,1)&amp;" R:"&amp;ROUND(SUGERENCIAS!L485,0)&amp;" RIR:"&amp;ROUND(SUGERENCIAS!M485,0))))))</f>
        <v>Sin datos anteriores</v>
      </c>
      <c r="W191" s="69">
        <f>MAX(IF((G191&gt;0)*(IF(H191="",-1,H191)&gt;=1)*(IF(H191="",-1,H191)&lt;=3),IF(C191="peso_corporal",IF(ISNUMBER(E191),E191,0)+F191,F191)*G191*1000+F191,0),IF((J191&gt;0)*(IF(K191="",-1,K191)&gt;=1)*(IF(K191="",-1,K191)&lt;=3),IF(C191="peso_corporal",IF(ISNUMBER(E191),E191,0)+I191,I191)*J191*1000+I191,0),IF((M191&gt;0)*(IF(N191="",-1,N191)&gt;=1)*(IF(N191="",-1,N191)&lt;=3),IF(C191="peso_corporal",IF(ISNUMBER(E191),E191,0)+L191,L191)*M191*1000+L191,0),IF((P191&gt;0)*(IF(Q191="",-1,Q191)&gt;=1)*(IF(Q191="",-1,Q191)&lt;=3),IF(C191="peso_corporal",IF(ISNUMBER(E191),E191,0)+O191,O191)*P191*1000+O191,0),IF((S191&gt;0)*(IF(T191="",-1,T191)&gt;=1)*(IF(T191="",-1,T191)&lt;=3),IF(C191="peso_corporal",IF(ISNUMBER(E191),E191,0)+R191,R191)*S191*1000+R191,0))</f>
        <v>0</v>
      </c>
      <c r="X191" s="69">
        <f>IF(W191=0,0,IF(IF((S191&gt;0)*(IF(T191="",-1,T191)&gt;=1)*(IF(T191="",-1,T191)&lt;=3),IF(C191="peso_corporal",IF(ISNUMBER(E191),E191,0)+R191,R191)*S191*1000+R191,0)=W191,5,IF(IF((P191&gt;0)*(IF(Q191="",-1,Q191)&gt;=1)*(IF(Q191="",-1,Q191)&lt;=3),IF(C191="peso_corporal",IF(ISNUMBER(E191),E191,0)+O191,O191)*P191*1000+O191,0)=W191,4,IF(IF((M191&gt;0)*(IF(N191="",-1,N191)&gt;=1)*(IF(N191="",-1,N191)&lt;=3),IF(C191="peso_corporal",IF(ISNUMBER(E191),E191,0)+L191,L191)*M191*1000+L191,0)=W191,3,IF(IF((J191&gt;0)*(IF(K191="",-1,K191)&gt;=1)*(IF(K191="",-1,K191)&lt;=3),IF(C191="peso_corporal",IF(ISNUMBER(E191),E191,0)+I191,I191)*J191*1000+I191,0)=W191,2,IF(IF((G191&gt;0)*(IF(H191="",-1,H191)&gt;=1)*(IF(H191="",-1,H191)&lt;=3),IF(C191="peso_corporal",IF(ISNUMBER(E191),E191,0)+F191,F191)*G191*1000+F191,0)=W191,1,0))))))</f>
        <v>0</v>
      </c>
      <c r="Y191" s="69">
        <f>MAX(IF((G191&gt;0)*(IF(H191="",-1,H191)=0)*(1-(IF(H191="",-1,H191)&gt;=1)*(IF(H191="",-1,H191)&lt;=3)),IF(C191="peso_corporal",IF(ISNUMBER(E191),E191,0)+F191,F191)*G191*1000+F191,0),IF((J191&gt;0)*(IF(K191="",-1,K191)=0)*(1-(IF(K191="",-1,K191)&gt;=1)*(IF(K191="",-1,K191)&lt;=3)),IF(C191="peso_corporal",IF(ISNUMBER(E191),E191,0)+I191,I191)*J191*1000+I191,0),IF((M191&gt;0)*(IF(N191="",-1,N191)=0)*(1-(IF(N191="",-1,N191)&gt;=1)*(IF(N191="",-1,N191)&lt;=3)),IF(C191="peso_corporal",IF(ISNUMBER(E191),E191,0)+L191,L191)*M191*1000+L191,0),IF((P191&gt;0)*(IF(Q191="",-1,Q191)=0)*(1-(IF(Q191="",-1,Q191)&gt;=1)*(IF(Q191="",-1,Q191)&lt;=3)),IF(C191="peso_corporal",IF(ISNUMBER(E191),E191,0)+O191,O191)*P191*1000+O191,0),IF((S191&gt;0)*(IF(T191="",-1,T191)=0)*(1-(IF(T191="",-1,T191)&gt;=1)*(IF(T191="",-1,T191)&lt;=3)),IF(C191="peso_corporal",IF(ISNUMBER(E191),E191,0)+R191,R191)*S191*1000+R191,0))</f>
        <v>0</v>
      </c>
      <c r="Z191" s="69">
        <f>IF(Y191=0,0,IF(IF((S191&gt;0)*(IF(T191="",-1,T191)=0)*(1-(IF(T191="",-1,T191)&gt;=1)*(IF(T191="",-1,T191)&lt;=3)),IF(C191="peso_corporal",IF(ISNUMBER(E191),E191,0)+R191,R191)*S191*1000+R191,0)=Y191,5,IF(IF((P191&gt;0)*(IF(Q191="",-1,Q191)=0)*(1-(IF(Q191="",-1,Q191)&gt;=1)*(IF(Q191="",-1,Q191)&lt;=3)),IF(C191="peso_corporal",IF(ISNUMBER(E191),E191,0)+O191,O191)*P191*1000+O191,0)=Y191,4,IF(IF((M191&gt;0)*(IF(N191="",-1,N191)=0)*(1-(IF(N191="",-1,N191)&gt;=1)*(IF(N191="",-1,N191)&lt;=3)),IF(C191="peso_corporal",IF(ISNUMBER(E191),E191,0)+L191,L191)*M191*1000+L191,0)=Y191,3,IF(IF((J191&gt;0)*(IF(K191="",-1,K191)=0)*(1-(IF(K191="",-1,K191)&gt;=1)*(IF(K191="",-1,K191)&lt;=3)),IF(C191="peso_corporal",IF(ISNUMBER(E191),E191,0)+I191,I191)*J191*1000+I191,0)=Y191,2,IF(IF((G191&gt;0)*(IF(H191="",-1,H191)=0)*(1-(IF(H191="",-1,H191)&gt;=1)*(IF(H191="",-1,H191)&lt;=3)),IF(C191="peso_corporal",IF(ISNUMBER(E191),E191,0)+F191,F191)*G191*1000+F191,0)=Y191,1,0))))))</f>
        <v>0</v>
      </c>
      <c r="AA191" s="69">
        <f>MAX(IF((G191&gt;=6)*(1-(IF(H191="",-1,H191)&gt;=1)*(IF(H191="",-1,H191)&lt;=3))*(1-(IF(H191="",-1,H191)=0)),IF(C191="peso_corporal",IF(ISNUMBER(E191),E191,0)+F191,F191)*(30+G191)*100+F191,0),IF((J191&gt;=6)*(1-(IF(K191="",-1,K191)&gt;=1)*(IF(K191="",-1,K191)&lt;=3))*(1-(IF(K191="",-1,K191)=0)),IF(C191="peso_corporal",IF(ISNUMBER(E191),E191,0)+I191,I191)*(30+J191)*100+I191,0),IF((M191&gt;=6)*(1-(IF(N191="",-1,N191)&gt;=1)*(IF(N191="",-1,N191)&lt;=3))*(1-(IF(N191="",-1,N191)=0)),IF(C191="peso_corporal",IF(ISNUMBER(E191),E191,0)+L191,L191)*(30+M191)*100+L191,0),IF((P191&gt;=6)*(1-(IF(Q191="",-1,Q191)&gt;=1)*(IF(Q191="",-1,Q191)&lt;=3))*(1-(IF(Q191="",-1,Q191)=0)),IF(C191="peso_corporal",IF(ISNUMBER(E191),E191,0)+O191,O191)*(30+P191)*100+O191,0),IF((S191&gt;=6)*(1-(IF(T191="",-1,T191)&gt;=1)*(IF(T191="",-1,T191)&lt;=3))*(1-(IF(T191="",-1,T191)=0)),IF(C191="peso_corporal",IF(ISNUMBER(E191),E191,0)+R191,R191)*(30+S191)*100+R191,0))</f>
        <v>0</v>
      </c>
      <c r="AB191" s="69">
        <f>IF(AA191=0,0,IF(IF((S191&gt;=6)*(1-(IF(T191="",-1,T191)&gt;=1)*(IF(T191="",-1,T191)&lt;=3))*(1-(IF(T191="",-1,T191)=0)),IF(C191="peso_corporal",IF(ISNUMBER(E191),E191,0)+R191,R191)*(30+S191)*100+R191,0)=AA191,5,IF(IF((P191&gt;=6)*(1-(IF(Q191="",-1,Q191)&gt;=1)*(IF(Q191="",-1,Q191)&lt;=3))*(1-(IF(Q191="",-1,Q191)=0)),IF(C191="peso_corporal",IF(ISNUMBER(E191),E191,0)+O191,O191)*(30+P191)*100+O191,0)=AA191,4,IF(IF((M191&gt;=6)*(1-(IF(N191="",-1,N191)&gt;=1)*(IF(N191="",-1,N191)&lt;=3))*(1-(IF(N191="",-1,N191)=0)),IF(C191="peso_corporal",IF(ISNUMBER(E191),E191,0)+L191,L191)*(30+M191)*100+L191,0)=AA191,3,IF(IF((J191&gt;=6)*(1-(IF(K191="",-1,K191)&gt;=1)*(IF(K191="",-1,K191)&lt;=3))*(1-(IF(K191="",-1,K191)=0)),IF(C191="peso_corporal",IF(ISNUMBER(E191),E191,0)+I191,I191)*(30+J191)*100+I191,0)=AA191,2,IF(IF((G191&gt;=6)*(1-(IF(H191="",-1,H191)&gt;=1)*(IF(H191="",-1,H191)&lt;=3))*(1-(IF(H191="",-1,H191)=0)),IF(C191="peso_corporal",IF(ISNUMBER(E191),E191,0)+F191,F191)*(30+G191)*100+F191,0)=AA191,1,0))))))</f>
        <v>0</v>
      </c>
      <c r="AC191" s="69" t="str">
        <f>IF(X191&gt;0,"A"&amp;X191,IF(Z191&gt;0,"B"&amp;Z191,IF(AB191&gt;0,"C"&amp;AB191,"")))</f>
        <v/>
      </c>
    </row>
    <row r="192" spans="1:29" ht="20.100000000000001" customHeight="1">
      <c r="A192" s="14" t="s">
        <v>164</v>
      </c>
      <c r="B192" s="15" t="s">
        <v>114</v>
      </c>
      <c r="C192" s="16" t="str">
        <f>IFERROR(INDEX(EJERCICIOS!$D$3:$D$75,MATCH(A192&amp;"|"&amp;B192,EJERCICIOS!$G$3:$G$75,0)),"--")</f>
        <v>polea</v>
      </c>
      <c r="D192" s="17">
        <v>3</v>
      </c>
      <c r="E192" s="18">
        <f>IFERROR(LOOKUP(2,1/(MEDIDAS_Y_PESO!$B$3:$B$10&lt;&gt;""),MEDIDAS_Y_PESO!$B$3:$B$10),"--")</f>
        <v>80</v>
      </c>
      <c r="F192" s="19"/>
      <c r="G192" s="20"/>
      <c r="H192" s="21"/>
      <c r="I192" s="19"/>
      <c r="J192" s="20"/>
      <c r="K192" s="21"/>
      <c r="L192" s="19"/>
      <c r="M192" s="20"/>
      <c r="N192" s="21"/>
      <c r="O192" s="19"/>
      <c r="P192" s="20"/>
      <c r="Q192" s="21"/>
      <c r="R192" s="19"/>
      <c r="S192" s="20"/>
      <c r="T192" s="21"/>
      <c r="U192" s="22" t="str">
        <f>IFERROR(IF(IF(X192&gt;0,X192,IF(Z192&gt;0,Z192,IF(AB192&gt;0,AB192,0)))=0,"--",ROUND(CHOOSE(IF(X192&gt;0,X192,IF(Z192&gt;0,Z192,IF(AB192&gt;0,AB192,0))),IF(C192="peso_corporal",IF(ISNUMBER(E192),E192,0)+F192,F192)*(1+G192/30),IF(C192="peso_corporal",IF(ISNUMBER(E192),E192,0)+I192,I192)*(1+J192/30),IF(C192="peso_corporal",IF(ISNUMBER(E192),E192,0)+L192,L192)*(1+M192/30),IF(C192="peso_corporal",IF(ISNUMBER(E192),E192,0)+O192,O192)*(1+P192/30),IF(C192="peso_corporal",IF(ISNUMBER(E192),E192,0)+R192,R192)*(1+S192/30)),1)),"--")</f>
        <v>--</v>
      </c>
      <c r="V192" s="23" t="str">
        <f>IF(SUGERENCIAS!N486="SIN","Sin datos anteriores",IF(SUGERENCIAS!N486="SUBIR_F","^ SUBIR FUERTE | Kg:"&amp;ROUND(SUGERENCIAS!K486,1)&amp;" R:"&amp;ROUND(SUGERENCIAS!L486,0)&amp;" RIR:"&amp;ROUND(SUGERENCIAS!M486,0),IF(SUGERENCIAS!N486="SUBIR_E","^ SUBIR (Est.) | Kg:"&amp;ROUND(SUGERENCIAS!K486,1)&amp;" R:"&amp;ROUND(SUGERENCIAS!L486,0)&amp;" RIR:"&amp;ROUND(SUGERENCIAS!M486,0),IF(SUGERENCIAS!N486="SUBIR","^ SUBIR | Kg:"&amp;ROUND(SUGERENCIAS!K486,1)&amp;" R:"&amp;ROUND(SUGERENCIAS!L486,0)&amp;" RIR:"&amp;ROUND(SUGERENCIAS!M486,0),IF(SUGERENCIAS!N486="BAJAR","v BAJAR | Kg:"&amp;ROUND(SUGERENCIAS!K486,1)&amp;" R:"&amp;ROUND(SUGERENCIAS!L486,0)&amp;" RIR:"&amp;ROUND(SUGERENCIAS!M486,0),"= MANT | Kg:"&amp;ROUND(SUGERENCIAS!K486,1)&amp;" R:"&amp;ROUND(SUGERENCIAS!L486,0)&amp;" RIR:"&amp;ROUND(SUGERENCIAS!M486,0))))))</f>
        <v>Sin datos anteriores</v>
      </c>
      <c r="W192" s="69">
        <f>MAX(IF((G192&gt;0)*(IF(H192="",-1,H192)&gt;=1)*(IF(H192="",-1,H192)&lt;=3),IF(C192="peso_corporal",IF(ISNUMBER(E192),E192,0)+F192,F192)*G192*1000+F192,0),IF((J192&gt;0)*(IF(K192="",-1,K192)&gt;=1)*(IF(K192="",-1,K192)&lt;=3),IF(C192="peso_corporal",IF(ISNUMBER(E192),E192,0)+I192,I192)*J192*1000+I192,0),IF((M192&gt;0)*(IF(N192="",-1,N192)&gt;=1)*(IF(N192="",-1,N192)&lt;=3),IF(C192="peso_corporal",IF(ISNUMBER(E192),E192,0)+L192,L192)*M192*1000+L192,0),IF((P192&gt;0)*(IF(Q192="",-1,Q192)&gt;=1)*(IF(Q192="",-1,Q192)&lt;=3),IF(C192="peso_corporal",IF(ISNUMBER(E192),E192,0)+O192,O192)*P192*1000+O192,0),IF((S192&gt;0)*(IF(T192="",-1,T192)&gt;=1)*(IF(T192="",-1,T192)&lt;=3),IF(C192="peso_corporal",IF(ISNUMBER(E192),E192,0)+R192,R192)*S192*1000+R192,0))</f>
        <v>0</v>
      </c>
      <c r="X192" s="69">
        <f>IF(W192=0,0,IF(IF((S192&gt;0)*(IF(T192="",-1,T192)&gt;=1)*(IF(T192="",-1,T192)&lt;=3),IF(C192="peso_corporal",IF(ISNUMBER(E192),E192,0)+R192,R192)*S192*1000+R192,0)=W192,5,IF(IF((P192&gt;0)*(IF(Q192="",-1,Q192)&gt;=1)*(IF(Q192="",-1,Q192)&lt;=3),IF(C192="peso_corporal",IF(ISNUMBER(E192),E192,0)+O192,O192)*P192*1000+O192,0)=W192,4,IF(IF((M192&gt;0)*(IF(N192="",-1,N192)&gt;=1)*(IF(N192="",-1,N192)&lt;=3),IF(C192="peso_corporal",IF(ISNUMBER(E192),E192,0)+L192,L192)*M192*1000+L192,0)=W192,3,IF(IF((J192&gt;0)*(IF(K192="",-1,K192)&gt;=1)*(IF(K192="",-1,K192)&lt;=3),IF(C192="peso_corporal",IF(ISNUMBER(E192),E192,0)+I192,I192)*J192*1000+I192,0)=W192,2,IF(IF((G192&gt;0)*(IF(H192="",-1,H192)&gt;=1)*(IF(H192="",-1,H192)&lt;=3),IF(C192="peso_corporal",IF(ISNUMBER(E192),E192,0)+F192,F192)*G192*1000+F192,0)=W192,1,0))))))</f>
        <v>0</v>
      </c>
      <c r="Y192" s="69">
        <f>MAX(IF((G192&gt;0)*(IF(H192="",-1,H192)=0)*(1-(IF(H192="",-1,H192)&gt;=1)*(IF(H192="",-1,H192)&lt;=3)),IF(C192="peso_corporal",IF(ISNUMBER(E192),E192,0)+F192,F192)*G192*1000+F192,0),IF((J192&gt;0)*(IF(K192="",-1,K192)=0)*(1-(IF(K192="",-1,K192)&gt;=1)*(IF(K192="",-1,K192)&lt;=3)),IF(C192="peso_corporal",IF(ISNUMBER(E192),E192,0)+I192,I192)*J192*1000+I192,0),IF((M192&gt;0)*(IF(N192="",-1,N192)=0)*(1-(IF(N192="",-1,N192)&gt;=1)*(IF(N192="",-1,N192)&lt;=3)),IF(C192="peso_corporal",IF(ISNUMBER(E192),E192,0)+L192,L192)*M192*1000+L192,0),IF((P192&gt;0)*(IF(Q192="",-1,Q192)=0)*(1-(IF(Q192="",-1,Q192)&gt;=1)*(IF(Q192="",-1,Q192)&lt;=3)),IF(C192="peso_corporal",IF(ISNUMBER(E192),E192,0)+O192,O192)*P192*1000+O192,0),IF((S192&gt;0)*(IF(T192="",-1,T192)=0)*(1-(IF(T192="",-1,T192)&gt;=1)*(IF(T192="",-1,T192)&lt;=3)),IF(C192="peso_corporal",IF(ISNUMBER(E192),E192,0)+R192,R192)*S192*1000+R192,0))</f>
        <v>0</v>
      </c>
      <c r="Z192" s="69">
        <f>IF(Y192=0,0,IF(IF((S192&gt;0)*(IF(T192="",-1,T192)=0)*(1-(IF(T192="",-1,T192)&gt;=1)*(IF(T192="",-1,T192)&lt;=3)),IF(C192="peso_corporal",IF(ISNUMBER(E192),E192,0)+R192,R192)*S192*1000+R192,0)=Y192,5,IF(IF((P192&gt;0)*(IF(Q192="",-1,Q192)=0)*(1-(IF(Q192="",-1,Q192)&gt;=1)*(IF(Q192="",-1,Q192)&lt;=3)),IF(C192="peso_corporal",IF(ISNUMBER(E192),E192,0)+O192,O192)*P192*1000+O192,0)=Y192,4,IF(IF((M192&gt;0)*(IF(N192="",-1,N192)=0)*(1-(IF(N192="",-1,N192)&gt;=1)*(IF(N192="",-1,N192)&lt;=3)),IF(C192="peso_corporal",IF(ISNUMBER(E192),E192,0)+L192,L192)*M192*1000+L192,0)=Y192,3,IF(IF((J192&gt;0)*(IF(K192="",-1,K192)=0)*(1-(IF(K192="",-1,K192)&gt;=1)*(IF(K192="",-1,K192)&lt;=3)),IF(C192="peso_corporal",IF(ISNUMBER(E192),E192,0)+I192,I192)*J192*1000+I192,0)=Y192,2,IF(IF((G192&gt;0)*(IF(H192="",-1,H192)=0)*(1-(IF(H192="",-1,H192)&gt;=1)*(IF(H192="",-1,H192)&lt;=3)),IF(C192="peso_corporal",IF(ISNUMBER(E192),E192,0)+F192,F192)*G192*1000+F192,0)=Y192,1,0))))))</f>
        <v>0</v>
      </c>
      <c r="AA192" s="69">
        <f>MAX(IF((G192&gt;=6)*(1-(IF(H192="",-1,H192)&gt;=1)*(IF(H192="",-1,H192)&lt;=3))*(1-(IF(H192="",-1,H192)=0)),IF(C192="peso_corporal",IF(ISNUMBER(E192),E192,0)+F192,F192)*(30+G192)*100+F192,0),IF((J192&gt;=6)*(1-(IF(K192="",-1,K192)&gt;=1)*(IF(K192="",-1,K192)&lt;=3))*(1-(IF(K192="",-1,K192)=0)),IF(C192="peso_corporal",IF(ISNUMBER(E192),E192,0)+I192,I192)*(30+J192)*100+I192,0),IF((M192&gt;=6)*(1-(IF(N192="",-1,N192)&gt;=1)*(IF(N192="",-1,N192)&lt;=3))*(1-(IF(N192="",-1,N192)=0)),IF(C192="peso_corporal",IF(ISNUMBER(E192),E192,0)+L192,L192)*(30+M192)*100+L192,0),IF((P192&gt;=6)*(1-(IF(Q192="",-1,Q192)&gt;=1)*(IF(Q192="",-1,Q192)&lt;=3))*(1-(IF(Q192="",-1,Q192)=0)),IF(C192="peso_corporal",IF(ISNUMBER(E192),E192,0)+O192,O192)*(30+P192)*100+O192,0),IF((S192&gt;=6)*(1-(IF(T192="",-1,T192)&gt;=1)*(IF(T192="",-1,T192)&lt;=3))*(1-(IF(T192="",-1,T192)=0)),IF(C192="peso_corporal",IF(ISNUMBER(E192),E192,0)+R192,R192)*(30+S192)*100+R192,0))</f>
        <v>0</v>
      </c>
      <c r="AB192" s="69">
        <f>IF(AA192=0,0,IF(IF((S192&gt;=6)*(1-(IF(T192="",-1,T192)&gt;=1)*(IF(T192="",-1,T192)&lt;=3))*(1-(IF(T192="",-1,T192)=0)),IF(C192="peso_corporal",IF(ISNUMBER(E192),E192,0)+R192,R192)*(30+S192)*100+R192,0)=AA192,5,IF(IF((P192&gt;=6)*(1-(IF(Q192="",-1,Q192)&gt;=1)*(IF(Q192="",-1,Q192)&lt;=3))*(1-(IF(Q192="",-1,Q192)=0)),IF(C192="peso_corporal",IF(ISNUMBER(E192),E192,0)+O192,O192)*(30+P192)*100+O192,0)=AA192,4,IF(IF((M192&gt;=6)*(1-(IF(N192="",-1,N192)&gt;=1)*(IF(N192="",-1,N192)&lt;=3))*(1-(IF(N192="",-1,N192)=0)),IF(C192="peso_corporal",IF(ISNUMBER(E192),E192,0)+L192,L192)*(30+M192)*100+L192,0)=AA192,3,IF(IF((J192&gt;=6)*(1-(IF(K192="",-1,K192)&gt;=1)*(IF(K192="",-1,K192)&lt;=3))*(1-(IF(K192="",-1,K192)=0)),IF(C192="peso_corporal",IF(ISNUMBER(E192),E192,0)+I192,I192)*(30+J192)*100+I192,0)=AA192,2,IF(IF((G192&gt;=6)*(1-(IF(H192="",-1,H192)&gt;=1)*(IF(H192="",-1,H192)&lt;=3))*(1-(IF(H192="",-1,H192)=0)),IF(C192="peso_corporal",IF(ISNUMBER(E192),E192,0)+F192,F192)*(30+G192)*100+F192,0)=AA192,1,0))))))</f>
        <v>0</v>
      </c>
      <c r="AC192" s="69" t="str">
        <f>IF(X192&gt;0,"A"&amp;X192,IF(Z192&gt;0,"B"&amp;Z192,IF(AB192&gt;0,"C"&amp;AB192,"")))</f>
        <v/>
      </c>
    </row>
    <row r="193" spans="1:29" ht="15" customHeight="1">
      <c r="A193" s="75" t="s">
        <v>28</v>
      </c>
      <c r="B193" s="73"/>
      <c r="C193" s="73"/>
      <c r="D193" s="73"/>
      <c r="E193" s="73"/>
      <c r="F193" s="73"/>
      <c r="G193" s="73"/>
      <c r="H193" s="73"/>
      <c r="I193" s="73"/>
      <c r="J193" s="73"/>
      <c r="K193" s="73"/>
      <c r="L193" s="73"/>
      <c r="M193" s="73"/>
      <c r="N193" s="73"/>
      <c r="O193" s="73"/>
      <c r="P193" s="73"/>
      <c r="Q193" s="73"/>
      <c r="R193" s="73"/>
      <c r="S193" s="73"/>
      <c r="T193" s="73"/>
      <c r="U193" s="73"/>
      <c r="V193" s="73"/>
      <c r="W193" s="69"/>
      <c r="X193" s="69"/>
      <c r="Y193" s="69"/>
      <c r="Z193" s="69"/>
      <c r="AA193" s="69"/>
      <c r="AB193" s="69"/>
      <c r="AC193" s="69"/>
    </row>
    <row r="194" spans="1:29" ht="11.1" customHeight="1">
      <c r="A194" s="76" t="s">
        <v>29</v>
      </c>
      <c r="B194" s="73"/>
      <c r="C194" s="73"/>
      <c r="D194" s="73"/>
      <c r="E194" s="73"/>
      <c r="F194" s="73"/>
      <c r="G194" s="73"/>
      <c r="H194" s="73"/>
      <c r="I194" s="73"/>
      <c r="J194" s="73"/>
      <c r="K194" s="73"/>
      <c r="L194" s="73"/>
      <c r="M194" s="73"/>
      <c r="N194" s="73"/>
      <c r="O194" s="73"/>
      <c r="P194" s="73"/>
      <c r="Q194" s="73"/>
      <c r="R194" s="73"/>
      <c r="S194" s="73"/>
      <c r="T194" s="73"/>
      <c r="U194" s="73"/>
      <c r="V194" s="73"/>
      <c r="W194" s="69"/>
      <c r="X194" s="69"/>
      <c r="Y194" s="69"/>
      <c r="Z194" s="69"/>
      <c r="AA194" s="69"/>
      <c r="AB194" s="69"/>
      <c r="AC194" s="69"/>
    </row>
    <row r="195" spans="1:29" ht="20.100000000000001" customHeight="1">
      <c r="A195" s="14" t="s">
        <v>30</v>
      </c>
      <c r="B195" s="15" t="s">
        <v>31</v>
      </c>
      <c r="C195" s="16" t="str">
        <f>IFERROR(INDEX(EJERCICIOS!$D$3:$D$75,MATCH(A195&amp;"|"&amp;B195,EJERCICIOS!$G$3:$G$75,0)),"--")</f>
        <v>mancuerna</v>
      </c>
      <c r="D195" s="17">
        <v>3</v>
      </c>
      <c r="E195" s="18">
        <f>IFERROR(LOOKUP(2,1/(MEDIDAS_Y_PESO!$B$3:$B$10&lt;&gt;""),MEDIDAS_Y_PESO!$B$3:$B$10),"--")</f>
        <v>80</v>
      </c>
      <c r="F195" s="19"/>
      <c r="G195" s="20"/>
      <c r="H195" s="21"/>
      <c r="I195" s="19"/>
      <c r="J195" s="20"/>
      <c r="K195" s="21"/>
      <c r="L195" s="19"/>
      <c r="M195" s="20"/>
      <c r="N195" s="21"/>
      <c r="O195" s="19"/>
      <c r="P195" s="20"/>
      <c r="Q195" s="21"/>
      <c r="R195" s="19"/>
      <c r="S195" s="20"/>
      <c r="T195" s="21"/>
      <c r="U195" s="22" t="str">
        <f>IFERROR(IF(IF(X195&gt;0,X195,IF(Z195&gt;0,Z195,IF(AB195&gt;0,AB195,0)))=0,"--",ROUND(CHOOSE(IF(X195&gt;0,X195,IF(Z195&gt;0,Z195,IF(AB195&gt;0,AB195,0))),IF(C195="peso_corporal",IF(ISNUMBER(E195),E195,0)+F195,F195)*(1+G195/30),IF(C195="peso_corporal",IF(ISNUMBER(E195),E195,0)+I195,I195)*(1+J195/30),IF(C195="peso_corporal",IF(ISNUMBER(E195),E195,0)+L195,L195)*(1+M195/30),IF(C195="peso_corporal",IF(ISNUMBER(E195),E195,0)+O195,O195)*(1+P195/30),IF(C195="peso_corporal",IF(ISNUMBER(E195),E195,0)+R195,R195)*(1+S195/30)),1)),"--")</f>
        <v>--</v>
      </c>
      <c r="V195" s="23" t="str">
        <f>IF(SUGERENCIAS!N487="SIN","Sin datos anteriores",IF(SUGERENCIAS!N487="SUBIR_F","^ SUBIR FUERTE | Kg:"&amp;ROUND(SUGERENCIAS!K487,1)&amp;" R:"&amp;ROUND(SUGERENCIAS!L487,0)&amp;" RIR:"&amp;ROUND(SUGERENCIAS!M487,0),IF(SUGERENCIAS!N487="SUBIR_E","^ SUBIR (Est.) | Kg:"&amp;ROUND(SUGERENCIAS!K487,1)&amp;" R:"&amp;ROUND(SUGERENCIAS!L487,0)&amp;" RIR:"&amp;ROUND(SUGERENCIAS!M487,0),IF(SUGERENCIAS!N487="SUBIR","^ SUBIR | Kg:"&amp;ROUND(SUGERENCIAS!K487,1)&amp;" R:"&amp;ROUND(SUGERENCIAS!L487,0)&amp;" RIR:"&amp;ROUND(SUGERENCIAS!M487,0),IF(SUGERENCIAS!N487="BAJAR","v BAJAR | Kg:"&amp;ROUND(SUGERENCIAS!K487,1)&amp;" R:"&amp;ROUND(SUGERENCIAS!L487,0)&amp;" RIR:"&amp;ROUND(SUGERENCIAS!M487,0),"= MANT | Kg:"&amp;ROUND(SUGERENCIAS!K487,1)&amp;" R:"&amp;ROUND(SUGERENCIAS!L487,0)&amp;" RIR:"&amp;ROUND(SUGERENCIAS!M487,0))))))</f>
        <v>Sin datos anteriores</v>
      </c>
      <c r="W195" s="69">
        <f>MAX(IF((G195&gt;0)*(IF(H195="",-1,H195)&gt;=1)*(IF(H195="",-1,H195)&lt;=3),IF(C195="peso_corporal",IF(ISNUMBER(E195),E195,0)+F195,F195)*G195*1000+F195,0),IF((J195&gt;0)*(IF(K195="",-1,K195)&gt;=1)*(IF(K195="",-1,K195)&lt;=3),IF(C195="peso_corporal",IF(ISNUMBER(E195),E195,0)+I195,I195)*J195*1000+I195,0),IF((M195&gt;0)*(IF(N195="",-1,N195)&gt;=1)*(IF(N195="",-1,N195)&lt;=3),IF(C195="peso_corporal",IF(ISNUMBER(E195),E195,0)+L195,L195)*M195*1000+L195,0),IF((P195&gt;0)*(IF(Q195="",-1,Q195)&gt;=1)*(IF(Q195="",-1,Q195)&lt;=3),IF(C195="peso_corporal",IF(ISNUMBER(E195),E195,0)+O195,O195)*P195*1000+O195,0),IF((S195&gt;0)*(IF(T195="",-1,T195)&gt;=1)*(IF(T195="",-1,T195)&lt;=3),IF(C195="peso_corporal",IF(ISNUMBER(E195),E195,0)+R195,R195)*S195*1000+R195,0))</f>
        <v>0</v>
      </c>
      <c r="X195" s="69">
        <f>IF(W195=0,0,IF(IF((S195&gt;0)*(IF(T195="",-1,T195)&gt;=1)*(IF(T195="",-1,T195)&lt;=3),IF(C195="peso_corporal",IF(ISNUMBER(E195),E195,0)+R195,R195)*S195*1000+R195,0)=W195,5,IF(IF((P195&gt;0)*(IF(Q195="",-1,Q195)&gt;=1)*(IF(Q195="",-1,Q195)&lt;=3),IF(C195="peso_corporal",IF(ISNUMBER(E195),E195,0)+O195,O195)*P195*1000+O195,0)=W195,4,IF(IF((M195&gt;0)*(IF(N195="",-1,N195)&gt;=1)*(IF(N195="",-1,N195)&lt;=3),IF(C195="peso_corporal",IF(ISNUMBER(E195),E195,0)+L195,L195)*M195*1000+L195,0)=W195,3,IF(IF((J195&gt;0)*(IF(K195="",-1,K195)&gt;=1)*(IF(K195="",-1,K195)&lt;=3),IF(C195="peso_corporal",IF(ISNUMBER(E195),E195,0)+I195,I195)*J195*1000+I195,0)=W195,2,IF(IF((G195&gt;0)*(IF(H195="",-1,H195)&gt;=1)*(IF(H195="",-1,H195)&lt;=3),IF(C195="peso_corporal",IF(ISNUMBER(E195),E195,0)+F195,F195)*G195*1000+F195,0)=W195,1,0))))))</f>
        <v>0</v>
      </c>
      <c r="Y195" s="69">
        <f>MAX(IF((G195&gt;0)*(IF(H195="",-1,H195)=0)*(1-(IF(H195="",-1,H195)&gt;=1)*(IF(H195="",-1,H195)&lt;=3)),IF(C195="peso_corporal",IF(ISNUMBER(E195),E195,0)+F195,F195)*G195*1000+F195,0),IF((J195&gt;0)*(IF(K195="",-1,K195)=0)*(1-(IF(K195="",-1,K195)&gt;=1)*(IF(K195="",-1,K195)&lt;=3)),IF(C195="peso_corporal",IF(ISNUMBER(E195),E195,0)+I195,I195)*J195*1000+I195,0),IF((M195&gt;0)*(IF(N195="",-1,N195)=0)*(1-(IF(N195="",-1,N195)&gt;=1)*(IF(N195="",-1,N195)&lt;=3)),IF(C195="peso_corporal",IF(ISNUMBER(E195),E195,0)+L195,L195)*M195*1000+L195,0),IF((P195&gt;0)*(IF(Q195="",-1,Q195)=0)*(1-(IF(Q195="",-1,Q195)&gt;=1)*(IF(Q195="",-1,Q195)&lt;=3)),IF(C195="peso_corporal",IF(ISNUMBER(E195),E195,0)+O195,O195)*P195*1000+O195,0),IF((S195&gt;0)*(IF(T195="",-1,T195)=0)*(1-(IF(T195="",-1,T195)&gt;=1)*(IF(T195="",-1,T195)&lt;=3)),IF(C195="peso_corporal",IF(ISNUMBER(E195),E195,0)+R195,R195)*S195*1000+R195,0))</f>
        <v>0</v>
      </c>
      <c r="Z195" s="69">
        <f>IF(Y195=0,0,IF(IF((S195&gt;0)*(IF(T195="",-1,T195)=0)*(1-(IF(T195="",-1,T195)&gt;=1)*(IF(T195="",-1,T195)&lt;=3)),IF(C195="peso_corporal",IF(ISNUMBER(E195),E195,0)+R195,R195)*S195*1000+R195,0)=Y195,5,IF(IF((P195&gt;0)*(IF(Q195="",-1,Q195)=0)*(1-(IF(Q195="",-1,Q195)&gt;=1)*(IF(Q195="",-1,Q195)&lt;=3)),IF(C195="peso_corporal",IF(ISNUMBER(E195),E195,0)+O195,O195)*P195*1000+O195,0)=Y195,4,IF(IF((M195&gt;0)*(IF(N195="",-1,N195)=0)*(1-(IF(N195="",-1,N195)&gt;=1)*(IF(N195="",-1,N195)&lt;=3)),IF(C195="peso_corporal",IF(ISNUMBER(E195),E195,0)+L195,L195)*M195*1000+L195,0)=Y195,3,IF(IF((J195&gt;0)*(IF(K195="",-1,K195)=0)*(1-(IF(K195="",-1,K195)&gt;=1)*(IF(K195="",-1,K195)&lt;=3)),IF(C195="peso_corporal",IF(ISNUMBER(E195),E195,0)+I195,I195)*J195*1000+I195,0)=Y195,2,IF(IF((G195&gt;0)*(IF(H195="",-1,H195)=0)*(1-(IF(H195="",-1,H195)&gt;=1)*(IF(H195="",-1,H195)&lt;=3)),IF(C195="peso_corporal",IF(ISNUMBER(E195),E195,0)+F195,F195)*G195*1000+F195,0)=Y195,1,0))))))</f>
        <v>0</v>
      </c>
      <c r="AA195" s="69">
        <f>MAX(IF((G195&gt;=6)*(1-(IF(H195="",-1,H195)&gt;=1)*(IF(H195="",-1,H195)&lt;=3))*(1-(IF(H195="",-1,H195)=0)),IF(C195="peso_corporal",IF(ISNUMBER(E195),E195,0)+F195,F195)*(30+G195)*100+F195,0),IF((J195&gt;=6)*(1-(IF(K195="",-1,K195)&gt;=1)*(IF(K195="",-1,K195)&lt;=3))*(1-(IF(K195="",-1,K195)=0)),IF(C195="peso_corporal",IF(ISNUMBER(E195),E195,0)+I195,I195)*(30+J195)*100+I195,0),IF((M195&gt;=6)*(1-(IF(N195="",-1,N195)&gt;=1)*(IF(N195="",-1,N195)&lt;=3))*(1-(IF(N195="",-1,N195)=0)),IF(C195="peso_corporal",IF(ISNUMBER(E195),E195,0)+L195,L195)*(30+M195)*100+L195,0),IF((P195&gt;=6)*(1-(IF(Q195="",-1,Q195)&gt;=1)*(IF(Q195="",-1,Q195)&lt;=3))*(1-(IF(Q195="",-1,Q195)=0)),IF(C195="peso_corporal",IF(ISNUMBER(E195),E195,0)+O195,O195)*(30+P195)*100+O195,0),IF((S195&gt;=6)*(1-(IF(T195="",-1,T195)&gt;=1)*(IF(T195="",-1,T195)&lt;=3))*(1-(IF(T195="",-1,T195)=0)),IF(C195="peso_corporal",IF(ISNUMBER(E195),E195,0)+R195,R195)*(30+S195)*100+R195,0))</f>
        <v>0</v>
      </c>
      <c r="AB195" s="69">
        <f>IF(AA195=0,0,IF(IF((S195&gt;=6)*(1-(IF(T195="",-1,T195)&gt;=1)*(IF(T195="",-1,T195)&lt;=3))*(1-(IF(T195="",-1,T195)=0)),IF(C195="peso_corporal",IF(ISNUMBER(E195),E195,0)+R195,R195)*(30+S195)*100+R195,0)=AA195,5,IF(IF((P195&gt;=6)*(1-(IF(Q195="",-1,Q195)&gt;=1)*(IF(Q195="",-1,Q195)&lt;=3))*(1-(IF(Q195="",-1,Q195)=0)),IF(C195="peso_corporal",IF(ISNUMBER(E195),E195,0)+O195,O195)*(30+P195)*100+O195,0)=AA195,4,IF(IF((M195&gt;=6)*(1-(IF(N195="",-1,N195)&gt;=1)*(IF(N195="",-1,N195)&lt;=3))*(1-(IF(N195="",-1,N195)=0)),IF(C195="peso_corporal",IF(ISNUMBER(E195),E195,0)+L195,L195)*(30+M195)*100+L195,0)=AA195,3,IF(IF((J195&gt;=6)*(1-(IF(K195="",-1,K195)&gt;=1)*(IF(K195="",-1,K195)&lt;=3))*(1-(IF(K195="",-1,K195)=0)),IF(C195="peso_corporal",IF(ISNUMBER(E195),E195,0)+I195,I195)*(30+J195)*100+I195,0)=AA195,2,IF(IF((G195&gt;=6)*(1-(IF(H195="",-1,H195)&gt;=1)*(IF(H195="",-1,H195)&lt;=3))*(1-(IF(H195="",-1,H195)=0)),IF(C195="peso_corporal",IF(ISNUMBER(E195),E195,0)+F195,F195)*(30+G195)*100+F195,0)=AA195,1,0))))))</f>
        <v>0</v>
      </c>
      <c r="AC195" s="69" t="str">
        <f>IF(X195&gt;0,"A"&amp;X195,IF(Z195&gt;0,"B"&amp;Z195,IF(AB195&gt;0,"C"&amp;AB195,"")))</f>
        <v/>
      </c>
    </row>
    <row r="196" spans="1:29" ht="11.1" customHeight="1">
      <c r="A196" s="84" t="s">
        <v>32</v>
      </c>
      <c r="B196" s="73"/>
      <c r="C196" s="73"/>
      <c r="D196" s="73"/>
      <c r="E196" s="73"/>
      <c r="F196" s="73"/>
      <c r="G196" s="73"/>
      <c r="H196" s="73"/>
      <c r="I196" s="73"/>
      <c r="J196" s="73"/>
      <c r="K196" s="73"/>
      <c r="L196" s="73"/>
      <c r="M196" s="73"/>
      <c r="N196" s="73"/>
      <c r="O196" s="73"/>
      <c r="P196" s="73"/>
      <c r="Q196" s="73"/>
      <c r="R196" s="73"/>
      <c r="S196" s="73"/>
      <c r="T196" s="73"/>
      <c r="U196" s="73"/>
      <c r="V196" s="73"/>
      <c r="W196" s="69"/>
      <c r="X196" s="69"/>
      <c r="Y196" s="69"/>
      <c r="Z196" s="69"/>
      <c r="AA196" s="69"/>
      <c r="AB196" s="69"/>
      <c r="AC196" s="69"/>
    </row>
    <row r="197" spans="1:29" ht="20.100000000000001" customHeight="1">
      <c r="A197" s="14" t="s">
        <v>61</v>
      </c>
      <c r="B197" s="15" t="s">
        <v>93</v>
      </c>
      <c r="C197" s="16" t="str">
        <f>IFERROR(INDEX(EJERCICIOS!$D$3:$D$75,MATCH(A197&amp;"|"&amp;B197,EJERCICIOS!$G$3:$G$75,0)),"--")</f>
        <v>disco</v>
      </c>
      <c r="D197" s="17">
        <v>3</v>
      </c>
      <c r="E197" s="18">
        <f>IFERROR(LOOKUP(2,1/(MEDIDAS_Y_PESO!$B$3:$B$10&lt;&gt;""),MEDIDAS_Y_PESO!$B$3:$B$10),"--")</f>
        <v>80</v>
      </c>
      <c r="F197" s="19"/>
      <c r="G197" s="20"/>
      <c r="H197" s="21"/>
      <c r="I197" s="19"/>
      <c r="J197" s="20"/>
      <c r="K197" s="21"/>
      <c r="L197" s="19"/>
      <c r="M197" s="20"/>
      <c r="N197" s="21"/>
      <c r="O197" s="19"/>
      <c r="P197" s="20"/>
      <c r="Q197" s="21"/>
      <c r="R197" s="19"/>
      <c r="S197" s="20"/>
      <c r="T197" s="21"/>
      <c r="U197" s="22" t="str">
        <f>IFERROR(IF(IF(X197&gt;0,X197,IF(Z197&gt;0,Z197,IF(AB197&gt;0,AB197,0)))=0,"--",ROUND(CHOOSE(IF(X197&gt;0,X197,IF(Z197&gt;0,Z197,IF(AB197&gt;0,AB197,0))),IF(C197="peso_corporal",IF(ISNUMBER(E197),E197,0)+F197,F197)*(1+G197/30),IF(C197="peso_corporal",IF(ISNUMBER(E197),E197,0)+I197,I197)*(1+J197/30),IF(C197="peso_corporal",IF(ISNUMBER(E197),E197,0)+L197,L197)*(1+M197/30),IF(C197="peso_corporal",IF(ISNUMBER(E197),E197,0)+O197,O197)*(1+P197/30),IF(C197="peso_corporal",IF(ISNUMBER(E197),E197,0)+R197,R197)*(1+S197/30)),1)),"--")</f>
        <v>--</v>
      </c>
      <c r="V197" s="23" t="str">
        <f>IF(SUGERENCIAS!N488="SIN","Sin datos anteriores",IF(SUGERENCIAS!N488="SUBIR_F","^ SUBIR FUERTE | Kg:"&amp;ROUND(SUGERENCIAS!K488,1)&amp;" R:"&amp;ROUND(SUGERENCIAS!L488,0)&amp;" RIR:"&amp;ROUND(SUGERENCIAS!M488,0),IF(SUGERENCIAS!N488="SUBIR_E","^ SUBIR (Est.) | Kg:"&amp;ROUND(SUGERENCIAS!K488,1)&amp;" R:"&amp;ROUND(SUGERENCIAS!L488,0)&amp;" RIR:"&amp;ROUND(SUGERENCIAS!M488,0),IF(SUGERENCIAS!N488="SUBIR","^ SUBIR | Kg:"&amp;ROUND(SUGERENCIAS!K488,1)&amp;" R:"&amp;ROUND(SUGERENCIAS!L488,0)&amp;" RIR:"&amp;ROUND(SUGERENCIAS!M488,0),IF(SUGERENCIAS!N488="BAJAR","v BAJAR | Kg:"&amp;ROUND(SUGERENCIAS!K488,1)&amp;" R:"&amp;ROUND(SUGERENCIAS!L488,0)&amp;" RIR:"&amp;ROUND(SUGERENCIAS!M488,0),"= MANT | Kg:"&amp;ROUND(SUGERENCIAS!K488,1)&amp;" R:"&amp;ROUND(SUGERENCIAS!L488,0)&amp;" RIR:"&amp;ROUND(SUGERENCIAS!M488,0))))))</f>
        <v>Sin datos anteriores</v>
      </c>
      <c r="W197" s="69">
        <f>MAX(IF((G197&gt;0)*(IF(H197="",-1,H197)&gt;=1)*(IF(H197="",-1,H197)&lt;=3),IF(C197="peso_corporal",IF(ISNUMBER(E197),E197,0)+F197,F197)*G197*1000+F197,0),IF((J197&gt;0)*(IF(K197="",-1,K197)&gt;=1)*(IF(K197="",-1,K197)&lt;=3),IF(C197="peso_corporal",IF(ISNUMBER(E197),E197,0)+I197,I197)*J197*1000+I197,0),IF((M197&gt;0)*(IF(N197="",-1,N197)&gt;=1)*(IF(N197="",-1,N197)&lt;=3),IF(C197="peso_corporal",IF(ISNUMBER(E197),E197,0)+L197,L197)*M197*1000+L197,0),IF((P197&gt;0)*(IF(Q197="",-1,Q197)&gt;=1)*(IF(Q197="",-1,Q197)&lt;=3),IF(C197="peso_corporal",IF(ISNUMBER(E197),E197,0)+O197,O197)*P197*1000+O197,0),IF((S197&gt;0)*(IF(T197="",-1,T197)&gt;=1)*(IF(T197="",-1,T197)&lt;=3),IF(C197="peso_corporal",IF(ISNUMBER(E197),E197,0)+R197,R197)*S197*1000+R197,0))</f>
        <v>0</v>
      </c>
      <c r="X197" s="69">
        <f>IF(W197=0,0,IF(IF((S197&gt;0)*(IF(T197="",-1,T197)&gt;=1)*(IF(T197="",-1,T197)&lt;=3),IF(C197="peso_corporal",IF(ISNUMBER(E197),E197,0)+R197,R197)*S197*1000+R197,0)=W197,5,IF(IF((P197&gt;0)*(IF(Q197="",-1,Q197)&gt;=1)*(IF(Q197="",-1,Q197)&lt;=3),IF(C197="peso_corporal",IF(ISNUMBER(E197),E197,0)+O197,O197)*P197*1000+O197,0)=W197,4,IF(IF((M197&gt;0)*(IF(N197="",-1,N197)&gt;=1)*(IF(N197="",-1,N197)&lt;=3),IF(C197="peso_corporal",IF(ISNUMBER(E197),E197,0)+L197,L197)*M197*1000+L197,0)=W197,3,IF(IF((J197&gt;0)*(IF(K197="",-1,K197)&gt;=1)*(IF(K197="",-1,K197)&lt;=3),IF(C197="peso_corporal",IF(ISNUMBER(E197),E197,0)+I197,I197)*J197*1000+I197,0)=W197,2,IF(IF((G197&gt;0)*(IF(H197="",-1,H197)&gt;=1)*(IF(H197="",-1,H197)&lt;=3),IF(C197="peso_corporal",IF(ISNUMBER(E197),E197,0)+F197,F197)*G197*1000+F197,0)=W197,1,0))))))</f>
        <v>0</v>
      </c>
      <c r="Y197" s="69">
        <f>MAX(IF((G197&gt;0)*(IF(H197="",-1,H197)=0)*(1-(IF(H197="",-1,H197)&gt;=1)*(IF(H197="",-1,H197)&lt;=3)),IF(C197="peso_corporal",IF(ISNUMBER(E197),E197,0)+F197,F197)*G197*1000+F197,0),IF((J197&gt;0)*(IF(K197="",-1,K197)=0)*(1-(IF(K197="",-1,K197)&gt;=1)*(IF(K197="",-1,K197)&lt;=3)),IF(C197="peso_corporal",IF(ISNUMBER(E197),E197,0)+I197,I197)*J197*1000+I197,0),IF((M197&gt;0)*(IF(N197="",-1,N197)=0)*(1-(IF(N197="",-1,N197)&gt;=1)*(IF(N197="",-1,N197)&lt;=3)),IF(C197="peso_corporal",IF(ISNUMBER(E197),E197,0)+L197,L197)*M197*1000+L197,0),IF((P197&gt;0)*(IF(Q197="",-1,Q197)=0)*(1-(IF(Q197="",-1,Q197)&gt;=1)*(IF(Q197="",-1,Q197)&lt;=3)),IF(C197="peso_corporal",IF(ISNUMBER(E197),E197,0)+O197,O197)*P197*1000+O197,0),IF((S197&gt;0)*(IF(T197="",-1,T197)=0)*(1-(IF(T197="",-1,T197)&gt;=1)*(IF(T197="",-1,T197)&lt;=3)),IF(C197="peso_corporal",IF(ISNUMBER(E197),E197,0)+R197,R197)*S197*1000+R197,0))</f>
        <v>0</v>
      </c>
      <c r="Z197" s="69">
        <f>IF(Y197=0,0,IF(IF((S197&gt;0)*(IF(T197="",-1,T197)=0)*(1-(IF(T197="",-1,T197)&gt;=1)*(IF(T197="",-1,T197)&lt;=3)),IF(C197="peso_corporal",IF(ISNUMBER(E197),E197,0)+R197,R197)*S197*1000+R197,0)=Y197,5,IF(IF((P197&gt;0)*(IF(Q197="",-1,Q197)=0)*(1-(IF(Q197="",-1,Q197)&gt;=1)*(IF(Q197="",-1,Q197)&lt;=3)),IF(C197="peso_corporal",IF(ISNUMBER(E197),E197,0)+O197,O197)*P197*1000+O197,0)=Y197,4,IF(IF((M197&gt;0)*(IF(N197="",-1,N197)=0)*(1-(IF(N197="",-1,N197)&gt;=1)*(IF(N197="",-1,N197)&lt;=3)),IF(C197="peso_corporal",IF(ISNUMBER(E197),E197,0)+L197,L197)*M197*1000+L197,0)=Y197,3,IF(IF((J197&gt;0)*(IF(K197="",-1,K197)=0)*(1-(IF(K197="",-1,K197)&gt;=1)*(IF(K197="",-1,K197)&lt;=3)),IF(C197="peso_corporal",IF(ISNUMBER(E197),E197,0)+I197,I197)*J197*1000+I197,0)=Y197,2,IF(IF((G197&gt;0)*(IF(H197="",-1,H197)=0)*(1-(IF(H197="",-1,H197)&gt;=1)*(IF(H197="",-1,H197)&lt;=3)),IF(C197="peso_corporal",IF(ISNUMBER(E197),E197,0)+F197,F197)*G197*1000+F197,0)=Y197,1,0))))))</f>
        <v>0</v>
      </c>
      <c r="AA197" s="69">
        <f>MAX(IF((G197&gt;=6)*(1-(IF(H197="",-1,H197)&gt;=1)*(IF(H197="",-1,H197)&lt;=3))*(1-(IF(H197="",-1,H197)=0)),IF(C197="peso_corporal",IF(ISNUMBER(E197),E197,0)+F197,F197)*(30+G197)*100+F197,0),IF((J197&gt;=6)*(1-(IF(K197="",-1,K197)&gt;=1)*(IF(K197="",-1,K197)&lt;=3))*(1-(IF(K197="",-1,K197)=0)),IF(C197="peso_corporal",IF(ISNUMBER(E197),E197,0)+I197,I197)*(30+J197)*100+I197,0),IF((M197&gt;=6)*(1-(IF(N197="",-1,N197)&gt;=1)*(IF(N197="",-1,N197)&lt;=3))*(1-(IF(N197="",-1,N197)=0)),IF(C197="peso_corporal",IF(ISNUMBER(E197),E197,0)+L197,L197)*(30+M197)*100+L197,0),IF((P197&gt;=6)*(1-(IF(Q197="",-1,Q197)&gt;=1)*(IF(Q197="",-1,Q197)&lt;=3))*(1-(IF(Q197="",-1,Q197)=0)),IF(C197="peso_corporal",IF(ISNUMBER(E197),E197,0)+O197,O197)*(30+P197)*100+O197,0),IF((S197&gt;=6)*(1-(IF(T197="",-1,T197)&gt;=1)*(IF(T197="",-1,T197)&lt;=3))*(1-(IF(T197="",-1,T197)=0)),IF(C197="peso_corporal",IF(ISNUMBER(E197),E197,0)+R197,R197)*(30+S197)*100+R197,0))</f>
        <v>0</v>
      </c>
      <c r="AB197" s="69">
        <f>IF(AA197=0,0,IF(IF((S197&gt;=6)*(1-(IF(T197="",-1,T197)&gt;=1)*(IF(T197="",-1,T197)&lt;=3))*(1-(IF(T197="",-1,T197)=0)),IF(C197="peso_corporal",IF(ISNUMBER(E197),E197,0)+R197,R197)*(30+S197)*100+R197,0)=AA197,5,IF(IF((P197&gt;=6)*(1-(IF(Q197="",-1,Q197)&gt;=1)*(IF(Q197="",-1,Q197)&lt;=3))*(1-(IF(Q197="",-1,Q197)=0)),IF(C197="peso_corporal",IF(ISNUMBER(E197),E197,0)+O197,O197)*(30+P197)*100+O197,0)=AA197,4,IF(IF((M197&gt;=6)*(1-(IF(N197="",-1,N197)&gt;=1)*(IF(N197="",-1,N197)&lt;=3))*(1-(IF(N197="",-1,N197)=0)),IF(C197="peso_corporal",IF(ISNUMBER(E197),E197,0)+L197,L197)*(30+M197)*100+L197,0)=AA197,3,IF(IF((J197&gt;=6)*(1-(IF(K197="",-1,K197)&gt;=1)*(IF(K197="",-1,K197)&lt;=3))*(1-(IF(K197="",-1,K197)=0)),IF(C197="peso_corporal",IF(ISNUMBER(E197),E197,0)+I197,I197)*(30+J197)*100+I197,0)=AA197,2,IF(IF((G197&gt;=6)*(1-(IF(H197="",-1,H197)&gt;=1)*(IF(H197="",-1,H197)&lt;=3))*(1-(IF(H197="",-1,H197)=0)),IF(C197="peso_corporal",IF(ISNUMBER(E197),E197,0)+F197,F197)*(30+G197)*100+F197,0)=AA197,1,0))))))</f>
        <v>0</v>
      </c>
      <c r="AC197" s="69" t="str">
        <f>IF(X197&gt;0,"A"&amp;X197,IF(Z197&gt;0,"B"&amp;Z197,IF(AB197&gt;0,"C"&amp;AB197,"")))</f>
        <v/>
      </c>
    </row>
    <row r="198" spans="1:29" ht="11.1" customHeight="1">
      <c r="A198" s="87" t="s">
        <v>165</v>
      </c>
      <c r="B198" s="73"/>
      <c r="C198" s="73"/>
      <c r="D198" s="73"/>
      <c r="E198" s="73"/>
      <c r="F198" s="73"/>
      <c r="G198" s="73"/>
      <c r="H198" s="73"/>
      <c r="I198" s="73"/>
      <c r="J198" s="73"/>
      <c r="K198" s="73"/>
      <c r="L198" s="73"/>
      <c r="M198" s="73"/>
      <c r="N198" s="73"/>
      <c r="O198" s="73"/>
      <c r="P198" s="73"/>
      <c r="Q198" s="73"/>
      <c r="R198" s="73"/>
      <c r="S198" s="73"/>
      <c r="T198" s="73"/>
      <c r="U198" s="73"/>
      <c r="V198" s="73"/>
      <c r="W198" s="69"/>
      <c r="X198" s="69"/>
      <c r="Y198" s="69"/>
      <c r="Z198" s="69"/>
      <c r="AA198" s="69"/>
      <c r="AB198" s="69"/>
      <c r="AC198" s="69"/>
    </row>
    <row r="199" spans="1:29" ht="20.100000000000001" customHeight="1">
      <c r="A199" s="14" t="s">
        <v>62</v>
      </c>
      <c r="B199" s="15" t="s">
        <v>63</v>
      </c>
      <c r="C199" s="16" t="str">
        <f>IFERROR(INDEX(EJERCICIOS!$D$3:$D$75,MATCH(A199&amp;"|"&amp;B199,EJERCICIOS!$G$3:$G$75,0)),"--")</f>
        <v>--</v>
      </c>
      <c r="D199" s="17">
        <v>3</v>
      </c>
      <c r="E199" s="18">
        <f>IFERROR(LOOKUP(2,1/(MEDIDAS_Y_PESO!$B$3:$B$10&lt;&gt;""),MEDIDAS_Y_PESO!$B$3:$B$10),"--")</f>
        <v>80</v>
      </c>
      <c r="F199" s="19"/>
      <c r="G199" s="20"/>
      <c r="H199" s="21"/>
      <c r="I199" s="19"/>
      <c r="J199" s="20"/>
      <c r="K199" s="21"/>
      <c r="L199" s="19"/>
      <c r="M199" s="20"/>
      <c r="N199" s="21"/>
      <c r="O199" s="19"/>
      <c r="P199" s="20"/>
      <c r="Q199" s="21"/>
      <c r="R199" s="19"/>
      <c r="S199" s="20"/>
      <c r="T199" s="21"/>
      <c r="U199" s="22" t="str">
        <f>IFERROR(IF(IF(X199&gt;0,X199,IF(Z199&gt;0,Z199,IF(AB199&gt;0,AB199,0)))=0,"--",ROUND(CHOOSE(IF(X199&gt;0,X199,IF(Z199&gt;0,Z199,IF(AB199&gt;0,AB199,0))),IF(C199="peso_corporal",IF(ISNUMBER(E199),E199,0)+F199,F199)*(1+G199/30),IF(C199="peso_corporal",IF(ISNUMBER(E199),E199,0)+I199,I199)*(1+J199/30),IF(C199="peso_corporal",IF(ISNUMBER(E199),E199,0)+L199,L199)*(1+M199/30),IF(C199="peso_corporal",IF(ISNUMBER(E199),E199,0)+O199,O199)*(1+P199/30),IF(C199="peso_corporal",IF(ISNUMBER(E199),E199,0)+R199,R199)*(1+S199/30)),1)),"--")</f>
        <v>--</v>
      </c>
      <c r="V199" s="23" t="str">
        <f>IF(SUGERENCIAS!N489="SIN","Sin datos anteriores",IF(SUGERENCIAS!N489="SUBIR_F","^ SUBIR FUERTE | Kg:"&amp;ROUND(SUGERENCIAS!K489,1)&amp;" R:"&amp;ROUND(SUGERENCIAS!L489,0)&amp;" RIR:"&amp;ROUND(SUGERENCIAS!M489,0),IF(SUGERENCIAS!N489="SUBIR_E","^ SUBIR (Est.) | Kg:"&amp;ROUND(SUGERENCIAS!K489,1)&amp;" R:"&amp;ROUND(SUGERENCIAS!L489,0)&amp;" RIR:"&amp;ROUND(SUGERENCIAS!M489,0),IF(SUGERENCIAS!N489="SUBIR","^ SUBIR | Kg:"&amp;ROUND(SUGERENCIAS!K489,1)&amp;" R:"&amp;ROUND(SUGERENCIAS!L489,0)&amp;" RIR:"&amp;ROUND(SUGERENCIAS!M489,0),IF(SUGERENCIAS!N489="BAJAR","v BAJAR | Kg:"&amp;ROUND(SUGERENCIAS!K489,1)&amp;" R:"&amp;ROUND(SUGERENCIAS!L489,0)&amp;" RIR:"&amp;ROUND(SUGERENCIAS!M489,0),"= MANT | Kg:"&amp;ROUND(SUGERENCIAS!K489,1)&amp;" R:"&amp;ROUND(SUGERENCIAS!L489,0)&amp;" RIR:"&amp;ROUND(SUGERENCIAS!M489,0))))))</f>
        <v>Sin datos anteriores</v>
      </c>
      <c r="W199" s="69">
        <f>MAX(IF((G199&gt;0)*(IF(H199="",-1,H199)&gt;=1)*(IF(H199="",-1,H199)&lt;=3),IF(C199="peso_corporal",IF(ISNUMBER(E199),E199,0)+F199,F199)*G199*1000+F199,0),IF((J199&gt;0)*(IF(K199="",-1,K199)&gt;=1)*(IF(K199="",-1,K199)&lt;=3),IF(C199="peso_corporal",IF(ISNUMBER(E199),E199,0)+I199,I199)*J199*1000+I199,0),IF((M199&gt;0)*(IF(N199="",-1,N199)&gt;=1)*(IF(N199="",-1,N199)&lt;=3),IF(C199="peso_corporal",IF(ISNUMBER(E199),E199,0)+L199,L199)*M199*1000+L199,0),IF((P199&gt;0)*(IF(Q199="",-1,Q199)&gt;=1)*(IF(Q199="",-1,Q199)&lt;=3),IF(C199="peso_corporal",IF(ISNUMBER(E199),E199,0)+O199,O199)*P199*1000+O199,0),IF((S199&gt;0)*(IF(T199="",-1,T199)&gt;=1)*(IF(T199="",-1,T199)&lt;=3),IF(C199="peso_corporal",IF(ISNUMBER(E199),E199,0)+R199,R199)*S199*1000+R199,0))</f>
        <v>0</v>
      </c>
      <c r="X199" s="69">
        <f>IF(W199=0,0,IF(IF((S199&gt;0)*(IF(T199="",-1,T199)&gt;=1)*(IF(T199="",-1,T199)&lt;=3),IF(C199="peso_corporal",IF(ISNUMBER(E199),E199,0)+R199,R199)*S199*1000+R199,0)=W199,5,IF(IF((P199&gt;0)*(IF(Q199="",-1,Q199)&gt;=1)*(IF(Q199="",-1,Q199)&lt;=3),IF(C199="peso_corporal",IF(ISNUMBER(E199),E199,0)+O199,O199)*P199*1000+O199,0)=W199,4,IF(IF((M199&gt;0)*(IF(N199="",-1,N199)&gt;=1)*(IF(N199="",-1,N199)&lt;=3),IF(C199="peso_corporal",IF(ISNUMBER(E199),E199,0)+L199,L199)*M199*1000+L199,0)=W199,3,IF(IF((J199&gt;0)*(IF(K199="",-1,K199)&gt;=1)*(IF(K199="",-1,K199)&lt;=3),IF(C199="peso_corporal",IF(ISNUMBER(E199),E199,0)+I199,I199)*J199*1000+I199,0)=W199,2,IF(IF((G199&gt;0)*(IF(H199="",-1,H199)&gt;=1)*(IF(H199="",-1,H199)&lt;=3),IF(C199="peso_corporal",IF(ISNUMBER(E199),E199,0)+F199,F199)*G199*1000+F199,0)=W199,1,0))))))</f>
        <v>0</v>
      </c>
      <c r="Y199" s="69">
        <f>MAX(IF((G199&gt;0)*(IF(H199="",-1,H199)=0)*(1-(IF(H199="",-1,H199)&gt;=1)*(IF(H199="",-1,H199)&lt;=3)),IF(C199="peso_corporal",IF(ISNUMBER(E199),E199,0)+F199,F199)*G199*1000+F199,0),IF((J199&gt;0)*(IF(K199="",-1,K199)=0)*(1-(IF(K199="",-1,K199)&gt;=1)*(IF(K199="",-1,K199)&lt;=3)),IF(C199="peso_corporal",IF(ISNUMBER(E199),E199,0)+I199,I199)*J199*1000+I199,0),IF((M199&gt;0)*(IF(N199="",-1,N199)=0)*(1-(IF(N199="",-1,N199)&gt;=1)*(IF(N199="",-1,N199)&lt;=3)),IF(C199="peso_corporal",IF(ISNUMBER(E199),E199,0)+L199,L199)*M199*1000+L199,0),IF((P199&gt;0)*(IF(Q199="",-1,Q199)=0)*(1-(IF(Q199="",-1,Q199)&gt;=1)*(IF(Q199="",-1,Q199)&lt;=3)),IF(C199="peso_corporal",IF(ISNUMBER(E199),E199,0)+O199,O199)*P199*1000+O199,0),IF((S199&gt;0)*(IF(T199="",-1,T199)=0)*(1-(IF(T199="",-1,T199)&gt;=1)*(IF(T199="",-1,T199)&lt;=3)),IF(C199="peso_corporal",IF(ISNUMBER(E199),E199,0)+R199,R199)*S199*1000+R199,0))</f>
        <v>0</v>
      </c>
      <c r="Z199" s="69">
        <f>IF(Y199=0,0,IF(IF((S199&gt;0)*(IF(T199="",-1,T199)=0)*(1-(IF(T199="",-1,T199)&gt;=1)*(IF(T199="",-1,T199)&lt;=3)),IF(C199="peso_corporal",IF(ISNUMBER(E199),E199,0)+R199,R199)*S199*1000+R199,0)=Y199,5,IF(IF((P199&gt;0)*(IF(Q199="",-1,Q199)=0)*(1-(IF(Q199="",-1,Q199)&gt;=1)*(IF(Q199="",-1,Q199)&lt;=3)),IF(C199="peso_corporal",IF(ISNUMBER(E199),E199,0)+O199,O199)*P199*1000+O199,0)=Y199,4,IF(IF((M199&gt;0)*(IF(N199="",-1,N199)=0)*(1-(IF(N199="",-1,N199)&gt;=1)*(IF(N199="",-1,N199)&lt;=3)),IF(C199="peso_corporal",IF(ISNUMBER(E199),E199,0)+L199,L199)*M199*1000+L199,0)=Y199,3,IF(IF((J199&gt;0)*(IF(K199="",-1,K199)=0)*(1-(IF(K199="",-1,K199)&gt;=1)*(IF(K199="",-1,K199)&lt;=3)),IF(C199="peso_corporal",IF(ISNUMBER(E199),E199,0)+I199,I199)*J199*1000+I199,0)=Y199,2,IF(IF((G199&gt;0)*(IF(H199="",-1,H199)=0)*(1-(IF(H199="",-1,H199)&gt;=1)*(IF(H199="",-1,H199)&lt;=3)),IF(C199="peso_corporal",IF(ISNUMBER(E199),E199,0)+F199,F199)*G199*1000+F199,0)=Y199,1,0))))))</f>
        <v>0</v>
      </c>
      <c r="AA199" s="69">
        <f>MAX(IF((G199&gt;=6)*(1-(IF(H199="",-1,H199)&gt;=1)*(IF(H199="",-1,H199)&lt;=3))*(1-(IF(H199="",-1,H199)=0)),IF(C199="peso_corporal",IF(ISNUMBER(E199),E199,0)+F199,F199)*(30+G199)*100+F199,0),IF((J199&gt;=6)*(1-(IF(K199="",-1,K199)&gt;=1)*(IF(K199="",-1,K199)&lt;=3))*(1-(IF(K199="",-1,K199)=0)),IF(C199="peso_corporal",IF(ISNUMBER(E199),E199,0)+I199,I199)*(30+J199)*100+I199,0),IF((M199&gt;=6)*(1-(IF(N199="",-1,N199)&gt;=1)*(IF(N199="",-1,N199)&lt;=3))*(1-(IF(N199="",-1,N199)=0)),IF(C199="peso_corporal",IF(ISNUMBER(E199),E199,0)+L199,L199)*(30+M199)*100+L199,0),IF((P199&gt;=6)*(1-(IF(Q199="",-1,Q199)&gt;=1)*(IF(Q199="",-1,Q199)&lt;=3))*(1-(IF(Q199="",-1,Q199)=0)),IF(C199="peso_corporal",IF(ISNUMBER(E199),E199,0)+O199,O199)*(30+P199)*100+O199,0),IF((S199&gt;=6)*(1-(IF(T199="",-1,T199)&gt;=1)*(IF(T199="",-1,T199)&lt;=3))*(1-(IF(T199="",-1,T199)=0)),IF(C199="peso_corporal",IF(ISNUMBER(E199),E199,0)+R199,R199)*(30+S199)*100+R199,0))</f>
        <v>0</v>
      </c>
      <c r="AB199" s="69">
        <f>IF(AA199=0,0,IF(IF((S199&gt;=6)*(1-(IF(T199="",-1,T199)&gt;=1)*(IF(T199="",-1,T199)&lt;=3))*(1-(IF(T199="",-1,T199)=0)),IF(C199="peso_corporal",IF(ISNUMBER(E199),E199,0)+R199,R199)*(30+S199)*100+R199,0)=AA199,5,IF(IF((P199&gt;=6)*(1-(IF(Q199="",-1,Q199)&gt;=1)*(IF(Q199="",-1,Q199)&lt;=3))*(1-(IF(Q199="",-1,Q199)=0)),IF(C199="peso_corporal",IF(ISNUMBER(E199),E199,0)+O199,O199)*(30+P199)*100+O199,0)=AA199,4,IF(IF((M199&gt;=6)*(1-(IF(N199="",-1,N199)&gt;=1)*(IF(N199="",-1,N199)&lt;=3))*(1-(IF(N199="",-1,N199)=0)),IF(C199="peso_corporal",IF(ISNUMBER(E199),E199,0)+L199,L199)*(30+M199)*100+L199,0)=AA199,3,IF(IF((J199&gt;=6)*(1-(IF(K199="",-1,K199)&gt;=1)*(IF(K199="",-1,K199)&lt;=3))*(1-(IF(K199="",-1,K199)=0)),IF(C199="peso_corporal",IF(ISNUMBER(E199),E199,0)+I199,I199)*(30+J199)*100+I199,0)=AA199,2,IF(IF((G199&gt;=6)*(1-(IF(H199="",-1,H199)&gt;=1)*(IF(H199="",-1,H199)&lt;=3))*(1-(IF(H199="",-1,H199)=0)),IF(C199="peso_corporal",IF(ISNUMBER(E199),E199,0)+F199,F199)*(30+G199)*100+F199,0)=AA199,1,0))))))</f>
        <v>0</v>
      </c>
      <c r="AC199" s="69" t="str">
        <f>IF(X199&gt;0,"A"&amp;X199,IF(Z199&gt;0,"B"&amp;Z199,IF(AB199&gt;0,"C"&amp;AB199,"")))</f>
        <v/>
      </c>
    </row>
    <row r="200" spans="1:29" ht="15" customHeight="1">
      <c r="A200" s="82" t="s">
        <v>47</v>
      </c>
      <c r="B200" s="73"/>
      <c r="C200" s="73"/>
      <c r="D200" s="73"/>
      <c r="E200" s="73"/>
      <c r="F200" s="73"/>
      <c r="G200" s="73"/>
      <c r="H200" s="73"/>
      <c r="I200" s="73"/>
      <c r="J200" s="73"/>
      <c r="K200" s="73"/>
      <c r="L200" s="73"/>
      <c r="M200" s="73"/>
      <c r="N200" s="73"/>
      <c r="O200" s="73"/>
      <c r="P200" s="73"/>
      <c r="Q200" s="73"/>
      <c r="R200" s="73"/>
      <c r="S200" s="73"/>
      <c r="T200" s="73"/>
      <c r="U200" s="73"/>
      <c r="V200" s="73"/>
      <c r="W200" s="69"/>
      <c r="X200" s="69"/>
      <c r="Y200" s="69"/>
      <c r="Z200" s="69"/>
      <c r="AA200" s="69"/>
      <c r="AB200" s="69"/>
      <c r="AC200" s="69"/>
    </row>
    <row r="201" spans="1:29" ht="20.100000000000001" customHeight="1">
      <c r="A201" s="14" t="s">
        <v>40</v>
      </c>
      <c r="B201" s="15" t="s">
        <v>41</v>
      </c>
      <c r="C201" s="16" t="str">
        <f>IFERROR(INDEX(EJERCICIOS!$D$3:$D$75,MATCH(A201&amp;"|"&amp;B201,EJERCICIOS!$G$3:$G$75,0)),"--")</f>
        <v>polea</v>
      </c>
      <c r="D201" s="17">
        <v>3</v>
      </c>
      <c r="E201" s="18">
        <f>IFERROR(LOOKUP(2,1/(MEDIDAS_Y_PESO!$B$3:$B$10&lt;&gt;""),MEDIDAS_Y_PESO!$B$3:$B$10),"--")</f>
        <v>80</v>
      </c>
      <c r="F201" s="19"/>
      <c r="G201" s="20"/>
      <c r="H201" s="21"/>
      <c r="I201" s="19"/>
      <c r="J201" s="20"/>
      <c r="K201" s="21"/>
      <c r="L201" s="19"/>
      <c r="M201" s="20"/>
      <c r="N201" s="21"/>
      <c r="O201" s="19"/>
      <c r="P201" s="20"/>
      <c r="Q201" s="21"/>
      <c r="R201" s="19"/>
      <c r="S201" s="20"/>
      <c r="T201" s="21"/>
      <c r="U201" s="22" t="str">
        <f>IFERROR(IF(IF(X201&gt;0,X201,IF(Z201&gt;0,Z201,IF(AB201&gt;0,AB201,0)))=0,"--",ROUND(CHOOSE(IF(X201&gt;0,X201,IF(Z201&gt;0,Z201,IF(AB201&gt;0,AB201,0))),IF(C201="peso_corporal",IF(ISNUMBER(E201),E201,0)+F201,F201)*(1+G201/30),IF(C201="peso_corporal",IF(ISNUMBER(E201),E201,0)+I201,I201)*(1+J201/30),IF(C201="peso_corporal",IF(ISNUMBER(E201),E201,0)+L201,L201)*(1+M201/30),IF(C201="peso_corporal",IF(ISNUMBER(E201),E201,0)+O201,O201)*(1+P201/30),IF(C201="peso_corporal",IF(ISNUMBER(E201),E201,0)+R201,R201)*(1+S201/30)),1)),"--")</f>
        <v>--</v>
      </c>
      <c r="V201" s="23" t="str">
        <f>IF(SUGERENCIAS!N490="SIN","Sin datos anteriores",IF(SUGERENCIAS!N490="SUBIR_F","^ SUBIR FUERTE | Kg:"&amp;ROUND(SUGERENCIAS!K490,1)&amp;" R:"&amp;ROUND(SUGERENCIAS!L490,0)&amp;" RIR:"&amp;ROUND(SUGERENCIAS!M490,0),IF(SUGERENCIAS!N490="SUBIR_E","^ SUBIR (Est.) | Kg:"&amp;ROUND(SUGERENCIAS!K490,1)&amp;" R:"&amp;ROUND(SUGERENCIAS!L490,0)&amp;" RIR:"&amp;ROUND(SUGERENCIAS!M490,0),IF(SUGERENCIAS!N490="SUBIR","^ SUBIR | Kg:"&amp;ROUND(SUGERENCIAS!K490,1)&amp;" R:"&amp;ROUND(SUGERENCIAS!L490,0)&amp;" RIR:"&amp;ROUND(SUGERENCIAS!M490,0),IF(SUGERENCIAS!N490="BAJAR","v BAJAR | Kg:"&amp;ROUND(SUGERENCIAS!K490,1)&amp;" R:"&amp;ROUND(SUGERENCIAS!L490,0)&amp;" RIR:"&amp;ROUND(SUGERENCIAS!M490,0),"= MANT | Kg:"&amp;ROUND(SUGERENCIAS!K490,1)&amp;" R:"&amp;ROUND(SUGERENCIAS!L490,0)&amp;" RIR:"&amp;ROUND(SUGERENCIAS!M490,0))))))</f>
        <v>Sin datos anteriores</v>
      </c>
      <c r="W201" s="69">
        <f>MAX(IF((G201&gt;0)*(IF(H201="",-1,H201)&gt;=1)*(IF(H201="",-1,H201)&lt;=3),IF(C201="peso_corporal",IF(ISNUMBER(E201),E201,0)+F201,F201)*G201*1000+F201,0),IF((J201&gt;0)*(IF(K201="",-1,K201)&gt;=1)*(IF(K201="",-1,K201)&lt;=3),IF(C201="peso_corporal",IF(ISNUMBER(E201),E201,0)+I201,I201)*J201*1000+I201,0),IF((M201&gt;0)*(IF(N201="",-1,N201)&gt;=1)*(IF(N201="",-1,N201)&lt;=3),IF(C201="peso_corporal",IF(ISNUMBER(E201),E201,0)+L201,L201)*M201*1000+L201,0),IF((P201&gt;0)*(IF(Q201="",-1,Q201)&gt;=1)*(IF(Q201="",-1,Q201)&lt;=3),IF(C201="peso_corporal",IF(ISNUMBER(E201),E201,0)+O201,O201)*P201*1000+O201,0),IF((S201&gt;0)*(IF(T201="",-1,T201)&gt;=1)*(IF(T201="",-1,T201)&lt;=3),IF(C201="peso_corporal",IF(ISNUMBER(E201),E201,0)+R201,R201)*S201*1000+R201,0))</f>
        <v>0</v>
      </c>
      <c r="X201" s="69">
        <f>IF(W201=0,0,IF(IF((S201&gt;0)*(IF(T201="",-1,T201)&gt;=1)*(IF(T201="",-1,T201)&lt;=3),IF(C201="peso_corporal",IF(ISNUMBER(E201),E201,0)+R201,R201)*S201*1000+R201,0)=W201,5,IF(IF((P201&gt;0)*(IF(Q201="",-1,Q201)&gt;=1)*(IF(Q201="",-1,Q201)&lt;=3),IF(C201="peso_corporal",IF(ISNUMBER(E201),E201,0)+O201,O201)*P201*1000+O201,0)=W201,4,IF(IF((M201&gt;0)*(IF(N201="",-1,N201)&gt;=1)*(IF(N201="",-1,N201)&lt;=3),IF(C201="peso_corporal",IF(ISNUMBER(E201),E201,0)+L201,L201)*M201*1000+L201,0)=W201,3,IF(IF((J201&gt;0)*(IF(K201="",-1,K201)&gt;=1)*(IF(K201="",-1,K201)&lt;=3),IF(C201="peso_corporal",IF(ISNUMBER(E201),E201,0)+I201,I201)*J201*1000+I201,0)=W201,2,IF(IF((G201&gt;0)*(IF(H201="",-1,H201)&gt;=1)*(IF(H201="",-1,H201)&lt;=3),IF(C201="peso_corporal",IF(ISNUMBER(E201),E201,0)+F201,F201)*G201*1000+F201,0)=W201,1,0))))))</f>
        <v>0</v>
      </c>
      <c r="Y201" s="69">
        <f>MAX(IF((G201&gt;0)*(IF(H201="",-1,H201)=0)*(1-(IF(H201="",-1,H201)&gt;=1)*(IF(H201="",-1,H201)&lt;=3)),IF(C201="peso_corporal",IF(ISNUMBER(E201),E201,0)+F201,F201)*G201*1000+F201,0),IF((J201&gt;0)*(IF(K201="",-1,K201)=0)*(1-(IF(K201="",-1,K201)&gt;=1)*(IF(K201="",-1,K201)&lt;=3)),IF(C201="peso_corporal",IF(ISNUMBER(E201),E201,0)+I201,I201)*J201*1000+I201,0),IF((M201&gt;0)*(IF(N201="",-1,N201)=0)*(1-(IF(N201="",-1,N201)&gt;=1)*(IF(N201="",-1,N201)&lt;=3)),IF(C201="peso_corporal",IF(ISNUMBER(E201),E201,0)+L201,L201)*M201*1000+L201,0),IF((P201&gt;0)*(IF(Q201="",-1,Q201)=0)*(1-(IF(Q201="",-1,Q201)&gt;=1)*(IF(Q201="",-1,Q201)&lt;=3)),IF(C201="peso_corporal",IF(ISNUMBER(E201),E201,0)+O201,O201)*P201*1000+O201,0),IF((S201&gt;0)*(IF(T201="",-1,T201)=0)*(1-(IF(T201="",-1,T201)&gt;=1)*(IF(T201="",-1,T201)&lt;=3)),IF(C201="peso_corporal",IF(ISNUMBER(E201),E201,0)+R201,R201)*S201*1000+R201,0))</f>
        <v>0</v>
      </c>
      <c r="Z201" s="69">
        <f>IF(Y201=0,0,IF(IF((S201&gt;0)*(IF(T201="",-1,T201)=0)*(1-(IF(T201="",-1,T201)&gt;=1)*(IF(T201="",-1,T201)&lt;=3)),IF(C201="peso_corporal",IF(ISNUMBER(E201),E201,0)+R201,R201)*S201*1000+R201,0)=Y201,5,IF(IF((P201&gt;0)*(IF(Q201="",-1,Q201)=0)*(1-(IF(Q201="",-1,Q201)&gt;=1)*(IF(Q201="",-1,Q201)&lt;=3)),IF(C201="peso_corporal",IF(ISNUMBER(E201),E201,0)+O201,O201)*P201*1000+O201,0)=Y201,4,IF(IF((M201&gt;0)*(IF(N201="",-1,N201)=0)*(1-(IF(N201="",-1,N201)&gt;=1)*(IF(N201="",-1,N201)&lt;=3)),IF(C201="peso_corporal",IF(ISNUMBER(E201),E201,0)+L201,L201)*M201*1000+L201,0)=Y201,3,IF(IF((J201&gt;0)*(IF(K201="",-1,K201)=0)*(1-(IF(K201="",-1,K201)&gt;=1)*(IF(K201="",-1,K201)&lt;=3)),IF(C201="peso_corporal",IF(ISNUMBER(E201),E201,0)+I201,I201)*J201*1000+I201,0)=Y201,2,IF(IF((G201&gt;0)*(IF(H201="",-1,H201)=0)*(1-(IF(H201="",-1,H201)&gt;=1)*(IF(H201="",-1,H201)&lt;=3)),IF(C201="peso_corporal",IF(ISNUMBER(E201),E201,0)+F201,F201)*G201*1000+F201,0)=Y201,1,0))))))</f>
        <v>0</v>
      </c>
      <c r="AA201" s="69">
        <f>MAX(IF((G201&gt;=6)*(1-(IF(H201="",-1,H201)&gt;=1)*(IF(H201="",-1,H201)&lt;=3))*(1-(IF(H201="",-1,H201)=0)),IF(C201="peso_corporal",IF(ISNUMBER(E201),E201,0)+F201,F201)*(30+G201)*100+F201,0),IF((J201&gt;=6)*(1-(IF(K201="",-1,K201)&gt;=1)*(IF(K201="",-1,K201)&lt;=3))*(1-(IF(K201="",-1,K201)=0)),IF(C201="peso_corporal",IF(ISNUMBER(E201),E201,0)+I201,I201)*(30+J201)*100+I201,0),IF((M201&gt;=6)*(1-(IF(N201="",-1,N201)&gt;=1)*(IF(N201="",-1,N201)&lt;=3))*(1-(IF(N201="",-1,N201)=0)),IF(C201="peso_corporal",IF(ISNUMBER(E201),E201,0)+L201,L201)*(30+M201)*100+L201,0),IF((P201&gt;=6)*(1-(IF(Q201="",-1,Q201)&gt;=1)*(IF(Q201="",-1,Q201)&lt;=3))*(1-(IF(Q201="",-1,Q201)=0)),IF(C201="peso_corporal",IF(ISNUMBER(E201),E201,0)+O201,O201)*(30+P201)*100+O201,0),IF((S201&gt;=6)*(1-(IF(T201="",-1,T201)&gt;=1)*(IF(T201="",-1,T201)&lt;=3))*(1-(IF(T201="",-1,T201)=0)),IF(C201="peso_corporal",IF(ISNUMBER(E201),E201,0)+R201,R201)*(30+S201)*100+R201,0))</f>
        <v>0</v>
      </c>
      <c r="AB201" s="69">
        <f>IF(AA201=0,0,IF(IF((S201&gt;=6)*(1-(IF(T201="",-1,T201)&gt;=1)*(IF(T201="",-1,T201)&lt;=3))*(1-(IF(T201="",-1,T201)=0)),IF(C201="peso_corporal",IF(ISNUMBER(E201),E201,0)+R201,R201)*(30+S201)*100+R201,0)=AA201,5,IF(IF((P201&gt;=6)*(1-(IF(Q201="",-1,Q201)&gt;=1)*(IF(Q201="",-1,Q201)&lt;=3))*(1-(IF(Q201="",-1,Q201)=0)),IF(C201="peso_corporal",IF(ISNUMBER(E201),E201,0)+O201,O201)*(30+P201)*100+O201,0)=AA201,4,IF(IF((M201&gt;=6)*(1-(IF(N201="",-1,N201)&gt;=1)*(IF(N201="",-1,N201)&lt;=3))*(1-(IF(N201="",-1,N201)=0)),IF(C201="peso_corporal",IF(ISNUMBER(E201),E201,0)+L201,L201)*(30+M201)*100+L201,0)=AA201,3,IF(IF((J201&gt;=6)*(1-(IF(K201="",-1,K201)&gt;=1)*(IF(K201="",-1,K201)&lt;=3))*(1-(IF(K201="",-1,K201)=0)),IF(C201="peso_corporal",IF(ISNUMBER(E201),E201,0)+I201,I201)*(30+J201)*100+I201,0)=AA201,2,IF(IF((G201&gt;=6)*(1-(IF(H201="",-1,H201)&gt;=1)*(IF(H201="",-1,H201)&lt;=3))*(1-(IF(H201="",-1,H201)=0)),IF(C201="peso_corporal",IF(ISNUMBER(E201),E201,0)+F201,F201)*(30+G201)*100+F201,0)=AA201,1,0))))))</f>
        <v>0</v>
      </c>
      <c r="AC201" s="69" t="str">
        <f>IF(X201&gt;0,"A"&amp;X201,IF(Z201&gt;0,"B"&amp;Z201,IF(AB201&gt;0,"C"&amp;AB201,"")))</f>
        <v/>
      </c>
    </row>
    <row r="202" spans="1:29" ht="20.100000000000001" customHeight="1">
      <c r="A202" s="14" t="s">
        <v>48</v>
      </c>
      <c r="B202" s="15" t="s">
        <v>166</v>
      </c>
      <c r="C202" s="16" t="str">
        <f>IFERROR(INDEX(EJERCICIOS!$D$3:$D$75,MATCH(A202&amp;"|"&amp;B202,EJERCICIOS!$G$3:$G$75,0)),"--")</f>
        <v>--</v>
      </c>
      <c r="D202" s="17">
        <v>3</v>
      </c>
      <c r="E202" s="18">
        <f>IFERROR(LOOKUP(2,1/(MEDIDAS_Y_PESO!$B$3:$B$10&lt;&gt;""),MEDIDAS_Y_PESO!$B$3:$B$10),"--")</f>
        <v>80</v>
      </c>
      <c r="F202" s="19"/>
      <c r="G202" s="20"/>
      <c r="H202" s="21"/>
      <c r="I202" s="19"/>
      <c r="J202" s="20"/>
      <c r="K202" s="21"/>
      <c r="L202" s="19"/>
      <c r="M202" s="20"/>
      <c r="N202" s="21"/>
      <c r="O202" s="19"/>
      <c r="P202" s="20"/>
      <c r="Q202" s="21"/>
      <c r="R202" s="19"/>
      <c r="S202" s="20"/>
      <c r="T202" s="21"/>
      <c r="U202" s="22" t="str">
        <f>IFERROR(IF(IF(X202&gt;0,X202,IF(Z202&gt;0,Z202,IF(AB202&gt;0,AB202,0)))=0,"--",ROUND(CHOOSE(IF(X202&gt;0,X202,IF(Z202&gt;0,Z202,IF(AB202&gt;0,AB202,0))),IF(C202="peso_corporal",IF(ISNUMBER(E202),E202,0)+F202,F202)*(1+G202/30),IF(C202="peso_corporal",IF(ISNUMBER(E202),E202,0)+I202,I202)*(1+J202/30),IF(C202="peso_corporal",IF(ISNUMBER(E202),E202,0)+L202,L202)*(1+M202/30),IF(C202="peso_corporal",IF(ISNUMBER(E202),E202,0)+O202,O202)*(1+P202/30),IF(C202="peso_corporal",IF(ISNUMBER(E202),E202,0)+R202,R202)*(1+S202/30)),1)),"--")</f>
        <v>--</v>
      </c>
      <c r="V202" s="23" t="str">
        <f>IF(SUGERENCIAS!N491="SIN","Sin datos anteriores",IF(SUGERENCIAS!N491="SUBIR_F","^ SUBIR FUERTE | Kg:"&amp;ROUND(SUGERENCIAS!K491,1)&amp;" R:"&amp;ROUND(SUGERENCIAS!L491,0)&amp;" RIR:"&amp;ROUND(SUGERENCIAS!M491,0),IF(SUGERENCIAS!N491="SUBIR_E","^ SUBIR (Est.) | Kg:"&amp;ROUND(SUGERENCIAS!K491,1)&amp;" R:"&amp;ROUND(SUGERENCIAS!L491,0)&amp;" RIR:"&amp;ROUND(SUGERENCIAS!M491,0),IF(SUGERENCIAS!N491="SUBIR","^ SUBIR | Kg:"&amp;ROUND(SUGERENCIAS!K491,1)&amp;" R:"&amp;ROUND(SUGERENCIAS!L491,0)&amp;" RIR:"&amp;ROUND(SUGERENCIAS!M491,0),IF(SUGERENCIAS!N491="BAJAR","v BAJAR | Kg:"&amp;ROUND(SUGERENCIAS!K491,1)&amp;" R:"&amp;ROUND(SUGERENCIAS!L491,0)&amp;" RIR:"&amp;ROUND(SUGERENCIAS!M491,0),"= MANT | Kg:"&amp;ROUND(SUGERENCIAS!K491,1)&amp;" R:"&amp;ROUND(SUGERENCIAS!L491,0)&amp;" RIR:"&amp;ROUND(SUGERENCIAS!M491,0))))))</f>
        <v>Sin datos anteriores</v>
      </c>
      <c r="W202" s="69">
        <f>MAX(IF((G202&gt;0)*(IF(H202="",-1,H202)&gt;=1)*(IF(H202="",-1,H202)&lt;=3),IF(C202="peso_corporal",IF(ISNUMBER(E202),E202,0)+F202,F202)*G202*1000+F202,0),IF((J202&gt;0)*(IF(K202="",-1,K202)&gt;=1)*(IF(K202="",-1,K202)&lt;=3),IF(C202="peso_corporal",IF(ISNUMBER(E202),E202,0)+I202,I202)*J202*1000+I202,0),IF((M202&gt;0)*(IF(N202="",-1,N202)&gt;=1)*(IF(N202="",-1,N202)&lt;=3),IF(C202="peso_corporal",IF(ISNUMBER(E202),E202,0)+L202,L202)*M202*1000+L202,0),IF((P202&gt;0)*(IF(Q202="",-1,Q202)&gt;=1)*(IF(Q202="",-1,Q202)&lt;=3),IF(C202="peso_corporal",IF(ISNUMBER(E202),E202,0)+O202,O202)*P202*1000+O202,0),IF((S202&gt;0)*(IF(T202="",-1,T202)&gt;=1)*(IF(T202="",-1,T202)&lt;=3),IF(C202="peso_corporal",IF(ISNUMBER(E202),E202,0)+R202,R202)*S202*1000+R202,0))</f>
        <v>0</v>
      </c>
      <c r="X202" s="69">
        <f>IF(W202=0,0,IF(IF((S202&gt;0)*(IF(T202="",-1,T202)&gt;=1)*(IF(T202="",-1,T202)&lt;=3),IF(C202="peso_corporal",IF(ISNUMBER(E202),E202,0)+R202,R202)*S202*1000+R202,0)=W202,5,IF(IF((P202&gt;0)*(IF(Q202="",-1,Q202)&gt;=1)*(IF(Q202="",-1,Q202)&lt;=3),IF(C202="peso_corporal",IF(ISNUMBER(E202),E202,0)+O202,O202)*P202*1000+O202,0)=W202,4,IF(IF((M202&gt;0)*(IF(N202="",-1,N202)&gt;=1)*(IF(N202="",-1,N202)&lt;=3),IF(C202="peso_corporal",IF(ISNUMBER(E202),E202,0)+L202,L202)*M202*1000+L202,0)=W202,3,IF(IF((J202&gt;0)*(IF(K202="",-1,K202)&gt;=1)*(IF(K202="",-1,K202)&lt;=3),IF(C202="peso_corporal",IF(ISNUMBER(E202),E202,0)+I202,I202)*J202*1000+I202,0)=W202,2,IF(IF((G202&gt;0)*(IF(H202="",-1,H202)&gt;=1)*(IF(H202="",-1,H202)&lt;=3),IF(C202="peso_corporal",IF(ISNUMBER(E202),E202,0)+F202,F202)*G202*1000+F202,0)=W202,1,0))))))</f>
        <v>0</v>
      </c>
      <c r="Y202" s="69">
        <f>MAX(IF((G202&gt;0)*(IF(H202="",-1,H202)=0)*(1-(IF(H202="",-1,H202)&gt;=1)*(IF(H202="",-1,H202)&lt;=3)),IF(C202="peso_corporal",IF(ISNUMBER(E202),E202,0)+F202,F202)*G202*1000+F202,0),IF((J202&gt;0)*(IF(K202="",-1,K202)=0)*(1-(IF(K202="",-1,K202)&gt;=1)*(IF(K202="",-1,K202)&lt;=3)),IF(C202="peso_corporal",IF(ISNUMBER(E202),E202,0)+I202,I202)*J202*1000+I202,0),IF((M202&gt;0)*(IF(N202="",-1,N202)=0)*(1-(IF(N202="",-1,N202)&gt;=1)*(IF(N202="",-1,N202)&lt;=3)),IF(C202="peso_corporal",IF(ISNUMBER(E202),E202,0)+L202,L202)*M202*1000+L202,0),IF((P202&gt;0)*(IF(Q202="",-1,Q202)=0)*(1-(IF(Q202="",-1,Q202)&gt;=1)*(IF(Q202="",-1,Q202)&lt;=3)),IF(C202="peso_corporal",IF(ISNUMBER(E202),E202,0)+O202,O202)*P202*1000+O202,0),IF((S202&gt;0)*(IF(T202="",-1,T202)=0)*(1-(IF(T202="",-1,T202)&gt;=1)*(IF(T202="",-1,T202)&lt;=3)),IF(C202="peso_corporal",IF(ISNUMBER(E202),E202,0)+R202,R202)*S202*1000+R202,0))</f>
        <v>0</v>
      </c>
      <c r="Z202" s="69">
        <f>IF(Y202=0,0,IF(IF((S202&gt;0)*(IF(T202="",-1,T202)=0)*(1-(IF(T202="",-1,T202)&gt;=1)*(IF(T202="",-1,T202)&lt;=3)),IF(C202="peso_corporal",IF(ISNUMBER(E202),E202,0)+R202,R202)*S202*1000+R202,0)=Y202,5,IF(IF((P202&gt;0)*(IF(Q202="",-1,Q202)=0)*(1-(IF(Q202="",-1,Q202)&gt;=1)*(IF(Q202="",-1,Q202)&lt;=3)),IF(C202="peso_corporal",IF(ISNUMBER(E202),E202,0)+O202,O202)*P202*1000+O202,0)=Y202,4,IF(IF((M202&gt;0)*(IF(N202="",-1,N202)=0)*(1-(IF(N202="",-1,N202)&gt;=1)*(IF(N202="",-1,N202)&lt;=3)),IF(C202="peso_corporal",IF(ISNUMBER(E202),E202,0)+L202,L202)*M202*1000+L202,0)=Y202,3,IF(IF((J202&gt;0)*(IF(K202="",-1,K202)=0)*(1-(IF(K202="",-1,K202)&gt;=1)*(IF(K202="",-1,K202)&lt;=3)),IF(C202="peso_corporal",IF(ISNUMBER(E202),E202,0)+I202,I202)*J202*1000+I202,0)=Y202,2,IF(IF((G202&gt;0)*(IF(H202="",-1,H202)=0)*(1-(IF(H202="",-1,H202)&gt;=1)*(IF(H202="",-1,H202)&lt;=3)),IF(C202="peso_corporal",IF(ISNUMBER(E202),E202,0)+F202,F202)*G202*1000+F202,0)=Y202,1,0))))))</f>
        <v>0</v>
      </c>
      <c r="AA202" s="69">
        <f>MAX(IF((G202&gt;=6)*(1-(IF(H202="",-1,H202)&gt;=1)*(IF(H202="",-1,H202)&lt;=3))*(1-(IF(H202="",-1,H202)=0)),IF(C202="peso_corporal",IF(ISNUMBER(E202),E202,0)+F202,F202)*(30+G202)*100+F202,0),IF((J202&gt;=6)*(1-(IF(K202="",-1,K202)&gt;=1)*(IF(K202="",-1,K202)&lt;=3))*(1-(IF(K202="",-1,K202)=0)),IF(C202="peso_corporal",IF(ISNUMBER(E202),E202,0)+I202,I202)*(30+J202)*100+I202,0),IF((M202&gt;=6)*(1-(IF(N202="",-1,N202)&gt;=1)*(IF(N202="",-1,N202)&lt;=3))*(1-(IF(N202="",-1,N202)=0)),IF(C202="peso_corporal",IF(ISNUMBER(E202),E202,0)+L202,L202)*(30+M202)*100+L202,0),IF((P202&gt;=6)*(1-(IF(Q202="",-1,Q202)&gt;=1)*(IF(Q202="",-1,Q202)&lt;=3))*(1-(IF(Q202="",-1,Q202)=0)),IF(C202="peso_corporal",IF(ISNUMBER(E202),E202,0)+O202,O202)*(30+P202)*100+O202,0),IF((S202&gt;=6)*(1-(IF(T202="",-1,T202)&gt;=1)*(IF(T202="",-1,T202)&lt;=3))*(1-(IF(T202="",-1,T202)=0)),IF(C202="peso_corporal",IF(ISNUMBER(E202),E202,0)+R202,R202)*(30+S202)*100+R202,0))</f>
        <v>0</v>
      </c>
      <c r="AB202" s="69">
        <f>IF(AA202=0,0,IF(IF((S202&gt;=6)*(1-(IF(T202="",-1,T202)&gt;=1)*(IF(T202="",-1,T202)&lt;=3))*(1-(IF(T202="",-1,T202)=0)),IF(C202="peso_corporal",IF(ISNUMBER(E202),E202,0)+R202,R202)*(30+S202)*100+R202,0)=AA202,5,IF(IF((P202&gt;=6)*(1-(IF(Q202="",-1,Q202)&gt;=1)*(IF(Q202="",-1,Q202)&lt;=3))*(1-(IF(Q202="",-1,Q202)=0)),IF(C202="peso_corporal",IF(ISNUMBER(E202),E202,0)+O202,O202)*(30+P202)*100+O202,0)=AA202,4,IF(IF((M202&gt;=6)*(1-(IF(N202="",-1,N202)&gt;=1)*(IF(N202="",-1,N202)&lt;=3))*(1-(IF(N202="",-1,N202)=0)),IF(C202="peso_corporal",IF(ISNUMBER(E202),E202,0)+L202,L202)*(30+M202)*100+L202,0)=AA202,3,IF(IF((J202&gt;=6)*(1-(IF(K202="",-1,K202)&gt;=1)*(IF(K202="",-1,K202)&lt;=3))*(1-(IF(K202="",-1,K202)=0)),IF(C202="peso_corporal",IF(ISNUMBER(E202),E202,0)+I202,I202)*(30+J202)*100+I202,0)=AA202,2,IF(IF((G202&gt;=6)*(1-(IF(H202="",-1,H202)&gt;=1)*(IF(H202="",-1,H202)&lt;=3))*(1-(IF(H202="",-1,H202)=0)),IF(C202="peso_corporal",IF(ISNUMBER(E202),E202,0)+F202,F202)*(30+G202)*100+F202,0)=AA202,1,0))))))</f>
        <v>0</v>
      </c>
      <c r="AC202" s="69" t="str">
        <f>IF(X202&gt;0,"A"&amp;X202,IF(Z202&gt;0,"B"&amp;Z202,IF(AB202&gt;0,"C"&amp;AB202,"")))</f>
        <v/>
      </c>
    </row>
    <row r="203" spans="1:29" ht="15" customHeight="1">
      <c r="A203" s="88" t="s">
        <v>50</v>
      </c>
      <c r="B203" s="73"/>
      <c r="C203" s="73"/>
      <c r="D203" s="73"/>
      <c r="E203" s="73"/>
      <c r="F203" s="73"/>
      <c r="G203" s="73"/>
      <c r="H203" s="73"/>
      <c r="I203" s="73"/>
      <c r="J203" s="73"/>
      <c r="K203" s="73"/>
      <c r="L203" s="73"/>
      <c r="M203" s="73"/>
      <c r="N203" s="73"/>
      <c r="O203" s="73"/>
      <c r="P203" s="73"/>
      <c r="Q203" s="73"/>
      <c r="R203" s="73"/>
      <c r="S203" s="73"/>
      <c r="T203" s="73"/>
      <c r="U203" s="73"/>
      <c r="V203" s="73"/>
      <c r="W203" s="69"/>
      <c r="X203" s="69"/>
      <c r="Y203" s="69"/>
      <c r="Z203" s="69"/>
      <c r="AA203" s="69"/>
      <c r="AB203" s="69"/>
      <c r="AC203" s="69"/>
    </row>
    <row r="204" spans="1:29" ht="20.100000000000001" customHeight="1">
      <c r="A204" s="14" t="s">
        <v>65</v>
      </c>
      <c r="B204" s="15" t="s">
        <v>137</v>
      </c>
      <c r="C204" s="16" t="str">
        <f>IFERROR(INDEX(EJERCICIOS!$D$3:$D$75,MATCH(A204&amp;"|"&amp;B204,EJERCICIOS!$G$3:$G$75,0)),"--")</f>
        <v>--</v>
      </c>
      <c r="D204" s="17">
        <v>3</v>
      </c>
      <c r="E204" s="18">
        <f>IFERROR(LOOKUP(2,1/(MEDIDAS_Y_PESO!$B$3:$B$10&lt;&gt;""),MEDIDAS_Y_PESO!$B$3:$B$10),"--")</f>
        <v>80</v>
      </c>
      <c r="F204" s="19"/>
      <c r="G204" s="20"/>
      <c r="H204" s="21"/>
      <c r="I204" s="19"/>
      <c r="J204" s="20"/>
      <c r="K204" s="21"/>
      <c r="L204" s="19"/>
      <c r="M204" s="20"/>
      <c r="N204" s="21"/>
      <c r="O204" s="19"/>
      <c r="P204" s="20"/>
      <c r="Q204" s="21"/>
      <c r="R204" s="19"/>
      <c r="S204" s="20"/>
      <c r="T204" s="21"/>
      <c r="U204" s="22" t="str">
        <f>IFERROR(IF(IF(X204&gt;0,X204,IF(Z204&gt;0,Z204,IF(AB204&gt;0,AB204,0)))=0,"--",ROUND(CHOOSE(IF(X204&gt;0,X204,IF(Z204&gt;0,Z204,IF(AB204&gt;0,AB204,0))),IF(C204="peso_corporal",IF(ISNUMBER(E204),E204,0)+F204,F204)*(1+G204/30),IF(C204="peso_corporal",IF(ISNUMBER(E204),E204,0)+I204,I204)*(1+J204/30),IF(C204="peso_corporal",IF(ISNUMBER(E204),E204,0)+L204,L204)*(1+M204/30),IF(C204="peso_corporal",IF(ISNUMBER(E204),E204,0)+O204,O204)*(1+P204/30),IF(C204="peso_corporal",IF(ISNUMBER(E204),E204,0)+R204,R204)*(1+S204/30)),1)),"--")</f>
        <v>--</v>
      </c>
      <c r="V204" s="23" t="str">
        <f>IF(SUGERENCIAS!N492="SIN","Sin datos anteriores",IF(SUGERENCIAS!N492="SUBIR_F","^ SUBIR FUERTE | Kg:"&amp;ROUND(SUGERENCIAS!K492,1)&amp;" R:"&amp;ROUND(SUGERENCIAS!L492,0)&amp;" RIR:"&amp;ROUND(SUGERENCIAS!M492,0),IF(SUGERENCIAS!N492="SUBIR_E","^ SUBIR (Est.) | Kg:"&amp;ROUND(SUGERENCIAS!K492,1)&amp;" R:"&amp;ROUND(SUGERENCIAS!L492,0)&amp;" RIR:"&amp;ROUND(SUGERENCIAS!M492,0),IF(SUGERENCIAS!N492="SUBIR","^ SUBIR | Kg:"&amp;ROUND(SUGERENCIAS!K492,1)&amp;" R:"&amp;ROUND(SUGERENCIAS!L492,0)&amp;" RIR:"&amp;ROUND(SUGERENCIAS!M492,0),IF(SUGERENCIAS!N492="BAJAR","v BAJAR | Kg:"&amp;ROUND(SUGERENCIAS!K492,1)&amp;" R:"&amp;ROUND(SUGERENCIAS!L492,0)&amp;" RIR:"&amp;ROUND(SUGERENCIAS!M492,0),"= MANT | Kg:"&amp;ROUND(SUGERENCIAS!K492,1)&amp;" R:"&amp;ROUND(SUGERENCIAS!L492,0)&amp;" RIR:"&amp;ROUND(SUGERENCIAS!M492,0))))))</f>
        <v>Sin datos anteriores</v>
      </c>
      <c r="W204" s="69">
        <f>MAX(IF((G204&gt;0)*(IF(H204="",-1,H204)&gt;=1)*(IF(H204="",-1,H204)&lt;=3),IF(C204="peso_corporal",IF(ISNUMBER(E204),E204,0)+F204,F204)*G204*1000+F204,0),IF((J204&gt;0)*(IF(K204="",-1,K204)&gt;=1)*(IF(K204="",-1,K204)&lt;=3),IF(C204="peso_corporal",IF(ISNUMBER(E204),E204,0)+I204,I204)*J204*1000+I204,0),IF((M204&gt;0)*(IF(N204="",-1,N204)&gt;=1)*(IF(N204="",-1,N204)&lt;=3),IF(C204="peso_corporal",IF(ISNUMBER(E204),E204,0)+L204,L204)*M204*1000+L204,0),IF((P204&gt;0)*(IF(Q204="",-1,Q204)&gt;=1)*(IF(Q204="",-1,Q204)&lt;=3),IF(C204="peso_corporal",IF(ISNUMBER(E204),E204,0)+O204,O204)*P204*1000+O204,0),IF((S204&gt;0)*(IF(T204="",-1,T204)&gt;=1)*(IF(T204="",-1,T204)&lt;=3),IF(C204="peso_corporal",IF(ISNUMBER(E204),E204,0)+R204,R204)*S204*1000+R204,0))</f>
        <v>0</v>
      </c>
      <c r="X204" s="69">
        <f>IF(W204=0,0,IF(IF((S204&gt;0)*(IF(T204="",-1,T204)&gt;=1)*(IF(T204="",-1,T204)&lt;=3),IF(C204="peso_corporal",IF(ISNUMBER(E204),E204,0)+R204,R204)*S204*1000+R204,0)=W204,5,IF(IF((P204&gt;0)*(IF(Q204="",-1,Q204)&gt;=1)*(IF(Q204="",-1,Q204)&lt;=3),IF(C204="peso_corporal",IF(ISNUMBER(E204),E204,0)+O204,O204)*P204*1000+O204,0)=W204,4,IF(IF((M204&gt;0)*(IF(N204="",-1,N204)&gt;=1)*(IF(N204="",-1,N204)&lt;=3),IF(C204="peso_corporal",IF(ISNUMBER(E204),E204,0)+L204,L204)*M204*1000+L204,0)=W204,3,IF(IF((J204&gt;0)*(IF(K204="",-1,K204)&gt;=1)*(IF(K204="",-1,K204)&lt;=3),IF(C204="peso_corporal",IF(ISNUMBER(E204),E204,0)+I204,I204)*J204*1000+I204,0)=W204,2,IF(IF((G204&gt;0)*(IF(H204="",-1,H204)&gt;=1)*(IF(H204="",-1,H204)&lt;=3),IF(C204="peso_corporal",IF(ISNUMBER(E204),E204,0)+F204,F204)*G204*1000+F204,0)=W204,1,0))))))</f>
        <v>0</v>
      </c>
      <c r="Y204" s="69">
        <f>MAX(IF((G204&gt;0)*(IF(H204="",-1,H204)=0)*(1-(IF(H204="",-1,H204)&gt;=1)*(IF(H204="",-1,H204)&lt;=3)),IF(C204="peso_corporal",IF(ISNUMBER(E204),E204,0)+F204,F204)*G204*1000+F204,0),IF((J204&gt;0)*(IF(K204="",-1,K204)=0)*(1-(IF(K204="",-1,K204)&gt;=1)*(IF(K204="",-1,K204)&lt;=3)),IF(C204="peso_corporal",IF(ISNUMBER(E204),E204,0)+I204,I204)*J204*1000+I204,0),IF((M204&gt;0)*(IF(N204="",-1,N204)=0)*(1-(IF(N204="",-1,N204)&gt;=1)*(IF(N204="",-1,N204)&lt;=3)),IF(C204="peso_corporal",IF(ISNUMBER(E204),E204,0)+L204,L204)*M204*1000+L204,0),IF((P204&gt;0)*(IF(Q204="",-1,Q204)=0)*(1-(IF(Q204="",-1,Q204)&gt;=1)*(IF(Q204="",-1,Q204)&lt;=3)),IF(C204="peso_corporal",IF(ISNUMBER(E204),E204,0)+O204,O204)*P204*1000+O204,0),IF((S204&gt;0)*(IF(T204="",-1,T204)=0)*(1-(IF(T204="",-1,T204)&gt;=1)*(IF(T204="",-1,T204)&lt;=3)),IF(C204="peso_corporal",IF(ISNUMBER(E204),E204,0)+R204,R204)*S204*1000+R204,0))</f>
        <v>0</v>
      </c>
      <c r="Z204" s="69">
        <f>IF(Y204=0,0,IF(IF((S204&gt;0)*(IF(T204="",-1,T204)=0)*(1-(IF(T204="",-1,T204)&gt;=1)*(IF(T204="",-1,T204)&lt;=3)),IF(C204="peso_corporal",IF(ISNUMBER(E204),E204,0)+R204,R204)*S204*1000+R204,0)=Y204,5,IF(IF((P204&gt;0)*(IF(Q204="",-1,Q204)=0)*(1-(IF(Q204="",-1,Q204)&gt;=1)*(IF(Q204="",-1,Q204)&lt;=3)),IF(C204="peso_corporal",IF(ISNUMBER(E204),E204,0)+O204,O204)*P204*1000+O204,0)=Y204,4,IF(IF((M204&gt;0)*(IF(N204="",-1,N204)=0)*(1-(IF(N204="",-1,N204)&gt;=1)*(IF(N204="",-1,N204)&lt;=3)),IF(C204="peso_corporal",IF(ISNUMBER(E204),E204,0)+L204,L204)*M204*1000+L204,0)=Y204,3,IF(IF((J204&gt;0)*(IF(K204="",-1,K204)=0)*(1-(IF(K204="",-1,K204)&gt;=1)*(IF(K204="",-1,K204)&lt;=3)),IF(C204="peso_corporal",IF(ISNUMBER(E204),E204,0)+I204,I204)*J204*1000+I204,0)=Y204,2,IF(IF((G204&gt;0)*(IF(H204="",-1,H204)=0)*(1-(IF(H204="",-1,H204)&gt;=1)*(IF(H204="",-1,H204)&lt;=3)),IF(C204="peso_corporal",IF(ISNUMBER(E204),E204,0)+F204,F204)*G204*1000+F204,0)=Y204,1,0))))))</f>
        <v>0</v>
      </c>
      <c r="AA204" s="69">
        <f>MAX(IF((G204&gt;=6)*(1-(IF(H204="",-1,H204)&gt;=1)*(IF(H204="",-1,H204)&lt;=3))*(1-(IF(H204="",-1,H204)=0)),IF(C204="peso_corporal",IF(ISNUMBER(E204),E204,0)+F204,F204)*(30+G204)*100+F204,0),IF((J204&gt;=6)*(1-(IF(K204="",-1,K204)&gt;=1)*(IF(K204="",-1,K204)&lt;=3))*(1-(IF(K204="",-1,K204)=0)),IF(C204="peso_corporal",IF(ISNUMBER(E204),E204,0)+I204,I204)*(30+J204)*100+I204,0),IF((M204&gt;=6)*(1-(IF(N204="",-1,N204)&gt;=1)*(IF(N204="",-1,N204)&lt;=3))*(1-(IF(N204="",-1,N204)=0)),IF(C204="peso_corporal",IF(ISNUMBER(E204),E204,0)+L204,L204)*(30+M204)*100+L204,0),IF((P204&gt;=6)*(1-(IF(Q204="",-1,Q204)&gt;=1)*(IF(Q204="",-1,Q204)&lt;=3))*(1-(IF(Q204="",-1,Q204)=0)),IF(C204="peso_corporal",IF(ISNUMBER(E204),E204,0)+O204,O204)*(30+P204)*100+O204,0),IF((S204&gt;=6)*(1-(IF(T204="",-1,T204)&gt;=1)*(IF(T204="",-1,T204)&lt;=3))*(1-(IF(T204="",-1,T204)=0)),IF(C204="peso_corporal",IF(ISNUMBER(E204),E204,0)+R204,R204)*(30+S204)*100+R204,0))</f>
        <v>0</v>
      </c>
      <c r="AB204" s="69">
        <f>IF(AA204=0,0,IF(IF((S204&gt;=6)*(1-(IF(T204="",-1,T204)&gt;=1)*(IF(T204="",-1,T204)&lt;=3))*(1-(IF(T204="",-1,T204)=0)),IF(C204="peso_corporal",IF(ISNUMBER(E204),E204,0)+R204,R204)*(30+S204)*100+R204,0)=AA204,5,IF(IF((P204&gt;=6)*(1-(IF(Q204="",-1,Q204)&gt;=1)*(IF(Q204="",-1,Q204)&lt;=3))*(1-(IF(Q204="",-1,Q204)=0)),IF(C204="peso_corporal",IF(ISNUMBER(E204),E204,0)+O204,O204)*(30+P204)*100+O204,0)=AA204,4,IF(IF((M204&gt;=6)*(1-(IF(N204="",-1,N204)&gt;=1)*(IF(N204="",-1,N204)&lt;=3))*(1-(IF(N204="",-1,N204)=0)),IF(C204="peso_corporal",IF(ISNUMBER(E204),E204,0)+L204,L204)*(30+M204)*100+L204,0)=AA204,3,IF(IF((J204&gt;=6)*(1-(IF(K204="",-1,K204)&gt;=1)*(IF(K204="",-1,K204)&lt;=3))*(1-(IF(K204="",-1,K204)=0)),IF(C204="peso_corporal",IF(ISNUMBER(E204),E204,0)+I204,I204)*(30+J204)*100+I204,0)=AA204,2,IF(IF((G204&gt;=6)*(1-(IF(H204="",-1,H204)&gt;=1)*(IF(H204="",-1,H204)&lt;=3))*(1-(IF(H204="",-1,H204)=0)),IF(C204="peso_corporal",IF(ISNUMBER(E204),E204,0)+F204,F204)*(30+G204)*100+F204,0)=AA204,1,0))))))</f>
        <v>0</v>
      </c>
      <c r="AC204" s="69" t="str">
        <f>IF(X204&gt;0,"A"&amp;X204,IF(Z204&gt;0,"B"&amp;Z204,IF(AB204&gt;0,"C"&amp;AB204,"")))</f>
        <v/>
      </c>
    </row>
    <row r="205" spans="1:29" ht="15" customHeight="1">
      <c r="A205" s="81" t="s">
        <v>53</v>
      </c>
      <c r="B205" s="73"/>
      <c r="C205" s="73"/>
      <c r="D205" s="73"/>
      <c r="E205" s="73"/>
      <c r="F205" s="73"/>
      <c r="G205" s="73"/>
      <c r="H205" s="73"/>
      <c r="I205" s="73"/>
      <c r="J205" s="73"/>
      <c r="K205" s="73"/>
      <c r="L205" s="73"/>
      <c r="M205" s="73"/>
      <c r="N205" s="73"/>
      <c r="O205" s="73"/>
      <c r="P205" s="73"/>
      <c r="Q205" s="73"/>
      <c r="R205" s="73"/>
      <c r="S205" s="73"/>
      <c r="T205" s="73"/>
      <c r="U205" s="73"/>
      <c r="V205" s="73"/>
      <c r="W205" s="69"/>
      <c r="X205" s="69"/>
      <c r="Y205" s="69"/>
      <c r="Z205" s="69"/>
      <c r="AA205" s="69"/>
      <c r="AB205" s="69"/>
      <c r="AC205" s="69"/>
    </row>
    <row r="206" spans="1:29" ht="20.100000000000001" customHeight="1">
      <c r="A206" s="14" t="s">
        <v>54</v>
      </c>
      <c r="B206" s="15" t="s">
        <v>115</v>
      </c>
      <c r="C206" s="16" t="str">
        <f>IFERROR(INDEX(EJERCICIOS!$D$3:$D$75,MATCH(A206&amp;"|"&amp;B206,EJERCICIOS!$G$3:$G$75,0)),"--")</f>
        <v>polea</v>
      </c>
      <c r="D206" s="17">
        <v>3</v>
      </c>
      <c r="E206" s="18">
        <f>IFERROR(LOOKUP(2,1/(MEDIDAS_Y_PESO!$B$3:$B$10&lt;&gt;""),MEDIDAS_Y_PESO!$B$3:$B$10),"--")</f>
        <v>80</v>
      </c>
      <c r="F206" s="19"/>
      <c r="G206" s="20"/>
      <c r="H206" s="21"/>
      <c r="I206" s="19"/>
      <c r="J206" s="20"/>
      <c r="K206" s="21"/>
      <c r="L206" s="19"/>
      <c r="M206" s="20"/>
      <c r="N206" s="21"/>
      <c r="O206" s="19"/>
      <c r="P206" s="20"/>
      <c r="Q206" s="21"/>
      <c r="R206" s="19"/>
      <c r="S206" s="20"/>
      <c r="T206" s="21"/>
      <c r="U206" s="22" t="str">
        <f>IFERROR(IF(IF(X206&gt;0,X206,IF(Z206&gt;0,Z206,IF(AB206&gt;0,AB206,0)))=0,"--",ROUND(CHOOSE(IF(X206&gt;0,X206,IF(Z206&gt;0,Z206,IF(AB206&gt;0,AB206,0))),IF(C206="peso_corporal",IF(ISNUMBER(E206),E206,0)+F206,F206)*(1+G206/30),IF(C206="peso_corporal",IF(ISNUMBER(E206),E206,0)+I206,I206)*(1+J206/30),IF(C206="peso_corporal",IF(ISNUMBER(E206),E206,0)+L206,L206)*(1+M206/30),IF(C206="peso_corporal",IF(ISNUMBER(E206),E206,0)+O206,O206)*(1+P206/30),IF(C206="peso_corporal",IF(ISNUMBER(E206),E206,0)+R206,R206)*(1+S206/30)),1)),"--")</f>
        <v>--</v>
      </c>
      <c r="V206" s="23" t="str">
        <f>IF(SUGERENCIAS!N493="SIN","Sin datos anteriores",IF(SUGERENCIAS!N493="SUBIR_F","^ SUBIR FUERTE | Kg:"&amp;ROUND(SUGERENCIAS!K493,1)&amp;" R:"&amp;ROUND(SUGERENCIAS!L493,0)&amp;" RIR:"&amp;ROUND(SUGERENCIAS!M493,0),IF(SUGERENCIAS!N493="SUBIR_E","^ SUBIR (Est.) | Kg:"&amp;ROUND(SUGERENCIAS!K493,1)&amp;" R:"&amp;ROUND(SUGERENCIAS!L493,0)&amp;" RIR:"&amp;ROUND(SUGERENCIAS!M493,0),IF(SUGERENCIAS!N493="SUBIR","^ SUBIR | Kg:"&amp;ROUND(SUGERENCIAS!K493,1)&amp;" R:"&amp;ROUND(SUGERENCIAS!L493,0)&amp;" RIR:"&amp;ROUND(SUGERENCIAS!M493,0),IF(SUGERENCIAS!N493="BAJAR","v BAJAR | Kg:"&amp;ROUND(SUGERENCIAS!K493,1)&amp;" R:"&amp;ROUND(SUGERENCIAS!L493,0)&amp;" RIR:"&amp;ROUND(SUGERENCIAS!M493,0),"= MANT | Kg:"&amp;ROUND(SUGERENCIAS!K493,1)&amp;" R:"&amp;ROUND(SUGERENCIAS!L493,0)&amp;" RIR:"&amp;ROUND(SUGERENCIAS!M493,0))))))</f>
        <v>= MANT | Kg:40 R:7 RIR:2</v>
      </c>
      <c r="W206" s="69">
        <f>MAX(IF((G206&gt;0)*(IF(H206="",-1,H206)&gt;=1)*(IF(H206="",-1,H206)&lt;=3),IF(C206="peso_corporal",IF(ISNUMBER(E206),E206,0)+F206,F206)*G206*1000+F206,0),IF((J206&gt;0)*(IF(K206="",-1,K206)&gt;=1)*(IF(K206="",-1,K206)&lt;=3),IF(C206="peso_corporal",IF(ISNUMBER(E206),E206,0)+I206,I206)*J206*1000+I206,0),IF((M206&gt;0)*(IF(N206="",-1,N206)&gt;=1)*(IF(N206="",-1,N206)&lt;=3),IF(C206="peso_corporal",IF(ISNUMBER(E206),E206,0)+L206,L206)*M206*1000+L206,0),IF((P206&gt;0)*(IF(Q206="",-1,Q206)&gt;=1)*(IF(Q206="",-1,Q206)&lt;=3),IF(C206="peso_corporal",IF(ISNUMBER(E206),E206,0)+O206,O206)*P206*1000+O206,0),IF((S206&gt;0)*(IF(T206="",-1,T206)&gt;=1)*(IF(T206="",-1,T206)&lt;=3),IF(C206="peso_corporal",IF(ISNUMBER(E206),E206,0)+R206,R206)*S206*1000+R206,0))</f>
        <v>0</v>
      </c>
      <c r="X206" s="69">
        <f>IF(W206=0,0,IF(IF((S206&gt;0)*(IF(T206="",-1,T206)&gt;=1)*(IF(T206="",-1,T206)&lt;=3),IF(C206="peso_corporal",IF(ISNUMBER(E206),E206,0)+R206,R206)*S206*1000+R206,0)=W206,5,IF(IF((P206&gt;0)*(IF(Q206="",-1,Q206)&gt;=1)*(IF(Q206="",-1,Q206)&lt;=3),IF(C206="peso_corporal",IF(ISNUMBER(E206),E206,0)+O206,O206)*P206*1000+O206,0)=W206,4,IF(IF((M206&gt;0)*(IF(N206="",-1,N206)&gt;=1)*(IF(N206="",-1,N206)&lt;=3),IF(C206="peso_corporal",IF(ISNUMBER(E206),E206,0)+L206,L206)*M206*1000+L206,0)=W206,3,IF(IF((J206&gt;0)*(IF(K206="",-1,K206)&gt;=1)*(IF(K206="",-1,K206)&lt;=3),IF(C206="peso_corporal",IF(ISNUMBER(E206),E206,0)+I206,I206)*J206*1000+I206,0)=W206,2,IF(IF((G206&gt;0)*(IF(H206="",-1,H206)&gt;=1)*(IF(H206="",-1,H206)&lt;=3),IF(C206="peso_corporal",IF(ISNUMBER(E206),E206,0)+F206,F206)*G206*1000+F206,0)=W206,1,0))))))</f>
        <v>0</v>
      </c>
      <c r="Y206" s="69">
        <f>MAX(IF((G206&gt;0)*(IF(H206="",-1,H206)=0)*(1-(IF(H206="",-1,H206)&gt;=1)*(IF(H206="",-1,H206)&lt;=3)),IF(C206="peso_corporal",IF(ISNUMBER(E206),E206,0)+F206,F206)*G206*1000+F206,0),IF((J206&gt;0)*(IF(K206="",-1,K206)=0)*(1-(IF(K206="",-1,K206)&gt;=1)*(IF(K206="",-1,K206)&lt;=3)),IF(C206="peso_corporal",IF(ISNUMBER(E206),E206,0)+I206,I206)*J206*1000+I206,0),IF((M206&gt;0)*(IF(N206="",-1,N206)=0)*(1-(IF(N206="",-1,N206)&gt;=1)*(IF(N206="",-1,N206)&lt;=3)),IF(C206="peso_corporal",IF(ISNUMBER(E206),E206,0)+L206,L206)*M206*1000+L206,0),IF((P206&gt;0)*(IF(Q206="",-1,Q206)=0)*(1-(IF(Q206="",-1,Q206)&gt;=1)*(IF(Q206="",-1,Q206)&lt;=3)),IF(C206="peso_corporal",IF(ISNUMBER(E206),E206,0)+O206,O206)*P206*1000+O206,0),IF((S206&gt;0)*(IF(T206="",-1,T206)=0)*(1-(IF(T206="",-1,T206)&gt;=1)*(IF(T206="",-1,T206)&lt;=3)),IF(C206="peso_corporal",IF(ISNUMBER(E206),E206,0)+R206,R206)*S206*1000+R206,0))</f>
        <v>0</v>
      </c>
      <c r="Z206" s="69">
        <f>IF(Y206=0,0,IF(IF((S206&gt;0)*(IF(T206="",-1,T206)=0)*(1-(IF(T206="",-1,T206)&gt;=1)*(IF(T206="",-1,T206)&lt;=3)),IF(C206="peso_corporal",IF(ISNUMBER(E206),E206,0)+R206,R206)*S206*1000+R206,0)=Y206,5,IF(IF((P206&gt;0)*(IF(Q206="",-1,Q206)=0)*(1-(IF(Q206="",-1,Q206)&gt;=1)*(IF(Q206="",-1,Q206)&lt;=3)),IF(C206="peso_corporal",IF(ISNUMBER(E206),E206,0)+O206,O206)*P206*1000+O206,0)=Y206,4,IF(IF((M206&gt;0)*(IF(N206="",-1,N206)=0)*(1-(IF(N206="",-1,N206)&gt;=1)*(IF(N206="",-1,N206)&lt;=3)),IF(C206="peso_corporal",IF(ISNUMBER(E206),E206,0)+L206,L206)*M206*1000+L206,0)=Y206,3,IF(IF((J206&gt;0)*(IF(K206="",-1,K206)=0)*(1-(IF(K206="",-1,K206)&gt;=1)*(IF(K206="",-1,K206)&lt;=3)),IF(C206="peso_corporal",IF(ISNUMBER(E206),E206,0)+I206,I206)*J206*1000+I206,0)=Y206,2,IF(IF((G206&gt;0)*(IF(H206="",-1,H206)=0)*(1-(IF(H206="",-1,H206)&gt;=1)*(IF(H206="",-1,H206)&lt;=3)),IF(C206="peso_corporal",IF(ISNUMBER(E206),E206,0)+F206,F206)*G206*1000+F206,0)=Y206,1,0))))))</f>
        <v>0</v>
      </c>
      <c r="AA206" s="69">
        <f>MAX(IF((G206&gt;=6)*(1-(IF(H206="",-1,H206)&gt;=1)*(IF(H206="",-1,H206)&lt;=3))*(1-(IF(H206="",-1,H206)=0)),IF(C206="peso_corporal",IF(ISNUMBER(E206),E206,0)+F206,F206)*(30+G206)*100+F206,0),IF((J206&gt;=6)*(1-(IF(K206="",-1,K206)&gt;=1)*(IF(K206="",-1,K206)&lt;=3))*(1-(IF(K206="",-1,K206)=0)),IF(C206="peso_corporal",IF(ISNUMBER(E206),E206,0)+I206,I206)*(30+J206)*100+I206,0),IF((M206&gt;=6)*(1-(IF(N206="",-1,N206)&gt;=1)*(IF(N206="",-1,N206)&lt;=3))*(1-(IF(N206="",-1,N206)=0)),IF(C206="peso_corporal",IF(ISNUMBER(E206),E206,0)+L206,L206)*(30+M206)*100+L206,0),IF((P206&gt;=6)*(1-(IF(Q206="",-1,Q206)&gt;=1)*(IF(Q206="",-1,Q206)&lt;=3))*(1-(IF(Q206="",-1,Q206)=0)),IF(C206="peso_corporal",IF(ISNUMBER(E206),E206,0)+O206,O206)*(30+P206)*100+O206,0),IF((S206&gt;=6)*(1-(IF(T206="",-1,T206)&gt;=1)*(IF(T206="",-1,T206)&lt;=3))*(1-(IF(T206="",-1,T206)=0)),IF(C206="peso_corporal",IF(ISNUMBER(E206),E206,0)+R206,R206)*(30+S206)*100+R206,0))</f>
        <v>0</v>
      </c>
      <c r="AB206" s="69">
        <f>IF(AA206=0,0,IF(IF((S206&gt;=6)*(1-(IF(T206="",-1,T206)&gt;=1)*(IF(T206="",-1,T206)&lt;=3))*(1-(IF(T206="",-1,T206)=0)),IF(C206="peso_corporal",IF(ISNUMBER(E206),E206,0)+R206,R206)*(30+S206)*100+R206,0)=AA206,5,IF(IF((P206&gt;=6)*(1-(IF(Q206="",-1,Q206)&gt;=1)*(IF(Q206="",-1,Q206)&lt;=3))*(1-(IF(Q206="",-1,Q206)=0)),IF(C206="peso_corporal",IF(ISNUMBER(E206),E206,0)+O206,O206)*(30+P206)*100+O206,0)=AA206,4,IF(IF((M206&gt;=6)*(1-(IF(N206="",-1,N206)&gt;=1)*(IF(N206="",-1,N206)&lt;=3))*(1-(IF(N206="",-1,N206)=0)),IF(C206="peso_corporal",IF(ISNUMBER(E206),E206,0)+L206,L206)*(30+M206)*100+L206,0)=AA206,3,IF(IF((J206&gt;=6)*(1-(IF(K206="",-1,K206)&gt;=1)*(IF(K206="",-1,K206)&lt;=3))*(1-(IF(K206="",-1,K206)=0)),IF(C206="peso_corporal",IF(ISNUMBER(E206),E206,0)+I206,I206)*(30+J206)*100+I206,0)=AA206,2,IF(IF((G206&gt;=6)*(1-(IF(H206="",-1,H206)&gt;=1)*(IF(H206="",-1,H206)&lt;=3))*(1-(IF(H206="",-1,H206)=0)),IF(C206="peso_corporal",IF(ISNUMBER(E206),E206,0)+F206,F206)*(30+G206)*100+F206,0)=AA206,1,0))))))</f>
        <v>0</v>
      </c>
      <c r="AC206" s="69" t="str">
        <f>IF(X206&gt;0,"A"&amp;X206,IF(Z206&gt;0,"B"&amp;Z206,IF(AB206&gt;0,"C"&amp;AB206,"")))</f>
        <v/>
      </c>
    </row>
    <row r="207" spans="1:29" ht="15" customHeight="1">
      <c r="A207" s="72" t="s">
        <v>56</v>
      </c>
      <c r="B207" s="73"/>
      <c r="C207" s="73"/>
      <c r="D207" s="73"/>
      <c r="E207" s="73"/>
      <c r="F207" s="73"/>
      <c r="G207" s="73"/>
      <c r="H207" s="73"/>
      <c r="I207" s="73"/>
      <c r="J207" s="73"/>
      <c r="K207" s="73"/>
      <c r="L207" s="73"/>
      <c r="M207" s="73"/>
      <c r="N207" s="73"/>
      <c r="O207" s="73"/>
      <c r="P207" s="73"/>
      <c r="Q207" s="73"/>
      <c r="R207" s="73"/>
      <c r="S207" s="73"/>
      <c r="T207" s="73"/>
      <c r="U207" s="73"/>
      <c r="V207" s="73"/>
      <c r="W207" s="69"/>
      <c r="X207" s="69"/>
      <c r="Y207" s="69"/>
      <c r="Z207" s="69"/>
      <c r="AA207" s="69"/>
      <c r="AB207" s="69"/>
      <c r="AC207" s="69"/>
    </row>
    <row r="208" spans="1:29" ht="20.100000000000001" customHeight="1">
      <c r="A208" s="14" t="s">
        <v>57</v>
      </c>
      <c r="B208" s="15" t="s">
        <v>58</v>
      </c>
      <c r="C208" s="16" t="str">
        <f>IFERROR(INDEX(EJERCICIOS!$D$3:$D$75,MATCH(A208&amp;"|"&amp;B208,EJERCICIOS!$G$3:$G$75,0)),"--")</f>
        <v>polea</v>
      </c>
      <c r="D208" s="17">
        <v>3</v>
      </c>
      <c r="E208" s="18">
        <f>IFERROR(LOOKUP(2,1/(MEDIDAS_Y_PESO!$B$3:$B$10&lt;&gt;""),MEDIDAS_Y_PESO!$B$3:$B$10),"--")</f>
        <v>80</v>
      </c>
      <c r="F208" s="19"/>
      <c r="G208" s="20"/>
      <c r="H208" s="21"/>
      <c r="I208" s="19"/>
      <c r="J208" s="20"/>
      <c r="K208" s="21"/>
      <c r="L208" s="19"/>
      <c r="M208" s="20"/>
      <c r="N208" s="21"/>
      <c r="O208" s="19"/>
      <c r="P208" s="20"/>
      <c r="Q208" s="21"/>
      <c r="R208" s="19"/>
      <c r="S208" s="20"/>
      <c r="T208" s="21"/>
      <c r="U208" s="22" t="str">
        <f>IFERROR(IF(IF(X208&gt;0,X208,IF(Z208&gt;0,Z208,IF(AB208&gt;0,AB208,0)))=0,"--",ROUND(CHOOSE(IF(X208&gt;0,X208,IF(Z208&gt;0,Z208,IF(AB208&gt;0,AB208,0))),IF(C208="peso_corporal",IF(ISNUMBER(E208),E208,0)+F208,F208)*(1+G208/30),IF(C208="peso_corporal",IF(ISNUMBER(E208),E208,0)+I208,I208)*(1+J208/30),IF(C208="peso_corporal",IF(ISNUMBER(E208),E208,0)+L208,L208)*(1+M208/30),IF(C208="peso_corporal",IF(ISNUMBER(E208),E208,0)+O208,O208)*(1+P208/30),IF(C208="peso_corporal",IF(ISNUMBER(E208),E208,0)+R208,R208)*(1+S208/30)),1)),"--")</f>
        <v>--</v>
      </c>
      <c r="V208" s="23" t="str">
        <f>IF(SUGERENCIAS!N494="SIN","Sin datos anteriores",IF(SUGERENCIAS!N494="SUBIR_F","^ SUBIR FUERTE | Kg:"&amp;ROUND(SUGERENCIAS!K494,1)&amp;" R:"&amp;ROUND(SUGERENCIAS!L494,0)&amp;" RIR:"&amp;ROUND(SUGERENCIAS!M494,0),IF(SUGERENCIAS!N494="SUBIR_E","^ SUBIR (Est.) | Kg:"&amp;ROUND(SUGERENCIAS!K494,1)&amp;" R:"&amp;ROUND(SUGERENCIAS!L494,0)&amp;" RIR:"&amp;ROUND(SUGERENCIAS!M494,0),IF(SUGERENCIAS!N494="SUBIR","^ SUBIR | Kg:"&amp;ROUND(SUGERENCIAS!K494,1)&amp;" R:"&amp;ROUND(SUGERENCIAS!L494,0)&amp;" RIR:"&amp;ROUND(SUGERENCIAS!M494,0),IF(SUGERENCIAS!N494="BAJAR","v BAJAR | Kg:"&amp;ROUND(SUGERENCIAS!K494,1)&amp;" R:"&amp;ROUND(SUGERENCIAS!L494,0)&amp;" RIR:"&amp;ROUND(SUGERENCIAS!M494,0),"= MANT | Kg:"&amp;ROUND(SUGERENCIAS!K494,1)&amp;" R:"&amp;ROUND(SUGERENCIAS!L494,0)&amp;" RIR:"&amp;ROUND(SUGERENCIAS!M494,0))))))</f>
        <v>Sin datos anteriores</v>
      </c>
      <c r="W208" s="69">
        <f>MAX(IF((G208&gt;0)*(IF(H208="",-1,H208)&gt;=1)*(IF(H208="",-1,H208)&lt;=3),IF(C208="peso_corporal",IF(ISNUMBER(E208),E208,0)+F208,F208)*G208*1000+F208,0),IF((J208&gt;0)*(IF(K208="",-1,K208)&gt;=1)*(IF(K208="",-1,K208)&lt;=3),IF(C208="peso_corporal",IF(ISNUMBER(E208),E208,0)+I208,I208)*J208*1000+I208,0),IF((M208&gt;0)*(IF(N208="",-1,N208)&gt;=1)*(IF(N208="",-1,N208)&lt;=3),IF(C208="peso_corporal",IF(ISNUMBER(E208),E208,0)+L208,L208)*M208*1000+L208,0),IF((P208&gt;0)*(IF(Q208="",-1,Q208)&gt;=1)*(IF(Q208="",-1,Q208)&lt;=3),IF(C208="peso_corporal",IF(ISNUMBER(E208),E208,0)+O208,O208)*P208*1000+O208,0),IF((S208&gt;0)*(IF(T208="",-1,T208)&gt;=1)*(IF(T208="",-1,T208)&lt;=3),IF(C208="peso_corporal",IF(ISNUMBER(E208),E208,0)+R208,R208)*S208*1000+R208,0))</f>
        <v>0</v>
      </c>
      <c r="X208" s="69">
        <f>IF(W208=0,0,IF(IF((S208&gt;0)*(IF(T208="",-1,T208)&gt;=1)*(IF(T208="",-1,T208)&lt;=3),IF(C208="peso_corporal",IF(ISNUMBER(E208),E208,0)+R208,R208)*S208*1000+R208,0)=W208,5,IF(IF((P208&gt;0)*(IF(Q208="",-1,Q208)&gt;=1)*(IF(Q208="",-1,Q208)&lt;=3),IF(C208="peso_corporal",IF(ISNUMBER(E208),E208,0)+O208,O208)*P208*1000+O208,0)=W208,4,IF(IF((M208&gt;0)*(IF(N208="",-1,N208)&gt;=1)*(IF(N208="",-1,N208)&lt;=3),IF(C208="peso_corporal",IF(ISNUMBER(E208),E208,0)+L208,L208)*M208*1000+L208,0)=W208,3,IF(IF((J208&gt;0)*(IF(K208="",-1,K208)&gt;=1)*(IF(K208="",-1,K208)&lt;=3),IF(C208="peso_corporal",IF(ISNUMBER(E208),E208,0)+I208,I208)*J208*1000+I208,0)=W208,2,IF(IF((G208&gt;0)*(IF(H208="",-1,H208)&gt;=1)*(IF(H208="",-1,H208)&lt;=3),IF(C208="peso_corporal",IF(ISNUMBER(E208),E208,0)+F208,F208)*G208*1000+F208,0)=W208,1,0))))))</f>
        <v>0</v>
      </c>
      <c r="Y208" s="69">
        <f>MAX(IF((G208&gt;0)*(IF(H208="",-1,H208)=0)*(1-(IF(H208="",-1,H208)&gt;=1)*(IF(H208="",-1,H208)&lt;=3)),IF(C208="peso_corporal",IF(ISNUMBER(E208),E208,0)+F208,F208)*G208*1000+F208,0),IF((J208&gt;0)*(IF(K208="",-1,K208)=0)*(1-(IF(K208="",-1,K208)&gt;=1)*(IF(K208="",-1,K208)&lt;=3)),IF(C208="peso_corporal",IF(ISNUMBER(E208),E208,0)+I208,I208)*J208*1000+I208,0),IF((M208&gt;0)*(IF(N208="",-1,N208)=0)*(1-(IF(N208="",-1,N208)&gt;=1)*(IF(N208="",-1,N208)&lt;=3)),IF(C208="peso_corporal",IF(ISNUMBER(E208),E208,0)+L208,L208)*M208*1000+L208,0),IF((P208&gt;0)*(IF(Q208="",-1,Q208)=0)*(1-(IF(Q208="",-1,Q208)&gt;=1)*(IF(Q208="",-1,Q208)&lt;=3)),IF(C208="peso_corporal",IF(ISNUMBER(E208),E208,0)+O208,O208)*P208*1000+O208,0),IF((S208&gt;0)*(IF(T208="",-1,T208)=0)*(1-(IF(T208="",-1,T208)&gt;=1)*(IF(T208="",-1,T208)&lt;=3)),IF(C208="peso_corporal",IF(ISNUMBER(E208),E208,0)+R208,R208)*S208*1000+R208,0))</f>
        <v>0</v>
      </c>
      <c r="Z208" s="69">
        <f>IF(Y208=0,0,IF(IF((S208&gt;0)*(IF(T208="",-1,T208)=0)*(1-(IF(T208="",-1,T208)&gt;=1)*(IF(T208="",-1,T208)&lt;=3)),IF(C208="peso_corporal",IF(ISNUMBER(E208),E208,0)+R208,R208)*S208*1000+R208,0)=Y208,5,IF(IF((P208&gt;0)*(IF(Q208="",-1,Q208)=0)*(1-(IF(Q208="",-1,Q208)&gt;=1)*(IF(Q208="",-1,Q208)&lt;=3)),IF(C208="peso_corporal",IF(ISNUMBER(E208),E208,0)+O208,O208)*P208*1000+O208,0)=Y208,4,IF(IF((M208&gt;0)*(IF(N208="",-1,N208)=0)*(1-(IF(N208="",-1,N208)&gt;=1)*(IF(N208="",-1,N208)&lt;=3)),IF(C208="peso_corporal",IF(ISNUMBER(E208),E208,0)+L208,L208)*M208*1000+L208,0)=Y208,3,IF(IF((J208&gt;0)*(IF(K208="",-1,K208)=0)*(1-(IF(K208="",-1,K208)&gt;=1)*(IF(K208="",-1,K208)&lt;=3)),IF(C208="peso_corporal",IF(ISNUMBER(E208),E208,0)+I208,I208)*J208*1000+I208,0)=Y208,2,IF(IF((G208&gt;0)*(IF(H208="",-1,H208)=0)*(1-(IF(H208="",-1,H208)&gt;=1)*(IF(H208="",-1,H208)&lt;=3)),IF(C208="peso_corporal",IF(ISNUMBER(E208),E208,0)+F208,F208)*G208*1000+F208,0)=Y208,1,0))))))</f>
        <v>0</v>
      </c>
      <c r="AA208" s="69">
        <f>MAX(IF((G208&gt;=6)*(1-(IF(H208="",-1,H208)&gt;=1)*(IF(H208="",-1,H208)&lt;=3))*(1-(IF(H208="",-1,H208)=0)),IF(C208="peso_corporal",IF(ISNUMBER(E208),E208,0)+F208,F208)*(30+G208)*100+F208,0),IF((J208&gt;=6)*(1-(IF(K208="",-1,K208)&gt;=1)*(IF(K208="",-1,K208)&lt;=3))*(1-(IF(K208="",-1,K208)=0)),IF(C208="peso_corporal",IF(ISNUMBER(E208),E208,0)+I208,I208)*(30+J208)*100+I208,0),IF((M208&gt;=6)*(1-(IF(N208="",-1,N208)&gt;=1)*(IF(N208="",-1,N208)&lt;=3))*(1-(IF(N208="",-1,N208)=0)),IF(C208="peso_corporal",IF(ISNUMBER(E208),E208,0)+L208,L208)*(30+M208)*100+L208,0),IF((P208&gt;=6)*(1-(IF(Q208="",-1,Q208)&gt;=1)*(IF(Q208="",-1,Q208)&lt;=3))*(1-(IF(Q208="",-1,Q208)=0)),IF(C208="peso_corporal",IF(ISNUMBER(E208),E208,0)+O208,O208)*(30+P208)*100+O208,0),IF((S208&gt;=6)*(1-(IF(T208="",-1,T208)&gt;=1)*(IF(T208="",-1,T208)&lt;=3))*(1-(IF(T208="",-1,T208)=0)),IF(C208="peso_corporal",IF(ISNUMBER(E208),E208,0)+R208,R208)*(30+S208)*100+R208,0))</f>
        <v>0</v>
      </c>
      <c r="AB208" s="69">
        <f>IF(AA208=0,0,IF(IF((S208&gt;=6)*(1-(IF(T208="",-1,T208)&gt;=1)*(IF(T208="",-1,T208)&lt;=3))*(1-(IF(T208="",-1,T208)=0)),IF(C208="peso_corporal",IF(ISNUMBER(E208),E208,0)+R208,R208)*(30+S208)*100+R208,0)=AA208,5,IF(IF((P208&gt;=6)*(1-(IF(Q208="",-1,Q208)&gt;=1)*(IF(Q208="",-1,Q208)&lt;=3))*(1-(IF(Q208="",-1,Q208)=0)),IF(C208="peso_corporal",IF(ISNUMBER(E208),E208,0)+O208,O208)*(30+P208)*100+O208,0)=AA208,4,IF(IF((M208&gt;=6)*(1-(IF(N208="",-1,N208)&gt;=1)*(IF(N208="",-1,N208)&lt;=3))*(1-(IF(N208="",-1,N208)=0)),IF(C208="peso_corporal",IF(ISNUMBER(E208),E208,0)+L208,L208)*(30+M208)*100+L208,0)=AA208,3,IF(IF((J208&gt;=6)*(1-(IF(K208="",-1,K208)&gt;=1)*(IF(K208="",-1,K208)&lt;=3))*(1-(IF(K208="",-1,K208)=0)),IF(C208="peso_corporal",IF(ISNUMBER(E208),E208,0)+I208,I208)*(30+J208)*100+I208,0)=AA208,2,IF(IF((G208&gt;=6)*(1-(IF(H208="",-1,H208)&gt;=1)*(IF(H208="",-1,H208)&lt;=3))*(1-(IF(H208="",-1,H208)=0)),IF(C208="peso_corporal",IF(ISNUMBER(E208),E208,0)+F208,F208)*(30+G208)*100+F208,0)=AA208,1,0))))))</f>
        <v>0</v>
      </c>
      <c r="AC208" s="69" t="str">
        <f>IF(X208&gt;0,"A"&amp;X208,IF(Z208&gt;0,"B"&amp;Z208,IF(AB208&gt;0,"C"&amp;AB208,"")))</f>
        <v/>
      </c>
    </row>
    <row r="209" spans="1:29" ht="6"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69"/>
      <c r="X209" s="69"/>
      <c r="Y209" s="69"/>
      <c r="Z209" s="69"/>
      <c r="AA209" s="69"/>
      <c r="AB209" s="69"/>
      <c r="AC209" s="69"/>
    </row>
    <row r="210" spans="1:29" ht="18" customHeight="1">
      <c r="A210" s="85" t="s">
        <v>74</v>
      </c>
      <c r="B210" s="73"/>
      <c r="C210" s="73"/>
      <c r="D210" s="73"/>
      <c r="E210" s="73"/>
      <c r="F210" s="73"/>
      <c r="G210" s="73"/>
      <c r="H210" s="73"/>
      <c r="I210" s="73"/>
      <c r="J210" s="73"/>
      <c r="K210" s="73"/>
      <c r="L210" s="73"/>
      <c r="M210" s="73"/>
      <c r="N210" s="73"/>
      <c r="O210" s="73"/>
      <c r="P210" s="73"/>
      <c r="Q210" s="73"/>
      <c r="R210" s="73"/>
      <c r="S210" s="73"/>
      <c r="T210" s="73"/>
      <c r="U210" s="73"/>
      <c r="V210" s="73"/>
      <c r="W210" s="69"/>
      <c r="X210" s="69"/>
      <c r="Y210" s="69"/>
      <c r="Z210" s="69"/>
      <c r="AA210" s="69"/>
      <c r="AB210" s="69"/>
      <c r="AC210" s="69"/>
    </row>
    <row r="211" spans="1:29" ht="15" customHeight="1">
      <c r="A211" s="81" t="s">
        <v>42</v>
      </c>
      <c r="B211" s="73"/>
      <c r="C211" s="73"/>
      <c r="D211" s="73"/>
      <c r="E211" s="73"/>
      <c r="F211" s="73"/>
      <c r="G211" s="73"/>
      <c r="H211" s="73"/>
      <c r="I211" s="73"/>
      <c r="J211" s="73"/>
      <c r="K211" s="73"/>
      <c r="L211" s="73"/>
      <c r="M211" s="73"/>
      <c r="N211" s="73"/>
      <c r="O211" s="73"/>
      <c r="P211" s="73"/>
      <c r="Q211" s="73"/>
      <c r="R211" s="73"/>
      <c r="S211" s="73"/>
      <c r="T211" s="73"/>
      <c r="U211" s="73"/>
      <c r="V211" s="73"/>
      <c r="W211" s="69"/>
      <c r="X211" s="69"/>
      <c r="Y211" s="69"/>
      <c r="Z211" s="69"/>
      <c r="AA211" s="69"/>
      <c r="AB211" s="69"/>
      <c r="AC211" s="69"/>
    </row>
    <row r="212" spans="1:29" ht="20.100000000000001" customHeight="1">
      <c r="A212" s="14" t="s">
        <v>45</v>
      </c>
      <c r="B212" s="15" t="s">
        <v>93</v>
      </c>
      <c r="C212" s="16" t="str">
        <f>IFERROR(INDEX(EJERCICIOS!$D$3:$D$75,MATCH(A212&amp;"|"&amp;B212,EJERCICIOS!$G$3:$G$75,0)),"--")</f>
        <v>--</v>
      </c>
      <c r="D212" s="17">
        <v>3</v>
      </c>
      <c r="E212" s="18">
        <f>IFERROR(LOOKUP(2,1/(MEDIDAS_Y_PESO!$B$3:$B$11&lt;&gt;""),MEDIDAS_Y_PESO!$B$3:$B$11),"--")</f>
        <v>80</v>
      </c>
      <c r="F212" s="19"/>
      <c r="G212" s="20"/>
      <c r="H212" s="21"/>
      <c r="I212" s="19"/>
      <c r="J212" s="20"/>
      <c r="K212" s="21"/>
      <c r="L212" s="19"/>
      <c r="M212" s="20"/>
      <c r="N212" s="21"/>
      <c r="O212" s="19"/>
      <c r="P212" s="20"/>
      <c r="Q212" s="21"/>
      <c r="R212" s="19"/>
      <c r="S212" s="20"/>
      <c r="T212" s="21"/>
      <c r="U212" s="22" t="str">
        <f>IFERROR(IF(IF(X212&gt;0,X212,IF(Z212&gt;0,Z212,IF(AB212&gt;0,AB212,0)))=0,"--",ROUND(CHOOSE(IF(X212&gt;0,X212,IF(Z212&gt;0,Z212,IF(AB212&gt;0,AB212,0))),IF(C212="peso_corporal",IF(ISNUMBER(E212),E212,0)+F212,F212)*(1+G212/30),IF(C212="peso_corporal",IF(ISNUMBER(E212),E212,0)+I212,I212)*(1+J212/30),IF(C212="peso_corporal",IF(ISNUMBER(E212),E212,0)+L212,L212)*(1+M212/30),IF(C212="peso_corporal",IF(ISNUMBER(E212),E212,0)+O212,O212)*(1+P212/30),IF(C212="peso_corporal",IF(ISNUMBER(E212),E212,0)+R212,R212)*(1+S212/30)),1)),"--")</f>
        <v>--</v>
      </c>
      <c r="V212" s="23" t="str">
        <f>IF(SUGERENCIAS!N545="SIN","Sin datos anteriores",IF(SUGERENCIAS!N545="SUBIR_F","^ SUBIR FUERTE | Kg:"&amp;ROUND(SUGERENCIAS!K545,1)&amp;" R:"&amp;ROUND(SUGERENCIAS!L545,0)&amp;" RIR:"&amp;ROUND(SUGERENCIAS!M545,0),IF(SUGERENCIAS!N545="SUBIR_E","^ SUBIR (Est.) | Kg:"&amp;ROUND(SUGERENCIAS!K545,1)&amp;" R:"&amp;ROUND(SUGERENCIAS!L545,0)&amp;" RIR:"&amp;ROUND(SUGERENCIAS!M545,0),IF(SUGERENCIAS!N545="SUBIR","^ SUBIR | Kg:"&amp;ROUND(SUGERENCIAS!K545,1)&amp;" R:"&amp;ROUND(SUGERENCIAS!L545,0)&amp;" RIR:"&amp;ROUND(SUGERENCIAS!M545,0),IF(SUGERENCIAS!N545="BAJAR","v BAJAR | Kg:"&amp;ROUND(SUGERENCIAS!K545,1)&amp;" R:"&amp;ROUND(SUGERENCIAS!L545,0)&amp;" RIR:"&amp;ROUND(SUGERENCIAS!M545,0),"= MANT | Kg:"&amp;ROUND(SUGERENCIAS!K545,1)&amp;" R:"&amp;ROUND(SUGERENCIAS!L545,0)&amp;" RIR:"&amp;ROUND(SUGERENCIAS!M545,0))))))</f>
        <v>Sin datos anteriores</v>
      </c>
      <c r="W212" s="69">
        <f>MAX(IF((G212&gt;0)*(IF(H212="",-1,H212)&gt;=0)*(IF(H212="",-1,H212)&lt;=1),IF(C212="peso_corporal",IF(ISNUMBER(E212),E212,0)+F212,F212)*G212*1000+F212,0),IF((J212&gt;0)*(IF(K212="",-1,K212)&gt;=0)*(IF(K212="",-1,K212)&lt;=1),IF(C212="peso_corporal",IF(ISNUMBER(E212),E212,0)+I212,I212)*J212*1000+I212,0),IF((M212&gt;0)*(IF(N212="",-1,N212)&gt;=0)*(IF(N212="",-1,N212)&lt;=1),IF(C212="peso_corporal",IF(ISNUMBER(E212),E212,0)+L212,L212)*M212*1000+L212,0),IF((P212&gt;0)*(IF(Q212="",-1,Q212)&gt;=0)*(IF(Q212="",-1,Q212)&lt;=1),IF(C212="peso_corporal",IF(ISNUMBER(E212),E212,0)+O212,O212)*P212*1000+O212,0),IF((S212&gt;0)*(IF(T212="",-1,T212)&gt;=0)*(IF(T212="",-1,T212)&lt;=1),IF(C212="peso_corporal",IF(ISNUMBER(E212),E212,0)+R212,R212)*S212*1000+R212,0))</f>
        <v>0</v>
      </c>
      <c r="X212" s="69">
        <f>IF(W212=0,0,IF(IF((S212&gt;0)*(IF(T212="",-1,T212)&gt;=0)*(IF(T212="",-1,T212)&lt;=1),IF(C212="peso_corporal",IF(ISNUMBER(E212),E212,0)+R212,R212)*S212*1000+R212,0)=W212,5,IF(IF((P212&gt;0)*(IF(Q212="",-1,Q212)&gt;=0)*(IF(Q212="",-1,Q212)&lt;=1),IF(C212="peso_corporal",IF(ISNUMBER(E212),E212,0)+O212,O212)*P212*1000+O212,0)=W212,4,IF(IF((M212&gt;0)*(IF(N212="",-1,N212)&gt;=0)*(IF(N212="",-1,N212)&lt;=1),IF(C212="peso_corporal",IF(ISNUMBER(E212),E212,0)+L212,L212)*M212*1000+L212,0)=W212,3,IF(IF((J212&gt;0)*(IF(K212="",-1,K212)&gt;=0)*(IF(K212="",-1,K212)&lt;=1),IF(C212="peso_corporal",IF(ISNUMBER(E212),E212,0)+I212,I212)*J212*1000+I212,0)=W212,2,IF(IF((G212&gt;0)*(IF(H212="",-1,H212)&gt;=0)*(IF(H212="",-1,H212)&lt;=1),IF(C212="peso_corporal",IF(ISNUMBER(E212),E212,0)+F212,F212)*G212*1000+F212,0)=W212,1,0))))))</f>
        <v>0</v>
      </c>
      <c r="Y212" s="69">
        <f>MAX(IF((G212&gt;0)*(IF(H212="",-1,H212)=0)*(1-(IF(H212="",-1,H212)&gt;=0)*(IF(H212="",-1,H212)&lt;=1)),IF(C212="peso_corporal",IF(ISNUMBER(E212),E212,0)+F212,F212)*G212*1000+F212,0),IF((J212&gt;0)*(IF(K212="",-1,K212)=0)*(1-(IF(K212="",-1,K212)&gt;=0)*(IF(K212="",-1,K212)&lt;=1)),IF(C212="peso_corporal",IF(ISNUMBER(E212),E212,0)+I212,I212)*J212*1000+I212,0),IF((M212&gt;0)*(IF(N212="",-1,N212)=0)*(1-(IF(N212="",-1,N212)&gt;=0)*(IF(N212="",-1,N212)&lt;=1)),IF(C212="peso_corporal",IF(ISNUMBER(E212),E212,0)+L212,L212)*M212*1000+L212,0),IF((P212&gt;0)*(IF(Q212="",-1,Q212)=0)*(1-(IF(Q212="",-1,Q212)&gt;=0)*(IF(Q212="",-1,Q212)&lt;=1)),IF(C212="peso_corporal",IF(ISNUMBER(E212),E212,0)+O212,O212)*P212*1000+O212,0),IF((S212&gt;0)*(IF(T212="",-1,T212)=0)*(1-(IF(T212="",-1,T212)&gt;=0)*(IF(T212="",-1,T212)&lt;=1)),IF(C212="peso_corporal",IF(ISNUMBER(E212),E212,0)+R212,R212)*S212*1000+R212,0))</f>
        <v>0</v>
      </c>
      <c r="Z212" s="69">
        <f>IF(Y212=0,0,IF(IF((S212&gt;0)*(IF(T212="",-1,T212)=0)*(1-(IF(T212="",-1,T212)&gt;=0)*(IF(T212="",-1,T212)&lt;=1)),IF(C212="peso_corporal",IF(ISNUMBER(E212),E212,0)+R212,R212)*S212*1000+R212,0)=Y212,5,IF(IF((P212&gt;0)*(IF(Q212="",-1,Q212)=0)*(1-(IF(Q212="",-1,Q212)&gt;=0)*(IF(Q212="",-1,Q212)&lt;=1)),IF(C212="peso_corporal",IF(ISNUMBER(E212),E212,0)+O212,O212)*P212*1000+O212,0)=Y212,4,IF(IF((M212&gt;0)*(IF(N212="",-1,N212)=0)*(1-(IF(N212="",-1,N212)&gt;=0)*(IF(N212="",-1,N212)&lt;=1)),IF(C212="peso_corporal",IF(ISNUMBER(E212),E212,0)+L212,L212)*M212*1000+L212,0)=Y212,3,IF(IF((J212&gt;0)*(IF(K212="",-1,K212)=0)*(1-(IF(K212="",-1,K212)&gt;=0)*(IF(K212="",-1,K212)&lt;=1)),IF(C212="peso_corporal",IF(ISNUMBER(E212),E212,0)+I212,I212)*J212*1000+I212,0)=Y212,2,IF(IF((G212&gt;0)*(IF(H212="",-1,H212)=0)*(1-(IF(H212="",-1,H212)&gt;=0)*(IF(H212="",-1,H212)&lt;=1)),IF(C212="peso_corporal",IF(ISNUMBER(E212),E212,0)+F212,F212)*G212*1000+F212,0)=Y212,1,0))))))</f>
        <v>0</v>
      </c>
      <c r="AA212" s="69">
        <f>MAX(IF((G212&gt;=3)*(1-(IF(H212="",-1,H212)&gt;=0)*(IF(H212="",-1,H212)&lt;=1))*(1-(IF(H212="",-1,H212)=0)),IF(C212="peso_corporal",IF(ISNUMBER(E212),E212,0)+F212,F212)*(30+G212)*100+F212,0),IF((J212&gt;=3)*(1-(IF(K212="",-1,K212)&gt;=0)*(IF(K212="",-1,K212)&lt;=1))*(1-(IF(K212="",-1,K212)=0)),IF(C212="peso_corporal",IF(ISNUMBER(E212),E212,0)+I212,I212)*(30+J212)*100+I212,0),IF((M212&gt;=3)*(1-(IF(N212="",-1,N212)&gt;=0)*(IF(N212="",-1,N212)&lt;=1))*(1-(IF(N212="",-1,N212)=0)),IF(C212="peso_corporal",IF(ISNUMBER(E212),E212,0)+L212,L212)*(30+M212)*100+L212,0),IF((P212&gt;=3)*(1-(IF(Q212="",-1,Q212)&gt;=0)*(IF(Q212="",-1,Q212)&lt;=1))*(1-(IF(Q212="",-1,Q212)=0)),IF(C212="peso_corporal",IF(ISNUMBER(E212),E212,0)+O212,O212)*(30+P212)*100+O212,0),IF((S212&gt;=3)*(1-(IF(T212="",-1,T212)&gt;=0)*(IF(T212="",-1,T212)&lt;=1))*(1-(IF(T212="",-1,T212)=0)),IF(C212="peso_corporal",IF(ISNUMBER(E212),E212,0)+R212,R212)*(30+S212)*100+R212,0))</f>
        <v>0</v>
      </c>
      <c r="AB212" s="69">
        <f>IF(AA212=0,0,IF(IF((S212&gt;=3)*(1-(IF(T212="",-1,T212)&gt;=0)*(IF(T212="",-1,T212)&lt;=1))*(1-(IF(T212="",-1,T212)=0)),IF(C212="peso_corporal",IF(ISNUMBER(E212),E212,0)+R212,R212)*(30+S212)*100+R212,0)=AA212,5,IF(IF((P212&gt;=3)*(1-(IF(Q212="",-1,Q212)&gt;=0)*(IF(Q212="",-1,Q212)&lt;=1))*(1-(IF(Q212="",-1,Q212)=0)),IF(C212="peso_corporal",IF(ISNUMBER(E212),E212,0)+O212,O212)*(30+P212)*100+O212,0)=AA212,4,IF(IF((M212&gt;=3)*(1-(IF(N212="",-1,N212)&gt;=0)*(IF(N212="",-1,N212)&lt;=1))*(1-(IF(N212="",-1,N212)=0)),IF(C212="peso_corporal",IF(ISNUMBER(E212),E212,0)+L212,L212)*(30+M212)*100+L212,0)=AA212,3,IF(IF((J212&gt;=3)*(1-(IF(K212="",-1,K212)&gt;=0)*(IF(K212="",-1,K212)&lt;=1))*(1-(IF(K212="",-1,K212)=0)),IF(C212="peso_corporal",IF(ISNUMBER(E212),E212,0)+I212,I212)*(30+J212)*100+I212,0)=AA212,2,IF(IF((G212&gt;=3)*(1-(IF(H212="",-1,H212)&gt;=0)*(IF(H212="",-1,H212)&lt;=1))*(1-(IF(H212="",-1,H212)=0)),IF(C212="peso_corporal",IF(ISNUMBER(E212),E212,0)+F212,F212)*(30+G212)*100+F212,0)=AA212,1,0))))))</f>
        <v>0</v>
      </c>
      <c r="AC212" s="69" t="str">
        <f>IF(X212&gt;0,"A"&amp;X212,IF(Z212&gt;0,"B"&amp;Z212,IF(AB212&gt;0,"C"&amp;AB212,"")))</f>
        <v/>
      </c>
    </row>
    <row r="213" spans="1:29" ht="20.100000000000001" customHeight="1">
      <c r="A213" s="14" t="s">
        <v>43</v>
      </c>
      <c r="B213" s="15" t="s">
        <v>159</v>
      </c>
      <c r="C213" s="16" t="str">
        <f>IFERROR(INDEX(EJERCICIOS!$D$3:$D$75,MATCH(A213&amp;"|"&amp;B213,EJERCICIOS!$G$3:$G$75,0)),"--")</f>
        <v>--</v>
      </c>
      <c r="D213" s="17">
        <v>3</v>
      </c>
      <c r="E213" s="18">
        <f>IFERROR(LOOKUP(2,1/(MEDIDAS_Y_PESO!$B$3:$B$11&lt;&gt;""),MEDIDAS_Y_PESO!$B$3:$B$11),"--")</f>
        <v>80</v>
      </c>
      <c r="F213" s="19"/>
      <c r="G213" s="20"/>
      <c r="H213" s="21"/>
      <c r="I213" s="19"/>
      <c r="J213" s="20"/>
      <c r="K213" s="21"/>
      <c r="L213" s="19"/>
      <c r="M213" s="20"/>
      <c r="N213" s="21"/>
      <c r="O213" s="19"/>
      <c r="P213" s="20"/>
      <c r="Q213" s="21"/>
      <c r="R213" s="19"/>
      <c r="S213" s="20"/>
      <c r="T213" s="21"/>
      <c r="U213" s="22" t="str">
        <f>IFERROR(IF(IF(X213&gt;0,X213,IF(Z213&gt;0,Z213,IF(AB213&gt;0,AB213,0)))=0,"--",ROUND(CHOOSE(IF(X213&gt;0,X213,IF(Z213&gt;0,Z213,IF(AB213&gt;0,AB213,0))),IF(C213="peso_corporal",IF(ISNUMBER(E213),E213,0)+F213,F213)*(1+G213/30),IF(C213="peso_corporal",IF(ISNUMBER(E213),E213,0)+I213,I213)*(1+J213/30),IF(C213="peso_corporal",IF(ISNUMBER(E213),E213,0)+L213,L213)*(1+M213/30),IF(C213="peso_corporal",IF(ISNUMBER(E213),E213,0)+O213,O213)*(1+P213/30),IF(C213="peso_corporal",IF(ISNUMBER(E213),E213,0)+R213,R213)*(1+S213/30)),1)),"--")</f>
        <v>--</v>
      </c>
      <c r="V213" s="23" t="str">
        <f>IF(SUGERENCIAS!N546="SIN","Sin datos anteriores",IF(SUGERENCIAS!N546="SUBIR_F","^ SUBIR FUERTE | Kg:"&amp;ROUND(SUGERENCIAS!K546,1)&amp;" R:"&amp;ROUND(SUGERENCIAS!L546,0)&amp;" RIR:"&amp;ROUND(SUGERENCIAS!M546,0),IF(SUGERENCIAS!N546="SUBIR_E","^ SUBIR (Est.) | Kg:"&amp;ROUND(SUGERENCIAS!K546,1)&amp;" R:"&amp;ROUND(SUGERENCIAS!L546,0)&amp;" RIR:"&amp;ROUND(SUGERENCIAS!M546,0),IF(SUGERENCIAS!N546="SUBIR","^ SUBIR | Kg:"&amp;ROUND(SUGERENCIAS!K546,1)&amp;" R:"&amp;ROUND(SUGERENCIAS!L546,0)&amp;" RIR:"&amp;ROUND(SUGERENCIAS!M546,0),IF(SUGERENCIAS!N546="BAJAR","v BAJAR | Kg:"&amp;ROUND(SUGERENCIAS!K546,1)&amp;" R:"&amp;ROUND(SUGERENCIAS!L546,0)&amp;" RIR:"&amp;ROUND(SUGERENCIAS!M546,0),"= MANT | Kg:"&amp;ROUND(SUGERENCIAS!K546,1)&amp;" R:"&amp;ROUND(SUGERENCIAS!L546,0)&amp;" RIR:"&amp;ROUND(SUGERENCIAS!M546,0))))))</f>
        <v>Sin datos anteriores</v>
      </c>
      <c r="W213" s="69">
        <f>MAX(IF((G213&gt;0)*(IF(H213="",-1,H213)&gt;=0)*(IF(H213="",-1,H213)&lt;=1),IF(C213="peso_corporal",IF(ISNUMBER(E213),E213,0)+F213,F213)*G213*1000+F213,0),IF((J213&gt;0)*(IF(K213="",-1,K213)&gt;=0)*(IF(K213="",-1,K213)&lt;=1),IF(C213="peso_corporal",IF(ISNUMBER(E213),E213,0)+I213,I213)*J213*1000+I213,0),IF((M213&gt;0)*(IF(N213="",-1,N213)&gt;=0)*(IF(N213="",-1,N213)&lt;=1),IF(C213="peso_corporal",IF(ISNUMBER(E213),E213,0)+L213,L213)*M213*1000+L213,0),IF((P213&gt;0)*(IF(Q213="",-1,Q213)&gt;=0)*(IF(Q213="",-1,Q213)&lt;=1),IF(C213="peso_corporal",IF(ISNUMBER(E213),E213,0)+O213,O213)*P213*1000+O213,0),IF((S213&gt;0)*(IF(T213="",-1,T213)&gt;=0)*(IF(T213="",-1,T213)&lt;=1),IF(C213="peso_corporal",IF(ISNUMBER(E213),E213,0)+R213,R213)*S213*1000+R213,0))</f>
        <v>0</v>
      </c>
      <c r="X213" s="69">
        <f>IF(W213=0,0,IF(IF((S213&gt;0)*(IF(T213="",-1,T213)&gt;=0)*(IF(T213="",-1,T213)&lt;=1),IF(C213="peso_corporal",IF(ISNUMBER(E213),E213,0)+R213,R213)*S213*1000+R213,0)=W213,5,IF(IF((P213&gt;0)*(IF(Q213="",-1,Q213)&gt;=0)*(IF(Q213="",-1,Q213)&lt;=1),IF(C213="peso_corporal",IF(ISNUMBER(E213),E213,0)+O213,O213)*P213*1000+O213,0)=W213,4,IF(IF((M213&gt;0)*(IF(N213="",-1,N213)&gt;=0)*(IF(N213="",-1,N213)&lt;=1),IF(C213="peso_corporal",IF(ISNUMBER(E213),E213,0)+L213,L213)*M213*1000+L213,0)=W213,3,IF(IF((J213&gt;0)*(IF(K213="",-1,K213)&gt;=0)*(IF(K213="",-1,K213)&lt;=1),IF(C213="peso_corporal",IF(ISNUMBER(E213),E213,0)+I213,I213)*J213*1000+I213,0)=W213,2,IF(IF((G213&gt;0)*(IF(H213="",-1,H213)&gt;=0)*(IF(H213="",-1,H213)&lt;=1),IF(C213="peso_corporal",IF(ISNUMBER(E213),E213,0)+F213,F213)*G213*1000+F213,0)=W213,1,0))))))</f>
        <v>0</v>
      </c>
      <c r="Y213" s="69">
        <f>MAX(IF((G213&gt;0)*(IF(H213="",-1,H213)=0)*(1-(IF(H213="",-1,H213)&gt;=0)*(IF(H213="",-1,H213)&lt;=1)),IF(C213="peso_corporal",IF(ISNUMBER(E213),E213,0)+F213,F213)*G213*1000+F213,0),IF((J213&gt;0)*(IF(K213="",-1,K213)=0)*(1-(IF(K213="",-1,K213)&gt;=0)*(IF(K213="",-1,K213)&lt;=1)),IF(C213="peso_corporal",IF(ISNUMBER(E213),E213,0)+I213,I213)*J213*1000+I213,0),IF((M213&gt;0)*(IF(N213="",-1,N213)=0)*(1-(IF(N213="",-1,N213)&gt;=0)*(IF(N213="",-1,N213)&lt;=1)),IF(C213="peso_corporal",IF(ISNUMBER(E213),E213,0)+L213,L213)*M213*1000+L213,0),IF((P213&gt;0)*(IF(Q213="",-1,Q213)=0)*(1-(IF(Q213="",-1,Q213)&gt;=0)*(IF(Q213="",-1,Q213)&lt;=1)),IF(C213="peso_corporal",IF(ISNUMBER(E213),E213,0)+O213,O213)*P213*1000+O213,0),IF((S213&gt;0)*(IF(T213="",-1,T213)=0)*(1-(IF(T213="",-1,T213)&gt;=0)*(IF(T213="",-1,T213)&lt;=1)),IF(C213="peso_corporal",IF(ISNUMBER(E213),E213,0)+R213,R213)*S213*1000+R213,0))</f>
        <v>0</v>
      </c>
      <c r="Z213" s="69">
        <f>IF(Y213=0,0,IF(IF((S213&gt;0)*(IF(T213="",-1,T213)=0)*(1-(IF(T213="",-1,T213)&gt;=0)*(IF(T213="",-1,T213)&lt;=1)),IF(C213="peso_corporal",IF(ISNUMBER(E213),E213,0)+R213,R213)*S213*1000+R213,0)=Y213,5,IF(IF((P213&gt;0)*(IF(Q213="",-1,Q213)=0)*(1-(IF(Q213="",-1,Q213)&gt;=0)*(IF(Q213="",-1,Q213)&lt;=1)),IF(C213="peso_corporal",IF(ISNUMBER(E213),E213,0)+O213,O213)*P213*1000+O213,0)=Y213,4,IF(IF((M213&gt;0)*(IF(N213="",-1,N213)=0)*(1-(IF(N213="",-1,N213)&gt;=0)*(IF(N213="",-1,N213)&lt;=1)),IF(C213="peso_corporal",IF(ISNUMBER(E213),E213,0)+L213,L213)*M213*1000+L213,0)=Y213,3,IF(IF((J213&gt;0)*(IF(K213="",-1,K213)=0)*(1-(IF(K213="",-1,K213)&gt;=0)*(IF(K213="",-1,K213)&lt;=1)),IF(C213="peso_corporal",IF(ISNUMBER(E213),E213,0)+I213,I213)*J213*1000+I213,0)=Y213,2,IF(IF((G213&gt;0)*(IF(H213="",-1,H213)=0)*(1-(IF(H213="",-1,H213)&gt;=0)*(IF(H213="",-1,H213)&lt;=1)),IF(C213="peso_corporal",IF(ISNUMBER(E213),E213,0)+F213,F213)*G213*1000+F213,0)=Y213,1,0))))))</f>
        <v>0</v>
      </c>
      <c r="AA213" s="69">
        <f>MAX(IF((G213&gt;=3)*(1-(IF(H213="",-1,H213)&gt;=0)*(IF(H213="",-1,H213)&lt;=1))*(1-(IF(H213="",-1,H213)=0)),IF(C213="peso_corporal",IF(ISNUMBER(E213),E213,0)+F213,F213)*(30+G213)*100+F213,0),IF((J213&gt;=3)*(1-(IF(K213="",-1,K213)&gt;=0)*(IF(K213="",-1,K213)&lt;=1))*(1-(IF(K213="",-1,K213)=0)),IF(C213="peso_corporal",IF(ISNUMBER(E213),E213,0)+I213,I213)*(30+J213)*100+I213,0),IF((M213&gt;=3)*(1-(IF(N213="",-1,N213)&gt;=0)*(IF(N213="",-1,N213)&lt;=1))*(1-(IF(N213="",-1,N213)=0)),IF(C213="peso_corporal",IF(ISNUMBER(E213),E213,0)+L213,L213)*(30+M213)*100+L213,0),IF((P213&gt;=3)*(1-(IF(Q213="",-1,Q213)&gt;=0)*(IF(Q213="",-1,Q213)&lt;=1))*(1-(IF(Q213="",-1,Q213)=0)),IF(C213="peso_corporal",IF(ISNUMBER(E213),E213,0)+O213,O213)*(30+P213)*100+O213,0),IF((S213&gt;=3)*(1-(IF(T213="",-1,T213)&gt;=0)*(IF(T213="",-1,T213)&lt;=1))*(1-(IF(T213="",-1,T213)=0)),IF(C213="peso_corporal",IF(ISNUMBER(E213),E213,0)+R213,R213)*(30+S213)*100+R213,0))</f>
        <v>0</v>
      </c>
      <c r="AB213" s="69">
        <f>IF(AA213=0,0,IF(IF((S213&gt;=3)*(1-(IF(T213="",-1,T213)&gt;=0)*(IF(T213="",-1,T213)&lt;=1))*(1-(IF(T213="",-1,T213)=0)),IF(C213="peso_corporal",IF(ISNUMBER(E213),E213,0)+R213,R213)*(30+S213)*100+R213,0)=AA213,5,IF(IF((P213&gt;=3)*(1-(IF(Q213="",-1,Q213)&gt;=0)*(IF(Q213="",-1,Q213)&lt;=1))*(1-(IF(Q213="",-1,Q213)=0)),IF(C213="peso_corporal",IF(ISNUMBER(E213),E213,0)+O213,O213)*(30+P213)*100+O213,0)=AA213,4,IF(IF((M213&gt;=3)*(1-(IF(N213="",-1,N213)&gt;=0)*(IF(N213="",-1,N213)&lt;=1))*(1-(IF(N213="",-1,N213)=0)),IF(C213="peso_corporal",IF(ISNUMBER(E213),E213,0)+L213,L213)*(30+M213)*100+L213,0)=AA213,3,IF(IF((J213&gt;=3)*(1-(IF(K213="",-1,K213)&gt;=0)*(IF(K213="",-1,K213)&lt;=1))*(1-(IF(K213="",-1,K213)=0)),IF(C213="peso_corporal",IF(ISNUMBER(E213),E213,0)+I213,I213)*(30+J213)*100+I213,0)=AA213,2,IF(IF((G213&gt;=3)*(1-(IF(H213="",-1,H213)&gt;=0)*(IF(H213="",-1,H213)&lt;=1))*(1-(IF(H213="",-1,H213)=0)),IF(C213="peso_corporal",IF(ISNUMBER(E213),E213,0)+F213,F213)*(30+G213)*100+F213,0)=AA213,1,0))))))</f>
        <v>0</v>
      </c>
      <c r="AC213" s="69" t="str">
        <f>IF(X213&gt;0,"A"&amp;X213,IF(Z213&gt;0,"B"&amp;Z213,IF(AB213&gt;0,"C"&amp;AB213,"")))</f>
        <v/>
      </c>
    </row>
    <row r="214" spans="1:29" ht="11.1" customHeight="1">
      <c r="A214" s="92" t="s">
        <v>160</v>
      </c>
      <c r="B214" s="73"/>
      <c r="C214" s="73"/>
      <c r="D214" s="73"/>
      <c r="E214" s="73"/>
      <c r="F214" s="73"/>
      <c r="G214" s="73"/>
      <c r="H214" s="73"/>
      <c r="I214" s="73"/>
      <c r="J214" s="73"/>
      <c r="K214" s="73"/>
      <c r="L214" s="73"/>
      <c r="M214" s="73"/>
      <c r="N214" s="73"/>
      <c r="O214" s="73"/>
      <c r="P214" s="73"/>
      <c r="Q214" s="73"/>
      <c r="R214" s="73"/>
      <c r="S214" s="73"/>
      <c r="T214" s="73"/>
      <c r="U214" s="73"/>
      <c r="V214" s="73"/>
      <c r="W214" s="69"/>
      <c r="X214" s="69"/>
      <c r="Y214" s="69"/>
      <c r="Z214" s="69"/>
      <c r="AA214" s="69"/>
      <c r="AB214" s="69"/>
      <c r="AC214" s="69"/>
    </row>
    <row r="215" spans="1:29" ht="20.100000000000001" customHeight="1">
      <c r="A215" s="14" t="s">
        <v>161</v>
      </c>
      <c r="B215" s="15" t="s">
        <v>162</v>
      </c>
      <c r="C215" s="16" t="str">
        <f>IFERROR(INDEX(EJERCICIOS!$D$3:$D$75,MATCH(A215&amp;"|"&amp;B215,EJERCICIOS!$G$3:$G$75,0)),"--")</f>
        <v>mancuerna</v>
      </c>
      <c r="D215" s="17">
        <v>3</v>
      </c>
      <c r="E215" s="18">
        <f>IFERROR(LOOKUP(2,1/(MEDIDAS_Y_PESO!$B$3:$B$11&lt;&gt;""),MEDIDAS_Y_PESO!$B$3:$B$11),"--")</f>
        <v>80</v>
      </c>
      <c r="F215" s="19"/>
      <c r="G215" s="20"/>
      <c r="H215" s="21"/>
      <c r="I215" s="19"/>
      <c r="J215" s="20"/>
      <c r="K215" s="21"/>
      <c r="L215" s="19"/>
      <c r="M215" s="20"/>
      <c r="N215" s="21"/>
      <c r="O215" s="19"/>
      <c r="P215" s="20"/>
      <c r="Q215" s="21"/>
      <c r="R215" s="19"/>
      <c r="S215" s="20"/>
      <c r="T215" s="21"/>
      <c r="U215" s="22" t="str">
        <f>IFERROR(IF(IF(X215&gt;0,X215,IF(Z215&gt;0,Z215,IF(AB215&gt;0,AB215,0)))=0,"--",ROUND(CHOOSE(IF(X215&gt;0,X215,IF(Z215&gt;0,Z215,IF(AB215&gt;0,AB215,0))),IF(C215="peso_corporal",IF(ISNUMBER(E215),E215,0)+F215,F215)*(1+G215/30),IF(C215="peso_corporal",IF(ISNUMBER(E215),E215,0)+I215,I215)*(1+J215/30),IF(C215="peso_corporal",IF(ISNUMBER(E215),E215,0)+L215,L215)*(1+M215/30),IF(C215="peso_corporal",IF(ISNUMBER(E215),E215,0)+O215,O215)*(1+P215/30),IF(C215="peso_corporal",IF(ISNUMBER(E215),E215,0)+R215,R215)*(1+S215/30)),1)),"--")</f>
        <v>--</v>
      </c>
      <c r="V215" s="23" t="str">
        <f>IF(SUGERENCIAS!N547="SIN","Sin datos anteriores",IF(SUGERENCIAS!N547="SUBIR_F","^ SUBIR FUERTE | Kg:"&amp;ROUND(SUGERENCIAS!K547,1)&amp;" R:"&amp;ROUND(SUGERENCIAS!L547,0)&amp;" RIR:"&amp;ROUND(SUGERENCIAS!M547,0),IF(SUGERENCIAS!N547="SUBIR_E","^ SUBIR (Est.) | Kg:"&amp;ROUND(SUGERENCIAS!K547,1)&amp;" R:"&amp;ROUND(SUGERENCIAS!L547,0)&amp;" RIR:"&amp;ROUND(SUGERENCIAS!M547,0),IF(SUGERENCIAS!N547="SUBIR","^ SUBIR | Kg:"&amp;ROUND(SUGERENCIAS!K547,1)&amp;" R:"&amp;ROUND(SUGERENCIAS!L547,0)&amp;" RIR:"&amp;ROUND(SUGERENCIAS!M547,0),IF(SUGERENCIAS!N547="BAJAR","v BAJAR | Kg:"&amp;ROUND(SUGERENCIAS!K547,1)&amp;" R:"&amp;ROUND(SUGERENCIAS!L547,0)&amp;" RIR:"&amp;ROUND(SUGERENCIAS!M547,0),"= MANT | Kg:"&amp;ROUND(SUGERENCIAS!K547,1)&amp;" R:"&amp;ROUND(SUGERENCIAS!L547,0)&amp;" RIR:"&amp;ROUND(SUGERENCIAS!M547,0))))))</f>
        <v>Sin datos anteriores</v>
      </c>
      <c r="W215" s="69">
        <f>MAX(IF((G215&gt;0)*(IF(H215="",-1,H215)&gt;=0)*(IF(H215="",-1,H215)&lt;=1),IF(C215="peso_corporal",IF(ISNUMBER(E215),E215,0)+F215,F215)*G215*1000+F215,0),IF((J215&gt;0)*(IF(K215="",-1,K215)&gt;=0)*(IF(K215="",-1,K215)&lt;=1),IF(C215="peso_corporal",IF(ISNUMBER(E215),E215,0)+I215,I215)*J215*1000+I215,0),IF((M215&gt;0)*(IF(N215="",-1,N215)&gt;=0)*(IF(N215="",-1,N215)&lt;=1),IF(C215="peso_corporal",IF(ISNUMBER(E215),E215,0)+L215,L215)*M215*1000+L215,0),IF((P215&gt;0)*(IF(Q215="",-1,Q215)&gt;=0)*(IF(Q215="",-1,Q215)&lt;=1),IF(C215="peso_corporal",IF(ISNUMBER(E215),E215,0)+O215,O215)*P215*1000+O215,0),IF((S215&gt;0)*(IF(T215="",-1,T215)&gt;=0)*(IF(T215="",-1,T215)&lt;=1),IF(C215="peso_corporal",IF(ISNUMBER(E215),E215,0)+R215,R215)*S215*1000+R215,0))</f>
        <v>0</v>
      </c>
      <c r="X215" s="69">
        <f>IF(W215=0,0,IF(IF((S215&gt;0)*(IF(T215="",-1,T215)&gt;=0)*(IF(T215="",-1,T215)&lt;=1),IF(C215="peso_corporal",IF(ISNUMBER(E215),E215,0)+R215,R215)*S215*1000+R215,0)=W215,5,IF(IF((P215&gt;0)*(IF(Q215="",-1,Q215)&gt;=0)*(IF(Q215="",-1,Q215)&lt;=1),IF(C215="peso_corporal",IF(ISNUMBER(E215),E215,0)+O215,O215)*P215*1000+O215,0)=W215,4,IF(IF((M215&gt;0)*(IF(N215="",-1,N215)&gt;=0)*(IF(N215="",-1,N215)&lt;=1),IF(C215="peso_corporal",IF(ISNUMBER(E215),E215,0)+L215,L215)*M215*1000+L215,0)=W215,3,IF(IF((J215&gt;0)*(IF(K215="",-1,K215)&gt;=0)*(IF(K215="",-1,K215)&lt;=1),IF(C215="peso_corporal",IF(ISNUMBER(E215),E215,0)+I215,I215)*J215*1000+I215,0)=W215,2,IF(IF((G215&gt;0)*(IF(H215="",-1,H215)&gt;=0)*(IF(H215="",-1,H215)&lt;=1),IF(C215="peso_corporal",IF(ISNUMBER(E215),E215,0)+F215,F215)*G215*1000+F215,0)=W215,1,0))))))</f>
        <v>0</v>
      </c>
      <c r="Y215" s="69">
        <f>MAX(IF((G215&gt;0)*(IF(H215="",-1,H215)=0)*(1-(IF(H215="",-1,H215)&gt;=0)*(IF(H215="",-1,H215)&lt;=1)),IF(C215="peso_corporal",IF(ISNUMBER(E215),E215,0)+F215,F215)*G215*1000+F215,0),IF((J215&gt;0)*(IF(K215="",-1,K215)=0)*(1-(IF(K215="",-1,K215)&gt;=0)*(IF(K215="",-1,K215)&lt;=1)),IF(C215="peso_corporal",IF(ISNUMBER(E215),E215,0)+I215,I215)*J215*1000+I215,0),IF((M215&gt;0)*(IF(N215="",-1,N215)=0)*(1-(IF(N215="",-1,N215)&gt;=0)*(IF(N215="",-1,N215)&lt;=1)),IF(C215="peso_corporal",IF(ISNUMBER(E215),E215,0)+L215,L215)*M215*1000+L215,0),IF((P215&gt;0)*(IF(Q215="",-1,Q215)=0)*(1-(IF(Q215="",-1,Q215)&gt;=0)*(IF(Q215="",-1,Q215)&lt;=1)),IF(C215="peso_corporal",IF(ISNUMBER(E215),E215,0)+O215,O215)*P215*1000+O215,0),IF((S215&gt;0)*(IF(T215="",-1,T215)=0)*(1-(IF(T215="",-1,T215)&gt;=0)*(IF(T215="",-1,T215)&lt;=1)),IF(C215="peso_corporal",IF(ISNUMBER(E215),E215,0)+R215,R215)*S215*1000+R215,0))</f>
        <v>0</v>
      </c>
      <c r="Z215" s="69">
        <f>IF(Y215=0,0,IF(IF((S215&gt;0)*(IF(T215="",-1,T215)=0)*(1-(IF(T215="",-1,T215)&gt;=0)*(IF(T215="",-1,T215)&lt;=1)),IF(C215="peso_corporal",IF(ISNUMBER(E215),E215,0)+R215,R215)*S215*1000+R215,0)=Y215,5,IF(IF((P215&gt;0)*(IF(Q215="",-1,Q215)=0)*(1-(IF(Q215="",-1,Q215)&gt;=0)*(IF(Q215="",-1,Q215)&lt;=1)),IF(C215="peso_corporal",IF(ISNUMBER(E215),E215,0)+O215,O215)*P215*1000+O215,0)=Y215,4,IF(IF((M215&gt;0)*(IF(N215="",-1,N215)=0)*(1-(IF(N215="",-1,N215)&gt;=0)*(IF(N215="",-1,N215)&lt;=1)),IF(C215="peso_corporal",IF(ISNUMBER(E215),E215,0)+L215,L215)*M215*1000+L215,0)=Y215,3,IF(IF((J215&gt;0)*(IF(K215="",-1,K215)=0)*(1-(IF(K215="",-1,K215)&gt;=0)*(IF(K215="",-1,K215)&lt;=1)),IF(C215="peso_corporal",IF(ISNUMBER(E215),E215,0)+I215,I215)*J215*1000+I215,0)=Y215,2,IF(IF((G215&gt;0)*(IF(H215="",-1,H215)=0)*(1-(IF(H215="",-1,H215)&gt;=0)*(IF(H215="",-1,H215)&lt;=1)),IF(C215="peso_corporal",IF(ISNUMBER(E215),E215,0)+F215,F215)*G215*1000+F215,0)=Y215,1,0))))))</f>
        <v>0</v>
      </c>
      <c r="AA215" s="69">
        <f>MAX(IF((G215&gt;=3)*(1-(IF(H215="",-1,H215)&gt;=0)*(IF(H215="",-1,H215)&lt;=1))*(1-(IF(H215="",-1,H215)=0)),IF(C215="peso_corporal",IF(ISNUMBER(E215),E215,0)+F215,F215)*(30+G215)*100+F215,0),IF((J215&gt;=3)*(1-(IF(K215="",-1,K215)&gt;=0)*(IF(K215="",-1,K215)&lt;=1))*(1-(IF(K215="",-1,K215)=0)),IF(C215="peso_corporal",IF(ISNUMBER(E215),E215,0)+I215,I215)*(30+J215)*100+I215,0),IF((M215&gt;=3)*(1-(IF(N215="",-1,N215)&gt;=0)*(IF(N215="",-1,N215)&lt;=1))*(1-(IF(N215="",-1,N215)=0)),IF(C215="peso_corporal",IF(ISNUMBER(E215),E215,0)+L215,L215)*(30+M215)*100+L215,0),IF((P215&gt;=3)*(1-(IF(Q215="",-1,Q215)&gt;=0)*(IF(Q215="",-1,Q215)&lt;=1))*(1-(IF(Q215="",-1,Q215)=0)),IF(C215="peso_corporal",IF(ISNUMBER(E215),E215,0)+O215,O215)*(30+P215)*100+O215,0),IF((S215&gt;=3)*(1-(IF(T215="",-1,T215)&gt;=0)*(IF(T215="",-1,T215)&lt;=1))*(1-(IF(T215="",-1,T215)=0)),IF(C215="peso_corporal",IF(ISNUMBER(E215),E215,0)+R215,R215)*(30+S215)*100+R215,0))</f>
        <v>0</v>
      </c>
      <c r="AB215" s="69">
        <f>IF(AA215=0,0,IF(IF((S215&gt;=3)*(1-(IF(T215="",-1,T215)&gt;=0)*(IF(T215="",-1,T215)&lt;=1))*(1-(IF(T215="",-1,T215)=0)),IF(C215="peso_corporal",IF(ISNUMBER(E215),E215,0)+R215,R215)*(30+S215)*100+R215,0)=AA215,5,IF(IF((P215&gt;=3)*(1-(IF(Q215="",-1,Q215)&gt;=0)*(IF(Q215="",-1,Q215)&lt;=1))*(1-(IF(Q215="",-1,Q215)=0)),IF(C215="peso_corporal",IF(ISNUMBER(E215),E215,0)+O215,O215)*(30+P215)*100+O215,0)=AA215,4,IF(IF((M215&gt;=3)*(1-(IF(N215="",-1,N215)&gt;=0)*(IF(N215="",-1,N215)&lt;=1))*(1-(IF(N215="",-1,N215)=0)),IF(C215="peso_corporal",IF(ISNUMBER(E215),E215,0)+L215,L215)*(30+M215)*100+L215,0)=AA215,3,IF(IF((J215&gt;=3)*(1-(IF(K215="",-1,K215)&gt;=0)*(IF(K215="",-1,K215)&lt;=1))*(1-(IF(K215="",-1,K215)=0)),IF(C215="peso_corporal",IF(ISNUMBER(E215),E215,0)+I215,I215)*(30+J215)*100+I215,0)=AA215,2,IF(IF((G215&gt;=3)*(1-(IF(H215="",-1,H215)&gt;=0)*(IF(H215="",-1,H215)&lt;=1))*(1-(IF(H215="",-1,H215)=0)),IF(C215="peso_corporal",IF(ISNUMBER(E215),E215,0)+F215,F215)*(30+G215)*100+F215,0)=AA215,1,0))))))</f>
        <v>0</v>
      </c>
      <c r="AC215" s="69" t="str">
        <f>IF(X215&gt;0,"A"&amp;X215,IF(Z215&gt;0,"B"&amp;Z215,IF(AB215&gt;0,"C"&amp;AB215,"")))</f>
        <v/>
      </c>
    </row>
    <row r="216" spans="1:29" ht="20.100000000000001" customHeight="1">
      <c r="A216" s="14" t="s">
        <v>163</v>
      </c>
      <c r="B216" s="15" t="s">
        <v>52</v>
      </c>
      <c r="C216" s="16" t="str">
        <f>IFERROR(INDEX(EJERCICIOS!$D$3:$D$75,MATCH(A216&amp;"|"&amp;B216,EJERCICIOS!$G$3:$G$75,0)),"--")</f>
        <v>polea</v>
      </c>
      <c r="D216" s="17">
        <v>3</v>
      </c>
      <c r="E216" s="18">
        <f>IFERROR(LOOKUP(2,1/(MEDIDAS_Y_PESO!$B$3:$B$11&lt;&gt;""),MEDIDAS_Y_PESO!$B$3:$B$11),"--")</f>
        <v>80</v>
      </c>
      <c r="F216" s="19"/>
      <c r="G216" s="20"/>
      <c r="H216" s="21"/>
      <c r="I216" s="19"/>
      <c r="J216" s="20"/>
      <c r="K216" s="21"/>
      <c r="L216" s="19"/>
      <c r="M216" s="20"/>
      <c r="N216" s="21"/>
      <c r="O216" s="19"/>
      <c r="P216" s="20"/>
      <c r="Q216" s="21"/>
      <c r="R216" s="19"/>
      <c r="S216" s="20"/>
      <c r="T216" s="21"/>
      <c r="U216" s="22" t="str">
        <f>IFERROR(IF(IF(X216&gt;0,X216,IF(Z216&gt;0,Z216,IF(AB216&gt;0,AB216,0)))=0,"--",ROUND(CHOOSE(IF(X216&gt;0,X216,IF(Z216&gt;0,Z216,IF(AB216&gt;0,AB216,0))),IF(C216="peso_corporal",IF(ISNUMBER(E216),E216,0)+F216,F216)*(1+G216/30),IF(C216="peso_corporal",IF(ISNUMBER(E216),E216,0)+I216,I216)*(1+J216/30),IF(C216="peso_corporal",IF(ISNUMBER(E216),E216,0)+L216,L216)*(1+M216/30),IF(C216="peso_corporal",IF(ISNUMBER(E216),E216,0)+O216,O216)*(1+P216/30),IF(C216="peso_corporal",IF(ISNUMBER(E216),E216,0)+R216,R216)*(1+S216/30)),1)),"--")</f>
        <v>--</v>
      </c>
      <c r="V216" s="23" t="str">
        <f>IF(SUGERENCIAS!N548="SIN","Sin datos anteriores",IF(SUGERENCIAS!N548="SUBIR_F","^ SUBIR FUERTE | Kg:"&amp;ROUND(SUGERENCIAS!K548,1)&amp;" R:"&amp;ROUND(SUGERENCIAS!L548,0)&amp;" RIR:"&amp;ROUND(SUGERENCIAS!M548,0),IF(SUGERENCIAS!N548="SUBIR_E","^ SUBIR (Est.) | Kg:"&amp;ROUND(SUGERENCIAS!K548,1)&amp;" R:"&amp;ROUND(SUGERENCIAS!L548,0)&amp;" RIR:"&amp;ROUND(SUGERENCIAS!M548,0),IF(SUGERENCIAS!N548="SUBIR","^ SUBIR | Kg:"&amp;ROUND(SUGERENCIAS!K548,1)&amp;" R:"&amp;ROUND(SUGERENCIAS!L548,0)&amp;" RIR:"&amp;ROUND(SUGERENCIAS!M548,0),IF(SUGERENCIAS!N548="BAJAR","v BAJAR | Kg:"&amp;ROUND(SUGERENCIAS!K548,1)&amp;" R:"&amp;ROUND(SUGERENCIAS!L548,0)&amp;" RIR:"&amp;ROUND(SUGERENCIAS!M548,0),"= MANT | Kg:"&amp;ROUND(SUGERENCIAS!K548,1)&amp;" R:"&amp;ROUND(SUGERENCIAS!L548,0)&amp;" RIR:"&amp;ROUND(SUGERENCIAS!M548,0))))))</f>
        <v>Sin datos anteriores</v>
      </c>
      <c r="W216" s="69">
        <f>MAX(IF((G216&gt;0)*(IF(H216="",-1,H216)&gt;=0)*(IF(H216="",-1,H216)&lt;=1),IF(C216="peso_corporal",IF(ISNUMBER(E216),E216,0)+F216,F216)*G216*1000+F216,0),IF((J216&gt;0)*(IF(K216="",-1,K216)&gt;=0)*(IF(K216="",-1,K216)&lt;=1),IF(C216="peso_corporal",IF(ISNUMBER(E216),E216,0)+I216,I216)*J216*1000+I216,0),IF((M216&gt;0)*(IF(N216="",-1,N216)&gt;=0)*(IF(N216="",-1,N216)&lt;=1),IF(C216="peso_corporal",IF(ISNUMBER(E216),E216,0)+L216,L216)*M216*1000+L216,0),IF((P216&gt;0)*(IF(Q216="",-1,Q216)&gt;=0)*(IF(Q216="",-1,Q216)&lt;=1),IF(C216="peso_corporal",IF(ISNUMBER(E216),E216,0)+O216,O216)*P216*1000+O216,0),IF((S216&gt;0)*(IF(T216="",-1,T216)&gt;=0)*(IF(T216="",-1,T216)&lt;=1),IF(C216="peso_corporal",IF(ISNUMBER(E216),E216,0)+R216,R216)*S216*1000+R216,0))</f>
        <v>0</v>
      </c>
      <c r="X216" s="69">
        <f>IF(W216=0,0,IF(IF((S216&gt;0)*(IF(T216="",-1,T216)&gt;=0)*(IF(T216="",-1,T216)&lt;=1),IF(C216="peso_corporal",IF(ISNUMBER(E216),E216,0)+R216,R216)*S216*1000+R216,0)=W216,5,IF(IF((P216&gt;0)*(IF(Q216="",-1,Q216)&gt;=0)*(IF(Q216="",-1,Q216)&lt;=1),IF(C216="peso_corporal",IF(ISNUMBER(E216),E216,0)+O216,O216)*P216*1000+O216,0)=W216,4,IF(IF((M216&gt;0)*(IF(N216="",-1,N216)&gt;=0)*(IF(N216="",-1,N216)&lt;=1),IF(C216="peso_corporal",IF(ISNUMBER(E216),E216,0)+L216,L216)*M216*1000+L216,0)=W216,3,IF(IF((J216&gt;0)*(IF(K216="",-1,K216)&gt;=0)*(IF(K216="",-1,K216)&lt;=1),IF(C216="peso_corporal",IF(ISNUMBER(E216),E216,0)+I216,I216)*J216*1000+I216,0)=W216,2,IF(IF((G216&gt;0)*(IF(H216="",-1,H216)&gt;=0)*(IF(H216="",-1,H216)&lt;=1),IF(C216="peso_corporal",IF(ISNUMBER(E216),E216,0)+F216,F216)*G216*1000+F216,0)=W216,1,0))))))</f>
        <v>0</v>
      </c>
      <c r="Y216" s="69">
        <f>MAX(IF((G216&gt;0)*(IF(H216="",-1,H216)=0)*(1-(IF(H216="",-1,H216)&gt;=0)*(IF(H216="",-1,H216)&lt;=1)),IF(C216="peso_corporal",IF(ISNUMBER(E216),E216,0)+F216,F216)*G216*1000+F216,0),IF((J216&gt;0)*(IF(K216="",-1,K216)=0)*(1-(IF(K216="",-1,K216)&gt;=0)*(IF(K216="",-1,K216)&lt;=1)),IF(C216="peso_corporal",IF(ISNUMBER(E216),E216,0)+I216,I216)*J216*1000+I216,0),IF((M216&gt;0)*(IF(N216="",-1,N216)=0)*(1-(IF(N216="",-1,N216)&gt;=0)*(IF(N216="",-1,N216)&lt;=1)),IF(C216="peso_corporal",IF(ISNUMBER(E216),E216,0)+L216,L216)*M216*1000+L216,0),IF((P216&gt;0)*(IF(Q216="",-1,Q216)=0)*(1-(IF(Q216="",-1,Q216)&gt;=0)*(IF(Q216="",-1,Q216)&lt;=1)),IF(C216="peso_corporal",IF(ISNUMBER(E216),E216,0)+O216,O216)*P216*1000+O216,0),IF((S216&gt;0)*(IF(T216="",-1,T216)=0)*(1-(IF(T216="",-1,T216)&gt;=0)*(IF(T216="",-1,T216)&lt;=1)),IF(C216="peso_corporal",IF(ISNUMBER(E216),E216,0)+R216,R216)*S216*1000+R216,0))</f>
        <v>0</v>
      </c>
      <c r="Z216" s="69">
        <f>IF(Y216=0,0,IF(IF((S216&gt;0)*(IF(T216="",-1,T216)=0)*(1-(IF(T216="",-1,T216)&gt;=0)*(IF(T216="",-1,T216)&lt;=1)),IF(C216="peso_corporal",IF(ISNUMBER(E216),E216,0)+R216,R216)*S216*1000+R216,0)=Y216,5,IF(IF((P216&gt;0)*(IF(Q216="",-1,Q216)=0)*(1-(IF(Q216="",-1,Q216)&gt;=0)*(IF(Q216="",-1,Q216)&lt;=1)),IF(C216="peso_corporal",IF(ISNUMBER(E216),E216,0)+O216,O216)*P216*1000+O216,0)=Y216,4,IF(IF((M216&gt;0)*(IF(N216="",-1,N216)=0)*(1-(IF(N216="",-1,N216)&gt;=0)*(IF(N216="",-1,N216)&lt;=1)),IF(C216="peso_corporal",IF(ISNUMBER(E216),E216,0)+L216,L216)*M216*1000+L216,0)=Y216,3,IF(IF((J216&gt;0)*(IF(K216="",-1,K216)=0)*(1-(IF(K216="",-1,K216)&gt;=0)*(IF(K216="",-1,K216)&lt;=1)),IF(C216="peso_corporal",IF(ISNUMBER(E216),E216,0)+I216,I216)*J216*1000+I216,0)=Y216,2,IF(IF((G216&gt;0)*(IF(H216="",-1,H216)=0)*(1-(IF(H216="",-1,H216)&gt;=0)*(IF(H216="",-1,H216)&lt;=1)),IF(C216="peso_corporal",IF(ISNUMBER(E216),E216,0)+F216,F216)*G216*1000+F216,0)=Y216,1,0))))))</f>
        <v>0</v>
      </c>
      <c r="AA216" s="69">
        <f>MAX(IF((G216&gt;=3)*(1-(IF(H216="",-1,H216)&gt;=0)*(IF(H216="",-1,H216)&lt;=1))*(1-(IF(H216="",-1,H216)=0)),IF(C216="peso_corporal",IF(ISNUMBER(E216),E216,0)+F216,F216)*(30+G216)*100+F216,0),IF((J216&gt;=3)*(1-(IF(K216="",-1,K216)&gt;=0)*(IF(K216="",-1,K216)&lt;=1))*(1-(IF(K216="",-1,K216)=0)),IF(C216="peso_corporal",IF(ISNUMBER(E216),E216,0)+I216,I216)*(30+J216)*100+I216,0),IF((M216&gt;=3)*(1-(IF(N216="",-1,N216)&gt;=0)*(IF(N216="",-1,N216)&lt;=1))*(1-(IF(N216="",-1,N216)=0)),IF(C216="peso_corporal",IF(ISNUMBER(E216),E216,0)+L216,L216)*(30+M216)*100+L216,0),IF((P216&gt;=3)*(1-(IF(Q216="",-1,Q216)&gt;=0)*(IF(Q216="",-1,Q216)&lt;=1))*(1-(IF(Q216="",-1,Q216)=0)),IF(C216="peso_corporal",IF(ISNUMBER(E216),E216,0)+O216,O216)*(30+P216)*100+O216,0),IF((S216&gt;=3)*(1-(IF(T216="",-1,T216)&gt;=0)*(IF(T216="",-1,T216)&lt;=1))*(1-(IF(T216="",-1,T216)=0)),IF(C216="peso_corporal",IF(ISNUMBER(E216),E216,0)+R216,R216)*(30+S216)*100+R216,0))</f>
        <v>0</v>
      </c>
      <c r="AB216" s="69">
        <f>IF(AA216=0,0,IF(IF((S216&gt;=3)*(1-(IF(T216="",-1,T216)&gt;=0)*(IF(T216="",-1,T216)&lt;=1))*(1-(IF(T216="",-1,T216)=0)),IF(C216="peso_corporal",IF(ISNUMBER(E216),E216,0)+R216,R216)*(30+S216)*100+R216,0)=AA216,5,IF(IF((P216&gt;=3)*(1-(IF(Q216="",-1,Q216)&gt;=0)*(IF(Q216="",-1,Q216)&lt;=1))*(1-(IF(Q216="",-1,Q216)=0)),IF(C216="peso_corporal",IF(ISNUMBER(E216),E216,0)+O216,O216)*(30+P216)*100+O216,0)=AA216,4,IF(IF((M216&gt;=3)*(1-(IF(N216="",-1,N216)&gt;=0)*(IF(N216="",-1,N216)&lt;=1))*(1-(IF(N216="",-1,N216)=0)),IF(C216="peso_corporal",IF(ISNUMBER(E216),E216,0)+L216,L216)*(30+M216)*100+L216,0)=AA216,3,IF(IF((J216&gt;=3)*(1-(IF(K216="",-1,K216)&gt;=0)*(IF(K216="",-1,K216)&lt;=1))*(1-(IF(K216="",-1,K216)=0)),IF(C216="peso_corporal",IF(ISNUMBER(E216),E216,0)+I216,I216)*(30+J216)*100+I216,0)=AA216,2,IF(IF((G216&gt;=3)*(1-(IF(H216="",-1,H216)&gt;=0)*(IF(H216="",-1,H216)&lt;=1))*(1-(IF(H216="",-1,H216)=0)),IF(C216="peso_corporal",IF(ISNUMBER(E216),E216,0)+F216,F216)*(30+G216)*100+F216,0)=AA216,1,0))))))</f>
        <v>0</v>
      </c>
      <c r="AC216" s="69" t="str">
        <f>IF(X216&gt;0,"A"&amp;X216,IF(Z216&gt;0,"B"&amp;Z216,IF(AB216&gt;0,"C"&amp;AB216,"")))</f>
        <v/>
      </c>
    </row>
    <row r="217" spans="1:29" ht="20.100000000000001" customHeight="1">
      <c r="A217" s="14" t="s">
        <v>164</v>
      </c>
      <c r="B217" s="15" t="s">
        <v>114</v>
      </c>
      <c r="C217" s="16" t="str">
        <f>IFERROR(INDEX(EJERCICIOS!$D$3:$D$75,MATCH(A217&amp;"|"&amp;B217,EJERCICIOS!$G$3:$G$75,0)),"--")</f>
        <v>polea</v>
      </c>
      <c r="D217" s="17">
        <v>3</v>
      </c>
      <c r="E217" s="18">
        <f>IFERROR(LOOKUP(2,1/(MEDIDAS_Y_PESO!$B$3:$B$11&lt;&gt;""),MEDIDAS_Y_PESO!$B$3:$B$11),"--")</f>
        <v>80</v>
      </c>
      <c r="F217" s="19"/>
      <c r="G217" s="20"/>
      <c r="H217" s="21"/>
      <c r="I217" s="19"/>
      <c r="J217" s="20"/>
      <c r="K217" s="21"/>
      <c r="L217" s="19"/>
      <c r="M217" s="20"/>
      <c r="N217" s="21"/>
      <c r="O217" s="19"/>
      <c r="P217" s="20"/>
      <c r="Q217" s="21"/>
      <c r="R217" s="19"/>
      <c r="S217" s="20"/>
      <c r="T217" s="21"/>
      <c r="U217" s="22" t="str">
        <f>IFERROR(IF(IF(X217&gt;0,X217,IF(Z217&gt;0,Z217,IF(AB217&gt;0,AB217,0)))=0,"--",ROUND(CHOOSE(IF(X217&gt;0,X217,IF(Z217&gt;0,Z217,IF(AB217&gt;0,AB217,0))),IF(C217="peso_corporal",IF(ISNUMBER(E217),E217,0)+F217,F217)*(1+G217/30),IF(C217="peso_corporal",IF(ISNUMBER(E217),E217,0)+I217,I217)*(1+J217/30),IF(C217="peso_corporal",IF(ISNUMBER(E217),E217,0)+L217,L217)*(1+M217/30),IF(C217="peso_corporal",IF(ISNUMBER(E217),E217,0)+O217,O217)*(1+P217/30),IF(C217="peso_corporal",IF(ISNUMBER(E217),E217,0)+R217,R217)*(1+S217/30)),1)),"--")</f>
        <v>--</v>
      </c>
      <c r="V217" s="23" t="str">
        <f>IF(SUGERENCIAS!N549="SIN","Sin datos anteriores",IF(SUGERENCIAS!N549="SUBIR_F","^ SUBIR FUERTE | Kg:"&amp;ROUND(SUGERENCIAS!K549,1)&amp;" R:"&amp;ROUND(SUGERENCIAS!L549,0)&amp;" RIR:"&amp;ROUND(SUGERENCIAS!M549,0),IF(SUGERENCIAS!N549="SUBIR_E","^ SUBIR (Est.) | Kg:"&amp;ROUND(SUGERENCIAS!K549,1)&amp;" R:"&amp;ROUND(SUGERENCIAS!L549,0)&amp;" RIR:"&amp;ROUND(SUGERENCIAS!M549,0),IF(SUGERENCIAS!N549="SUBIR","^ SUBIR | Kg:"&amp;ROUND(SUGERENCIAS!K549,1)&amp;" R:"&amp;ROUND(SUGERENCIAS!L549,0)&amp;" RIR:"&amp;ROUND(SUGERENCIAS!M549,0),IF(SUGERENCIAS!N549="BAJAR","v BAJAR | Kg:"&amp;ROUND(SUGERENCIAS!K549,1)&amp;" R:"&amp;ROUND(SUGERENCIAS!L549,0)&amp;" RIR:"&amp;ROUND(SUGERENCIAS!M549,0),"= MANT | Kg:"&amp;ROUND(SUGERENCIAS!K549,1)&amp;" R:"&amp;ROUND(SUGERENCIAS!L549,0)&amp;" RIR:"&amp;ROUND(SUGERENCIAS!M549,0))))))</f>
        <v>Sin datos anteriores</v>
      </c>
      <c r="W217" s="69">
        <f>MAX(IF((G217&gt;0)*(IF(H217="",-1,H217)&gt;=0)*(IF(H217="",-1,H217)&lt;=1),IF(C217="peso_corporal",IF(ISNUMBER(E217),E217,0)+F217,F217)*G217*1000+F217,0),IF((J217&gt;0)*(IF(K217="",-1,K217)&gt;=0)*(IF(K217="",-1,K217)&lt;=1),IF(C217="peso_corporal",IF(ISNUMBER(E217),E217,0)+I217,I217)*J217*1000+I217,0),IF((M217&gt;0)*(IF(N217="",-1,N217)&gt;=0)*(IF(N217="",-1,N217)&lt;=1),IF(C217="peso_corporal",IF(ISNUMBER(E217),E217,0)+L217,L217)*M217*1000+L217,0),IF((P217&gt;0)*(IF(Q217="",-1,Q217)&gt;=0)*(IF(Q217="",-1,Q217)&lt;=1),IF(C217="peso_corporal",IF(ISNUMBER(E217),E217,0)+O217,O217)*P217*1000+O217,0),IF((S217&gt;0)*(IF(T217="",-1,T217)&gt;=0)*(IF(T217="",-1,T217)&lt;=1),IF(C217="peso_corporal",IF(ISNUMBER(E217),E217,0)+R217,R217)*S217*1000+R217,0))</f>
        <v>0</v>
      </c>
      <c r="X217" s="69">
        <f>IF(W217=0,0,IF(IF((S217&gt;0)*(IF(T217="",-1,T217)&gt;=0)*(IF(T217="",-1,T217)&lt;=1),IF(C217="peso_corporal",IF(ISNUMBER(E217),E217,0)+R217,R217)*S217*1000+R217,0)=W217,5,IF(IF((P217&gt;0)*(IF(Q217="",-1,Q217)&gt;=0)*(IF(Q217="",-1,Q217)&lt;=1),IF(C217="peso_corporal",IF(ISNUMBER(E217),E217,0)+O217,O217)*P217*1000+O217,0)=W217,4,IF(IF((M217&gt;0)*(IF(N217="",-1,N217)&gt;=0)*(IF(N217="",-1,N217)&lt;=1),IF(C217="peso_corporal",IF(ISNUMBER(E217),E217,0)+L217,L217)*M217*1000+L217,0)=W217,3,IF(IF((J217&gt;0)*(IF(K217="",-1,K217)&gt;=0)*(IF(K217="",-1,K217)&lt;=1),IF(C217="peso_corporal",IF(ISNUMBER(E217),E217,0)+I217,I217)*J217*1000+I217,0)=W217,2,IF(IF((G217&gt;0)*(IF(H217="",-1,H217)&gt;=0)*(IF(H217="",-1,H217)&lt;=1),IF(C217="peso_corporal",IF(ISNUMBER(E217),E217,0)+F217,F217)*G217*1000+F217,0)=W217,1,0))))))</f>
        <v>0</v>
      </c>
      <c r="Y217" s="69">
        <f>MAX(IF((G217&gt;0)*(IF(H217="",-1,H217)=0)*(1-(IF(H217="",-1,H217)&gt;=0)*(IF(H217="",-1,H217)&lt;=1)),IF(C217="peso_corporal",IF(ISNUMBER(E217),E217,0)+F217,F217)*G217*1000+F217,0),IF((J217&gt;0)*(IF(K217="",-1,K217)=0)*(1-(IF(K217="",-1,K217)&gt;=0)*(IF(K217="",-1,K217)&lt;=1)),IF(C217="peso_corporal",IF(ISNUMBER(E217),E217,0)+I217,I217)*J217*1000+I217,0),IF((M217&gt;0)*(IF(N217="",-1,N217)=0)*(1-(IF(N217="",-1,N217)&gt;=0)*(IF(N217="",-1,N217)&lt;=1)),IF(C217="peso_corporal",IF(ISNUMBER(E217),E217,0)+L217,L217)*M217*1000+L217,0),IF((P217&gt;0)*(IF(Q217="",-1,Q217)=0)*(1-(IF(Q217="",-1,Q217)&gt;=0)*(IF(Q217="",-1,Q217)&lt;=1)),IF(C217="peso_corporal",IF(ISNUMBER(E217),E217,0)+O217,O217)*P217*1000+O217,0),IF((S217&gt;0)*(IF(T217="",-1,T217)=0)*(1-(IF(T217="",-1,T217)&gt;=0)*(IF(T217="",-1,T217)&lt;=1)),IF(C217="peso_corporal",IF(ISNUMBER(E217),E217,0)+R217,R217)*S217*1000+R217,0))</f>
        <v>0</v>
      </c>
      <c r="Z217" s="69">
        <f>IF(Y217=0,0,IF(IF((S217&gt;0)*(IF(T217="",-1,T217)=0)*(1-(IF(T217="",-1,T217)&gt;=0)*(IF(T217="",-1,T217)&lt;=1)),IF(C217="peso_corporal",IF(ISNUMBER(E217),E217,0)+R217,R217)*S217*1000+R217,0)=Y217,5,IF(IF((P217&gt;0)*(IF(Q217="",-1,Q217)=0)*(1-(IF(Q217="",-1,Q217)&gt;=0)*(IF(Q217="",-1,Q217)&lt;=1)),IF(C217="peso_corporal",IF(ISNUMBER(E217),E217,0)+O217,O217)*P217*1000+O217,0)=Y217,4,IF(IF((M217&gt;0)*(IF(N217="",-1,N217)=0)*(1-(IF(N217="",-1,N217)&gt;=0)*(IF(N217="",-1,N217)&lt;=1)),IF(C217="peso_corporal",IF(ISNUMBER(E217),E217,0)+L217,L217)*M217*1000+L217,0)=Y217,3,IF(IF((J217&gt;0)*(IF(K217="",-1,K217)=0)*(1-(IF(K217="",-1,K217)&gt;=0)*(IF(K217="",-1,K217)&lt;=1)),IF(C217="peso_corporal",IF(ISNUMBER(E217),E217,0)+I217,I217)*J217*1000+I217,0)=Y217,2,IF(IF((G217&gt;0)*(IF(H217="",-1,H217)=0)*(1-(IF(H217="",-1,H217)&gt;=0)*(IF(H217="",-1,H217)&lt;=1)),IF(C217="peso_corporal",IF(ISNUMBER(E217),E217,0)+F217,F217)*G217*1000+F217,0)=Y217,1,0))))))</f>
        <v>0</v>
      </c>
      <c r="AA217" s="69">
        <f>MAX(IF((G217&gt;=3)*(1-(IF(H217="",-1,H217)&gt;=0)*(IF(H217="",-1,H217)&lt;=1))*(1-(IF(H217="",-1,H217)=0)),IF(C217="peso_corporal",IF(ISNUMBER(E217),E217,0)+F217,F217)*(30+G217)*100+F217,0),IF((J217&gt;=3)*(1-(IF(K217="",-1,K217)&gt;=0)*(IF(K217="",-1,K217)&lt;=1))*(1-(IF(K217="",-1,K217)=0)),IF(C217="peso_corporal",IF(ISNUMBER(E217),E217,0)+I217,I217)*(30+J217)*100+I217,0),IF((M217&gt;=3)*(1-(IF(N217="",-1,N217)&gt;=0)*(IF(N217="",-1,N217)&lt;=1))*(1-(IF(N217="",-1,N217)=0)),IF(C217="peso_corporal",IF(ISNUMBER(E217),E217,0)+L217,L217)*(30+M217)*100+L217,0),IF((P217&gt;=3)*(1-(IF(Q217="",-1,Q217)&gt;=0)*(IF(Q217="",-1,Q217)&lt;=1))*(1-(IF(Q217="",-1,Q217)=0)),IF(C217="peso_corporal",IF(ISNUMBER(E217),E217,0)+O217,O217)*(30+P217)*100+O217,0),IF((S217&gt;=3)*(1-(IF(T217="",-1,T217)&gt;=0)*(IF(T217="",-1,T217)&lt;=1))*(1-(IF(T217="",-1,T217)=0)),IF(C217="peso_corporal",IF(ISNUMBER(E217),E217,0)+R217,R217)*(30+S217)*100+R217,0))</f>
        <v>0</v>
      </c>
      <c r="AB217" s="69">
        <f>IF(AA217=0,0,IF(IF((S217&gt;=3)*(1-(IF(T217="",-1,T217)&gt;=0)*(IF(T217="",-1,T217)&lt;=1))*(1-(IF(T217="",-1,T217)=0)),IF(C217="peso_corporal",IF(ISNUMBER(E217),E217,0)+R217,R217)*(30+S217)*100+R217,0)=AA217,5,IF(IF((P217&gt;=3)*(1-(IF(Q217="",-1,Q217)&gt;=0)*(IF(Q217="",-1,Q217)&lt;=1))*(1-(IF(Q217="",-1,Q217)=0)),IF(C217="peso_corporal",IF(ISNUMBER(E217),E217,0)+O217,O217)*(30+P217)*100+O217,0)=AA217,4,IF(IF((M217&gt;=3)*(1-(IF(N217="",-1,N217)&gt;=0)*(IF(N217="",-1,N217)&lt;=1))*(1-(IF(N217="",-1,N217)=0)),IF(C217="peso_corporal",IF(ISNUMBER(E217),E217,0)+L217,L217)*(30+M217)*100+L217,0)=AA217,3,IF(IF((J217&gt;=3)*(1-(IF(K217="",-1,K217)&gt;=0)*(IF(K217="",-1,K217)&lt;=1))*(1-(IF(K217="",-1,K217)=0)),IF(C217="peso_corporal",IF(ISNUMBER(E217),E217,0)+I217,I217)*(30+J217)*100+I217,0)=AA217,2,IF(IF((G217&gt;=3)*(1-(IF(H217="",-1,H217)&gt;=0)*(IF(H217="",-1,H217)&lt;=1))*(1-(IF(H217="",-1,H217)=0)),IF(C217="peso_corporal",IF(ISNUMBER(E217),E217,0)+F217,F217)*(30+G217)*100+F217,0)=AA217,1,0))))))</f>
        <v>0</v>
      </c>
      <c r="AC217" s="69" t="str">
        <f>IF(X217&gt;0,"A"&amp;X217,IF(Z217&gt;0,"B"&amp;Z217,IF(AB217&gt;0,"C"&amp;AB217,"")))</f>
        <v/>
      </c>
    </row>
    <row r="218" spans="1:29" ht="15" customHeight="1">
      <c r="A218" s="75" t="s">
        <v>28</v>
      </c>
      <c r="B218" s="73"/>
      <c r="C218" s="73"/>
      <c r="D218" s="73"/>
      <c r="E218" s="73"/>
      <c r="F218" s="73"/>
      <c r="G218" s="73"/>
      <c r="H218" s="73"/>
      <c r="I218" s="73"/>
      <c r="J218" s="73"/>
      <c r="K218" s="73"/>
      <c r="L218" s="73"/>
      <c r="M218" s="73"/>
      <c r="N218" s="73"/>
      <c r="O218" s="73"/>
      <c r="P218" s="73"/>
      <c r="Q218" s="73"/>
      <c r="R218" s="73"/>
      <c r="S218" s="73"/>
      <c r="T218" s="73"/>
      <c r="U218" s="73"/>
      <c r="V218" s="73"/>
      <c r="W218" s="69"/>
      <c r="X218" s="69"/>
      <c r="Y218" s="69"/>
      <c r="Z218" s="69"/>
      <c r="AA218" s="69"/>
      <c r="AB218" s="69"/>
      <c r="AC218" s="69"/>
    </row>
    <row r="219" spans="1:29" ht="11.1" customHeight="1">
      <c r="A219" s="76" t="s">
        <v>29</v>
      </c>
      <c r="B219" s="73"/>
      <c r="C219" s="73"/>
      <c r="D219" s="73"/>
      <c r="E219" s="73"/>
      <c r="F219" s="73"/>
      <c r="G219" s="73"/>
      <c r="H219" s="73"/>
      <c r="I219" s="73"/>
      <c r="J219" s="73"/>
      <c r="K219" s="73"/>
      <c r="L219" s="73"/>
      <c r="M219" s="73"/>
      <c r="N219" s="73"/>
      <c r="O219" s="73"/>
      <c r="P219" s="73"/>
      <c r="Q219" s="73"/>
      <c r="R219" s="73"/>
      <c r="S219" s="73"/>
      <c r="T219" s="73"/>
      <c r="U219" s="73"/>
      <c r="V219" s="73"/>
      <c r="W219" s="69"/>
      <c r="X219" s="69"/>
      <c r="Y219" s="69"/>
      <c r="Z219" s="69"/>
      <c r="AA219" s="69"/>
      <c r="AB219" s="69"/>
      <c r="AC219" s="69"/>
    </row>
    <row r="220" spans="1:29" ht="20.100000000000001" customHeight="1">
      <c r="A220" s="14" t="s">
        <v>30</v>
      </c>
      <c r="B220" s="15" t="s">
        <v>31</v>
      </c>
      <c r="C220" s="16" t="str">
        <f>IFERROR(INDEX(EJERCICIOS!$D$3:$D$75,MATCH(A220&amp;"|"&amp;B220,EJERCICIOS!$G$3:$G$75,0)),"--")</f>
        <v>mancuerna</v>
      </c>
      <c r="D220" s="17">
        <v>3</v>
      </c>
      <c r="E220" s="18">
        <f>IFERROR(LOOKUP(2,1/(MEDIDAS_Y_PESO!$B$3:$B$11&lt;&gt;""),MEDIDAS_Y_PESO!$B$3:$B$11),"--")</f>
        <v>80</v>
      </c>
      <c r="F220" s="19"/>
      <c r="G220" s="20"/>
      <c r="H220" s="21"/>
      <c r="I220" s="19"/>
      <c r="J220" s="20"/>
      <c r="K220" s="21"/>
      <c r="L220" s="19"/>
      <c r="M220" s="20"/>
      <c r="N220" s="21"/>
      <c r="O220" s="19"/>
      <c r="P220" s="20"/>
      <c r="Q220" s="21"/>
      <c r="R220" s="19"/>
      <c r="S220" s="20"/>
      <c r="T220" s="21"/>
      <c r="U220" s="22" t="str">
        <f>IFERROR(IF(IF(X220&gt;0,X220,IF(Z220&gt;0,Z220,IF(AB220&gt;0,AB220,0)))=0,"--",ROUND(CHOOSE(IF(X220&gt;0,X220,IF(Z220&gt;0,Z220,IF(AB220&gt;0,AB220,0))),IF(C220="peso_corporal",IF(ISNUMBER(E220),E220,0)+F220,F220)*(1+G220/30),IF(C220="peso_corporal",IF(ISNUMBER(E220),E220,0)+I220,I220)*(1+J220/30),IF(C220="peso_corporal",IF(ISNUMBER(E220),E220,0)+L220,L220)*(1+M220/30),IF(C220="peso_corporal",IF(ISNUMBER(E220),E220,0)+O220,O220)*(1+P220/30),IF(C220="peso_corporal",IF(ISNUMBER(E220),E220,0)+R220,R220)*(1+S220/30)),1)),"--")</f>
        <v>--</v>
      </c>
      <c r="V220" s="23" t="str">
        <f>IF(SUGERENCIAS!N550="SIN","Sin datos anteriores",IF(SUGERENCIAS!N550="SUBIR_F","^ SUBIR FUERTE | Kg:"&amp;ROUND(SUGERENCIAS!K550,1)&amp;" R:"&amp;ROUND(SUGERENCIAS!L550,0)&amp;" RIR:"&amp;ROUND(SUGERENCIAS!M550,0),IF(SUGERENCIAS!N550="SUBIR_E","^ SUBIR (Est.) | Kg:"&amp;ROUND(SUGERENCIAS!K550,1)&amp;" R:"&amp;ROUND(SUGERENCIAS!L550,0)&amp;" RIR:"&amp;ROUND(SUGERENCIAS!M550,0),IF(SUGERENCIAS!N550="SUBIR","^ SUBIR | Kg:"&amp;ROUND(SUGERENCIAS!K550,1)&amp;" R:"&amp;ROUND(SUGERENCIAS!L550,0)&amp;" RIR:"&amp;ROUND(SUGERENCIAS!M550,0),IF(SUGERENCIAS!N550="BAJAR","v BAJAR | Kg:"&amp;ROUND(SUGERENCIAS!K550,1)&amp;" R:"&amp;ROUND(SUGERENCIAS!L550,0)&amp;" RIR:"&amp;ROUND(SUGERENCIAS!M550,0),"= MANT | Kg:"&amp;ROUND(SUGERENCIAS!K550,1)&amp;" R:"&amp;ROUND(SUGERENCIAS!L550,0)&amp;" RIR:"&amp;ROUND(SUGERENCIAS!M550,0))))))</f>
        <v>Sin datos anteriores</v>
      </c>
      <c r="W220" s="69">
        <f>MAX(IF((G220&gt;0)*(IF(H220="",-1,H220)&gt;=0)*(IF(H220="",-1,H220)&lt;=1),IF(C220="peso_corporal",IF(ISNUMBER(E220),E220,0)+F220,F220)*G220*1000+F220,0),IF((J220&gt;0)*(IF(K220="",-1,K220)&gt;=0)*(IF(K220="",-1,K220)&lt;=1),IF(C220="peso_corporal",IF(ISNUMBER(E220),E220,0)+I220,I220)*J220*1000+I220,0),IF((M220&gt;0)*(IF(N220="",-1,N220)&gt;=0)*(IF(N220="",-1,N220)&lt;=1),IF(C220="peso_corporal",IF(ISNUMBER(E220),E220,0)+L220,L220)*M220*1000+L220,0),IF((P220&gt;0)*(IF(Q220="",-1,Q220)&gt;=0)*(IF(Q220="",-1,Q220)&lt;=1),IF(C220="peso_corporal",IF(ISNUMBER(E220),E220,0)+O220,O220)*P220*1000+O220,0),IF((S220&gt;0)*(IF(T220="",-1,T220)&gt;=0)*(IF(T220="",-1,T220)&lt;=1),IF(C220="peso_corporal",IF(ISNUMBER(E220),E220,0)+R220,R220)*S220*1000+R220,0))</f>
        <v>0</v>
      </c>
      <c r="X220" s="69">
        <f>IF(W220=0,0,IF(IF((S220&gt;0)*(IF(T220="",-1,T220)&gt;=0)*(IF(T220="",-1,T220)&lt;=1),IF(C220="peso_corporal",IF(ISNUMBER(E220),E220,0)+R220,R220)*S220*1000+R220,0)=W220,5,IF(IF((P220&gt;0)*(IF(Q220="",-1,Q220)&gt;=0)*(IF(Q220="",-1,Q220)&lt;=1),IF(C220="peso_corporal",IF(ISNUMBER(E220),E220,0)+O220,O220)*P220*1000+O220,0)=W220,4,IF(IF((M220&gt;0)*(IF(N220="",-1,N220)&gt;=0)*(IF(N220="",-1,N220)&lt;=1),IF(C220="peso_corporal",IF(ISNUMBER(E220),E220,0)+L220,L220)*M220*1000+L220,0)=W220,3,IF(IF((J220&gt;0)*(IF(K220="",-1,K220)&gt;=0)*(IF(K220="",-1,K220)&lt;=1),IF(C220="peso_corporal",IF(ISNUMBER(E220),E220,0)+I220,I220)*J220*1000+I220,0)=W220,2,IF(IF((G220&gt;0)*(IF(H220="",-1,H220)&gt;=0)*(IF(H220="",-1,H220)&lt;=1),IF(C220="peso_corporal",IF(ISNUMBER(E220),E220,0)+F220,F220)*G220*1000+F220,0)=W220,1,0))))))</f>
        <v>0</v>
      </c>
      <c r="Y220" s="69">
        <f>MAX(IF((G220&gt;0)*(IF(H220="",-1,H220)=0)*(1-(IF(H220="",-1,H220)&gt;=0)*(IF(H220="",-1,H220)&lt;=1)),IF(C220="peso_corporal",IF(ISNUMBER(E220),E220,0)+F220,F220)*G220*1000+F220,0),IF((J220&gt;0)*(IF(K220="",-1,K220)=0)*(1-(IF(K220="",-1,K220)&gt;=0)*(IF(K220="",-1,K220)&lt;=1)),IF(C220="peso_corporal",IF(ISNUMBER(E220),E220,0)+I220,I220)*J220*1000+I220,0),IF((M220&gt;0)*(IF(N220="",-1,N220)=0)*(1-(IF(N220="",-1,N220)&gt;=0)*(IF(N220="",-1,N220)&lt;=1)),IF(C220="peso_corporal",IF(ISNUMBER(E220),E220,0)+L220,L220)*M220*1000+L220,0),IF((P220&gt;0)*(IF(Q220="",-1,Q220)=0)*(1-(IF(Q220="",-1,Q220)&gt;=0)*(IF(Q220="",-1,Q220)&lt;=1)),IF(C220="peso_corporal",IF(ISNUMBER(E220),E220,0)+O220,O220)*P220*1000+O220,0),IF((S220&gt;0)*(IF(T220="",-1,T220)=0)*(1-(IF(T220="",-1,T220)&gt;=0)*(IF(T220="",-1,T220)&lt;=1)),IF(C220="peso_corporal",IF(ISNUMBER(E220),E220,0)+R220,R220)*S220*1000+R220,0))</f>
        <v>0</v>
      </c>
      <c r="Z220" s="69">
        <f>IF(Y220=0,0,IF(IF((S220&gt;0)*(IF(T220="",-1,T220)=0)*(1-(IF(T220="",-1,T220)&gt;=0)*(IF(T220="",-1,T220)&lt;=1)),IF(C220="peso_corporal",IF(ISNUMBER(E220),E220,0)+R220,R220)*S220*1000+R220,0)=Y220,5,IF(IF((P220&gt;0)*(IF(Q220="",-1,Q220)=0)*(1-(IF(Q220="",-1,Q220)&gt;=0)*(IF(Q220="",-1,Q220)&lt;=1)),IF(C220="peso_corporal",IF(ISNUMBER(E220),E220,0)+O220,O220)*P220*1000+O220,0)=Y220,4,IF(IF((M220&gt;0)*(IF(N220="",-1,N220)=0)*(1-(IF(N220="",-1,N220)&gt;=0)*(IF(N220="",-1,N220)&lt;=1)),IF(C220="peso_corporal",IF(ISNUMBER(E220),E220,0)+L220,L220)*M220*1000+L220,0)=Y220,3,IF(IF((J220&gt;0)*(IF(K220="",-1,K220)=0)*(1-(IF(K220="",-1,K220)&gt;=0)*(IF(K220="",-1,K220)&lt;=1)),IF(C220="peso_corporal",IF(ISNUMBER(E220),E220,0)+I220,I220)*J220*1000+I220,0)=Y220,2,IF(IF((G220&gt;0)*(IF(H220="",-1,H220)=0)*(1-(IF(H220="",-1,H220)&gt;=0)*(IF(H220="",-1,H220)&lt;=1)),IF(C220="peso_corporal",IF(ISNUMBER(E220),E220,0)+F220,F220)*G220*1000+F220,0)=Y220,1,0))))))</f>
        <v>0</v>
      </c>
      <c r="AA220" s="69">
        <f>MAX(IF((G220&gt;=3)*(1-(IF(H220="",-1,H220)&gt;=0)*(IF(H220="",-1,H220)&lt;=1))*(1-(IF(H220="",-1,H220)=0)),IF(C220="peso_corporal",IF(ISNUMBER(E220),E220,0)+F220,F220)*(30+G220)*100+F220,0),IF((J220&gt;=3)*(1-(IF(K220="",-1,K220)&gt;=0)*(IF(K220="",-1,K220)&lt;=1))*(1-(IF(K220="",-1,K220)=0)),IF(C220="peso_corporal",IF(ISNUMBER(E220),E220,0)+I220,I220)*(30+J220)*100+I220,0),IF((M220&gt;=3)*(1-(IF(N220="",-1,N220)&gt;=0)*(IF(N220="",-1,N220)&lt;=1))*(1-(IF(N220="",-1,N220)=0)),IF(C220="peso_corporal",IF(ISNUMBER(E220),E220,0)+L220,L220)*(30+M220)*100+L220,0),IF((P220&gt;=3)*(1-(IF(Q220="",-1,Q220)&gt;=0)*(IF(Q220="",-1,Q220)&lt;=1))*(1-(IF(Q220="",-1,Q220)=0)),IF(C220="peso_corporal",IF(ISNUMBER(E220),E220,0)+O220,O220)*(30+P220)*100+O220,0),IF((S220&gt;=3)*(1-(IF(T220="",-1,T220)&gt;=0)*(IF(T220="",-1,T220)&lt;=1))*(1-(IF(T220="",-1,T220)=0)),IF(C220="peso_corporal",IF(ISNUMBER(E220),E220,0)+R220,R220)*(30+S220)*100+R220,0))</f>
        <v>0</v>
      </c>
      <c r="AB220" s="69">
        <f>IF(AA220=0,0,IF(IF((S220&gt;=3)*(1-(IF(T220="",-1,T220)&gt;=0)*(IF(T220="",-1,T220)&lt;=1))*(1-(IF(T220="",-1,T220)=0)),IF(C220="peso_corporal",IF(ISNUMBER(E220),E220,0)+R220,R220)*(30+S220)*100+R220,0)=AA220,5,IF(IF((P220&gt;=3)*(1-(IF(Q220="",-1,Q220)&gt;=0)*(IF(Q220="",-1,Q220)&lt;=1))*(1-(IF(Q220="",-1,Q220)=0)),IF(C220="peso_corporal",IF(ISNUMBER(E220),E220,0)+O220,O220)*(30+P220)*100+O220,0)=AA220,4,IF(IF((M220&gt;=3)*(1-(IF(N220="",-1,N220)&gt;=0)*(IF(N220="",-1,N220)&lt;=1))*(1-(IF(N220="",-1,N220)=0)),IF(C220="peso_corporal",IF(ISNUMBER(E220),E220,0)+L220,L220)*(30+M220)*100+L220,0)=AA220,3,IF(IF((J220&gt;=3)*(1-(IF(K220="",-1,K220)&gt;=0)*(IF(K220="",-1,K220)&lt;=1))*(1-(IF(K220="",-1,K220)=0)),IF(C220="peso_corporal",IF(ISNUMBER(E220),E220,0)+I220,I220)*(30+J220)*100+I220,0)=AA220,2,IF(IF((G220&gt;=3)*(1-(IF(H220="",-1,H220)&gt;=0)*(IF(H220="",-1,H220)&lt;=1))*(1-(IF(H220="",-1,H220)=0)),IF(C220="peso_corporal",IF(ISNUMBER(E220),E220,0)+F220,F220)*(30+G220)*100+F220,0)=AA220,1,0))))))</f>
        <v>0</v>
      </c>
      <c r="AC220" s="69" t="str">
        <f>IF(X220&gt;0,"A"&amp;X220,IF(Z220&gt;0,"B"&amp;Z220,IF(AB220&gt;0,"C"&amp;AB220,"")))</f>
        <v/>
      </c>
    </row>
    <row r="221" spans="1:29" ht="11.1" customHeight="1">
      <c r="A221" s="84" t="s">
        <v>32</v>
      </c>
      <c r="B221" s="73"/>
      <c r="C221" s="73"/>
      <c r="D221" s="73"/>
      <c r="E221" s="73"/>
      <c r="F221" s="73"/>
      <c r="G221" s="73"/>
      <c r="H221" s="73"/>
      <c r="I221" s="73"/>
      <c r="J221" s="73"/>
      <c r="K221" s="73"/>
      <c r="L221" s="73"/>
      <c r="M221" s="73"/>
      <c r="N221" s="73"/>
      <c r="O221" s="73"/>
      <c r="P221" s="73"/>
      <c r="Q221" s="73"/>
      <c r="R221" s="73"/>
      <c r="S221" s="73"/>
      <c r="T221" s="73"/>
      <c r="U221" s="73"/>
      <c r="V221" s="73"/>
      <c r="W221" s="69"/>
      <c r="X221" s="69"/>
      <c r="Y221" s="69"/>
      <c r="Z221" s="69"/>
      <c r="AA221" s="69"/>
      <c r="AB221" s="69"/>
      <c r="AC221" s="69"/>
    </row>
    <row r="222" spans="1:29" ht="20.100000000000001" customHeight="1">
      <c r="A222" s="14" t="s">
        <v>61</v>
      </c>
      <c r="B222" s="15" t="s">
        <v>93</v>
      </c>
      <c r="C222" s="16" t="str">
        <f>IFERROR(INDEX(EJERCICIOS!$D$3:$D$75,MATCH(A222&amp;"|"&amp;B222,EJERCICIOS!$G$3:$G$75,0)),"--")</f>
        <v>disco</v>
      </c>
      <c r="D222" s="17">
        <v>3</v>
      </c>
      <c r="E222" s="18">
        <f>IFERROR(LOOKUP(2,1/(MEDIDAS_Y_PESO!$B$3:$B$11&lt;&gt;""),MEDIDAS_Y_PESO!$B$3:$B$11),"--")</f>
        <v>80</v>
      </c>
      <c r="F222" s="19"/>
      <c r="G222" s="20"/>
      <c r="H222" s="21"/>
      <c r="I222" s="19"/>
      <c r="J222" s="20"/>
      <c r="K222" s="21"/>
      <c r="L222" s="19"/>
      <c r="M222" s="20"/>
      <c r="N222" s="21"/>
      <c r="O222" s="19"/>
      <c r="P222" s="20"/>
      <c r="Q222" s="21"/>
      <c r="R222" s="19"/>
      <c r="S222" s="20"/>
      <c r="T222" s="21"/>
      <c r="U222" s="22" t="str">
        <f>IFERROR(IF(IF(X222&gt;0,X222,IF(Z222&gt;0,Z222,IF(AB222&gt;0,AB222,0)))=0,"--",ROUND(CHOOSE(IF(X222&gt;0,X222,IF(Z222&gt;0,Z222,IF(AB222&gt;0,AB222,0))),IF(C222="peso_corporal",IF(ISNUMBER(E222),E222,0)+F222,F222)*(1+G222/30),IF(C222="peso_corporal",IF(ISNUMBER(E222),E222,0)+I222,I222)*(1+J222/30),IF(C222="peso_corporal",IF(ISNUMBER(E222),E222,0)+L222,L222)*(1+M222/30),IF(C222="peso_corporal",IF(ISNUMBER(E222),E222,0)+O222,O222)*(1+P222/30),IF(C222="peso_corporal",IF(ISNUMBER(E222),E222,0)+R222,R222)*(1+S222/30)),1)),"--")</f>
        <v>--</v>
      </c>
      <c r="V222" s="23" t="str">
        <f>IF(SUGERENCIAS!N551="SIN","Sin datos anteriores",IF(SUGERENCIAS!N551="SUBIR_F","^ SUBIR FUERTE | Kg:"&amp;ROUND(SUGERENCIAS!K551,1)&amp;" R:"&amp;ROUND(SUGERENCIAS!L551,0)&amp;" RIR:"&amp;ROUND(SUGERENCIAS!M551,0),IF(SUGERENCIAS!N551="SUBIR_E","^ SUBIR (Est.) | Kg:"&amp;ROUND(SUGERENCIAS!K551,1)&amp;" R:"&amp;ROUND(SUGERENCIAS!L551,0)&amp;" RIR:"&amp;ROUND(SUGERENCIAS!M551,0),IF(SUGERENCIAS!N551="SUBIR","^ SUBIR | Kg:"&amp;ROUND(SUGERENCIAS!K551,1)&amp;" R:"&amp;ROUND(SUGERENCIAS!L551,0)&amp;" RIR:"&amp;ROUND(SUGERENCIAS!M551,0),IF(SUGERENCIAS!N551="BAJAR","v BAJAR | Kg:"&amp;ROUND(SUGERENCIAS!K551,1)&amp;" R:"&amp;ROUND(SUGERENCIAS!L551,0)&amp;" RIR:"&amp;ROUND(SUGERENCIAS!M551,0),"= MANT | Kg:"&amp;ROUND(SUGERENCIAS!K551,1)&amp;" R:"&amp;ROUND(SUGERENCIAS!L551,0)&amp;" RIR:"&amp;ROUND(SUGERENCIAS!M551,0))))))</f>
        <v>Sin datos anteriores</v>
      </c>
      <c r="W222" s="69">
        <f>MAX(IF((G222&gt;0)*(IF(H222="",-1,H222)&gt;=0)*(IF(H222="",-1,H222)&lt;=1),IF(C222="peso_corporal",IF(ISNUMBER(E222),E222,0)+F222,F222)*G222*1000+F222,0),IF((J222&gt;0)*(IF(K222="",-1,K222)&gt;=0)*(IF(K222="",-1,K222)&lt;=1),IF(C222="peso_corporal",IF(ISNUMBER(E222),E222,0)+I222,I222)*J222*1000+I222,0),IF((M222&gt;0)*(IF(N222="",-1,N222)&gt;=0)*(IF(N222="",-1,N222)&lt;=1),IF(C222="peso_corporal",IF(ISNUMBER(E222),E222,0)+L222,L222)*M222*1000+L222,0),IF((P222&gt;0)*(IF(Q222="",-1,Q222)&gt;=0)*(IF(Q222="",-1,Q222)&lt;=1),IF(C222="peso_corporal",IF(ISNUMBER(E222),E222,0)+O222,O222)*P222*1000+O222,0),IF((S222&gt;0)*(IF(T222="",-1,T222)&gt;=0)*(IF(T222="",-1,T222)&lt;=1),IF(C222="peso_corporal",IF(ISNUMBER(E222),E222,0)+R222,R222)*S222*1000+R222,0))</f>
        <v>0</v>
      </c>
      <c r="X222" s="69">
        <f>IF(W222=0,0,IF(IF((S222&gt;0)*(IF(T222="",-1,T222)&gt;=0)*(IF(T222="",-1,T222)&lt;=1),IF(C222="peso_corporal",IF(ISNUMBER(E222),E222,0)+R222,R222)*S222*1000+R222,0)=W222,5,IF(IF((P222&gt;0)*(IF(Q222="",-1,Q222)&gt;=0)*(IF(Q222="",-1,Q222)&lt;=1),IF(C222="peso_corporal",IF(ISNUMBER(E222),E222,0)+O222,O222)*P222*1000+O222,0)=W222,4,IF(IF((M222&gt;0)*(IF(N222="",-1,N222)&gt;=0)*(IF(N222="",-1,N222)&lt;=1),IF(C222="peso_corporal",IF(ISNUMBER(E222),E222,0)+L222,L222)*M222*1000+L222,0)=W222,3,IF(IF((J222&gt;0)*(IF(K222="",-1,K222)&gt;=0)*(IF(K222="",-1,K222)&lt;=1),IF(C222="peso_corporal",IF(ISNUMBER(E222),E222,0)+I222,I222)*J222*1000+I222,0)=W222,2,IF(IF((G222&gt;0)*(IF(H222="",-1,H222)&gt;=0)*(IF(H222="",-1,H222)&lt;=1),IF(C222="peso_corporal",IF(ISNUMBER(E222),E222,0)+F222,F222)*G222*1000+F222,0)=W222,1,0))))))</f>
        <v>0</v>
      </c>
      <c r="Y222" s="69">
        <f>MAX(IF((G222&gt;0)*(IF(H222="",-1,H222)=0)*(1-(IF(H222="",-1,H222)&gt;=0)*(IF(H222="",-1,H222)&lt;=1)),IF(C222="peso_corporal",IF(ISNUMBER(E222),E222,0)+F222,F222)*G222*1000+F222,0),IF((J222&gt;0)*(IF(K222="",-1,K222)=0)*(1-(IF(K222="",-1,K222)&gt;=0)*(IF(K222="",-1,K222)&lt;=1)),IF(C222="peso_corporal",IF(ISNUMBER(E222),E222,0)+I222,I222)*J222*1000+I222,0),IF((M222&gt;0)*(IF(N222="",-1,N222)=0)*(1-(IF(N222="",-1,N222)&gt;=0)*(IF(N222="",-1,N222)&lt;=1)),IF(C222="peso_corporal",IF(ISNUMBER(E222),E222,0)+L222,L222)*M222*1000+L222,0),IF((P222&gt;0)*(IF(Q222="",-1,Q222)=0)*(1-(IF(Q222="",-1,Q222)&gt;=0)*(IF(Q222="",-1,Q222)&lt;=1)),IF(C222="peso_corporal",IF(ISNUMBER(E222),E222,0)+O222,O222)*P222*1000+O222,0),IF((S222&gt;0)*(IF(T222="",-1,T222)=0)*(1-(IF(T222="",-1,T222)&gt;=0)*(IF(T222="",-1,T222)&lt;=1)),IF(C222="peso_corporal",IF(ISNUMBER(E222),E222,0)+R222,R222)*S222*1000+R222,0))</f>
        <v>0</v>
      </c>
      <c r="Z222" s="69">
        <f>IF(Y222=0,0,IF(IF((S222&gt;0)*(IF(T222="",-1,T222)=0)*(1-(IF(T222="",-1,T222)&gt;=0)*(IF(T222="",-1,T222)&lt;=1)),IF(C222="peso_corporal",IF(ISNUMBER(E222),E222,0)+R222,R222)*S222*1000+R222,0)=Y222,5,IF(IF((P222&gt;0)*(IF(Q222="",-1,Q222)=0)*(1-(IF(Q222="",-1,Q222)&gt;=0)*(IF(Q222="",-1,Q222)&lt;=1)),IF(C222="peso_corporal",IF(ISNUMBER(E222),E222,0)+O222,O222)*P222*1000+O222,0)=Y222,4,IF(IF((M222&gt;0)*(IF(N222="",-1,N222)=0)*(1-(IF(N222="",-1,N222)&gt;=0)*(IF(N222="",-1,N222)&lt;=1)),IF(C222="peso_corporal",IF(ISNUMBER(E222),E222,0)+L222,L222)*M222*1000+L222,0)=Y222,3,IF(IF((J222&gt;0)*(IF(K222="",-1,K222)=0)*(1-(IF(K222="",-1,K222)&gt;=0)*(IF(K222="",-1,K222)&lt;=1)),IF(C222="peso_corporal",IF(ISNUMBER(E222),E222,0)+I222,I222)*J222*1000+I222,0)=Y222,2,IF(IF((G222&gt;0)*(IF(H222="",-1,H222)=0)*(1-(IF(H222="",-1,H222)&gt;=0)*(IF(H222="",-1,H222)&lt;=1)),IF(C222="peso_corporal",IF(ISNUMBER(E222),E222,0)+F222,F222)*G222*1000+F222,0)=Y222,1,0))))))</f>
        <v>0</v>
      </c>
      <c r="AA222" s="69">
        <f>MAX(IF((G222&gt;=3)*(1-(IF(H222="",-1,H222)&gt;=0)*(IF(H222="",-1,H222)&lt;=1))*(1-(IF(H222="",-1,H222)=0)),IF(C222="peso_corporal",IF(ISNUMBER(E222),E222,0)+F222,F222)*(30+G222)*100+F222,0),IF((J222&gt;=3)*(1-(IF(K222="",-1,K222)&gt;=0)*(IF(K222="",-1,K222)&lt;=1))*(1-(IF(K222="",-1,K222)=0)),IF(C222="peso_corporal",IF(ISNUMBER(E222),E222,0)+I222,I222)*(30+J222)*100+I222,0),IF((M222&gt;=3)*(1-(IF(N222="",-1,N222)&gt;=0)*(IF(N222="",-1,N222)&lt;=1))*(1-(IF(N222="",-1,N222)=0)),IF(C222="peso_corporal",IF(ISNUMBER(E222),E222,0)+L222,L222)*(30+M222)*100+L222,0),IF((P222&gt;=3)*(1-(IF(Q222="",-1,Q222)&gt;=0)*(IF(Q222="",-1,Q222)&lt;=1))*(1-(IF(Q222="",-1,Q222)=0)),IF(C222="peso_corporal",IF(ISNUMBER(E222),E222,0)+O222,O222)*(30+P222)*100+O222,0),IF((S222&gt;=3)*(1-(IF(T222="",-1,T222)&gt;=0)*(IF(T222="",-1,T222)&lt;=1))*(1-(IF(T222="",-1,T222)=0)),IF(C222="peso_corporal",IF(ISNUMBER(E222),E222,0)+R222,R222)*(30+S222)*100+R222,0))</f>
        <v>0</v>
      </c>
      <c r="AB222" s="69">
        <f>IF(AA222=0,0,IF(IF((S222&gt;=3)*(1-(IF(T222="",-1,T222)&gt;=0)*(IF(T222="",-1,T222)&lt;=1))*(1-(IF(T222="",-1,T222)=0)),IF(C222="peso_corporal",IF(ISNUMBER(E222),E222,0)+R222,R222)*(30+S222)*100+R222,0)=AA222,5,IF(IF((P222&gt;=3)*(1-(IF(Q222="",-1,Q222)&gt;=0)*(IF(Q222="",-1,Q222)&lt;=1))*(1-(IF(Q222="",-1,Q222)=0)),IF(C222="peso_corporal",IF(ISNUMBER(E222),E222,0)+O222,O222)*(30+P222)*100+O222,0)=AA222,4,IF(IF((M222&gt;=3)*(1-(IF(N222="",-1,N222)&gt;=0)*(IF(N222="",-1,N222)&lt;=1))*(1-(IF(N222="",-1,N222)=0)),IF(C222="peso_corporal",IF(ISNUMBER(E222),E222,0)+L222,L222)*(30+M222)*100+L222,0)=AA222,3,IF(IF((J222&gt;=3)*(1-(IF(K222="",-1,K222)&gt;=0)*(IF(K222="",-1,K222)&lt;=1))*(1-(IF(K222="",-1,K222)=0)),IF(C222="peso_corporal",IF(ISNUMBER(E222),E222,0)+I222,I222)*(30+J222)*100+I222,0)=AA222,2,IF(IF((G222&gt;=3)*(1-(IF(H222="",-1,H222)&gt;=0)*(IF(H222="",-1,H222)&lt;=1))*(1-(IF(H222="",-1,H222)=0)),IF(C222="peso_corporal",IF(ISNUMBER(E222),E222,0)+F222,F222)*(30+G222)*100+F222,0)=AA222,1,0))))))</f>
        <v>0</v>
      </c>
      <c r="AC222" s="69" t="str">
        <f>IF(X222&gt;0,"A"&amp;X222,IF(Z222&gt;0,"B"&amp;Z222,IF(AB222&gt;0,"C"&amp;AB222,"")))</f>
        <v/>
      </c>
    </row>
    <row r="223" spans="1:29" ht="11.1" customHeight="1">
      <c r="A223" s="87" t="s">
        <v>165</v>
      </c>
      <c r="B223" s="73"/>
      <c r="C223" s="73"/>
      <c r="D223" s="73"/>
      <c r="E223" s="73"/>
      <c r="F223" s="73"/>
      <c r="G223" s="73"/>
      <c r="H223" s="73"/>
      <c r="I223" s="73"/>
      <c r="J223" s="73"/>
      <c r="K223" s="73"/>
      <c r="L223" s="73"/>
      <c r="M223" s="73"/>
      <c r="N223" s="73"/>
      <c r="O223" s="73"/>
      <c r="P223" s="73"/>
      <c r="Q223" s="73"/>
      <c r="R223" s="73"/>
      <c r="S223" s="73"/>
      <c r="T223" s="73"/>
      <c r="U223" s="73"/>
      <c r="V223" s="73"/>
      <c r="W223" s="69"/>
      <c r="X223" s="69"/>
      <c r="Y223" s="69"/>
      <c r="Z223" s="69"/>
      <c r="AA223" s="69"/>
      <c r="AB223" s="69"/>
      <c r="AC223" s="69"/>
    </row>
    <row r="224" spans="1:29" ht="20.100000000000001" customHeight="1">
      <c r="A224" s="14" t="s">
        <v>62</v>
      </c>
      <c r="B224" s="15" t="s">
        <v>63</v>
      </c>
      <c r="C224" s="16" t="str">
        <f>IFERROR(INDEX(EJERCICIOS!$D$3:$D$75,MATCH(A224&amp;"|"&amp;B224,EJERCICIOS!$G$3:$G$75,0)),"--")</f>
        <v>--</v>
      </c>
      <c r="D224" s="17">
        <v>3</v>
      </c>
      <c r="E224" s="18">
        <f>IFERROR(LOOKUP(2,1/(MEDIDAS_Y_PESO!$B$3:$B$11&lt;&gt;""),MEDIDAS_Y_PESO!$B$3:$B$11),"--")</f>
        <v>80</v>
      </c>
      <c r="F224" s="19"/>
      <c r="G224" s="20"/>
      <c r="H224" s="21"/>
      <c r="I224" s="19"/>
      <c r="J224" s="20"/>
      <c r="K224" s="21"/>
      <c r="L224" s="19"/>
      <c r="M224" s="20"/>
      <c r="N224" s="21"/>
      <c r="O224" s="19"/>
      <c r="P224" s="20"/>
      <c r="Q224" s="21"/>
      <c r="R224" s="19"/>
      <c r="S224" s="20"/>
      <c r="T224" s="21"/>
      <c r="U224" s="22" t="str">
        <f>IFERROR(IF(IF(X224&gt;0,X224,IF(Z224&gt;0,Z224,IF(AB224&gt;0,AB224,0)))=0,"--",ROUND(CHOOSE(IF(X224&gt;0,X224,IF(Z224&gt;0,Z224,IF(AB224&gt;0,AB224,0))),IF(C224="peso_corporal",IF(ISNUMBER(E224),E224,0)+F224,F224)*(1+G224/30),IF(C224="peso_corporal",IF(ISNUMBER(E224),E224,0)+I224,I224)*(1+J224/30),IF(C224="peso_corporal",IF(ISNUMBER(E224),E224,0)+L224,L224)*(1+M224/30),IF(C224="peso_corporal",IF(ISNUMBER(E224),E224,0)+O224,O224)*(1+P224/30),IF(C224="peso_corporal",IF(ISNUMBER(E224),E224,0)+R224,R224)*(1+S224/30)),1)),"--")</f>
        <v>--</v>
      </c>
      <c r="V224" s="23" t="str">
        <f>IF(SUGERENCIAS!N552="SIN","Sin datos anteriores",IF(SUGERENCIAS!N552="SUBIR_F","^ SUBIR FUERTE | Kg:"&amp;ROUND(SUGERENCIAS!K552,1)&amp;" R:"&amp;ROUND(SUGERENCIAS!L552,0)&amp;" RIR:"&amp;ROUND(SUGERENCIAS!M552,0),IF(SUGERENCIAS!N552="SUBIR_E","^ SUBIR (Est.) | Kg:"&amp;ROUND(SUGERENCIAS!K552,1)&amp;" R:"&amp;ROUND(SUGERENCIAS!L552,0)&amp;" RIR:"&amp;ROUND(SUGERENCIAS!M552,0),IF(SUGERENCIAS!N552="SUBIR","^ SUBIR | Kg:"&amp;ROUND(SUGERENCIAS!K552,1)&amp;" R:"&amp;ROUND(SUGERENCIAS!L552,0)&amp;" RIR:"&amp;ROUND(SUGERENCIAS!M552,0),IF(SUGERENCIAS!N552="BAJAR","v BAJAR | Kg:"&amp;ROUND(SUGERENCIAS!K552,1)&amp;" R:"&amp;ROUND(SUGERENCIAS!L552,0)&amp;" RIR:"&amp;ROUND(SUGERENCIAS!M552,0),"= MANT | Kg:"&amp;ROUND(SUGERENCIAS!K552,1)&amp;" R:"&amp;ROUND(SUGERENCIAS!L552,0)&amp;" RIR:"&amp;ROUND(SUGERENCIAS!M552,0))))))</f>
        <v>Sin datos anteriores</v>
      </c>
      <c r="W224" s="69">
        <f>MAX(IF((G224&gt;0)*(IF(H224="",-1,H224)&gt;=0)*(IF(H224="",-1,H224)&lt;=1),IF(C224="peso_corporal",IF(ISNUMBER(E224),E224,0)+F224,F224)*G224*1000+F224,0),IF((J224&gt;0)*(IF(K224="",-1,K224)&gt;=0)*(IF(K224="",-1,K224)&lt;=1),IF(C224="peso_corporal",IF(ISNUMBER(E224),E224,0)+I224,I224)*J224*1000+I224,0),IF((M224&gt;0)*(IF(N224="",-1,N224)&gt;=0)*(IF(N224="",-1,N224)&lt;=1),IF(C224="peso_corporal",IF(ISNUMBER(E224),E224,0)+L224,L224)*M224*1000+L224,0),IF((P224&gt;0)*(IF(Q224="",-1,Q224)&gt;=0)*(IF(Q224="",-1,Q224)&lt;=1),IF(C224="peso_corporal",IF(ISNUMBER(E224),E224,0)+O224,O224)*P224*1000+O224,0),IF((S224&gt;0)*(IF(T224="",-1,T224)&gt;=0)*(IF(T224="",-1,T224)&lt;=1),IF(C224="peso_corporal",IF(ISNUMBER(E224),E224,0)+R224,R224)*S224*1000+R224,0))</f>
        <v>0</v>
      </c>
      <c r="X224" s="69">
        <f>IF(W224=0,0,IF(IF((S224&gt;0)*(IF(T224="",-1,T224)&gt;=0)*(IF(T224="",-1,T224)&lt;=1),IF(C224="peso_corporal",IF(ISNUMBER(E224),E224,0)+R224,R224)*S224*1000+R224,0)=W224,5,IF(IF((P224&gt;0)*(IF(Q224="",-1,Q224)&gt;=0)*(IF(Q224="",-1,Q224)&lt;=1),IF(C224="peso_corporal",IF(ISNUMBER(E224),E224,0)+O224,O224)*P224*1000+O224,0)=W224,4,IF(IF((M224&gt;0)*(IF(N224="",-1,N224)&gt;=0)*(IF(N224="",-1,N224)&lt;=1),IF(C224="peso_corporal",IF(ISNUMBER(E224),E224,0)+L224,L224)*M224*1000+L224,0)=W224,3,IF(IF((J224&gt;0)*(IF(K224="",-1,K224)&gt;=0)*(IF(K224="",-1,K224)&lt;=1),IF(C224="peso_corporal",IF(ISNUMBER(E224),E224,0)+I224,I224)*J224*1000+I224,0)=W224,2,IF(IF((G224&gt;0)*(IF(H224="",-1,H224)&gt;=0)*(IF(H224="",-1,H224)&lt;=1),IF(C224="peso_corporal",IF(ISNUMBER(E224),E224,0)+F224,F224)*G224*1000+F224,0)=W224,1,0))))))</f>
        <v>0</v>
      </c>
      <c r="Y224" s="69">
        <f>MAX(IF((G224&gt;0)*(IF(H224="",-1,H224)=0)*(1-(IF(H224="",-1,H224)&gt;=0)*(IF(H224="",-1,H224)&lt;=1)),IF(C224="peso_corporal",IF(ISNUMBER(E224),E224,0)+F224,F224)*G224*1000+F224,0),IF((J224&gt;0)*(IF(K224="",-1,K224)=0)*(1-(IF(K224="",-1,K224)&gt;=0)*(IF(K224="",-1,K224)&lt;=1)),IF(C224="peso_corporal",IF(ISNUMBER(E224),E224,0)+I224,I224)*J224*1000+I224,0),IF((M224&gt;0)*(IF(N224="",-1,N224)=0)*(1-(IF(N224="",-1,N224)&gt;=0)*(IF(N224="",-1,N224)&lt;=1)),IF(C224="peso_corporal",IF(ISNUMBER(E224),E224,0)+L224,L224)*M224*1000+L224,0),IF((P224&gt;0)*(IF(Q224="",-1,Q224)=0)*(1-(IF(Q224="",-1,Q224)&gt;=0)*(IF(Q224="",-1,Q224)&lt;=1)),IF(C224="peso_corporal",IF(ISNUMBER(E224),E224,0)+O224,O224)*P224*1000+O224,0),IF((S224&gt;0)*(IF(T224="",-1,T224)=0)*(1-(IF(T224="",-1,T224)&gt;=0)*(IF(T224="",-1,T224)&lt;=1)),IF(C224="peso_corporal",IF(ISNUMBER(E224),E224,0)+R224,R224)*S224*1000+R224,0))</f>
        <v>0</v>
      </c>
      <c r="Z224" s="69">
        <f>IF(Y224=0,0,IF(IF((S224&gt;0)*(IF(T224="",-1,T224)=0)*(1-(IF(T224="",-1,T224)&gt;=0)*(IF(T224="",-1,T224)&lt;=1)),IF(C224="peso_corporal",IF(ISNUMBER(E224),E224,0)+R224,R224)*S224*1000+R224,0)=Y224,5,IF(IF((P224&gt;0)*(IF(Q224="",-1,Q224)=0)*(1-(IF(Q224="",-1,Q224)&gt;=0)*(IF(Q224="",-1,Q224)&lt;=1)),IF(C224="peso_corporal",IF(ISNUMBER(E224),E224,0)+O224,O224)*P224*1000+O224,0)=Y224,4,IF(IF((M224&gt;0)*(IF(N224="",-1,N224)=0)*(1-(IF(N224="",-1,N224)&gt;=0)*(IF(N224="",-1,N224)&lt;=1)),IF(C224="peso_corporal",IF(ISNUMBER(E224),E224,0)+L224,L224)*M224*1000+L224,0)=Y224,3,IF(IF((J224&gt;0)*(IF(K224="",-1,K224)=0)*(1-(IF(K224="",-1,K224)&gt;=0)*(IF(K224="",-1,K224)&lt;=1)),IF(C224="peso_corporal",IF(ISNUMBER(E224),E224,0)+I224,I224)*J224*1000+I224,0)=Y224,2,IF(IF((G224&gt;0)*(IF(H224="",-1,H224)=0)*(1-(IF(H224="",-1,H224)&gt;=0)*(IF(H224="",-1,H224)&lt;=1)),IF(C224="peso_corporal",IF(ISNUMBER(E224),E224,0)+F224,F224)*G224*1000+F224,0)=Y224,1,0))))))</f>
        <v>0</v>
      </c>
      <c r="AA224" s="69">
        <f>MAX(IF((G224&gt;=3)*(1-(IF(H224="",-1,H224)&gt;=0)*(IF(H224="",-1,H224)&lt;=1))*(1-(IF(H224="",-1,H224)=0)),IF(C224="peso_corporal",IF(ISNUMBER(E224),E224,0)+F224,F224)*(30+G224)*100+F224,0),IF((J224&gt;=3)*(1-(IF(K224="",-1,K224)&gt;=0)*(IF(K224="",-1,K224)&lt;=1))*(1-(IF(K224="",-1,K224)=0)),IF(C224="peso_corporal",IF(ISNUMBER(E224),E224,0)+I224,I224)*(30+J224)*100+I224,0),IF((M224&gt;=3)*(1-(IF(N224="",-1,N224)&gt;=0)*(IF(N224="",-1,N224)&lt;=1))*(1-(IF(N224="",-1,N224)=0)),IF(C224="peso_corporal",IF(ISNUMBER(E224),E224,0)+L224,L224)*(30+M224)*100+L224,0),IF((P224&gt;=3)*(1-(IF(Q224="",-1,Q224)&gt;=0)*(IF(Q224="",-1,Q224)&lt;=1))*(1-(IF(Q224="",-1,Q224)=0)),IF(C224="peso_corporal",IF(ISNUMBER(E224),E224,0)+O224,O224)*(30+P224)*100+O224,0),IF((S224&gt;=3)*(1-(IF(T224="",-1,T224)&gt;=0)*(IF(T224="",-1,T224)&lt;=1))*(1-(IF(T224="",-1,T224)=0)),IF(C224="peso_corporal",IF(ISNUMBER(E224),E224,0)+R224,R224)*(30+S224)*100+R224,0))</f>
        <v>0</v>
      </c>
      <c r="AB224" s="69">
        <f>IF(AA224=0,0,IF(IF((S224&gt;=3)*(1-(IF(T224="",-1,T224)&gt;=0)*(IF(T224="",-1,T224)&lt;=1))*(1-(IF(T224="",-1,T224)=0)),IF(C224="peso_corporal",IF(ISNUMBER(E224),E224,0)+R224,R224)*(30+S224)*100+R224,0)=AA224,5,IF(IF((P224&gt;=3)*(1-(IF(Q224="",-1,Q224)&gt;=0)*(IF(Q224="",-1,Q224)&lt;=1))*(1-(IF(Q224="",-1,Q224)=0)),IF(C224="peso_corporal",IF(ISNUMBER(E224),E224,0)+O224,O224)*(30+P224)*100+O224,0)=AA224,4,IF(IF((M224&gt;=3)*(1-(IF(N224="",-1,N224)&gt;=0)*(IF(N224="",-1,N224)&lt;=1))*(1-(IF(N224="",-1,N224)=0)),IF(C224="peso_corporal",IF(ISNUMBER(E224),E224,0)+L224,L224)*(30+M224)*100+L224,0)=AA224,3,IF(IF((J224&gt;=3)*(1-(IF(K224="",-1,K224)&gt;=0)*(IF(K224="",-1,K224)&lt;=1))*(1-(IF(K224="",-1,K224)=0)),IF(C224="peso_corporal",IF(ISNUMBER(E224),E224,0)+I224,I224)*(30+J224)*100+I224,0)=AA224,2,IF(IF((G224&gt;=3)*(1-(IF(H224="",-1,H224)&gt;=0)*(IF(H224="",-1,H224)&lt;=1))*(1-(IF(H224="",-1,H224)=0)),IF(C224="peso_corporal",IF(ISNUMBER(E224),E224,0)+F224,F224)*(30+G224)*100+F224,0)=AA224,1,0))))))</f>
        <v>0</v>
      </c>
      <c r="AC224" s="69" t="str">
        <f>IF(X224&gt;0,"A"&amp;X224,IF(Z224&gt;0,"B"&amp;Z224,IF(AB224&gt;0,"C"&amp;AB224,"")))</f>
        <v/>
      </c>
    </row>
    <row r="225" spans="1:29" ht="15" customHeight="1">
      <c r="A225" s="82" t="s">
        <v>47</v>
      </c>
      <c r="B225" s="73"/>
      <c r="C225" s="73"/>
      <c r="D225" s="73"/>
      <c r="E225" s="73"/>
      <c r="F225" s="73"/>
      <c r="G225" s="73"/>
      <c r="H225" s="73"/>
      <c r="I225" s="73"/>
      <c r="J225" s="73"/>
      <c r="K225" s="73"/>
      <c r="L225" s="73"/>
      <c r="M225" s="73"/>
      <c r="N225" s="73"/>
      <c r="O225" s="73"/>
      <c r="P225" s="73"/>
      <c r="Q225" s="73"/>
      <c r="R225" s="73"/>
      <c r="S225" s="73"/>
      <c r="T225" s="73"/>
      <c r="U225" s="73"/>
      <c r="V225" s="73"/>
      <c r="W225" s="69"/>
      <c r="X225" s="69"/>
      <c r="Y225" s="69"/>
      <c r="Z225" s="69"/>
      <c r="AA225" s="69"/>
      <c r="AB225" s="69"/>
      <c r="AC225" s="69"/>
    </row>
    <row r="226" spans="1:29" ht="20.100000000000001" customHeight="1">
      <c r="A226" s="14" t="s">
        <v>40</v>
      </c>
      <c r="B226" s="15" t="s">
        <v>41</v>
      </c>
      <c r="C226" s="16" t="str">
        <f>IFERROR(INDEX(EJERCICIOS!$D$3:$D$75,MATCH(A226&amp;"|"&amp;B226,EJERCICIOS!$G$3:$G$75,0)),"--")</f>
        <v>polea</v>
      </c>
      <c r="D226" s="17">
        <v>3</v>
      </c>
      <c r="E226" s="18">
        <f>IFERROR(LOOKUP(2,1/(MEDIDAS_Y_PESO!$B$3:$B$11&lt;&gt;""),MEDIDAS_Y_PESO!$B$3:$B$11),"--")</f>
        <v>80</v>
      </c>
      <c r="F226" s="19"/>
      <c r="G226" s="20"/>
      <c r="H226" s="21"/>
      <c r="I226" s="19"/>
      <c r="J226" s="20"/>
      <c r="K226" s="21"/>
      <c r="L226" s="19"/>
      <c r="M226" s="20"/>
      <c r="N226" s="21"/>
      <c r="O226" s="19"/>
      <c r="P226" s="20"/>
      <c r="Q226" s="21"/>
      <c r="R226" s="19"/>
      <c r="S226" s="20"/>
      <c r="T226" s="21"/>
      <c r="U226" s="22" t="str">
        <f>IFERROR(IF(IF(X226&gt;0,X226,IF(Z226&gt;0,Z226,IF(AB226&gt;0,AB226,0)))=0,"--",ROUND(CHOOSE(IF(X226&gt;0,X226,IF(Z226&gt;0,Z226,IF(AB226&gt;0,AB226,0))),IF(C226="peso_corporal",IF(ISNUMBER(E226),E226,0)+F226,F226)*(1+G226/30),IF(C226="peso_corporal",IF(ISNUMBER(E226),E226,0)+I226,I226)*(1+J226/30),IF(C226="peso_corporal",IF(ISNUMBER(E226),E226,0)+L226,L226)*(1+M226/30),IF(C226="peso_corporal",IF(ISNUMBER(E226),E226,0)+O226,O226)*(1+P226/30),IF(C226="peso_corporal",IF(ISNUMBER(E226),E226,0)+R226,R226)*(1+S226/30)),1)),"--")</f>
        <v>--</v>
      </c>
      <c r="V226" s="23" t="str">
        <f>IF(SUGERENCIAS!N553="SIN","Sin datos anteriores",IF(SUGERENCIAS!N553="SUBIR_F","^ SUBIR FUERTE | Kg:"&amp;ROUND(SUGERENCIAS!K553,1)&amp;" R:"&amp;ROUND(SUGERENCIAS!L553,0)&amp;" RIR:"&amp;ROUND(SUGERENCIAS!M553,0),IF(SUGERENCIAS!N553="SUBIR_E","^ SUBIR (Est.) | Kg:"&amp;ROUND(SUGERENCIAS!K553,1)&amp;" R:"&amp;ROUND(SUGERENCIAS!L553,0)&amp;" RIR:"&amp;ROUND(SUGERENCIAS!M553,0),IF(SUGERENCIAS!N553="SUBIR","^ SUBIR | Kg:"&amp;ROUND(SUGERENCIAS!K553,1)&amp;" R:"&amp;ROUND(SUGERENCIAS!L553,0)&amp;" RIR:"&amp;ROUND(SUGERENCIAS!M553,0),IF(SUGERENCIAS!N553="BAJAR","v BAJAR | Kg:"&amp;ROUND(SUGERENCIAS!K553,1)&amp;" R:"&amp;ROUND(SUGERENCIAS!L553,0)&amp;" RIR:"&amp;ROUND(SUGERENCIAS!M553,0),"= MANT | Kg:"&amp;ROUND(SUGERENCIAS!K553,1)&amp;" R:"&amp;ROUND(SUGERENCIAS!L553,0)&amp;" RIR:"&amp;ROUND(SUGERENCIAS!M553,0))))))</f>
        <v>Sin datos anteriores</v>
      </c>
      <c r="W226" s="69">
        <f>MAX(IF((G226&gt;0)*(IF(H226="",-1,H226)&gt;=0)*(IF(H226="",-1,H226)&lt;=1),IF(C226="peso_corporal",IF(ISNUMBER(E226),E226,0)+F226,F226)*G226*1000+F226,0),IF((J226&gt;0)*(IF(K226="",-1,K226)&gt;=0)*(IF(K226="",-1,K226)&lt;=1),IF(C226="peso_corporal",IF(ISNUMBER(E226),E226,0)+I226,I226)*J226*1000+I226,0),IF((M226&gt;0)*(IF(N226="",-1,N226)&gt;=0)*(IF(N226="",-1,N226)&lt;=1),IF(C226="peso_corporal",IF(ISNUMBER(E226),E226,0)+L226,L226)*M226*1000+L226,0),IF((P226&gt;0)*(IF(Q226="",-1,Q226)&gt;=0)*(IF(Q226="",-1,Q226)&lt;=1),IF(C226="peso_corporal",IF(ISNUMBER(E226),E226,0)+O226,O226)*P226*1000+O226,0),IF((S226&gt;0)*(IF(T226="",-1,T226)&gt;=0)*(IF(T226="",-1,T226)&lt;=1),IF(C226="peso_corporal",IF(ISNUMBER(E226),E226,0)+R226,R226)*S226*1000+R226,0))</f>
        <v>0</v>
      </c>
      <c r="X226" s="69">
        <f>IF(W226=0,0,IF(IF((S226&gt;0)*(IF(T226="",-1,T226)&gt;=0)*(IF(T226="",-1,T226)&lt;=1),IF(C226="peso_corporal",IF(ISNUMBER(E226),E226,0)+R226,R226)*S226*1000+R226,0)=W226,5,IF(IF((P226&gt;0)*(IF(Q226="",-1,Q226)&gt;=0)*(IF(Q226="",-1,Q226)&lt;=1),IF(C226="peso_corporal",IF(ISNUMBER(E226),E226,0)+O226,O226)*P226*1000+O226,0)=W226,4,IF(IF((M226&gt;0)*(IF(N226="",-1,N226)&gt;=0)*(IF(N226="",-1,N226)&lt;=1),IF(C226="peso_corporal",IF(ISNUMBER(E226),E226,0)+L226,L226)*M226*1000+L226,0)=W226,3,IF(IF((J226&gt;0)*(IF(K226="",-1,K226)&gt;=0)*(IF(K226="",-1,K226)&lt;=1),IF(C226="peso_corporal",IF(ISNUMBER(E226),E226,0)+I226,I226)*J226*1000+I226,0)=W226,2,IF(IF((G226&gt;0)*(IF(H226="",-1,H226)&gt;=0)*(IF(H226="",-1,H226)&lt;=1),IF(C226="peso_corporal",IF(ISNUMBER(E226),E226,0)+F226,F226)*G226*1000+F226,0)=W226,1,0))))))</f>
        <v>0</v>
      </c>
      <c r="Y226" s="69">
        <f>MAX(IF((G226&gt;0)*(IF(H226="",-1,H226)=0)*(1-(IF(H226="",-1,H226)&gt;=0)*(IF(H226="",-1,H226)&lt;=1)),IF(C226="peso_corporal",IF(ISNUMBER(E226),E226,0)+F226,F226)*G226*1000+F226,0),IF((J226&gt;0)*(IF(K226="",-1,K226)=0)*(1-(IF(K226="",-1,K226)&gt;=0)*(IF(K226="",-1,K226)&lt;=1)),IF(C226="peso_corporal",IF(ISNUMBER(E226),E226,0)+I226,I226)*J226*1000+I226,0),IF((M226&gt;0)*(IF(N226="",-1,N226)=0)*(1-(IF(N226="",-1,N226)&gt;=0)*(IF(N226="",-1,N226)&lt;=1)),IF(C226="peso_corporal",IF(ISNUMBER(E226),E226,0)+L226,L226)*M226*1000+L226,0),IF((P226&gt;0)*(IF(Q226="",-1,Q226)=0)*(1-(IF(Q226="",-1,Q226)&gt;=0)*(IF(Q226="",-1,Q226)&lt;=1)),IF(C226="peso_corporal",IF(ISNUMBER(E226),E226,0)+O226,O226)*P226*1000+O226,0),IF((S226&gt;0)*(IF(T226="",-1,T226)=0)*(1-(IF(T226="",-1,T226)&gt;=0)*(IF(T226="",-1,T226)&lt;=1)),IF(C226="peso_corporal",IF(ISNUMBER(E226),E226,0)+R226,R226)*S226*1000+R226,0))</f>
        <v>0</v>
      </c>
      <c r="Z226" s="69">
        <f>IF(Y226=0,0,IF(IF((S226&gt;0)*(IF(T226="",-1,T226)=0)*(1-(IF(T226="",-1,T226)&gt;=0)*(IF(T226="",-1,T226)&lt;=1)),IF(C226="peso_corporal",IF(ISNUMBER(E226),E226,0)+R226,R226)*S226*1000+R226,0)=Y226,5,IF(IF((P226&gt;0)*(IF(Q226="",-1,Q226)=0)*(1-(IF(Q226="",-1,Q226)&gt;=0)*(IF(Q226="",-1,Q226)&lt;=1)),IF(C226="peso_corporal",IF(ISNUMBER(E226),E226,0)+O226,O226)*P226*1000+O226,0)=Y226,4,IF(IF((M226&gt;0)*(IF(N226="",-1,N226)=0)*(1-(IF(N226="",-1,N226)&gt;=0)*(IF(N226="",-1,N226)&lt;=1)),IF(C226="peso_corporal",IF(ISNUMBER(E226),E226,0)+L226,L226)*M226*1000+L226,0)=Y226,3,IF(IF((J226&gt;0)*(IF(K226="",-1,K226)=0)*(1-(IF(K226="",-1,K226)&gt;=0)*(IF(K226="",-1,K226)&lt;=1)),IF(C226="peso_corporal",IF(ISNUMBER(E226),E226,0)+I226,I226)*J226*1000+I226,0)=Y226,2,IF(IF((G226&gt;0)*(IF(H226="",-1,H226)=0)*(1-(IF(H226="",-1,H226)&gt;=0)*(IF(H226="",-1,H226)&lt;=1)),IF(C226="peso_corporal",IF(ISNUMBER(E226),E226,0)+F226,F226)*G226*1000+F226,0)=Y226,1,0))))))</f>
        <v>0</v>
      </c>
      <c r="AA226" s="69">
        <f>MAX(IF((G226&gt;=3)*(1-(IF(H226="",-1,H226)&gt;=0)*(IF(H226="",-1,H226)&lt;=1))*(1-(IF(H226="",-1,H226)=0)),IF(C226="peso_corporal",IF(ISNUMBER(E226),E226,0)+F226,F226)*(30+G226)*100+F226,0),IF((J226&gt;=3)*(1-(IF(K226="",-1,K226)&gt;=0)*(IF(K226="",-1,K226)&lt;=1))*(1-(IF(K226="",-1,K226)=0)),IF(C226="peso_corporal",IF(ISNUMBER(E226),E226,0)+I226,I226)*(30+J226)*100+I226,0),IF((M226&gt;=3)*(1-(IF(N226="",-1,N226)&gt;=0)*(IF(N226="",-1,N226)&lt;=1))*(1-(IF(N226="",-1,N226)=0)),IF(C226="peso_corporal",IF(ISNUMBER(E226),E226,0)+L226,L226)*(30+M226)*100+L226,0),IF((P226&gt;=3)*(1-(IF(Q226="",-1,Q226)&gt;=0)*(IF(Q226="",-1,Q226)&lt;=1))*(1-(IF(Q226="",-1,Q226)=0)),IF(C226="peso_corporal",IF(ISNUMBER(E226),E226,0)+O226,O226)*(30+P226)*100+O226,0),IF((S226&gt;=3)*(1-(IF(T226="",-1,T226)&gt;=0)*(IF(T226="",-1,T226)&lt;=1))*(1-(IF(T226="",-1,T226)=0)),IF(C226="peso_corporal",IF(ISNUMBER(E226),E226,0)+R226,R226)*(30+S226)*100+R226,0))</f>
        <v>0</v>
      </c>
      <c r="AB226" s="69">
        <f>IF(AA226=0,0,IF(IF((S226&gt;=3)*(1-(IF(T226="",-1,T226)&gt;=0)*(IF(T226="",-1,T226)&lt;=1))*(1-(IF(T226="",-1,T226)=0)),IF(C226="peso_corporal",IF(ISNUMBER(E226),E226,0)+R226,R226)*(30+S226)*100+R226,0)=AA226,5,IF(IF((P226&gt;=3)*(1-(IF(Q226="",-1,Q226)&gt;=0)*(IF(Q226="",-1,Q226)&lt;=1))*(1-(IF(Q226="",-1,Q226)=0)),IF(C226="peso_corporal",IF(ISNUMBER(E226),E226,0)+O226,O226)*(30+P226)*100+O226,0)=AA226,4,IF(IF((M226&gt;=3)*(1-(IF(N226="",-1,N226)&gt;=0)*(IF(N226="",-1,N226)&lt;=1))*(1-(IF(N226="",-1,N226)=0)),IF(C226="peso_corporal",IF(ISNUMBER(E226),E226,0)+L226,L226)*(30+M226)*100+L226,0)=AA226,3,IF(IF((J226&gt;=3)*(1-(IF(K226="",-1,K226)&gt;=0)*(IF(K226="",-1,K226)&lt;=1))*(1-(IF(K226="",-1,K226)=0)),IF(C226="peso_corporal",IF(ISNUMBER(E226),E226,0)+I226,I226)*(30+J226)*100+I226,0)=AA226,2,IF(IF((G226&gt;=3)*(1-(IF(H226="",-1,H226)&gt;=0)*(IF(H226="",-1,H226)&lt;=1))*(1-(IF(H226="",-1,H226)=0)),IF(C226="peso_corporal",IF(ISNUMBER(E226),E226,0)+F226,F226)*(30+G226)*100+F226,0)=AA226,1,0))))))</f>
        <v>0</v>
      </c>
      <c r="AC226" s="69" t="str">
        <f>IF(X226&gt;0,"A"&amp;X226,IF(Z226&gt;0,"B"&amp;Z226,IF(AB226&gt;0,"C"&amp;AB226,"")))</f>
        <v/>
      </c>
    </row>
    <row r="227" spans="1:29" ht="20.100000000000001" customHeight="1">
      <c r="A227" s="14" t="s">
        <v>48</v>
      </c>
      <c r="B227" s="15" t="s">
        <v>166</v>
      </c>
      <c r="C227" s="16" t="str">
        <f>IFERROR(INDEX(EJERCICIOS!$D$3:$D$75,MATCH(A227&amp;"|"&amp;B227,EJERCICIOS!$G$3:$G$75,0)),"--")</f>
        <v>--</v>
      </c>
      <c r="D227" s="17">
        <v>3</v>
      </c>
      <c r="E227" s="18">
        <f>IFERROR(LOOKUP(2,1/(MEDIDAS_Y_PESO!$B$3:$B$11&lt;&gt;""),MEDIDAS_Y_PESO!$B$3:$B$11),"--")</f>
        <v>80</v>
      </c>
      <c r="F227" s="19"/>
      <c r="G227" s="20"/>
      <c r="H227" s="21"/>
      <c r="I227" s="19"/>
      <c r="J227" s="20"/>
      <c r="K227" s="21"/>
      <c r="L227" s="19"/>
      <c r="M227" s="20"/>
      <c r="N227" s="21"/>
      <c r="O227" s="19"/>
      <c r="P227" s="20"/>
      <c r="Q227" s="21"/>
      <c r="R227" s="19"/>
      <c r="S227" s="20"/>
      <c r="T227" s="21"/>
      <c r="U227" s="22" t="str">
        <f>IFERROR(IF(IF(X227&gt;0,X227,IF(Z227&gt;0,Z227,IF(AB227&gt;0,AB227,0)))=0,"--",ROUND(CHOOSE(IF(X227&gt;0,X227,IF(Z227&gt;0,Z227,IF(AB227&gt;0,AB227,0))),IF(C227="peso_corporal",IF(ISNUMBER(E227),E227,0)+F227,F227)*(1+G227/30),IF(C227="peso_corporal",IF(ISNUMBER(E227),E227,0)+I227,I227)*(1+J227/30),IF(C227="peso_corporal",IF(ISNUMBER(E227),E227,0)+L227,L227)*(1+M227/30),IF(C227="peso_corporal",IF(ISNUMBER(E227),E227,0)+O227,O227)*(1+P227/30),IF(C227="peso_corporal",IF(ISNUMBER(E227),E227,0)+R227,R227)*(1+S227/30)),1)),"--")</f>
        <v>--</v>
      </c>
      <c r="V227" s="23" t="str">
        <f>IF(SUGERENCIAS!N554="SIN","Sin datos anteriores",IF(SUGERENCIAS!N554="SUBIR_F","^ SUBIR FUERTE | Kg:"&amp;ROUND(SUGERENCIAS!K554,1)&amp;" R:"&amp;ROUND(SUGERENCIAS!L554,0)&amp;" RIR:"&amp;ROUND(SUGERENCIAS!M554,0),IF(SUGERENCIAS!N554="SUBIR_E","^ SUBIR (Est.) | Kg:"&amp;ROUND(SUGERENCIAS!K554,1)&amp;" R:"&amp;ROUND(SUGERENCIAS!L554,0)&amp;" RIR:"&amp;ROUND(SUGERENCIAS!M554,0),IF(SUGERENCIAS!N554="SUBIR","^ SUBIR | Kg:"&amp;ROUND(SUGERENCIAS!K554,1)&amp;" R:"&amp;ROUND(SUGERENCIAS!L554,0)&amp;" RIR:"&amp;ROUND(SUGERENCIAS!M554,0),IF(SUGERENCIAS!N554="BAJAR","v BAJAR | Kg:"&amp;ROUND(SUGERENCIAS!K554,1)&amp;" R:"&amp;ROUND(SUGERENCIAS!L554,0)&amp;" RIR:"&amp;ROUND(SUGERENCIAS!M554,0),"= MANT | Kg:"&amp;ROUND(SUGERENCIAS!K554,1)&amp;" R:"&amp;ROUND(SUGERENCIAS!L554,0)&amp;" RIR:"&amp;ROUND(SUGERENCIAS!M554,0))))))</f>
        <v>Sin datos anteriores</v>
      </c>
      <c r="W227" s="69">
        <f>MAX(IF((G227&gt;0)*(IF(H227="",-1,H227)&gt;=0)*(IF(H227="",-1,H227)&lt;=1),IF(C227="peso_corporal",IF(ISNUMBER(E227),E227,0)+F227,F227)*G227*1000+F227,0),IF((J227&gt;0)*(IF(K227="",-1,K227)&gt;=0)*(IF(K227="",-1,K227)&lt;=1),IF(C227="peso_corporal",IF(ISNUMBER(E227),E227,0)+I227,I227)*J227*1000+I227,0),IF((M227&gt;0)*(IF(N227="",-1,N227)&gt;=0)*(IF(N227="",-1,N227)&lt;=1),IF(C227="peso_corporal",IF(ISNUMBER(E227),E227,0)+L227,L227)*M227*1000+L227,0),IF((P227&gt;0)*(IF(Q227="",-1,Q227)&gt;=0)*(IF(Q227="",-1,Q227)&lt;=1),IF(C227="peso_corporal",IF(ISNUMBER(E227),E227,0)+O227,O227)*P227*1000+O227,0),IF((S227&gt;0)*(IF(T227="",-1,T227)&gt;=0)*(IF(T227="",-1,T227)&lt;=1),IF(C227="peso_corporal",IF(ISNUMBER(E227),E227,0)+R227,R227)*S227*1000+R227,0))</f>
        <v>0</v>
      </c>
      <c r="X227" s="69">
        <f>IF(W227=0,0,IF(IF((S227&gt;0)*(IF(T227="",-1,T227)&gt;=0)*(IF(T227="",-1,T227)&lt;=1),IF(C227="peso_corporal",IF(ISNUMBER(E227),E227,0)+R227,R227)*S227*1000+R227,0)=W227,5,IF(IF((P227&gt;0)*(IF(Q227="",-1,Q227)&gt;=0)*(IF(Q227="",-1,Q227)&lt;=1),IF(C227="peso_corporal",IF(ISNUMBER(E227),E227,0)+O227,O227)*P227*1000+O227,0)=W227,4,IF(IF((M227&gt;0)*(IF(N227="",-1,N227)&gt;=0)*(IF(N227="",-1,N227)&lt;=1),IF(C227="peso_corporal",IF(ISNUMBER(E227),E227,0)+L227,L227)*M227*1000+L227,0)=W227,3,IF(IF((J227&gt;0)*(IF(K227="",-1,K227)&gt;=0)*(IF(K227="",-1,K227)&lt;=1),IF(C227="peso_corporal",IF(ISNUMBER(E227),E227,0)+I227,I227)*J227*1000+I227,0)=W227,2,IF(IF((G227&gt;0)*(IF(H227="",-1,H227)&gt;=0)*(IF(H227="",-1,H227)&lt;=1),IF(C227="peso_corporal",IF(ISNUMBER(E227),E227,0)+F227,F227)*G227*1000+F227,0)=W227,1,0))))))</f>
        <v>0</v>
      </c>
      <c r="Y227" s="69">
        <f>MAX(IF((G227&gt;0)*(IF(H227="",-1,H227)=0)*(1-(IF(H227="",-1,H227)&gt;=0)*(IF(H227="",-1,H227)&lt;=1)),IF(C227="peso_corporal",IF(ISNUMBER(E227),E227,0)+F227,F227)*G227*1000+F227,0),IF((J227&gt;0)*(IF(K227="",-1,K227)=0)*(1-(IF(K227="",-1,K227)&gt;=0)*(IF(K227="",-1,K227)&lt;=1)),IF(C227="peso_corporal",IF(ISNUMBER(E227),E227,0)+I227,I227)*J227*1000+I227,0),IF((M227&gt;0)*(IF(N227="",-1,N227)=0)*(1-(IF(N227="",-1,N227)&gt;=0)*(IF(N227="",-1,N227)&lt;=1)),IF(C227="peso_corporal",IF(ISNUMBER(E227),E227,0)+L227,L227)*M227*1000+L227,0),IF((P227&gt;0)*(IF(Q227="",-1,Q227)=0)*(1-(IF(Q227="",-1,Q227)&gt;=0)*(IF(Q227="",-1,Q227)&lt;=1)),IF(C227="peso_corporal",IF(ISNUMBER(E227),E227,0)+O227,O227)*P227*1000+O227,0),IF((S227&gt;0)*(IF(T227="",-1,T227)=0)*(1-(IF(T227="",-1,T227)&gt;=0)*(IF(T227="",-1,T227)&lt;=1)),IF(C227="peso_corporal",IF(ISNUMBER(E227),E227,0)+R227,R227)*S227*1000+R227,0))</f>
        <v>0</v>
      </c>
      <c r="Z227" s="69">
        <f>IF(Y227=0,0,IF(IF((S227&gt;0)*(IF(T227="",-1,T227)=0)*(1-(IF(T227="",-1,T227)&gt;=0)*(IF(T227="",-1,T227)&lt;=1)),IF(C227="peso_corporal",IF(ISNUMBER(E227),E227,0)+R227,R227)*S227*1000+R227,0)=Y227,5,IF(IF((P227&gt;0)*(IF(Q227="",-1,Q227)=0)*(1-(IF(Q227="",-1,Q227)&gt;=0)*(IF(Q227="",-1,Q227)&lt;=1)),IF(C227="peso_corporal",IF(ISNUMBER(E227),E227,0)+O227,O227)*P227*1000+O227,0)=Y227,4,IF(IF((M227&gt;0)*(IF(N227="",-1,N227)=0)*(1-(IF(N227="",-1,N227)&gt;=0)*(IF(N227="",-1,N227)&lt;=1)),IF(C227="peso_corporal",IF(ISNUMBER(E227),E227,0)+L227,L227)*M227*1000+L227,0)=Y227,3,IF(IF((J227&gt;0)*(IF(K227="",-1,K227)=0)*(1-(IF(K227="",-1,K227)&gt;=0)*(IF(K227="",-1,K227)&lt;=1)),IF(C227="peso_corporal",IF(ISNUMBER(E227),E227,0)+I227,I227)*J227*1000+I227,0)=Y227,2,IF(IF((G227&gt;0)*(IF(H227="",-1,H227)=0)*(1-(IF(H227="",-1,H227)&gt;=0)*(IF(H227="",-1,H227)&lt;=1)),IF(C227="peso_corporal",IF(ISNUMBER(E227),E227,0)+F227,F227)*G227*1000+F227,0)=Y227,1,0))))))</f>
        <v>0</v>
      </c>
      <c r="AA227" s="69">
        <f>MAX(IF((G227&gt;=3)*(1-(IF(H227="",-1,H227)&gt;=0)*(IF(H227="",-1,H227)&lt;=1))*(1-(IF(H227="",-1,H227)=0)),IF(C227="peso_corporal",IF(ISNUMBER(E227),E227,0)+F227,F227)*(30+G227)*100+F227,0),IF((J227&gt;=3)*(1-(IF(K227="",-1,K227)&gt;=0)*(IF(K227="",-1,K227)&lt;=1))*(1-(IF(K227="",-1,K227)=0)),IF(C227="peso_corporal",IF(ISNUMBER(E227),E227,0)+I227,I227)*(30+J227)*100+I227,0),IF((M227&gt;=3)*(1-(IF(N227="",-1,N227)&gt;=0)*(IF(N227="",-1,N227)&lt;=1))*(1-(IF(N227="",-1,N227)=0)),IF(C227="peso_corporal",IF(ISNUMBER(E227),E227,0)+L227,L227)*(30+M227)*100+L227,0),IF((P227&gt;=3)*(1-(IF(Q227="",-1,Q227)&gt;=0)*(IF(Q227="",-1,Q227)&lt;=1))*(1-(IF(Q227="",-1,Q227)=0)),IF(C227="peso_corporal",IF(ISNUMBER(E227),E227,0)+O227,O227)*(30+P227)*100+O227,0),IF((S227&gt;=3)*(1-(IF(T227="",-1,T227)&gt;=0)*(IF(T227="",-1,T227)&lt;=1))*(1-(IF(T227="",-1,T227)=0)),IF(C227="peso_corporal",IF(ISNUMBER(E227),E227,0)+R227,R227)*(30+S227)*100+R227,0))</f>
        <v>0</v>
      </c>
      <c r="AB227" s="69">
        <f>IF(AA227=0,0,IF(IF((S227&gt;=3)*(1-(IF(T227="",-1,T227)&gt;=0)*(IF(T227="",-1,T227)&lt;=1))*(1-(IF(T227="",-1,T227)=0)),IF(C227="peso_corporal",IF(ISNUMBER(E227),E227,0)+R227,R227)*(30+S227)*100+R227,0)=AA227,5,IF(IF((P227&gt;=3)*(1-(IF(Q227="",-1,Q227)&gt;=0)*(IF(Q227="",-1,Q227)&lt;=1))*(1-(IF(Q227="",-1,Q227)=0)),IF(C227="peso_corporal",IF(ISNUMBER(E227),E227,0)+O227,O227)*(30+P227)*100+O227,0)=AA227,4,IF(IF((M227&gt;=3)*(1-(IF(N227="",-1,N227)&gt;=0)*(IF(N227="",-1,N227)&lt;=1))*(1-(IF(N227="",-1,N227)=0)),IF(C227="peso_corporal",IF(ISNUMBER(E227),E227,0)+L227,L227)*(30+M227)*100+L227,0)=AA227,3,IF(IF((J227&gt;=3)*(1-(IF(K227="",-1,K227)&gt;=0)*(IF(K227="",-1,K227)&lt;=1))*(1-(IF(K227="",-1,K227)=0)),IF(C227="peso_corporal",IF(ISNUMBER(E227),E227,0)+I227,I227)*(30+J227)*100+I227,0)=AA227,2,IF(IF((G227&gt;=3)*(1-(IF(H227="",-1,H227)&gt;=0)*(IF(H227="",-1,H227)&lt;=1))*(1-(IF(H227="",-1,H227)=0)),IF(C227="peso_corporal",IF(ISNUMBER(E227),E227,0)+F227,F227)*(30+G227)*100+F227,0)=AA227,1,0))))))</f>
        <v>0</v>
      </c>
      <c r="AC227" s="69" t="str">
        <f>IF(X227&gt;0,"A"&amp;X227,IF(Z227&gt;0,"B"&amp;Z227,IF(AB227&gt;0,"C"&amp;AB227,"")))</f>
        <v/>
      </c>
    </row>
    <row r="228" spans="1:29" ht="15" customHeight="1">
      <c r="A228" s="88" t="s">
        <v>50</v>
      </c>
      <c r="B228" s="73"/>
      <c r="C228" s="73"/>
      <c r="D228" s="73"/>
      <c r="E228" s="73"/>
      <c r="F228" s="73"/>
      <c r="G228" s="73"/>
      <c r="H228" s="73"/>
      <c r="I228" s="73"/>
      <c r="J228" s="73"/>
      <c r="K228" s="73"/>
      <c r="L228" s="73"/>
      <c r="M228" s="73"/>
      <c r="N228" s="73"/>
      <c r="O228" s="73"/>
      <c r="P228" s="73"/>
      <c r="Q228" s="73"/>
      <c r="R228" s="73"/>
      <c r="S228" s="73"/>
      <c r="T228" s="73"/>
      <c r="U228" s="73"/>
      <c r="V228" s="73"/>
      <c r="W228" s="69"/>
      <c r="X228" s="69"/>
      <c r="Y228" s="69"/>
      <c r="Z228" s="69"/>
      <c r="AA228" s="69"/>
      <c r="AB228" s="69"/>
      <c r="AC228" s="69"/>
    </row>
    <row r="229" spans="1:29" ht="20.100000000000001" customHeight="1">
      <c r="A229" s="14" t="s">
        <v>65</v>
      </c>
      <c r="B229" s="15" t="s">
        <v>137</v>
      </c>
      <c r="C229" s="16" t="str">
        <f>IFERROR(INDEX(EJERCICIOS!$D$3:$D$75,MATCH(A229&amp;"|"&amp;B229,EJERCICIOS!$G$3:$G$75,0)),"--")</f>
        <v>--</v>
      </c>
      <c r="D229" s="17">
        <v>3</v>
      </c>
      <c r="E229" s="18">
        <f>IFERROR(LOOKUP(2,1/(MEDIDAS_Y_PESO!$B$3:$B$11&lt;&gt;""),MEDIDAS_Y_PESO!$B$3:$B$11),"--")</f>
        <v>80</v>
      </c>
      <c r="F229" s="19"/>
      <c r="G229" s="20"/>
      <c r="H229" s="21"/>
      <c r="I229" s="19"/>
      <c r="J229" s="20"/>
      <c r="K229" s="21"/>
      <c r="L229" s="19"/>
      <c r="M229" s="20"/>
      <c r="N229" s="21"/>
      <c r="O229" s="19"/>
      <c r="P229" s="20"/>
      <c r="Q229" s="21"/>
      <c r="R229" s="19"/>
      <c r="S229" s="20"/>
      <c r="T229" s="21"/>
      <c r="U229" s="22" t="str">
        <f>IFERROR(IF(IF(X229&gt;0,X229,IF(Z229&gt;0,Z229,IF(AB229&gt;0,AB229,0)))=0,"--",ROUND(CHOOSE(IF(X229&gt;0,X229,IF(Z229&gt;0,Z229,IF(AB229&gt;0,AB229,0))),IF(C229="peso_corporal",IF(ISNUMBER(E229),E229,0)+F229,F229)*(1+G229/30),IF(C229="peso_corporal",IF(ISNUMBER(E229),E229,0)+I229,I229)*(1+J229/30),IF(C229="peso_corporal",IF(ISNUMBER(E229),E229,0)+L229,L229)*(1+M229/30),IF(C229="peso_corporal",IF(ISNUMBER(E229),E229,0)+O229,O229)*(1+P229/30),IF(C229="peso_corporal",IF(ISNUMBER(E229),E229,0)+R229,R229)*(1+S229/30)),1)),"--")</f>
        <v>--</v>
      </c>
      <c r="V229" s="23" t="str">
        <f>IF(SUGERENCIAS!N555="SIN","Sin datos anteriores",IF(SUGERENCIAS!N555="SUBIR_F","^ SUBIR FUERTE | Kg:"&amp;ROUND(SUGERENCIAS!K555,1)&amp;" R:"&amp;ROUND(SUGERENCIAS!L555,0)&amp;" RIR:"&amp;ROUND(SUGERENCIAS!M555,0),IF(SUGERENCIAS!N555="SUBIR_E","^ SUBIR (Est.) | Kg:"&amp;ROUND(SUGERENCIAS!K555,1)&amp;" R:"&amp;ROUND(SUGERENCIAS!L555,0)&amp;" RIR:"&amp;ROUND(SUGERENCIAS!M555,0),IF(SUGERENCIAS!N555="SUBIR","^ SUBIR | Kg:"&amp;ROUND(SUGERENCIAS!K555,1)&amp;" R:"&amp;ROUND(SUGERENCIAS!L555,0)&amp;" RIR:"&amp;ROUND(SUGERENCIAS!M555,0),IF(SUGERENCIAS!N555="BAJAR","v BAJAR | Kg:"&amp;ROUND(SUGERENCIAS!K555,1)&amp;" R:"&amp;ROUND(SUGERENCIAS!L555,0)&amp;" RIR:"&amp;ROUND(SUGERENCIAS!M555,0),"= MANT | Kg:"&amp;ROUND(SUGERENCIAS!K555,1)&amp;" R:"&amp;ROUND(SUGERENCIAS!L555,0)&amp;" RIR:"&amp;ROUND(SUGERENCIAS!M555,0))))))</f>
        <v>Sin datos anteriores</v>
      </c>
      <c r="W229" s="69">
        <f>MAX(IF((G229&gt;0)*(IF(H229="",-1,H229)&gt;=0)*(IF(H229="",-1,H229)&lt;=1),IF(C229="peso_corporal",IF(ISNUMBER(E229),E229,0)+F229,F229)*G229*1000+F229,0),IF((J229&gt;0)*(IF(K229="",-1,K229)&gt;=0)*(IF(K229="",-1,K229)&lt;=1),IF(C229="peso_corporal",IF(ISNUMBER(E229),E229,0)+I229,I229)*J229*1000+I229,0),IF((M229&gt;0)*(IF(N229="",-1,N229)&gt;=0)*(IF(N229="",-1,N229)&lt;=1),IF(C229="peso_corporal",IF(ISNUMBER(E229),E229,0)+L229,L229)*M229*1000+L229,0),IF((P229&gt;0)*(IF(Q229="",-1,Q229)&gt;=0)*(IF(Q229="",-1,Q229)&lt;=1),IF(C229="peso_corporal",IF(ISNUMBER(E229),E229,0)+O229,O229)*P229*1000+O229,0),IF((S229&gt;0)*(IF(T229="",-1,T229)&gt;=0)*(IF(T229="",-1,T229)&lt;=1),IF(C229="peso_corporal",IF(ISNUMBER(E229),E229,0)+R229,R229)*S229*1000+R229,0))</f>
        <v>0</v>
      </c>
      <c r="X229" s="69">
        <f>IF(W229=0,0,IF(IF((S229&gt;0)*(IF(T229="",-1,T229)&gt;=0)*(IF(T229="",-1,T229)&lt;=1),IF(C229="peso_corporal",IF(ISNUMBER(E229),E229,0)+R229,R229)*S229*1000+R229,0)=W229,5,IF(IF((P229&gt;0)*(IF(Q229="",-1,Q229)&gt;=0)*(IF(Q229="",-1,Q229)&lt;=1),IF(C229="peso_corporal",IF(ISNUMBER(E229),E229,0)+O229,O229)*P229*1000+O229,0)=W229,4,IF(IF((M229&gt;0)*(IF(N229="",-1,N229)&gt;=0)*(IF(N229="",-1,N229)&lt;=1),IF(C229="peso_corporal",IF(ISNUMBER(E229),E229,0)+L229,L229)*M229*1000+L229,0)=W229,3,IF(IF((J229&gt;0)*(IF(K229="",-1,K229)&gt;=0)*(IF(K229="",-1,K229)&lt;=1),IF(C229="peso_corporal",IF(ISNUMBER(E229),E229,0)+I229,I229)*J229*1000+I229,0)=W229,2,IF(IF((G229&gt;0)*(IF(H229="",-1,H229)&gt;=0)*(IF(H229="",-1,H229)&lt;=1),IF(C229="peso_corporal",IF(ISNUMBER(E229),E229,0)+F229,F229)*G229*1000+F229,0)=W229,1,0))))))</f>
        <v>0</v>
      </c>
      <c r="Y229" s="69">
        <f>MAX(IF((G229&gt;0)*(IF(H229="",-1,H229)=0)*(1-(IF(H229="",-1,H229)&gt;=0)*(IF(H229="",-1,H229)&lt;=1)),IF(C229="peso_corporal",IF(ISNUMBER(E229),E229,0)+F229,F229)*G229*1000+F229,0),IF((J229&gt;0)*(IF(K229="",-1,K229)=0)*(1-(IF(K229="",-1,K229)&gt;=0)*(IF(K229="",-1,K229)&lt;=1)),IF(C229="peso_corporal",IF(ISNUMBER(E229),E229,0)+I229,I229)*J229*1000+I229,0),IF((M229&gt;0)*(IF(N229="",-1,N229)=0)*(1-(IF(N229="",-1,N229)&gt;=0)*(IF(N229="",-1,N229)&lt;=1)),IF(C229="peso_corporal",IF(ISNUMBER(E229),E229,0)+L229,L229)*M229*1000+L229,0),IF((P229&gt;0)*(IF(Q229="",-1,Q229)=0)*(1-(IF(Q229="",-1,Q229)&gt;=0)*(IF(Q229="",-1,Q229)&lt;=1)),IF(C229="peso_corporal",IF(ISNUMBER(E229),E229,0)+O229,O229)*P229*1000+O229,0),IF((S229&gt;0)*(IF(T229="",-1,T229)=0)*(1-(IF(T229="",-1,T229)&gt;=0)*(IF(T229="",-1,T229)&lt;=1)),IF(C229="peso_corporal",IF(ISNUMBER(E229),E229,0)+R229,R229)*S229*1000+R229,0))</f>
        <v>0</v>
      </c>
      <c r="Z229" s="69">
        <f>IF(Y229=0,0,IF(IF((S229&gt;0)*(IF(T229="",-1,T229)=0)*(1-(IF(T229="",-1,T229)&gt;=0)*(IF(T229="",-1,T229)&lt;=1)),IF(C229="peso_corporal",IF(ISNUMBER(E229),E229,0)+R229,R229)*S229*1000+R229,0)=Y229,5,IF(IF((P229&gt;0)*(IF(Q229="",-1,Q229)=0)*(1-(IF(Q229="",-1,Q229)&gt;=0)*(IF(Q229="",-1,Q229)&lt;=1)),IF(C229="peso_corporal",IF(ISNUMBER(E229),E229,0)+O229,O229)*P229*1000+O229,0)=Y229,4,IF(IF((M229&gt;0)*(IF(N229="",-1,N229)=0)*(1-(IF(N229="",-1,N229)&gt;=0)*(IF(N229="",-1,N229)&lt;=1)),IF(C229="peso_corporal",IF(ISNUMBER(E229),E229,0)+L229,L229)*M229*1000+L229,0)=Y229,3,IF(IF((J229&gt;0)*(IF(K229="",-1,K229)=0)*(1-(IF(K229="",-1,K229)&gt;=0)*(IF(K229="",-1,K229)&lt;=1)),IF(C229="peso_corporal",IF(ISNUMBER(E229),E229,0)+I229,I229)*J229*1000+I229,0)=Y229,2,IF(IF((G229&gt;0)*(IF(H229="",-1,H229)=0)*(1-(IF(H229="",-1,H229)&gt;=0)*(IF(H229="",-1,H229)&lt;=1)),IF(C229="peso_corporal",IF(ISNUMBER(E229),E229,0)+F229,F229)*G229*1000+F229,0)=Y229,1,0))))))</f>
        <v>0</v>
      </c>
      <c r="AA229" s="69">
        <f>MAX(IF((G229&gt;=3)*(1-(IF(H229="",-1,H229)&gt;=0)*(IF(H229="",-1,H229)&lt;=1))*(1-(IF(H229="",-1,H229)=0)),IF(C229="peso_corporal",IF(ISNUMBER(E229),E229,0)+F229,F229)*(30+G229)*100+F229,0),IF((J229&gt;=3)*(1-(IF(K229="",-1,K229)&gt;=0)*(IF(K229="",-1,K229)&lt;=1))*(1-(IF(K229="",-1,K229)=0)),IF(C229="peso_corporal",IF(ISNUMBER(E229),E229,0)+I229,I229)*(30+J229)*100+I229,0),IF((M229&gt;=3)*(1-(IF(N229="",-1,N229)&gt;=0)*(IF(N229="",-1,N229)&lt;=1))*(1-(IF(N229="",-1,N229)=0)),IF(C229="peso_corporal",IF(ISNUMBER(E229),E229,0)+L229,L229)*(30+M229)*100+L229,0),IF((P229&gt;=3)*(1-(IF(Q229="",-1,Q229)&gt;=0)*(IF(Q229="",-1,Q229)&lt;=1))*(1-(IF(Q229="",-1,Q229)=0)),IF(C229="peso_corporal",IF(ISNUMBER(E229),E229,0)+O229,O229)*(30+P229)*100+O229,0),IF((S229&gt;=3)*(1-(IF(T229="",-1,T229)&gt;=0)*(IF(T229="",-1,T229)&lt;=1))*(1-(IF(T229="",-1,T229)=0)),IF(C229="peso_corporal",IF(ISNUMBER(E229),E229,0)+R229,R229)*(30+S229)*100+R229,0))</f>
        <v>0</v>
      </c>
      <c r="AB229" s="69">
        <f>IF(AA229=0,0,IF(IF((S229&gt;=3)*(1-(IF(T229="",-1,T229)&gt;=0)*(IF(T229="",-1,T229)&lt;=1))*(1-(IF(T229="",-1,T229)=0)),IF(C229="peso_corporal",IF(ISNUMBER(E229),E229,0)+R229,R229)*(30+S229)*100+R229,0)=AA229,5,IF(IF((P229&gt;=3)*(1-(IF(Q229="",-1,Q229)&gt;=0)*(IF(Q229="",-1,Q229)&lt;=1))*(1-(IF(Q229="",-1,Q229)=0)),IF(C229="peso_corporal",IF(ISNUMBER(E229),E229,0)+O229,O229)*(30+P229)*100+O229,0)=AA229,4,IF(IF((M229&gt;=3)*(1-(IF(N229="",-1,N229)&gt;=0)*(IF(N229="",-1,N229)&lt;=1))*(1-(IF(N229="",-1,N229)=0)),IF(C229="peso_corporal",IF(ISNUMBER(E229),E229,0)+L229,L229)*(30+M229)*100+L229,0)=AA229,3,IF(IF((J229&gt;=3)*(1-(IF(K229="",-1,K229)&gt;=0)*(IF(K229="",-1,K229)&lt;=1))*(1-(IF(K229="",-1,K229)=0)),IF(C229="peso_corporal",IF(ISNUMBER(E229),E229,0)+I229,I229)*(30+J229)*100+I229,0)=AA229,2,IF(IF((G229&gt;=3)*(1-(IF(H229="",-1,H229)&gt;=0)*(IF(H229="",-1,H229)&lt;=1))*(1-(IF(H229="",-1,H229)=0)),IF(C229="peso_corporal",IF(ISNUMBER(E229),E229,0)+F229,F229)*(30+G229)*100+F229,0)=AA229,1,0))))))</f>
        <v>0</v>
      </c>
      <c r="AC229" s="69" t="str">
        <f>IF(X229&gt;0,"A"&amp;X229,IF(Z229&gt;0,"B"&amp;Z229,IF(AB229&gt;0,"C"&amp;AB229,"")))</f>
        <v/>
      </c>
    </row>
    <row r="230" spans="1:29" ht="15" customHeight="1">
      <c r="A230" s="81" t="s">
        <v>53</v>
      </c>
      <c r="B230" s="73"/>
      <c r="C230" s="73"/>
      <c r="D230" s="73"/>
      <c r="E230" s="73"/>
      <c r="F230" s="73"/>
      <c r="G230" s="73"/>
      <c r="H230" s="73"/>
      <c r="I230" s="73"/>
      <c r="J230" s="73"/>
      <c r="K230" s="73"/>
      <c r="L230" s="73"/>
      <c r="M230" s="73"/>
      <c r="N230" s="73"/>
      <c r="O230" s="73"/>
      <c r="P230" s="73"/>
      <c r="Q230" s="73"/>
      <c r="R230" s="73"/>
      <c r="S230" s="73"/>
      <c r="T230" s="73"/>
      <c r="U230" s="73"/>
      <c r="V230" s="73"/>
      <c r="W230" s="69"/>
      <c r="X230" s="69"/>
      <c r="Y230" s="69"/>
      <c r="Z230" s="69"/>
      <c r="AA230" s="69"/>
      <c r="AB230" s="69"/>
      <c r="AC230" s="69"/>
    </row>
    <row r="231" spans="1:29" ht="20.100000000000001" customHeight="1">
      <c r="A231" s="14" t="s">
        <v>54</v>
      </c>
      <c r="B231" s="15" t="s">
        <v>115</v>
      </c>
      <c r="C231" s="16" t="str">
        <f>IFERROR(INDEX(EJERCICIOS!$D$3:$D$75,MATCH(A231&amp;"|"&amp;B231,EJERCICIOS!$G$3:$G$75,0)),"--")</f>
        <v>polea</v>
      </c>
      <c r="D231" s="17">
        <v>3</v>
      </c>
      <c r="E231" s="18">
        <f>IFERROR(LOOKUP(2,1/(MEDIDAS_Y_PESO!$B$3:$B$11&lt;&gt;""),MEDIDAS_Y_PESO!$B$3:$B$11),"--")</f>
        <v>80</v>
      </c>
      <c r="F231" s="19"/>
      <c r="G231" s="20"/>
      <c r="H231" s="21"/>
      <c r="I231" s="19"/>
      <c r="J231" s="20"/>
      <c r="K231" s="21"/>
      <c r="L231" s="19"/>
      <c r="M231" s="20"/>
      <c r="N231" s="21"/>
      <c r="O231" s="19"/>
      <c r="P231" s="20"/>
      <c r="Q231" s="21"/>
      <c r="R231" s="19"/>
      <c r="S231" s="20"/>
      <c r="T231" s="21"/>
      <c r="U231" s="22" t="str">
        <f>IFERROR(IF(IF(X231&gt;0,X231,IF(Z231&gt;0,Z231,IF(AB231&gt;0,AB231,0)))=0,"--",ROUND(CHOOSE(IF(X231&gt;0,X231,IF(Z231&gt;0,Z231,IF(AB231&gt;0,AB231,0))),IF(C231="peso_corporal",IF(ISNUMBER(E231),E231,0)+F231,F231)*(1+G231/30),IF(C231="peso_corporal",IF(ISNUMBER(E231),E231,0)+I231,I231)*(1+J231/30),IF(C231="peso_corporal",IF(ISNUMBER(E231),E231,0)+L231,L231)*(1+M231/30),IF(C231="peso_corporal",IF(ISNUMBER(E231),E231,0)+O231,O231)*(1+P231/30),IF(C231="peso_corporal",IF(ISNUMBER(E231),E231,0)+R231,R231)*(1+S231/30)),1)),"--")</f>
        <v>--</v>
      </c>
      <c r="V231" s="23" t="str">
        <f>IF(SUGERENCIAS!N556="SIN","Sin datos anteriores",IF(SUGERENCIAS!N556="SUBIR_F","^ SUBIR FUERTE | Kg:"&amp;ROUND(SUGERENCIAS!K556,1)&amp;" R:"&amp;ROUND(SUGERENCIAS!L556,0)&amp;" RIR:"&amp;ROUND(SUGERENCIAS!M556,0),IF(SUGERENCIAS!N556="SUBIR_E","^ SUBIR (Est.) | Kg:"&amp;ROUND(SUGERENCIAS!K556,1)&amp;" R:"&amp;ROUND(SUGERENCIAS!L556,0)&amp;" RIR:"&amp;ROUND(SUGERENCIAS!M556,0),IF(SUGERENCIAS!N556="SUBIR","^ SUBIR | Kg:"&amp;ROUND(SUGERENCIAS!K556,1)&amp;" R:"&amp;ROUND(SUGERENCIAS!L556,0)&amp;" RIR:"&amp;ROUND(SUGERENCIAS!M556,0),IF(SUGERENCIAS!N556="BAJAR","v BAJAR | Kg:"&amp;ROUND(SUGERENCIAS!K556,1)&amp;" R:"&amp;ROUND(SUGERENCIAS!L556,0)&amp;" RIR:"&amp;ROUND(SUGERENCIAS!M556,0),"= MANT | Kg:"&amp;ROUND(SUGERENCIAS!K556,1)&amp;" R:"&amp;ROUND(SUGERENCIAS!L556,0)&amp;" RIR:"&amp;ROUND(SUGERENCIAS!M556,0))))))</f>
        <v>= MANT | Kg:40 R:7 RIR:2</v>
      </c>
      <c r="W231" s="69">
        <f>MAX(IF((G231&gt;0)*(IF(H231="",-1,H231)&gt;=0)*(IF(H231="",-1,H231)&lt;=1),IF(C231="peso_corporal",IF(ISNUMBER(E231),E231,0)+F231,F231)*G231*1000+F231,0),IF((J231&gt;0)*(IF(K231="",-1,K231)&gt;=0)*(IF(K231="",-1,K231)&lt;=1),IF(C231="peso_corporal",IF(ISNUMBER(E231),E231,0)+I231,I231)*J231*1000+I231,0),IF((M231&gt;0)*(IF(N231="",-1,N231)&gt;=0)*(IF(N231="",-1,N231)&lt;=1),IF(C231="peso_corporal",IF(ISNUMBER(E231),E231,0)+L231,L231)*M231*1000+L231,0),IF((P231&gt;0)*(IF(Q231="",-1,Q231)&gt;=0)*(IF(Q231="",-1,Q231)&lt;=1),IF(C231="peso_corporal",IF(ISNUMBER(E231),E231,0)+O231,O231)*P231*1000+O231,0),IF((S231&gt;0)*(IF(T231="",-1,T231)&gt;=0)*(IF(T231="",-1,T231)&lt;=1),IF(C231="peso_corporal",IF(ISNUMBER(E231),E231,0)+R231,R231)*S231*1000+R231,0))</f>
        <v>0</v>
      </c>
      <c r="X231" s="69">
        <f>IF(W231=0,0,IF(IF((S231&gt;0)*(IF(T231="",-1,T231)&gt;=0)*(IF(T231="",-1,T231)&lt;=1),IF(C231="peso_corporal",IF(ISNUMBER(E231),E231,0)+R231,R231)*S231*1000+R231,0)=W231,5,IF(IF((P231&gt;0)*(IF(Q231="",-1,Q231)&gt;=0)*(IF(Q231="",-1,Q231)&lt;=1),IF(C231="peso_corporal",IF(ISNUMBER(E231),E231,0)+O231,O231)*P231*1000+O231,0)=W231,4,IF(IF((M231&gt;0)*(IF(N231="",-1,N231)&gt;=0)*(IF(N231="",-1,N231)&lt;=1),IF(C231="peso_corporal",IF(ISNUMBER(E231),E231,0)+L231,L231)*M231*1000+L231,0)=W231,3,IF(IF((J231&gt;0)*(IF(K231="",-1,K231)&gt;=0)*(IF(K231="",-1,K231)&lt;=1),IF(C231="peso_corporal",IF(ISNUMBER(E231),E231,0)+I231,I231)*J231*1000+I231,0)=W231,2,IF(IF((G231&gt;0)*(IF(H231="",-1,H231)&gt;=0)*(IF(H231="",-1,H231)&lt;=1),IF(C231="peso_corporal",IF(ISNUMBER(E231),E231,0)+F231,F231)*G231*1000+F231,0)=W231,1,0))))))</f>
        <v>0</v>
      </c>
      <c r="Y231" s="69">
        <f>MAX(IF((G231&gt;0)*(IF(H231="",-1,H231)=0)*(1-(IF(H231="",-1,H231)&gt;=0)*(IF(H231="",-1,H231)&lt;=1)),IF(C231="peso_corporal",IF(ISNUMBER(E231),E231,0)+F231,F231)*G231*1000+F231,0),IF((J231&gt;0)*(IF(K231="",-1,K231)=0)*(1-(IF(K231="",-1,K231)&gt;=0)*(IF(K231="",-1,K231)&lt;=1)),IF(C231="peso_corporal",IF(ISNUMBER(E231),E231,0)+I231,I231)*J231*1000+I231,0),IF((M231&gt;0)*(IF(N231="",-1,N231)=0)*(1-(IF(N231="",-1,N231)&gt;=0)*(IF(N231="",-1,N231)&lt;=1)),IF(C231="peso_corporal",IF(ISNUMBER(E231),E231,0)+L231,L231)*M231*1000+L231,0),IF((P231&gt;0)*(IF(Q231="",-1,Q231)=0)*(1-(IF(Q231="",-1,Q231)&gt;=0)*(IF(Q231="",-1,Q231)&lt;=1)),IF(C231="peso_corporal",IF(ISNUMBER(E231),E231,0)+O231,O231)*P231*1000+O231,0),IF((S231&gt;0)*(IF(T231="",-1,T231)=0)*(1-(IF(T231="",-1,T231)&gt;=0)*(IF(T231="",-1,T231)&lt;=1)),IF(C231="peso_corporal",IF(ISNUMBER(E231),E231,0)+R231,R231)*S231*1000+R231,0))</f>
        <v>0</v>
      </c>
      <c r="Z231" s="69">
        <f>IF(Y231=0,0,IF(IF((S231&gt;0)*(IF(T231="",-1,T231)=0)*(1-(IF(T231="",-1,T231)&gt;=0)*(IF(T231="",-1,T231)&lt;=1)),IF(C231="peso_corporal",IF(ISNUMBER(E231),E231,0)+R231,R231)*S231*1000+R231,0)=Y231,5,IF(IF((P231&gt;0)*(IF(Q231="",-1,Q231)=0)*(1-(IF(Q231="",-1,Q231)&gt;=0)*(IF(Q231="",-1,Q231)&lt;=1)),IF(C231="peso_corporal",IF(ISNUMBER(E231),E231,0)+O231,O231)*P231*1000+O231,0)=Y231,4,IF(IF((M231&gt;0)*(IF(N231="",-1,N231)=0)*(1-(IF(N231="",-1,N231)&gt;=0)*(IF(N231="",-1,N231)&lt;=1)),IF(C231="peso_corporal",IF(ISNUMBER(E231),E231,0)+L231,L231)*M231*1000+L231,0)=Y231,3,IF(IF((J231&gt;0)*(IF(K231="",-1,K231)=0)*(1-(IF(K231="",-1,K231)&gt;=0)*(IF(K231="",-1,K231)&lt;=1)),IF(C231="peso_corporal",IF(ISNUMBER(E231),E231,0)+I231,I231)*J231*1000+I231,0)=Y231,2,IF(IF((G231&gt;0)*(IF(H231="",-1,H231)=0)*(1-(IF(H231="",-1,H231)&gt;=0)*(IF(H231="",-1,H231)&lt;=1)),IF(C231="peso_corporal",IF(ISNUMBER(E231),E231,0)+F231,F231)*G231*1000+F231,0)=Y231,1,0))))))</f>
        <v>0</v>
      </c>
      <c r="AA231" s="69">
        <f>MAX(IF((G231&gt;=3)*(1-(IF(H231="",-1,H231)&gt;=0)*(IF(H231="",-1,H231)&lt;=1))*(1-(IF(H231="",-1,H231)=0)),IF(C231="peso_corporal",IF(ISNUMBER(E231),E231,0)+F231,F231)*(30+G231)*100+F231,0),IF((J231&gt;=3)*(1-(IF(K231="",-1,K231)&gt;=0)*(IF(K231="",-1,K231)&lt;=1))*(1-(IF(K231="",-1,K231)=0)),IF(C231="peso_corporal",IF(ISNUMBER(E231),E231,0)+I231,I231)*(30+J231)*100+I231,0),IF((M231&gt;=3)*(1-(IF(N231="",-1,N231)&gt;=0)*(IF(N231="",-1,N231)&lt;=1))*(1-(IF(N231="",-1,N231)=0)),IF(C231="peso_corporal",IF(ISNUMBER(E231),E231,0)+L231,L231)*(30+M231)*100+L231,0),IF((P231&gt;=3)*(1-(IF(Q231="",-1,Q231)&gt;=0)*(IF(Q231="",-1,Q231)&lt;=1))*(1-(IF(Q231="",-1,Q231)=0)),IF(C231="peso_corporal",IF(ISNUMBER(E231),E231,0)+O231,O231)*(30+P231)*100+O231,0),IF((S231&gt;=3)*(1-(IF(T231="",-1,T231)&gt;=0)*(IF(T231="",-1,T231)&lt;=1))*(1-(IF(T231="",-1,T231)=0)),IF(C231="peso_corporal",IF(ISNUMBER(E231),E231,0)+R231,R231)*(30+S231)*100+R231,0))</f>
        <v>0</v>
      </c>
      <c r="AB231" s="69">
        <f>IF(AA231=0,0,IF(IF((S231&gt;=3)*(1-(IF(T231="",-1,T231)&gt;=0)*(IF(T231="",-1,T231)&lt;=1))*(1-(IF(T231="",-1,T231)=0)),IF(C231="peso_corporal",IF(ISNUMBER(E231),E231,0)+R231,R231)*(30+S231)*100+R231,0)=AA231,5,IF(IF((P231&gt;=3)*(1-(IF(Q231="",-1,Q231)&gt;=0)*(IF(Q231="",-1,Q231)&lt;=1))*(1-(IF(Q231="",-1,Q231)=0)),IF(C231="peso_corporal",IF(ISNUMBER(E231),E231,0)+O231,O231)*(30+P231)*100+O231,0)=AA231,4,IF(IF((M231&gt;=3)*(1-(IF(N231="",-1,N231)&gt;=0)*(IF(N231="",-1,N231)&lt;=1))*(1-(IF(N231="",-1,N231)=0)),IF(C231="peso_corporal",IF(ISNUMBER(E231),E231,0)+L231,L231)*(30+M231)*100+L231,0)=AA231,3,IF(IF((J231&gt;=3)*(1-(IF(K231="",-1,K231)&gt;=0)*(IF(K231="",-1,K231)&lt;=1))*(1-(IF(K231="",-1,K231)=0)),IF(C231="peso_corporal",IF(ISNUMBER(E231),E231,0)+I231,I231)*(30+J231)*100+I231,0)=AA231,2,IF(IF((G231&gt;=3)*(1-(IF(H231="",-1,H231)&gt;=0)*(IF(H231="",-1,H231)&lt;=1))*(1-(IF(H231="",-1,H231)=0)),IF(C231="peso_corporal",IF(ISNUMBER(E231),E231,0)+F231,F231)*(30+G231)*100+F231,0)=AA231,1,0))))))</f>
        <v>0</v>
      </c>
      <c r="AC231" s="69" t="str">
        <f>IF(X231&gt;0,"A"&amp;X231,IF(Z231&gt;0,"B"&amp;Z231,IF(AB231&gt;0,"C"&amp;AB231,"")))</f>
        <v/>
      </c>
    </row>
    <row r="232" spans="1:29" ht="15" customHeight="1">
      <c r="A232" s="72" t="s">
        <v>56</v>
      </c>
      <c r="B232" s="73"/>
      <c r="C232" s="73"/>
      <c r="D232" s="73"/>
      <c r="E232" s="73"/>
      <c r="F232" s="73"/>
      <c r="G232" s="73"/>
      <c r="H232" s="73"/>
      <c r="I232" s="73"/>
      <c r="J232" s="73"/>
      <c r="K232" s="73"/>
      <c r="L232" s="73"/>
      <c r="M232" s="73"/>
      <c r="N232" s="73"/>
      <c r="O232" s="73"/>
      <c r="P232" s="73"/>
      <c r="Q232" s="73"/>
      <c r="R232" s="73"/>
      <c r="S232" s="73"/>
      <c r="T232" s="73"/>
      <c r="U232" s="73"/>
      <c r="V232" s="73"/>
      <c r="W232" s="69"/>
      <c r="X232" s="69"/>
      <c r="Y232" s="69"/>
      <c r="Z232" s="69"/>
      <c r="AA232" s="69"/>
      <c r="AB232" s="69"/>
      <c r="AC232" s="69"/>
    </row>
    <row r="233" spans="1:29" ht="20.100000000000001" customHeight="1">
      <c r="A233" s="14" t="s">
        <v>57</v>
      </c>
      <c r="B233" s="15" t="s">
        <v>58</v>
      </c>
      <c r="C233" s="16" t="str">
        <f>IFERROR(INDEX(EJERCICIOS!$D$3:$D$75,MATCH(A233&amp;"|"&amp;B233,EJERCICIOS!$G$3:$G$75,0)),"--")</f>
        <v>polea</v>
      </c>
      <c r="D233" s="17">
        <v>3</v>
      </c>
      <c r="E233" s="18">
        <f>IFERROR(LOOKUP(2,1/(MEDIDAS_Y_PESO!$B$3:$B$11&lt;&gt;""),MEDIDAS_Y_PESO!$B$3:$B$11),"--")</f>
        <v>80</v>
      </c>
      <c r="F233" s="19"/>
      <c r="G233" s="20"/>
      <c r="H233" s="21"/>
      <c r="I233" s="19"/>
      <c r="J233" s="20"/>
      <c r="K233" s="21"/>
      <c r="L233" s="19"/>
      <c r="M233" s="20"/>
      <c r="N233" s="21"/>
      <c r="O233" s="19"/>
      <c r="P233" s="20"/>
      <c r="Q233" s="21"/>
      <c r="R233" s="19"/>
      <c r="S233" s="20"/>
      <c r="T233" s="21"/>
      <c r="U233" s="22" t="str">
        <f>IFERROR(IF(IF(X233&gt;0,X233,IF(Z233&gt;0,Z233,IF(AB233&gt;0,AB233,0)))=0,"--",ROUND(CHOOSE(IF(X233&gt;0,X233,IF(Z233&gt;0,Z233,IF(AB233&gt;0,AB233,0))),IF(C233="peso_corporal",IF(ISNUMBER(E233),E233,0)+F233,F233)*(1+G233/30),IF(C233="peso_corporal",IF(ISNUMBER(E233),E233,0)+I233,I233)*(1+J233/30),IF(C233="peso_corporal",IF(ISNUMBER(E233),E233,0)+L233,L233)*(1+M233/30),IF(C233="peso_corporal",IF(ISNUMBER(E233),E233,0)+O233,O233)*(1+P233/30),IF(C233="peso_corporal",IF(ISNUMBER(E233),E233,0)+R233,R233)*(1+S233/30)),1)),"--")</f>
        <v>--</v>
      </c>
      <c r="V233" s="23" t="str">
        <f>IF(SUGERENCIAS!N557="SIN","Sin datos anteriores",IF(SUGERENCIAS!N557="SUBIR_F","^ SUBIR FUERTE | Kg:"&amp;ROUND(SUGERENCIAS!K557,1)&amp;" R:"&amp;ROUND(SUGERENCIAS!L557,0)&amp;" RIR:"&amp;ROUND(SUGERENCIAS!M557,0),IF(SUGERENCIAS!N557="SUBIR_E","^ SUBIR (Est.) | Kg:"&amp;ROUND(SUGERENCIAS!K557,1)&amp;" R:"&amp;ROUND(SUGERENCIAS!L557,0)&amp;" RIR:"&amp;ROUND(SUGERENCIAS!M557,0),IF(SUGERENCIAS!N557="SUBIR","^ SUBIR | Kg:"&amp;ROUND(SUGERENCIAS!K557,1)&amp;" R:"&amp;ROUND(SUGERENCIAS!L557,0)&amp;" RIR:"&amp;ROUND(SUGERENCIAS!M557,0),IF(SUGERENCIAS!N557="BAJAR","v BAJAR | Kg:"&amp;ROUND(SUGERENCIAS!K557,1)&amp;" R:"&amp;ROUND(SUGERENCIAS!L557,0)&amp;" RIR:"&amp;ROUND(SUGERENCIAS!M557,0),"= MANT | Kg:"&amp;ROUND(SUGERENCIAS!K557,1)&amp;" R:"&amp;ROUND(SUGERENCIAS!L557,0)&amp;" RIR:"&amp;ROUND(SUGERENCIAS!M557,0))))))</f>
        <v>Sin datos anteriores</v>
      </c>
      <c r="W233" s="69">
        <f>MAX(IF((G233&gt;0)*(IF(H233="",-1,H233)&gt;=0)*(IF(H233="",-1,H233)&lt;=1),IF(C233="peso_corporal",IF(ISNUMBER(E233),E233,0)+F233,F233)*G233*1000+F233,0),IF((J233&gt;0)*(IF(K233="",-1,K233)&gt;=0)*(IF(K233="",-1,K233)&lt;=1),IF(C233="peso_corporal",IF(ISNUMBER(E233),E233,0)+I233,I233)*J233*1000+I233,0),IF((M233&gt;0)*(IF(N233="",-1,N233)&gt;=0)*(IF(N233="",-1,N233)&lt;=1),IF(C233="peso_corporal",IF(ISNUMBER(E233),E233,0)+L233,L233)*M233*1000+L233,0),IF((P233&gt;0)*(IF(Q233="",-1,Q233)&gt;=0)*(IF(Q233="",-1,Q233)&lt;=1),IF(C233="peso_corporal",IF(ISNUMBER(E233),E233,0)+O233,O233)*P233*1000+O233,0),IF((S233&gt;0)*(IF(T233="",-1,T233)&gt;=0)*(IF(T233="",-1,T233)&lt;=1),IF(C233="peso_corporal",IF(ISNUMBER(E233),E233,0)+R233,R233)*S233*1000+R233,0))</f>
        <v>0</v>
      </c>
      <c r="X233" s="69">
        <f>IF(W233=0,0,IF(IF((S233&gt;0)*(IF(T233="",-1,T233)&gt;=0)*(IF(T233="",-1,T233)&lt;=1),IF(C233="peso_corporal",IF(ISNUMBER(E233),E233,0)+R233,R233)*S233*1000+R233,0)=W233,5,IF(IF((P233&gt;0)*(IF(Q233="",-1,Q233)&gt;=0)*(IF(Q233="",-1,Q233)&lt;=1),IF(C233="peso_corporal",IF(ISNUMBER(E233),E233,0)+O233,O233)*P233*1000+O233,0)=W233,4,IF(IF((M233&gt;0)*(IF(N233="",-1,N233)&gt;=0)*(IF(N233="",-1,N233)&lt;=1),IF(C233="peso_corporal",IF(ISNUMBER(E233),E233,0)+L233,L233)*M233*1000+L233,0)=W233,3,IF(IF((J233&gt;0)*(IF(K233="",-1,K233)&gt;=0)*(IF(K233="",-1,K233)&lt;=1),IF(C233="peso_corporal",IF(ISNUMBER(E233),E233,0)+I233,I233)*J233*1000+I233,0)=W233,2,IF(IF((G233&gt;0)*(IF(H233="",-1,H233)&gt;=0)*(IF(H233="",-1,H233)&lt;=1),IF(C233="peso_corporal",IF(ISNUMBER(E233),E233,0)+F233,F233)*G233*1000+F233,0)=W233,1,0))))))</f>
        <v>0</v>
      </c>
      <c r="Y233" s="69">
        <f>MAX(IF((G233&gt;0)*(IF(H233="",-1,H233)=0)*(1-(IF(H233="",-1,H233)&gt;=0)*(IF(H233="",-1,H233)&lt;=1)),IF(C233="peso_corporal",IF(ISNUMBER(E233),E233,0)+F233,F233)*G233*1000+F233,0),IF((J233&gt;0)*(IF(K233="",-1,K233)=0)*(1-(IF(K233="",-1,K233)&gt;=0)*(IF(K233="",-1,K233)&lt;=1)),IF(C233="peso_corporal",IF(ISNUMBER(E233),E233,0)+I233,I233)*J233*1000+I233,0),IF((M233&gt;0)*(IF(N233="",-1,N233)=0)*(1-(IF(N233="",-1,N233)&gt;=0)*(IF(N233="",-1,N233)&lt;=1)),IF(C233="peso_corporal",IF(ISNUMBER(E233),E233,0)+L233,L233)*M233*1000+L233,0),IF((P233&gt;0)*(IF(Q233="",-1,Q233)=0)*(1-(IF(Q233="",-1,Q233)&gt;=0)*(IF(Q233="",-1,Q233)&lt;=1)),IF(C233="peso_corporal",IF(ISNUMBER(E233),E233,0)+O233,O233)*P233*1000+O233,0),IF((S233&gt;0)*(IF(T233="",-1,T233)=0)*(1-(IF(T233="",-1,T233)&gt;=0)*(IF(T233="",-1,T233)&lt;=1)),IF(C233="peso_corporal",IF(ISNUMBER(E233),E233,0)+R233,R233)*S233*1000+R233,0))</f>
        <v>0</v>
      </c>
      <c r="Z233" s="69">
        <f>IF(Y233=0,0,IF(IF((S233&gt;0)*(IF(T233="",-1,T233)=0)*(1-(IF(T233="",-1,T233)&gt;=0)*(IF(T233="",-1,T233)&lt;=1)),IF(C233="peso_corporal",IF(ISNUMBER(E233),E233,0)+R233,R233)*S233*1000+R233,0)=Y233,5,IF(IF((P233&gt;0)*(IF(Q233="",-1,Q233)=0)*(1-(IF(Q233="",-1,Q233)&gt;=0)*(IF(Q233="",-1,Q233)&lt;=1)),IF(C233="peso_corporal",IF(ISNUMBER(E233),E233,0)+O233,O233)*P233*1000+O233,0)=Y233,4,IF(IF((M233&gt;0)*(IF(N233="",-1,N233)=0)*(1-(IF(N233="",-1,N233)&gt;=0)*(IF(N233="",-1,N233)&lt;=1)),IF(C233="peso_corporal",IF(ISNUMBER(E233),E233,0)+L233,L233)*M233*1000+L233,0)=Y233,3,IF(IF((J233&gt;0)*(IF(K233="",-1,K233)=0)*(1-(IF(K233="",-1,K233)&gt;=0)*(IF(K233="",-1,K233)&lt;=1)),IF(C233="peso_corporal",IF(ISNUMBER(E233),E233,0)+I233,I233)*J233*1000+I233,0)=Y233,2,IF(IF((G233&gt;0)*(IF(H233="",-1,H233)=0)*(1-(IF(H233="",-1,H233)&gt;=0)*(IF(H233="",-1,H233)&lt;=1)),IF(C233="peso_corporal",IF(ISNUMBER(E233),E233,0)+F233,F233)*G233*1000+F233,0)=Y233,1,0))))))</f>
        <v>0</v>
      </c>
      <c r="AA233" s="69">
        <f>MAX(IF((G233&gt;=3)*(1-(IF(H233="",-1,H233)&gt;=0)*(IF(H233="",-1,H233)&lt;=1))*(1-(IF(H233="",-1,H233)=0)),IF(C233="peso_corporal",IF(ISNUMBER(E233),E233,0)+F233,F233)*(30+G233)*100+F233,0),IF((J233&gt;=3)*(1-(IF(K233="",-1,K233)&gt;=0)*(IF(K233="",-1,K233)&lt;=1))*(1-(IF(K233="",-1,K233)=0)),IF(C233="peso_corporal",IF(ISNUMBER(E233),E233,0)+I233,I233)*(30+J233)*100+I233,0),IF((M233&gt;=3)*(1-(IF(N233="",-1,N233)&gt;=0)*(IF(N233="",-1,N233)&lt;=1))*(1-(IF(N233="",-1,N233)=0)),IF(C233="peso_corporal",IF(ISNUMBER(E233),E233,0)+L233,L233)*(30+M233)*100+L233,0),IF((P233&gt;=3)*(1-(IF(Q233="",-1,Q233)&gt;=0)*(IF(Q233="",-1,Q233)&lt;=1))*(1-(IF(Q233="",-1,Q233)=0)),IF(C233="peso_corporal",IF(ISNUMBER(E233),E233,0)+O233,O233)*(30+P233)*100+O233,0),IF((S233&gt;=3)*(1-(IF(T233="",-1,T233)&gt;=0)*(IF(T233="",-1,T233)&lt;=1))*(1-(IF(T233="",-1,T233)=0)),IF(C233="peso_corporal",IF(ISNUMBER(E233),E233,0)+R233,R233)*(30+S233)*100+R233,0))</f>
        <v>0</v>
      </c>
      <c r="AB233" s="69">
        <f>IF(AA233=0,0,IF(IF((S233&gt;=3)*(1-(IF(T233="",-1,T233)&gt;=0)*(IF(T233="",-1,T233)&lt;=1))*(1-(IF(T233="",-1,T233)=0)),IF(C233="peso_corporal",IF(ISNUMBER(E233),E233,0)+R233,R233)*(30+S233)*100+R233,0)=AA233,5,IF(IF((P233&gt;=3)*(1-(IF(Q233="",-1,Q233)&gt;=0)*(IF(Q233="",-1,Q233)&lt;=1))*(1-(IF(Q233="",-1,Q233)=0)),IF(C233="peso_corporal",IF(ISNUMBER(E233),E233,0)+O233,O233)*(30+P233)*100+O233,0)=AA233,4,IF(IF((M233&gt;=3)*(1-(IF(N233="",-1,N233)&gt;=0)*(IF(N233="",-1,N233)&lt;=1))*(1-(IF(N233="",-1,N233)=0)),IF(C233="peso_corporal",IF(ISNUMBER(E233),E233,0)+L233,L233)*(30+M233)*100+L233,0)=AA233,3,IF(IF((J233&gt;=3)*(1-(IF(K233="",-1,K233)&gt;=0)*(IF(K233="",-1,K233)&lt;=1))*(1-(IF(K233="",-1,K233)=0)),IF(C233="peso_corporal",IF(ISNUMBER(E233),E233,0)+I233,I233)*(30+J233)*100+I233,0)=AA233,2,IF(IF((G233&gt;=3)*(1-(IF(H233="",-1,H233)&gt;=0)*(IF(H233="",-1,H233)&lt;=1))*(1-(IF(H233="",-1,H233)=0)),IF(C233="peso_corporal",IF(ISNUMBER(E233),E233,0)+F233,F233)*(30+G233)*100+F233,0)=AA233,1,0))))))</f>
        <v>0</v>
      </c>
      <c r="AC233" s="69" t="str">
        <f>IF(X233&gt;0,"A"&amp;X233,IF(Z233&gt;0,"B"&amp;Z233,IF(AB233&gt;0,"C"&amp;AB233,"")))</f>
        <v/>
      </c>
    </row>
    <row r="234" spans="1:29" ht="6"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69"/>
      <c r="X234" s="69"/>
      <c r="Y234" s="69"/>
      <c r="Z234" s="69"/>
      <c r="AA234" s="69"/>
      <c r="AB234" s="69"/>
      <c r="AC234" s="69"/>
    </row>
    <row r="235" spans="1:29" ht="18" customHeight="1">
      <c r="A235" s="85" t="s">
        <v>75</v>
      </c>
      <c r="B235" s="73"/>
      <c r="C235" s="73"/>
      <c r="D235" s="73"/>
      <c r="E235" s="73"/>
      <c r="F235" s="73"/>
      <c r="G235" s="73"/>
      <c r="H235" s="73"/>
      <c r="I235" s="73"/>
      <c r="J235" s="73"/>
      <c r="K235" s="73"/>
      <c r="L235" s="73"/>
      <c r="M235" s="73"/>
      <c r="N235" s="73"/>
      <c r="O235" s="73"/>
      <c r="P235" s="73"/>
      <c r="Q235" s="73"/>
      <c r="R235" s="73"/>
      <c r="S235" s="73"/>
      <c r="T235" s="73"/>
      <c r="U235" s="73"/>
      <c r="V235" s="73"/>
      <c r="W235" s="69"/>
      <c r="X235" s="69"/>
      <c r="Y235" s="69"/>
      <c r="Z235" s="69"/>
      <c r="AA235" s="69"/>
      <c r="AB235" s="69"/>
      <c r="AC235" s="69"/>
    </row>
    <row r="236" spans="1:29" ht="15" customHeight="1">
      <c r="A236" s="81" t="s">
        <v>42</v>
      </c>
      <c r="B236" s="73"/>
      <c r="C236" s="73"/>
      <c r="D236" s="73"/>
      <c r="E236" s="73"/>
      <c r="F236" s="73"/>
      <c r="G236" s="73"/>
      <c r="H236" s="73"/>
      <c r="I236" s="73"/>
      <c r="J236" s="73"/>
      <c r="K236" s="73"/>
      <c r="L236" s="73"/>
      <c r="M236" s="73"/>
      <c r="N236" s="73"/>
      <c r="O236" s="73"/>
      <c r="P236" s="73"/>
      <c r="Q236" s="73"/>
      <c r="R236" s="73"/>
      <c r="S236" s="73"/>
      <c r="T236" s="73"/>
      <c r="U236" s="73"/>
      <c r="V236" s="73"/>
      <c r="W236" s="69"/>
      <c r="X236" s="69"/>
      <c r="Y236" s="69"/>
      <c r="Z236" s="69"/>
      <c r="AA236" s="69"/>
      <c r="AB236" s="69"/>
      <c r="AC236" s="69"/>
    </row>
    <row r="237" spans="1:29" ht="20.100000000000001" customHeight="1">
      <c r="A237" s="14" t="s">
        <v>45</v>
      </c>
      <c r="B237" s="15" t="s">
        <v>93</v>
      </c>
      <c r="C237" s="16" t="str">
        <f>IFERROR(INDEX(EJERCICIOS!$D$3:$D$75,MATCH(A237&amp;"|"&amp;B237,EJERCICIOS!$G$3:$G$75,0)),"--")</f>
        <v>--</v>
      </c>
      <c r="D237" s="17">
        <v>3</v>
      </c>
      <c r="E237" s="18">
        <f>IFERROR(LOOKUP(2,1/(MEDIDAS_Y_PESO!$B$3:$B$12&lt;&gt;""),MEDIDAS_Y_PESO!$B$3:$B$12),"--")</f>
        <v>80</v>
      </c>
      <c r="F237" s="19"/>
      <c r="G237" s="20"/>
      <c r="H237" s="21"/>
      <c r="I237" s="19"/>
      <c r="J237" s="20"/>
      <c r="K237" s="21"/>
      <c r="L237" s="19"/>
      <c r="M237" s="20"/>
      <c r="N237" s="21"/>
      <c r="O237" s="19"/>
      <c r="P237" s="20"/>
      <c r="Q237" s="21"/>
      <c r="R237" s="19"/>
      <c r="S237" s="20"/>
      <c r="T237" s="21"/>
      <c r="U237" s="22" t="str">
        <f>IFERROR(IF(IF(X237&gt;0,X237,IF(Z237&gt;0,Z237,IF(AB237&gt;0,AB237,0)))=0,"--",ROUND(CHOOSE(IF(X237&gt;0,X237,IF(Z237&gt;0,Z237,IF(AB237&gt;0,AB237,0))),IF(C237="peso_corporal",IF(ISNUMBER(E237),E237,0)+F237,F237)*(1+G237/30),IF(C237="peso_corporal",IF(ISNUMBER(E237),E237,0)+I237,I237)*(1+J237/30),IF(C237="peso_corporal",IF(ISNUMBER(E237),E237,0)+L237,L237)*(1+M237/30),IF(C237="peso_corporal",IF(ISNUMBER(E237),E237,0)+O237,O237)*(1+P237/30),IF(C237="peso_corporal",IF(ISNUMBER(E237),E237,0)+R237,R237)*(1+S237/30)),1)),"--")</f>
        <v>--</v>
      </c>
      <c r="V237" s="23" t="str">
        <f>IF(SUGERENCIAS!N608="SIN","Sin datos anteriores",IF(SUGERENCIAS!N608="SUBIR_F","^ SUBIR FUERTE | Kg:"&amp;ROUND(SUGERENCIAS!K608,1)&amp;" R:"&amp;ROUND(SUGERENCIAS!L608,0)&amp;" RIR:"&amp;ROUND(SUGERENCIAS!M608,0),IF(SUGERENCIAS!N608="SUBIR_E","^ SUBIR (Est.) | Kg:"&amp;ROUND(SUGERENCIAS!K608,1)&amp;" R:"&amp;ROUND(SUGERENCIAS!L608,0)&amp;" RIR:"&amp;ROUND(SUGERENCIAS!M608,0),IF(SUGERENCIAS!N608="SUBIR","^ SUBIR | Kg:"&amp;ROUND(SUGERENCIAS!K608,1)&amp;" R:"&amp;ROUND(SUGERENCIAS!L608,0)&amp;" RIR:"&amp;ROUND(SUGERENCIAS!M608,0),IF(SUGERENCIAS!N608="BAJAR","v BAJAR | Kg:"&amp;ROUND(SUGERENCIAS!K608,1)&amp;" R:"&amp;ROUND(SUGERENCIAS!L608,0)&amp;" RIR:"&amp;ROUND(SUGERENCIAS!M608,0),"= MANT | Kg:"&amp;ROUND(SUGERENCIAS!K608,1)&amp;" R:"&amp;ROUND(SUGERENCIAS!L608,0)&amp;" RIR:"&amp;ROUND(SUGERENCIAS!M608,0))))))</f>
        <v>Sin datos anteriores</v>
      </c>
      <c r="W237" s="69">
        <f>MAX(IF((G237&gt;0)*(IF(H237="",-1,H237)&gt;=1)*(IF(H237="",-1,H237)&lt;=3),IF(C237="peso_corporal",IF(ISNUMBER(E237),E237,0)+F237,F237)*G237*1000+F237,0),IF((J237&gt;0)*(IF(K237="",-1,K237)&gt;=1)*(IF(K237="",-1,K237)&lt;=3),IF(C237="peso_corporal",IF(ISNUMBER(E237),E237,0)+I237,I237)*J237*1000+I237,0),IF((M237&gt;0)*(IF(N237="",-1,N237)&gt;=1)*(IF(N237="",-1,N237)&lt;=3),IF(C237="peso_corporal",IF(ISNUMBER(E237),E237,0)+L237,L237)*M237*1000+L237,0),IF((P237&gt;0)*(IF(Q237="",-1,Q237)&gt;=1)*(IF(Q237="",-1,Q237)&lt;=3),IF(C237="peso_corporal",IF(ISNUMBER(E237),E237,0)+O237,O237)*P237*1000+O237,0),IF((S237&gt;0)*(IF(T237="",-1,T237)&gt;=1)*(IF(T237="",-1,T237)&lt;=3),IF(C237="peso_corporal",IF(ISNUMBER(E237),E237,0)+R237,R237)*S237*1000+R237,0))</f>
        <v>0</v>
      </c>
      <c r="X237" s="69">
        <f>IF(W237=0,0,IF(IF((S237&gt;0)*(IF(T237="",-1,T237)&gt;=1)*(IF(T237="",-1,T237)&lt;=3),IF(C237="peso_corporal",IF(ISNUMBER(E237),E237,0)+R237,R237)*S237*1000+R237,0)=W237,5,IF(IF((P237&gt;0)*(IF(Q237="",-1,Q237)&gt;=1)*(IF(Q237="",-1,Q237)&lt;=3),IF(C237="peso_corporal",IF(ISNUMBER(E237),E237,0)+O237,O237)*P237*1000+O237,0)=W237,4,IF(IF((M237&gt;0)*(IF(N237="",-1,N237)&gt;=1)*(IF(N237="",-1,N237)&lt;=3),IF(C237="peso_corporal",IF(ISNUMBER(E237),E237,0)+L237,L237)*M237*1000+L237,0)=W237,3,IF(IF((J237&gt;0)*(IF(K237="",-1,K237)&gt;=1)*(IF(K237="",-1,K237)&lt;=3),IF(C237="peso_corporal",IF(ISNUMBER(E237),E237,0)+I237,I237)*J237*1000+I237,0)=W237,2,IF(IF((G237&gt;0)*(IF(H237="",-1,H237)&gt;=1)*(IF(H237="",-1,H237)&lt;=3),IF(C237="peso_corporal",IF(ISNUMBER(E237),E237,0)+F237,F237)*G237*1000+F237,0)=W237,1,0))))))</f>
        <v>0</v>
      </c>
      <c r="Y237" s="69">
        <f>MAX(IF((G237&gt;0)*(IF(H237="",-1,H237)=0)*(1-(IF(H237="",-1,H237)&gt;=1)*(IF(H237="",-1,H237)&lt;=3)),IF(C237="peso_corporal",IF(ISNUMBER(E237),E237,0)+F237,F237)*G237*1000+F237,0),IF((J237&gt;0)*(IF(K237="",-1,K237)=0)*(1-(IF(K237="",-1,K237)&gt;=1)*(IF(K237="",-1,K237)&lt;=3)),IF(C237="peso_corporal",IF(ISNUMBER(E237),E237,0)+I237,I237)*J237*1000+I237,0),IF((M237&gt;0)*(IF(N237="",-1,N237)=0)*(1-(IF(N237="",-1,N237)&gt;=1)*(IF(N237="",-1,N237)&lt;=3)),IF(C237="peso_corporal",IF(ISNUMBER(E237),E237,0)+L237,L237)*M237*1000+L237,0),IF((P237&gt;0)*(IF(Q237="",-1,Q237)=0)*(1-(IF(Q237="",-1,Q237)&gt;=1)*(IF(Q237="",-1,Q237)&lt;=3)),IF(C237="peso_corporal",IF(ISNUMBER(E237),E237,0)+O237,O237)*P237*1000+O237,0),IF((S237&gt;0)*(IF(T237="",-1,T237)=0)*(1-(IF(T237="",-1,T237)&gt;=1)*(IF(T237="",-1,T237)&lt;=3)),IF(C237="peso_corporal",IF(ISNUMBER(E237),E237,0)+R237,R237)*S237*1000+R237,0))</f>
        <v>0</v>
      </c>
      <c r="Z237" s="69">
        <f>IF(Y237=0,0,IF(IF((S237&gt;0)*(IF(T237="",-1,T237)=0)*(1-(IF(T237="",-1,T237)&gt;=1)*(IF(T237="",-1,T237)&lt;=3)),IF(C237="peso_corporal",IF(ISNUMBER(E237),E237,0)+R237,R237)*S237*1000+R237,0)=Y237,5,IF(IF((P237&gt;0)*(IF(Q237="",-1,Q237)=0)*(1-(IF(Q237="",-1,Q237)&gt;=1)*(IF(Q237="",-1,Q237)&lt;=3)),IF(C237="peso_corporal",IF(ISNUMBER(E237),E237,0)+O237,O237)*P237*1000+O237,0)=Y237,4,IF(IF((M237&gt;0)*(IF(N237="",-1,N237)=0)*(1-(IF(N237="",-1,N237)&gt;=1)*(IF(N237="",-1,N237)&lt;=3)),IF(C237="peso_corporal",IF(ISNUMBER(E237),E237,0)+L237,L237)*M237*1000+L237,0)=Y237,3,IF(IF((J237&gt;0)*(IF(K237="",-1,K237)=0)*(1-(IF(K237="",-1,K237)&gt;=1)*(IF(K237="",-1,K237)&lt;=3)),IF(C237="peso_corporal",IF(ISNUMBER(E237),E237,0)+I237,I237)*J237*1000+I237,0)=Y237,2,IF(IF((G237&gt;0)*(IF(H237="",-1,H237)=0)*(1-(IF(H237="",-1,H237)&gt;=1)*(IF(H237="",-1,H237)&lt;=3)),IF(C237="peso_corporal",IF(ISNUMBER(E237),E237,0)+F237,F237)*G237*1000+F237,0)=Y237,1,0))))))</f>
        <v>0</v>
      </c>
      <c r="AA237" s="69">
        <f>MAX(IF((G237&gt;=6)*(1-(IF(H237="",-1,H237)&gt;=1)*(IF(H237="",-1,H237)&lt;=3))*(1-(IF(H237="",-1,H237)=0)),IF(C237="peso_corporal",IF(ISNUMBER(E237),E237,0)+F237,F237)*(30+G237)*100+F237,0),IF((J237&gt;=6)*(1-(IF(K237="",-1,K237)&gt;=1)*(IF(K237="",-1,K237)&lt;=3))*(1-(IF(K237="",-1,K237)=0)),IF(C237="peso_corporal",IF(ISNUMBER(E237),E237,0)+I237,I237)*(30+J237)*100+I237,0),IF((M237&gt;=6)*(1-(IF(N237="",-1,N237)&gt;=1)*(IF(N237="",-1,N237)&lt;=3))*(1-(IF(N237="",-1,N237)=0)),IF(C237="peso_corporal",IF(ISNUMBER(E237),E237,0)+L237,L237)*(30+M237)*100+L237,0),IF((P237&gt;=6)*(1-(IF(Q237="",-1,Q237)&gt;=1)*(IF(Q237="",-1,Q237)&lt;=3))*(1-(IF(Q237="",-1,Q237)=0)),IF(C237="peso_corporal",IF(ISNUMBER(E237),E237,0)+O237,O237)*(30+P237)*100+O237,0),IF((S237&gt;=6)*(1-(IF(T237="",-1,T237)&gt;=1)*(IF(T237="",-1,T237)&lt;=3))*(1-(IF(T237="",-1,T237)=0)),IF(C237="peso_corporal",IF(ISNUMBER(E237),E237,0)+R237,R237)*(30+S237)*100+R237,0))</f>
        <v>0</v>
      </c>
      <c r="AB237" s="69">
        <f>IF(AA237=0,0,IF(IF((S237&gt;=6)*(1-(IF(T237="",-1,T237)&gt;=1)*(IF(T237="",-1,T237)&lt;=3))*(1-(IF(T237="",-1,T237)=0)),IF(C237="peso_corporal",IF(ISNUMBER(E237),E237,0)+R237,R237)*(30+S237)*100+R237,0)=AA237,5,IF(IF((P237&gt;=6)*(1-(IF(Q237="",-1,Q237)&gt;=1)*(IF(Q237="",-1,Q237)&lt;=3))*(1-(IF(Q237="",-1,Q237)=0)),IF(C237="peso_corporal",IF(ISNUMBER(E237),E237,0)+O237,O237)*(30+P237)*100+O237,0)=AA237,4,IF(IF((M237&gt;=6)*(1-(IF(N237="",-1,N237)&gt;=1)*(IF(N237="",-1,N237)&lt;=3))*(1-(IF(N237="",-1,N237)=0)),IF(C237="peso_corporal",IF(ISNUMBER(E237),E237,0)+L237,L237)*(30+M237)*100+L237,0)=AA237,3,IF(IF((J237&gt;=6)*(1-(IF(K237="",-1,K237)&gt;=1)*(IF(K237="",-1,K237)&lt;=3))*(1-(IF(K237="",-1,K237)=0)),IF(C237="peso_corporal",IF(ISNUMBER(E237),E237,0)+I237,I237)*(30+J237)*100+I237,0)=AA237,2,IF(IF((G237&gt;=6)*(1-(IF(H237="",-1,H237)&gt;=1)*(IF(H237="",-1,H237)&lt;=3))*(1-(IF(H237="",-1,H237)=0)),IF(C237="peso_corporal",IF(ISNUMBER(E237),E237,0)+F237,F237)*(30+G237)*100+F237,0)=AA237,1,0))))))</f>
        <v>0</v>
      </c>
      <c r="AC237" s="69" t="str">
        <f>IF(X237&gt;0,"A"&amp;X237,IF(Z237&gt;0,"B"&amp;Z237,IF(AB237&gt;0,"C"&amp;AB237,"")))</f>
        <v/>
      </c>
    </row>
    <row r="238" spans="1:29" ht="20.100000000000001" customHeight="1">
      <c r="A238" s="14" t="s">
        <v>43</v>
      </c>
      <c r="B238" s="15" t="s">
        <v>159</v>
      </c>
      <c r="C238" s="16" t="str">
        <f>IFERROR(INDEX(EJERCICIOS!$D$3:$D$75,MATCH(A238&amp;"|"&amp;B238,EJERCICIOS!$G$3:$G$75,0)),"--")</f>
        <v>--</v>
      </c>
      <c r="D238" s="17">
        <v>3</v>
      </c>
      <c r="E238" s="18">
        <f>IFERROR(LOOKUP(2,1/(MEDIDAS_Y_PESO!$B$3:$B$12&lt;&gt;""),MEDIDAS_Y_PESO!$B$3:$B$12),"--")</f>
        <v>80</v>
      </c>
      <c r="F238" s="19"/>
      <c r="G238" s="20"/>
      <c r="H238" s="21"/>
      <c r="I238" s="19"/>
      <c r="J238" s="20"/>
      <c r="K238" s="21"/>
      <c r="L238" s="19"/>
      <c r="M238" s="20"/>
      <c r="N238" s="21"/>
      <c r="O238" s="19"/>
      <c r="P238" s="20"/>
      <c r="Q238" s="21"/>
      <c r="R238" s="19"/>
      <c r="S238" s="20"/>
      <c r="T238" s="21"/>
      <c r="U238" s="22" t="str">
        <f>IFERROR(IF(IF(X238&gt;0,X238,IF(Z238&gt;0,Z238,IF(AB238&gt;0,AB238,0)))=0,"--",ROUND(CHOOSE(IF(X238&gt;0,X238,IF(Z238&gt;0,Z238,IF(AB238&gt;0,AB238,0))),IF(C238="peso_corporal",IF(ISNUMBER(E238),E238,0)+F238,F238)*(1+G238/30),IF(C238="peso_corporal",IF(ISNUMBER(E238),E238,0)+I238,I238)*(1+J238/30),IF(C238="peso_corporal",IF(ISNUMBER(E238),E238,0)+L238,L238)*(1+M238/30),IF(C238="peso_corporal",IF(ISNUMBER(E238),E238,0)+O238,O238)*(1+P238/30),IF(C238="peso_corporal",IF(ISNUMBER(E238),E238,0)+R238,R238)*(1+S238/30)),1)),"--")</f>
        <v>--</v>
      </c>
      <c r="V238" s="23" t="str">
        <f>IF(SUGERENCIAS!N609="SIN","Sin datos anteriores",IF(SUGERENCIAS!N609="SUBIR_F","^ SUBIR FUERTE | Kg:"&amp;ROUND(SUGERENCIAS!K609,1)&amp;" R:"&amp;ROUND(SUGERENCIAS!L609,0)&amp;" RIR:"&amp;ROUND(SUGERENCIAS!M609,0),IF(SUGERENCIAS!N609="SUBIR_E","^ SUBIR (Est.) | Kg:"&amp;ROUND(SUGERENCIAS!K609,1)&amp;" R:"&amp;ROUND(SUGERENCIAS!L609,0)&amp;" RIR:"&amp;ROUND(SUGERENCIAS!M609,0),IF(SUGERENCIAS!N609="SUBIR","^ SUBIR | Kg:"&amp;ROUND(SUGERENCIAS!K609,1)&amp;" R:"&amp;ROUND(SUGERENCIAS!L609,0)&amp;" RIR:"&amp;ROUND(SUGERENCIAS!M609,0),IF(SUGERENCIAS!N609="BAJAR","v BAJAR | Kg:"&amp;ROUND(SUGERENCIAS!K609,1)&amp;" R:"&amp;ROUND(SUGERENCIAS!L609,0)&amp;" RIR:"&amp;ROUND(SUGERENCIAS!M609,0),"= MANT | Kg:"&amp;ROUND(SUGERENCIAS!K609,1)&amp;" R:"&amp;ROUND(SUGERENCIAS!L609,0)&amp;" RIR:"&amp;ROUND(SUGERENCIAS!M609,0))))))</f>
        <v>Sin datos anteriores</v>
      </c>
      <c r="W238" s="69">
        <f>MAX(IF((G238&gt;0)*(IF(H238="",-1,H238)&gt;=1)*(IF(H238="",-1,H238)&lt;=3),IF(C238="peso_corporal",IF(ISNUMBER(E238),E238,0)+F238,F238)*G238*1000+F238,0),IF((J238&gt;0)*(IF(K238="",-1,K238)&gt;=1)*(IF(K238="",-1,K238)&lt;=3),IF(C238="peso_corporal",IF(ISNUMBER(E238),E238,0)+I238,I238)*J238*1000+I238,0),IF((M238&gt;0)*(IF(N238="",-1,N238)&gt;=1)*(IF(N238="",-1,N238)&lt;=3),IF(C238="peso_corporal",IF(ISNUMBER(E238),E238,0)+L238,L238)*M238*1000+L238,0),IF((P238&gt;0)*(IF(Q238="",-1,Q238)&gt;=1)*(IF(Q238="",-1,Q238)&lt;=3),IF(C238="peso_corporal",IF(ISNUMBER(E238),E238,0)+O238,O238)*P238*1000+O238,0),IF((S238&gt;0)*(IF(T238="",-1,T238)&gt;=1)*(IF(T238="",-1,T238)&lt;=3),IF(C238="peso_corporal",IF(ISNUMBER(E238),E238,0)+R238,R238)*S238*1000+R238,0))</f>
        <v>0</v>
      </c>
      <c r="X238" s="69">
        <f>IF(W238=0,0,IF(IF((S238&gt;0)*(IF(T238="",-1,T238)&gt;=1)*(IF(T238="",-1,T238)&lt;=3),IF(C238="peso_corporal",IF(ISNUMBER(E238),E238,0)+R238,R238)*S238*1000+R238,0)=W238,5,IF(IF((P238&gt;0)*(IF(Q238="",-1,Q238)&gt;=1)*(IF(Q238="",-1,Q238)&lt;=3),IF(C238="peso_corporal",IF(ISNUMBER(E238),E238,0)+O238,O238)*P238*1000+O238,0)=W238,4,IF(IF((M238&gt;0)*(IF(N238="",-1,N238)&gt;=1)*(IF(N238="",-1,N238)&lt;=3),IF(C238="peso_corporal",IF(ISNUMBER(E238),E238,0)+L238,L238)*M238*1000+L238,0)=W238,3,IF(IF((J238&gt;0)*(IF(K238="",-1,K238)&gt;=1)*(IF(K238="",-1,K238)&lt;=3),IF(C238="peso_corporal",IF(ISNUMBER(E238),E238,0)+I238,I238)*J238*1000+I238,0)=W238,2,IF(IF((G238&gt;0)*(IF(H238="",-1,H238)&gt;=1)*(IF(H238="",-1,H238)&lt;=3),IF(C238="peso_corporal",IF(ISNUMBER(E238),E238,0)+F238,F238)*G238*1000+F238,0)=W238,1,0))))))</f>
        <v>0</v>
      </c>
      <c r="Y238" s="69">
        <f>MAX(IF((G238&gt;0)*(IF(H238="",-1,H238)=0)*(1-(IF(H238="",-1,H238)&gt;=1)*(IF(H238="",-1,H238)&lt;=3)),IF(C238="peso_corporal",IF(ISNUMBER(E238),E238,0)+F238,F238)*G238*1000+F238,0),IF((J238&gt;0)*(IF(K238="",-1,K238)=0)*(1-(IF(K238="",-1,K238)&gt;=1)*(IF(K238="",-1,K238)&lt;=3)),IF(C238="peso_corporal",IF(ISNUMBER(E238),E238,0)+I238,I238)*J238*1000+I238,0),IF((M238&gt;0)*(IF(N238="",-1,N238)=0)*(1-(IF(N238="",-1,N238)&gt;=1)*(IF(N238="",-1,N238)&lt;=3)),IF(C238="peso_corporal",IF(ISNUMBER(E238),E238,0)+L238,L238)*M238*1000+L238,0),IF((P238&gt;0)*(IF(Q238="",-1,Q238)=0)*(1-(IF(Q238="",-1,Q238)&gt;=1)*(IF(Q238="",-1,Q238)&lt;=3)),IF(C238="peso_corporal",IF(ISNUMBER(E238),E238,0)+O238,O238)*P238*1000+O238,0),IF((S238&gt;0)*(IF(T238="",-1,T238)=0)*(1-(IF(T238="",-1,T238)&gt;=1)*(IF(T238="",-1,T238)&lt;=3)),IF(C238="peso_corporal",IF(ISNUMBER(E238),E238,0)+R238,R238)*S238*1000+R238,0))</f>
        <v>0</v>
      </c>
      <c r="Z238" s="69">
        <f>IF(Y238=0,0,IF(IF((S238&gt;0)*(IF(T238="",-1,T238)=0)*(1-(IF(T238="",-1,T238)&gt;=1)*(IF(T238="",-1,T238)&lt;=3)),IF(C238="peso_corporal",IF(ISNUMBER(E238),E238,0)+R238,R238)*S238*1000+R238,0)=Y238,5,IF(IF((P238&gt;0)*(IF(Q238="",-1,Q238)=0)*(1-(IF(Q238="",-1,Q238)&gt;=1)*(IF(Q238="",-1,Q238)&lt;=3)),IF(C238="peso_corporal",IF(ISNUMBER(E238),E238,0)+O238,O238)*P238*1000+O238,0)=Y238,4,IF(IF((M238&gt;0)*(IF(N238="",-1,N238)=0)*(1-(IF(N238="",-1,N238)&gt;=1)*(IF(N238="",-1,N238)&lt;=3)),IF(C238="peso_corporal",IF(ISNUMBER(E238),E238,0)+L238,L238)*M238*1000+L238,0)=Y238,3,IF(IF((J238&gt;0)*(IF(K238="",-1,K238)=0)*(1-(IF(K238="",-1,K238)&gt;=1)*(IF(K238="",-1,K238)&lt;=3)),IF(C238="peso_corporal",IF(ISNUMBER(E238),E238,0)+I238,I238)*J238*1000+I238,0)=Y238,2,IF(IF((G238&gt;0)*(IF(H238="",-1,H238)=0)*(1-(IF(H238="",-1,H238)&gt;=1)*(IF(H238="",-1,H238)&lt;=3)),IF(C238="peso_corporal",IF(ISNUMBER(E238),E238,0)+F238,F238)*G238*1000+F238,0)=Y238,1,0))))))</f>
        <v>0</v>
      </c>
      <c r="AA238" s="69">
        <f>MAX(IF((G238&gt;=6)*(1-(IF(H238="",-1,H238)&gt;=1)*(IF(H238="",-1,H238)&lt;=3))*(1-(IF(H238="",-1,H238)=0)),IF(C238="peso_corporal",IF(ISNUMBER(E238),E238,0)+F238,F238)*(30+G238)*100+F238,0),IF((J238&gt;=6)*(1-(IF(K238="",-1,K238)&gt;=1)*(IF(K238="",-1,K238)&lt;=3))*(1-(IF(K238="",-1,K238)=0)),IF(C238="peso_corporal",IF(ISNUMBER(E238),E238,0)+I238,I238)*(30+J238)*100+I238,0),IF((M238&gt;=6)*(1-(IF(N238="",-1,N238)&gt;=1)*(IF(N238="",-1,N238)&lt;=3))*(1-(IF(N238="",-1,N238)=0)),IF(C238="peso_corporal",IF(ISNUMBER(E238),E238,0)+L238,L238)*(30+M238)*100+L238,0),IF((P238&gt;=6)*(1-(IF(Q238="",-1,Q238)&gt;=1)*(IF(Q238="",-1,Q238)&lt;=3))*(1-(IF(Q238="",-1,Q238)=0)),IF(C238="peso_corporal",IF(ISNUMBER(E238),E238,0)+O238,O238)*(30+P238)*100+O238,0),IF((S238&gt;=6)*(1-(IF(T238="",-1,T238)&gt;=1)*(IF(T238="",-1,T238)&lt;=3))*(1-(IF(T238="",-1,T238)=0)),IF(C238="peso_corporal",IF(ISNUMBER(E238),E238,0)+R238,R238)*(30+S238)*100+R238,0))</f>
        <v>0</v>
      </c>
      <c r="AB238" s="69">
        <f>IF(AA238=0,0,IF(IF((S238&gt;=6)*(1-(IF(T238="",-1,T238)&gt;=1)*(IF(T238="",-1,T238)&lt;=3))*(1-(IF(T238="",-1,T238)=0)),IF(C238="peso_corporal",IF(ISNUMBER(E238),E238,0)+R238,R238)*(30+S238)*100+R238,0)=AA238,5,IF(IF((P238&gt;=6)*(1-(IF(Q238="",-1,Q238)&gt;=1)*(IF(Q238="",-1,Q238)&lt;=3))*(1-(IF(Q238="",-1,Q238)=0)),IF(C238="peso_corporal",IF(ISNUMBER(E238),E238,0)+O238,O238)*(30+P238)*100+O238,0)=AA238,4,IF(IF((M238&gt;=6)*(1-(IF(N238="",-1,N238)&gt;=1)*(IF(N238="",-1,N238)&lt;=3))*(1-(IF(N238="",-1,N238)=0)),IF(C238="peso_corporal",IF(ISNUMBER(E238),E238,0)+L238,L238)*(30+M238)*100+L238,0)=AA238,3,IF(IF((J238&gt;=6)*(1-(IF(K238="",-1,K238)&gt;=1)*(IF(K238="",-1,K238)&lt;=3))*(1-(IF(K238="",-1,K238)=0)),IF(C238="peso_corporal",IF(ISNUMBER(E238),E238,0)+I238,I238)*(30+J238)*100+I238,0)=AA238,2,IF(IF((G238&gt;=6)*(1-(IF(H238="",-1,H238)&gt;=1)*(IF(H238="",-1,H238)&lt;=3))*(1-(IF(H238="",-1,H238)=0)),IF(C238="peso_corporal",IF(ISNUMBER(E238),E238,0)+F238,F238)*(30+G238)*100+F238,0)=AA238,1,0))))))</f>
        <v>0</v>
      </c>
      <c r="AC238" s="69" t="str">
        <f>IF(X238&gt;0,"A"&amp;X238,IF(Z238&gt;0,"B"&amp;Z238,IF(AB238&gt;0,"C"&amp;AB238,"")))</f>
        <v/>
      </c>
    </row>
    <row r="239" spans="1:29" ht="11.1" customHeight="1">
      <c r="A239" s="92" t="s">
        <v>160</v>
      </c>
      <c r="B239" s="73"/>
      <c r="C239" s="73"/>
      <c r="D239" s="73"/>
      <c r="E239" s="73"/>
      <c r="F239" s="73"/>
      <c r="G239" s="73"/>
      <c r="H239" s="73"/>
      <c r="I239" s="73"/>
      <c r="J239" s="73"/>
      <c r="K239" s="73"/>
      <c r="L239" s="73"/>
      <c r="M239" s="73"/>
      <c r="N239" s="73"/>
      <c r="O239" s="73"/>
      <c r="P239" s="73"/>
      <c r="Q239" s="73"/>
      <c r="R239" s="73"/>
      <c r="S239" s="73"/>
      <c r="T239" s="73"/>
      <c r="U239" s="73"/>
      <c r="V239" s="73"/>
      <c r="W239" s="69"/>
      <c r="X239" s="69"/>
      <c r="Y239" s="69"/>
      <c r="Z239" s="69"/>
      <c r="AA239" s="69"/>
      <c r="AB239" s="69"/>
      <c r="AC239" s="69"/>
    </row>
    <row r="240" spans="1:29" ht="20.100000000000001" customHeight="1">
      <c r="A240" s="14" t="s">
        <v>161</v>
      </c>
      <c r="B240" s="15" t="s">
        <v>162</v>
      </c>
      <c r="C240" s="16" t="str">
        <f>IFERROR(INDEX(EJERCICIOS!$D$3:$D$75,MATCH(A240&amp;"|"&amp;B240,EJERCICIOS!$G$3:$G$75,0)),"--")</f>
        <v>mancuerna</v>
      </c>
      <c r="D240" s="17">
        <v>3</v>
      </c>
      <c r="E240" s="18">
        <f>IFERROR(LOOKUP(2,1/(MEDIDAS_Y_PESO!$B$3:$B$12&lt;&gt;""),MEDIDAS_Y_PESO!$B$3:$B$12),"--")</f>
        <v>80</v>
      </c>
      <c r="F240" s="19"/>
      <c r="G240" s="20"/>
      <c r="H240" s="21"/>
      <c r="I240" s="19"/>
      <c r="J240" s="20"/>
      <c r="K240" s="21"/>
      <c r="L240" s="19"/>
      <c r="M240" s="20"/>
      <c r="N240" s="21"/>
      <c r="O240" s="19"/>
      <c r="P240" s="20"/>
      <c r="Q240" s="21"/>
      <c r="R240" s="19"/>
      <c r="S240" s="20"/>
      <c r="T240" s="21"/>
      <c r="U240" s="22" t="str">
        <f>IFERROR(IF(IF(X240&gt;0,X240,IF(Z240&gt;0,Z240,IF(AB240&gt;0,AB240,0)))=0,"--",ROUND(CHOOSE(IF(X240&gt;0,X240,IF(Z240&gt;0,Z240,IF(AB240&gt;0,AB240,0))),IF(C240="peso_corporal",IF(ISNUMBER(E240),E240,0)+F240,F240)*(1+G240/30),IF(C240="peso_corporal",IF(ISNUMBER(E240),E240,0)+I240,I240)*(1+J240/30),IF(C240="peso_corporal",IF(ISNUMBER(E240),E240,0)+L240,L240)*(1+M240/30),IF(C240="peso_corporal",IF(ISNUMBER(E240),E240,0)+O240,O240)*(1+P240/30),IF(C240="peso_corporal",IF(ISNUMBER(E240),E240,0)+R240,R240)*(1+S240/30)),1)),"--")</f>
        <v>--</v>
      </c>
      <c r="V240" s="23" t="str">
        <f>IF(SUGERENCIAS!N610="SIN","Sin datos anteriores",IF(SUGERENCIAS!N610="SUBIR_F","^ SUBIR FUERTE | Kg:"&amp;ROUND(SUGERENCIAS!K610,1)&amp;" R:"&amp;ROUND(SUGERENCIAS!L610,0)&amp;" RIR:"&amp;ROUND(SUGERENCIAS!M610,0),IF(SUGERENCIAS!N610="SUBIR_E","^ SUBIR (Est.) | Kg:"&amp;ROUND(SUGERENCIAS!K610,1)&amp;" R:"&amp;ROUND(SUGERENCIAS!L610,0)&amp;" RIR:"&amp;ROUND(SUGERENCIAS!M610,0),IF(SUGERENCIAS!N610="SUBIR","^ SUBIR | Kg:"&amp;ROUND(SUGERENCIAS!K610,1)&amp;" R:"&amp;ROUND(SUGERENCIAS!L610,0)&amp;" RIR:"&amp;ROUND(SUGERENCIAS!M610,0),IF(SUGERENCIAS!N610="BAJAR","v BAJAR | Kg:"&amp;ROUND(SUGERENCIAS!K610,1)&amp;" R:"&amp;ROUND(SUGERENCIAS!L610,0)&amp;" RIR:"&amp;ROUND(SUGERENCIAS!M610,0),"= MANT | Kg:"&amp;ROUND(SUGERENCIAS!K610,1)&amp;" R:"&amp;ROUND(SUGERENCIAS!L610,0)&amp;" RIR:"&amp;ROUND(SUGERENCIAS!M610,0))))))</f>
        <v>Sin datos anteriores</v>
      </c>
      <c r="W240" s="69">
        <f>MAX(IF((G240&gt;0)*(IF(H240="",-1,H240)&gt;=1)*(IF(H240="",-1,H240)&lt;=3),IF(C240="peso_corporal",IF(ISNUMBER(E240),E240,0)+F240,F240)*G240*1000+F240,0),IF((J240&gt;0)*(IF(K240="",-1,K240)&gt;=1)*(IF(K240="",-1,K240)&lt;=3),IF(C240="peso_corporal",IF(ISNUMBER(E240),E240,0)+I240,I240)*J240*1000+I240,0),IF((M240&gt;0)*(IF(N240="",-1,N240)&gt;=1)*(IF(N240="",-1,N240)&lt;=3),IF(C240="peso_corporal",IF(ISNUMBER(E240),E240,0)+L240,L240)*M240*1000+L240,0),IF((P240&gt;0)*(IF(Q240="",-1,Q240)&gt;=1)*(IF(Q240="",-1,Q240)&lt;=3),IF(C240="peso_corporal",IF(ISNUMBER(E240),E240,0)+O240,O240)*P240*1000+O240,0),IF((S240&gt;0)*(IF(T240="",-1,T240)&gt;=1)*(IF(T240="",-1,T240)&lt;=3),IF(C240="peso_corporal",IF(ISNUMBER(E240),E240,0)+R240,R240)*S240*1000+R240,0))</f>
        <v>0</v>
      </c>
      <c r="X240" s="69">
        <f>IF(W240=0,0,IF(IF((S240&gt;0)*(IF(T240="",-1,T240)&gt;=1)*(IF(T240="",-1,T240)&lt;=3),IF(C240="peso_corporal",IF(ISNUMBER(E240),E240,0)+R240,R240)*S240*1000+R240,0)=W240,5,IF(IF((P240&gt;0)*(IF(Q240="",-1,Q240)&gt;=1)*(IF(Q240="",-1,Q240)&lt;=3),IF(C240="peso_corporal",IF(ISNUMBER(E240),E240,0)+O240,O240)*P240*1000+O240,0)=W240,4,IF(IF((M240&gt;0)*(IF(N240="",-1,N240)&gt;=1)*(IF(N240="",-1,N240)&lt;=3),IF(C240="peso_corporal",IF(ISNUMBER(E240),E240,0)+L240,L240)*M240*1000+L240,0)=W240,3,IF(IF((J240&gt;0)*(IF(K240="",-1,K240)&gt;=1)*(IF(K240="",-1,K240)&lt;=3),IF(C240="peso_corporal",IF(ISNUMBER(E240),E240,0)+I240,I240)*J240*1000+I240,0)=W240,2,IF(IF((G240&gt;0)*(IF(H240="",-1,H240)&gt;=1)*(IF(H240="",-1,H240)&lt;=3),IF(C240="peso_corporal",IF(ISNUMBER(E240),E240,0)+F240,F240)*G240*1000+F240,0)=W240,1,0))))))</f>
        <v>0</v>
      </c>
      <c r="Y240" s="69">
        <f>MAX(IF((G240&gt;0)*(IF(H240="",-1,H240)=0)*(1-(IF(H240="",-1,H240)&gt;=1)*(IF(H240="",-1,H240)&lt;=3)),IF(C240="peso_corporal",IF(ISNUMBER(E240),E240,0)+F240,F240)*G240*1000+F240,0),IF((J240&gt;0)*(IF(K240="",-1,K240)=0)*(1-(IF(K240="",-1,K240)&gt;=1)*(IF(K240="",-1,K240)&lt;=3)),IF(C240="peso_corporal",IF(ISNUMBER(E240),E240,0)+I240,I240)*J240*1000+I240,0),IF((M240&gt;0)*(IF(N240="",-1,N240)=0)*(1-(IF(N240="",-1,N240)&gt;=1)*(IF(N240="",-1,N240)&lt;=3)),IF(C240="peso_corporal",IF(ISNUMBER(E240),E240,0)+L240,L240)*M240*1000+L240,0),IF((P240&gt;0)*(IF(Q240="",-1,Q240)=0)*(1-(IF(Q240="",-1,Q240)&gt;=1)*(IF(Q240="",-1,Q240)&lt;=3)),IF(C240="peso_corporal",IF(ISNUMBER(E240),E240,0)+O240,O240)*P240*1000+O240,0),IF((S240&gt;0)*(IF(T240="",-1,T240)=0)*(1-(IF(T240="",-1,T240)&gt;=1)*(IF(T240="",-1,T240)&lt;=3)),IF(C240="peso_corporal",IF(ISNUMBER(E240),E240,0)+R240,R240)*S240*1000+R240,0))</f>
        <v>0</v>
      </c>
      <c r="Z240" s="69">
        <f>IF(Y240=0,0,IF(IF((S240&gt;0)*(IF(T240="",-1,T240)=0)*(1-(IF(T240="",-1,T240)&gt;=1)*(IF(T240="",-1,T240)&lt;=3)),IF(C240="peso_corporal",IF(ISNUMBER(E240),E240,0)+R240,R240)*S240*1000+R240,0)=Y240,5,IF(IF((P240&gt;0)*(IF(Q240="",-1,Q240)=0)*(1-(IF(Q240="",-1,Q240)&gt;=1)*(IF(Q240="",-1,Q240)&lt;=3)),IF(C240="peso_corporal",IF(ISNUMBER(E240),E240,0)+O240,O240)*P240*1000+O240,0)=Y240,4,IF(IF((M240&gt;0)*(IF(N240="",-1,N240)=0)*(1-(IF(N240="",-1,N240)&gt;=1)*(IF(N240="",-1,N240)&lt;=3)),IF(C240="peso_corporal",IF(ISNUMBER(E240),E240,0)+L240,L240)*M240*1000+L240,0)=Y240,3,IF(IF((J240&gt;0)*(IF(K240="",-1,K240)=0)*(1-(IF(K240="",-1,K240)&gt;=1)*(IF(K240="",-1,K240)&lt;=3)),IF(C240="peso_corporal",IF(ISNUMBER(E240),E240,0)+I240,I240)*J240*1000+I240,0)=Y240,2,IF(IF((G240&gt;0)*(IF(H240="",-1,H240)=0)*(1-(IF(H240="",-1,H240)&gt;=1)*(IF(H240="",-1,H240)&lt;=3)),IF(C240="peso_corporal",IF(ISNUMBER(E240),E240,0)+F240,F240)*G240*1000+F240,0)=Y240,1,0))))))</f>
        <v>0</v>
      </c>
      <c r="AA240" s="69">
        <f>MAX(IF((G240&gt;=6)*(1-(IF(H240="",-1,H240)&gt;=1)*(IF(H240="",-1,H240)&lt;=3))*(1-(IF(H240="",-1,H240)=0)),IF(C240="peso_corporal",IF(ISNUMBER(E240),E240,0)+F240,F240)*(30+G240)*100+F240,0),IF((J240&gt;=6)*(1-(IF(K240="",-1,K240)&gt;=1)*(IF(K240="",-1,K240)&lt;=3))*(1-(IF(K240="",-1,K240)=0)),IF(C240="peso_corporal",IF(ISNUMBER(E240),E240,0)+I240,I240)*(30+J240)*100+I240,0),IF((M240&gt;=6)*(1-(IF(N240="",-1,N240)&gt;=1)*(IF(N240="",-1,N240)&lt;=3))*(1-(IF(N240="",-1,N240)=0)),IF(C240="peso_corporal",IF(ISNUMBER(E240),E240,0)+L240,L240)*(30+M240)*100+L240,0),IF((P240&gt;=6)*(1-(IF(Q240="",-1,Q240)&gt;=1)*(IF(Q240="",-1,Q240)&lt;=3))*(1-(IF(Q240="",-1,Q240)=0)),IF(C240="peso_corporal",IF(ISNUMBER(E240),E240,0)+O240,O240)*(30+P240)*100+O240,0),IF((S240&gt;=6)*(1-(IF(T240="",-1,T240)&gt;=1)*(IF(T240="",-1,T240)&lt;=3))*(1-(IF(T240="",-1,T240)=0)),IF(C240="peso_corporal",IF(ISNUMBER(E240),E240,0)+R240,R240)*(30+S240)*100+R240,0))</f>
        <v>0</v>
      </c>
      <c r="AB240" s="69">
        <f>IF(AA240=0,0,IF(IF((S240&gt;=6)*(1-(IF(T240="",-1,T240)&gt;=1)*(IF(T240="",-1,T240)&lt;=3))*(1-(IF(T240="",-1,T240)=0)),IF(C240="peso_corporal",IF(ISNUMBER(E240),E240,0)+R240,R240)*(30+S240)*100+R240,0)=AA240,5,IF(IF((P240&gt;=6)*(1-(IF(Q240="",-1,Q240)&gt;=1)*(IF(Q240="",-1,Q240)&lt;=3))*(1-(IF(Q240="",-1,Q240)=0)),IF(C240="peso_corporal",IF(ISNUMBER(E240),E240,0)+O240,O240)*(30+P240)*100+O240,0)=AA240,4,IF(IF((M240&gt;=6)*(1-(IF(N240="",-1,N240)&gt;=1)*(IF(N240="",-1,N240)&lt;=3))*(1-(IF(N240="",-1,N240)=0)),IF(C240="peso_corporal",IF(ISNUMBER(E240),E240,0)+L240,L240)*(30+M240)*100+L240,0)=AA240,3,IF(IF((J240&gt;=6)*(1-(IF(K240="",-1,K240)&gt;=1)*(IF(K240="",-1,K240)&lt;=3))*(1-(IF(K240="",-1,K240)=0)),IF(C240="peso_corporal",IF(ISNUMBER(E240),E240,0)+I240,I240)*(30+J240)*100+I240,0)=AA240,2,IF(IF((G240&gt;=6)*(1-(IF(H240="",-1,H240)&gt;=1)*(IF(H240="",-1,H240)&lt;=3))*(1-(IF(H240="",-1,H240)=0)),IF(C240="peso_corporal",IF(ISNUMBER(E240),E240,0)+F240,F240)*(30+G240)*100+F240,0)=AA240,1,0))))))</f>
        <v>0</v>
      </c>
      <c r="AC240" s="69" t="str">
        <f>IF(X240&gt;0,"A"&amp;X240,IF(Z240&gt;0,"B"&amp;Z240,IF(AB240&gt;0,"C"&amp;AB240,"")))</f>
        <v/>
      </c>
    </row>
    <row r="241" spans="1:29" ht="20.100000000000001" customHeight="1">
      <c r="A241" s="14" t="s">
        <v>163</v>
      </c>
      <c r="B241" s="15" t="s">
        <v>52</v>
      </c>
      <c r="C241" s="16" t="str">
        <f>IFERROR(INDEX(EJERCICIOS!$D$3:$D$75,MATCH(A241&amp;"|"&amp;B241,EJERCICIOS!$G$3:$G$75,0)),"--")</f>
        <v>polea</v>
      </c>
      <c r="D241" s="17">
        <v>3</v>
      </c>
      <c r="E241" s="18">
        <f>IFERROR(LOOKUP(2,1/(MEDIDAS_Y_PESO!$B$3:$B$12&lt;&gt;""),MEDIDAS_Y_PESO!$B$3:$B$12),"--")</f>
        <v>80</v>
      </c>
      <c r="F241" s="19"/>
      <c r="G241" s="20"/>
      <c r="H241" s="21"/>
      <c r="I241" s="19"/>
      <c r="J241" s="20"/>
      <c r="K241" s="21"/>
      <c r="L241" s="19"/>
      <c r="M241" s="20"/>
      <c r="N241" s="21"/>
      <c r="O241" s="19"/>
      <c r="P241" s="20"/>
      <c r="Q241" s="21"/>
      <c r="R241" s="19"/>
      <c r="S241" s="20"/>
      <c r="T241" s="21"/>
      <c r="U241" s="22" t="str">
        <f>IFERROR(IF(IF(X241&gt;0,X241,IF(Z241&gt;0,Z241,IF(AB241&gt;0,AB241,0)))=0,"--",ROUND(CHOOSE(IF(X241&gt;0,X241,IF(Z241&gt;0,Z241,IF(AB241&gt;0,AB241,0))),IF(C241="peso_corporal",IF(ISNUMBER(E241),E241,0)+F241,F241)*(1+G241/30),IF(C241="peso_corporal",IF(ISNUMBER(E241),E241,0)+I241,I241)*(1+J241/30),IF(C241="peso_corporal",IF(ISNUMBER(E241),E241,0)+L241,L241)*(1+M241/30),IF(C241="peso_corporal",IF(ISNUMBER(E241),E241,0)+O241,O241)*(1+P241/30),IF(C241="peso_corporal",IF(ISNUMBER(E241),E241,0)+R241,R241)*(1+S241/30)),1)),"--")</f>
        <v>--</v>
      </c>
      <c r="V241" s="23" t="str">
        <f>IF(SUGERENCIAS!N611="SIN","Sin datos anteriores",IF(SUGERENCIAS!N611="SUBIR_F","^ SUBIR FUERTE | Kg:"&amp;ROUND(SUGERENCIAS!K611,1)&amp;" R:"&amp;ROUND(SUGERENCIAS!L611,0)&amp;" RIR:"&amp;ROUND(SUGERENCIAS!M611,0),IF(SUGERENCIAS!N611="SUBIR_E","^ SUBIR (Est.) | Kg:"&amp;ROUND(SUGERENCIAS!K611,1)&amp;" R:"&amp;ROUND(SUGERENCIAS!L611,0)&amp;" RIR:"&amp;ROUND(SUGERENCIAS!M611,0),IF(SUGERENCIAS!N611="SUBIR","^ SUBIR | Kg:"&amp;ROUND(SUGERENCIAS!K611,1)&amp;" R:"&amp;ROUND(SUGERENCIAS!L611,0)&amp;" RIR:"&amp;ROUND(SUGERENCIAS!M611,0),IF(SUGERENCIAS!N611="BAJAR","v BAJAR | Kg:"&amp;ROUND(SUGERENCIAS!K611,1)&amp;" R:"&amp;ROUND(SUGERENCIAS!L611,0)&amp;" RIR:"&amp;ROUND(SUGERENCIAS!M611,0),"= MANT | Kg:"&amp;ROUND(SUGERENCIAS!K611,1)&amp;" R:"&amp;ROUND(SUGERENCIAS!L611,0)&amp;" RIR:"&amp;ROUND(SUGERENCIAS!M611,0))))))</f>
        <v>Sin datos anteriores</v>
      </c>
      <c r="W241" s="69">
        <f>MAX(IF((G241&gt;0)*(IF(H241="",-1,H241)&gt;=1)*(IF(H241="",-1,H241)&lt;=3),IF(C241="peso_corporal",IF(ISNUMBER(E241),E241,0)+F241,F241)*G241*1000+F241,0),IF((J241&gt;0)*(IF(K241="",-1,K241)&gt;=1)*(IF(K241="",-1,K241)&lt;=3),IF(C241="peso_corporal",IF(ISNUMBER(E241),E241,0)+I241,I241)*J241*1000+I241,0),IF((M241&gt;0)*(IF(N241="",-1,N241)&gt;=1)*(IF(N241="",-1,N241)&lt;=3),IF(C241="peso_corporal",IF(ISNUMBER(E241),E241,0)+L241,L241)*M241*1000+L241,0),IF((P241&gt;0)*(IF(Q241="",-1,Q241)&gt;=1)*(IF(Q241="",-1,Q241)&lt;=3),IF(C241="peso_corporal",IF(ISNUMBER(E241),E241,0)+O241,O241)*P241*1000+O241,0),IF((S241&gt;0)*(IF(T241="",-1,T241)&gt;=1)*(IF(T241="",-1,T241)&lt;=3),IF(C241="peso_corporal",IF(ISNUMBER(E241),E241,0)+R241,R241)*S241*1000+R241,0))</f>
        <v>0</v>
      </c>
      <c r="X241" s="69">
        <f>IF(W241=0,0,IF(IF((S241&gt;0)*(IF(T241="",-1,T241)&gt;=1)*(IF(T241="",-1,T241)&lt;=3),IF(C241="peso_corporal",IF(ISNUMBER(E241),E241,0)+R241,R241)*S241*1000+R241,0)=W241,5,IF(IF((P241&gt;0)*(IF(Q241="",-1,Q241)&gt;=1)*(IF(Q241="",-1,Q241)&lt;=3),IF(C241="peso_corporal",IF(ISNUMBER(E241),E241,0)+O241,O241)*P241*1000+O241,0)=W241,4,IF(IF((M241&gt;0)*(IF(N241="",-1,N241)&gt;=1)*(IF(N241="",-1,N241)&lt;=3),IF(C241="peso_corporal",IF(ISNUMBER(E241),E241,0)+L241,L241)*M241*1000+L241,0)=W241,3,IF(IF((J241&gt;0)*(IF(K241="",-1,K241)&gt;=1)*(IF(K241="",-1,K241)&lt;=3),IF(C241="peso_corporal",IF(ISNUMBER(E241),E241,0)+I241,I241)*J241*1000+I241,0)=W241,2,IF(IF((G241&gt;0)*(IF(H241="",-1,H241)&gt;=1)*(IF(H241="",-1,H241)&lt;=3),IF(C241="peso_corporal",IF(ISNUMBER(E241),E241,0)+F241,F241)*G241*1000+F241,0)=W241,1,0))))))</f>
        <v>0</v>
      </c>
      <c r="Y241" s="69">
        <f>MAX(IF((G241&gt;0)*(IF(H241="",-1,H241)=0)*(1-(IF(H241="",-1,H241)&gt;=1)*(IF(H241="",-1,H241)&lt;=3)),IF(C241="peso_corporal",IF(ISNUMBER(E241),E241,0)+F241,F241)*G241*1000+F241,0),IF((J241&gt;0)*(IF(K241="",-1,K241)=0)*(1-(IF(K241="",-1,K241)&gt;=1)*(IF(K241="",-1,K241)&lt;=3)),IF(C241="peso_corporal",IF(ISNUMBER(E241),E241,0)+I241,I241)*J241*1000+I241,0),IF((M241&gt;0)*(IF(N241="",-1,N241)=0)*(1-(IF(N241="",-1,N241)&gt;=1)*(IF(N241="",-1,N241)&lt;=3)),IF(C241="peso_corporal",IF(ISNUMBER(E241),E241,0)+L241,L241)*M241*1000+L241,0),IF((P241&gt;0)*(IF(Q241="",-1,Q241)=0)*(1-(IF(Q241="",-1,Q241)&gt;=1)*(IF(Q241="",-1,Q241)&lt;=3)),IF(C241="peso_corporal",IF(ISNUMBER(E241),E241,0)+O241,O241)*P241*1000+O241,0),IF((S241&gt;0)*(IF(T241="",-1,T241)=0)*(1-(IF(T241="",-1,T241)&gt;=1)*(IF(T241="",-1,T241)&lt;=3)),IF(C241="peso_corporal",IF(ISNUMBER(E241),E241,0)+R241,R241)*S241*1000+R241,0))</f>
        <v>0</v>
      </c>
      <c r="Z241" s="69">
        <f>IF(Y241=0,0,IF(IF((S241&gt;0)*(IF(T241="",-1,T241)=0)*(1-(IF(T241="",-1,T241)&gt;=1)*(IF(T241="",-1,T241)&lt;=3)),IF(C241="peso_corporal",IF(ISNUMBER(E241),E241,0)+R241,R241)*S241*1000+R241,0)=Y241,5,IF(IF((P241&gt;0)*(IF(Q241="",-1,Q241)=0)*(1-(IF(Q241="",-1,Q241)&gt;=1)*(IF(Q241="",-1,Q241)&lt;=3)),IF(C241="peso_corporal",IF(ISNUMBER(E241),E241,0)+O241,O241)*P241*1000+O241,0)=Y241,4,IF(IF((M241&gt;0)*(IF(N241="",-1,N241)=0)*(1-(IF(N241="",-1,N241)&gt;=1)*(IF(N241="",-1,N241)&lt;=3)),IF(C241="peso_corporal",IF(ISNUMBER(E241),E241,0)+L241,L241)*M241*1000+L241,0)=Y241,3,IF(IF((J241&gt;0)*(IF(K241="",-1,K241)=0)*(1-(IF(K241="",-1,K241)&gt;=1)*(IF(K241="",-1,K241)&lt;=3)),IF(C241="peso_corporal",IF(ISNUMBER(E241),E241,0)+I241,I241)*J241*1000+I241,0)=Y241,2,IF(IF((G241&gt;0)*(IF(H241="",-1,H241)=0)*(1-(IF(H241="",-1,H241)&gt;=1)*(IF(H241="",-1,H241)&lt;=3)),IF(C241="peso_corporal",IF(ISNUMBER(E241),E241,0)+F241,F241)*G241*1000+F241,0)=Y241,1,0))))))</f>
        <v>0</v>
      </c>
      <c r="AA241" s="69">
        <f>MAX(IF((G241&gt;=6)*(1-(IF(H241="",-1,H241)&gt;=1)*(IF(H241="",-1,H241)&lt;=3))*(1-(IF(H241="",-1,H241)=0)),IF(C241="peso_corporal",IF(ISNUMBER(E241),E241,0)+F241,F241)*(30+G241)*100+F241,0),IF((J241&gt;=6)*(1-(IF(K241="",-1,K241)&gt;=1)*(IF(K241="",-1,K241)&lt;=3))*(1-(IF(K241="",-1,K241)=0)),IF(C241="peso_corporal",IF(ISNUMBER(E241),E241,0)+I241,I241)*(30+J241)*100+I241,0),IF((M241&gt;=6)*(1-(IF(N241="",-1,N241)&gt;=1)*(IF(N241="",-1,N241)&lt;=3))*(1-(IF(N241="",-1,N241)=0)),IF(C241="peso_corporal",IF(ISNUMBER(E241),E241,0)+L241,L241)*(30+M241)*100+L241,0),IF((P241&gt;=6)*(1-(IF(Q241="",-1,Q241)&gt;=1)*(IF(Q241="",-1,Q241)&lt;=3))*(1-(IF(Q241="",-1,Q241)=0)),IF(C241="peso_corporal",IF(ISNUMBER(E241),E241,0)+O241,O241)*(30+P241)*100+O241,0),IF((S241&gt;=6)*(1-(IF(T241="",-1,T241)&gt;=1)*(IF(T241="",-1,T241)&lt;=3))*(1-(IF(T241="",-1,T241)=0)),IF(C241="peso_corporal",IF(ISNUMBER(E241),E241,0)+R241,R241)*(30+S241)*100+R241,0))</f>
        <v>0</v>
      </c>
      <c r="AB241" s="69">
        <f>IF(AA241=0,0,IF(IF((S241&gt;=6)*(1-(IF(T241="",-1,T241)&gt;=1)*(IF(T241="",-1,T241)&lt;=3))*(1-(IF(T241="",-1,T241)=0)),IF(C241="peso_corporal",IF(ISNUMBER(E241),E241,0)+R241,R241)*(30+S241)*100+R241,0)=AA241,5,IF(IF((P241&gt;=6)*(1-(IF(Q241="",-1,Q241)&gt;=1)*(IF(Q241="",-1,Q241)&lt;=3))*(1-(IF(Q241="",-1,Q241)=0)),IF(C241="peso_corporal",IF(ISNUMBER(E241),E241,0)+O241,O241)*(30+P241)*100+O241,0)=AA241,4,IF(IF((M241&gt;=6)*(1-(IF(N241="",-1,N241)&gt;=1)*(IF(N241="",-1,N241)&lt;=3))*(1-(IF(N241="",-1,N241)=0)),IF(C241="peso_corporal",IF(ISNUMBER(E241),E241,0)+L241,L241)*(30+M241)*100+L241,0)=AA241,3,IF(IF((J241&gt;=6)*(1-(IF(K241="",-1,K241)&gt;=1)*(IF(K241="",-1,K241)&lt;=3))*(1-(IF(K241="",-1,K241)=0)),IF(C241="peso_corporal",IF(ISNUMBER(E241),E241,0)+I241,I241)*(30+J241)*100+I241,0)=AA241,2,IF(IF((G241&gt;=6)*(1-(IF(H241="",-1,H241)&gt;=1)*(IF(H241="",-1,H241)&lt;=3))*(1-(IF(H241="",-1,H241)=0)),IF(C241="peso_corporal",IF(ISNUMBER(E241),E241,0)+F241,F241)*(30+G241)*100+F241,0)=AA241,1,0))))))</f>
        <v>0</v>
      </c>
      <c r="AC241" s="69" t="str">
        <f>IF(X241&gt;0,"A"&amp;X241,IF(Z241&gt;0,"B"&amp;Z241,IF(AB241&gt;0,"C"&amp;AB241,"")))</f>
        <v/>
      </c>
    </row>
    <row r="242" spans="1:29" ht="20.100000000000001" customHeight="1">
      <c r="A242" s="14" t="s">
        <v>164</v>
      </c>
      <c r="B242" s="15" t="s">
        <v>114</v>
      </c>
      <c r="C242" s="16" t="str">
        <f>IFERROR(INDEX(EJERCICIOS!$D$3:$D$75,MATCH(A242&amp;"|"&amp;B242,EJERCICIOS!$G$3:$G$75,0)),"--")</f>
        <v>polea</v>
      </c>
      <c r="D242" s="17">
        <v>3</v>
      </c>
      <c r="E242" s="18">
        <f>IFERROR(LOOKUP(2,1/(MEDIDAS_Y_PESO!$B$3:$B$12&lt;&gt;""),MEDIDAS_Y_PESO!$B$3:$B$12),"--")</f>
        <v>80</v>
      </c>
      <c r="F242" s="19"/>
      <c r="G242" s="20"/>
      <c r="H242" s="21"/>
      <c r="I242" s="19"/>
      <c r="J242" s="20"/>
      <c r="K242" s="21"/>
      <c r="L242" s="19"/>
      <c r="M242" s="20"/>
      <c r="N242" s="21"/>
      <c r="O242" s="19"/>
      <c r="P242" s="20"/>
      <c r="Q242" s="21"/>
      <c r="R242" s="19"/>
      <c r="S242" s="20"/>
      <c r="T242" s="21"/>
      <c r="U242" s="22" t="str">
        <f>IFERROR(IF(IF(X242&gt;0,X242,IF(Z242&gt;0,Z242,IF(AB242&gt;0,AB242,0)))=0,"--",ROUND(CHOOSE(IF(X242&gt;0,X242,IF(Z242&gt;0,Z242,IF(AB242&gt;0,AB242,0))),IF(C242="peso_corporal",IF(ISNUMBER(E242),E242,0)+F242,F242)*(1+G242/30),IF(C242="peso_corporal",IF(ISNUMBER(E242),E242,0)+I242,I242)*(1+J242/30),IF(C242="peso_corporal",IF(ISNUMBER(E242),E242,0)+L242,L242)*(1+M242/30),IF(C242="peso_corporal",IF(ISNUMBER(E242),E242,0)+O242,O242)*(1+P242/30),IF(C242="peso_corporal",IF(ISNUMBER(E242),E242,0)+R242,R242)*(1+S242/30)),1)),"--")</f>
        <v>--</v>
      </c>
      <c r="V242" s="23" t="str">
        <f>IF(SUGERENCIAS!N612="SIN","Sin datos anteriores",IF(SUGERENCIAS!N612="SUBIR_F","^ SUBIR FUERTE | Kg:"&amp;ROUND(SUGERENCIAS!K612,1)&amp;" R:"&amp;ROUND(SUGERENCIAS!L612,0)&amp;" RIR:"&amp;ROUND(SUGERENCIAS!M612,0),IF(SUGERENCIAS!N612="SUBIR_E","^ SUBIR (Est.) | Kg:"&amp;ROUND(SUGERENCIAS!K612,1)&amp;" R:"&amp;ROUND(SUGERENCIAS!L612,0)&amp;" RIR:"&amp;ROUND(SUGERENCIAS!M612,0),IF(SUGERENCIAS!N612="SUBIR","^ SUBIR | Kg:"&amp;ROUND(SUGERENCIAS!K612,1)&amp;" R:"&amp;ROUND(SUGERENCIAS!L612,0)&amp;" RIR:"&amp;ROUND(SUGERENCIAS!M612,0),IF(SUGERENCIAS!N612="BAJAR","v BAJAR | Kg:"&amp;ROUND(SUGERENCIAS!K612,1)&amp;" R:"&amp;ROUND(SUGERENCIAS!L612,0)&amp;" RIR:"&amp;ROUND(SUGERENCIAS!M612,0),"= MANT | Kg:"&amp;ROUND(SUGERENCIAS!K612,1)&amp;" R:"&amp;ROUND(SUGERENCIAS!L612,0)&amp;" RIR:"&amp;ROUND(SUGERENCIAS!M612,0))))))</f>
        <v>Sin datos anteriores</v>
      </c>
      <c r="W242" s="69">
        <f>MAX(IF((G242&gt;0)*(IF(H242="",-1,H242)&gt;=1)*(IF(H242="",-1,H242)&lt;=3),IF(C242="peso_corporal",IF(ISNUMBER(E242),E242,0)+F242,F242)*G242*1000+F242,0),IF((J242&gt;0)*(IF(K242="",-1,K242)&gt;=1)*(IF(K242="",-1,K242)&lt;=3),IF(C242="peso_corporal",IF(ISNUMBER(E242),E242,0)+I242,I242)*J242*1000+I242,0),IF((M242&gt;0)*(IF(N242="",-1,N242)&gt;=1)*(IF(N242="",-1,N242)&lt;=3),IF(C242="peso_corporal",IF(ISNUMBER(E242),E242,0)+L242,L242)*M242*1000+L242,0),IF((P242&gt;0)*(IF(Q242="",-1,Q242)&gt;=1)*(IF(Q242="",-1,Q242)&lt;=3),IF(C242="peso_corporal",IF(ISNUMBER(E242),E242,0)+O242,O242)*P242*1000+O242,0),IF((S242&gt;0)*(IF(T242="",-1,T242)&gt;=1)*(IF(T242="",-1,T242)&lt;=3),IF(C242="peso_corporal",IF(ISNUMBER(E242),E242,0)+R242,R242)*S242*1000+R242,0))</f>
        <v>0</v>
      </c>
      <c r="X242" s="69">
        <f>IF(W242=0,0,IF(IF((S242&gt;0)*(IF(T242="",-1,T242)&gt;=1)*(IF(T242="",-1,T242)&lt;=3),IF(C242="peso_corporal",IF(ISNUMBER(E242),E242,0)+R242,R242)*S242*1000+R242,0)=W242,5,IF(IF((P242&gt;0)*(IF(Q242="",-1,Q242)&gt;=1)*(IF(Q242="",-1,Q242)&lt;=3),IF(C242="peso_corporal",IF(ISNUMBER(E242),E242,0)+O242,O242)*P242*1000+O242,0)=W242,4,IF(IF((M242&gt;0)*(IF(N242="",-1,N242)&gt;=1)*(IF(N242="",-1,N242)&lt;=3),IF(C242="peso_corporal",IF(ISNUMBER(E242),E242,0)+L242,L242)*M242*1000+L242,0)=W242,3,IF(IF((J242&gt;0)*(IF(K242="",-1,K242)&gt;=1)*(IF(K242="",-1,K242)&lt;=3),IF(C242="peso_corporal",IF(ISNUMBER(E242),E242,0)+I242,I242)*J242*1000+I242,0)=W242,2,IF(IF((G242&gt;0)*(IF(H242="",-1,H242)&gt;=1)*(IF(H242="",-1,H242)&lt;=3),IF(C242="peso_corporal",IF(ISNUMBER(E242),E242,0)+F242,F242)*G242*1000+F242,0)=W242,1,0))))))</f>
        <v>0</v>
      </c>
      <c r="Y242" s="69">
        <f>MAX(IF((G242&gt;0)*(IF(H242="",-1,H242)=0)*(1-(IF(H242="",-1,H242)&gt;=1)*(IF(H242="",-1,H242)&lt;=3)),IF(C242="peso_corporal",IF(ISNUMBER(E242),E242,0)+F242,F242)*G242*1000+F242,0),IF((J242&gt;0)*(IF(K242="",-1,K242)=0)*(1-(IF(K242="",-1,K242)&gt;=1)*(IF(K242="",-1,K242)&lt;=3)),IF(C242="peso_corporal",IF(ISNUMBER(E242),E242,0)+I242,I242)*J242*1000+I242,0),IF((M242&gt;0)*(IF(N242="",-1,N242)=0)*(1-(IF(N242="",-1,N242)&gt;=1)*(IF(N242="",-1,N242)&lt;=3)),IF(C242="peso_corporal",IF(ISNUMBER(E242),E242,0)+L242,L242)*M242*1000+L242,0),IF((P242&gt;0)*(IF(Q242="",-1,Q242)=0)*(1-(IF(Q242="",-1,Q242)&gt;=1)*(IF(Q242="",-1,Q242)&lt;=3)),IF(C242="peso_corporal",IF(ISNUMBER(E242),E242,0)+O242,O242)*P242*1000+O242,0),IF((S242&gt;0)*(IF(T242="",-1,T242)=0)*(1-(IF(T242="",-1,T242)&gt;=1)*(IF(T242="",-1,T242)&lt;=3)),IF(C242="peso_corporal",IF(ISNUMBER(E242),E242,0)+R242,R242)*S242*1000+R242,0))</f>
        <v>0</v>
      </c>
      <c r="Z242" s="69">
        <f>IF(Y242=0,0,IF(IF((S242&gt;0)*(IF(T242="",-1,T242)=0)*(1-(IF(T242="",-1,T242)&gt;=1)*(IF(T242="",-1,T242)&lt;=3)),IF(C242="peso_corporal",IF(ISNUMBER(E242),E242,0)+R242,R242)*S242*1000+R242,0)=Y242,5,IF(IF((P242&gt;0)*(IF(Q242="",-1,Q242)=0)*(1-(IF(Q242="",-1,Q242)&gt;=1)*(IF(Q242="",-1,Q242)&lt;=3)),IF(C242="peso_corporal",IF(ISNUMBER(E242),E242,0)+O242,O242)*P242*1000+O242,0)=Y242,4,IF(IF((M242&gt;0)*(IF(N242="",-1,N242)=0)*(1-(IF(N242="",-1,N242)&gt;=1)*(IF(N242="",-1,N242)&lt;=3)),IF(C242="peso_corporal",IF(ISNUMBER(E242),E242,0)+L242,L242)*M242*1000+L242,0)=Y242,3,IF(IF((J242&gt;0)*(IF(K242="",-1,K242)=0)*(1-(IF(K242="",-1,K242)&gt;=1)*(IF(K242="",-1,K242)&lt;=3)),IF(C242="peso_corporal",IF(ISNUMBER(E242),E242,0)+I242,I242)*J242*1000+I242,0)=Y242,2,IF(IF((G242&gt;0)*(IF(H242="",-1,H242)=0)*(1-(IF(H242="",-1,H242)&gt;=1)*(IF(H242="",-1,H242)&lt;=3)),IF(C242="peso_corporal",IF(ISNUMBER(E242),E242,0)+F242,F242)*G242*1000+F242,0)=Y242,1,0))))))</f>
        <v>0</v>
      </c>
      <c r="AA242" s="69">
        <f>MAX(IF((G242&gt;=6)*(1-(IF(H242="",-1,H242)&gt;=1)*(IF(H242="",-1,H242)&lt;=3))*(1-(IF(H242="",-1,H242)=0)),IF(C242="peso_corporal",IF(ISNUMBER(E242),E242,0)+F242,F242)*(30+G242)*100+F242,0),IF((J242&gt;=6)*(1-(IF(K242="",-1,K242)&gt;=1)*(IF(K242="",-1,K242)&lt;=3))*(1-(IF(K242="",-1,K242)=0)),IF(C242="peso_corporal",IF(ISNUMBER(E242),E242,0)+I242,I242)*(30+J242)*100+I242,0),IF((M242&gt;=6)*(1-(IF(N242="",-1,N242)&gt;=1)*(IF(N242="",-1,N242)&lt;=3))*(1-(IF(N242="",-1,N242)=0)),IF(C242="peso_corporal",IF(ISNUMBER(E242),E242,0)+L242,L242)*(30+M242)*100+L242,0),IF((P242&gt;=6)*(1-(IF(Q242="",-1,Q242)&gt;=1)*(IF(Q242="",-1,Q242)&lt;=3))*(1-(IF(Q242="",-1,Q242)=0)),IF(C242="peso_corporal",IF(ISNUMBER(E242),E242,0)+O242,O242)*(30+P242)*100+O242,0),IF((S242&gt;=6)*(1-(IF(T242="",-1,T242)&gt;=1)*(IF(T242="",-1,T242)&lt;=3))*(1-(IF(T242="",-1,T242)=0)),IF(C242="peso_corporal",IF(ISNUMBER(E242),E242,0)+R242,R242)*(30+S242)*100+R242,0))</f>
        <v>0</v>
      </c>
      <c r="AB242" s="69">
        <f>IF(AA242=0,0,IF(IF((S242&gt;=6)*(1-(IF(T242="",-1,T242)&gt;=1)*(IF(T242="",-1,T242)&lt;=3))*(1-(IF(T242="",-1,T242)=0)),IF(C242="peso_corporal",IF(ISNUMBER(E242),E242,0)+R242,R242)*(30+S242)*100+R242,0)=AA242,5,IF(IF((P242&gt;=6)*(1-(IF(Q242="",-1,Q242)&gt;=1)*(IF(Q242="",-1,Q242)&lt;=3))*(1-(IF(Q242="",-1,Q242)=0)),IF(C242="peso_corporal",IF(ISNUMBER(E242),E242,0)+O242,O242)*(30+P242)*100+O242,0)=AA242,4,IF(IF((M242&gt;=6)*(1-(IF(N242="",-1,N242)&gt;=1)*(IF(N242="",-1,N242)&lt;=3))*(1-(IF(N242="",-1,N242)=0)),IF(C242="peso_corporal",IF(ISNUMBER(E242),E242,0)+L242,L242)*(30+M242)*100+L242,0)=AA242,3,IF(IF((J242&gt;=6)*(1-(IF(K242="",-1,K242)&gt;=1)*(IF(K242="",-1,K242)&lt;=3))*(1-(IF(K242="",-1,K242)=0)),IF(C242="peso_corporal",IF(ISNUMBER(E242),E242,0)+I242,I242)*(30+J242)*100+I242,0)=AA242,2,IF(IF((G242&gt;=6)*(1-(IF(H242="",-1,H242)&gt;=1)*(IF(H242="",-1,H242)&lt;=3))*(1-(IF(H242="",-1,H242)=0)),IF(C242="peso_corporal",IF(ISNUMBER(E242),E242,0)+F242,F242)*(30+G242)*100+F242,0)=AA242,1,0))))))</f>
        <v>0</v>
      </c>
      <c r="AC242" s="69" t="str">
        <f>IF(X242&gt;0,"A"&amp;X242,IF(Z242&gt;0,"B"&amp;Z242,IF(AB242&gt;0,"C"&amp;AB242,"")))</f>
        <v/>
      </c>
    </row>
    <row r="243" spans="1:29" ht="15" customHeight="1">
      <c r="A243" s="75" t="s">
        <v>28</v>
      </c>
      <c r="B243" s="73"/>
      <c r="C243" s="73"/>
      <c r="D243" s="73"/>
      <c r="E243" s="73"/>
      <c r="F243" s="73"/>
      <c r="G243" s="73"/>
      <c r="H243" s="73"/>
      <c r="I243" s="73"/>
      <c r="J243" s="73"/>
      <c r="K243" s="73"/>
      <c r="L243" s="73"/>
      <c r="M243" s="73"/>
      <c r="N243" s="73"/>
      <c r="O243" s="73"/>
      <c r="P243" s="73"/>
      <c r="Q243" s="73"/>
      <c r="R243" s="73"/>
      <c r="S243" s="73"/>
      <c r="T243" s="73"/>
      <c r="U243" s="73"/>
      <c r="V243" s="73"/>
      <c r="W243" s="69"/>
      <c r="X243" s="69"/>
      <c r="Y243" s="69"/>
      <c r="Z243" s="69"/>
      <c r="AA243" s="69"/>
      <c r="AB243" s="69"/>
      <c r="AC243" s="69"/>
    </row>
    <row r="244" spans="1:29" ht="11.1" customHeight="1">
      <c r="A244" s="76" t="s">
        <v>29</v>
      </c>
      <c r="B244" s="73"/>
      <c r="C244" s="73"/>
      <c r="D244" s="73"/>
      <c r="E244" s="73"/>
      <c r="F244" s="73"/>
      <c r="G244" s="73"/>
      <c r="H244" s="73"/>
      <c r="I244" s="73"/>
      <c r="J244" s="73"/>
      <c r="K244" s="73"/>
      <c r="L244" s="73"/>
      <c r="M244" s="73"/>
      <c r="N244" s="73"/>
      <c r="O244" s="73"/>
      <c r="P244" s="73"/>
      <c r="Q244" s="73"/>
      <c r="R244" s="73"/>
      <c r="S244" s="73"/>
      <c r="T244" s="73"/>
      <c r="U244" s="73"/>
      <c r="V244" s="73"/>
      <c r="W244" s="69"/>
      <c r="X244" s="69"/>
      <c r="Y244" s="69"/>
      <c r="Z244" s="69"/>
      <c r="AA244" s="69"/>
      <c r="AB244" s="69"/>
      <c r="AC244" s="69"/>
    </row>
    <row r="245" spans="1:29" ht="20.100000000000001" customHeight="1">
      <c r="A245" s="14" t="s">
        <v>30</v>
      </c>
      <c r="B245" s="15" t="s">
        <v>31</v>
      </c>
      <c r="C245" s="16" t="str">
        <f>IFERROR(INDEX(EJERCICIOS!$D$3:$D$75,MATCH(A245&amp;"|"&amp;B245,EJERCICIOS!$G$3:$G$75,0)),"--")</f>
        <v>mancuerna</v>
      </c>
      <c r="D245" s="17">
        <v>3</v>
      </c>
      <c r="E245" s="18">
        <f>IFERROR(LOOKUP(2,1/(MEDIDAS_Y_PESO!$B$3:$B$12&lt;&gt;""),MEDIDAS_Y_PESO!$B$3:$B$12),"--")</f>
        <v>80</v>
      </c>
      <c r="F245" s="19"/>
      <c r="G245" s="20"/>
      <c r="H245" s="21"/>
      <c r="I245" s="19"/>
      <c r="J245" s="20"/>
      <c r="K245" s="21"/>
      <c r="L245" s="19"/>
      <c r="M245" s="20"/>
      <c r="N245" s="21"/>
      <c r="O245" s="19"/>
      <c r="P245" s="20"/>
      <c r="Q245" s="21"/>
      <c r="R245" s="19"/>
      <c r="S245" s="20"/>
      <c r="T245" s="21"/>
      <c r="U245" s="22" t="str">
        <f>IFERROR(IF(IF(X245&gt;0,X245,IF(Z245&gt;0,Z245,IF(AB245&gt;0,AB245,0)))=0,"--",ROUND(CHOOSE(IF(X245&gt;0,X245,IF(Z245&gt;0,Z245,IF(AB245&gt;0,AB245,0))),IF(C245="peso_corporal",IF(ISNUMBER(E245),E245,0)+F245,F245)*(1+G245/30),IF(C245="peso_corporal",IF(ISNUMBER(E245),E245,0)+I245,I245)*(1+J245/30),IF(C245="peso_corporal",IF(ISNUMBER(E245),E245,0)+L245,L245)*(1+M245/30),IF(C245="peso_corporal",IF(ISNUMBER(E245),E245,0)+O245,O245)*(1+P245/30),IF(C245="peso_corporal",IF(ISNUMBER(E245),E245,0)+R245,R245)*(1+S245/30)),1)),"--")</f>
        <v>--</v>
      </c>
      <c r="V245" s="23" t="str">
        <f>IF(SUGERENCIAS!N613="SIN","Sin datos anteriores",IF(SUGERENCIAS!N613="SUBIR_F","^ SUBIR FUERTE | Kg:"&amp;ROUND(SUGERENCIAS!K613,1)&amp;" R:"&amp;ROUND(SUGERENCIAS!L613,0)&amp;" RIR:"&amp;ROUND(SUGERENCIAS!M613,0),IF(SUGERENCIAS!N613="SUBIR_E","^ SUBIR (Est.) | Kg:"&amp;ROUND(SUGERENCIAS!K613,1)&amp;" R:"&amp;ROUND(SUGERENCIAS!L613,0)&amp;" RIR:"&amp;ROUND(SUGERENCIAS!M613,0),IF(SUGERENCIAS!N613="SUBIR","^ SUBIR | Kg:"&amp;ROUND(SUGERENCIAS!K613,1)&amp;" R:"&amp;ROUND(SUGERENCIAS!L613,0)&amp;" RIR:"&amp;ROUND(SUGERENCIAS!M613,0),IF(SUGERENCIAS!N613="BAJAR","v BAJAR | Kg:"&amp;ROUND(SUGERENCIAS!K613,1)&amp;" R:"&amp;ROUND(SUGERENCIAS!L613,0)&amp;" RIR:"&amp;ROUND(SUGERENCIAS!M613,0),"= MANT | Kg:"&amp;ROUND(SUGERENCIAS!K613,1)&amp;" R:"&amp;ROUND(SUGERENCIAS!L613,0)&amp;" RIR:"&amp;ROUND(SUGERENCIAS!M613,0))))))</f>
        <v>Sin datos anteriores</v>
      </c>
      <c r="W245" s="69">
        <f>MAX(IF((G245&gt;0)*(IF(H245="",-1,H245)&gt;=1)*(IF(H245="",-1,H245)&lt;=3),IF(C245="peso_corporal",IF(ISNUMBER(E245),E245,0)+F245,F245)*G245*1000+F245,0),IF((J245&gt;0)*(IF(K245="",-1,K245)&gt;=1)*(IF(K245="",-1,K245)&lt;=3),IF(C245="peso_corporal",IF(ISNUMBER(E245),E245,0)+I245,I245)*J245*1000+I245,0),IF((M245&gt;0)*(IF(N245="",-1,N245)&gt;=1)*(IF(N245="",-1,N245)&lt;=3),IF(C245="peso_corporal",IF(ISNUMBER(E245),E245,0)+L245,L245)*M245*1000+L245,0),IF((P245&gt;0)*(IF(Q245="",-1,Q245)&gt;=1)*(IF(Q245="",-1,Q245)&lt;=3),IF(C245="peso_corporal",IF(ISNUMBER(E245),E245,0)+O245,O245)*P245*1000+O245,0),IF((S245&gt;0)*(IF(T245="",-1,T245)&gt;=1)*(IF(T245="",-1,T245)&lt;=3),IF(C245="peso_corporal",IF(ISNUMBER(E245),E245,0)+R245,R245)*S245*1000+R245,0))</f>
        <v>0</v>
      </c>
      <c r="X245" s="69">
        <f>IF(W245=0,0,IF(IF((S245&gt;0)*(IF(T245="",-1,T245)&gt;=1)*(IF(T245="",-1,T245)&lt;=3),IF(C245="peso_corporal",IF(ISNUMBER(E245),E245,0)+R245,R245)*S245*1000+R245,0)=W245,5,IF(IF((P245&gt;0)*(IF(Q245="",-1,Q245)&gt;=1)*(IF(Q245="",-1,Q245)&lt;=3),IF(C245="peso_corporal",IF(ISNUMBER(E245),E245,0)+O245,O245)*P245*1000+O245,0)=W245,4,IF(IF((M245&gt;0)*(IF(N245="",-1,N245)&gt;=1)*(IF(N245="",-1,N245)&lt;=3),IF(C245="peso_corporal",IF(ISNUMBER(E245),E245,0)+L245,L245)*M245*1000+L245,0)=W245,3,IF(IF((J245&gt;0)*(IF(K245="",-1,K245)&gt;=1)*(IF(K245="",-1,K245)&lt;=3),IF(C245="peso_corporal",IF(ISNUMBER(E245),E245,0)+I245,I245)*J245*1000+I245,0)=W245,2,IF(IF((G245&gt;0)*(IF(H245="",-1,H245)&gt;=1)*(IF(H245="",-1,H245)&lt;=3),IF(C245="peso_corporal",IF(ISNUMBER(E245),E245,0)+F245,F245)*G245*1000+F245,0)=W245,1,0))))))</f>
        <v>0</v>
      </c>
      <c r="Y245" s="69">
        <f>MAX(IF((G245&gt;0)*(IF(H245="",-1,H245)=0)*(1-(IF(H245="",-1,H245)&gt;=1)*(IF(H245="",-1,H245)&lt;=3)),IF(C245="peso_corporal",IF(ISNUMBER(E245),E245,0)+F245,F245)*G245*1000+F245,0),IF((J245&gt;0)*(IF(K245="",-1,K245)=0)*(1-(IF(K245="",-1,K245)&gt;=1)*(IF(K245="",-1,K245)&lt;=3)),IF(C245="peso_corporal",IF(ISNUMBER(E245),E245,0)+I245,I245)*J245*1000+I245,0),IF((M245&gt;0)*(IF(N245="",-1,N245)=0)*(1-(IF(N245="",-1,N245)&gt;=1)*(IF(N245="",-1,N245)&lt;=3)),IF(C245="peso_corporal",IF(ISNUMBER(E245),E245,0)+L245,L245)*M245*1000+L245,0),IF((P245&gt;0)*(IF(Q245="",-1,Q245)=0)*(1-(IF(Q245="",-1,Q245)&gt;=1)*(IF(Q245="",-1,Q245)&lt;=3)),IF(C245="peso_corporal",IF(ISNUMBER(E245),E245,0)+O245,O245)*P245*1000+O245,0),IF((S245&gt;0)*(IF(T245="",-1,T245)=0)*(1-(IF(T245="",-1,T245)&gt;=1)*(IF(T245="",-1,T245)&lt;=3)),IF(C245="peso_corporal",IF(ISNUMBER(E245),E245,0)+R245,R245)*S245*1000+R245,0))</f>
        <v>0</v>
      </c>
      <c r="Z245" s="69">
        <f>IF(Y245=0,0,IF(IF((S245&gt;0)*(IF(T245="",-1,T245)=0)*(1-(IF(T245="",-1,T245)&gt;=1)*(IF(T245="",-1,T245)&lt;=3)),IF(C245="peso_corporal",IF(ISNUMBER(E245),E245,0)+R245,R245)*S245*1000+R245,0)=Y245,5,IF(IF((P245&gt;0)*(IF(Q245="",-1,Q245)=0)*(1-(IF(Q245="",-1,Q245)&gt;=1)*(IF(Q245="",-1,Q245)&lt;=3)),IF(C245="peso_corporal",IF(ISNUMBER(E245),E245,0)+O245,O245)*P245*1000+O245,0)=Y245,4,IF(IF((M245&gt;0)*(IF(N245="",-1,N245)=0)*(1-(IF(N245="",-1,N245)&gt;=1)*(IF(N245="",-1,N245)&lt;=3)),IF(C245="peso_corporal",IF(ISNUMBER(E245),E245,0)+L245,L245)*M245*1000+L245,0)=Y245,3,IF(IF((J245&gt;0)*(IF(K245="",-1,K245)=0)*(1-(IF(K245="",-1,K245)&gt;=1)*(IF(K245="",-1,K245)&lt;=3)),IF(C245="peso_corporal",IF(ISNUMBER(E245),E245,0)+I245,I245)*J245*1000+I245,0)=Y245,2,IF(IF((G245&gt;0)*(IF(H245="",-1,H245)=0)*(1-(IF(H245="",-1,H245)&gt;=1)*(IF(H245="",-1,H245)&lt;=3)),IF(C245="peso_corporal",IF(ISNUMBER(E245),E245,0)+F245,F245)*G245*1000+F245,0)=Y245,1,0))))))</f>
        <v>0</v>
      </c>
      <c r="AA245" s="69">
        <f>MAX(IF((G245&gt;=6)*(1-(IF(H245="",-1,H245)&gt;=1)*(IF(H245="",-1,H245)&lt;=3))*(1-(IF(H245="",-1,H245)=0)),IF(C245="peso_corporal",IF(ISNUMBER(E245),E245,0)+F245,F245)*(30+G245)*100+F245,0),IF((J245&gt;=6)*(1-(IF(K245="",-1,K245)&gt;=1)*(IF(K245="",-1,K245)&lt;=3))*(1-(IF(K245="",-1,K245)=0)),IF(C245="peso_corporal",IF(ISNUMBER(E245),E245,0)+I245,I245)*(30+J245)*100+I245,0),IF((M245&gt;=6)*(1-(IF(N245="",-1,N245)&gt;=1)*(IF(N245="",-1,N245)&lt;=3))*(1-(IF(N245="",-1,N245)=0)),IF(C245="peso_corporal",IF(ISNUMBER(E245),E245,0)+L245,L245)*(30+M245)*100+L245,0),IF((P245&gt;=6)*(1-(IF(Q245="",-1,Q245)&gt;=1)*(IF(Q245="",-1,Q245)&lt;=3))*(1-(IF(Q245="",-1,Q245)=0)),IF(C245="peso_corporal",IF(ISNUMBER(E245),E245,0)+O245,O245)*(30+P245)*100+O245,0),IF((S245&gt;=6)*(1-(IF(T245="",-1,T245)&gt;=1)*(IF(T245="",-1,T245)&lt;=3))*(1-(IF(T245="",-1,T245)=0)),IF(C245="peso_corporal",IF(ISNUMBER(E245),E245,0)+R245,R245)*(30+S245)*100+R245,0))</f>
        <v>0</v>
      </c>
      <c r="AB245" s="69">
        <f>IF(AA245=0,0,IF(IF((S245&gt;=6)*(1-(IF(T245="",-1,T245)&gt;=1)*(IF(T245="",-1,T245)&lt;=3))*(1-(IF(T245="",-1,T245)=0)),IF(C245="peso_corporal",IF(ISNUMBER(E245),E245,0)+R245,R245)*(30+S245)*100+R245,0)=AA245,5,IF(IF((P245&gt;=6)*(1-(IF(Q245="",-1,Q245)&gt;=1)*(IF(Q245="",-1,Q245)&lt;=3))*(1-(IF(Q245="",-1,Q245)=0)),IF(C245="peso_corporal",IF(ISNUMBER(E245),E245,0)+O245,O245)*(30+P245)*100+O245,0)=AA245,4,IF(IF((M245&gt;=6)*(1-(IF(N245="",-1,N245)&gt;=1)*(IF(N245="",-1,N245)&lt;=3))*(1-(IF(N245="",-1,N245)=0)),IF(C245="peso_corporal",IF(ISNUMBER(E245),E245,0)+L245,L245)*(30+M245)*100+L245,0)=AA245,3,IF(IF((J245&gt;=6)*(1-(IF(K245="",-1,K245)&gt;=1)*(IF(K245="",-1,K245)&lt;=3))*(1-(IF(K245="",-1,K245)=0)),IF(C245="peso_corporal",IF(ISNUMBER(E245),E245,0)+I245,I245)*(30+J245)*100+I245,0)=AA245,2,IF(IF((G245&gt;=6)*(1-(IF(H245="",-1,H245)&gt;=1)*(IF(H245="",-1,H245)&lt;=3))*(1-(IF(H245="",-1,H245)=0)),IF(C245="peso_corporal",IF(ISNUMBER(E245),E245,0)+F245,F245)*(30+G245)*100+F245,0)=AA245,1,0))))))</f>
        <v>0</v>
      </c>
      <c r="AC245" s="69" t="str">
        <f>IF(X245&gt;0,"A"&amp;X245,IF(Z245&gt;0,"B"&amp;Z245,IF(AB245&gt;0,"C"&amp;AB245,"")))</f>
        <v/>
      </c>
    </row>
    <row r="246" spans="1:29" ht="11.1" customHeight="1">
      <c r="A246" s="84" t="s">
        <v>32</v>
      </c>
      <c r="B246" s="73"/>
      <c r="C246" s="73"/>
      <c r="D246" s="73"/>
      <c r="E246" s="73"/>
      <c r="F246" s="73"/>
      <c r="G246" s="73"/>
      <c r="H246" s="73"/>
      <c r="I246" s="73"/>
      <c r="J246" s="73"/>
      <c r="K246" s="73"/>
      <c r="L246" s="73"/>
      <c r="M246" s="73"/>
      <c r="N246" s="73"/>
      <c r="O246" s="73"/>
      <c r="P246" s="73"/>
      <c r="Q246" s="73"/>
      <c r="R246" s="73"/>
      <c r="S246" s="73"/>
      <c r="T246" s="73"/>
      <c r="U246" s="73"/>
      <c r="V246" s="73"/>
      <c r="W246" s="69"/>
      <c r="X246" s="69"/>
      <c r="Y246" s="69"/>
      <c r="Z246" s="69"/>
      <c r="AA246" s="69"/>
      <c r="AB246" s="69"/>
      <c r="AC246" s="69"/>
    </row>
    <row r="247" spans="1:29" ht="20.100000000000001" customHeight="1">
      <c r="A247" s="14" t="s">
        <v>61</v>
      </c>
      <c r="B247" s="15" t="s">
        <v>93</v>
      </c>
      <c r="C247" s="16" t="str">
        <f>IFERROR(INDEX(EJERCICIOS!$D$3:$D$75,MATCH(A247&amp;"|"&amp;B247,EJERCICIOS!$G$3:$G$75,0)),"--")</f>
        <v>disco</v>
      </c>
      <c r="D247" s="17">
        <v>3</v>
      </c>
      <c r="E247" s="18">
        <f>IFERROR(LOOKUP(2,1/(MEDIDAS_Y_PESO!$B$3:$B$12&lt;&gt;""),MEDIDAS_Y_PESO!$B$3:$B$12),"--")</f>
        <v>80</v>
      </c>
      <c r="F247" s="19"/>
      <c r="G247" s="20"/>
      <c r="H247" s="21"/>
      <c r="I247" s="19"/>
      <c r="J247" s="20"/>
      <c r="K247" s="21"/>
      <c r="L247" s="19"/>
      <c r="M247" s="20"/>
      <c r="N247" s="21"/>
      <c r="O247" s="19"/>
      <c r="P247" s="20"/>
      <c r="Q247" s="21"/>
      <c r="R247" s="19"/>
      <c r="S247" s="20"/>
      <c r="T247" s="21"/>
      <c r="U247" s="22" t="str">
        <f>IFERROR(IF(IF(X247&gt;0,X247,IF(Z247&gt;0,Z247,IF(AB247&gt;0,AB247,0)))=0,"--",ROUND(CHOOSE(IF(X247&gt;0,X247,IF(Z247&gt;0,Z247,IF(AB247&gt;0,AB247,0))),IF(C247="peso_corporal",IF(ISNUMBER(E247),E247,0)+F247,F247)*(1+G247/30),IF(C247="peso_corporal",IF(ISNUMBER(E247),E247,0)+I247,I247)*(1+J247/30),IF(C247="peso_corporal",IF(ISNUMBER(E247),E247,0)+L247,L247)*(1+M247/30),IF(C247="peso_corporal",IF(ISNUMBER(E247),E247,0)+O247,O247)*(1+P247/30),IF(C247="peso_corporal",IF(ISNUMBER(E247),E247,0)+R247,R247)*(1+S247/30)),1)),"--")</f>
        <v>--</v>
      </c>
      <c r="V247" s="23" t="str">
        <f>IF(SUGERENCIAS!N614="SIN","Sin datos anteriores",IF(SUGERENCIAS!N614="SUBIR_F","^ SUBIR FUERTE | Kg:"&amp;ROUND(SUGERENCIAS!K614,1)&amp;" R:"&amp;ROUND(SUGERENCIAS!L614,0)&amp;" RIR:"&amp;ROUND(SUGERENCIAS!M614,0),IF(SUGERENCIAS!N614="SUBIR_E","^ SUBIR (Est.) | Kg:"&amp;ROUND(SUGERENCIAS!K614,1)&amp;" R:"&amp;ROUND(SUGERENCIAS!L614,0)&amp;" RIR:"&amp;ROUND(SUGERENCIAS!M614,0),IF(SUGERENCIAS!N614="SUBIR","^ SUBIR | Kg:"&amp;ROUND(SUGERENCIAS!K614,1)&amp;" R:"&amp;ROUND(SUGERENCIAS!L614,0)&amp;" RIR:"&amp;ROUND(SUGERENCIAS!M614,0),IF(SUGERENCIAS!N614="BAJAR","v BAJAR | Kg:"&amp;ROUND(SUGERENCIAS!K614,1)&amp;" R:"&amp;ROUND(SUGERENCIAS!L614,0)&amp;" RIR:"&amp;ROUND(SUGERENCIAS!M614,0),"= MANT | Kg:"&amp;ROUND(SUGERENCIAS!K614,1)&amp;" R:"&amp;ROUND(SUGERENCIAS!L614,0)&amp;" RIR:"&amp;ROUND(SUGERENCIAS!M614,0))))))</f>
        <v>Sin datos anteriores</v>
      </c>
      <c r="W247" s="69">
        <f>MAX(IF((G247&gt;0)*(IF(H247="",-1,H247)&gt;=1)*(IF(H247="",-1,H247)&lt;=3),IF(C247="peso_corporal",IF(ISNUMBER(E247),E247,0)+F247,F247)*G247*1000+F247,0),IF((J247&gt;0)*(IF(K247="",-1,K247)&gt;=1)*(IF(K247="",-1,K247)&lt;=3),IF(C247="peso_corporal",IF(ISNUMBER(E247),E247,0)+I247,I247)*J247*1000+I247,0),IF((M247&gt;0)*(IF(N247="",-1,N247)&gt;=1)*(IF(N247="",-1,N247)&lt;=3),IF(C247="peso_corporal",IF(ISNUMBER(E247),E247,0)+L247,L247)*M247*1000+L247,0),IF((P247&gt;0)*(IF(Q247="",-1,Q247)&gt;=1)*(IF(Q247="",-1,Q247)&lt;=3),IF(C247="peso_corporal",IF(ISNUMBER(E247),E247,0)+O247,O247)*P247*1000+O247,0),IF((S247&gt;0)*(IF(T247="",-1,T247)&gt;=1)*(IF(T247="",-1,T247)&lt;=3),IF(C247="peso_corporal",IF(ISNUMBER(E247),E247,0)+R247,R247)*S247*1000+R247,0))</f>
        <v>0</v>
      </c>
      <c r="X247" s="69">
        <f>IF(W247=0,0,IF(IF((S247&gt;0)*(IF(T247="",-1,T247)&gt;=1)*(IF(T247="",-1,T247)&lt;=3),IF(C247="peso_corporal",IF(ISNUMBER(E247),E247,0)+R247,R247)*S247*1000+R247,0)=W247,5,IF(IF((P247&gt;0)*(IF(Q247="",-1,Q247)&gt;=1)*(IF(Q247="",-1,Q247)&lt;=3),IF(C247="peso_corporal",IF(ISNUMBER(E247),E247,0)+O247,O247)*P247*1000+O247,0)=W247,4,IF(IF((M247&gt;0)*(IF(N247="",-1,N247)&gt;=1)*(IF(N247="",-1,N247)&lt;=3),IF(C247="peso_corporal",IF(ISNUMBER(E247),E247,0)+L247,L247)*M247*1000+L247,0)=W247,3,IF(IF((J247&gt;0)*(IF(K247="",-1,K247)&gt;=1)*(IF(K247="",-1,K247)&lt;=3),IF(C247="peso_corporal",IF(ISNUMBER(E247),E247,0)+I247,I247)*J247*1000+I247,0)=W247,2,IF(IF((G247&gt;0)*(IF(H247="",-1,H247)&gt;=1)*(IF(H247="",-1,H247)&lt;=3),IF(C247="peso_corporal",IF(ISNUMBER(E247),E247,0)+F247,F247)*G247*1000+F247,0)=W247,1,0))))))</f>
        <v>0</v>
      </c>
      <c r="Y247" s="69">
        <f>MAX(IF((G247&gt;0)*(IF(H247="",-1,H247)=0)*(1-(IF(H247="",-1,H247)&gt;=1)*(IF(H247="",-1,H247)&lt;=3)),IF(C247="peso_corporal",IF(ISNUMBER(E247),E247,0)+F247,F247)*G247*1000+F247,0),IF((J247&gt;0)*(IF(K247="",-1,K247)=0)*(1-(IF(K247="",-1,K247)&gt;=1)*(IF(K247="",-1,K247)&lt;=3)),IF(C247="peso_corporal",IF(ISNUMBER(E247),E247,0)+I247,I247)*J247*1000+I247,0),IF((M247&gt;0)*(IF(N247="",-1,N247)=0)*(1-(IF(N247="",-1,N247)&gt;=1)*(IF(N247="",-1,N247)&lt;=3)),IF(C247="peso_corporal",IF(ISNUMBER(E247),E247,0)+L247,L247)*M247*1000+L247,0),IF((P247&gt;0)*(IF(Q247="",-1,Q247)=0)*(1-(IF(Q247="",-1,Q247)&gt;=1)*(IF(Q247="",-1,Q247)&lt;=3)),IF(C247="peso_corporal",IF(ISNUMBER(E247),E247,0)+O247,O247)*P247*1000+O247,0),IF((S247&gt;0)*(IF(T247="",-1,T247)=0)*(1-(IF(T247="",-1,T247)&gt;=1)*(IF(T247="",-1,T247)&lt;=3)),IF(C247="peso_corporal",IF(ISNUMBER(E247),E247,0)+R247,R247)*S247*1000+R247,0))</f>
        <v>0</v>
      </c>
      <c r="Z247" s="69">
        <f>IF(Y247=0,0,IF(IF((S247&gt;0)*(IF(T247="",-1,T247)=0)*(1-(IF(T247="",-1,T247)&gt;=1)*(IF(T247="",-1,T247)&lt;=3)),IF(C247="peso_corporal",IF(ISNUMBER(E247),E247,0)+R247,R247)*S247*1000+R247,0)=Y247,5,IF(IF((P247&gt;0)*(IF(Q247="",-1,Q247)=0)*(1-(IF(Q247="",-1,Q247)&gt;=1)*(IF(Q247="",-1,Q247)&lt;=3)),IF(C247="peso_corporal",IF(ISNUMBER(E247),E247,0)+O247,O247)*P247*1000+O247,0)=Y247,4,IF(IF((M247&gt;0)*(IF(N247="",-1,N247)=0)*(1-(IF(N247="",-1,N247)&gt;=1)*(IF(N247="",-1,N247)&lt;=3)),IF(C247="peso_corporal",IF(ISNUMBER(E247),E247,0)+L247,L247)*M247*1000+L247,0)=Y247,3,IF(IF((J247&gt;0)*(IF(K247="",-1,K247)=0)*(1-(IF(K247="",-1,K247)&gt;=1)*(IF(K247="",-1,K247)&lt;=3)),IF(C247="peso_corporal",IF(ISNUMBER(E247),E247,0)+I247,I247)*J247*1000+I247,0)=Y247,2,IF(IF((G247&gt;0)*(IF(H247="",-1,H247)=0)*(1-(IF(H247="",-1,H247)&gt;=1)*(IF(H247="",-1,H247)&lt;=3)),IF(C247="peso_corporal",IF(ISNUMBER(E247),E247,0)+F247,F247)*G247*1000+F247,0)=Y247,1,0))))))</f>
        <v>0</v>
      </c>
      <c r="AA247" s="69">
        <f>MAX(IF((G247&gt;=6)*(1-(IF(H247="",-1,H247)&gt;=1)*(IF(H247="",-1,H247)&lt;=3))*(1-(IF(H247="",-1,H247)=0)),IF(C247="peso_corporal",IF(ISNUMBER(E247),E247,0)+F247,F247)*(30+G247)*100+F247,0),IF((J247&gt;=6)*(1-(IF(K247="",-1,K247)&gt;=1)*(IF(K247="",-1,K247)&lt;=3))*(1-(IF(K247="",-1,K247)=0)),IF(C247="peso_corporal",IF(ISNUMBER(E247),E247,0)+I247,I247)*(30+J247)*100+I247,0),IF((M247&gt;=6)*(1-(IF(N247="",-1,N247)&gt;=1)*(IF(N247="",-1,N247)&lt;=3))*(1-(IF(N247="",-1,N247)=0)),IF(C247="peso_corporal",IF(ISNUMBER(E247),E247,0)+L247,L247)*(30+M247)*100+L247,0),IF((P247&gt;=6)*(1-(IF(Q247="",-1,Q247)&gt;=1)*(IF(Q247="",-1,Q247)&lt;=3))*(1-(IF(Q247="",-1,Q247)=0)),IF(C247="peso_corporal",IF(ISNUMBER(E247),E247,0)+O247,O247)*(30+P247)*100+O247,0),IF((S247&gt;=6)*(1-(IF(T247="",-1,T247)&gt;=1)*(IF(T247="",-1,T247)&lt;=3))*(1-(IF(T247="",-1,T247)=0)),IF(C247="peso_corporal",IF(ISNUMBER(E247),E247,0)+R247,R247)*(30+S247)*100+R247,0))</f>
        <v>0</v>
      </c>
      <c r="AB247" s="69">
        <f>IF(AA247=0,0,IF(IF((S247&gt;=6)*(1-(IF(T247="",-1,T247)&gt;=1)*(IF(T247="",-1,T247)&lt;=3))*(1-(IF(T247="",-1,T247)=0)),IF(C247="peso_corporal",IF(ISNUMBER(E247),E247,0)+R247,R247)*(30+S247)*100+R247,0)=AA247,5,IF(IF((P247&gt;=6)*(1-(IF(Q247="",-1,Q247)&gt;=1)*(IF(Q247="",-1,Q247)&lt;=3))*(1-(IF(Q247="",-1,Q247)=0)),IF(C247="peso_corporal",IF(ISNUMBER(E247),E247,0)+O247,O247)*(30+P247)*100+O247,0)=AA247,4,IF(IF((M247&gt;=6)*(1-(IF(N247="",-1,N247)&gt;=1)*(IF(N247="",-1,N247)&lt;=3))*(1-(IF(N247="",-1,N247)=0)),IF(C247="peso_corporal",IF(ISNUMBER(E247),E247,0)+L247,L247)*(30+M247)*100+L247,0)=AA247,3,IF(IF((J247&gt;=6)*(1-(IF(K247="",-1,K247)&gt;=1)*(IF(K247="",-1,K247)&lt;=3))*(1-(IF(K247="",-1,K247)=0)),IF(C247="peso_corporal",IF(ISNUMBER(E247),E247,0)+I247,I247)*(30+J247)*100+I247,0)=AA247,2,IF(IF((G247&gt;=6)*(1-(IF(H247="",-1,H247)&gt;=1)*(IF(H247="",-1,H247)&lt;=3))*(1-(IF(H247="",-1,H247)=0)),IF(C247="peso_corporal",IF(ISNUMBER(E247),E247,0)+F247,F247)*(30+G247)*100+F247,0)=AA247,1,0))))))</f>
        <v>0</v>
      </c>
      <c r="AC247" s="69" t="str">
        <f>IF(X247&gt;0,"A"&amp;X247,IF(Z247&gt;0,"B"&amp;Z247,IF(AB247&gt;0,"C"&amp;AB247,"")))</f>
        <v/>
      </c>
    </row>
    <row r="248" spans="1:29" ht="11.1" customHeight="1">
      <c r="A248" s="87" t="s">
        <v>165</v>
      </c>
      <c r="B248" s="73"/>
      <c r="C248" s="73"/>
      <c r="D248" s="73"/>
      <c r="E248" s="73"/>
      <c r="F248" s="73"/>
      <c r="G248" s="73"/>
      <c r="H248" s="73"/>
      <c r="I248" s="73"/>
      <c r="J248" s="73"/>
      <c r="K248" s="73"/>
      <c r="L248" s="73"/>
      <c r="M248" s="73"/>
      <c r="N248" s="73"/>
      <c r="O248" s="73"/>
      <c r="P248" s="73"/>
      <c r="Q248" s="73"/>
      <c r="R248" s="73"/>
      <c r="S248" s="73"/>
      <c r="T248" s="73"/>
      <c r="U248" s="73"/>
      <c r="V248" s="73"/>
      <c r="W248" s="69"/>
      <c r="X248" s="69"/>
      <c r="Y248" s="69"/>
      <c r="Z248" s="69"/>
      <c r="AA248" s="69"/>
      <c r="AB248" s="69"/>
      <c r="AC248" s="69"/>
    </row>
    <row r="249" spans="1:29" ht="20.100000000000001" customHeight="1">
      <c r="A249" s="14" t="s">
        <v>62</v>
      </c>
      <c r="B249" s="15" t="s">
        <v>63</v>
      </c>
      <c r="C249" s="16" t="str">
        <f>IFERROR(INDEX(EJERCICIOS!$D$3:$D$75,MATCH(A249&amp;"|"&amp;B249,EJERCICIOS!$G$3:$G$75,0)),"--")</f>
        <v>--</v>
      </c>
      <c r="D249" s="17">
        <v>3</v>
      </c>
      <c r="E249" s="18">
        <f>IFERROR(LOOKUP(2,1/(MEDIDAS_Y_PESO!$B$3:$B$12&lt;&gt;""),MEDIDAS_Y_PESO!$B$3:$B$12),"--")</f>
        <v>80</v>
      </c>
      <c r="F249" s="19"/>
      <c r="G249" s="20"/>
      <c r="H249" s="21"/>
      <c r="I249" s="19"/>
      <c r="J249" s="20"/>
      <c r="K249" s="21"/>
      <c r="L249" s="19"/>
      <c r="M249" s="20"/>
      <c r="N249" s="21"/>
      <c r="O249" s="19"/>
      <c r="P249" s="20"/>
      <c r="Q249" s="21"/>
      <c r="R249" s="19"/>
      <c r="S249" s="20"/>
      <c r="T249" s="21"/>
      <c r="U249" s="22" t="str">
        <f>IFERROR(IF(IF(X249&gt;0,X249,IF(Z249&gt;0,Z249,IF(AB249&gt;0,AB249,0)))=0,"--",ROUND(CHOOSE(IF(X249&gt;0,X249,IF(Z249&gt;0,Z249,IF(AB249&gt;0,AB249,0))),IF(C249="peso_corporal",IF(ISNUMBER(E249),E249,0)+F249,F249)*(1+G249/30),IF(C249="peso_corporal",IF(ISNUMBER(E249),E249,0)+I249,I249)*(1+J249/30),IF(C249="peso_corporal",IF(ISNUMBER(E249),E249,0)+L249,L249)*(1+M249/30),IF(C249="peso_corporal",IF(ISNUMBER(E249),E249,0)+O249,O249)*(1+P249/30),IF(C249="peso_corporal",IF(ISNUMBER(E249),E249,0)+R249,R249)*(1+S249/30)),1)),"--")</f>
        <v>--</v>
      </c>
      <c r="V249" s="23" t="str">
        <f>IF(SUGERENCIAS!N615="SIN","Sin datos anteriores",IF(SUGERENCIAS!N615="SUBIR_F","^ SUBIR FUERTE | Kg:"&amp;ROUND(SUGERENCIAS!K615,1)&amp;" R:"&amp;ROUND(SUGERENCIAS!L615,0)&amp;" RIR:"&amp;ROUND(SUGERENCIAS!M615,0),IF(SUGERENCIAS!N615="SUBIR_E","^ SUBIR (Est.) | Kg:"&amp;ROUND(SUGERENCIAS!K615,1)&amp;" R:"&amp;ROUND(SUGERENCIAS!L615,0)&amp;" RIR:"&amp;ROUND(SUGERENCIAS!M615,0),IF(SUGERENCIAS!N615="SUBIR","^ SUBIR | Kg:"&amp;ROUND(SUGERENCIAS!K615,1)&amp;" R:"&amp;ROUND(SUGERENCIAS!L615,0)&amp;" RIR:"&amp;ROUND(SUGERENCIAS!M615,0),IF(SUGERENCIAS!N615="BAJAR","v BAJAR | Kg:"&amp;ROUND(SUGERENCIAS!K615,1)&amp;" R:"&amp;ROUND(SUGERENCIAS!L615,0)&amp;" RIR:"&amp;ROUND(SUGERENCIAS!M615,0),"= MANT | Kg:"&amp;ROUND(SUGERENCIAS!K615,1)&amp;" R:"&amp;ROUND(SUGERENCIAS!L615,0)&amp;" RIR:"&amp;ROUND(SUGERENCIAS!M615,0))))))</f>
        <v>Sin datos anteriores</v>
      </c>
      <c r="W249" s="69">
        <f>MAX(IF((G249&gt;0)*(IF(H249="",-1,H249)&gt;=1)*(IF(H249="",-1,H249)&lt;=3),IF(C249="peso_corporal",IF(ISNUMBER(E249),E249,0)+F249,F249)*G249*1000+F249,0),IF((J249&gt;0)*(IF(K249="",-1,K249)&gt;=1)*(IF(K249="",-1,K249)&lt;=3),IF(C249="peso_corporal",IF(ISNUMBER(E249),E249,0)+I249,I249)*J249*1000+I249,0),IF((M249&gt;0)*(IF(N249="",-1,N249)&gt;=1)*(IF(N249="",-1,N249)&lt;=3),IF(C249="peso_corporal",IF(ISNUMBER(E249),E249,0)+L249,L249)*M249*1000+L249,0),IF((P249&gt;0)*(IF(Q249="",-1,Q249)&gt;=1)*(IF(Q249="",-1,Q249)&lt;=3),IF(C249="peso_corporal",IF(ISNUMBER(E249),E249,0)+O249,O249)*P249*1000+O249,0),IF((S249&gt;0)*(IF(T249="",-1,T249)&gt;=1)*(IF(T249="",-1,T249)&lt;=3),IF(C249="peso_corporal",IF(ISNUMBER(E249),E249,0)+R249,R249)*S249*1000+R249,0))</f>
        <v>0</v>
      </c>
      <c r="X249" s="69">
        <f>IF(W249=0,0,IF(IF((S249&gt;0)*(IF(T249="",-1,T249)&gt;=1)*(IF(T249="",-1,T249)&lt;=3),IF(C249="peso_corporal",IF(ISNUMBER(E249),E249,0)+R249,R249)*S249*1000+R249,0)=W249,5,IF(IF((P249&gt;0)*(IF(Q249="",-1,Q249)&gt;=1)*(IF(Q249="",-1,Q249)&lt;=3),IF(C249="peso_corporal",IF(ISNUMBER(E249),E249,0)+O249,O249)*P249*1000+O249,0)=W249,4,IF(IF((M249&gt;0)*(IF(N249="",-1,N249)&gt;=1)*(IF(N249="",-1,N249)&lt;=3),IF(C249="peso_corporal",IF(ISNUMBER(E249),E249,0)+L249,L249)*M249*1000+L249,0)=W249,3,IF(IF((J249&gt;0)*(IF(K249="",-1,K249)&gt;=1)*(IF(K249="",-1,K249)&lt;=3),IF(C249="peso_corporal",IF(ISNUMBER(E249),E249,0)+I249,I249)*J249*1000+I249,0)=W249,2,IF(IF((G249&gt;0)*(IF(H249="",-1,H249)&gt;=1)*(IF(H249="",-1,H249)&lt;=3),IF(C249="peso_corporal",IF(ISNUMBER(E249),E249,0)+F249,F249)*G249*1000+F249,0)=W249,1,0))))))</f>
        <v>0</v>
      </c>
      <c r="Y249" s="69">
        <f>MAX(IF((G249&gt;0)*(IF(H249="",-1,H249)=0)*(1-(IF(H249="",-1,H249)&gt;=1)*(IF(H249="",-1,H249)&lt;=3)),IF(C249="peso_corporal",IF(ISNUMBER(E249),E249,0)+F249,F249)*G249*1000+F249,0),IF((J249&gt;0)*(IF(K249="",-1,K249)=0)*(1-(IF(K249="",-1,K249)&gt;=1)*(IF(K249="",-1,K249)&lt;=3)),IF(C249="peso_corporal",IF(ISNUMBER(E249),E249,0)+I249,I249)*J249*1000+I249,0),IF((M249&gt;0)*(IF(N249="",-1,N249)=0)*(1-(IF(N249="",-1,N249)&gt;=1)*(IF(N249="",-1,N249)&lt;=3)),IF(C249="peso_corporal",IF(ISNUMBER(E249),E249,0)+L249,L249)*M249*1000+L249,0),IF((P249&gt;0)*(IF(Q249="",-1,Q249)=0)*(1-(IF(Q249="",-1,Q249)&gt;=1)*(IF(Q249="",-1,Q249)&lt;=3)),IF(C249="peso_corporal",IF(ISNUMBER(E249),E249,0)+O249,O249)*P249*1000+O249,0),IF((S249&gt;0)*(IF(T249="",-1,T249)=0)*(1-(IF(T249="",-1,T249)&gt;=1)*(IF(T249="",-1,T249)&lt;=3)),IF(C249="peso_corporal",IF(ISNUMBER(E249),E249,0)+R249,R249)*S249*1000+R249,0))</f>
        <v>0</v>
      </c>
      <c r="Z249" s="69">
        <f>IF(Y249=0,0,IF(IF((S249&gt;0)*(IF(T249="",-1,T249)=0)*(1-(IF(T249="",-1,T249)&gt;=1)*(IF(T249="",-1,T249)&lt;=3)),IF(C249="peso_corporal",IF(ISNUMBER(E249),E249,0)+R249,R249)*S249*1000+R249,0)=Y249,5,IF(IF((P249&gt;0)*(IF(Q249="",-1,Q249)=0)*(1-(IF(Q249="",-1,Q249)&gt;=1)*(IF(Q249="",-1,Q249)&lt;=3)),IF(C249="peso_corporal",IF(ISNUMBER(E249),E249,0)+O249,O249)*P249*1000+O249,0)=Y249,4,IF(IF((M249&gt;0)*(IF(N249="",-1,N249)=0)*(1-(IF(N249="",-1,N249)&gt;=1)*(IF(N249="",-1,N249)&lt;=3)),IF(C249="peso_corporal",IF(ISNUMBER(E249),E249,0)+L249,L249)*M249*1000+L249,0)=Y249,3,IF(IF((J249&gt;0)*(IF(K249="",-1,K249)=0)*(1-(IF(K249="",-1,K249)&gt;=1)*(IF(K249="",-1,K249)&lt;=3)),IF(C249="peso_corporal",IF(ISNUMBER(E249),E249,0)+I249,I249)*J249*1000+I249,0)=Y249,2,IF(IF((G249&gt;0)*(IF(H249="",-1,H249)=0)*(1-(IF(H249="",-1,H249)&gt;=1)*(IF(H249="",-1,H249)&lt;=3)),IF(C249="peso_corporal",IF(ISNUMBER(E249),E249,0)+F249,F249)*G249*1000+F249,0)=Y249,1,0))))))</f>
        <v>0</v>
      </c>
      <c r="AA249" s="69">
        <f>MAX(IF((G249&gt;=6)*(1-(IF(H249="",-1,H249)&gt;=1)*(IF(H249="",-1,H249)&lt;=3))*(1-(IF(H249="",-1,H249)=0)),IF(C249="peso_corporal",IF(ISNUMBER(E249),E249,0)+F249,F249)*(30+G249)*100+F249,0),IF((J249&gt;=6)*(1-(IF(K249="",-1,K249)&gt;=1)*(IF(K249="",-1,K249)&lt;=3))*(1-(IF(K249="",-1,K249)=0)),IF(C249="peso_corporal",IF(ISNUMBER(E249),E249,0)+I249,I249)*(30+J249)*100+I249,0),IF((M249&gt;=6)*(1-(IF(N249="",-1,N249)&gt;=1)*(IF(N249="",-1,N249)&lt;=3))*(1-(IF(N249="",-1,N249)=0)),IF(C249="peso_corporal",IF(ISNUMBER(E249),E249,0)+L249,L249)*(30+M249)*100+L249,0),IF((P249&gt;=6)*(1-(IF(Q249="",-1,Q249)&gt;=1)*(IF(Q249="",-1,Q249)&lt;=3))*(1-(IF(Q249="",-1,Q249)=0)),IF(C249="peso_corporal",IF(ISNUMBER(E249),E249,0)+O249,O249)*(30+P249)*100+O249,0),IF((S249&gt;=6)*(1-(IF(T249="",-1,T249)&gt;=1)*(IF(T249="",-1,T249)&lt;=3))*(1-(IF(T249="",-1,T249)=0)),IF(C249="peso_corporal",IF(ISNUMBER(E249),E249,0)+R249,R249)*(30+S249)*100+R249,0))</f>
        <v>0</v>
      </c>
      <c r="AB249" s="69">
        <f>IF(AA249=0,0,IF(IF((S249&gt;=6)*(1-(IF(T249="",-1,T249)&gt;=1)*(IF(T249="",-1,T249)&lt;=3))*(1-(IF(T249="",-1,T249)=0)),IF(C249="peso_corporal",IF(ISNUMBER(E249),E249,0)+R249,R249)*(30+S249)*100+R249,0)=AA249,5,IF(IF((P249&gt;=6)*(1-(IF(Q249="",-1,Q249)&gt;=1)*(IF(Q249="",-1,Q249)&lt;=3))*(1-(IF(Q249="",-1,Q249)=0)),IF(C249="peso_corporal",IF(ISNUMBER(E249),E249,0)+O249,O249)*(30+P249)*100+O249,0)=AA249,4,IF(IF((M249&gt;=6)*(1-(IF(N249="",-1,N249)&gt;=1)*(IF(N249="",-1,N249)&lt;=3))*(1-(IF(N249="",-1,N249)=0)),IF(C249="peso_corporal",IF(ISNUMBER(E249),E249,0)+L249,L249)*(30+M249)*100+L249,0)=AA249,3,IF(IF((J249&gt;=6)*(1-(IF(K249="",-1,K249)&gt;=1)*(IF(K249="",-1,K249)&lt;=3))*(1-(IF(K249="",-1,K249)=0)),IF(C249="peso_corporal",IF(ISNUMBER(E249),E249,0)+I249,I249)*(30+J249)*100+I249,0)=AA249,2,IF(IF((G249&gt;=6)*(1-(IF(H249="",-1,H249)&gt;=1)*(IF(H249="",-1,H249)&lt;=3))*(1-(IF(H249="",-1,H249)=0)),IF(C249="peso_corporal",IF(ISNUMBER(E249),E249,0)+F249,F249)*(30+G249)*100+F249,0)=AA249,1,0))))))</f>
        <v>0</v>
      </c>
      <c r="AC249" s="69" t="str">
        <f>IF(X249&gt;0,"A"&amp;X249,IF(Z249&gt;0,"B"&amp;Z249,IF(AB249&gt;0,"C"&amp;AB249,"")))</f>
        <v/>
      </c>
    </row>
    <row r="250" spans="1:29" ht="15" customHeight="1">
      <c r="A250" s="82" t="s">
        <v>47</v>
      </c>
      <c r="B250" s="73"/>
      <c r="C250" s="73"/>
      <c r="D250" s="73"/>
      <c r="E250" s="73"/>
      <c r="F250" s="73"/>
      <c r="G250" s="73"/>
      <c r="H250" s="73"/>
      <c r="I250" s="73"/>
      <c r="J250" s="73"/>
      <c r="K250" s="73"/>
      <c r="L250" s="73"/>
      <c r="M250" s="73"/>
      <c r="N250" s="73"/>
      <c r="O250" s="73"/>
      <c r="P250" s="73"/>
      <c r="Q250" s="73"/>
      <c r="R250" s="73"/>
      <c r="S250" s="73"/>
      <c r="T250" s="73"/>
      <c r="U250" s="73"/>
      <c r="V250" s="73"/>
      <c r="W250" s="69"/>
      <c r="X250" s="69"/>
      <c r="Y250" s="69"/>
      <c r="Z250" s="69"/>
      <c r="AA250" s="69"/>
      <c r="AB250" s="69"/>
      <c r="AC250" s="69"/>
    </row>
    <row r="251" spans="1:29" ht="20.100000000000001" customHeight="1">
      <c r="A251" s="14" t="s">
        <v>40</v>
      </c>
      <c r="B251" s="15" t="s">
        <v>41</v>
      </c>
      <c r="C251" s="16" t="str">
        <f>IFERROR(INDEX(EJERCICIOS!$D$3:$D$75,MATCH(A251&amp;"|"&amp;B251,EJERCICIOS!$G$3:$G$75,0)),"--")</f>
        <v>polea</v>
      </c>
      <c r="D251" s="17">
        <v>3</v>
      </c>
      <c r="E251" s="18">
        <f>IFERROR(LOOKUP(2,1/(MEDIDAS_Y_PESO!$B$3:$B$12&lt;&gt;""),MEDIDAS_Y_PESO!$B$3:$B$12),"--")</f>
        <v>80</v>
      </c>
      <c r="F251" s="19"/>
      <c r="G251" s="20"/>
      <c r="H251" s="21"/>
      <c r="I251" s="19"/>
      <c r="J251" s="20"/>
      <c r="K251" s="21"/>
      <c r="L251" s="19"/>
      <c r="M251" s="20"/>
      <c r="N251" s="21"/>
      <c r="O251" s="19"/>
      <c r="P251" s="20"/>
      <c r="Q251" s="21"/>
      <c r="R251" s="19"/>
      <c r="S251" s="20"/>
      <c r="T251" s="21"/>
      <c r="U251" s="22" t="str">
        <f>IFERROR(IF(IF(X251&gt;0,X251,IF(Z251&gt;0,Z251,IF(AB251&gt;0,AB251,0)))=0,"--",ROUND(CHOOSE(IF(X251&gt;0,X251,IF(Z251&gt;0,Z251,IF(AB251&gt;0,AB251,0))),IF(C251="peso_corporal",IF(ISNUMBER(E251),E251,0)+F251,F251)*(1+G251/30),IF(C251="peso_corporal",IF(ISNUMBER(E251),E251,0)+I251,I251)*(1+J251/30),IF(C251="peso_corporal",IF(ISNUMBER(E251),E251,0)+L251,L251)*(1+M251/30),IF(C251="peso_corporal",IF(ISNUMBER(E251),E251,0)+O251,O251)*(1+P251/30),IF(C251="peso_corporal",IF(ISNUMBER(E251),E251,0)+R251,R251)*(1+S251/30)),1)),"--")</f>
        <v>--</v>
      </c>
      <c r="V251" s="23" t="str">
        <f>IF(SUGERENCIAS!N616="SIN","Sin datos anteriores",IF(SUGERENCIAS!N616="SUBIR_F","^ SUBIR FUERTE | Kg:"&amp;ROUND(SUGERENCIAS!K616,1)&amp;" R:"&amp;ROUND(SUGERENCIAS!L616,0)&amp;" RIR:"&amp;ROUND(SUGERENCIAS!M616,0),IF(SUGERENCIAS!N616="SUBIR_E","^ SUBIR (Est.) | Kg:"&amp;ROUND(SUGERENCIAS!K616,1)&amp;" R:"&amp;ROUND(SUGERENCIAS!L616,0)&amp;" RIR:"&amp;ROUND(SUGERENCIAS!M616,0),IF(SUGERENCIAS!N616="SUBIR","^ SUBIR | Kg:"&amp;ROUND(SUGERENCIAS!K616,1)&amp;" R:"&amp;ROUND(SUGERENCIAS!L616,0)&amp;" RIR:"&amp;ROUND(SUGERENCIAS!M616,0),IF(SUGERENCIAS!N616="BAJAR","v BAJAR | Kg:"&amp;ROUND(SUGERENCIAS!K616,1)&amp;" R:"&amp;ROUND(SUGERENCIAS!L616,0)&amp;" RIR:"&amp;ROUND(SUGERENCIAS!M616,0),"= MANT | Kg:"&amp;ROUND(SUGERENCIAS!K616,1)&amp;" R:"&amp;ROUND(SUGERENCIAS!L616,0)&amp;" RIR:"&amp;ROUND(SUGERENCIAS!M616,0))))))</f>
        <v>Sin datos anteriores</v>
      </c>
      <c r="W251" s="69">
        <f>MAX(IF((G251&gt;0)*(IF(H251="",-1,H251)&gt;=1)*(IF(H251="",-1,H251)&lt;=3),IF(C251="peso_corporal",IF(ISNUMBER(E251),E251,0)+F251,F251)*G251*1000+F251,0),IF((J251&gt;0)*(IF(K251="",-1,K251)&gt;=1)*(IF(K251="",-1,K251)&lt;=3),IF(C251="peso_corporal",IF(ISNUMBER(E251),E251,0)+I251,I251)*J251*1000+I251,0),IF((M251&gt;0)*(IF(N251="",-1,N251)&gt;=1)*(IF(N251="",-1,N251)&lt;=3),IF(C251="peso_corporal",IF(ISNUMBER(E251),E251,0)+L251,L251)*M251*1000+L251,0),IF((P251&gt;0)*(IF(Q251="",-1,Q251)&gt;=1)*(IF(Q251="",-1,Q251)&lt;=3),IF(C251="peso_corporal",IF(ISNUMBER(E251),E251,0)+O251,O251)*P251*1000+O251,0),IF((S251&gt;0)*(IF(T251="",-1,T251)&gt;=1)*(IF(T251="",-1,T251)&lt;=3),IF(C251="peso_corporal",IF(ISNUMBER(E251),E251,0)+R251,R251)*S251*1000+R251,0))</f>
        <v>0</v>
      </c>
      <c r="X251" s="69">
        <f>IF(W251=0,0,IF(IF((S251&gt;0)*(IF(T251="",-1,T251)&gt;=1)*(IF(T251="",-1,T251)&lt;=3),IF(C251="peso_corporal",IF(ISNUMBER(E251),E251,0)+R251,R251)*S251*1000+R251,0)=W251,5,IF(IF((P251&gt;0)*(IF(Q251="",-1,Q251)&gt;=1)*(IF(Q251="",-1,Q251)&lt;=3),IF(C251="peso_corporal",IF(ISNUMBER(E251),E251,0)+O251,O251)*P251*1000+O251,0)=W251,4,IF(IF((M251&gt;0)*(IF(N251="",-1,N251)&gt;=1)*(IF(N251="",-1,N251)&lt;=3),IF(C251="peso_corporal",IF(ISNUMBER(E251),E251,0)+L251,L251)*M251*1000+L251,0)=W251,3,IF(IF((J251&gt;0)*(IF(K251="",-1,K251)&gt;=1)*(IF(K251="",-1,K251)&lt;=3),IF(C251="peso_corporal",IF(ISNUMBER(E251),E251,0)+I251,I251)*J251*1000+I251,0)=W251,2,IF(IF((G251&gt;0)*(IF(H251="",-1,H251)&gt;=1)*(IF(H251="",-1,H251)&lt;=3),IF(C251="peso_corporal",IF(ISNUMBER(E251),E251,0)+F251,F251)*G251*1000+F251,0)=W251,1,0))))))</f>
        <v>0</v>
      </c>
      <c r="Y251" s="69">
        <f>MAX(IF((G251&gt;0)*(IF(H251="",-1,H251)=0)*(1-(IF(H251="",-1,H251)&gt;=1)*(IF(H251="",-1,H251)&lt;=3)),IF(C251="peso_corporal",IF(ISNUMBER(E251),E251,0)+F251,F251)*G251*1000+F251,0),IF((J251&gt;0)*(IF(K251="",-1,K251)=0)*(1-(IF(K251="",-1,K251)&gt;=1)*(IF(K251="",-1,K251)&lt;=3)),IF(C251="peso_corporal",IF(ISNUMBER(E251),E251,0)+I251,I251)*J251*1000+I251,0),IF((M251&gt;0)*(IF(N251="",-1,N251)=0)*(1-(IF(N251="",-1,N251)&gt;=1)*(IF(N251="",-1,N251)&lt;=3)),IF(C251="peso_corporal",IF(ISNUMBER(E251),E251,0)+L251,L251)*M251*1000+L251,0),IF((P251&gt;0)*(IF(Q251="",-1,Q251)=0)*(1-(IF(Q251="",-1,Q251)&gt;=1)*(IF(Q251="",-1,Q251)&lt;=3)),IF(C251="peso_corporal",IF(ISNUMBER(E251),E251,0)+O251,O251)*P251*1000+O251,0),IF((S251&gt;0)*(IF(T251="",-1,T251)=0)*(1-(IF(T251="",-1,T251)&gt;=1)*(IF(T251="",-1,T251)&lt;=3)),IF(C251="peso_corporal",IF(ISNUMBER(E251),E251,0)+R251,R251)*S251*1000+R251,0))</f>
        <v>0</v>
      </c>
      <c r="Z251" s="69">
        <f>IF(Y251=0,0,IF(IF((S251&gt;0)*(IF(T251="",-1,T251)=0)*(1-(IF(T251="",-1,T251)&gt;=1)*(IF(T251="",-1,T251)&lt;=3)),IF(C251="peso_corporal",IF(ISNUMBER(E251),E251,0)+R251,R251)*S251*1000+R251,0)=Y251,5,IF(IF((P251&gt;0)*(IF(Q251="",-1,Q251)=0)*(1-(IF(Q251="",-1,Q251)&gt;=1)*(IF(Q251="",-1,Q251)&lt;=3)),IF(C251="peso_corporal",IF(ISNUMBER(E251),E251,0)+O251,O251)*P251*1000+O251,0)=Y251,4,IF(IF((M251&gt;0)*(IF(N251="",-1,N251)=0)*(1-(IF(N251="",-1,N251)&gt;=1)*(IF(N251="",-1,N251)&lt;=3)),IF(C251="peso_corporal",IF(ISNUMBER(E251),E251,0)+L251,L251)*M251*1000+L251,0)=Y251,3,IF(IF((J251&gt;0)*(IF(K251="",-1,K251)=0)*(1-(IF(K251="",-1,K251)&gt;=1)*(IF(K251="",-1,K251)&lt;=3)),IF(C251="peso_corporal",IF(ISNUMBER(E251),E251,0)+I251,I251)*J251*1000+I251,0)=Y251,2,IF(IF((G251&gt;0)*(IF(H251="",-1,H251)=0)*(1-(IF(H251="",-1,H251)&gt;=1)*(IF(H251="",-1,H251)&lt;=3)),IF(C251="peso_corporal",IF(ISNUMBER(E251),E251,0)+F251,F251)*G251*1000+F251,0)=Y251,1,0))))))</f>
        <v>0</v>
      </c>
      <c r="AA251" s="69">
        <f>MAX(IF((G251&gt;=6)*(1-(IF(H251="",-1,H251)&gt;=1)*(IF(H251="",-1,H251)&lt;=3))*(1-(IF(H251="",-1,H251)=0)),IF(C251="peso_corporal",IF(ISNUMBER(E251),E251,0)+F251,F251)*(30+G251)*100+F251,0),IF((J251&gt;=6)*(1-(IF(K251="",-1,K251)&gt;=1)*(IF(K251="",-1,K251)&lt;=3))*(1-(IF(K251="",-1,K251)=0)),IF(C251="peso_corporal",IF(ISNUMBER(E251),E251,0)+I251,I251)*(30+J251)*100+I251,0),IF((M251&gt;=6)*(1-(IF(N251="",-1,N251)&gt;=1)*(IF(N251="",-1,N251)&lt;=3))*(1-(IF(N251="",-1,N251)=0)),IF(C251="peso_corporal",IF(ISNUMBER(E251),E251,0)+L251,L251)*(30+M251)*100+L251,0),IF((P251&gt;=6)*(1-(IF(Q251="",-1,Q251)&gt;=1)*(IF(Q251="",-1,Q251)&lt;=3))*(1-(IF(Q251="",-1,Q251)=0)),IF(C251="peso_corporal",IF(ISNUMBER(E251),E251,0)+O251,O251)*(30+P251)*100+O251,0),IF((S251&gt;=6)*(1-(IF(T251="",-1,T251)&gt;=1)*(IF(T251="",-1,T251)&lt;=3))*(1-(IF(T251="",-1,T251)=0)),IF(C251="peso_corporal",IF(ISNUMBER(E251),E251,0)+R251,R251)*(30+S251)*100+R251,0))</f>
        <v>0</v>
      </c>
      <c r="AB251" s="69">
        <f>IF(AA251=0,0,IF(IF((S251&gt;=6)*(1-(IF(T251="",-1,T251)&gt;=1)*(IF(T251="",-1,T251)&lt;=3))*(1-(IF(T251="",-1,T251)=0)),IF(C251="peso_corporal",IF(ISNUMBER(E251),E251,0)+R251,R251)*(30+S251)*100+R251,0)=AA251,5,IF(IF((P251&gt;=6)*(1-(IF(Q251="",-1,Q251)&gt;=1)*(IF(Q251="",-1,Q251)&lt;=3))*(1-(IF(Q251="",-1,Q251)=0)),IF(C251="peso_corporal",IF(ISNUMBER(E251),E251,0)+O251,O251)*(30+P251)*100+O251,0)=AA251,4,IF(IF((M251&gt;=6)*(1-(IF(N251="",-1,N251)&gt;=1)*(IF(N251="",-1,N251)&lt;=3))*(1-(IF(N251="",-1,N251)=0)),IF(C251="peso_corporal",IF(ISNUMBER(E251),E251,0)+L251,L251)*(30+M251)*100+L251,0)=AA251,3,IF(IF((J251&gt;=6)*(1-(IF(K251="",-1,K251)&gt;=1)*(IF(K251="",-1,K251)&lt;=3))*(1-(IF(K251="",-1,K251)=0)),IF(C251="peso_corporal",IF(ISNUMBER(E251),E251,0)+I251,I251)*(30+J251)*100+I251,0)=AA251,2,IF(IF((G251&gt;=6)*(1-(IF(H251="",-1,H251)&gt;=1)*(IF(H251="",-1,H251)&lt;=3))*(1-(IF(H251="",-1,H251)=0)),IF(C251="peso_corporal",IF(ISNUMBER(E251),E251,0)+F251,F251)*(30+G251)*100+F251,0)=AA251,1,0))))))</f>
        <v>0</v>
      </c>
      <c r="AC251" s="69" t="str">
        <f>IF(X251&gt;0,"A"&amp;X251,IF(Z251&gt;0,"B"&amp;Z251,IF(AB251&gt;0,"C"&amp;AB251,"")))</f>
        <v/>
      </c>
    </row>
    <row r="252" spans="1:29" ht="20.100000000000001" customHeight="1">
      <c r="A252" s="14" t="s">
        <v>48</v>
      </c>
      <c r="B252" s="15" t="s">
        <v>166</v>
      </c>
      <c r="C252" s="16" t="str">
        <f>IFERROR(INDEX(EJERCICIOS!$D$3:$D$75,MATCH(A252&amp;"|"&amp;B252,EJERCICIOS!$G$3:$G$75,0)),"--")</f>
        <v>--</v>
      </c>
      <c r="D252" s="17">
        <v>3</v>
      </c>
      <c r="E252" s="18">
        <f>IFERROR(LOOKUP(2,1/(MEDIDAS_Y_PESO!$B$3:$B$12&lt;&gt;""),MEDIDAS_Y_PESO!$B$3:$B$12),"--")</f>
        <v>80</v>
      </c>
      <c r="F252" s="19"/>
      <c r="G252" s="20"/>
      <c r="H252" s="21"/>
      <c r="I252" s="19"/>
      <c r="J252" s="20"/>
      <c r="K252" s="21"/>
      <c r="L252" s="19"/>
      <c r="M252" s="20"/>
      <c r="N252" s="21"/>
      <c r="O252" s="19"/>
      <c r="P252" s="20"/>
      <c r="Q252" s="21"/>
      <c r="R252" s="19"/>
      <c r="S252" s="20"/>
      <c r="T252" s="21"/>
      <c r="U252" s="22" t="str">
        <f>IFERROR(IF(IF(X252&gt;0,X252,IF(Z252&gt;0,Z252,IF(AB252&gt;0,AB252,0)))=0,"--",ROUND(CHOOSE(IF(X252&gt;0,X252,IF(Z252&gt;0,Z252,IF(AB252&gt;0,AB252,0))),IF(C252="peso_corporal",IF(ISNUMBER(E252),E252,0)+F252,F252)*(1+G252/30),IF(C252="peso_corporal",IF(ISNUMBER(E252),E252,0)+I252,I252)*(1+J252/30),IF(C252="peso_corporal",IF(ISNUMBER(E252),E252,0)+L252,L252)*(1+M252/30),IF(C252="peso_corporal",IF(ISNUMBER(E252),E252,0)+O252,O252)*(1+P252/30),IF(C252="peso_corporal",IF(ISNUMBER(E252),E252,0)+R252,R252)*(1+S252/30)),1)),"--")</f>
        <v>--</v>
      </c>
      <c r="V252" s="23" t="str">
        <f>IF(SUGERENCIAS!N617="SIN","Sin datos anteriores",IF(SUGERENCIAS!N617="SUBIR_F","^ SUBIR FUERTE | Kg:"&amp;ROUND(SUGERENCIAS!K617,1)&amp;" R:"&amp;ROUND(SUGERENCIAS!L617,0)&amp;" RIR:"&amp;ROUND(SUGERENCIAS!M617,0),IF(SUGERENCIAS!N617="SUBIR_E","^ SUBIR (Est.) | Kg:"&amp;ROUND(SUGERENCIAS!K617,1)&amp;" R:"&amp;ROUND(SUGERENCIAS!L617,0)&amp;" RIR:"&amp;ROUND(SUGERENCIAS!M617,0),IF(SUGERENCIAS!N617="SUBIR","^ SUBIR | Kg:"&amp;ROUND(SUGERENCIAS!K617,1)&amp;" R:"&amp;ROUND(SUGERENCIAS!L617,0)&amp;" RIR:"&amp;ROUND(SUGERENCIAS!M617,0),IF(SUGERENCIAS!N617="BAJAR","v BAJAR | Kg:"&amp;ROUND(SUGERENCIAS!K617,1)&amp;" R:"&amp;ROUND(SUGERENCIAS!L617,0)&amp;" RIR:"&amp;ROUND(SUGERENCIAS!M617,0),"= MANT | Kg:"&amp;ROUND(SUGERENCIAS!K617,1)&amp;" R:"&amp;ROUND(SUGERENCIAS!L617,0)&amp;" RIR:"&amp;ROUND(SUGERENCIAS!M617,0))))))</f>
        <v>Sin datos anteriores</v>
      </c>
      <c r="W252" s="69">
        <f>MAX(IF((G252&gt;0)*(IF(H252="",-1,H252)&gt;=1)*(IF(H252="",-1,H252)&lt;=3),IF(C252="peso_corporal",IF(ISNUMBER(E252),E252,0)+F252,F252)*G252*1000+F252,0),IF((J252&gt;0)*(IF(K252="",-1,K252)&gt;=1)*(IF(K252="",-1,K252)&lt;=3),IF(C252="peso_corporal",IF(ISNUMBER(E252),E252,0)+I252,I252)*J252*1000+I252,0),IF((M252&gt;0)*(IF(N252="",-1,N252)&gt;=1)*(IF(N252="",-1,N252)&lt;=3),IF(C252="peso_corporal",IF(ISNUMBER(E252),E252,0)+L252,L252)*M252*1000+L252,0),IF((P252&gt;0)*(IF(Q252="",-1,Q252)&gt;=1)*(IF(Q252="",-1,Q252)&lt;=3),IF(C252="peso_corporal",IF(ISNUMBER(E252),E252,0)+O252,O252)*P252*1000+O252,0),IF((S252&gt;0)*(IF(T252="",-1,T252)&gt;=1)*(IF(T252="",-1,T252)&lt;=3),IF(C252="peso_corporal",IF(ISNUMBER(E252),E252,0)+R252,R252)*S252*1000+R252,0))</f>
        <v>0</v>
      </c>
      <c r="X252" s="69">
        <f>IF(W252=0,0,IF(IF((S252&gt;0)*(IF(T252="",-1,T252)&gt;=1)*(IF(T252="",-1,T252)&lt;=3),IF(C252="peso_corporal",IF(ISNUMBER(E252),E252,0)+R252,R252)*S252*1000+R252,0)=W252,5,IF(IF((P252&gt;0)*(IF(Q252="",-1,Q252)&gt;=1)*(IF(Q252="",-1,Q252)&lt;=3),IF(C252="peso_corporal",IF(ISNUMBER(E252),E252,0)+O252,O252)*P252*1000+O252,0)=W252,4,IF(IF((M252&gt;0)*(IF(N252="",-1,N252)&gt;=1)*(IF(N252="",-1,N252)&lt;=3),IF(C252="peso_corporal",IF(ISNUMBER(E252),E252,0)+L252,L252)*M252*1000+L252,0)=W252,3,IF(IF((J252&gt;0)*(IF(K252="",-1,K252)&gt;=1)*(IF(K252="",-1,K252)&lt;=3),IF(C252="peso_corporal",IF(ISNUMBER(E252),E252,0)+I252,I252)*J252*1000+I252,0)=W252,2,IF(IF((G252&gt;0)*(IF(H252="",-1,H252)&gt;=1)*(IF(H252="",-1,H252)&lt;=3),IF(C252="peso_corporal",IF(ISNUMBER(E252),E252,0)+F252,F252)*G252*1000+F252,0)=W252,1,0))))))</f>
        <v>0</v>
      </c>
      <c r="Y252" s="69">
        <f>MAX(IF((G252&gt;0)*(IF(H252="",-1,H252)=0)*(1-(IF(H252="",-1,H252)&gt;=1)*(IF(H252="",-1,H252)&lt;=3)),IF(C252="peso_corporal",IF(ISNUMBER(E252),E252,0)+F252,F252)*G252*1000+F252,0),IF((J252&gt;0)*(IF(K252="",-1,K252)=0)*(1-(IF(K252="",-1,K252)&gt;=1)*(IF(K252="",-1,K252)&lt;=3)),IF(C252="peso_corporal",IF(ISNUMBER(E252),E252,0)+I252,I252)*J252*1000+I252,0),IF((M252&gt;0)*(IF(N252="",-1,N252)=0)*(1-(IF(N252="",-1,N252)&gt;=1)*(IF(N252="",-1,N252)&lt;=3)),IF(C252="peso_corporal",IF(ISNUMBER(E252),E252,0)+L252,L252)*M252*1000+L252,0),IF((P252&gt;0)*(IF(Q252="",-1,Q252)=0)*(1-(IF(Q252="",-1,Q252)&gt;=1)*(IF(Q252="",-1,Q252)&lt;=3)),IF(C252="peso_corporal",IF(ISNUMBER(E252),E252,0)+O252,O252)*P252*1000+O252,0),IF((S252&gt;0)*(IF(T252="",-1,T252)=0)*(1-(IF(T252="",-1,T252)&gt;=1)*(IF(T252="",-1,T252)&lt;=3)),IF(C252="peso_corporal",IF(ISNUMBER(E252),E252,0)+R252,R252)*S252*1000+R252,0))</f>
        <v>0</v>
      </c>
      <c r="Z252" s="69">
        <f>IF(Y252=0,0,IF(IF((S252&gt;0)*(IF(T252="",-1,T252)=0)*(1-(IF(T252="",-1,T252)&gt;=1)*(IF(T252="",-1,T252)&lt;=3)),IF(C252="peso_corporal",IF(ISNUMBER(E252),E252,0)+R252,R252)*S252*1000+R252,0)=Y252,5,IF(IF((P252&gt;0)*(IF(Q252="",-1,Q252)=0)*(1-(IF(Q252="",-1,Q252)&gt;=1)*(IF(Q252="",-1,Q252)&lt;=3)),IF(C252="peso_corporal",IF(ISNUMBER(E252),E252,0)+O252,O252)*P252*1000+O252,0)=Y252,4,IF(IF((M252&gt;0)*(IF(N252="",-1,N252)=0)*(1-(IF(N252="",-1,N252)&gt;=1)*(IF(N252="",-1,N252)&lt;=3)),IF(C252="peso_corporal",IF(ISNUMBER(E252),E252,0)+L252,L252)*M252*1000+L252,0)=Y252,3,IF(IF((J252&gt;0)*(IF(K252="",-1,K252)=0)*(1-(IF(K252="",-1,K252)&gt;=1)*(IF(K252="",-1,K252)&lt;=3)),IF(C252="peso_corporal",IF(ISNUMBER(E252),E252,0)+I252,I252)*J252*1000+I252,0)=Y252,2,IF(IF((G252&gt;0)*(IF(H252="",-1,H252)=0)*(1-(IF(H252="",-1,H252)&gt;=1)*(IF(H252="",-1,H252)&lt;=3)),IF(C252="peso_corporal",IF(ISNUMBER(E252),E252,0)+F252,F252)*G252*1000+F252,0)=Y252,1,0))))))</f>
        <v>0</v>
      </c>
      <c r="AA252" s="69">
        <f>MAX(IF((G252&gt;=6)*(1-(IF(H252="",-1,H252)&gt;=1)*(IF(H252="",-1,H252)&lt;=3))*(1-(IF(H252="",-1,H252)=0)),IF(C252="peso_corporal",IF(ISNUMBER(E252),E252,0)+F252,F252)*(30+G252)*100+F252,0),IF((J252&gt;=6)*(1-(IF(K252="",-1,K252)&gt;=1)*(IF(K252="",-1,K252)&lt;=3))*(1-(IF(K252="",-1,K252)=0)),IF(C252="peso_corporal",IF(ISNUMBER(E252),E252,0)+I252,I252)*(30+J252)*100+I252,0),IF((M252&gt;=6)*(1-(IF(N252="",-1,N252)&gt;=1)*(IF(N252="",-1,N252)&lt;=3))*(1-(IF(N252="",-1,N252)=0)),IF(C252="peso_corporal",IF(ISNUMBER(E252),E252,0)+L252,L252)*(30+M252)*100+L252,0),IF((P252&gt;=6)*(1-(IF(Q252="",-1,Q252)&gt;=1)*(IF(Q252="",-1,Q252)&lt;=3))*(1-(IF(Q252="",-1,Q252)=0)),IF(C252="peso_corporal",IF(ISNUMBER(E252),E252,0)+O252,O252)*(30+P252)*100+O252,0),IF((S252&gt;=6)*(1-(IF(T252="",-1,T252)&gt;=1)*(IF(T252="",-1,T252)&lt;=3))*(1-(IF(T252="",-1,T252)=0)),IF(C252="peso_corporal",IF(ISNUMBER(E252),E252,0)+R252,R252)*(30+S252)*100+R252,0))</f>
        <v>0</v>
      </c>
      <c r="AB252" s="69">
        <f>IF(AA252=0,0,IF(IF((S252&gt;=6)*(1-(IF(T252="",-1,T252)&gt;=1)*(IF(T252="",-1,T252)&lt;=3))*(1-(IF(T252="",-1,T252)=0)),IF(C252="peso_corporal",IF(ISNUMBER(E252),E252,0)+R252,R252)*(30+S252)*100+R252,0)=AA252,5,IF(IF((P252&gt;=6)*(1-(IF(Q252="",-1,Q252)&gt;=1)*(IF(Q252="",-1,Q252)&lt;=3))*(1-(IF(Q252="",-1,Q252)=0)),IF(C252="peso_corporal",IF(ISNUMBER(E252),E252,0)+O252,O252)*(30+P252)*100+O252,0)=AA252,4,IF(IF((M252&gt;=6)*(1-(IF(N252="",-1,N252)&gt;=1)*(IF(N252="",-1,N252)&lt;=3))*(1-(IF(N252="",-1,N252)=0)),IF(C252="peso_corporal",IF(ISNUMBER(E252),E252,0)+L252,L252)*(30+M252)*100+L252,0)=AA252,3,IF(IF((J252&gt;=6)*(1-(IF(K252="",-1,K252)&gt;=1)*(IF(K252="",-1,K252)&lt;=3))*(1-(IF(K252="",-1,K252)=0)),IF(C252="peso_corporal",IF(ISNUMBER(E252),E252,0)+I252,I252)*(30+J252)*100+I252,0)=AA252,2,IF(IF((G252&gt;=6)*(1-(IF(H252="",-1,H252)&gt;=1)*(IF(H252="",-1,H252)&lt;=3))*(1-(IF(H252="",-1,H252)=0)),IF(C252="peso_corporal",IF(ISNUMBER(E252),E252,0)+F252,F252)*(30+G252)*100+F252,0)=AA252,1,0))))))</f>
        <v>0</v>
      </c>
      <c r="AC252" s="69" t="str">
        <f>IF(X252&gt;0,"A"&amp;X252,IF(Z252&gt;0,"B"&amp;Z252,IF(AB252&gt;0,"C"&amp;AB252,"")))</f>
        <v/>
      </c>
    </row>
    <row r="253" spans="1:29" ht="15" customHeight="1">
      <c r="A253" s="88" t="s">
        <v>50</v>
      </c>
      <c r="B253" s="73"/>
      <c r="C253" s="73"/>
      <c r="D253" s="73"/>
      <c r="E253" s="73"/>
      <c r="F253" s="73"/>
      <c r="G253" s="73"/>
      <c r="H253" s="73"/>
      <c r="I253" s="73"/>
      <c r="J253" s="73"/>
      <c r="K253" s="73"/>
      <c r="L253" s="73"/>
      <c r="M253" s="73"/>
      <c r="N253" s="73"/>
      <c r="O253" s="73"/>
      <c r="P253" s="73"/>
      <c r="Q253" s="73"/>
      <c r="R253" s="73"/>
      <c r="S253" s="73"/>
      <c r="T253" s="73"/>
      <c r="U253" s="73"/>
      <c r="V253" s="73"/>
      <c r="W253" s="69"/>
      <c r="X253" s="69"/>
      <c r="Y253" s="69"/>
      <c r="Z253" s="69"/>
      <c r="AA253" s="69"/>
      <c r="AB253" s="69"/>
      <c r="AC253" s="69"/>
    </row>
    <row r="254" spans="1:29" ht="20.100000000000001" customHeight="1">
      <c r="A254" s="14" t="s">
        <v>65</v>
      </c>
      <c r="B254" s="15" t="s">
        <v>137</v>
      </c>
      <c r="C254" s="16" t="str">
        <f>IFERROR(INDEX(EJERCICIOS!$D$3:$D$75,MATCH(A254&amp;"|"&amp;B254,EJERCICIOS!$G$3:$G$75,0)),"--")</f>
        <v>--</v>
      </c>
      <c r="D254" s="17">
        <v>3</v>
      </c>
      <c r="E254" s="18">
        <f>IFERROR(LOOKUP(2,1/(MEDIDAS_Y_PESO!$B$3:$B$12&lt;&gt;""),MEDIDAS_Y_PESO!$B$3:$B$12),"--")</f>
        <v>80</v>
      </c>
      <c r="F254" s="19"/>
      <c r="G254" s="20"/>
      <c r="H254" s="21"/>
      <c r="I254" s="19"/>
      <c r="J254" s="20"/>
      <c r="K254" s="21"/>
      <c r="L254" s="19"/>
      <c r="M254" s="20"/>
      <c r="N254" s="21"/>
      <c r="O254" s="19"/>
      <c r="P254" s="20"/>
      <c r="Q254" s="21"/>
      <c r="R254" s="19"/>
      <c r="S254" s="20"/>
      <c r="T254" s="21"/>
      <c r="U254" s="22" t="str">
        <f>IFERROR(IF(IF(X254&gt;0,X254,IF(Z254&gt;0,Z254,IF(AB254&gt;0,AB254,0)))=0,"--",ROUND(CHOOSE(IF(X254&gt;0,X254,IF(Z254&gt;0,Z254,IF(AB254&gt;0,AB254,0))),IF(C254="peso_corporal",IF(ISNUMBER(E254),E254,0)+F254,F254)*(1+G254/30),IF(C254="peso_corporal",IF(ISNUMBER(E254),E254,0)+I254,I254)*(1+J254/30),IF(C254="peso_corporal",IF(ISNUMBER(E254),E254,0)+L254,L254)*(1+M254/30),IF(C254="peso_corporal",IF(ISNUMBER(E254),E254,0)+O254,O254)*(1+P254/30),IF(C254="peso_corporal",IF(ISNUMBER(E254),E254,0)+R254,R254)*(1+S254/30)),1)),"--")</f>
        <v>--</v>
      </c>
      <c r="V254" s="23" t="str">
        <f>IF(SUGERENCIAS!N618="SIN","Sin datos anteriores",IF(SUGERENCIAS!N618="SUBIR_F","^ SUBIR FUERTE | Kg:"&amp;ROUND(SUGERENCIAS!K618,1)&amp;" R:"&amp;ROUND(SUGERENCIAS!L618,0)&amp;" RIR:"&amp;ROUND(SUGERENCIAS!M618,0),IF(SUGERENCIAS!N618="SUBIR_E","^ SUBIR (Est.) | Kg:"&amp;ROUND(SUGERENCIAS!K618,1)&amp;" R:"&amp;ROUND(SUGERENCIAS!L618,0)&amp;" RIR:"&amp;ROUND(SUGERENCIAS!M618,0),IF(SUGERENCIAS!N618="SUBIR","^ SUBIR | Kg:"&amp;ROUND(SUGERENCIAS!K618,1)&amp;" R:"&amp;ROUND(SUGERENCIAS!L618,0)&amp;" RIR:"&amp;ROUND(SUGERENCIAS!M618,0),IF(SUGERENCIAS!N618="BAJAR","v BAJAR | Kg:"&amp;ROUND(SUGERENCIAS!K618,1)&amp;" R:"&amp;ROUND(SUGERENCIAS!L618,0)&amp;" RIR:"&amp;ROUND(SUGERENCIAS!M618,0),"= MANT | Kg:"&amp;ROUND(SUGERENCIAS!K618,1)&amp;" R:"&amp;ROUND(SUGERENCIAS!L618,0)&amp;" RIR:"&amp;ROUND(SUGERENCIAS!M618,0))))))</f>
        <v>Sin datos anteriores</v>
      </c>
      <c r="W254" s="69">
        <f>MAX(IF((G254&gt;0)*(IF(H254="",-1,H254)&gt;=1)*(IF(H254="",-1,H254)&lt;=3),IF(C254="peso_corporal",IF(ISNUMBER(E254),E254,0)+F254,F254)*G254*1000+F254,0),IF((J254&gt;0)*(IF(K254="",-1,K254)&gt;=1)*(IF(K254="",-1,K254)&lt;=3),IF(C254="peso_corporal",IF(ISNUMBER(E254),E254,0)+I254,I254)*J254*1000+I254,0),IF((M254&gt;0)*(IF(N254="",-1,N254)&gt;=1)*(IF(N254="",-1,N254)&lt;=3),IF(C254="peso_corporal",IF(ISNUMBER(E254),E254,0)+L254,L254)*M254*1000+L254,0),IF((P254&gt;0)*(IF(Q254="",-1,Q254)&gt;=1)*(IF(Q254="",-1,Q254)&lt;=3),IF(C254="peso_corporal",IF(ISNUMBER(E254),E254,0)+O254,O254)*P254*1000+O254,0),IF((S254&gt;0)*(IF(T254="",-1,T254)&gt;=1)*(IF(T254="",-1,T254)&lt;=3),IF(C254="peso_corporal",IF(ISNUMBER(E254),E254,0)+R254,R254)*S254*1000+R254,0))</f>
        <v>0</v>
      </c>
      <c r="X254" s="69">
        <f>IF(W254=0,0,IF(IF((S254&gt;0)*(IF(T254="",-1,T254)&gt;=1)*(IF(T254="",-1,T254)&lt;=3),IF(C254="peso_corporal",IF(ISNUMBER(E254),E254,0)+R254,R254)*S254*1000+R254,0)=W254,5,IF(IF((P254&gt;0)*(IF(Q254="",-1,Q254)&gt;=1)*(IF(Q254="",-1,Q254)&lt;=3),IF(C254="peso_corporal",IF(ISNUMBER(E254),E254,0)+O254,O254)*P254*1000+O254,0)=W254,4,IF(IF((M254&gt;0)*(IF(N254="",-1,N254)&gt;=1)*(IF(N254="",-1,N254)&lt;=3),IF(C254="peso_corporal",IF(ISNUMBER(E254),E254,0)+L254,L254)*M254*1000+L254,0)=W254,3,IF(IF((J254&gt;0)*(IF(K254="",-1,K254)&gt;=1)*(IF(K254="",-1,K254)&lt;=3),IF(C254="peso_corporal",IF(ISNUMBER(E254),E254,0)+I254,I254)*J254*1000+I254,0)=W254,2,IF(IF((G254&gt;0)*(IF(H254="",-1,H254)&gt;=1)*(IF(H254="",-1,H254)&lt;=3),IF(C254="peso_corporal",IF(ISNUMBER(E254),E254,0)+F254,F254)*G254*1000+F254,0)=W254,1,0))))))</f>
        <v>0</v>
      </c>
      <c r="Y254" s="69">
        <f>MAX(IF((G254&gt;0)*(IF(H254="",-1,H254)=0)*(1-(IF(H254="",-1,H254)&gt;=1)*(IF(H254="",-1,H254)&lt;=3)),IF(C254="peso_corporal",IF(ISNUMBER(E254),E254,0)+F254,F254)*G254*1000+F254,0),IF((J254&gt;0)*(IF(K254="",-1,K254)=0)*(1-(IF(K254="",-1,K254)&gt;=1)*(IF(K254="",-1,K254)&lt;=3)),IF(C254="peso_corporal",IF(ISNUMBER(E254),E254,0)+I254,I254)*J254*1000+I254,0),IF((M254&gt;0)*(IF(N254="",-1,N254)=0)*(1-(IF(N254="",-1,N254)&gt;=1)*(IF(N254="",-1,N254)&lt;=3)),IF(C254="peso_corporal",IF(ISNUMBER(E254),E254,0)+L254,L254)*M254*1000+L254,0),IF((P254&gt;0)*(IF(Q254="",-1,Q254)=0)*(1-(IF(Q254="",-1,Q254)&gt;=1)*(IF(Q254="",-1,Q254)&lt;=3)),IF(C254="peso_corporal",IF(ISNUMBER(E254),E254,0)+O254,O254)*P254*1000+O254,0),IF((S254&gt;0)*(IF(T254="",-1,T254)=0)*(1-(IF(T254="",-1,T254)&gt;=1)*(IF(T254="",-1,T254)&lt;=3)),IF(C254="peso_corporal",IF(ISNUMBER(E254),E254,0)+R254,R254)*S254*1000+R254,0))</f>
        <v>0</v>
      </c>
      <c r="Z254" s="69">
        <f>IF(Y254=0,0,IF(IF((S254&gt;0)*(IF(T254="",-1,T254)=0)*(1-(IF(T254="",-1,T254)&gt;=1)*(IF(T254="",-1,T254)&lt;=3)),IF(C254="peso_corporal",IF(ISNUMBER(E254),E254,0)+R254,R254)*S254*1000+R254,0)=Y254,5,IF(IF((P254&gt;0)*(IF(Q254="",-1,Q254)=0)*(1-(IF(Q254="",-1,Q254)&gt;=1)*(IF(Q254="",-1,Q254)&lt;=3)),IF(C254="peso_corporal",IF(ISNUMBER(E254),E254,0)+O254,O254)*P254*1000+O254,0)=Y254,4,IF(IF((M254&gt;0)*(IF(N254="",-1,N254)=0)*(1-(IF(N254="",-1,N254)&gt;=1)*(IF(N254="",-1,N254)&lt;=3)),IF(C254="peso_corporal",IF(ISNUMBER(E254),E254,0)+L254,L254)*M254*1000+L254,0)=Y254,3,IF(IF((J254&gt;0)*(IF(K254="",-1,K254)=0)*(1-(IF(K254="",-1,K254)&gt;=1)*(IF(K254="",-1,K254)&lt;=3)),IF(C254="peso_corporal",IF(ISNUMBER(E254),E254,0)+I254,I254)*J254*1000+I254,0)=Y254,2,IF(IF((G254&gt;0)*(IF(H254="",-1,H254)=0)*(1-(IF(H254="",-1,H254)&gt;=1)*(IF(H254="",-1,H254)&lt;=3)),IF(C254="peso_corporal",IF(ISNUMBER(E254),E254,0)+F254,F254)*G254*1000+F254,0)=Y254,1,0))))))</f>
        <v>0</v>
      </c>
      <c r="AA254" s="69">
        <f>MAX(IF((G254&gt;=6)*(1-(IF(H254="",-1,H254)&gt;=1)*(IF(H254="",-1,H254)&lt;=3))*(1-(IF(H254="",-1,H254)=0)),IF(C254="peso_corporal",IF(ISNUMBER(E254),E254,0)+F254,F254)*(30+G254)*100+F254,0),IF((J254&gt;=6)*(1-(IF(K254="",-1,K254)&gt;=1)*(IF(K254="",-1,K254)&lt;=3))*(1-(IF(K254="",-1,K254)=0)),IF(C254="peso_corporal",IF(ISNUMBER(E254),E254,0)+I254,I254)*(30+J254)*100+I254,0),IF((M254&gt;=6)*(1-(IF(N254="",-1,N254)&gt;=1)*(IF(N254="",-1,N254)&lt;=3))*(1-(IF(N254="",-1,N254)=0)),IF(C254="peso_corporal",IF(ISNUMBER(E254),E254,0)+L254,L254)*(30+M254)*100+L254,0),IF((P254&gt;=6)*(1-(IF(Q254="",-1,Q254)&gt;=1)*(IF(Q254="",-1,Q254)&lt;=3))*(1-(IF(Q254="",-1,Q254)=0)),IF(C254="peso_corporal",IF(ISNUMBER(E254),E254,0)+O254,O254)*(30+P254)*100+O254,0),IF((S254&gt;=6)*(1-(IF(T254="",-1,T254)&gt;=1)*(IF(T254="",-1,T254)&lt;=3))*(1-(IF(T254="",-1,T254)=0)),IF(C254="peso_corporal",IF(ISNUMBER(E254),E254,0)+R254,R254)*(30+S254)*100+R254,0))</f>
        <v>0</v>
      </c>
      <c r="AB254" s="69">
        <f>IF(AA254=0,0,IF(IF((S254&gt;=6)*(1-(IF(T254="",-1,T254)&gt;=1)*(IF(T254="",-1,T254)&lt;=3))*(1-(IF(T254="",-1,T254)=0)),IF(C254="peso_corporal",IF(ISNUMBER(E254),E254,0)+R254,R254)*(30+S254)*100+R254,0)=AA254,5,IF(IF((P254&gt;=6)*(1-(IF(Q254="",-1,Q254)&gt;=1)*(IF(Q254="",-1,Q254)&lt;=3))*(1-(IF(Q254="",-1,Q254)=0)),IF(C254="peso_corporal",IF(ISNUMBER(E254),E254,0)+O254,O254)*(30+P254)*100+O254,0)=AA254,4,IF(IF((M254&gt;=6)*(1-(IF(N254="",-1,N254)&gt;=1)*(IF(N254="",-1,N254)&lt;=3))*(1-(IF(N254="",-1,N254)=0)),IF(C254="peso_corporal",IF(ISNUMBER(E254),E254,0)+L254,L254)*(30+M254)*100+L254,0)=AA254,3,IF(IF((J254&gt;=6)*(1-(IF(K254="",-1,K254)&gt;=1)*(IF(K254="",-1,K254)&lt;=3))*(1-(IF(K254="",-1,K254)=0)),IF(C254="peso_corporal",IF(ISNUMBER(E254),E254,0)+I254,I254)*(30+J254)*100+I254,0)=AA254,2,IF(IF((G254&gt;=6)*(1-(IF(H254="",-1,H254)&gt;=1)*(IF(H254="",-1,H254)&lt;=3))*(1-(IF(H254="",-1,H254)=0)),IF(C254="peso_corporal",IF(ISNUMBER(E254),E254,0)+F254,F254)*(30+G254)*100+F254,0)=AA254,1,0))))))</f>
        <v>0</v>
      </c>
      <c r="AC254" s="69" t="str">
        <f>IF(X254&gt;0,"A"&amp;X254,IF(Z254&gt;0,"B"&amp;Z254,IF(AB254&gt;0,"C"&amp;AB254,"")))</f>
        <v/>
      </c>
    </row>
    <row r="255" spans="1:29" ht="15" customHeight="1">
      <c r="A255" s="81" t="s">
        <v>53</v>
      </c>
      <c r="B255" s="73"/>
      <c r="C255" s="73"/>
      <c r="D255" s="73"/>
      <c r="E255" s="73"/>
      <c r="F255" s="73"/>
      <c r="G255" s="73"/>
      <c r="H255" s="73"/>
      <c r="I255" s="73"/>
      <c r="J255" s="73"/>
      <c r="K255" s="73"/>
      <c r="L255" s="73"/>
      <c r="M255" s="73"/>
      <c r="N255" s="73"/>
      <c r="O255" s="73"/>
      <c r="P255" s="73"/>
      <c r="Q255" s="73"/>
      <c r="R255" s="73"/>
      <c r="S255" s="73"/>
      <c r="T255" s="73"/>
      <c r="U255" s="73"/>
      <c r="V255" s="73"/>
      <c r="W255" s="69"/>
      <c r="X255" s="69"/>
      <c r="Y255" s="69"/>
      <c r="Z255" s="69"/>
      <c r="AA255" s="69"/>
      <c r="AB255" s="69"/>
      <c r="AC255" s="69"/>
    </row>
    <row r="256" spans="1:29" ht="20.100000000000001" customHeight="1">
      <c r="A256" s="14" t="s">
        <v>54</v>
      </c>
      <c r="B256" s="15" t="s">
        <v>115</v>
      </c>
      <c r="C256" s="16" t="str">
        <f>IFERROR(INDEX(EJERCICIOS!$D$3:$D$75,MATCH(A256&amp;"|"&amp;B256,EJERCICIOS!$G$3:$G$75,0)),"--")</f>
        <v>polea</v>
      </c>
      <c r="D256" s="17">
        <v>3</v>
      </c>
      <c r="E256" s="18">
        <f>IFERROR(LOOKUP(2,1/(MEDIDAS_Y_PESO!$B$3:$B$12&lt;&gt;""),MEDIDAS_Y_PESO!$B$3:$B$12),"--")</f>
        <v>80</v>
      </c>
      <c r="F256" s="19"/>
      <c r="G256" s="20"/>
      <c r="H256" s="21"/>
      <c r="I256" s="19"/>
      <c r="J256" s="20"/>
      <c r="K256" s="21"/>
      <c r="L256" s="19"/>
      <c r="M256" s="20"/>
      <c r="N256" s="21"/>
      <c r="O256" s="19"/>
      <c r="P256" s="20"/>
      <c r="Q256" s="21"/>
      <c r="R256" s="19"/>
      <c r="S256" s="20"/>
      <c r="T256" s="21"/>
      <c r="U256" s="22" t="str">
        <f>IFERROR(IF(IF(X256&gt;0,X256,IF(Z256&gt;0,Z256,IF(AB256&gt;0,AB256,0)))=0,"--",ROUND(CHOOSE(IF(X256&gt;0,X256,IF(Z256&gt;0,Z256,IF(AB256&gt;0,AB256,0))),IF(C256="peso_corporal",IF(ISNUMBER(E256),E256,0)+F256,F256)*(1+G256/30),IF(C256="peso_corporal",IF(ISNUMBER(E256),E256,0)+I256,I256)*(1+J256/30),IF(C256="peso_corporal",IF(ISNUMBER(E256),E256,0)+L256,L256)*(1+M256/30),IF(C256="peso_corporal",IF(ISNUMBER(E256),E256,0)+O256,O256)*(1+P256/30),IF(C256="peso_corporal",IF(ISNUMBER(E256),E256,0)+R256,R256)*(1+S256/30)),1)),"--")</f>
        <v>--</v>
      </c>
      <c r="V256" s="23" t="str">
        <f>IF(SUGERENCIAS!N619="SIN","Sin datos anteriores",IF(SUGERENCIAS!N619="SUBIR_F","^ SUBIR FUERTE | Kg:"&amp;ROUND(SUGERENCIAS!K619,1)&amp;" R:"&amp;ROUND(SUGERENCIAS!L619,0)&amp;" RIR:"&amp;ROUND(SUGERENCIAS!M619,0),IF(SUGERENCIAS!N619="SUBIR_E","^ SUBIR (Est.) | Kg:"&amp;ROUND(SUGERENCIAS!K619,1)&amp;" R:"&amp;ROUND(SUGERENCIAS!L619,0)&amp;" RIR:"&amp;ROUND(SUGERENCIAS!M619,0),IF(SUGERENCIAS!N619="SUBIR","^ SUBIR | Kg:"&amp;ROUND(SUGERENCIAS!K619,1)&amp;" R:"&amp;ROUND(SUGERENCIAS!L619,0)&amp;" RIR:"&amp;ROUND(SUGERENCIAS!M619,0),IF(SUGERENCIAS!N619="BAJAR","v BAJAR | Kg:"&amp;ROUND(SUGERENCIAS!K619,1)&amp;" R:"&amp;ROUND(SUGERENCIAS!L619,0)&amp;" RIR:"&amp;ROUND(SUGERENCIAS!M619,0),"= MANT | Kg:"&amp;ROUND(SUGERENCIAS!K619,1)&amp;" R:"&amp;ROUND(SUGERENCIAS!L619,0)&amp;" RIR:"&amp;ROUND(SUGERENCIAS!M619,0))))))</f>
        <v>= MANT | Kg:40 R:7 RIR:2</v>
      </c>
      <c r="W256" s="69">
        <f>MAX(IF((G256&gt;0)*(IF(H256="",-1,H256)&gt;=1)*(IF(H256="",-1,H256)&lt;=3),IF(C256="peso_corporal",IF(ISNUMBER(E256),E256,0)+F256,F256)*G256*1000+F256,0),IF((J256&gt;0)*(IF(K256="",-1,K256)&gt;=1)*(IF(K256="",-1,K256)&lt;=3),IF(C256="peso_corporal",IF(ISNUMBER(E256),E256,0)+I256,I256)*J256*1000+I256,0),IF((M256&gt;0)*(IF(N256="",-1,N256)&gt;=1)*(IF(N256="",-1,N256)&lt;=3),IF(C256="peso_corporal",IF(ISNUMBER(E256),E256,0)+L256,L256)*M256*1000+L256,0),IF((P256&gt;0)*(IF(Q256="",-1,Q256)&gt;=1)*(IF(Q256="",-1,Q256)&lt;=3),IF(C256="peso_corporal",IF(ISNUMBER(E256),E256,0)+O256,O256)*P256*1000+O256,0),IF((S256&gt;0)*(IF(T256="",-1,T256)&gt;=1)*(IF(T256="",-1,T256)&lt;=3),IF(C256="peso_corporal",IF(ISNUMBER(E256),E256,0)+R256,R256)*S256*1000+R256,0))</f>
        <v>0</v>
      </c>
      <c r="X256" s="69">
        <f>IF(W256=0,0,IF(IF((S256&gt;0)*(IF(T256="",-1,T256)&gt;=1)*(IF(T256="",-1,T256)&lt;=3),IF(C256="peso_corporal",IF(ISNUMBER(E256),E256,0)+R256,R256)*S256*1000+R256,0)=W256,5,IF(IF((P256&gt;0)*(IF(Q256="",-1,Q256)&gt;=1)*(IF(Q256="",-1,Q256)&lt;=3),IF(C256="peso_corporal",IF(ISNUMBER(E256),E256,0)+O256,O256)*P256*1000+O256,0)=W256,4,IF(IF((M256&gt;0)*(IF(N256="",-1,N256)&gt;=1)*(IF(N256="",-1,N256)&lt;=3),IF(C256="peso_corporal",IF(ISNUMBER(E256),E256,0)+L256,L256)*M256*1000+L256,0)=W256,3,IF(IF((J256&gt;0)*(IF(K256="",-1,K256)&gt;=1)*(IF(K256="",-1,K256)&lt;=3),IF(C256="peso_corporal",IF(ISNUMBER(E256),E256,0)+I256,I256)*J256*1000+I256,0)=W256,2,IF(IF((G256&gt;0)*(IF(H256="",-1,H256)&gt;=1)*(IF(H256="",-1,H256)&lt;=3),IF(C256="peso_corporal",IF(ISNUMBER(E256),E256,0)+F256,F256)*G256*1000+F256,0)=W256,1,0))))))</f>
        <v>0</v>
      </c>
      <c r="Y256" s="69">
        <f>MAX(IF((G256&gt;0)*(IF(H256="",-1,H256)=0)*(1-(IF(H256="",-1,H256)&gt;=1)*(IF(H256="",-1,H256)&lt;=3)),IF(C256="peso_corporal",IF(ISNUMBER(E256),E256,0)+F256,F256)*G256*1000+F256,0),IF((J256&gt;0)*(IF(K256="",-1,K256)=0)*(1-(IF(K256="",-1,K256)&gt;=1)*(IF(K256="",-1,K256)&lt;=3)),IF(C256="peso_corporal",IF(ISNUMBER(E256),E256,0)+I256,I256)*J256*1000+I256,0),IF((M256&gt;0)*(IF(N256="",-1,N256)=0)*(1-(IF(N256="",-1,N256)&gt;=1)*(IF(N256="",-1,N256)&lt;=3)),IF(C256="peso_corporal",IF(ISNUMBER(E256),E256,0)+L256,L256)*M256*1000+L256,0),IF((P256&gt;0)*(IF(Q256="",-1,Q256)=0)*(1-(IF(Q256="",-1,Q256)&gt;=1)*(IF(Q256="",-1,Q256)&lt;=3)),IF(C256="peso_corporal",IF(ISNUMBER(E256),E256,0)+O256,O256)*P256*1000+O256,0),IF((S256&gt;0)*(IF(T256="",-1,T256)=0)*(1-(IF(T256="",-1,T256)&gt;=1)*(IF(T256="",-1,T256)&lt;=3)),IF(C256="peso_corporal",IF(ISNUMBER(E256),E256,0)+R256,R256)*S256*1000+R256,0))</f>
        <v>0</v>
      </c>
      <c r="Z256" s="69">
        <f>IF(Y256=0,0,IF(IF((S256&gt;0)*(IF(T256="",-1,T256)=0)*(1-(IF(T256="",-1,T256)&gt;=1)*(IF(T256="",-1,T256)&lt;=3)),IF(C256="peso_corporal",IF(ISNUMBER(E256),E256,0)+R256,R256)*S256*1000+R256,0)=Y256,5,IF(IF((P256&gt;0)*(IF(Q256="",-1,Q256)=0)*(1-(IF(Q256="",-1,Q256)&gt;=1)*(IF(Q256="",-1,Q256)&lt;=3)),IF(C256="peso_corporal",IF(ISNUMBER(E256),E256,0)+O256,O256)*P256*1000+O256,0)=Y256,4,IF(IF((M256&gt;0)*(IF(N256="",-1,N256)=0)*(1-(IF(N256="",-1,N256)&gt;=1)*(IF(N256="",-1,N256)&lt;=3)),IF(C256="peso_corporal",IF(ISNUMBER(E256),E256,0)+L256,L256)*M256*1000+L256,0)=Y256,3,IF(IF((J256&gt;0)*(IF(K256="",-1,K256)=0)*(1-(IF(K256="",-1,K256)&gt;=1)*(IF(K256="",-1,K256)&lt;=3)),IF(C256="peso_corporal",IF(ISNUMBER(E256),E256,0)+I256,I256)*J256*1000+I256,0)=Y256,2,IF(IF((G256&gt;0)*(IF(H256="",-1,H256)=0)*(1-(IF(H256="",-1,H256)&gt;=1)*(IF(H256="",-1,H256)&lt;=3)),IF(C256="peso_corporal",IF(ISNUMBER(E256),E256,0)+F256,F256)*G256*1000+F256,0)=Y256,1,0))))))</f>
        <v>0</v>
      </c>
      <c r="AA256" s="69">
        <f>MAX(IF((G256&gt;=6)*(1-(IF(H256="",-1,H256)&gt;=1)*(IF(H256="",-1,H256)&lt;=3))*(1-(IF(H256="",-1,H256)=0)),IF(C256="peso_corporal",IF(ISNUMBER(E256),E256,0)+F256,F256)*(30+G256)*100+F256,0),IF((J256&gt;=6)*(1-(IF(K256="",-1,K256)&gt;=1)*(IF(K256="",-1,K256)&lt;=3))*(1-(IF(K256="",-1,K256)=0)),IF(C256="peso_corporal",IF(ISNUMBER(E256),E256,0)+I256,I256)*(30+J256)*100+I256,0),IF((M256&gt;=6)*(1-(IF(N256="",-1,N256)&gt;=1)*(IF(N256="",-1,N256)&lt;=3))*(1-(IF(N256="",-1,N256)=0)),IF(C256="peso_corporal",IF(ISNUMBER(E256),E256,0)+L256,L256)*(30+M256)*100+L256,0),IF((P256&gt;=6)*(1-(IF(Q256="",-1,Q256)&gt;=1)*(IF(Q256="",-1,Q256)&lt;=3))*(1-(IF(Q256="",-1,Q256)=0)),IF(C256="peso_corporal",IF(ISNUMBER(E256),E256,0)+O256,O256)*(30+P256)*100+O256,0),IF((S256&gt;=6)*(1-(IF(T256="",-1,T256)&gt;=1)*(IF(T256="",-1,T256)&lt;=3))*(1-(IF(T256="",-1,T256)=0)),IF(C256="peso_corporal",IF(ISNUMBER(E256),E256,0)+R256,R256)*(30+S256)*100+R256,0))</f>
        <v>0</v>
      </c>
      <c r="AB256" s="69">
        <f>IF(AA256=0,0,IF(IF((S256&gt;=6)*(1-(IF(T256="",-1,T256)&gt;=1)*(IF(T256="",-1,T256)&lt;=3))*(1-(IF(T256="",-1,T256)=0)),IF(C256="peso_corporal",IF(ISNUMBER(E256),E256,0)+R256,R256)*(30+S256)*100+R256,0)=AA256,5,IF(IF((P256&gt;=6)*(1-(IF(Q256="",-1,Q256)&gt;=1)*(IF(Q256="",-1,Q256)&lt;=3))*(1-(IF(Q256="",-1,Q256)=0)),IF(C256="peso_corporal",IF(ISNUMBER(E256),E256,0)+O256,O256)*(30+P256)*100+O256,0)=AA256,4,IF(IF((M256&gt;=6)*(1-(IF(N256="",-1,N256)&gt;=1)*(IF(N256="",-1,N256)&lt;=3))*(1-(IF(N256="",-1,N256)=0)),IF(C256="peso_corporal",IF(ISNUMBER(E256),E256,0)+L256,L256)*(30+M256)*100+L256,0)=AA256,3,IF(IF((J256&gt;=6)*(1-(IF(K256="",-1,K256)&gt;=1)*(IF(K256="",-1,K256)&lt;=3))*(1-(IF(K256="",-1,K256)=0)),IF(C256="peso_corporal",IF(ISNUMBER(E256),E256,0)+I256,I256)*(30+J256)*100+I256,0)=AA256,2,IF(IF((G256&gt;=6)*(1-(IF(H256="",-1,H256)&gt;=1)*(IF(H256="",-1,H256)&lt;=3))*(1-(IF(H256="",-1,H256)=0)),IF(C256="peso_corporal",IF(ISNUMBER(E256),E256,0)+F256,F256)*(30+G256)*100+F256,0)=AA256,1,0))))))</f>
        <v>0</v>
      </c>
      <c r="AC256" s="69" t="str">
        <f>IF(X256&gt;0,"A"&amp;X256,IF(Z256&gt;0,"B"&amp;Z256,IF(AB256&gt;0,"C"&amp;AB256,"")))</f>
        <v/>
      </c>
    </row>
    <row r="257" spans="1:29" ht="15" customHeight="1">
      <c r="A257" s="72" t="s">
        <v>56</v>
      </c>
      <c r="B257" s="73"/>
      <c r="C257" s="73"/>
      <c r="D257" s="73"/>
      <c r="E257" s="73"/>
      <c r="F257" s="73"/>
      <c r="G257" s="73"/>
      <c r="H257" s="73"/>
      <c r="I257" s="73"/>
      <c r="J257" s="73"/>
      <c r="K257" s="73"/>
      <c r="L257" s="73"/>
      <c r="M257" s="73"/>
      <c r="N257" s="73"/>
      <c r="O257" s="73"/>
      <c r="P257" s="73"/>
      <c r="Q257" s="73"/>
      <c r="R257" s="73"/>
      <c r="S257" s="73"/>
      <c r="T257" s="73"/>
      <c r="U257" s="73"/>
      <c r="V257" s="73"/>
      <c r="W257" s="69"/>
      <c r="X257" s="69"/>
      <c r="Y257" s="69"/>
      <c r="Z257" s="69"/>
      <c r="AA257" s="69"/>
      <c r="AB257" s="69"/>
      <c r="AC257" s="69"/>
    </row>
    <row r="258" spans="1:29" ht="20.100000000000001" customHeight="1">
      <c r="A258" s="14" t="s">
        <v>57</v>
      </c>
      <c r="B258" s="15" t="s">
        <v>58</v>
      </c>
      <c r="C258" s="16" t="str">
        <f>IFERROR(INDEX(EJERCICIOS!$D$3:$D$75,MATCH(A258&amp;"|"&amp;B258,EJERCICIOS!$G$3:$G$75,0)),"--")</f>
        <v>polea</v>
      </c>
      <c r="D258" s="17">
        <v>3</v>
      </c>
      <c r="E258" s="18">
        <f>IFERROR(LOOKUP(2,1/(MEDIDAS_Y_PESO!$B$3:$B$12&lt;&gt;""),MEDIDAS_Y_PESO!$B$3:$B$12),"--")</f>
        <v>80</v>
      </c>
      <c r="F258" s="19"/>
      <c r="G258" s="20"/>
      <c r="H258" s="21"/>
      <c r="I258" s="19"/>
      <c r="J258" s="20"/>
      <c r="K258" s="21"/>
      <c r="L258" s="19"/>
      <c r="M258" s="20"/>
      <c r="N258" s="21"/>
      <c r="O258" s="19"/>
      <c r="P258" s="20"/>
      <c r="Q258" s="21"/>
      <c r="R258" s="19"/>
      <c r="S258" s="20"/>
      <c r="T258" s="21"/>
      <c r="U258" s="22" t="str">
        <f>IFERROR(IF(IF(X258&gt;0,X258,IF(Z258&gt;0,Z258,IF(AB258&gt;0,AB258,0)))=0,"--",ROUND(CHOOSE(IF(X258&gt;0,X258,IF(Z258&gt;0,Z258,IF(AB258&gt;0,AB258,0))),IF(C258="peso_corporal",IF(ISNUMBER(E258),E258,0)+F258,F258)*(1+G258/30),IF(C258="peso_corporal",IF(ISNUMBER(E258),E258,0)+I258,I258)*(1+J258/30),IF(C258="peso_corporal",IF(ISNUMBER(E258),E258,0)+L258,L258)*(1+M258/30),IF(C258="peso_corporal",IF(ISNUMBER(E258),E258,0)+O258,O258)*(1+P258/30),IF(C258="peso_corporal",IF(ISNUMBER(E258),E258,0)+R258,R258)*(1+S258/30)),1)),"--")</f>
        <v>--</v>
      </c>
      <c r="V258" s="23" t="str">
        <f>IF(SUGERENCIAS!N620="SIN","Sin datos anteriores",IF(SUGERENCIAS!N620="SUBIR_F","^ SUBIR FUERTE | Kg:"&amp;ROUND(SUGERENCIAS!K620,1)&amp;" R:"&amp;ROUND(SUGERENCIAS!L620,0)&amp;" RIR:"&amp;ROUND(SUGERENCIAS!M620,0),IF(SUGERENCIAS!N620="SUBIR_E","^ SUBIR (Est.) | Kg:"&amp;ROUND(SUGERENCIAS!K620,1)&amp;" R:"&amp;ROUND(SUGERENCIAS!L620,0)&amp;" RIR:"&amp;ROUND(SUGERENCIAS!M620,0),IF(SUGERENCIAS!N620="SUBIR","^ SUBIR | Kg:"&amp;ROUND(SUGERENCIAS!K620,1)&amp;" R:"&amp;ROUND(SUGERENCIAS!L620,0)&amp;" RIR:"&amp;ROUND(SUGERENCIAS!M620,0),IF(SUGERENCIAS!N620="BAJAR","v BAJAR | Kg:"&amp;ROUND(SUGERENCIAS!K620,1)&amp;" R:"&amp;ROUND(SUGERENCIAS!L620,0)&amp;" RIR:"&amp;ROUND(SUGERENCIAS!M620,0),"= MANT | Kg:"&amp;ROUND(SUGERENCIAS!K620,1)&amp;" R:"&amp;ROUND(SUGERENCIAS!L620,0)&amp;" RIR:"&amp;ROUND(SUGERENCIAS!M620,0))))))</f>
        <v>Sin datos anteriores</v>
      </c>
      <c r="W258" s="69">
        <f>MAX(IF((G258&gt;0)*(IF(H258="",-1,H258)&gt;=1)*(IF(H258="",-1,H258)&lt;=3),IF(C258="peso_corporal",IF(ISNUMBER(E258),E258,0)+F258,F258)*G258*1000+F258,0),IF((J258&gt;0)*(IF(K258="",-1,K258)&gt;=1)*(IF(K258="",-1,K258)&lt;=3),IF(C258="peso_corporal",IF(ISNUMBER(E258),E258,0)+I258,I258)*J258*1000+I258,0),IF((M258&gt;0)*(IF(N258="",-1,N258)&gt;=1)*(IF(N258="",-1,N258)&lt;=3),IF(C258="peso_corporal",IF(ISNUMBER(E258),E258,0)+L258,L258)*M258*1000+L258,0),IF((P258&gt;0)*(IF(Q258="",-1,Q258)&gt;=1)*(IF(Q258="",-1,Q258)&lt;=3),IF(C258="peso_corporal",IF(ISNUMBER(E258),E258,0)+O258,O258)*P258*1000+O258,0),IF((S258&gt;0)*(IF(T258="",-1,T258)&gt;=1)*(IF(T258="",-1,T258)&lt;=3),IF(C258="peso_corporal",IF(ISNUMBER(E258),E258,0)+R258,R258)*S258*1000+R258,0))</f>
        <v>0</v>
      </c>
      <c r="X258" s="69">
        <f>IF(W258=0,0,IF(IF((S258&gt;0)*(IF(T258="",-1,T258)&gt;=1)*(IF(T258="",-1,T258)&lt;=3),IF(C258="peso_corporal",IF(ISNUMBER(E258),E258,0)+R258,R258)*S258*1000+R258,0)=W258,5,IF(IF((P258&gt;0)*(IF(Q258="",-1,Q258)&gt;=1)*(IF(Q258="",-1,Q258)&lt;=3),IF(C258="peso_corporal",IF(ISNUMBER(E258),E258,0)+O258,O258)*P258*1000+O258,0)=W258,4,IF(IF((M258&gt;0)*(IF(N258="",-1,N258)&gt;=1)*(IF(N258="",-1,N258)&lt;=3),IF(C258="peso_corporal",IF(ISNUMBER(E258),E258,0)+L258,L258)*M258*1000+L258,0)=W258,3,IF(IF((J258&gt;0)*(IF(K258="",-1,K258)&gt;=1)*(IF(K258="",-1,K258)&lt;=3),IF(C258="peso_corporal",IF(ISNUMBER(E258),E258,0)+I258,I258)*J258*1000+I258,0)=W258,2,IF(IF((G258&gt;0)*(IF(H258="",-1,H258)&gt;=1)*(IF(H258="",-1,H258)&lt;=3),IF(C258="peso_corporal",IF(ISNUMBER(E258),E258,0)+F258,F258)*G258*1000+F258,0)=W258,1,0))))))</f>
        <v>0</v>
      </c>
      <c r="Y258" s="69">
        <f>MAX(IF((G258&gt;0)*(IF(H258="",-1,H258)=0)*(1-(IF(H258="",-1,H258)&gt;=1)*(IF(H258="",-1,H258)&lt;=3)),IF(C258="peso_corporal",IF(ISNUMBER(E258),E258,0)+F258,F258)*G258*1000+F258,0),IF((J258&gt;0)*(IF(K258="",-1,K258)=0)*(1-(IF(K258="",-1,K258)&gt;=1)*(IF(K258="",-1,K258)&lt;=3)),IF(C258="peso_corporal",IF(ISNUMBER(E258),E258,0)+I258,I258)*J258*1000+I258,0),IF((M258&gt;0)*(IF(N258="",-1,N258)=0)*(1-(IF(N258="",-1,N258)&gt;=1)*(IF(N258="",-1,N258)&lt;=3)),IF(C258="peso_corporal",IF(ISNUMBER(E258),E258,0)+L258,L258)*M258*1000+L258,0),IF((P258&gt;0)*(IF(Q258="",-1,Q258)=0)*(1-(IF(Q258="",-1,Q258)&gt;=1)*(IF(Q258="",-1,Q258)&lt;=3)),IF(C258="peso_corporal",IF(ISNUMBER(E258),E258,0)+O258,O258)*P258*1000+O258,0),IF((S258&gt;0)*(IF(T258="",-1,T258)=0)*(1-(IF(T258="",-1,T258)&gt;=1)*(IF(T258="",-1,T258)&lt;=3)),IF(C258="peso_corporal",IF(ISNUMBER(E258),E258,0)+R258,R258)*S258*1000+R258,0))</f>
        <v>0</v>
      </c>
      <c r="Z258" s="69">
        <f>IF(Y258=0,0,IF(IF((S258&gt;0)*(IF(T258="",-1,T258)=0)*(1-(IF(T258="",-1,T258)&gt;=1)*(IF(T258="",-1,T258)&lt;=3)),IF(C258="peso_corporal",IF(ISNUMBER(E258),E258,0)+R258,R258)*S258*1000+R258,0)=Y258,5,IF(IF((P258&gt;0)*(IF(Q258="",-1,Q258)=0)*(1-(IF(Q258="",-1,Q258)&gt;=1)*(IF(Q258="",-1,Q258)&lt;=3)),IF(C258="peso_corporal",IF(ISNUMBER(E258),E258,0)+O258,O258)*P258*1000+O258,0)=Y258,4,IF(IF((M258&gt;0)*(IF(N258="",-1,N258)=0)*(1-(IF(N258="",-1,N258)&gt;=1)*(IF(N258="",-1,N258)&lt;=3)),IF(C258="peso_corporal",IF(ISNUMBER(E258),E258,0)+L258,L258)*M258*1000+L258,0)=Y258,3,IF(IF((J258&gt;0)*(IF(K258="",-1,K258)=0)*(1-(IF(K258="",-1,K258)&gt;=1)*(IF(K258="",-1,K258)&lt;=3)),IF(C258="peso_corporal",IF(ISNUMBER(E258),E258,0)+I258,I258)*J258*1000+I258,0)=Y258,2,IF(IF((G258&gt;0)*(IF(H258="",-1,H258)=0)*(1-(IF(H258="",-1,H258)&gt;=1)*(IF(H258="",-1,H258)&lt;=3)),IF(C258="peso_corporal",IF(ISNUMBER(E258),E258,0)+F258,F258)*G258*1000+F258,0)=Y258,1,0))))))</f>
        <v>0</v>
      </c>
      <c r="AA258" s="69">
        <f>MAX(IF((G258&gt;=6)*(1-(IF(H258="",-1,H258)&gt;=1)*(IF(H258="",-1,H258)&lt;=3))*(1-(IF(H258="",-1,H258)=0)),IF(C258="peso_corporal",IF(ISNUMBER(E258),E258,0)+F258,F258)*(30+G258)*100+F258,0),IF((J258&gt;=6)*(1-(IF(K258="",-1,K258)&gt;=1)*(IF(K258="",-1,K258)&lt;=3))*(1-(IF(K258="",-1,K258)=0)),IF(C258="peso_corporal",IF(ISNUMBER(E258),E258,0)+I258,I258)*(30+J258)*100+I258,0),IF((M258&gt;=6)*(1-(IF(N258="",-1,N258)&gt;=1)*(IF(N258="",-1,N258)&lt;=3))*(1-(IF(N258="",-1,N258)=0)),IF(C258="peso_corporal",IF(ISNUMBER(E258),E258,0)+L258,L258)*(30+M258)*100+L258,0),IF((P258&gt;=6)*(1-(IF(Q258="",-1,Q258)&gt;=1)*(IF(Q258="",-1,Q258)&lt;=3))*(1-(IF(Q258="",-1,Q258)=0)),IF(C258="peso_corporal",IF(ISNUMBER(E258),E258,0)+O258,O258)*(30+P258)*100+O258,0),IF((S258&gt;=6)*(1-(IF(T258="",-1,T258)&gt;=1)*(IF(T258="",-1,T258)&lt;=3))*(1-(IF(T258="",-1,T258)=0)),IF(C258="peso_corporal",IF(ISNUMBER(E258),E258,0)+R258,R258)*(30+S258)*100+R258,0))</f>
        <v>0</v>
      </c>
      <c r="AB258" s="69">
        <f>IF(AA258=0,0,IF(IF((S258&gt;=6)*(1-(IF(T258="",-1,T258)&gt;=1)*(IF(T258="",-1,T258)&lt;=3))*(1-(IF(T258="",-1,T258)=0)),IF(C258="peso_corporal",IF(ISNUMBER(E258),E258,0)+R258,R258)*(30+S258)*100+R258,0)=AA258,5,IF(IF((P258&gt;=6)*(1-(IF(Q258="",-1,Q258)&gt;=1)*(IF(Q258="",-1,Q258)&lt;=3))*(1-(IF(Q258="",-1,Q258)=0)),IF(C258="peso_corporal",IF(ISNUMBER(E258),E258,0)+O258,O258)*(30+P258)*100+O258,0)=AA258,4,IF(IF((M258&gt;=6)*(1-(IF(N258="",-1,N258)&gt;=1)*(IF(N258="",-1,N258)&lt;=3))*(1-(IF(N258="",-1,N258)=0)),IF(C258="peso_corporal",IF(ISNUMBER(E258),E258,0)+L258,L258)*(30+M258)*100+L258,0)=AA258,3,IF(IF((J258&gt;=6)*(1-(IF(K258="",-1,K258)&gt;=1)*(IF(K258="",-1,K258)&lt;=3))*(1-(IF(K258="",-1,K258)=0)),IF(C258="peso_corporal",IF(ISNUMBER(E258),E258,0)+I258,I258)*(30+J258)*100+I258,0)=AA258,2,IF(IF((G258&gt;=6)*(1-(IF(H258="",-1,H258)&gt;=1)*(IF(H258="",-1,H258)&lt;=3))*(1-(IF(H258="",-1,H258)=0)),IF(C258="peso_corporal",IF(ISNUMBER(E258),E258,0)+F258,F258)*(30+G258)*100+F258,0)=AA258,1,0))))))</f>
        <v>0</v>
      </c>
      <c r="AC258" s="69" t="str">
        <f>IF(X258&gt;0,"A"&amp;X258,IF(Z258&gt;0,"B"&amp;Z258,IF(AB258&gt;0,"C"&amp;AB258,"")))</f>
        <v/>
      </c>
    </row>
    <row r="259" spans="1:29" ht="6"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69"/>
      <c r="X259" s="69"/>
      <c r="Y259" s="69"/>
      <c r="Z259" s="69"/>
      <c r="AA259" s="69"/>
      <c r="AB259" s="69"/>
      <c r="AC259" s="69"/>
    </row>
    <row r="260" spans="1:29" ht="18" customHeight="1">
      <c r="A260" s="85" t="s">
        <v>76</v>
      </c>
      <c r="B260" s="73"/>
      <c r="C260" s="73"/>
      <c r="D260" s="73"/>
      <c r="E260" s="73"/>
      <c r="F260" s="73"/>
      <c r="G260" s="73"/>
      <c r="H260" s="73"/>
      <c r="I260" s="73"/>
      <c r="J260" s="73"/>
      <c r="K260" s="73"/>
      <c r="L260" s="73"/>
      <c r="M260" s="73"/>
      <c r="N260" s="73"/>
      <c r="O260" s="73"/>
      <c r="P260" s="73"/>
      <c r="Q260" s="73"/>
      <c r="R260" s="73"/>
      <c r="S260" s="73"/>
      <c r="T260" s="73"/>
      <c r="U260" s="73"/>
      <c r="V260" s="73"/>
      <c r="W260" s="69"/>
      <c r="X260" s="69"/>
      <c r="Y260" s="69"/>
      <c r="Z260" s="69"/>
      <c r="AA260" s="69"/>
      <c r="AB260" s="69"/>
      <c r="AC260" s="69"/>
    </row>
    <row r="261" spans="1:29" ht="15" customHeight="1">
      <c r="A261" s="81" t="s">
        <v>42</v>
      </c>
      <c r="B261" s="73"/>
      <c r="C261" s="73"/>
      <c r="D261" s="73"/>
      <c r="E261" s="73"/>
      <c r="F261" s="73"/>
      <c r="G261" s="73"/>
      <c r="H261" s="73"/>
      <c r="I261" s="73"/>
      <c r="J261" s="73"/>
      <c r="K261" s="73"/>
      <c r="L261" s="73"/>
      <c r="M261" s="73"/>
      <c r="N261" s="73"/>
      <c r="O261" s="73"/>
      <c r="P261" s="73"/>
      <c r="Q261" s="73"/>
      <c r="R261" s="73"/>
      <c r="S261" s="73"/>
      <c r="T261" s="73"/>
      <c r="U261" s="73"/>
      <c r="V261" s="73"/>
      <c r="W261" s="69"/>
      <c r="X261" s="69"/>
      <c r="Y261" s="69"/>
      <c r="Z261" s="69"/>
      <c r="AA261" s="69"/>
      <c r="AB261" s="69"/>
      <c r="AC261" s="69"/>
    </row>
    <row r="262" spans="1:29" ht="20.100000000000001" customHeight="1">
      <c r="A262" s="14" t="s">
        <v>45</v>
      </c>
      <c r="B262" s="15" t="s">
        <v>93</v>
      </c>
      <c r="C262" s="16" t="str">
        <f>IFERROR(INDEX(EJERCICIOS!$D$3:$D$75,MATCH(A262&amp;"|"&amp;B262,EJERCICIOS!$G$3:$G$75,0)),"--")</f>
        <v>--</v>
      </c>
      <c r="D262" s="17">
        <v>3</v>
      </c>
      <c r="E262" s="18">
        <f>IFERROR(LOOKUP(2,1/(MEDIDAS_Y_PESO!$B$3:$B$13&lt;&gt;""),MEDIDAS_Y_PESO!$B$3:$B$13),"--")</f>
        <v>80</v>
      </c>
      <c r="F262" s="19"/>
      <c r="G262" s="20"/>
      <c r="H262" s="21"/>
      <c r="I262" s="19"/>
      <c r="J262" s="20"/>
      <c r="K262" s="21"/>
      <c r="L262" s="19"/>
      <c r="M262" s="20"/>
      <c r="N262" s="21"/>
      <c r="O262" s="19"/>
      <c r="P262" s="20"/>
      <c r="Q262" s="21"/>
      <c r="R262" s="19"/>
      <c r="S262" s="20"/>
      <c r="T262" s="21"/>
      <c r="U262" s="22" t="str">
        <f>IFERROR(IF(IF(X262&gt;0,X262,IF(Z262&gt;0,Z262,IF(AB262&gt;0,AB262,0)))=0,"--",ROUND(CHOOSE(IF(X262&gt;0,X262,IF(Z262&gt;0,Z262,IF(AB262&gt;0,AB262,0))),IF(C262="peso_corporal",IF(ISNUMBER(E262),E262,0)+F262,F262)*(1+G262/30),IF(C262="peso_corporal",IF(ISNUMBER(E262),E262,0)+I262,I262)*(1+J262/30),IF(C262="peso_corporal",IF(ISNUMBER(E262),E262,0)+L262,L262)*(1+M262/30),IF(C262="peso_corporal",IF(ISNUMBER(E262),E262,0)+O262,O262)*(1+P262/30),IF(C262="peso_corporal",IF(ISNUMBER(E262),E262,0)+R262,R262)*(1+S262/30)),1)),"--")</f>
        <v>--</v>
      </c>
      <c r="V262" s="23" t="str">
        <f>IF(SUGERENCIAS!N671="SIN","Sin datos anteriores",IF(SUGERENCIAS!N671="SUBIR_F","^ SUBIR FUERTE | Kg:"&amp;ROUND(SUGERENCIAS!K671,1)&amp;" R:"&amp;ROUND(SUGERENCIAS!L671,0)&amp;" RIR:"&amp;ROUND(SUGERENCIAS!M671,0),IF(SUGERENCIAS!N671="SUBIR_E","^ SUBIR (Est.) | Kg:"&amp;ROUND(SUGERENCIAS!K671,1)&amp;" R:"&amp;ROUND(SUGERENCIAS!L671,0)&amp;" RIR:"&amp;ROUND(SUGERENCIAS!M671,0),IF(SUGERENCIAS!N671="SUBIR","^ SUBIR | Kg:"&amp;ROUND(SUGERENCIAS!K671,1)&amp;" R:"&amp;ROUND(SUGERENCIAS!L671,0)&amp;" RIR:"&amp;ROUND(SUGERENCIAS!M671,0),IF(SUGERENCIAS!N671="BAJAR","v BAJAR | Kg:"&amp;ROUND(SUGERENCIAS!K671,1)&amp;" R:"&amp;ROUND(SUGERENCIAS!L671,0)&amp;" RIR:"&amp;ROUND(SUGERENCIAS!M671,0),"= MANT | Kg:"&amp;ROUND(SUGERENCIAS!K671,1)&amp;" R:"&amp;ROUND(SUGERENCIAS!L671,0)&amp;" RIR:"&amp;ROUND(SUGERENCIAS!M671,0))))))</f>
        <v>Sin datos anteriores</v>
      </c>
      <c r="W262" s="69">
        <f>MAX(IF((G262&gt;0)*(IF(H262="",-1,H262)&gt;=0)*(IF(H262="",-1,H262)&lt;=1),IF(C262="peso_corporal",IF(ISNUMBER(E262),E262,0)+F262,F262)*G262*1000+F262,0),IF((J262&gt;0)*(IF(K262="",-1,K262)&gt;=0)*(IF(K262="",-1,K262)&lt;=1),IF(C262="peso_corporal",IF(ISNUMBER(E262),E262,0)+I262,I262)*J262*1000+I262,0),IF((M262&gt;0)*(IF(N262="",-1,N262)&gt;=0)*(IF(N262="",-1,N262)&lt;=1),IF(C262="peso_corporal",IF(ISNUMBER(E262),E262,0)+L262,L262)*M262*1000+L262,0),IF((P262&gt;0)*(IF(Q262="",-1,Q262)&gt;=0)*(IF(Q262="",-1,Q262)&lt;=1),IF(C262="peso_corporal",IF(ISNUMBER(E262),E262,0)+O262,O262)*P262*1000+O262,0),IF((S262&gt;0)*(IF(T262="",-1,T262)&gt;=0)*(IF(T262="",-1,T262)&lt;=1),IF(C262="peso_corporal",IF(ISNUMBER(E262),E262,0)+R262,R262)*S262*1000+R262,0))</f>
        <v>0</v>
      </c>
      <c r="X262" s="69">
        <f>IF(W262=0,0,IF(IF((S262&gt;0)*(IF(T262="",-1,T262)&gt;=0)*(IF(T262="",-1,T262)&lt;=1),IF(C262="peso_corporal",IF(ISNUMBER(E262),E262,0)+R262,R262)*S262*1000+R262,0)=W262,5,IF(IF((P262&gt;0)*(IF(Q262="",-1,Q262)&gt;=0)*(IF(Q262="",-1,Q262)&lt;=1),IF(C262="peso_corporal",IF(ISNUMBER(E262),E262,0)+O262,O262)*P262*1000+O262,0)=W262,4,IF(IF((M262&gt;0)*(IF(N262="",-1,N262)&gt;=0)*(IF(N262="",-1,N262)&lt;=1),IF(C262="peso_corporal",IF(ISNUMBER(E262),E262,0)+L262,L262)*M262*1000+L262,0)=W262,3,IF(IF((J262&gt;0)*(IF(K262="",-1,K262)&gt;=0)*(IF(K262="",-1,K262)&lt;=1),IF(C262="peso_corporal",IF(ISNUMBER(E262),E262,0)+I262,I262)*J262*1000+I262,0)=W262,2,IF(IF((G262&gt;0)*(IF(H262="",-1,H262)&gt;=0)*(IF(H262="",-1,H262)&lt;=1),IF(C262="peso_corporal",IF(ISNUMBER(E262),E262,0)+F262,F262)*G262*1000+F262,0)=W262,1,0))))))</f>
        <v>0</v>
      </c>
      <c r="Y262" s="69">
        <f>MAX(IF((G262&gt;0)*(IF(H262="",-1,H262)=0)*(1-(IF(H262="",-1,H262)&gt;=0)*(IF(H262="",-1,H262)&lt;=1)),IF(C262="peso_corporal",IF(ISNUMBER(E262),E262,0)+F262,F262)*G262*1000+F262,0),IF((J262&gt;0)*(IF(K262="",-1,K262)=0)*(1-(IF(K262="",-1,K262)&gt;=0)*(IF(K262="",-1,K262)&lt;=1)),IF(C262="peso_corporal",IF(ISNUMBER(E262),E262,0)+I262,I262)*J262*1000+I262,0),IF((M262&gt;0)*(IF(N262="",-1,N262)=0)*(1-(IF(N262="",-1,N262)&gt;=0)*(IF(N262="",-1,N262)&lt;=1)),IF(C262="peso_corporal",IF(ISNUMBER(E262),E262,0)+L262,L262)*M262*1000+L262,0),IF((P262&gt;0)*(IF(Q262="",-1,Q262)=0)*(1-(IF(Q262="",-1,Q262)&gt;=0)*(IF(Q262="",-1,Q262)&lt;=1)),IF(C262="peso_corporal",IF(ISNUMBER(E262),E262,0)+O262,O262)*P262*1000+O262,0),IF((S262&gt;0)*(IF(T262="",-1,T262)=0)*(1-(IF(T262="",-1,T262)&gt;=0)*(IF(T262="",-1,T262)&lt;=1)),IF(C262="peso_corporal",IF(ISNUMBER(E262),E262,0)+R262,R262)*S262*1000+R262,0))</f>
        <v>0</v>
      </c>
      <c r="Z262" s="69">
        <f>IF(Y262=0,0,IF(IF((S262&gt;0)*(IF(T262="",-1,T262)=0)*(1-(IF(T262="",-1,T262)&gt;=0)*(IF(T262="",-1,T262)&lt;=1)),IF(C262="peso_corporal",IF(ISNUMBER(E262),E262,0)+R262,R262)*S262*1000+R262,0)=Y262,5,IF(IF((P262&gt;0)*(IF(Q262="",-1,Q262)=0)*(1-(IF(Q262="",-1,Q262)&gt;=0)*(IF(Q262="",-1,Q262)&lt;=1)),IF(C262="peso_corporal",IF(ISNUMBER(E262),E262,0)+O262,O262)*P262*1000+O262,0)=Y262,4,IF(IF((M262&gt;0)*(IF(N262="",-1,N262)=0)*(1-(IF(N262="",-1,N262)&gt;=0)*(IF(N262="",-1,N262)&lt;=1)),IF(C262="peso_corporal",IF(ISNUMBER(E262),E262,0)+L262,L262)*M262*1000+L262,0)=Y262,3,IF(IF((J262&gt;0)*(IF(K262="",-1,K262)=0)*(1-(IF(K262="",-1,K262)&gt;=0)*(IF(K262="",-1,K262)&lt;=1)),IF(C262="peso_corporal",IF(ISNUMBER(E262),E262,0)+I262,I262)*J262*1000+I262,0)=Y262,2,IF(IF((G262&gt;0)*(IF(H262="",-1,H262)=0)*(1-(IF(H262="",-1,H262)&gt;=0)*(IF(H262="",-1,H262)&lt;=1)),IF(C262="peso_corporal",IF(ISNUMBER(E262),E262,0)+F262,F262)*G262*1000+F262,0)=Y262,1,0))))))</f>
        <v>0</v>
      </c>
      <c r="AA262" s="69">
        <f>MAX(IF((G262&gt;=3)*(1-(IF(H262="",-1,H262)&gt;=0)*(IF(H262="",-1,H262)&lt;=1))*(1-(IF(H262="",-1,H262)=0)),IF(C262="peso_corporal",IF(ISNUMBER(E262),E262,0)+F262,F262)*(30+G262)*100+F262,0),IF((J262&gt;=3)*(1-(IF(K262="",-1,K262)&gt;=0)*(IF(K262="",-1,K262)&lt;=1))*(1-(IF(K262="",-1,K262)=0)),IF(C262="peso_corporal",IF(ISNUMBER(E262),E262,0)+I262,I262)*(30+J262)*100+I262,0),IF((M262&gt;=3)*(1-(IF(N262="",-1,N262)&gt;=0)*(IF(N262="",-1,N262)&lt;=1))*(1-(IF(N262="",-1,N262)=0)),IF(C262="peso_corporal",IF(ISNUMBER(E262),E262,0)+L262,L262)*(30+M262)*100+L262,0),IF((P262&gt;=3)*(1-(IF(Q262="",-1,Q262)&gt;=0)*(IF(Q262="",-1,Q262)&lt;=1))*(1-(IF(Q262="",-1,Q262)=0)),IF(C262="peso_corporal",IF(ISNUMBER(E262),E262,0)+O262,O262)*(30+P262)*100+O262,0),IF((S262&gt;=3)*(1-(IF(T262="",-1,T262)&gt;=0)*(IF(T262="",-1,T262)&lt;=1))*(1-(IF(T262="",-1,T262)=0)),IF(C262="peso_corporal",IF(ISNUMBER(E262),E262,0)+R262,R262)*(30+S262)*100+R262,0))</f>
        <v>0</v>
      </c>
      <c r="AB262" s="69">
        <f>IF(AA262=0,0,IF(IF((S262&gt;=3)*(1-(IF(T262="",-1,T262)&gt;=0)*(IF(T262="",-1,T262)&lt;=1))*(1-(IF(T262="",-1,T262)=0)),IF(C262="peso_corporal",IF(ISNUMBER(E262),E262,0)+R262,R262)*(30+S262)*100+R262,0)=AA262,5,IF(IF((P262&gt;=3)*(1-(IF(Q262="",-1,Q262)&gt;=0)*(IF(Q262="",-1,Q262)&lt;=1))*(1-(IF(Q262="",-1,Q262)=0)),IF(C262="peso_corporal",IF(ISNUMBER(E262),E262,0)+O262,O262)*(30+P262)*100+O262,0)=AA262,4,IF(IF((M262&gt;=3)*(1-(IF(N262="",-1,N262)&gt;=0)*(IF(N262="",-1,N262)&lt;=1))*(1-(IF(N262="",-1,N262)=0)),IF(C262="peso_corporal",IF(ISNUMBER(E262),E262,0)+L262,L262)*(30+M262)*100+L262,0)=AA262,3,IF(IF((J262&gt;=3)*(1-(IF(K262="",-1,K262)&gt;=0)*(IF(K262="",-1,K262)&lt;=1))*(1-(IF(K262="",-1,K262)=0)),IF(C262="peso_corporal",IF(ISNUMBER(E262),E262,0)+I262,I262)*(30+J262)*100+I262,0)=AA262,2,IF(IF((G262&gt;=3)*(1-(IF(H262="",-1,H262)&gt;=0)*(IF(H262="",-1,H262)&lt;=1))*(1-(IF(H262="",-1,H262)=0)),IF(C262="peso_corporal",IF(ISNUMBER(E262),E262,0)+F262,F262)*(30+G262)*100+F262,0)=AA262,1,0))))))</f>
        <v>0</v>
      </c>
      <c r="AC262" s="69" t="str">
        <f>IF(X262&gt;0,"A"&amp;X262,IF(Z262&gt;0,"B"&amp;Z262,IF(AB262&gt;0,"C"&amp;AB262,"")))</f>
        <v/>
      </c>
    </row>
    <row r="263" spans="1:29" ht="20.100000000000001" customHeight="1">
      <c r="A263" s="14" t="s">
        <v>43</v>
      </c>
      <c r="B263" s="15" t="s">
        <v>159</v>
      </c>
      <c r="C263" s="16" t="str">
        <f>IFERROR(INDEX(EJERCICIOS!$D$3:$D$75,MATCH(A263&amp;"|"&amp;B263,EJERCICIOS!$G$3:$G$75,0)),"--")</f>
        <v>--</v>
      </c>
      <c r="D263" s="17">
        <v>3</v>
      </c>
      <c r="E263" s="18">
        <f>IFERROR(LOOKUP(2,1/(MEDIDAS_Y_PESO!$B$3:$B$13&lt;&gt;""),MEDIDAS_Y_PESO!$B$3:$B$13),"--")</f>
        <v>80</v>
      </c>
      <c r="F263" s="19"/>
      <c r="G263" s="20"/>
      <c r="H263" s="21"/>
      <c r="I263" s="19"/>
      <c r="J263" s="20"/>
      <c r="K263" s="21"/>
      <c r="L263" s="19"/>
      <c r="M263" s="20"/>
      <c r="N263" s="21"/>
      <c r="O263" s="19"/>
      <c r="P263" s="20"/>
      <c r="Q263" s="21"/>
      <c r="R263" s="19"/>
      <c r="S263" s="20"/>
      <c r="T263" s="21"/>
      <c r="U263" s="22" t="str">
        <f>IFERROR(IF(IF(X263&gt;0,X263,IF(Z263&gt;0,Z263,IF(AB263&gt;0,AB263,0)))=0,"--",ROUND(CHOOSE(IF(X263&gt;0,X263,IF(Z263&gt;0,Z263,IF(AB263&gt;0,AB263,0))),IF(C263="peso_corporal",IF(ISNUMBER(E263),E263,0)+F263,F263)*(1+G263/30),IF(C263="peso_corporal",IF(ISNUMBER(E263),E263,0)+I263,I263)*(1+J263/30),IF(C263="peso_corporal",IF(ISNUMBER(E263),E263,0)+L263,L263)*(1+M263/30),IF(C263="peso_corporal",IF(ISNUMBER(E263),E263,0)+O263,O263)*(1+P263/30),IF(C263="peso_corporal",IF(ISNUMBER(E263),E263,0)+R263,R263)*(1+S263/30)),1)),"--")</f>
        <v>--</v>
      </c>
      <c r="V263" s="23" t="str">
        <f>IF(SUGERENCIAS!N672="SIN","Sin datos anteriores",IF(SUGERENCIAS!N672="SUBIR_F","^ SUBIR FUERTE | Kg:"&amp;ROUND(SUGERENCIAS!K672,1)&amp;" R:"&amp;ROUND(SUGERENCIAS!L672,0)&amp;" RIR:"&amp;ROUND(SUGERENCIAS!M672,0),IF(SUGERENCIAS!N672="SUBIR_E","^ SUBIR (Est.) | Kg:"&amp;ROUND(SUGERENCIAS!K672,1)&amp;" R:"&amp;ROUND(SUGERENCIAS!L672,0)&amp;" RIR:"&amp;ROUND(SUGERENCIAS!M672,0),IF(SUGERENCIAS!N672="SUBIR","^ SUBIR | Kg:"&amp;ROUND(SUGERENCIAS!K672,1)&amp;" R:"&amp;ROUND(SUGERENCIAS!L672,0)&amp;" RIR:"&amp;ROUND(SUGERENCIAS!M672,0),IF(SUGERENCIAS!N672="BAJAR","v BAJAR | Kg:"&amp;ROUND(SUGERENCIAS!K672,1)&amp;" R:"&amp;ROUND(SUGERENCIAS!L672,0)&amp;" RIR:"&amp;ROUND(SUGERENCIAS!M672,0),"= MANT | Kg:"&amp;ROUND(SUGERENCIAS!K672,1)&amp;" R:"&amp;ROUND(SUGERENCIAS!L672,0)&amp;" RIR:"&amp;ROUND(SUGERENCIAS!M672,0))))))</f>
        <v>Sin datos anteriores</v>
      </c>
      <c r="W263" s="69">
        <f>MAX(IF((G263&gt;0)*(IF(H263="",-1,H263)&gt;=0)*(IF(H263="",-1,H263)&lt;=1),IF(C263="peso_corporal",IF(ISNUMBER(E263),E263,0)+F263,F263)*G263*1000+F263,0),IF((J263&gt;0)*(IF(K263="",-1,K263)&gt;=0)*(IF(K263="",-1,K263)&lt;=1),IF(C263="peso_corporal",IF(ISNUMBER(E263),E263,0)+I263,I263)*J263*1000+I263,0),IF((M263&gt;0)*(IF(N263="",-1,N263)&gt;=0)*(IF(N263="",-1,N263)&lt;=1),IF(C263="peso_corporal",IF(ISNUMBER(E263),E263,0)+L263,L263)*M263*1000+L263,0),IF((P263&gt;0)*(IF(Q263="",-1,Q263)&gt;=0)*(IF(Q263="",-1,Q263)&lt;=1),IF(C263="peso_corporal",IF(ISNUMBER(E263),E263,0)+O263,O263)*P263*1000+O263,0),IF((S263&gt;0)*(IF(T263="",-1,T263)&gt;=0)*(IF(T263="",-1,T263)&lt;=1),IF(C263="peso_corporal",IF(ISNUMBER(E263),E263,0)+R263,R263)*S263*1000+R263,0))</f>
        <v>0</v>
      </c>
      <c r="X263" s="69">
        <f>IF(W263=0,0,IF(IF((S263&gt;0)*(IF(T263="",-1,T263)&gt;=0)*(IF(T263="",-1,T263)&lt;=1),IF(C263="peso_corporal",IF(ISNUMBER(E263),E263,0)+R263,R263)*S263*1000+R263,0)=W263,5,IF(IF((P263&gt;0)*(IF(Q263="",-1,Q263)&gt;=0)*(IF(Q263="",-1,Q263)&lt;=1),IF(C263="peso_corporal",IF(ISNUMBER(E263),E263,0)+O263,O263)*P263*1000+O263,0)=W263,4,IF(IF((M263&gt;0)*(IF(N263="",-1,N263)&gt;=0)*(IF(N263="",-1,N263)&lt;=1),IF(C263="peso_corporal",IF(ISNUMBER(E263),E263,0)+L263,L263)*M263*1000+L263,0)=W263,3,IF(IF((J263&gt;0)*(IF(K263="",-1,K263)&gt;=0)*(IF(K263="",-1,K263)&lt;=1),IF(C263="peso_corporal",IF(ISNUMBER(E263),E263,0)+I263,I263)*J263*1000+I263,0)=W263,2,IF(IF((G263&gt;0)*(IF(H263="",-1,H263)&gt;=0)*(IF(H263="",-1,H263)&lt;=1),IF(C263="peso_corporal",IF(ISNUMBER(E263),E263,0)+F263,F263)*G263*1000+F263,0)=W263,1,0))))))</f>
        <v>0</v>
      </c>
      <c r="Y263" s="69">
        <f>MAX(IF((G263&gt;0)*(IF(H263="",-1,H263)=0)*(1-(IF(H263="",-1,H263)&gt;=0)*(IF(H263="",-1,H263)&lt;=1)),IF(C263="peso_corporal",IF(ISNUMBER(E263),E263,0)+F263,F263)*G263*1000+F263,0),IF((J263&gt;0)*(IF(K263="",-1,K263)=0)*(1-(IF(K263="",-1,K263)&gt;=0)*(IF(K263="",-1,K263)&lt;=1)),IF(C263="peso_corporal",IF(ISNUMBER(E263),E263,0)+I263,I263)*J263*1000+I263,0),IF((M263&gt;0)*(IF(N263="",-1,N263)=0)*(1-(IF(N263="",-1,N263)&gt;=0)*(IF(N263="",-1,N263)&lt;=1)),IF(C263="peso_corporal",IF(ISNUMBER(E263),E263,0)+L263,L263)*M263*1000+L263,0),IF((P263&gt;0)*(IF(Q263="",-1,Q263)=0)*(1-(IF(Q263="",-1,Q263)&gt;=0)*(IF(Q263="",-1,Q263)&lt;=1)),IF(C263="peso_corporal",IF(ISNUMBER(E263),E263,0)+O263,O263)*P263*1000+O263,0),IF((S263&gt;0)*(IF(T263="",-1,T263)=0)*(1-(IF(T263="",-1,T263)&gt;=0)*(IF(T263="",-1,T263)&lt;=1)),IF(C263="peso_corporal",IF(ISNUMBER(E263),E263,0)+R263,R263)*S263*1000+R263,0))</f>
        <v>0</v>
      </c>
      <c r="Z263" s="69">
        <f>IF(Y263=0,0,IF(IF((S263&gt;0)*(IF(T263="",-1,T263)=0)*(1-(IF(T263="",-1,T263)&gt;=0)*(IF(T263="",-1,T263)&lt;=1)),IF(C263="peso_corporal",IF(ISNUMBER(E263),E263,0)+R263,R263)*S263*1000+R263,0)=Y263,5,IF(IF((P263&gt;0)*(IF(Q263="",-1,Q263)=0)*(1-(IF(Q263="",-1,Q263)&gt;=0)*(IF(Q263="",-1,Q263)&lt;=1)),IF(C263="peso_corporal",IF(ISNUMBER(E263),E263,0)+O263,O263)*P263*1000+O263,0)=Y263,4,IF(IF((M263&gt;0)*(IF(N263="",-1,N263)=0)*(1-(IF(N263="",-1,N263)&gt;=0)*(IF(N263="",-1,N263)&lt;=1)),IF(C263="peso_corporal",IF(ISNUMBER(E263),E263,0)+L263,L263)*M263*1000+L263,0)=Y263,3,IF(IF((J263&gt;0)*(IF(K263="",-1,K263)=0)*(1-(IF(K263="",-1,K263)&gt;=0)*(IF(K263="",-1,K263)&lt;=1)),IF(C263="peso_corporal",IF(ISNUMBER(E263),E263,0)+I263,I263)*J263*1000+I263,0)=Y263,2,IF(IF((G263&gt;0)*(IF(H263="",-1,H263)=0)*(1-(IF(H263="",-1,H263)&gt;=0)*(IF(H263="",-1,H263)&lt;=1)),IF(C263="peso_corporal",IF(ISNUMBER(E263),E263,0)+F263,F263)*G263*1000+F263,0)=Y263,1,0))))))</f>
        <v>0</v>
      </c>
      <c r="AA263" s="69">
        <f>MAX(IF((G263&gt;=3)*(1-(IF(H263="",-1,H263)&gt;=0)*(IF(H263="",-1,H263)&lt;=1))*(1-(IF(H263="",-1,H263)=0)),IF(C263="peso_corporal",IF(ISNUMBER(E263),E263,0)+F263,F263)*(30+G263)*100+F263,0),IF((J263&gt;=3)*(1-(IF(K263="",-1,K263)&gt;=0)*(IF(K263="",-1,K263)&lt;=1))*(1-(IF(K263="",-1,K263)=0)),IF(C263="peso_corporal",IF(ISNUMBER(E263),E263,0)+I263,I263)*(30+J263)*100+I263,0),IF((M263&gt;=3)*(1-(IF(N263="",-1,N263)&gt;=0)*(IF(N263="",-1,N263)&lt;=1))*(1-(IF(N263="",-1,N263)=0)),IF(C263="peso_corporal",IF(ISNUMBER(E263),E263,0)+L263,L263)*(30+M263)*100+L263,0),IF((P263&gt;=3)*(1-(IF(Q263="",-1,Q263)&gt;=0)*(IF(Q263="",-1,Q263)&lt;=1))*(1-(IF(Q263="",-1,Q263)=0)),IF(C263="peso_corporal",IF(ISNUMBER(E263),E263,0)+O263,O263)*(30+P263)*100+O263,0),IF((S263&gt;=3)*(1-(IF(T263="",-1,T263)&gt;=0)*(IF(T263="",-1,T263)&lt;=1))*(1-(IF(T263="",-1,T263)=0)),IF(C263="peso_corporal",IF(ISNUMBER(E263),E263,0)+R263,R263)*(30+S263)*100+R263,0))</f>
        <v>0</v>
      </c>
      <c r="AB263" s="69">
        <f>IF(AA263=0,0,IF(IF((S263&gt;=3)*(1-(IF(T263="",-1,T263)&gt;=0)*(IF(T263="",-1,T263)&lt;=1))*(1-(IF(T263="",-1,T263)=0)),IF(C263="peso_corporal",IF(ISNUMBER(E263),E263,0)+R263,R263)*(30+S263)*100+R263,0)=AA263,5,IF(IF((P263&gt;=3)*(1-(IF(Q263="",-1,Q263)&gt;=0)*(IF(Q263="",-1,Q263)&lt;=1))*(1-(IF(Q263="",-1,Q263)=0)),IF(C263="peso_corporal",IF(ISNUMBER(E263),E263,0)+O263,O263)*(30+P263)*100+O263,0)=AA263,4,IF(IF((M263&gt;=3)*(1-(IF(N263="",-1,N263)&gt;=0)*(IF(N263="",-1,N263)&lt;=1))*(1-(IF(N263="",-1,N263)=0)),IF(C263="peso_corporal",IF(ISNUMBER(E263),E263,0)+L263,L263)*(30+M263)*100+L263,0)=AA263,3,IF(IF((J263&gt;=3)*(1-(IF(K263="",-1,K263)&gt;=0)*(IF(K263="",-1,K263)&lt;=1))*(1-(IF(K263="",-1,K263)=0)),IF(C263="peso_corporal",IF(ISNUMBER(E263),E263,0)+I263,I263)*(30+J263)*100+I263,0)=AA263,2,IF(IF((G263&gt;=3)*(1-(IF(H263="",-1,H263)&gt;=0)*(IF(H263="",-1,H263)&lt;=1))*(1-(IF(H263="",-1,H263)=0)),IF(C263="peso_corporal",IF(ISNUMBER(E263),E263,0)+F263,F263)*(30+G263)*100+F263,0)=AA263,1,0))))))</f>
        <v>0</v>
      </c>
      <c r="AC263" s="69" t="str">
        <f>IF(X263&gt;0,"A"&amp;X263,IF(Z263&gt;0,"B"&amp;Z263,IF(AB263&gt;0,"C"&amp;AB263,"")))</f>
        <v/>
      </c>
    </row>
    <row r="264" spans="1:29" ht="11.1" customHeight="1">
      <c r="A264" s="92" t="s">
        <v>160</v>
      </c>
      <c r="B264" s="73"/>
      <c r="C264" s="73"/>
      <c r="D264" s="73"/>
      <c r="E264" s="73"/>
      <c r="F264" s="73"/>
      <c r="G264" s="73"/>
      <c r="H264" s="73"/>
      <c r="I264" s="73"/>
      <c r="J264" s="73"/>
      <c r="K264" s="73"/>
      <c r="L264" s="73"/>
      <c r="M264" s="73"/>
      <c r="N264" s="73"/>
      <c r="O264" s="73"/>
      <c r="P264" s="73"/>
      <c r="Q264" s="73"/>
      <c r="R264" s="73"/>
      <c r="S264" s="73"/>
      <c r="T264" s="73"/>
      <c r="U264" s="73"/>
      <c r="V264" s="73"/>
      <c r="W264" s="69"/>
      <c r="X264" s="69"/>
      <c r="Y264" s="69"/>
      <c r="Z264" s="69"/>
      <c r="AA264" s="69"/>
      <c r="AB264" s="69"/>
      <c r="AC264" s="69"/>
    </row>
    <row r="265" spans="1:29" ht="20.100000000000001" customHeight="1">
      <c r="A265" s="14" t="s">
        <v>161</v>
      </c>
      <c r="B265" s="15" t="s">
        <v>162</v>
      </c>
      <c r="C265" s="16" t="str">
        <f>IFERROR(INDEX(EJERCICIOS!$D$3:$D$75,MATCH(A265&amp;"|"&amp;B265,EJERCICIOS!$G$3:$G$75,0)),"--")</f>
        <v>mancuerna</v>
      </c>
      <c r="D265" s="17">
        <v>3</v>
      </c>
      <c r="E265" s="18">
        <f>IFERROR(LOOKUP(2,1/(MEDIDAS_Y_PESO!$B$3:$B$13&lt;&gt;""),MEDIDAS_Y_PESO!$B$3:$B$13),"--")</f>
        <v>80</v>
      </c>
      <c r="F265" s="19"/>
      <c r="G265" s="20"/>
      <c r="H265" s="21"/>
      <c r="I265" s="19"/>
      <c r="J265" s="20"/>
      <c r="K265" s="21"/>
      <c r="L265" s="19"/>
      <c r="M265" s="20"/>
      <c r="N265" s="21"/>
      <c r="O265" s="19"/>
      <c r="P265" s="20"/>
      <c r="Q265" s="21"/>
      <c r="R265" s="19"/>
      <c r="S265" s="20"/>
      <c r="T265" s="21"/>
      <c r="U265" s="22" t="str">
        <f>IFERROR(IF(IF(X265&gt;0,X265,IF(Z265&gt;0,Z265,IF(AB265&gt;0,AB265,0)))=0,"--",ROUND(CHOOSE(IF(X265&gt;0,X265,IF(Z265&gt;0,Z265,IF(AB265&gt;0,AB265,0))),IF(C265="peso_corporal",IF(ISNUMBER(E265),E265,0)+F265,F265)*(1+G265/30),IF(C265="peso_corporal",IF(ISNUMBER(E265),E265,0)+I265,I265)*(1+J265/30),IF(C265="peso_corporal",IF(ISNUMBER(E265),E265,0)+L265,L265)*(1+M265/30),IF(C265="peso_corporal",IF(ISNUMBER(E265),E265,0)+O265,O265)*(1+P265/30),IF(C265="peso_corporal",IF(ISNUMBER(E265),E265,0)+R265,R265)*(1+S265/30)),1)),"--")</f>
        <v>--</v>
      </c>
      <c r="V265" s="23" t="str">
        <f>IF(SUGERENCIAS!N673="SIN","Sin datos anteriores",IF(SUGERENCIAS!N673="SUBIR_F","^ SUBIR FUERTE | Kg:"&amp;ROUND(SUGERENCIAS!K673,1)&amp;" R:"&amp;ROUND(SUGERENCIAS!L673,0)&amp;" RIR:"&amp;ROUND(SUGERENCIAS!M673,0),IF(SUGERENCIAS!N673="SUBIR_E","^ SUBIR (Est.) | Kg:"&amp;ROUND(SUGERENCIAS!K673,1)&amp;" R:"&amp;ROUND(SUGERENCIAS!L673,0)&amp;" RIR:"&amp;ROUND(SUGERENCIAS!M673,0),IF(SUGERENCIAS!N673="SUBIR","^ SUBIR | Kg:"&amp;ROUND(SUGERENCIAS!K673,1)&amp;" R:"&amp;ROUND(SUGERENCIAS!L673,0)&amp;" RIR:"&amp;ROUND(SUGERENCIAS!M673,0),IF(SUGERENCIAS!N673="BAJAR","v BAJAR | Kg:"&amp;ROUND(SUGERENCIAS!K673,1)&amp;" R:"&amp;ROUND(SUGERENCIAS!L673,0)&amp;" RIR:"&amp;ROUND(SUGERENCIAS!M673,0),"= MANT | Kg:"&amp;ROUND(SUGERENCIAS!K673,1)&amp;" R:"&amp;ROUND(SUGERENCIAS!L673,0)&amp;" RIR:"&amp;ROUND(SUGERENCIAS!M673,0))))))</f>
        <v>Sin datos anteriores</v>
      </c>
      <c r="W265" s="69">
        <f>MAX(IF((G265&gt;0)*(IF(H265="",-1,H265)&gt;=0)*(IF(H265="",-1,H265)&lt;=1),IF(C265="peso_corporal",IF(ISNUMBER(E265),E265,0)+F265,F265)*G265*1000+F265,0),IF((J265&gt;0)*(IF(K265="",-1,K265)&gt;=0)*(IF(K265="",-1,K265)&lt;=1),IF(C265="peso_corporal",IF(ISNUMBER(E265),E265,0)+I265,I265)*J265*1000+I265,0),IF((M265&gt;0)*(IF(N265="",-1,N265)&gt;=0)*(IF(N265="",-1,N265)&lt;=1),IF(C265="peso_corporal",IF(ISNUMBER(E265),E265,0)+L265,L265)*M265*1000+L265,0),IF((P265&gt;0)*(IF(Q265="",-1,Q265)&gt;=0)*(IF(Q265="",-1,Q265)&lt;=1),IF(C265="peso_corporal",IF(ISNUMBER(E265),E265,0)+O265,O265)*P265*1000+O265,0),IF((S265&gt;0)*(IF(T265="",-1,T265)&gt;=0)*(IF(T265="",-1,T265)&lt;=1),IF(C265="peso_corporal",IF(ISNUMBER(E265),E265,0)+R265,R265)*S265*1000+R265,0))</f>
        <v>0</v>
      </c>
      <c r="X265" s="69">
        <f>IF(W265=0,0,IF(IF((S265&gt;0)*(IF(T265="",-1,T265)&gt;=0)*(IF(T265="",-1,T265)&lt;=1),IF(C265="peso_corporal",IF(ISNUMBER(E265),E265,0)+R265,R265)*S265*1000+R265,0)=W265,5,IF(IF((P265&gt;0)*(IF(Q265="",-1,Q265)&gt;=0)*(IF(Q265="",-1,Q265)&lt;=1),IF(C265="peso_corporal",IF(ISNUMBER(E265),E265,0)+O265,O265)*P265*1000+O265,0)=W265,4,IF(IF((M265&gt;0)*(IF(N265="",-1,N265)&gt;=0)*(IF(N265="",-1,N265)&lt;=1),IF(C265="peso_corporal",IF(ISNUMBER(E265),E265,0)+L265,L265)*M265*1000+L265,0)=W265,3,IF(IF((J265&gt;0)*(IF(K265="",-1,K265)&gt;=0)*(IF(K265="",-1,K265)&lt;=1),IF(C265="peso_corporal",IF(ISNUMBER(E265),E265,0)+I265,I265)*J265*1000+I265,0)=W265,2,IF(IF((G265&gt;0)*(IF(H265="",-1,H265)&gt;=0)*(IF(H265="",-1,H265)&lt;=1),IF(C265="peso_corporal",IF(ISNUMBER(E265),E265,0)+F265,F265)*G265*1000+F265,0)=W265,1,0))))))</f>
        <v>0</v>
      </c>
      <c r="Y265" s="69">
        <f>MAX(IF((G265&gt;0)*(IF(H265="",-1,H265)=0)*(1-(IF(H265="",-1,H265)&gt;=0)*(IF(H265="",-1,H265)&lt;=1)),IF(C265="peso_corporal",IF(ISNUMBER(E265),E265,0)+F265,F265)*G265*1000+F265,0),IF((J265&gt;0)*(IF(K265="",-1,K265)=0)*(1-(IF(K265="",-1,K265)&gt;=0)*(IF(K265="",-1,K265)&lt;=1)),IF(C265="peso_corporal",IF(ISNUMBER(E265),E265,0)+I265,I265)*J265*1000+I265,0),IF((M265&gt;0)*(IF(N265="",-1,N265)=0)*(1-(IF(N265="",-1,N265)&gt;=0)*(IF(N265="",-1,N265)&lt;=1)),IF(C265="peso_corporal",IF(ISNUMBER(E265),E265,0)+L265,L265)*M265*1000+L265,0),IF((P265&gt;0)*(IF(Q265="",-1,Q265)=0)*(1-(IF(Q265="",-1,Q265)&gt;=0)*(IF(Q265="",-1,Q265)&lt;=1)),IF(C265="peso_corporal",IF(ISNUMBER(E265),E265,0)+O265,O265)*P265*1000+O265,0),IF((S265&gt;0)*(IF(T265="",-1,T265)=0)*(1-(IF(T265="",-1,T265)&gt;=0)*(IF(T265="",-1,T265)&lt;=1)),IF(C265="peso_corporal",IF(ISNUMBER(E265),E265,0)+R265,R265)*S265*1000+R265,0))</f>
        <v>0</v>
      </c>
      <c r="Z265" s="69">
        <f>IF(Y265=0,0,IF(IF((S265&gt;0)*(IF(T265="",-1,T265)=0)*(1-(IF(T265="",-1,T265)&gt;=0)*(IF(T265="",-1,T265)&lt;=1)),IF(C265="peso_corporal",IF(ISNUMBER(E265),E265,0)+R265,R265)*S265*1000+R265,0)=Y265,5,IF(IF((P265&gt;0)*(IF(Q265="",-1,Q265)=0)*(1-(IF(Q265="",-1,Q265)&gt;=0)*(IF(Q265="",-1,Q265)&lt;=1)),IF(C265="peso_corporal",IF(ISNUMBER(E265),E265,0)+O265,O265)*P265*1000+O265,0)=Y265,4,IF(IF((M265&gt;0)*(IF(N265="",-1,N265)=0)*(1-(IF(N265="",-1,N265)&gt;=0)*(IF(N265="",-1,N265)&lt;=1)),IF(C265="peso_corporal",IF(ISNUMBER(E265),E265,0)+L265,L265)*M265*1000+L265,0)=Y265,3,IF(IF((J265&gt;0)*(IF(K265="",-1,K265)=0)*(1-(IF(K265="",-1,K265)&gt;=0)*(IF(K265="",-1,K265)&lt;=1)),IF(C265="peso_corporal",IF(ISNUMBER(E265),E265,0)+I265,I265)*J265*1000+I265,0)=Y265,2,IF(IF((G265&gt;0)*(IF(H265="",-1,H265)=0)*(1-(IF(H265="",-1,H265)&gt;=0)*(IF(H265="",-1,H265)&lt;=1)),IF(C265="peso_corporal",IF(ISNUMBER(E265),E265,0)+F265,F265)*G265*1000+F265,0)=Y265,1,0))))))</f>
        <v>0</v>
      </c>
      <c r="AA265" s="69">
        <f>MAX(IF((G265&gt;=3)*(1-(IF(H265="",-1,H265)&gt;=0)*(IF(H265="",-1,H265)&lt;=1))*(1-(IF(H265="",-1,H265)=0)),IF(C265="peso_corporal",IF(ISNUMBER(E265),E265,0)+F265,F265)*(30+G265)*100+F265,0),IF((J265&gt;=3)*(1-(IF(K265="",-1,K265)&gt;=0)*(IF(K265="",-1,K265)&lt;=1))*(1-(IF(K265="",-1,K265)=0)),IF(C265="peso_corporal",IF(ISNUMBER(E265),E265,0)+I265,I265)*(30+J265)*100+I265,0),IF((M265&gt;=3)*(1-(IF(N265="",-1,N265)&gt;=0)*(IF(N265="",-1,N265)&lt;=1))*(1-(IF(N265="",-1,N265)=0)),IF(C265="peso_corporal",IF(ISNUMBER(E265),E265,0)+L265,L265)*(30+M265)*100+L265,0),IF((P265&gt;=3)*(1-(IF(Q265="",-1,Q265)&gt;=0)*(IF(Q265="",-1,Q265)&lt;=1))*(1-(IF(Q265="",-1,Q265)=0)),IF(C265="peso_corporal",IF(ISNUMBER(E265),E265,0)+O265,O265)*(30+P265)*100+O265,0),IF((S265&gt;=3)*(1-(IF(T265="",-1,T265)&gt;=0)*(IF(T265="",-1,T265)&lt;=1))*(1-(IF(T265="",-1,T265)=0)),IF(C265="peso_corporal",IF(ISNUMBER(E265),E265,0)+R265,R265)*(30+S265)*100+R265,0))</f>
        <v>0</v>
      </c>
      <c r="AB265" s="69">
        <f>IF(AA265=0,0,IF(IF((S265&gt;=3)*(1-(IF(T265="",-1,T265)&gt;=0)*(IF(T265="",-1,T265)&lt;=1))*(1-(IF(T265="",-1,T265)=0)),IF(C265="peso_corporal",IF(ISNUMBER(E265),E265,0)+R265,R265)*(30+S265)*100+R265,0)=AA265,5,IF(IF((P265&gt;=3)*(1-(IF(Q265="",-1,Q265)&gt;=0)*(IF(Q265="",-1,Q265)&lt;=1))*(1-(IF(Q265="",-1,Q265)=0)),IF(C265="peso_corporal",IF(ISNUMBER(E265),E265,0)+O265,O265)*(30+P265)*100+O265,0)=AA265,4,IF(IF((M265&gt;=3)*(1-(IF(N265="",-1,N265)&gt;=0)*(IF(N265="",-1,N265)&lt;=1))*(1-(IF(N265="",-1,N265)=0)),IF(C265="peso_corporal",IF(ISNUMBER(E265),E265,0)+L265,L265)*(30+M265)*100+L265,0)=AA265,3,IF(IF((J265&gt;=3)*(1-(IF(K265="",-1,K265)&gt;=0)*(IF(K265="",-1,K265)&lt;=1))*(1-(IF(K265="",-1,K265)=0)),IF(C265="peso_corporal",IF(ISNUMBER(E265),E265,0)+I265,I265)*(30+J265)*100+I265,0)=AA265,2,IF(IF((G265&gt;=3)*(1-(IF(H265="",-1,H265)&gt;=0)*(IF(H265="",-1,H265)&lt;=1))*(1-(IF(H265="",-1,H265)=0)),IF(C265="peso_corporal",IF(ISNUMBER(E265),E265,0)+F265,F265)*(30+G265)*100+F265,0)=AA265,1,0))))))</f>
        <v>0</v>
      </c>
      <c r="AC265" s="69" t="str">
        <f>IF(X265&gt;0,"A"&amp;X265,IF(Z265&gt;0,"B"&amp;Z265,IF(AB265&gt;0,"C"&amp;AB265,"")))</f>
        <v/>
      </c>
    </row>
    <row r="266" spans="1:29" ht="20.100000000000001" customHeight="1">
      <c r="A266" s="14" t="s">
        <v>163</v>
      </c>
      <c r="B266" s="15" t="s">
        <v>52</v>
      </c>
      <c r="C266" s="16" t="str">
        <f>IFERROR(INDEX(EJERCICIOS!$D$3:$D$75,MATCH(A266&amp;"|"&amp;B266,EJERCICIOS!$G$3:$G$75,0)),"--")</f>
        <v>polea</v>
      </c>
      <c r="D266" s="17">
        <v>3</v>
      </c>
      <c r="E266" s="18">
        <f>IFERROR(LOOKUP(2,1/(MEDIDAS_Y_PESO!$B$3:$B$13&lt;&gt;""),MEDIDAS_Y_PESO!$B$3:$B$13),"--")</f>
        <v>80</v>
      </c>
      <c r="F266" s="19"/>
      <c r="G266" s="20"/>
      <c r="H266" s="21"/>
      <c r="I266" s="19"/>
      <c r="J266" s="20"/>
      <c r="K266" s="21"/>
      <c r="L266" s="19"/>
      <c r="M266" s="20"/>
      <c r="N266" s="21"/>
      <c r="O266" s="19"/>
      <c r="P266" s="20"/>
      <c r="Q266" s="21"/>
      <c r="R266" s="19"/>
      <c r="S266" s="20"/>
      <c r="T266" s="21"/>
      <c r="U266" s="22" t="str">
        <f>IFERROR(IF(IF(X266&gt;0,X266,IF(Z266&gt;0,Z266,IF(AB266&gt;0,AB266,0)))=0,"--",ROUND(CHOOSE(IF(X266&gt;0,X266,IF(Z266&gt;0,Z266,IF(AB266&gt;0,AB266,0))),IF(C266="peso_corporal",IF(ISNUMBER(E266),E266,0)+F266,F266)*(1+G266/30),IF(C266="peso_corporal",IF(ISNUMBER(E266),E266,0)+I266,I266)*(1+J266/30),IF(C266="peso_corporal",IF(ISNUMBER(E266),E266,0)+L266,L266)*(1+M266/30),IF(C266="peso_corporal",IF(ISNUMBER(E266),E266,0)+O266,O266)*(1+P266/30),IF(C266="peso_corporal",IF(ISNUMBER(E266),E266,0)+R266,R266)*(1+S266/30)),1)),"--")</f>
        <v>--</v>
      </c>
      <c r="V266" s="23" t="str">
        <f>IF(SUGERENCIAS!N674="SIN","Sin datos anteriores",IF(SUGERENCIAS!N674="SUBIR_F","^ SUBIR FUERTE | Kg:"&amp;ROUND(SUGERENCIAS!K674,1)&amp;" R:"&amp;ROUND(SUGERENCIAS!L674,0)&amp;" RIR:"&amp;ROUND(SUGERENCIAS!M674,0),IF(SUGERENCIAS!N674="SUBIR_E","^ SUBIR (Est.) | Kg:"&amp;ROUND(SUGERENCIAS!K674,1)&amp;" R:"&amp;ROUND(SUGERENCIAS!L674,0)&amp;" RIR:"&amp;ROUND(SUGERENCIAS!M674,0),IF(SUGERENCIAS!N674="SUBIR","^ SUBIR | Kg:"&amp;ROUND(SUGERENCIAS!K674,1)&amp;" R:"&amp;ROUND(SUGERENCIAS!L674,0)&amp;" RIR:"&amp;ROUND(SUGERENCIAS!M674,0),IF(SUGERENCIAS!N674="BAJAR","v BAJAR | Kg:"&amp;ROUND(SUGERENCIAS!K674,1)&amp;" R:"&amp;ROUND(SUGERENCIAS!L674,0)&amp;" RIR:"&amp;ROUND(SUGERENCIAS!M674,0),"= MANT | Kg:"&amp;ROUND(SUGERENCIAS!K674,1)&amp;" R:"&amp;ROUND(SUGERENCIAS!L674,0)&amp;" RIR:"&amp;ROUND(SUGERENCIAS!M674,0))))))</f>
        <v>Sin datos anteriores</v>
      </c>
      <c r="W266" s="69">
        <f>MAX(IF((G266&gt;0)*(IF(H266="",-1,H266)&gt;=0)*(IF(H266="",-1,H266)&lt;=1),IF(C266="peso_corporal",IF(ISNUMBER(E266),E266,0)+F266,F266)*G266*1000+F266,0),IF((J266&gt;0)*(IF(K266="",-1,K266)&gt;=0)*(IF(K266="",-1,K266)&lt;=1),IF(C266="peso_corporal",IF(ISNUMBER(E266),E266,0)+I266,I266)*J266*1000+I266,0),IF((M266&gt;0)*(IF(N266="",-1,N266)&gt;=0)*(IF(N266="",-1,N266)&lt;=1),IF(C266="peso_corporal",IF(ISNUMBER(E266),E266,0)+L266,L266)*M266*1000+L266,0),IF((P266&gt;0)*(IF(Q266="",-1,Q266)&gt;=0)*(IF(Q266="",-1,Q266)&lt;=1),IF(C266="peso_corporal",IF(ISNUMBER(E266),E266,0)+O266,O266)*P266*1000+O266,0),IF((S266&gt;0)*(IF(T266="",-1,T266)&gt;=0)*(IF(T266="",-1,T266)&lt;=1),IF(C266="peso_corporal",IF(ISNUMBER(E266),E266,0)+R266,R266)*S266*1000+R266,0))</f>
        <v>0</v>
      </c>
      <c r="X266" s="69">
        <f>IF(W266=0,0,IF(IF((S266&gt;0)*(IF(T266="",-1,T266)&gt;=0)*(IF(T266="",-1,T266)&lt;=1),IF(C266="peso_corporal",IF(ISNUMBER(E266),E266,0)+R266,R266)*S266*1000+R266,0)=W266,5,IF(IF((P266&gt;0)*(IF(Q266="",-1,Q266)&gt;=0)*(IF(Q266="",-1,Q266)&lt;=1),IF(C266="peso_corporal",IF(ISNUMBER(E266),E266,0)+O266,O266)*P266*1000+O266,0)=W266,4,IF(IF((M266&gt;0)*(IF(N266="",-1,N266)&gt;=0)*(IF(N266="",-1,N266)&lt;=1),IF(C266="peso_corporal",IF(ISNUMBER(E266),E266,0)+L266,L266)*M266*1000+L266,0)=W266,3,IF(IF((J266&gt;0)*(IF(K266="",-1,K266)&gt;=0)*(IF(K266="",-1,K266)&lt;=1),IF(C266="peso_corporal",IF(ISNUMBER(E266),E266,0)+I266,I266)*J266*1000+I266,0)=W266,2,IF(IF((G266&gt;0)*(IF(H266="",-1,H266)&gt;=0)*(IF(H266="",-1,H266)&lt;=1),IF(C266="peso_corporal",IF(ISNUMBER(E266),E266,0)+F266,F266)*G266*1000+F266,0)=W266,1,0))))))</f>
        <v>0</v>
      </c>
      <c r="Y266" s="69">
        <f>MAX(IF((G266&gt;0)*(IF(H266="",-1,H266)=0)*(1-(IF(H266="",-1,H266)&gt;=0)*(IF(H266="",-1,H266)&lt;=1)),IF(C266="peso_corporal",IF(ISNUMBER(E266),E266,0)+F266,F266)*G266*1000+F266,0),IF((J266&gt;0)*(IF(K266="",-1,K266)=0)*(1-(IF(K266="",-1,K266)&gt;=0)*(IF(K266="",-1,K266)&lt;=1)),IF(C266="peso_corporal",IF(ISNUMBER(E266),E266,0)+I266,I266)*J266*1000+I266,0),IF((M266&gt;0)*(IF(N266="",-1,N266)=0)*(1-(IF(N266="",-1,N266)&gt;=0)*(IF(N266="",-1,N266)&lt;=1)),IF(C266="peso_corporal",IF(ISNUMBER(E266),E266,0)+L266,L266)*M266*1000+L266,0),IF((P266&gt;0)*(IF(Q266="",-1,Q266)=0)*(1-(IF(Q266="",-1,Q266)&gt;=0)*(IF(Q266="",-1,Q266)&lt;=1)),IF(C266="peso_corporal",IF(ISNUMBER(E266),E266,0)+O266,O266)*P266*1000+O266,0),IF((S266&gt;0)*(IF(T266="",-1,T266)=0)*(1-(IF(T266="",-1,T266)&gt;=0)*(IF(T266="",-1,T266)&lt;=1)),IF(C266="peso_corporal",IF(ISNUMBER(E266),E266,0)+R266,R266)*S266*1000+R266,0))</f>
        <v>0</v>
      </c>
      <c r="Z266" s="69">
        <f>IF(Y266=0,0,IF(IF((S266&gt;0)*(IF(T266="",-1,T266)=0)*(1-(IF(T266="",-1,T266)&gt;=0)*(IF(T266="",-1,T266)&lt;=1)),IF(C266="peso_corporal",IF(ISNUMBER(E266),E266,0)+R266,R266)*S266*1000+R266,0)=Y266,5,IF(IF((P266&gt;0)*(IF(Q266="",-1,Q266)=0)*(1-(IF(Q266="",-1,Q266)&gt;=0)*(IF(Q266="",-1,Q266)&lt;=1)),IF(C266="peso_corporal",IF(ISNUMBER(E266),E266,0)+O266,O266)*P266*1000+O266,0)=Y266,4,IF(IF((M266&gt;0)*(IF(N266="",-1,N266)=0)*(1-(IF(N266="",-1,N266)&gt;=0)*(IF(N266="",-1,N266)&lt;=1)),IF(C266="peso_corporal",IF(ISNUMBER(E266),E266,0)+L266,L266)*M266*1000+L266,0)=Y266,3,IF(IF((J266&gt;0)*(IF(K266="",-1,K266)=0)*(1-(IF(K266="",-1,K266)&gt;=0)*(IF(K266="",-1,K266)&lt;=1)),IF(C266="peso_corporal",IF(ISNUMBER(E266),E266,0)+I266,I266)*J266*1000+I266,0)=Y266,2,IF(IF((G266&gt;0)*(IF(H266="",-1,H266)=0)*(1-(IF(H266="",-1,H266)&gt;=0)*(IF(H266="",-1,H266)&lt;=1)),IF(C266="peso_corporal",IF(ISNUMBER(E266),E266,0)+F266,F266)*G266*1000+F266,0)=Y266,1,0))))))</f>
        <v>0</v>
      </c>
      <c r="AA266" s="69">
        <f>MAX(IF((G266&gt;=3)*(1-(IF(H266="",-1,H266)&gt;=0)*(IF(H266="",-1,H266)&lt;=1))*(1-(IF(H266="",-1,H266)=0)),IF(C266="peso_corporal",IF(ISNUMBER(E266),E266,0)+F266,F266)*(30+G266)*100+F266,0),IF((J266&gt;=3)*(1-(IF(K266="",-1,K266)&gt;=0)*(IF(K266="",-1,K266)&lt;=1))*(1-(IF(K266="",-1,K266)=0)),IF(C266="peso_corporal",IF(ISNUMBER(E266),E266,0)+I266,I266)*(30+J266)*100+I266,0),IF((M266&gt;=3)*(1-(IF(N266="",-1,N266)&gt;=0)*(IF(N266="",-1,N266)&lt;=1))*(1-(IF(N266="",-1,N266)=0)),IF(C266="peso_corporal",IF(ISNUMBER(E266),E266,0)+L266,L266)*(30+M266)*100+L266,0),IF((P266&gt;=3)*(1-(IF(Q266="",-1,Q266)&gt;=0)*(IF(Q266="",-1,Q266)&lt;=1))*(1-(IF(Q266="",-1,Q266)=0)),IF(C266="peso_corporal",IF(ISNUMBER(E266),E266,0)+O266,O266)*(30+P266)*100+O266,0),IF((S266&gt;=3)*(1-(IF(T266="",-1,T266)&gt;=0)*(IF(T266="",-1,T266)&lt;=1))*(1-(IF(T266="",-1,T266)=0)),IF(C266="peso_corporal",IF(ISNUMBER(E266),E266,0)+R266,R266)*(30+S266)*100+R266,0))</f>
        <v>0</v>
      </c>
      <c r="AB266" s="69">
        <f>IF(AA266=0,0,IF(IF((S266&gt;=3)*(1-(IF(T266="",-1,T266)&gt;=0)*(IF(T266="",-1,T266)&lt;=1))*(1-(IF(T266="",-1,T266)=0)),IF(C266="peso_corporal",IF(ISNUMBER(E266),E266,0)+R266,R266)*(30+S266)*100+R266,0)=AA266,5,IF(IF((P266&gt;=3)*(1-(IF(Q266="",-1,Q266)&gt;=0)*(IF(Q266="",-1,Q266)&lt;=1))*(1-(IF(Q266="",-1,Q266)=0)),IF(C266="peso_corporal",IF(ISNUMBER(E266),E266,0)+O266,O266)*(30+P266)*100+O266,0)=AA266,4,IF(IF((M266&gt;=3)*(1-(IF(N266="",-1,N266)&gt;=0)*(IF(N266="",-1,N266)&lt;=1))*(1-(IF(N266="",-1,N266)=0)),IF(C266="peso_corporal",IF(ISNUMBER(E266),E266,0)+L266,L266)*(30+M266)*100+L266,0)=AA266,3,IF(IF((J266&gt;=3)*(1-(IF(K266="",-1,K266)&gt;=0)*(IF(K266="",-1,K266)&lt;=1))*(1-(IF(K266="",-1,K266)=0)),IF(C266="peso_corporal",IF(ISNUMBER(E266),E266,0)+I266,I266)*(30+J266)*100+I266,0)=AA266,2,IF(IF((G266&gt;=3)*(1-(IF(H266="",-1,H266)&gt;=0)*(IF(H266="",-1,H266)&lt;=1))*(1-(IF(H266="",-1,H266)=0)),IF(C266="peso_corporal",IF(ISNUMBER(E266),E266,0)+F266,F266)*(30+G266)*100+F266,0)=AA266,1,0))))))</f>
        <v>0</v>
      </c>
      <c r="AC266" s="69" t="str">
        <f>IF(X266&gt;0,"A"&amp;X266,IF(Z266&gt;0,"B"&amp;Z266,IF(AB266&gt;0,"C"&amp;AB266,"")))</f>
        <v/>
      </c>
    </row>
    <row r="267" spans="1:29" ht="20.100000000000001" customHeight="1">
      <c r="A267" s="14" t="s">
        <v>164</v>
      </c>
      <c r="B267" s="15" t="s">
        <v>114</v>
      </c>
      <c r="C267" s="16" t="str">
        <f>IFERROR(INDEX(EJERCICIOS!$D$3:$D$75,MATCH(A267&amp;"|"&amp;B267,EJERCICIOS!$G$3:$G$75,0)),"--")</f>
        <v>polea</v>
      </c>
      <c r="D267" s="17">
        <v>3</v>
      </c>
      <c r="E267" s="18">
        <f>IFERROR(LOOKUP(2,1/(MEDIDAS_Y_PESO!$B$3:$B$13&lt;&gt;""),MEDIDAS_Y_PESO!$B$3:$B$13),"--")</f>
        <v>80</v>
      </c>
      <c r="F267" s="19"/>
      <c r="G267" s="20"/>
      <c r="H267" s="21"/>
      <c r="I267" s="19"/>
      <c r="J267" s="20"/>
      <c r="K267" s="21"/>
      <c r="L267" s="19"/>
      <c r="M267" s="20"/>
      <c r="N267" s="21"/>
      <c r="O267" s="19"/>
      <c r="P267" s="20"/>
      <c r="Q267" s="21"/>
      <c r="R267" s="19"/>
      <c r="S267" s="20"/>
      <c r="T267" s="21"/>
      <c r="U267" s="22" t="str">
        <f>IFERROR(IF(IF(X267&gt;0,X267,IF(Z267&gt;0,Z267,IF(AB267&gt;0,AB267,0)))=0,"--",ROUND(CHOOSE(IF(X267&gt;0,X267,IF(Z267&gt;0,Z267,IF(AB267&gt;0,AB267,0))),IF(C267="peso_corporal",IF(ISNUMBER(E267),E267,0)+F267,F267)*(1+G267/30),IF(C267="peso_corporal",IF(ISNUMBER(E267),E267,0)+I267,I267)*(1+J267/30),IF(C267="peso_corporal",IF(ISNUMBER(E267),E267,0)+L267,L267)*(1+M267/30),IF(C267="peso_corporal",IF(ISNUMBER(E267),E267,0)+O267,O267)*(1+P267/30),IF(C267="peso_corporal",IF(ISNUMBER(E267),E267,0)+R267,R267)*(1+S267/30)),1)),"--")</f>
        <v>--</v>
      </c>
      <c r="V267" s="23" t="str">
        <f>IF(SUGERENCIAS!N675="SIN","Sin datos anteriores",IF(SUGERENCIAS!N675="SUBIR_F","^ SUBIR FUERTE | Kg:"&amp;ROUND(SUGERENCIAS!K675,1)&amp;" R:"&amp;ROUND(SUGERENCIAS!L675,0)&amp;" RIR:"&amp;ROUND(SUGERENCIAS!M675,0),IF(SUGERENCIAS!N675="SUBIR_E","^ SUBIR (Est.) | Kg:"&amp;ROUND(SUGERENCIAS!K675,1)&amp;" R:"&amp;ROUND(SUGERENCIAS!L675,0)&amp;" RIR:"&amp;ROUND(SUGERENCIAS!M675,0),IF(SUGERENCIAS!N675="SUBIR","^ SUBIR | Kg:"&amp;ROUND(SUGERENCIAS!K675,1)&amp;" R:"&amp;ROUND(SUGERENCIAS!L675,0)&amp;" RIR:"&amp;ROUND(SUGERENCIAS!M675,0),IF(SUGERENCIAS!N675="BAJAR","v BAJAR | Kg:"&amp;ROUND(SUGERENCIAS!K675,1)&amp;" R:"&amp;ROUND(SUGERENCIAS!L675,0)&amp;" RIR:"&amp;ROUND(SUGERENCIAS!M675,0),"= MANT | Kg:"&amp;ROUND(SUGERENCIAS!K675,1)&amp;" R:"&amp;ROUND(SUGERENCIAS!L675,0)&amp;" RIR:"&amp;ROUND(SUGERENCIAS!M675,0))))))</f>
        <v>Sin datos anteriores</v>
      </c>
      <c r="W267" s="69">
        <f>MAX(IF((G267&gt;0)*(IF(H267="",-1,H267)&gt;=0)*(IF(H267="",-1,H267)&lt;=1),IF(C267="peso_corporal",IF(ISNUMBER(E267),E267,0)+F267,F267)*G267*1000+F267,0),IF((J267&gt;0)*(IF(K267="",-1,K267)&gt;=0)*(IF(K267="",-1,K267)&lt;=1),IF(C267="peso_corporal",IF(ISNUMBER(E267),E267,0)+I267,I267)*J267*1000+I267,0),IF((M267&gt;0)*(IF(N267="",-1,N267)&gt;=0)*(IF(N267="",-1,N267)&lt;=1),IF(C267="peso_corporal",IF(ISNUMBER(E267),E267,0)+L267,L267)*M267*1000+L267,0),IF((P267&gt;0)*(IF(Q267="",-1,Q267)&gt;=0)*(IF(Q267="",-1,Q267)&lt;=1),IF(C267="peso_corporal",IF(ISNUMBER(E267),E267,0)+O267,O267)*P267*1000+O267,0),IF((S267&gt;0)*(IF(T267="",-1,T267)&gt;=0)*(IF(T267="",-1,T267)&lt;=1),IF(C267="peso_corporal",IF(ISNUMBER(E267),E267,0)+R267,R267)*S267*1000+R267,0))</f>
        <v>0</v>
      </c>
      <c r="X267" s="69">
        <f>IF(W267=0,0,IF(IF((S267&gt;0)*(IF(T267="",-1,T267)&gt;=0)*(IF(T267="",-1,T267)&lt;=1),IF(C267="peso_corporal",IF(ISNUMBER(E267),E267,0)+R267,R267)*S267*1000+R267,0)=W267,5,IF(IF((P267&gt;0)*(IF(Q267="",-1,Q267)&gt;=0)*(IF(Q267="",-1,Q267)&lt;=1),IF(C267="peso_corporal",IF(ISNUMBER(E267),E267,0)+O267,O267)*P267*1000+O267,0)=W267,4,IF(IF((M267&gt;0)*(IF(N267="",-1,N267)&gt;=0)*(IF(N267="",-1,N267)&lt;=1),IF(C267="peso_corporal",IF(ISNUMBER(E267),E267,0)+L267,L267)*M267*1000+L267,0)=W267,3,IF(IF((J267&gt;0)*(IF(K267="",-1,K267)&gt;=0)*(IF(K267="",-1,K267)&lt;=1),IF(C267="peso_corporal",IF(ISNUMBER(E267),E267,0)+I267,I267)*J267*1000+I267,0)=W267,2,IF(IF((G267&gt;0)*(IF(H267="",-1,H267)&gt;=0)*(IF(H267="",-1,H267)&lt;=1),IF(C267="peso_corporal",IF(ISNUMBER(E267),E267,0)+F267,F267)*G267*1000+F267,0)=W267,1,0))))))</f>
        <v>0</v>
      </c>
      <c r="Y267" s="69">
        <f>MAX(IF((G267&gt;0)*(IF(H267="",-1,H267)=0)*(1-(IF(H267="",-1,H267)&gt;=0)*(IF(H267="",-1,H267)&lt;=1)),IF(C267="peso_corporal",IF(ISNUMBER(E267),E267,0)+F267,F267)*G267*1000+F267,0),IF((J267&gt;0)*(IF(K267="",-1,K267)=0)*(1-(IF(K267="",-1,K267)&gt;=0)*(IF(K267="",-1,K267)&lt;=1)),IF(C267="peso_corporal",IF(ISNUMBER(E267),E267,0)+I267,I267)*J267*1000+I267,0),IF((M267&gt;0)*(IF(N267="",-1,N267)=0)*(1-(IF(N267="",-1,N267)&gt;=0)*(IF(N267="",-1,N267)&lt;=1)),IF(C267="peso_corporal",IF(ISNUMBER(E267),E267,0)+L267,L267)*M267*1000+L267,0),IF((P267&gt;0)*(IF(Q267="",-1,Q267)=0)*(1-(IF(Q267="",-1,Q267)&gt;=0)*(IF(Q267="",-1,Q267)&lt;=1)),IF(C267="peso_corporal",IF(ISNUMBER(E267),E267,0)+O267,O267)*P267*1000+O267,0),IF((S267&gt;0)*(IF(T267="",-1,T267)=0)*(1-(IF(T267="",-1,T267)&gt;=0)*(IF(T267="",-1,T267)&lt;=1)),IF(C267="peso_corporal",IF(ISNUMBER(E267),E267,0)+R267,R267)*S267*1000+R267,0))</f>
        <v>0</v>
      </c>
      <c r="Z267" s="69">
        <f>IF(Y267=0,0,IF(IF((S267&gt;0)*(IF(T267="",-1,T267)=0)*(1-(IF(T267="",-1,T267)&gt;=0)*(IF(T267="",-1,T267)&lt;=1)),IF(C267="peso_corporal",IF(ISNUMBER(E267),E267,0)+R267,R267)*S267*1000+R267,0)=Y267,5,IF(IF((P267&gt;0)*(IF(Q267="",-1,Q267)=0)*(1-(IF(Q267="",-1,Q267)&gt;=0)*(IF(Q267="",-1,Q267)&lt;=1)),IF(C267="peso_corporal",IF(ISNUMBER(E267),E267,0)+O267,O267)*P267*1000+O267,0)=Y267,4,IF(IF((M267&gt;0)*(IF(N267="",-1,N267)=0)*(1-(IF(N267="",-1,N267)&gt;=0)*(IF(N267="",-1,N267)&lt;=1)),IF(C267="peso_corporal",IF(ISNUMBER(E267),E267,0)+L267,L267)*M267*1000+L267,0)=Y267,3,IF(IF((J267&gt;0)*(IF(K267="",-1,K267)=0)*(1-(IF(K267="",-1,K267)&gt;=0)*(IF(K267="",-1,K267)&lt;=1)),IF(C267="peso_corporal",IF(ISNUMBER(E267),E267,0)+I267,I267)*J267*1000+I267,0)=Y267,2,IF(IF((G267&gt;0)*(IF(H267="",-1,H267)=0)*(1-(IF(H267="",-1,H267)&gt;=0)*(IF(H267="",-1,H267)&lt;=1)),IF(C267="peso_corporal",IF(ISNUMBER(E267),E267,0)+F267,F267)*G267*1000+F267,0)=Y267,1,0))))))</f>
        <v>0</v>
      </c>
      <c r="AA267" s="69">
        <f>MAX(IF((G267&gt;=3)*(1-(IF(H267="",-1,H267)&gt;=0)*(IF(H267="",-1,H267)&lt;=1))*(1-(IF(H267="",-1,H267)=0)),IF(C267="peso_corporal",IF(ISNUMBER(E267),E267,0)+F267,F267)*(30+G267)*100+F267,0),IF((J267&gt;=3)*(1-(IF(K267="",-1,K267)&gt;=0)*(IF(K267="",-1,K267)&lt;=1))*(1-(IF(K267="",-1,K267)=0)),IF(C267="peso_corporal",IF(ISNUMBER(E267),E267,0)+I267,I267)*(30+J267)*100+I267,0),IF((M267&gt;=3)*(1-(IF(N267="",-1,N267)&gt;=0)*(IF(N267="",-1,N267)&lt;=1))*(1-(IF(N267="",-1,N267)=0)),IF(C267="peso_corporal",IF(ISNUMBER(E267),E267,0)+L267,L267)*(30+M267)*100+L267,0),IF((P267&gt;=3)*(1-(IF(Q267="",-1,Q267)&gt;=0)*(IF(Q267="",-1,Q267)&lt;=1))*(1-(IF(Q267="",-1,Q267)=0)),IF(C267="peso_corporal",IF(ISNUMBER(E267),E267,0)+O267,O267)*(30+P267)*100+O267,0),IF((S267&gt;=3)*(1-(IF(T267="",-1,T267)&gt;=0)*(IF(T267="",-1,T267)&lt;=1))*(1-(IF(T267="",-1,T267)=0)),IF(C267="peso_corporal",IF(ISNUMBER(E267),E267,0)+R267,R267)*(30+S267)*100+R267,0))</f>
        <v>0</v>
      </c>
      <c r="AB267" s="69">
        <f>IF(AA267=0,0,IF(IF((S267&gt;=3)*(1-(IF(T267="",-1,T267)&gt;=0)*(IF(T267="",-1,T267)&lt;=1))*(1-(IF(T267="",-1,T267)=0)),IF(C267="peso_corporal",IF(ISNUMBER(E267),E267,0)+R267,R267)*(30+S267)*100+R267,0)=AA267,5,IF(IF((P267&gt;=3)*(1-(IF(Q267="",-1,Q267)&gt;=0)*(IF(Q267="",-1,Q267)&lt;=1))*(1-(IF(Q267="",-1,Q267)=0)),IF(C267="peso_corporal",IF(ISNUMBER(E267),E267,0)+O267,O267)*(30+P267)*100+O267,0)=AA267,4,IF(IF((M267&gt;=3)*(1-(IF(N267="",-1,N267)&gt;=0)*(IF(N267="",-1,N267)&lt;=1))*(1-(IF(N267="",-1,N267)=0)),IF(C267="peso_corporal",IF(ISNUMBER(E267),E267,0)+L267,L267)*(30+M267)*100+L267,0)=AA267,3,IF(IF((J267&gt;=3)*(1-(IF(K267="",-1,K267)&gt;=0)*(IF(K267="",-1,K267)&lt;=1))*(1-(IF(K267="",-1,K267)=0)),IF(C267="peso_corporal",IF(ISNUMBER(E267),E267,0)+I267,I267)*(30+J267)*100+I267,0)=AA267,2,IF(IF((G267&gt;=3)*(1-(IF(H267="",-1,H267)&gt;=0)*(IF(H267="",-1,H267)&lt;=1))*(1-(IF(H267="",-1,H267)=0)),IF(C267="peso_corporal",IF(ISNUMBER(E267),E267,0)+F267,F267)*(30+G267)*100+F267,0)=AA267,1,0))))))</f>
        <v>0</v>
      </c>
      <c r="AC267" s="69" t="str">
        <f>IF(X267&gt;0,"A"&amp;X267,IF(Z267&gt;0,"B"&amp;Z267,IF(AB267&gt;0,"C"&amp;AB267,"")))</f>
        <v/>
      </c>
    </row>
    <row r="268" spans="1:29" ht="15" customHeight="1">
      <c r="A268" s="75" t="s">
        <v>28</v>
      </c>
      <c r="B268" s="73"/>
      <c r="C268" s="73"/>
      <c r="D268" s="73"/>
      <c r="E268" s="73"/>
      <c r="F268" s="73"/>
      <c r="G268" s="73"/>
      <c r="H268" s="73"/>
      <c r="I268" s="73"/>
      <c r="J268" s="73"/>
      <c r="K268" s="73"/>
      <c r="L268" s="73"/>
      <c r="M268" s="73"/>
      <c r="N268" s="73"/>
      <c r="O268" s="73"/>
      <c r="P268" s="73"/>
      <c r="Q268" s="73"/>
      <c r="R268" s="73"/>
      <c r="S268" s="73"/>
      <c r="T268" s="73"/>
      <c r="U268" s="73"/>
      <c r="V268" s="73"/>
      <c r="W268" s="69"/>
      <c r="X268" s="69"/>
      <c r="Y268" s="69"/>
      <c r="Z268" s="69"/>
      <c r="AA268" s="69"/>
      <c r="AB268" s="69"/>
      <c r="AC268" s="69"/>
    </row>
    <row r="269" spans="1:29" ht="11.1" customHeight="1">
      <c r="A269" s="76" t="s">
        <v>29</v>
      </c>
      <c r="B269" s="73"/>
      <c r="C269" s="73"/>
      <c r="D269" s="73"/>
      <c r="E269" s="73"/>
      <c r="F269" s="73"/>
      <c r="G269" s="73"/>
      <c r="H269" s="73"/>
      <c r="I269" s="73"/>
      <c r="J269" s="73"/>
      <c r="K269" s="73"/>
      <c r="L269" s="73"/>
      <c r="M269" s="73"/>
      <c r="N269" s="73"/>
      <c r="O269" s="73"/>
      <c r="P269" s="73"/>
      <c r="Q269" s="73"/>
      <c r="R269" s="73"/>
      <c r="S269" s="73"/>
      <c r="T269" s="73"/>
      <c r="U269" s="73"/>
      <c r="V269" s="73"/>
      <c r="W269" s="69"/>
      <c r="X269" s="69"/>
      <c r="Y269" s="69"/>
      <c r="Z269" s="69"/>
      <c r="AA269" s="69"/>
      <c r="AB269" s="69"/>
      <c r="AC269" s="69"/>
    </row>
    <row r="270" spans="1:29" ht="20.100000000000001" customHeight="1">
      <c r="A270" s="14" t="s">
        <v>30</v>
      </c>
      <c r="B270" s="15" t="s">
        <v>31</v>
      </c>
      <c r="C270" s="16" t="str">
        <f>IFERROR(INDEX(EJERCICIOS!$D$3:$D$75,MATCH(A270&amp;"|"&amp;B270,EJERCICIOS!$G$3:$G$75,0)),"--")</f>
        <v>mancuerna</v>
      </c>
      <c r="D270" s="17">
        <v>3</v>
      </c>
      <c r="E270" s="18">
        <f>IFERROR(LOOKUP(2,1/(MEDIDAS_Y_PESO!$B$3:$B$13&lt;&gt;""),MEDIDAS_Y_PESO!$B$3:$B$13),"--")</f>
        <v>80</v>
      </c>
      <c r="F270" s="19"/>
      <c r="G270" s="20"/>
      <c r="H270" s="21"/>
      <c r="I270" s="19"/>
      <c r="J270" s="20"/>
      <c r="K270" s="21"/>
      <c r="L270" s="19"/>
      <c r="M270" s="20"/>
      <c r="N270" s="21"/>
      <c r="O270" s="19"/>
      <c r="P270" s="20"/>
      <c r="Q270" s="21"/>
      <c r="R270" s="19"/>
      <c r="S270" s="20"/>
      <c r="T270" s="21"/>
      <c r="U270" s="22" t="str">
        <f>IFERROR(IF(IF(X270&gt;0,X270,IF(Z270&gt;0,Z270,IF(AB270&gt;0,AB270,0)))=0,"--",ROUND(CHOOSE(IF(X270&gt;0,X270,IF(Z270&gt;0,Z270,IF(AB270&gt;0,AB270,0))),IF(C270="peso_corporal",IF(ISNUMBER(E270),E270,0)+F270,F270)*(1+G270/30),IF(C270="peso_corporal",IF(ISNUMBER(E270),E270,0)+I270,I270)*(1+J270/30),IF(C270="peso_corporal",IF(ISNUMBER(E270),E270,0)+L270,L270)*(1+M270/30),IF(C270="peso_corporal",IF(ISNUMBER(E270),E270,0)+O270,O270)*(1+P270/30),IF(C270="peso_corporal",IF(ISNUMBER(E270),E270,0)+R270,R270)*(1+S270/30)),1)),"--")</f>
        <v>--</v>
      </c>
      <c r="V270" s="23" t="str">
        <f>IF(SUGERENCIAS!N676="SIN","Sin datos anteriores",IF(SUGERENCIAS!N676="SUBIR_F","^ SUBIR FUERTE | Kg:"&amp;ROUND(SUGERENCIAS!K676,1)&amp;" R:"&amp;ROUND(SUGERENCIAS!L676,0)&amp;" RIR:"&amp;ROUND(SUGERENCIAS!M676,0),IF(SUGERENCIAS!N676="SUBIR_E","^ SUBIR (Est.) | Kg:"&amp;ROUND(SUGERENCIAS!K676,1)&amp;" R:"&amp;ROUND(SUGERENCIAS!L676,0)&amp;" RIR:"&amp;ROUND(SUGERENCIAS!M676,0),IF(SUGERENCIAS!N676="SUBIR","^ SUBIR | Kg:"&amp;ROUND(SUGERENCIAS!K676,1)&amp;" R:"&amp;ROUND(SUGERENCIAS!L676,0)&amp;" RIR:"&amp;ROUND(SUGERENCIAS!M676,0),IF(SUGERENCIAS!N676="BAJAR","v BAJAR | Kg:"&amp;ROUND(SUGERENCIAS!K676,1)&amp;" R:"&amp;ROUND(SUGERENCIAS!L676,0)&amp;" RIR:"&amp;ROUND(SUGERENCIAS!M676,0),"= MANT | Kg:"&amp;ROUND(SUGERENCIAS!K676,1)&amp;" R:"&amp;ROUND(SUGERENCIAS!L676,0)&amp;" RIR:"&amp;ROUND(SUGERENCIAS!M676,0))))))</f>
        <v>Sin datos anteriores</v>
      </c>
      <c r="W270" s="69">
        <f>MAX(IF((G270&gt;0)*(IF(H270="",-1,H270)&gt;=0)*(IF(H270="",-1,H270)&lt;=1),IF(C270="peso_corporal",IF(ISNUMBER(E270),E270,0)+F270,F270)*G270*1000+F270,0),IF((J270&gt;0)*(IF(K270="",-1,K270)&gt;=0)*(IF(K270="",-1,K270)&lt;=1),IF(C270="peso_corporal",IF(ISNUMBER(E270),E270,0)+I270,I270)*J270*1000+I270,0),IF((M270&gt;0)*(IF(N270="",-1,N270)&gt;=0)*(IF(N270="",-1,N270)&lt;=1),IF(C270="peso_corporal",IF(ISNUMBER(E270),E270,0)+L270,L270)*M270*1000+L270,0),IF((P270&gt;0)*(IF(Q270="",-1,Q270)&gt;=0)*(IF(Q270="",-1,Q270)&lt;=1),IF(C270="peso_corporal",IF(ISNUMBER(E270),E270,0)+O270,O270)*P270*1000+O270,0),IF((S270&gt;0)*(IF(T270="",-1,T270)&gt;=0)*(IF(T270="",-1,T270)&lt;=1),IF(C270="peso_corporal",IF(ISNUMBER(E270),E270,0)+R270,R270)*S270*1000+R270,0))</f>
        <v>0</v>
      </c>
      <c r="X270" s="69">
        <f>IF(W270=0,0,IF(IF((S270&gt;0)*(IF(T270="",-1,T270)&gt;=0)*(IF(T270="",-1,T270)&lt;=1),IF(C270="peso_corporal",IF(ISNUMBER(E270),E270,0)+R270,R270)*S270*1000+R270,0)=W270,5,IF(IF((P270&gt;0)*(IF(Q270="",-1,Q270)&gt;=0)*(IF(Q270="",-1,Q270)&lt;=1),IF(C270="peso_corporal",IF(ISNUMBER(E270),E270,0)+O270,O270)*P270*1000+O270,0)=W270,4,IF(IF((M270&gt;0)*(IF(N270="",-1,N270)&gt;=0)*(IF(N270="",-1,N270)&lt;=1),IF(C270="peso_corporal",IF(ISNUMBER(E270),E270,0)+L270,L270)*M270*1000+L270,0)=W270,3,IF(IF((J270&gt;0)*(IF(K270="",-1,K270)&gt;=0)*(IF(K270="",-1,K270)&lt;=1),IF(C270="peso_corporal",IF(ISNUMBER(E270),E270,0)+I270,I270)*J270*1000+I270,0)=W270,2,IF(IF((G270&gt;0)*(IF(H270="",-1,H270)&gt;=0)*(IF(H270="",-1,H270)&lt;=1),IF(C270="peso_corporal",IF(ISNUMBER(E270),E270,0)+F270,F270)*G270*1000+F270,0)=W270,1,0))))))</f>
        <v>0</v>
      </c>
      <c r="Y270" s="69">
        <f>MAX(IF((G270&gt;0)*(IF(H270="",-1,H270)=0)*(1-(IF(H270="",-1,H270)&gt;=0)*(IF(H270="",-1,H270)&lt;=1)),IF(C270="peso_corporal",IF(ISNUMBER(E270),E270,0)+F270,F270)*G270*1000+F270,0),IF((J270&gt;0)*(IF(K270="",-1,K270)=0)*(1-(IF(K270="",-1,K270)&gt;=0)*(IF(K270="",-1,K270)&lt;=1)),IF(C270="peso_corporal",IF(ISNUMBER(E270),E270,0)+I270,I270)*J270*1000+I270,0),IF((M270&gt;0)*(IF(N270="",-1,N270)=0)*(1-(IF(N270="",-1,N270)&gt;=0)*(IF(N270="",-1,N270)&lt;=1)),IF(C270="peso_corporal",IF(ISNUMBER(E270),E270,0)+L270,L270)*M270*1000+L270,0),IF((P270&gt;0)*(IF(Q270="",-1,Q270)=0)*(1-(IF(Q270="",-1,Q270)&gt;=0)*(IF(Q270="",-1,Q270)&lt;=1)),IF(C270="peso_corporal",IF(ISNUMBER(E270),E270,0)+O270,O270)*P270*1000+O270,0),IF((S270&gt;0)*(IF(T270="",-1,T270)=0)*(1-(IF(T270="",-1,T270)&gt;=0)*(IF(T270="",-1,T270)&lt;=1)),IF(C270="peso_corporal",IF(ISNUMBER(E270),E270,0)+R270,R270)*S270*1000+R270,0))</f>
        <v>0</v>
      </c>
      <c r="Z270" s="69">
        <f>IF(Y270=0,0,IF(IF((S270&gt;0)*(IF(T270="",-1,T270)=0)*(1-(IF(T270="",-1,T270)&gt;=0)*(IF(T270="",-1,T270)&lt;=1)),IF(C270="peso_corporal",IF(ISNUMBER(E270),E270,0)+R270,R270)*S270*1000+R270,0)=Y270,5,IF(IF((P270&gt;0)*(IF(Q270="",-1,Q270)=0)*(1-(IF(Q270="",-1,Q270)&gt;=0)*(IF(Q270="",-1,Q270)&lt;=1)),IF(C270="peso_corporal",IF(ISNUMBER(E270),E270,0)+O270,O270)*P270*1000+O270,0)=Y270,4,IF(IF((M270&gt;0)*(IF(N270="",-1,N270)=0)*(1-(IF(N270="",-1,N270)&gt;=0)*(IF(N270="",-1,N270)&lt;=1)),IF(C270="peso_corporal",IF(ISNUMBER(E270),E270,0)+L270,L270)*M270*1000+L270,0)=Y270,3,IF(IF((J270&gt;0)*(IF(K270="",-1,K270)=0)*(1-(IF(K270="",-1,K270)&gt;=0)*(IF(K270="",-1,K270)&lt;=1)),IF(C270="peso_corporal",IF(ISNUMBER(E270),E270,0)+I270,I270)*J270*1000+I270,0)=Y270,2,IF(IF((G270&gt;0)*(IF(H270="",-1,H270)=0)*(1-(IF(H270="",-1,H270)&gt;=0)*(IF(H270="",-1,H270)&lt;=1)),IF(C270="peso_corporal",IF(ISNUMBER(E270),E270,0)+F270,F270)*G270*1000+F270,0)=Y270,1,0))))))</f>
        <v>0</v>
      </c>
      <c r="AA270" s="69">
        <f>MAX(IF((G270&gt;=3)*(1-(IF(H270="",-1,H270)&gt;=0)*(IF(H270="",-1,H270)&lt;=1))*(1-(IF(H270="",-1,H270)=0)),IF(C270="peso_corporal",IF(ISNUMBER(E270),E270,0)+F270,F270)*(30+G270)*100+F270,0),IF((J270&gt;=3)*(1-(IF(K270="",-1,K270)&gt;=0)*(IF(K270="",-1,K270)&lt;=1))*(1-(IF(K270="",-1,K270)=0)),IF(C270="peso_corporal",IF(ISNUMBER(E270),E270,0)+I270,I270)*(30+J270)*100+I270,0),IF((M270&gt;=3)*(1-(IF(N270="",-1,N270)&gt;=0)*(IF(N270="",-1,N270)&lt;=1))*(1-(IF(N270="",-1,N270)=0)),IF(C270="peso_corporal",IF(ISNUMBER(E270),E270,0)+L270,L270)*(30+M270)*100+L270,0),IF((P270&gt;=3)*(1-(IF(Q270="",-1,Q270)&gt;=0)*(IF(Q270="",-1,Q270)&lt;=1))*(1-(IF(Q270="",-1,Q270)=0)),IF(C270="peso_corporal",IF(ISNUMBER(E270),E270,0)+O270,O270)*(30+P270)*100+O270,0),IF((S270&gt;=3)*(1-(IF(T270="",-1,T270)&gt;=0)*(IF(T270="",-1,T270)&lt;=1))*(1-(IF(T270="",-1,T270)=0)),IF(C270="peso_corporal",IF(ISNUMBER(E270),E270,0)+R270,R270)*(30+S270)*100+R270,0))</f>
        <v>0</v>
      </c>
      <c r="AB270" s="69">
        <f>IF(AA270=0,0,IF(IF((S270&gt;=3)*(1-(IF(T270="",-1,T270)&gt;=0)*(IF(T270="",-1,T270)&lt;=1))*(1-(IF(T270="",-1,T270)=0)),IF(C270="peso_corporal",IF(ISNUMBER(E270),E270,0)+R270,R270)*(30+S270)*100+R270,0)=AA270,5,IF(IF((P270&gt;=3)*(1-(IF(Q270="",-1,Q270)&gt;=0)*(IF(Q270="",-1,Q270)&lt;=1))*(1-(IF(Q270="",-1,Q270)=0)),IF(C270="peso_corporal",IF(ISNUMBER(E270),E270,0)+O270,O270)*(30+P270)*100+O270,0)=AA270,4,IF(IF((M270&gt;=3)*(1-(IF(N270="",-1,N270)&gt;=0)*(IF(N270="",-1,N270)&lt;=1))*(1-(IF(N270="",-1,N270)=0)),IF(C270="peso_corporal",IF(ISNUMBER(E270),E270,0)+L270,L270)*(30+M270)*100+L270,0)=AA270,3,IF(IF((J270&gt;=3)*(1-(IF(K270="",-1,K270)&gt;=0)*(IF(K270="",-1,K270)&lt;=1))*(1-(IF(K270="",-1,K270)=0)),IF(C270="peso_corporal",IF(ISNUMBER(E270),E270,0)+I270,I270)*(30+J270)*100+I270,0)=AA270,2,IF(IF((G270&gt;=3)*(1-(IF(H270="",-1,H270)&gt;=0)*(IF(H270="",-1,H270)&lt;=1))*(1-(IF(H270="",-1,H270)=0)),IF(C270="peso_corporal",IF(ISNUMBER(E270),E270,0)+F270,F270)*(30+G270)*100+F270,0)=AA270,1,0))))))</f>
        <v>0</v>
      </c>
      <c r="AC270" s="69" t="str">
        <f>IF(X270&gt;0,"A"&amp;X270,IF(Z270&gt;0,"B"&amp;Z270,IF(AB270&gt;0,"C"&amp;AB270,"")))</f>
        <v/>
      </c>
    </row>
    <row r="271" spans="1:29" ht="11.1" customHeight="1">
      <c r="A271" s="84" t="s">
        <v>32</v>
      </c>
      <c r="B271" s="73"/>
      <c r="C271" s="73"/>
      <c r="D271" s="73"/>
      <c r="E271" s="73"/>
      <c r="F271" s="73"/>
      <c r="G271" s="73"/>
      <c r="H271" s="73"/>
      <c r="I271" s="73"/>
      <c r="J271" s="73"/>
      <c r="K271" s="73"/>
      <c r="L271" s="73"/>
      <c r="M271" s="73"/>
      <c r="N271" s="73"/>
      <c r="O271" s="73"/>
      <c r="P271" s="73"/>
      <c r="Q271" s="73"/>
      <c r="R271" s="73"/>
      <c r="S271" s="73"/>
      <c r="T271" s="73"/>
      <c r="U271" s="73"/>
      <c r="V271" s="73"/>
      <c r="W271" s="69"/>
      <c r="X271" s="69"/>
      <c r="Y271" s="69"/>
      <c r="Z271" s="69"/>
      <c r="AA271" s="69"/>
      <c r="AB271" s="69"/>
      <c r="AC271" s="69"/>
    </row>
    <row r="272" spans="1:29" ht="20.100000000000001" customHeight="1">
      <c r="A272" s="14" t="s">
        <v>61</v>
      </c>
      <c r="B272" s="15" t="s">
        <v>93</v>
      </c>
      <c r="C272" s="16" t="str">
        <f>IFERROR(INDEX(EJERCICIOS!$D$3:$D$75,MATCH(A272&amp;"|"&amp;B272,EJERCICIOS!$G$3:$G$75,0)),"--")</f>
        <v>disco</v>
      </c>
      <c r="D272" s="17">
        <v>3</v>
      </c>
      <c r="E272" s="18">
        <f>IFERROR(LOOKUP(2,1/(MEDIDAS_Y_PESO!$B$3:$B$13&lt;&gt;""),MEDIDAS_Y_PESO!$B$3:$B$13),"--")</f>
        <v>80</v>
      </c>
      <c r="F272" s="19"/>
      <c r="G272" s="20"/>
      <c r="H272" s="21"/>
      <c r="I272" s="19"/>
      <c r="J272" s="20"/>
      <c r="K272" s="21"/>
      <c r="L272" s="19"/>
      <c r="M272" s="20"/>
      <c r="N272" s="21"/>
      <c r="O272" s="19"/>
      <c r="P272" s="20"/>
      <c r="Q272" s="21"/>
      <c r="R272" s="19"/>
      <c r="S272" s="20"/>
      <c r="T272" s="21"/>
      <c r="U272" s="22" t="str">
        <f>IFERROR(IF(IF(X272&gt;0,X272,IF(Z272&gt;0,Z272,IF(AB272&gt;0,AB272,0)))=0,"--",ROUND(CHOOSE(IF(X272&gt;0,X272,IF(Z272&gt;0,Z272,IF(AB272&gt;0,AB272,0))),IF(C272="peso_corporal",IF(ISNUMBER(E272),E272,0)+F272,F272)*(1+G272/30),IF(C272="peso_corporal",IF(ISNUMBER(E272),E272,0)+I272,I272)*(1+J272/30),IF(C272="peso_corporal",IF(ISNUMBER(E272),E272,0)+L272,L272)*(1+M272/30),IF(C272="peso_corporal",IF(ISNUMBER(E272),E272,0)+O272,O272)*(1+P272/30),IF(C272="peso_corporal",IF(ISNUMBER(E272),E272,0)+R272,R272)*(1+S272/30)),1)),"--")</f>
        <v>--</v>
      </c>
      <c r="V272" s="23" t="str">
        <f>IF(SUGERENCIAS!N677="SIN","Sin datos anteriores",IF(SUGERENCIAS!N677="SUBIR_F","^ SUBIR FUERTE | Kg:"&amp;ROUND(SUGERENCIAS!K677,1)&amp;" R:"&amp;ROUND(SUGERENCIAS!L677,0)&amp;" RIR:"&amp;ROUND(SUGERENCIAS!M677,0),IF(SUGERENCIAS!N677="SUBIR_E","^ SUBIR (Est.) | Kg:"&amp;ROUND(SUGERENCIAS!K677,1)&amp;" R:"&amp;ROUND(SUGERENCIAS!L677,0)&amp;" RIR:"&amp;ROUND(SUGERENCIAS!M677,0),IF(SUGERENCIAS!N677="SUBIR","^ SUBIR | Kg:"&amp;ROUND(SUGERENCIAS!K677,1)&amp;" R:"&amp;ROUND(SUGERENCIAS!L677,0)&amp;" RIR:"&amp;ROUND(SUGERENCIAS!M677,0),IF(SUGERENCIAS!N677="BAJAR","v BAJAR | Kg:"&amp;ROUND(SUGERENCIAS!K677,1)&amp;" R:"&amp;ROUND(SUGERENCIAS!L677,0)&amp;" RIR:"&amp;ROUND(SUGERENCIAS!M677,0),"= MANT | Kg:"&amp;ROUND(SUGERENCIAS!K677,1)&amp;" R:"&amp;ROUND(SUGERENCIAS!L677,0)&amp;" RIR:"&amp;ROUND(SUGERENCIAS!M677,0))))))</f>
        <v>Sin datos anteriores</v>
      </c>
      <c r="W272" s="69">
        <f>MAX(IF((G272&gt;0)*(IF(H272="",-1,H272)&gt;=0)*(IF(H272="",-1,H272)&lt;=1),IF(C272="peso_corporal",IF(ISNUMBER(E272),E272,0)+F272,F272)*G272*1000+F272,0),IF((J272&gt;0)*(IF(K272="",-1,K272)&gt;=0)*(IF(K272="",-1,K272)&lt;=1),IF(C272="peso_corporal",IF(ISNUMBER(E272),E272,0)+I272,I272)*J272*1000+I272,0),IF((M272&gt;0)*(IF(N272="",-1,N272)&gt;=0)*(IF(N272="",-1,N272)&lt;=1),IF(C272="peso_corporal",IF(ISNUMBER(E272),E272,0)+L272,L272)*M272*1000+L272,0),IF((P272&gt;0)*(IF(Q272="",-1,Q272)&gt;=0)*(IF(Q272="",-1,Q272)&lt;=1),IF(C272="peso_corporal",IF(ISNUMBER(E272),E272,0)+O272,O272)*P272*1000+O272,0),IF((S272&gt;0)*(IF(T272="",-1,T272)&gt;=0)*(IF(T272="",-1,T272)&lt;=1),IF(C272="peso_corporal",IF(ISNUMBER(E272),E272,0)+R272,R272)*S272*1000+R272,0))</f>
        <v>0</v>
      </c>
      <c r="X272" s="69">
        <f>IF(W272=0,0,IF(IF((S272&gt;0)*(IF(T272="",-1,T272)&gt;=0)*(IF(T272="",-1,T272)&lt;=1),IF(C272="peso_corporal",IF(ISNUMBER(E272),E272,0)+R272,R272)*S272*1000+R272,0)=W272,5,IF(IF((P272&gt;0)*(IF(Q272="",-1,Q272)&gt;=0)*(IF(Q272="",-1,Q272)&lt;=1),IF(C272="peso_corporal",IF(ISNUMBER(E272),E272,0)+O272,O272)*P272*1000+O272,0)=W272,4,IF(IF((M272&gt;0)*(IF(N272="",-1,N272)&gt;=0)*(IF(N272="",-1,N272)&lt;=1),IF(C272="peso_corporal",IF(ISNUMBER(E272),E272,0)+L272,L272)*M272*1000+L272,0)=W272,3,IF(IF((J272&gt;0)*(IF(K272="",-1,K272)&gt;=0)*(IF(K272="",-1,K272)&lt;=1),IF(C272="peso_corporal",IF(ISNUMBER(E272),E272,0)+I272,I272)*J272*1000+I272,0)=W272,2,IF(IF((G272&gt;0)*(IF(H272="",-1,H272)&gt;=0)*(IF(H272="",-1,H272)&lt;=1),IF(C272="peso_corporal",IF(ISNUMBER(E272),E272,0)+F272,F272)*G272*1000+F272,0)=W272,1,0))))))</f>
        <v>0</v>
      </c>
      <c r="Y272" s="69">
        <f>MAX(IF((G272&gt;0)*(IF(H272="",-1,H272)=0)*(1-(IF(H272="",-1,H272)&gt;=0)*(IF(H272="",-1,H272)&lt;=1)),IF(C272="peso_corporal",IF(ISNUMBER(E272),E272,0)+F272,F272)*G272*1000+F272,0),IF((J272&gt;0)*(IF(K272="",-1,K272)=0)*(1-(IF(K272="",-1,K272)&gt;=0)*(IF(K272="",-1,K272)&lt;=1)),IF(C272="peso_corporal",IF(ISNUMBER(E272),E272,0)+I272,I272)*J272*1000+I272,0),IF((M272&gt;0)*(IF(N272="",-1,N272)=0)*(1-(IF(N272="",-1,N272)&gt;=0)*(IF(N272="",-1,N272)&lt;=1)),IF(C272="peso_corporal",IF(ISNUMBER(E272),E272,0)+L272,L272)*M272*1000+L272,0),IF((P272&gt;0)*(IF(Q272="",-1,Q272)=0)*(1-(IF(Q272="",-1,Q272)&gt;=0)*(IF(Q272="",-1,Q272)&lt;=1)),IF(C272="peso_corporal",IF(ISNUMBER(E272),E272,0)+O272,O272)*P272*1000+O272,0),IF((S272&gt;0)*(IF(T272="",-1,T272)=0)*(1-(IF(T272="",-1,T272)&gt;=0)*(IF(T272="",-1,T272)&lt;=1)),IF(C272="peso_corporal",IF(ISNUMBER(E272),E272,0)+R272,R272)*S272*1000+R272,0))</f>
        <v>0</v>
      </c>
      <c r="Z272" s="69">
        <f>IF(Y272=0,0,IF(IF((S272&gt;0)*(IF(T272="",-1,T272)=0)*(1-(IF(T272="",-1,T272)&gt;=0)*(IF(T272="",-1,T272)&lt;=1)),IF(C272="peso_corporal",IF(ISNUMBER(E272),E272,0)+R272,R272)*S272*1000+R272,0)=Y272,5,IF(IF((P272&gt;0)*(IF(Q272="",-1,Q272)=0)*(1-(IF(Q272="",-1,Q272)&gt;=0)*(IF(Q272="",-1,Q272)&lt;=1)),IF(C272="peso_corporal",IF(ISNUMBER(E272),E272,0)+O272,O272)*P272*1000+O272,0)=Y272,4,IF(IF((M272&gt;0)*(IF(N272="",-1,N272)=0)*(1-(IF(N272="",-1,N272)&gt;=0)*(IF(N272="",-1,N272)&lt;=1)),IF(C272="peso_corporal",IF(ISNUMBER(E272),E272,0)+L272,L272)*M272*1000+L272,0)=Y272,3,IF(IF((J272&gt;0)*(IF(K272="",-1,K272)=0)*(1-(IF(K272="",-1,K272)&gt;=0)*(IF(K272="",-1,K272)&lt;=1)),IF(C272="peso_corporal",IF(ISNUMBER(E272),E272,0)+I272,I272)*J272*1000+I272,0)=Y272,2,IF(IF((G272&gt;0)*(IF(H272="",-1,H272)=0)*(1-(IF(H272="",-1,H272)&gt;=0)*(IF(H272="",-1,H272)&lt;=1)),IF(C272="peso_corporal",IF(ISNUMBER(E272),E272,0)+F272,F272)*G272*1000+F272,0)=Y272,1,0))))))</f>
        <v>0</v>
      </c>
      <c r="AA272" s="69">
        <f>MAX(IF((G272&gt;=3)*(1-(IF(H272="",-1,H272)&gt;=0)*(IF(H272="",-1,H272)&lt;=1))*(1-(IF(H272="",-1,H272)=0)),IF(C272="peso_corporal",IF(ISNUMBER(E272),E272,0)+F272,F272)*(30+G272)*100+F272,0),IF((J272&gt;=3)*(1-(IF(K272="",-1,K272)&gt;=0)*(IF(K272="",-1,K272)&lt;=1))*(1-(IF(K272="",-1,K272)=0)),IF(C272="peso_corporal",IF(ISNUMBER(E272),E272,0)+I272,I272)*(30+J272)*100+I272,0),IF((M272&gt;=3)*(1-(IF(N272="",-1,N272)&gt;=0)*(IF(N272="",-1,N272)&lt;=1))*(1-(IF(N272="",-1,N272)=0)),IF(C272="peso_corporal",IF(ISNUMBER(E272),E272,0)+L272,L272)*(30+M272)*100+L272,0),IF((P272&gt;=3)*(1-(IF(Q272="",-1,Q272)&gt;=0)*(IF(Q272="",-1,Q272)&lt;=1))*(1-(IF(Q272="",-1,Q272)=0)),IF(C272="peso_corporal",IF(ISNUMBER(E272),E272,0)+O272,O272)*(30+P272)*100+O272,0),IF((S272&gt;=3)*(1-(IF(T272="",-1,T272)&gt;=0)*(IF(T272="",-1,T272)&lt;=1))*(1-(IF(T272="",-1,T272)=0)),IF(C272="peso_corporal",IF(ISNUMBER(E272),E272,0)+R272,R272)*(30+S272)*100+R272,0))</f>
        <v>0</v>
      </c>
      <c r="AB272" s="69">
        <f>IF(AA272=0,0,IF(IF((S272&gt;=3)*(1-(IF(T272="",-1,T272)&gt;=0)*(IF(T272="",-1,T272)&lt;=1))*(1-(IF(T272="",-1,T272)=0)),IF(C272="peso_corporal",IF(ISNUMBER(E272),E272,0)+R272,R272)*(30+S272)*100+R272,0)=AA272,5,IF(IF((P272&gt;=3)*(1-(IF(Q272="",-1,Q272)&gt;=0)*(IF(Q272="",-1,Q272)&lt;=1))*(1-(IF(Q272="",-1,Q272)=0)),IF(C272="peso_corporal",IF(ISNUMBER(E272),E272,0)+O272,O272)*(30+P272)*100+O272,0)=AA272,4,IF(IF((M272&gt;=3)*(1-(IF(N272="",-1,N272)&gt;=0)*(IF(N272="",-1,N272)&lt;=1))*(1-(IF(N272="",-1,N272)=0)),IF(C272="peso_corporal",IF(ISNUMBER(E272),E272,0)+L272,L272)*(30+M272)*100+L272,0)=AA272,3,IF(IF((J272&gt;=3)*(1-(IF(K272="",-1,K272)&gt;=0)*(IF(K272="",-1,K272)&lt;=1))*(1-(IF(K272="",-1,K272)=0)),IF(C272="peso_corporal",IF(ISNUMBER(E272),E272,0)+I272,I272)*(30+J272)*100+I272,0)=AA272,2,IF(IF((G272&gt;=3)*(1-(IF(H272="",-1,H272)&gt;=0)*(IF(H272="",-1,H272)&lt;=1))*(1-(IF(H272="",-1,H272)=0)),IF(C272="peso_corporal",IF(ISNUMBER(E272),E272,0)+F272,F272)*(30+G272)*100+F272,0)=AA272,1,0))))))</f>
        <v>0</v>
      </c>
      <c r="AC272" s="69" t="str">
        <f>IF(X272&gt;0,"A"&amp;X272,IF(Z272&gt;0,"B"&amp;Z272,IF(AB272&gt;0,"C"&amp;AB272,"")))</f>
        <v/>
      </c>
    </row>
    <row r="273" spans="1:29" ht="11.1" customHeight="1">
      <c r="A273" s="87" t="s">
        <v>165</v>
      </c>
      <c r="B273" s="73"/>
      <c r="C273" s="73"/>
      <c r="D273" s="73"/>
      <c r="E273" s="73"/>
      <c r="F273" s="73"/>
      <c r="G273" s="73"/>
      <c r="H273" s="73"/>
      <c r="I273" s="73"/>
      <c r="J273" s="73"/>
      <c r="K273" s="73"/>
      <c r="L273" s="73"/>
      <c r="M273" s="73"/>
      <c r="N273" s="73"/>
      <c r="O273" s="73"/>
      <c r="P273" s="73"/>
      <c r="Q273" s="73"/>
      <c r="R273" s="73"/>
      <c r="S273" s="73"/>
      <c r="T273" s="73"/>
      <c r="U273" s="73"/>
      <c r="V273" s="73"/>
      <c r="W273" s="69"/>
      <c r="X273" s="69"/>
      <c r="Y273" s="69"/>
      <c r="Z273" s="69"/>
      <c r="AA273" s="69"/>
      <c r="AB273" s="69"/>
      <c r="AC273" s="69"/>
    </row>
    <row r="274" spans="1:29" ht="20.100000000000001" customHeight="1">
      <c r="A274" s="14" t="s">
        <v>62</v>
      </c>
      <c r="B274" s="15" t="s">
        <v>63</v>
      </c>
      <c r="C274" s="16" t="str">
        <f>IFERROR(INDEX(EJERCICIOS!$D$3:$D$75,MATCH(A274&amp;"|"&amp;B274,EJERCICIOS!$G$3:$G$75,0)),"--")</f>
        <v>--</v>
      </c>
      <c r="D274" s="17">
        <v>3</v>
      </c>
      <c r="E274" s="18">
        <f>IFERROR(LOOKUP(2,1/(MEDIDAS_Y_PESO!$B$3:$B$13&lt;&gt;""),MEDIDAS_Y_PESO!$B$3:$B$13),"--")</f>
        <v>80</v>
      </c>
      <c r="F274" s="19"/>
      <c r="G274" s="20"/>
      <c r="H274" s="21"/>
      <c r="I274" s="19"/>
      <c r="J274" s="20"/>
      <c r="K274" s="21"/>
      <c r="L274" s="19"/>
      <c r="M274" s="20"/>
      <c r="N274" s="21"/>
      <c r="O274" s="19"/>
      <c r="P274" s="20"/>
      <c r="Q274" s="21"/>
      <c r="R274" s="19"/>
      <c r="S274" s="20"/>
      <c r="T274" s="21"/>
      <c r="U274" s="22" t="str">
        <f>IFERROR(IF(IF(X274&gt;0,X274,IF(Z274&gt;0,Z274,IF(AB274&gt;0,AB274,0)))=0,"--",ROUND(CHOOSE(IF(X274&gt;0,X274,IF(Z274&gt;0,Z274,IF(AB274&gt;0,AB274,0))),IF(C274="peso_corporal",IF(ISNUMBER(E274),E274,0)+F274,F274)*(1+G274/30),IF(C274="peso_corporal",IF(ISNUMBER(E274),E274,0)+I274,I274)*(1+J274/30),IF(C274="peso_corporal",IF(ISNUMBER(E274),E274,0)+L274,L274)*(1+M274/30),IF(C274="peso_corporal",IF(ISNUMBER(E274),E274,0)+O274,O274)*(1+P274/30),IF(C274="peso_corporal",IF(ISNUMBER(E274),E274,0)+R274,R274)*(1+S274/30)),1)),"--")</f>
        <v>--</v>
      </c>
      <c r="V274" s="23" t="str">
        <f>IF(SUGERENCIAS!N678="SIN","Sin datos anteriores",IF(SUGERENCIAS!N678="SUBIR_F","^ SUBIR FUERTE | Kg:"&amp;ROUND(SUGERENCIAS!K678,1)&amp;" R:"&amp;ROUND(SUGERENCIAS!L678,0)&amp;" RIR:"&amp;ROUND(SUGERENCIAS!M678,0),IF(SUGERENCIAS!N678="SUBIR_E","^ SUBIR (Est.) | Kg:"&amp;ROUND(SUGERENCIAS!K678,1)&amp;" R:"&amp;ROUND(SUGERENCIAS!L678,0)&amp;" RIR:"&amp;ROUND(SUGERENCIAS!M678,0),IF(SUGERENCIAS!N678="SUBIR","^ SUBIR | Kg:"&amp;ROUND(SUGERENCIAS!K678,1)&amp;" R:"&amp;ROUND(SUGERENCIAS!L678,0)&amp;" RIR:"&amp;ROUND(SUGERENCIAS!M678,0),IF(SUGERENCIAS!N678="BAJAR","v BAJAR | Kg:"&amp;ROUND(SUGERENCIAS!K678,1)&amp;" R:"&amp;ROUND(SUGERENCIAS!L678,0)&amp;" RIR:"&amp;ROUND(SUGERENCIAS!M678,0),"= MANT | Kg:"&amp;ROUND(SUGERENCIAS!K678,1)&amp;" R:"&amp;ROUND(SUGERENCIAS!L678,0)&amp;" RIR:"&amp;ROUND(SUGERENCIAS!M678,0))))))</f>
        <v>Sin datos anteriores</v>
      </c>
      <c r="W274" s="69">
        <f>MAX(IF((G274&gt;0)*(IF(H274="",-1,H274)&gt;=0)*(IF(H274="",-1,H274)&lt;=1),IF(C274="peso_corporal",IF(ISNUMBER(E274),E274,0)+F274,F274)*G274*1000+F274,0),IF((J274&gt;0)*(IF(K274="",-1,K274)&gt;=0)*(IF(K274="",-1,K274)&lt;=1),IF(C274="peso_corporal",IF(ISNUMBER(E274),E274,0)+I274,I274)*J274*1000+I274,0),IF((M274&gt;0)*(IF(N274="",-1,N274)&gt;=0)*(IF(N274="",-1,N274)&lt;=1),IF(C274="peso_corporal",IF(ISNUMBER(E274),E274,0)+L274,L274)*M274*1000+L274,0),IF((P274&gt;0)*(IF(Q274="",-1,Q274)&gt;=0)*(IF(Q274="",-1,Q274)&lt;=1),IF(C274="peso_corporal",IF(ISNUMBER(E274),E274,0)+O274,O274)*P274*1000+O274,0),IF((S274&gt;0)*(IF(T274="",-1,T274)&gt;=0)*(IF(T274="",-1,T274)&lt;=1),IF(C274="peso_corporal",IF(ISNUMBER(E274),E274,0)+R274,R274)*S274*1000+R274,0))</f>
        <v>0</v>
      </c>
      <c r="X274" s="69">
        <f>IF(W274=0,0,IF(IF((S274&gt;0)*(IF(T274="",-1,T274)&gt;=0)*(IF(T274="",-1,T274)&lt;=1),IF(C274="peso_corporal",IF(ISNUMBER(E274),E274,0)+R274,R274)*S274*1000+R274,0)=W274,5,IF(IF((P274&gt;0)*(IF(Q274="",-1,Q274)&gt;=0)*(IF(Q274="",-1,Q274)&lt;=1),IF(C274="peso_corporal",IF(ISNUMBER(E274),E274,0)+O274,O274)*P274*1000+O274,0)=W274,4,IF(IF((M274&gt;0)*(IF(N274="",-1,N274)&gt;=0)*(IF(N274="",-1,N274)&lt;=1),IF(C274="peso_corporal",IF(ISNUMBER(E274),E274,0)+L274,L274)*M274*1000+L274,0)=W274,3,IF(IF((J274&gt;0)*(IF(K274="",-1,K274)&gt;=0)*(IF(K274="",-1,K274)&lt;=1),IF(C274="peso_corporal",IF(ISNUMBER(E274),E274,0)+I274,I274)*J274*1000+I274,0)=W274,2,IF(IF((G274&gt;0)*(IF(H274="",-1,H274)&gt;=0)*(IF(H274="",-1,H274)&lt;=1),IF(C274="peso_corporal",IF(ISNUMBER(E274),E274,0)+F274,F274)*G274*1000+F274,0)=W274,1,0))))))</f>
        <v>0</v>
      </c>
      <c r="Y274" s="69">
        <f>MAX(IF((G274&gt;0)*(IF(H274="",-1,H274)=0)*(1-(IF(H274="",-1,H274)&gt;=0)*(IF(H274="",-1,H274)&lt;=1)),IF(C274="peso_corporal",IF(ISNUMBER(E274),E274,0)+F274,F274)*G274*1000+F274,0),IF((J274&gt;0)*(IF(K274="",-1,K274)=0)*(1-(IF(K274="",-1,K274)&gt;=0)*(IF(K274="",-1,K274)&lt;=1)),IF(C274="peso_corporal",IF(ISNUMBER(E274),E274,0)+I274,I274)*J274*1000+I274,0),IF((M274&gt;0)*(IF(N274="",-1,N274)=0)*(1-(IF(N274="",-1,N274)&gt;=0)*(IF(N274="",-1,N274)&lt;=1)),IF(C274="peso_corporal",IF(ISNUMBER(E274),E274,0)+L274,L274)*M274*1000+L274,0),IF((P274&gt;0)*(IF(Q274="",-1,Q274)=0)*(1-(IF(Q274="",-1,Q274)&gt;=0)*(IF(Q274="",-1,Q274)&lt;=1)),IF(C274="peso_corporal",IF(ISNUMBER(E274),E274,0)+O274,O274)*P274*1000+O274,0),IF((S274&gt;0)*(IF(T274="",-1,T274)=0)*(1-(IF(T274="",-1,T274)&gt;=0)*(IF(T274="",-1,T274)&lt;=1)),IF(C274="peso_corporal",IF(ISNUMBER(E274),E274,0)+R274,R274)*S274*1000+R274,0))</f>
        <v>0</v>
      </c>
      <c r="Z274" s="69">
        <f>IF(Y274=0,0,IF(IF((S274&gt;0)*(IF(T274="",-1,T274)=0)*(1-(IF(T274="",-1,T274)&gt;=0)*(IF(T274="",-1,T274)&lt;=1)),IF(C274="peso_corporal",IF(ISNUMBER(E274),E274,0)+R274,R274)*S274*1000+R274,0)=Y274,5,IF(IF((P274&gt;0)*(IF(Q274="",-1,Q274)=0)*(1-(IF(Q274="",-1,Q274)&gt;=0)*(IF(Q274="",-1,Q274)&lt;=1)),IF(C274="peso_corporal",IF(ISNUMBER(E274),E274,0)+O274,O274)*P274*1000+O274,0)=Y274,4,IF(IF((M274&gt;0)*(IF(N274="",-1,N274)=0)*(1-(IF(N274="",-1,N274)&gt;=0)*(IF(N274="",-1,N274)&lt;=1)),IF(C274="peso_corporal",IF(ISNUMBER(E274),E274,0)+L274,L274)*M274*1000+L274,0)=Y274,3,IF(IF((J274&gt;0)*(IF(K274="",-1,K274)=0)*(1-(IF(K274="",-1,K274)&gt;=0)*(IF(K274="",-1,K274)&lt;=1)),IF(C274="peso_corporal",IF(ISNUMBER(E274),E274,0)+I274,I274)*J274*1000+I274,0)=Y274,2,IF(IF((G274&gt;0)*(IF(H274="",-1,H274)=0)*(1-(IF(H274="",-1,H274)&gt;=0)*(IF(H274="",-1,H274)&lt;=1)),IF(C274="peso_corporal",IF(ISNUMBER(E274),E274,0)+F274,F274)*G274*1000+F274,0)=Y274,1,0))))))</f>
        <v>0</v>
      </c>
      <c r="AA274" s="69">
        <f>MAX(IF((G274&gt;=3)*(1-(IF(H274="",-1,H274)&gt;=0)*(IF(H274="",-1,H274)&lt;=1))*(1-(IF(H274="",-1,H274)=0)),IF(C274="peso_corporal",IF(ISNUMBER(E274),E274,0)+F274,F274)*(30+G274)*100+F274,0),IF((J274&gt;=3)*(1-(IF(K274="",-1,K274)&gt;=0)*(IF(K274="",-1,K274)&lt;=1))*(1-(IF(K274="",-1,K274)=0)),IF(C274="peso_corporal",IF(ISNUMBER(E274),E274,0)+I274,I274)*(30+J274)*100+I274,0),IF((M274&gt;=3)*(1-(IF(N274="",-1,N274)&gt;=0)*(IF(N274="",-1,N274)&lt;=1))*(1-(IF(N274="",-1,N274)=0)),IF(C274="peso_corporal",IF(ISNUMBER(E274),E274,0)+L274,L274)*(30+M274)*100+L274,0),IF((P274&gt;=3)*(1-(IF(Q274="",-1,Q274)&gt;=0)*(IF(Q274="",-1,Q274)&lt;=1))*(1-(IF(Q274="",-1,Q274)=0)),IF(C274="peso_corporal",IF(ISNUMBER(E274),E274,0)+O274,O274)*(30+P274)*100+O274,0),IF((S274&gt;=3)*(1-(IF(T274="",-1,T274)&gt;=0)*(IF(T274="",-1,T274)&lt;=1))*(1-(IF(T274="",-1,T274)=0)),IF(C274="peso_corporal",IF(ISNUMBER(E274),E274,0)+R274,R274)*(30+S274)*100+R274,0))</f>
        <v>0</v>
      </c>
      <c r="AB274" s="69">
        <f>IF(AA274=0,0,IF(IF((S274&gt;=3)*(1-(IF(T274="",-1,T274)&gt;=0)*(IF(T274="",-1,T274)&lt;=1))*(1-(IF(T274="",-1,T274)=0)),IF(C274="peso_corporal",IF(ISNUMBER(E274),E274,0)+R274,R274)*(30+S274)*100+R274,0)=AA274,5,IF(IF((P274&gt;=3)*(1-(IF(Q274="",-1,Q274)&gt;=0)*(IF(Q274="",-1,Q274)&lt;=1))*(1-(IF(Q274="",-1,Q274)=0)),IF(C274="peso_corporal",IF(ISNUMBER(E274),E274,0)+O274,O274)*(30+P274)*100+O274,0)=AA274,4,IF(IF((M274&gt;=3)*(1-(IF(N274="",-1,N274)&gt;=0)*(IF(N274="",-1,N274)&lt;=1))*(1-(IF(N274="",-1,N274)=0)),IF(C274="peso_corporal",IF(ISNUMBER(E274),E274,0)+L274,L274)*(30+M274)*100+L274,0)=AA274,3,IF(IF((J274&gt;=3)*(1-(IF(K274="",-1,K274)&gt;=0)*(IF(K274="",-1,K274)&lt;=1))*(1-(IF(K274="",-1,K274)=0)),IF(C274="peso_corporal",IF(ISNUMBER(E274),E274,0)+I274,I274)*(30+J274)*100+I274,0)=AA274,2,IF(IF((G274&gt;=3)*(1-(IF(H274="",-1,H274)&gt;=0)*(IF(H274="",-1,H274)&lt;=1))*(1-(IF(H274="",-1,H274)=0)),IF(C274="peso_corporal",IF(ISNUMBER(E274),E274,0)+F274,F274)*(30+G274)*100+F274,0)=AA274,1,0))))))</f>
        <v>0</v>
      </c>
      <c r="AC274" s="69" t="str">
        <f>IF(X274&gt;0,"A"&amp;X274,IF(Z274&gt;0,"B"&amp;Z274,IF(AB274&gt;0,"C"&amp;AB274,"")))</f>
        <v/>
      </c>
    </row>
    <row r="275" spans="1:29" ht="15" customHeight="1">
      <c r="A275" s="82" t="s">
        <v>47</v>
      </c>
      <c r="B275" s="73"/>
      <c r="C275" s="73"/>
      <c r="D275" s="73"/>
      <c r="E275" s="73"/>
      <c r="F275" s="73"/>
      <c r="G275" s="73"/>
      <c r="H275" s="73"/>
      <c r="I275" s="73"/>
      <c r="J275" s="73"/>
      <c r="K275" s="73"/>
      <c r="L275" s="73"/>
      <c r="M275" s="73"/>
      <c r="N275" s="73"/>
      <c r="O275" s="73"/>
      <c r="P275" s="73"/>
      <c r="Q275" s="73"/>
      <c r="R275" s="73"/>
      <c r="S275" s="73"/>
      <c r="T275" s="73"/>
      <c r="U275" s="73"/>
      <c r="V275" s="73"/>
      <c r="W275" s="69"/>
      <c r="X275" s="69"/>
      <c r="Y275" s="69"/>
      <c r="Z275" s="69"/>
      <c r="AA275" s="69"/>
      <c r="AB275" s="69"/>
      <c r="AC275" s="69"/>
    </row>
    <row r="276" spans="1:29" ht="20.100000000000001" customHeight="1">
      <c r="A276" s="14" t="s">
        <v>40</v>
      </c>
      <c r="B276" s="15" t="s">
        <v>41</v>
      </c>
      <c r="C276" s="16" t="str">
        <f>IFERROR(INDEX(EJERCICIOS!$D$3:$D$75,MATCH(A276&amp;"|"&amp;B276,EJERCICIOS!$G$3:$G$75,0)),"--")</f>
        <v>polea</v>
      </c>
      <c r="D276" s="17">
        <v>3</v>
      </c>
      <c r="E276" s="18">
        <f>IFERROR(LOOKUP(2,1/(MEDIDAS_Y_PESO!$B$3:$B$13&lt;&gt;""),MEDIDAS_Y_PESO!$B$3:$B$13),"--")</f>
        <v>80</v>
      </c>
      <c r="F276" s="19"/>
      <c r="G276" s="20"/>
      <c r="H276" s="21"/>
      <c r="I276" s="19"/>
      <c r="J276" s="20"/>
      <c r="K276" s="21"/>
      <c r="L276" s="19"/>
      <c r="M276" s="20"/>
      <c r="N276" s="21"/>
      <c r="O276" s="19"/>
      <c r="P276" s="20"/>
      <c r="Q276" s="21"/>
      <c r="R276" s="19"/>
      <c r="S276" s="20"/>
      <c r="T276" s="21"/>
      <c r="U276" s="22" t="str">
        <f>IFERROR(IF(IF(X276&gt;0,X276,IF(Z276&gt;0,Z276,IF(AB276&gt;0,AB276,0)))=0,"--",ROUND(CHOOSE(IF(X276&gt;0,X276,IF(Z276&gt;0,Z276,IF(AB276&gt;0,AB276,0))),IF(C276="peso_corporal",IF(ISNUMBER(E276),E276,0)+F276,F276)*(1+G276/30),IF(C276="peso_corporal",IF(ISNUMBER(E276),E276,0)+I276,I276)*(1+J276/30),IF(C276="peso_corporal",IF(ISNUMBER(E276),E276,0)+L276,L276)*(1+M276/30),IF(C276="peso_corporal",IF(ISNUMBER(E276),E276,0)+O276,O276)*(1+P276/30),IF(C276="peso_corporal",IF(ISNUMBER(E276),E276,0)+R276,R276)*(1+S276/30)),1)),"--")</f>
        <v>--</v>
      </c>
      <c r="V276" s="23" t="str">
        <f>IF(SUGERENCIAS!N679="SIN","Sin datos anteriores",IF(SUGERENCIAS!N679="SUBIR_F","^ SUBIR FUERTE | Kg:"&amp;ROUND(SUGERENCIAS!K679,1)&amp;" R:"&amp;ROUND(SUGERENCIAS!L679,0)&amp;" RIR:"&amp;ROUND(SUGERENCIAS!M679,0),IF(SUGERENCIAS!N679="SUBIR_E","^ SUBIR (Est.) | Kg:"&amp;ROUND(SUGERENCIAS!K679,1)&amp;" R:"&amp;ROUND(SUGERENCIAS!L679,0)&amp;" RIR:"&amp;ROUND(SUGERENCIAS!M679,0),IF(SUGERENCIAS!N679="SUBIR","^ SUBIR | Kg:"&amp;ROUND(SUGERENCIAS!K679,1)&amp;" R:"&amp;ROUND(SUGERENCIAS!L679,0)&amp;" RIR:"&amp;ROUND(SUGERENCIAS!M679,0),IF(SUGERENCIAS!N679="BAJAR","v BAJAR | Kg:"&amp;ROUND(SUGERENCIAS!K679,1)&amp;" R:"&amp;ROUND(SUGERENCIAS!L679,0)&amp;" RIR:"&amp;ROUND(SUGERENCIAS!M679,0),"= MANT | Kg:"&amp;ROUND(SUGERENCIAS!K679,1)&amp;" R:"&amp;ROUND(SUGERENCIAS!L679,0)&amp;" RIR:"&amp;ROUND(SUGERENCIAS!M679,0))))))</f>
        <v>Sin datos anteriores</v>
      </c>
      <c r="W276" s="69">
        <f>MAX(IF((G276&gt;0)*(IF(H276="",-1,H276)&gt;=0)*(IF(H276="",-1,H276)&lt;=1),IF(C276="peso_corporal",IF(ISNUMBER(E276),E276,0)+F276,F276)*G276*1000+F276,0),IF((J276&gt;0)*(IF(K276="",-1,K276)&gt;=0)*(IF(K276="",-1,K276)&lt;=1),IF(C276="peso_corporal",IF(ISNUMBER(E276),E276,0)+I276,I276)*J276*1000+I276,0),IF((M276&gt;0)*(IF(N276="",-1,N276)&gt;=0)*(IF(N276="",-1,N276)&lt;=1),IF(C276="peso_corporal",IF(ISNUMBER(E276),E276,0)+L276,L276)*M276*1000+L276,0),IF((P276&gt;0)*(IF(Q276="",-1,Q276)&gt;=0)*(IF(Q276="",-1,Q276)&lt;=1),IF(C276="peso_corporal",IF(ISNUMBER(E276),E276,0)+O276,O276)*P276*1000+O276,0),IF((S276&gt;0)*(IF(T276="",-1,T276)&gt;=0)*(IF(T276="",-1,T276)&lt;=1),IF(C276="peso_corporal",IF(ISNUMBER(E276),E276,0)+R276,R276)*S276*1000+R276,0))</f>
        <v>0</v>
      </c>
      <c r="X276" s="69">
        <f>IF(W276=0,0,IF(IF((S276&gt;0)*(IF(T276="",-1,T276)&gt;=0)*(IF(T276="",-1,T276)&lt;=1),IF(C276="peso_corporal",IF(ISNUMBER(E276),E276,0)+R276,R276)*S276*1000+R276,0)=W276,5,IF(IF((P276&gt;0)*(IF(Q276="",-1,Q276)&gt;=0)*(IF(Q276="",-1,Q276)&lt;=1),IF(C276="peso_corporal",IF(ISNUMBER(E276),E276,0)+O276,O276)*P276*1000+O276,0)=W276,4,IF(IF((M276&gt;0)*(IF(N276="",-1,N276)&gt;=0)*(IF(N276="",-1,N276)&lt;=1),IF(C276="peso_corporal",IF(ISNUMBER(E276),E276,0)+L276,L276)*M276*1000+L276,0)=W276,3,IF(IF((J276&gt;0)*(IF(K276="",-1,K276)&gt;=0)*(IF(K276="",-1,K276)&lt;=1),IF(C276="peso_corporal",IF(ISNUMBER(E276),E276,0)+I276,I276)*J276*1000+I276,0)=W276,2,IF(IF((G276&gt;0)*(IF(H276="",-1,H276)&gt;=0)*(IF(H276="",-1,H276)&lt;=1),IF(C276="peso_corporal",IF(ISNUMBER(E276),E276,0)+F276,F276)*G276*1000+F276,0)=W276,1,0))))))</f>
        <v>0</v>
      </c>
      <c r="Y276" s="69">
        <f>MAX(IF((G276&gt;0)*(IF(H276="",-1,H276)=0)*(1-(IF(H276="",-1,H276)&gt;=0)*(IF(H276="",-1,H276)&lt;=1)),IF(C276="peso_corporal",IF(ISNUMBER(E276),E276,0)+F276,F276)*G276*1000+F276,0),IF((J276&gt;0)*(IF(K276="",-1,K276)=0)*(1-(IF(K276="",-1,K276)&gt;=0)*(IF(K276="",-1,K276)&lt;=1)),IF(C276="peso_corporal",IF(ISNUMBER(E276),E276,0)+I276,I276)*J276*1000+I276,0),IF((M276&gt;0)*(IF(N276="",-1,N276)=0)*(1-(IF(N276="",-1,N276)&gt;=0)*(IF(N276="",-1,N276)&lt;=1)),IF(C276="peso_corporal",IF(ISNUMBER(E276),E276,0)+L276,L276)*M276*1000+L276,0),IF((P276&gt;0)*(IF(Q276="",-1,Q276)=0)*(1-(IF(Q276="",-1,Q276)&gt;=0)*(IF(Q276="",-1,Q276)&lt;=1)),IF(C276="peso_corporal",IF(ISNUMBER(E276),E276,0)+O276,O276)*P276*1000+O276,0),IF((S276&gt;0)*(IF(T276="",-1,T276)=0)*(1-(IF(T276="",-1,T276)&gt;=0)*(IF(T276="",-1,T276)&lt;=1)),IF(C276="peso_corporal",IF(ISNUMBER(E276),E276,0)+R276,R276)*S276*1000+R276,0))</f>
        <v>0</v>
      </c>
      <c r="Z276" s="69">
        <f>IF(Y276=0,0,IF(IF((S276&gt;0)*(IF(T276="",-1,T276)=0)*(1-(IF(T276="",-1,T276)&gt;=0)*(IF(T276="",-1,T276)&lt;=1)),IF(C276="peso_corporal",IF(ISNUMBER(E276),E276,0)+R276,R276)*S276*1000+R276,0)=Y276,5,IF(IF((P276&gt;0)*(IF(Q276="",-1,Q276)=0)*(1-(IF(Q276="",-1,Q276)&gt;=0)*(IF(Q276="",-1,Q276)&lt;=1)),IF(C276="peso_corporal",IF(ISNUMBER(E276),E276,0)+O276,O276)*P276*1000+O276,0)=Y276,4,IF(IF((M276&gt;0)*(IF(N276="",-1,N276)=0)*(1-(IF(N276="",-1,N276)&gt;=0)*(IF(N276="",-1,N276)&lt;=1)),IF(C276="peso_corporal",IF(ISNUMBER(E276),E276,0)+L276,L276)*M276*1000+L276,0)=Y276,3,IF(IF((J276&gt;0)*(IF(K276="",-1,K276)=0)*(1-(IF(K276="",-1,K276)&gt;=0)*(IF(K276="",-1,K276)&lt;=1)),IF(C276="peso_corporal",IF(ISNUMBER(E276),E276,0)+I276,I276)*J276*1000+I276,0)=Y276,2,IF(IF((G276&gt;0)*(IF(H276="",-1,H276)=0)*(1-(IF(H276="",-1,H276)&gt;=0)*(IF(H276="",-1,H276)&lt;=1)),IF(C276="peso_corporal",IF(ISNUMBER(E276),E276,0)+F276,F276)*G276*1000+F276,0)=Y276,1,0))))))</f>
        <v>0</v>
      </c>
      <c r="AA276" s="69">
        <f>MAX(IF((G276&gt;=3)*(1-(IF(H276="",-1,H276)&gt;=0)*(IF(H276="",-1,H276)&lt;=1))*(1-(IF(H276="",-1,H276)=0)),IF(C276="peso_corporal",IF(ISNUMBER(E276),E276,0)+F276,F276)*(30+G276)*100+F276,0),IF((J276&gt;=3)*(1-(IF(K276="",-1,K276)&gt;=0)*(IF(K276="",-1,K276)&lt;=1))*(1-(IF(K276="",-1,K276)=0)),IF(C276="peso_corporal",IF(ISNUMBER(E276),E276,0)+I276,I276)*(30+J276)*100+I276,0),IF((M276&gt;=3)*(1-(IF(N276="",-1,N276)&gt;=0)*(IF(N276="",-1,N276)&lt;=1))*(1-(IF(N276="",-1,N276)=0)),IF(C276="peso_corporal",IF(ISNUMBER(E276),E276,0)+L276,L276)*(30+M276)*100+L276,0),IF((P276&gt;=3)*(1-(IF(Q276="",-1,Q276)&gt;=0)*(IF(Q276="",-1,Q276)&lt;=1))*(1-(IF(Q276="",-1,Q276)=0)),IF(C276="peso_corporal",IF(ISNUMBER(E276),E276,0)+O276,O276)*(30+P276)*100+O276,0),IF((S276&gt;=3)*(1-(IF(T276="",-1,T276)&gt;=0)*(IF(T276="",-1,T276)&lt;=1))*(1-(IF(T276="",-1,T276)=0)),IF(C276="peso_corporal",IF(ISNUMBER(E276),E276,0)+R276,R276)*(30+S276)*100+R276,0))</f>
        <v>0</v>
      </c>
      <c r="AB276" s="69">
        <f>IF(AA276=0,0,IF(IF((S276&gt;=3)*(1-(IF(T276="",-1,T276)&gt;=0)*(IF(T276="",-1,T276)&lt;=1))*(1-(IF(T276="",-1,T276)=0)),IF(C276="peso_corporal",IF(ISNUMBER(E276),E276,0)+R276,R276)*(30+S276)*100+R276,0)=AA276,5,IF(IF((P276&gt;=3)*(1-(IF(Q276="",-1,Q276)&gt;=0)*(IF(Q276="",-1,Q276)&lt;=1))*(1-(IF(Q276="",-1,Q276)=0)),IF(C276="peso_corporal",IF(ISNUMBER(E276),E276,0)+O276,O276)*(30+P276)*100+O276,0)=AA276,4,IF(IF((M276&gt;=3)*(1-(IF(N276="",-1,N276)&gt;=0)*(IF(N276="",-1,N276)&lt;=1))*(1-(IF(N276="",-1,N276)=0)),IF(C276="peso_corporal",IF(ISNUMBER(E276),E276,0)+L276,L276)*(30+M276)*100+L276,0)=AA276,3,IF(IF((J276&gt;=3)*(1-(IF(K276="",-1,K276)&gt;=0)*(IF(K276="",-1,K276)&lt;=1))*(1-(IF(K276="",-1,K276)=0)),IF(C276="peso_corporal",IF(ISNUMBER(E276),E276,0)+I276,I276)*(30+J276)*100+I276,0)=AA276,2,IF(IF((G276&gt;=3)*(1-(IF(H276="",-1,H276)&gt;=0)*(IF(H276="",-1,H276)&lt;=1))*(1-(IF(H276="",-1,H276)=0)),IF(C276="peso_corporal",IF(ISNUMBER(E276),E276,0)+F276,F276)*(30+G276)*100+F276,0)=AA276,1,0))))))</f>
        <v>0</v>
      </c>
      <c r="AC276" s="69" t="str">
        <f>IF(X276&gt;0,"A"&amp;X276,IF(Z276&gt;0,"B"&amp;Z276,IF(AB276&gt;0,"C"&amp;AB276,"")))</f>
        <v/>
      </c>
    </row>
    <row r="277" spans="1:29" ht="20.100000000000001" customHeight="1">
      <c r="A277" s="14" t="s">
        <v>48</v>
      </c>
      <c r="B277" s="15" t="s">
        <v>166</v>
      </c>
      <c r="C277" s="16" t="str">
        <f>IFERROR(INDEX(EJERCICIOS!$D$3:$D$75,MATCH(A277&amp;"|"&amp;B277,EJERCICIOS!$G$3:$G$75,0)),"--")</f>
        <v>--</v>
      </c>
      <c r="D277" s="17">
        <v>3</v>
      </c>
      <c r="E277" s="18">
        <f>IFERROR(LOOKUP(2,1/(MEDIDAS_Y_PESO!$B$3:$B$13&lt;&gt;""),MEDIDAS_Y_PESO!$B$3:$B$13),"--")</f>
        <v>80</v>
      </c>
      <c r="F277" s="19"/>
      <c r="G277" s="20"/>
      <c r="H277" s="21"/>
      <c r="I277" s="19"/>
      <c r="J277" s="20"/>
      <c r="K277" s="21"/>
      <c r="L277" s="19"/>
      <c r="M277" s="20"/>
      <c r="N277" s="21"/>
      <c r="O277" s="19"/>
      <c r="P277" s="20"/>
      <c r="Q277" s="21"/>
      <c r="R277" s="19"/>
      <c r="S277" s="20"/>
      <c r="T277" s="21"/>
      <c r="U277" s="22" t="str">
        <f>IFERROR(IF(IF(X277&gt;0,X277,IF(Z277&gt;0,Z277,IF(AB277&gt;0,AB277,0)))=0,"--",ROUND(CHOOSE(IF(X277&gt;0,X277,IF(Z277&gt;0,Z277,IF(AB277&gt;0,AB277,0))),IF(C277="peso_corporal",IF(ISNUMBER(E277),E277,0)+F277,F277)*(1+G277/30),IF(C277="peso_corporal",IF(ISNUMBER(E277),E277,0)+I277,I277)*(1+J277/30),IF(C277="peso_corporal",IF(ISNUMBER(E277),E277,0)+L277,L277)*(1+M277/30),IF(C277="peso_corporal",IF(ISNUMBER(E277),E277,0)+O277,O277)*(1+P277/30),IF(C277="peso_corporal",IF(ISNUMBER(E277),E277,0)+R277,R277)*(1+S277/30)),1)),"--")</f>
        <v>--</v>
      </c>
      <c r="V277" s="23" t="str">
        <f>IF(SUGERENCIAS!N680="SIN","Sin datos anteriores",IF(SUGERENCIAS!N680="SUBIR_F","^ SUBIR FUERTE | Kg:"&amp;ROUND(SUGERENCIAS!K680,1)&amp;" R:"&amp;ROUND(SUGERENCIAS!L680,0)&amp;" RIR:"&amp;ROUND(SUGERENCIAS!M680,0),IF(SUGERENCIAS!N680="SUBIR_E","^ SUBIR (Est.) | Kg:"&amp;ROUND(SUGERENCIAS!K680,1)&amp;" R:"&amp;ROUND(SUGERENCIAS!L680,0)&amp;" RIR:"&amp;ROUND(SUGERENCIAS!M680,0),IF(SUGERENCIAS!N680="SUBIR","^ SUBIR | Kg:"&amp;ROUND(SUGERENCIAS!K680,1)&amp;" R:"&amp;ROUND(SUGERENCIAS!L680,0)&amp;" RIR:"&amp;ROUND(SUGERENCIAS!M680,0),IF(SUGERENCIAS!N680="BAJAR","v BAJAR | Kg:"&amp;ROUND(SUGERENCIAS!K680,1)&amp;" R:"&amp;ROUND(SUGERENCIAS!L680,0)&amp;" RIR:"&amp;ROUND(SUGERENCIAS!M680,0),"= MANT | Kg:"&amp;ROUND(SUGERENCIAS!K680,1)&amp;" R:"&amp;ROUND(SUGERENCIAS!L680,0)&amp;" RIR:"&amp;ROUND(SUGERENCIAS!M680,0))))))</f>
        <v>Sin datos anteriores</v>
      </c>
      <c r="W277" s="69">
        <f>MAX(IF((G277&gt;0)*(IF(H277="",-1,H277)&gt;=0)*(IF(H277="",-1,H277)&lt;=1),IF(C277="peso_corporal",IF(ISNUMBER(E277),E277,0)+F277,F277)*G277*1000+F277,0),IF((J277&gt;0)*(IF(K277="",-1,K277)&gt;=0)*(IF(K277="",-1,K277)&lt;=1),IF(C277="peso_corporal",IF(ISNUMBER(E277),E277,0)+I277,I277)*J277*1000+I277,0),IF((M277&gt;0)*(IF(N277="",-1,N277)&gt;=0)*(IF(N277="",-1,N277)&lt;=1),IF(C277="peso_corporal",IF(ISNUMBER(E277),E277,0)+L277,L277)*M277*1000+L277,0),IF((P277&gt;0)*(IF(Q277="",-1,Q277)&gt;=0)*(IF(Q277="",-1,Q277)&lt;=1),IF(C277="peso_corporal",IF(ISNUMBER(E277),E277,0)+O277,O277)*P277*1000+O277,0),IF((S277&gt;0)*(IF(T277="",-1,T277)&gt;=0)*(IF(T277="",-1,T277)&lt;=1),IF(C277="peso_corporal",IF(ISNUMBER(E277),E277,0)+R277,R277)*S277*1000+R277,0))</f>
        <v>0</v>
      </c>
      <c r="X277" s="69">
        <f>IF(W277=0,0,IF(IF((S277&gt;0)*(IF(T277="",-1,T277)&gt;=0)*(IF(T277="",-1,T277)&lt;=1),IF(C277="peso_corporal",IF(ISNUMBER(E277),E277,0)+R277,R277)*S277*1000+R277,0)=W277,5,IF(IF((P277&gt;0)*(IF(Q277="",-1,Q277)&gt;=0)*(IF(Q277="",-1,Q277)&lt;=1),IF(C277="peso_corporal",IF(ISNUMBER(E277),E277,0)+O277,O277)*P277*1000+O277,0)=W277,4,IF(IF((M277&gt;0)*(IF(N277="",-1,N277)&gt;=0)*(IF(N277="",-1,N277)&lt;=1),IF(C277="peso_corporal",IF(ISNUMBER(E277),E277,0)+L277,L277)*M277*1000+L277,0)=W277,3,IF(IF((J277&gt;0)*(IF(K277="",-1,K277)&gt;=0)*(IF(K277="",-1,K277)&lt;=1),IF(C277="peso_corporal",IF(ISNUMBER(E277),E277,0)+I277,I277)*J277*1000+I277,0)=W277,2,IF(IF((G277&gt;0)*(IF(H277="",-1,H277)&gt;=0)*(IF(H277="",-1,H277)&lt;=1),IF(C277="peso_corporal",IF(ISNUMBER(E277),E277,0)+F277,F277)*G277*1000+F277,0)=W277,1,0))))))</f>
        <v>0</v>
      </c>
      <c r="Y277" s="69">
        <f>MAX(IF((G277&gt;0)*(IF(H277="",-1,H277)=0)*(1-(IF(H277="",-1,H277)&gt;=0)*(IF(H277="",-1,H277)&lt;=1)),IF(C277="peso_corporal",IF(ISNUMBER(E277),E277,0)+F277,F277)*G277*1000+F277,0),IF((J277&gt;0)*(IF(K277="",-1,K277)=0)*(1-(IF(K277="",-1,K277)&gt;=0)*(IF(K277="",-1,K277)&lt;=1)),IF(C277="peso_corporal",IF(ISNUMBER(E277),E277,0)+I277,I277)*J277*1000+I277,0),IF((M277&gt;0)*(IF(N277="",-1,N277)=0)*(1-(IF(N277="",-1,N277)&gt;=0)*(IF(N277="",-1,N277)&lt;=1)),IF(C277="peso_corporal",IF(ISNUMBER(E277),E277,0)+L277,L277)*M277*1000+L277,0),IF((P277&gt;0)*(IF(Q277="",-1,Q277)=0)*(1-(IF(Q277="",-1,Q277)&gt;=0)*(IF(Q277="",-1,Q277)&lt;=1)),IF(C277="peso_corporal",IF(ISNUMBER(E277),E277,0)+O277,O277)*P277*1000+O277,0),IF((S277&gt;0)*(IF(T277="",-1,T277)=0)*(1-(IF(T277="",-1,T277)&gt;=0)*(IF(T277="",-1,T277)&lt;=1)),IF(C277="peso_corporal",IF(ISNUMBER(E277),E277,0)+R277,R277)*S277*1000+R277,0))</f>
        <v>0</v>
      </c>
      <c r="Z277" s="69">
        <f>IF(Y277=0,0,IF(IF((S277&gt;0)*(IF(T277="",-1,T277)=0)*(1-(IF(T277="",-1,T277)&gt;=0)*(IF(T277="",-1,T277)&lt;=1)),IF(C277="peso_corporal",IF(ISNUMBER(E277),E277,0)+R277,R277)*S277*1000+R277,0)=Y277,5,IF(IF((P277&gt;0)*(IF(Q277="",-1,Q277)=0)*(1-(IF(Q277="",-1,Q277)&gt;=0)*(IF(Q277="",-1,Q277)&lt;=1)),IF(C277="peso_corporal",IF(ISNUMBER(E277),E277,0)+O277,O277)*P277*1000+O277,0)=Y277,4,IF(IF((M277&gt;0)*(IF(N277="",-1,N277)=0)*(1-(IF(N277="",-1,N277)&gt;=0)*(IF(N277="",-1,N277)&lt;=1)),IF(C277="peso_corporal",IF(ISNUMBER(E277),E277,0)+L277,L277)*M277*1000+L277,0)=Y277,3,IF(IF((J277&gt;0)*(IF(K277="",-1,K277)=0)*(1-(IF(K277="",-1,K277)&gt;=0)*(IF(K277="",-1,K277)&lt;=1)),IF(C277="peso_corporal",IF(ISNUMBER(E277),E277,0)+I277,I277)*J277*1000+I277,0)=Y277,2,IF(IF((G277&gt;0)*(IF(H277="",-1,H277)=0)*(1-(IF(H277="",-1,H277)&gt;=0)*(IF(H277="",-1,H277)&lt;=1)),IF(C277="peso_corporal",IF(ISNUMBER(E277),E277,0)+F277,F277)*G277*1000+F277,0)=Y277,1,0))))))</f>
        <v>0</v>
      </c>
      <c r="AA277" s="69">
        <f>MAX(IF((G277&gt;=3)*(1-(IF(H277="",-1,H277)&gt;=0)*(IF(H277="",-1,H277)&lt;=1))*(1-(IF(H277="",-1,H277)=0)),IF(C277="peso_corporal",IF(ISNUMBER(E277),E277,0)+F277,F277)*(30+G277)*100+F277,0),IF((J277&gt;=3)*(1-(IF(K277="",-1,K277)&gt;=0)*(IF(K277="",-1,K277)&lt;=1))*(1-(IF(K277="",-1,K277)=0)),IF(C277="peso_corporal",IF(ISNUMBER(E277),E277,0)+I277,I277)*(30+J277)*100+I277,0),IF((M277&gt;=3)*(1-(IF(N277="",-1,N277)&gt;=0)*(IF(N277="",-1,N277)&lt;=1))*(1-(IF(N277="",-1,N277)=0)),IF(C277="peso_corporal",IF(ISNUMBER(E277),E277,0)+L277,L277)*(30+M277)*100+L277,0),IF((P277&gt;=3)*(1-(IF(Q277="",-1,Q277)&gt;=0)*(IF(Q277="",-1,Q277)&lt;=1))*(1-(IF(Q277="",-1,Q277)=0)),IF(C277="peso_corporal",IF(ISNUMBER(E277),E277,0)+O277,O277)*(30+P277)*100+O277,0),IF((S277&gt;=3)*(1-(IF(T277="",-1,T277)&gt;=0)*(IF(T277="",-1,T277)&lt;=1))*(1-(IF(T277="",-1,T277)=0)),IF(C277="peso_corporal",IF(ISNUMBER(E277),E277,0)+R277,R277)*(30+S277)*100+R277,0))</f>
        <v>0</v>
      </c>
      <c r="AB277" s="69">
        <f>IF(AA277=0,0,IF(IF((S277&gt;=3)*(1-(IF(T277="",-1,T277)&gt;=0)*(IF(T277="",-1,T277)&lt;=1))*(1-(IF(T277="",-1,T277)=0)),IF(C277="peso_corporal",IF(ISNUMBER(E277),E277,0)+R277,R277)*(30+S277)*100+R277,0)=AA277,5,IF(IF((P277&gt;=3)*(1-(IF(Q277="",-1,Q277)&gt;=0)*(IF(Q277="",-1,Q277)&lt;=1))*(1-(IF(Q277="",-1,Q277)=0)),IF(C277="peso_corporal",IF(ISNUMBER(E277),E277,0)+O277,O277)*(30+P277)*100+O277,0)=AA277,4,IF(IF((M277&gt;=3)*(1-(IF(N277="",-1,N277)&gt;=0)*(IF(N277="",-1,N277)&lt;=1))*(1-(IF(N277="",-1,N277)=0)),IF(C277="peso_corporal",IF(ISNUMBER(E277),E277,0)+L277,L277)*(30+M277)*100+L277,0)=AA277,3,IF(IF((J277&gt;=3)*(1-(IF(K277="",-1,K277)&gt;=0)*(IF(K277="",-1,K277)&lt;=1))*(1-(IF(K277="",-1,K277)=0)),IF(C277="peso_corporal",IF(ISNUMBER(E277),E277,0)+I277,I277)*(30+J277)*100+I277,0)=AA277,2,IF(IF((G277&gt;=3)*(1-(IF(H277="",-1,H277)&gt;=0)*(IF(H277="",-1,H277)&lt;=1))*(1-(IF(H277="",-1,H277)=0)),IF(C277="peso_corporal",IF(ISNUMBER(E277),E277,0)+F277,F277)*(30+G277)*100+F277,0)=AA277,1,0))))))</f>
        <v>0</v>
      </c>
      <c r="AC277" s="69" t="str">
        <f>IF(X277&gt;0,"A"&amp;X277,IF(Z277&gt;0,"B"&amp;Z277,IF(AB277&gt;0,"C"&amp;AB277,"")))</f>
        <v/>
      </c>
    </row>
    <row r="278" spans="1:29" ht="15" customHeight="1">
      <c r="A278" s="88" t="s">
        <v>50</v>
      </c>
      <c r="B278" s="73"/>
      <c r="C278" s="73"/>
      <c r="D278" s="73"/>
      <c r="E278" s="73"/>
      <c r="F278" s="73"/>
      <c r="G278" s="73"/>
      <c r="H278" s="73"/>
      <c r="I278" s="73"/>
      <c r="J278" s="73"/>
      <c r="K278" s="73"/>
      <c r="L278" s="73"/>
      <c r="M278" s="73"/>
      <c r="N278" s="73"/>
      <c r="O278" s="73"/>
      <c r="P278" s="73"/>
      <c r="Q278" s="73"/>
      <c r="R278" s="73"/>
      <c r="S278" s="73"/>
      <c r="T278" s="73"/>
      <c r="U278" s="73"/>
      <c r="V278" s="73"/>
      <c r="W278" s="69"/>
      <c r="X278" s="69"/>
      <c r="Y278" s="69"/>
      <c r="Z278" s="69"/>
      <c r="AA278" s="69"/>
      <c r="AB278" s="69"/>
      <c r="AC278" s="69"/>
    </row>
    <row r="279" spans="1:29" ht="20.100000000000001" customHeight="1">
      <c r="A279" s="14" t="s">
        <v>65</v>
      </c>
      <c r="B279" s="15" t="s">
        <v>137</v>
      </c>
      <c r="C279" s="16" t="str">
        <f>IFERROR(INDEX(EJERCICIOS!$D$3:$D$75,MATCH(A279&amp;"|"&amp;B279,EJERCICIOS!$G$3:$G$75,0)),"--")</f>
        <v>--</v>
      </c>
      <c r="D279" s="17">
        <v>3</v>
      </c>
      <c r="E279" s="18">
        <f>IFERROR(LOOKUP(2,1/(MEDIDAS_Y_PESO!$B$3:$B$13&lt;&gt;""),MEDIDAS_Y_PESO!$B$3:$B$13),"--")</f>
        <v>80</v>
      </c>
      <c r="F279" s="19"/>
      <c r="G279" s="20"/>
      <c r="H279" s="21"/>
      <c r="I279" s="19"/>
      <c r="J279" s="20"/>
      <c r="K279" s="21"/>
      <c r="L279" s="19"/>
      <c r="M279" s="20"/>
      <c r="N279" s="21"/>
      <c r="O279" s="19"/>
      <c r="P279" s="20"/>
      <c r="Q279" s="21"/>
      <c r="R279" s="19"/>
      <c r="S279" s="20"/>
      <c r="T279" s="21"/>
      <c r="U279" s="22" t="str">
        <f>IFERROR(IF(IF(X279&gt;0,X279,IF(Z279&gt;0,Z279,IF(AB279&gt;0,AB279,0)))=0,"--",ROUND(CHOOSE(IF(X279&gt;0,X279,IF(Z279&gt;0,Z279,IF(AB279&gt;0,AB279,0))),IF(C279="peso_corporal",IF(ISNUMBER(E279),E279,0)+F279,F279)*(1+G279/30),IF(C279="peso_corporal",IF(ISNUMBER(E279),E279,0)+I279,I279)*(1+J279/30),IF(C279="peso_corporal",IF(ISNUMBER(E279),E279,0)+L279,L279)*(1+M279/30),IF(C279="peso_corporal",IF(ISNUMBER(E279),E279,0)+O279,O279)*(1+P279/30),IF(C279="peso_corporal",IF(ISNUMBER(E279),E279,0)+R279,R279)*(1+S279/30)),1)),"--")</f>
        <v>--</v>
      </c>
      <c r="V279" s="23" t="str">
        <f>IF(SUGERENCIAS!N681="SIN","Sin datos anteriores",IF(SUGERENCIAS!N681="SUBIR_F","^ SUBIR FUERTE | Kg:"&amp;ROUND(SUGERENCIAS!K681,1)&amp;" R:"&amp;ROUND(SUGERENCIAS!L681,0)&amp;" RIR:"&amp;ROUND(SUGERENCIAS!M681,0),IF(SUGERENCIAS!N681="SUBIR_E","^ SUBIR (Est.) | Kg:"&amp;ROUND(SUGERENCIAS!K681,1)&amp;" R:"&amp;ROUND(SUGERENCIAS!L681,0)&amp;" RIR:"&amp;ROUND(SUGERENCIAS!M681,0),IF(SUGERENCIAS!N681="SUBIR","^ SUBIR | Kg:"&amp;ROUND(SUGERENCIAS!K681,1)&amp;" R:"&amp;ROUND(SUGERENCIAS!L681,0)&amp;" RIR:"&amp;ROUND(SUGERENCIAS!M681,0),IF(SUGERENCIAS!N681="BAJAR","v BAJAR | Kg:"&amp;ROUND(SUGERENCIAS!K681,1)&amp;" R:"&amp;ROUND(SUGERENCIAS!L681,0)&amp;" RIR:"&amp;ROUND(SUGERENCIAS!M681,0),"= MANT | Kg:"&amp;ROUND(SUGERENCIAS!K681,1)&amp;" R:"&amp;ROUND(SUGERENCIAS!L681,0)&amp;" RIR:"&amp;ROUND(SUGERENCIAS!M681,0))))))</f>
        <v>Sin datos anteriores</v>
      </c>
      <c r="W279" s="69">
        <f>MAX(IF((G279&gt;0)*(IF(H279="",-1,H279)&gt;=0)*(IF(H279="",-1,H279)&lt;=1),IF(C279="peso_corporal",IF(ISNUMBER(E279),E279,0)+F279,F279)*G279*1000+F279,0),IF((J279&gt;0)*(IF(K279="",-1,K279)&gt;=0)*(IF(K279="",-1,K279)&lt;=1),IF(C279="peso_corporal",IF(ISNUMBER(E279),E279,0)+I279,I279)*J279*1000+I279,0),IF((M279&gt;0)*(IF(N279="",-1,N279)&gt;=0)*(IF(N279="",-1,N279)&lt;=1),IF(C279="peso_corporal",IF(ISNUMBER(E279),E279,0)+L279,L279)*M279*1000+L279,0),IF((P279&gt;0)*(IF(Q279="",-1,Q279)&gt;=0)*(IF(Q279="",-1,Q279)&lt;=1),IF(C279="peso_corporal",IF(ISNUMBER(E279),E279,0)+O279,O279)*P279*1000+O279,0),IF((S279&gt;0)*(IF(T279="",-1,T279)&gt;=0)*(IF(T279="",-1,T279)&lt;=1),IF(C279="peso_corporal",IF(ISNUMBER(E279),E279,0)+R279,R279)*S279*1000+R279,0))</f>
        <v>0</v>
      </c>
      <c r="X279" s="69">
        <f>IF(W279=0,0,IF(IF((S279&gt;0)*(IF(T279="",-1,T279)&gt;=0)*(IF(T279="",-1,T279)&lt;=1),IF(C279="peso_corporal",IF(ISNUMBER(E279),E279,0)+R279,R279)*S279*1000+R279,0)=W279,5,IF(IF((P279&gt;0)*(IF(Q279="",-1,Q279)&gt;=0)*(IF(Q279="",-1,Q279)&lt;=1),IF(C279="peso_corporal",IF(ISNUMBER(E279),E279,0)+O279,O279)*P279*1000+O279,0)=W279,4,IF(IF((M279&gt;0)*(IF(N279="",-1,N279)&gt;=0)*(IF(N279="",-1,N279)&lt;=1),IF(C279="peso_corporal",IF(ISNUMBER(E279),E279,0)+L279,L279)*M279*1000+L279,0)=W279,3,IF(IF((J279&gt;0)*(IF(K279="",-1,K279)&gt;=0)*(IF(K279="",-1,K279)&lt;=1),IF(C279="peso_corporal",IF(ISNUMBER(E279),E279,0)+I279,I279)*J279*1000+I279,0)=W279,2,IF(IF((G279&gt;0)*(IF(H279="",-1,H279)&gt;=0)*(IF(H279="",-1,H279)&lt;=1),IF(C279="peso_corporal",IF(ISNUMBER(E279),E279,0)+F279,F279)*G279*1000+F279,0)=W279,1,0))))))</f>
        <v>0</v>
      </c>
      <c r="Y279" s="69">
        <f>MAX(IF((G279&gt;0)*(IF(H279="",-1,H279)=0)*(1-(IF(H279="",-1,H279)&gt;=0)*(IF(H279="",-1,H279)&lt;=1)),IF(C279="peso_corporal",IF(ISNUMBER(E279),E279,0)+F279,F279)*G279*1000+F279,0),IF((J279&gt;0)*(IF(K279="",-1,K279)=0)*(1-(IF(K279="",-1,K279)&gt;=0)*(IF(K279="",-1,K279)&lt;=1)),IF(C279="peso_corporal",IF(ISNUMBER(E279),E279,0)+I279,I279)*J279*1000+I279,0),IF((M279&gt;0)*(IF(N279="",-1,N279)=0)*(1-(IF(N279="",-1,N279)&gt;=0)*(IF(N279="",-1,N279)&lt;=1)),IF(C279="peso_corporal",IF(ISNUMBER(E279),E279,0)+L279,L279)*M279*1000+L279,0),IF((P279&gt;0)*(IF(Q279="",-1,Q279)=0)*(1-(IF(Q279="",-1,Q279)&gt;=0)*(IF(Q279="",-1,Q279)&lt;=1)),IF(C279="peso_corporal",IF(ISNUMBER(E279),E279,0)+O279,O279)*P279*1000+O279,0),IF((S279&gt;0)*(IF(T279="",-1,T279)=0)*(1-(IF(T279="",-1,T279)&gt;=0)*(IF(T279="",-1,T279)&lt;=1)),IF(C279="peso_corporal",IF(ISNUMBER(E279),E279,0)+R279,R279)*S279*1000+R279,0))</f>
        <v>0</v>
      </c>
      <c r="Z279" s="69">
        <f>IF(Y279=0,0,IF(IF((S279&gt;0)*(IF(T279="",-1,T279)=0)*(1-(IF(T279="",-1,T279)&gt;=0)*(IF(T279="",-1,T279)&lt;=1)),IF(C279="peso_corporal",IF(ISNUMBER(E279),E279,0)+R279,R279)*S279*1000+R279,0)=Y279,5,IF(IF((P279&gt;0)*(IF(Q279="",-1,Q279)=0)*(1-(IF(Q279="",-1,Q279)&gt;=0)*(IF(Q279="",-1,Q279)&lt;=1)),IF(C279="peso_corporal",IF(ISNUMBER(E279),E279,0)+O279,O279)*P279*1000+O279,0)=Y279,4,IF(IF((M279&gt;0)*(IF(N279="",-1,N279)=0)*(1-(IF(N279="",-1,N279)&gt;=0)*(IF(N279="",-1,N279)&lt;=1)),IF(C279="peso_corporal",IF(ISNUMBER(E279),E279,0)+L279,L279)*M279*1000+L279,0)=Y279,3,IF(IF((J279&gt;0)*(IF(K279="",-1,K279)=0)*(1-(IF(K279="",-1,K279)&gt;=0)*(IF(K279="",-1,K279)&lt;=1)),IF(C279="peso_corporal",IF(ISNUMBER(E279),E279,0)+I279,I279)*J279*1000+I279,0)=Y279,2,IF(IF((G279&gt;0)*(IF(H279="",-1,H279)=0)*(1-(IF(H279="",-1,H279)&gt;=0)*(IF(H279="",-1,H279)&lt;=1)),IF(C279="peso_corporal",IF(ISNUMBER(E279),E279,0)+F279,F279)*G279*1000+F279,0)=Y279,1,0))))))</f>
        <v>0</v>
      </c>
      <c r="AA279" s="69">
        <f>MAX(IF((G279&gt;=3)*(1-(IF(H279="",-1,H279)&gt;=0)*(IF(H279="",-1,H279)&lt;=1))*(1-(IF(H279="",-1,H279)=0)),IF(C279="peso_corporal",IF(ISNUMBER(E279),E279,0)+F279,F279)*(30+G279)*100+F279,0),IF((J279&gt;=3)*(1-(IF(K279="",-1,K279)&gt;=0)*(IF(K279="",-1,K279)&lt;=1))*(1-(IF(K279="",-1,K279)=0)),IF(C279="peso_corporal",IF(ISNUMBER(E279),E279,0)+I279,I279)*(30+J279)*100+I279,0),IF((M279&gt;=3)*(1-(IF(N279="",-1,N279)&gt;=0)*(IF(N279="",-1,N279)&lt;=1))*(1-(IF(N279="",-1,N279)=0)),IF(C279="peso_corporal",IF(ISNUMBER(E279),E279,0)+L279,L279)*(30+M279)*100+L279,0),IF((P279&gt;=3)*(1-(IF(Q279="",-1,Q279)&gt;=0)*(IF(Q279="",-1,Q279)&lt;=1))*(1-(IF(Q279="",-1,Q279)=0)),IF(C279="peso_corporal",IF(ISNUMBER(E279),E279,0)+O279,O279)*(30+P279)*100+O279,0),IF((S279&gt;=3)*(1-(IF(T279="",-1,T279)&gt;=0)*(IF(T279="",-1,T279)&lt;=1))*(1-(IF(T279="",-1,T279)=0)),IF(C279="peso_corporal",IF(ISNUMBER(E279),E279,0)+R279,R279)*(30+S279)*100+R279,0))</f>
        <v>0</v>
      </c>
      <c r="AB279" s="69">
        <f>IF(AA279=0,0,IF(IF((S279&gt;=3)*(1-(IF(T279="",-1,T279)&gt;=0)*(IF(T279="",-1,T279)&lt;=1))*(1-(IF(T279="",-1,T279)=0)),IF(C279="peso_corporal",IF(ISNUMBER(E279),E279,0)+R279,R279)*(30+S279)*100+R279,0)=AA279,5,IF(IF((P279&gt;=3)*(1-(IF(Q279="",-1,Q279)&gt;=0)*(IF(Q279="",-1,Q279)&lt;=1))*(1-(IF(Q279="",-1,Q279)=0)),IF(C279="peso_corporal",IF(ISNUMBER(E279),E279,0)+O279,O279)*(30+P279)*100+O279,0)=AA279,4,IF(IF((M279&gt;=3)*(1-(IF(N279="",-1,N279)&gt;=0)*(IF(N279="",-1,N279)&lt;=1))*(1-(IF(N279="",-1,N279)=0)),IF(C279="peso_corporal",IF(ISNUMBER(E279),E279,0)+L279,L279)*(30+M279)*100+L279,0)=AA279,3,IF(IF((J279&gt;=3)*(1-(IF(K279="",-1,K279)&gt;=0)*(IF(K279="",-1,K279)&lt;=1))*(1-(IF(K279="",-1,K279)=0)),IF(C279="peso_corporal",IF(ISNUMBER(E279),E279,0)+I279,I279)*(30+J279)*100+I279,0)=AA279,2,IF(IF((G279&gt;=3)*(1-(IF(H279="",-1,H279)&gt;=0)*(IF(H279="",-1,H279)&lt;=1))*(1-(IF(H279="",-1,H279)=0)),IF(C279="peso_corporal",IF(ISNUMBER(E279),E279,0)+F279,F279)*(30+G279)*100+F279,0)=AA279,1,0))))))</f>
        <v>0</v>
      </c>
      <c r="AC279" s="69" t="str">
        <f>IF(X279&gt;0,"A"&amp;X279,IF(Z279&gt;0,"B"&amp;Z279,IF(AB279&gt;0,"C"&amp;AB279,"")))</f>
        <v/>
      </c>
    </row>
    <row r="280" spans="1:29" ht="15" customHeight="1">
      <c r="A280" s="81" t="s">
        <v>53</v>
      </c>
      <c r="B280" s="73"/>
      <c r="C280" s="73"/>
      <c r="D280" s="73"/>
      <c r="E280" s="73"/>
      <c r="F280" s="73"/>
      <c r="G280" s="73"/>
      <c r="H280" s="73"/>
      <c r="I280" s="73"/>
      <c r="J280" s="73"/>
      <c r="K280" s="73"/>
      <c r="L280" s="73"/>
      <c r="M280" s="73"/>
      <c r="N280" s="73"/>
      <c r="O280" s="73"/>
      <c r="P280" s="73"/>
      <c r="Q280" s="73"/>
      <c r="R280" s="73"/>
      <c r="S280" s="73"/>
      <c r="T280" s="73"/>
      <c r="U280" s="73"/>
      <c r="V280" s="73"/>
      <c r="W280" s="69"/>
      <c r="X280" s="69"/>
      <c r="Y280" s="69"/>
      <c r="Z280" s="69"/>
      <c r="AA280" s="69"/>
      <c r="AB280" s="69"/>
      <c r="AC280" s="69"/>
    </row>
    <row r="281" spans="1:29" ht="20.100000000000001" customHeight="1">
      <c r="A281" s="14" t="s">
        <v>54</v>
      </c>
      <c r="B281" s="15" t="s">
        <v>115</v>
      </c>
      <c r="C281" s="16" t="str">
        <f>IFERROR(INDEX(EJERCICIOS!$D$3:$D$75,MATCH(A281&amp;"|"&amp;B281,EJERCICIOS!$G$3:$G$75,0)),"--")</f>
        <v>polea</v>
      </c>
      <c r="D281" s="17">
        <v>3</v>
      </c>
      <c r="E281" s="18">
        <f>IFERROR(LOOKUP(2,1/(MEDIDAS_Y_PESO!$B$3:$B$13&lt;&gt;""),MEDIDAS_Y_PESO!$B$3:$B$13),"--")</f>
        <v>80</v>
      </c>
      <c r="F281" s="19"/>
      <c r="G281" s="20"/>
      <c r="H281" s="21"/>
      <c r="I281" s="19"/>
      <c r="J281" s="20"/>
      <c r="K281" s="21"/>
      <c r="L281" s="19"/>
      <c r="M281" s="20"/>
      <c r="N281" s="21"/>
      <c r="O281" s="19"/>
      <c r="P281" s="20"/>
      <c r="Q281" s="21"/>
      <c r="R281" s="19"/>
      <c r="S281" s="20"/>
      <c r="T281" s="21"/>
      <c r="U281" s="22" t="str">
        <f>IFERROR(IF(IF(X281&gt;0,X281,IF(Z281&gt;0,Z281,IF(AB281&gt;0,AB281,0)))=0,"--",ROUND(CHOOSE(IF(X281&gt;0,X281,IF(Z281&gt;0,Z281,IF(AB281&gt;0,AB281,0))),IF(C281="peso_corporal",IF(ISNUMBER(E281),E281,0)+F281,F281)*(1+G281/30),IF(C281="peso_corporal",IF(ISNUMBER(E281),E281,0)+I281,I281)*(1+J281/30),IF(C281="peso_corporal",IF(ISNUMBER(E281),E281,0)+L281,L281)*(1+M281/30),IF(C281="peso_corporal",IF(ISNUMBER(E281),E281,0)+O281,O281)*(1+P281/30),IF(C281="peso_corporal",IF(ISNUMBER(E281),E281,0)+R281,R281)*(1+S281/30)),1)),"--")</f>
        <v>--</v>
      </c>
      <c r="V281" s="23" t="str">
        <f>IF(SUGERENCIAS!N682="SIN","Sin datos anteriores",IF(SUGERENCIAS!N682="SUBIR_F","^ SUBIR FUERTE | Kg:"&amp;ROUND(SUGERENCIAS!K682,1)&amp;" R:"&amp;ROUND(SUGERENCIAS!L682,0)&amp;" RIR:"&amp;ROUND(SUGERENCIAS!M682,0),IF(SUGERENCIAS!N682="SUBIR_E","^ SUBIR (Est.) | Kg:"&amp;ROUND(SUGERENCIAS!K682,1)&amp;" R:"&amp;ROUND(SUGERENCIAS!L682,0)&amp;" RIR:"&amp;ROUND(SUGERENCIAS!M682,0),IF(SUGERENCIAS!N682="SUBIR","^ SUBIR | Kg:"&amp;ROUND(SUGERENCIAS!K682,1)&amp;" R:"&amp;ROUND(SUGERENCIAS!L682,0)&amp;" RIR:"&amp;ROUND(SUGERENCIAS!M682,0),IF(SUGERENCIAS!N682="BAJAR","v BAJAR | Kg:"&amp;ROUND(SUGERENCIAS!K682,1)&amp;" R:"&amp;ROUND(SUGERENCIAS!L682,0)&amp;" RIR:"&amp;ROUND(SUGERENCIAS!M682,0),"= MANT | Kg:"&amp;ROUND(SUGERENCIAS!K682,1)&amp;" R:"&amp;ROUND(SUGERENCIAS!L682,0)&amp;" RIR:"&amp;ROUND(SUGERENCIAS!M682,0))))))</f>
        <v>= MANT | Kg:40 R:7 RIR:2</v>
      </c>
      <c r="W281" s="69">
        <f>MAX(IF((G281&gt;0)*(IF(H281="",-1,H281)&gt;=0)*(IF(H281="",-1,H281)&lt;=1),IF(C281="peso_corporal",IF(ISNUMBER(E281),E281,0)+F281,F281)*G281*1000+F281,0),IF((J281&gt;0)*(IF(K281="",-1,K281)&gt;=0)*(IF(K281="",-1,K281)&lt;=1),IF(C281="peso_corporal",IF(ISNUMBER(E281),E281,0)+I281,I281)*J281*1000+I281,0),IF((M281&gt;0)*(IF(N281="",-1,N281)&gt;=0)*(IF(N281="",-1,N281)&lt;=1),IF(C281="peso_corporal",IF(ISNUMBER(E281),E281,0)+L281,L281)*M281*1000+L281,0),IF((P281&gt;0)*(IF(Q281="",-1,Q281)&gt;=0)*(IF(Q281="",-1,Q281)&lt;=1),IF(C281="peso_corporal",IF(ISNUMBER(E281),E281,0)+O281,O281)*P281*1000+O281,0),IF((S281&gt;0)*(IF(T281="",-1,T281)&gt;=0)*(IF(T281="",-1,T281)&lt;=1),IF(C281="peso_corporal",IF(ISNUMBER(E281),E281,0)+R281,R281)*S281*1000+R281,0))</f>
        <v>0</v>
      </c>
      <c r="X281" s="69">
        <f>IF(W281=0,0,IF(IF((S281&gt;0)*(IF(T281="",-1,T281)&gt;=0)*(IF(T281="",-1,T281)&lt;=1),IF(C281="peso_corporal",IF(ISNUMBER(E281),E281,0)+R281,R281)*S281*1000+R281,0)=W281,5,IF(IF((P281&gt;0)*(IF(Q281="",-1,Q281)&gt;=0)*(IF(Q281="",-1,Q281)&lt;=1),IF(C281="peso_corporal",IF(ISNUMBER(E281),E281,0)+O281,O281)*P281*1000+O281,0)=W281,4,IF(IF((M281&gt;0)*(IF(N281="",-1,N281)&gt;=0)*(IF(N281="",-1,N281)&lt;=1),IF(C281="peso_corporal",IF(ISNUMBER(E281),E281,0)+L281,L281)*M281*1000+L281,0)=W281,3,IF(IF((J281&gt;0)*(IF(K281="",-1,K281)&gt;=0)*(IF(K281="",-1,K281)&lt;=1),IF(C281="peso_corporal",IF(ISNUMBER(E281),E281,0)+I281,I281)*J281*1000+I281,0)=W281,2,IF(IF((G281&gt;0)*(IF(H281="",-1,H281)&gt;=0)*(IF(H281="",-1,H281)&lt;=1),IF(C281="peso_corporal",IF(ISNUMBER(E281),E281,0)+F281,F281)*G281*1000+F281,0)=W281,1,0))))))</f>
        <v>0</v>
      </c>
      <c r="Y281" s="69">
        <f>MAX(IF((G281&gt;0)*(IF(H281="",-1,H281)=0)*(1-(IF(H281="",-1,H281)&gt;=0)*(IF(H281="",-1,H281)&lt;=1)),IF(C281="peso_corporal",IF(ISNUMBER(E281),E281,0)+F281,F281)*G281*1000+F281,0),IF((J281&gt;0)*(IF(K281="",-1,K281)=0)*(1-(IF(K281="",-1,K281)&gt;=0)*(IF(K281="",-1,K281)&lt;=1)),IF(C281="peso_corporal",IF(ISNUMBER(E281),E281,0)+I281,I281)*J281*1000+I281,0),IF((M281&gt;0)*(IF(N281="",-1,N281)=0)*(1-(IF(N281="",-1,N281)&gt;=0)*(IF(N281="",-1,N281)&lt;=1)),IF(C281="peso_corporal",IF(ISNUMBER(E281),E281,0)+L281,L281)*M281*1000+L281,0),IF((P281&gt;0)*(IF(Q281="",-1,Q281)=0)*(1-(IF(Q281="",-1,Q281)&gt;=0)*(IF(Q281="",-1,Q281)&lt;=1)),IF(C281="peso_corporal",IF(ISNUMBER(E281),E281,0)+O281,O281)*P281*1000+O281,0),IF((S281&gt;0)*(IF(T281="",-1,T281)=0)*(1-(IF(T281="",-1,T281)&gt;=0)*(IF(T281="",-1,T281)&lt;=1)),IF(C281="peso_corporal",IF(ISNUMBER(E281),E281,0)+R281,R281)*S281*1000+R281,0))</f>
        <v>0</v>
      </c>
      <c r="Z281" s="69">
        <f>IF(Y281=0,0,IF(IF((S281&gt;0)*(IF(T281="",-1,T281)=0)*(1-(IF(T281="",-1,T281)&gt;=0)*(IF(T281="",-1,T281)&lt;=1)),IF(C281="peso_corporal",IF(ISNUMBER(E281),E281,0)+R281,R281)*S281*1000+R281,0)=Y281,5,IF(IF((P281&gt;0)*(IF(Q281="",-1,Q281)=0)*(1-(IF(Q281="",-1,Q281)&gt;=0)*(IF(Q281="",-1,Q281)&lt;=1)),IF(C281="peso_corporal",IF(ISNUMBER(E281),E281,0)+O281,O281)*P281*1000+O281,0)=Y281,4,IF(IF((M281&gt;0)*(IF(N281="",-1,N281)=0)*(1-(IF(N281="",-1,N281)&gt;=0)*(IF(N281="",-1,N281)&lt;=1)),IF(C281="peso_corporal",IF(ISNUMBER(E281),E281,0)+L281,L281)*M281*1000+L281,0)=Y281,3,IF(IF((J281&gt;0)*(IF(K281="",-1,K281)=0)*(1-(IF(K281="",-1,K281)&gt;=0)*(IF(K281="",-1,K281)&lt;=1)),IF(C281="peso_corporal",IF(ISNUMBER(E281),E281,0)+I281,I281)*J281*1000+I281,0)=Y281,2,IF(IF((G281&gt;0)*(IF(H281="",-1,H281)=0)*(1-(IF(H281="",-1,H281)&gt;=0)*(IF(H281="",-1,H281)&lt;=1)),IF(C281="peso_corporal",IF(ISNUMBER(E281),E281,0)+F281,F281)*G281*1000+F281,0)=Y281,1,0))))))</f>
        <v>0</v>
      </c>
      <c r="AA281" s="69">
        <f>MAX(IF((G281&gt;=3)*(1-(IF(H281="",-1,H281)&gt;=0)*(IF(H281="",-1,H281)&lt;=1))*(1-(IF(H281="",-1,H281)=0)),IF(C281="peso_corporal",IF(ISNUMBER(E281),E281,0)+F281,F281)*(30+G281)*100+F281,0),IF((J281&gt;=3)*(1-(IF(K281="",-1,K281)&gt;=0)*(IF(K281="",-1,K281)&lt;=1))*(1-(IF(K281="",-1,K281)=0)),IF(C281="peso_corporal",IF(ISNUMBER(E281),E281,0)+I281,I281)*(30+J281)*100+I281,0),IF((M281&gt;=3)*(1-(IF(N281="",-1,N281)&gt;=0)*(IF(N281="",-1,N281)&lt;=1))*(1-(IF(N281="",-1,N281)=0)),IF(C281="peso_corporal",IF(ISNUMBER(E281),E281,0)+L281,L281)*(30+M281)*100+L281,0),IF((P281&gt;=3)*(1-(IF(Q281="",-1,Q281)&gt;=0)*(IF(Q281="",-1,Q281)&lt;=1))*(1-(IF(Q281="",-1,Q281)=0)),IF(C281="peso_corporal",IF(ISNUMBER(E281),E281,0)+O281,O281)*(30+P281)*100+O281,0),IF((S281&gt;=3)*(1-(IF(T281="",-1,T281)&gt;=0)*(IF(T281="",-1,T281)&lt;=1))*(1-(IF(T281="",-1,T281)=0)),IF(C281="peso_corporal",IF(ISNUMBER(E281),E281,0)+R281,R281)*(30+S281)*100+R281,0))</f>
        <v>0</v>
      </c>
      <c r="AB281" s="69">
        <f>IF(AA281=0,0,IF(IF((S281&gt;=3)*(1-(IF(T281="",-1,T281)&gt;=0)*(IF(T281="",-1,T281)&lt;=1))*(1-(IF(T281="",-1,T281)=0)),IF(C281="peso_corporal",IF(ISNUMBER(E281),E281,0)+R281,R281)*(30+S281)*100+R281,0)=AA281,5,IF(IF((P281&gt;=3)*(1-(IF(Q281="",-1,Q281)&gt;=0)*(IF(Q281="",-1,Q281)&lt;=1))*(1-(IF(Q281="",-1,Q281)=0)),IF(C281="peso_corporal",IF(ISNUMBER(E281),E281,0)+O281,O281)*(30+P281)*100+O281,0)=AA281,4,IF(IF((M281&gt;=3)*(1-(IF(N281="",-1,N281)&gt;=0)*(IF(N281="",-1,N281)&lt;=1))*(1-(IF(N281="",-1,N281)=0)),IF(C281="peso_corporal",IF(ISNUMBER(E281),E281,0)+L281,L281)*(30+M281)*100+L281,0)=AA281,3,IF(IF((J281&gt;=3)*(1-(IF(K281="",-1,K281)&gt;=0)*(IF(K281="",-1,K281)&lt;=1))*(1-(IF(K281="",-1,K281)=0)),IF(C281="peso_corporal",IF(ISNUMBER(E281),E281,0)+I281,I281)*(30+J281)*100+I281,0)=AA281,2,IF(IF((G281&gt;=3)*(1-(IF(H281="",-1,H281)&gt;=0)*(IF(H281="",-1,H281)&lt;=1))*(1-(IF(H281="",-1,H281)=0)),IF(C281="peso_corporal",IF(ISNUMBER(E281),E281,0)+F281,F281)*(30+G281)*100+F281,0)=AA281,1,0))))))</f>
        <v>0</v>
      </c>
      <c r="AC281" s="69" t="str">
        <f>IF(X281&gt;0,"A"&amp;X281,IF(Z281&gt;0,"B"&amp;Z281,IF(AB281&gt;0,"C"&amp;AB281,"")))</f>
        <v/>
      </c>
    </row>
    <row r="282" spans="1:29" ht="15" customHeight="1">
      <c r="A282" s="72" t="s">
        <v>56</v>
      </c>
      <c r="B282" s="73"/>
      <c r="C282" s="73"/>
      <c r="D282" s="73"/>
      <c r="E282" s="73"/>
      <c r="F282" s="73"/>
      <c r="G282" s="73"/>
      <c r="H282" s="73"/>
      <c r="I282" s="73"/>
      <c r="J282" s="73"/>
      <c r="K282" s="73"/>
      <c r="L282" s="73"/>
      <c r="M282" s="73"/>
      <c r="N282" s="73"/>
      <c r="O282" s="73"/>
      <c r="P282" s="73"/>
      <c r="Q282" s="73"/>
      <c r="R282" s="73"/>
      <c r="S282" s="73"/>
      <c r="T282" s="73"/>
      <c r="U282" s="73"/>
      <c r="V282" s="73"/>
      <c r="W282" s="69"/>
      <c r="X282" s="69"/>
      <c r="Y282" s="69"/>
      <c r="Z282" s="69"/>
      <c r="AA282" s="69"/>
      <c r="AB282" s="69"/>
      <c r="AC282" s="69"/>
    </row>
    <row r="283" spans="1:29" ht="20.100000000000001" customHeight="1">
      <c r="A283" s="14" t="s">
        <v>57</v>
      </c>
      <c r="B283" s="15" t="s">
        <v>58</v>
      </c>
      <c r="C283" s="16" t="str">
        <f>IFERROR(INDEX(EJERCICIOS!$D$3:$D$75,MATCH(A283&amp;"|"&amp;B283,EJERCICIOS!$G$3:$G$75,0)),"--")</f>
        <v>polea</v>
      </c>
      <c r="D283" s="17">
        <v>3</v>
      </c>
      <c r="E283" s="18">
        <f>IFERROR(LOOKUP(2,1/(MEDIDAS_Y_PESO!$B$3:$B$13&lt;&gt;""),MEDIDAS_Y_PESO!$B$3:$B$13),"--")</f>
        <v>80</v>
      </c>
      <c r="F283" s="19"/>
      <c r="G283" s="20"/>
      <c r="H283" s="21"/>
      <c r="I283" s="19"/>
      <c r="J283" s="20"/>
      <c r="K283" s="21"/>
      <c r="L283" s="19"/>
      <c r="M283" s="20"/>
      <c r="N283" s="21"/>
      <c r="O283" s="19"/>
      <c r="P283" s="20"/>
      <c r="Q283" s="21"/>
      <c r="R283" s="19"/>
      <c r="S283" s="20"/>
      <c r="T283" s="21"/>
      <c r="U283" s="22" t="str">
        <f>IFERROR(IF(IF(X283&gt;0,X283,IF(Z283&gt;0,Z283,IF(AB283&gt;0,AB283,0)))=0,"--",ROUND(CHOOSE(IF(X283&gt;0,X283,IF(Z283&gt;0,Z283,IF(AB283&gt;0,AB283,0))),IF(C283="peso_corporal",IF(ISNUMBER(E283),E283,0)+F283,F283)*(1+G283/30),IF(C283="peso_corporal",IF(ISNUMBER(E283),E283,0)+I283,I283)*(1+J283/30),IF(C283="peso_corporal",IF(ISNUMBER(E283),E283,0)+L283,L283)*(1+M283/30),IF(C283="peso_corporal",IF(ISNUMBER(E283),E283,0)+O283,O283)*(1+P283/30),IF(C283="peso_corporal",IF(ISNUMBER(E283),E283,0)+R283,R283)*(1+S283/30)),1)),"--")</f>
        <v>--</v>
      </c>
      <c r="V283" s="23" t="str">
        <f>IF(SUGERENCIAS!N683="SIN","Sin datos anteriores",IF(SUGERENCIAS!N683="SUBIR_F","^ SUBIR FUERTE | Kg:"&amp;ROUND(SUGERENCIAS!K683,1)&amp;" R:"&amp;ROUND(SUGERENCIAS!L683,0)&amp;" RIR:"&amp;ROUND(SUGERENCIAS!M683,0),IF(SUGERENCIAS!N683="SUBIR_E","^ SUBIR (Est.) | Kg:"&amp;ROUND(SUGERENCIAS!K683,1)&amp;" R:"&amp;ROUND(SUGERENCIAS!L683,0)&amp;" RIR:"&amp;ROUND(SUGERENCIAS!M683,0),IF(SUGERENCIAS!N683="SUBIR","^ SUBIR | Kg:"&amp;ROUND(SUGERENCIAS!K683,1)&amp;" R:"&amp;ROUND(SUGERENCIAS!L683,0)&amp;" RIR:"&amp;ROUND(SUGERENCIAS!M683,0),IF(SUGERENCIAS!N683="BAJAR","v BAJAR | Kg:"&amp;ROUND(SUGERENCIAS!K683,1)&amp;" R:"&amp;ROUND(SUGERENCIAS!L683,0)&amp;" RIR:"&amp;ROUND(SUGERENCIAS!M683,0),"= MANT | Kg:"&amp;ROUND(SUGERENCIAS!K683,1)&amp;" R:"&amp;ROUND(SUGERENCIAS!L683,0)&amp;" RIR:"&amp;ROUND(SUGERENCIAS!M683,0))))))</f>
        <v>Sin datos anteriores</v>
      </c>
      <c r="W283" s="69">
        <f>MAX(IF((G283&gt;0)*(IF(H283="",-1,H283)&gt;=0)*(IF(H283="",-1,H283)&lt;=1),IF(C283="peso_corporal",IF(ISNUMBER(E283),E283,0)+F283,F283)*G283*1000+F283,0),IF((J283&gt;0)*(IF(K283="",-1,K283)&gt;=0)*(IF(K283="",-1,K283)&lt;=1),IF(C283="peso_corporal",IF(ISNUMBER(E283),E283,0)+I283,I283)*J283*1000+I283,0),IF((M283&gt;0)*(IF(N283="",-1,N283)&gt;=0)*(IF(N283="",-1,N283)&lt;=1),IF(C283="peso_corporal",IF(ISNUMBER(E283),E283,0)+L283,L283)*M283*1000+L283,0),IF((P283&gt;0)*(IF(Q283="",-1,Q283)&gt;=0)*(IF(Q283="",-1,Q283)&lt;=1),IF(C283="peso_corporal",IF(ISNUMBER(E283),E283,0)+O283,O283)*P283*1000+O283,0),IF((S283&gt;0)*(IF(T283="",-1,T283)&gt;=0)*(IF(T283="",-1,T283)&lt;=1),IF(C283="peso_corporal",IF(ISNUMBER(E283),E283,0)+R283,R283)*S283*1000+R283,0))</f>
        <v>0</v>
      </c>
      <c r="X283" s="69">
        <f>IF(W283=0,0,IF(IF((S283&gt;0)*(IF(T283="",-1,T283)&gt;=0)*(IF(T283="",-1,T283)&lt;=1),IF(C283="peso_corporal",IF(ISNUMBER(E283),E283,0)+R283,R283)*S283*1000+R283,0)=W283,5,IF(IF((P283&gt;0)*(IF(Q283="",-1,Q283)&gt;=0)*(IF(Q283="",-1,Q283)&lt;=1),IF(C283="peso_corporal",IF(ISNUMBER(E283),E283,0)+O283,O283)*P283*1000+O283,0)=W283,4,IF(IF((M283&gt;0)*(IF(N283="",-1,N283)&gt;=0)*(IF(N283="",-1,N283)&lt;=1),IF(C283="peso_corporal",IF(ISNUMBER(E283),E283,0)+L283,L283)*M283*1000+L283,0)=W283,3,IF(IF((J283&gt;0)*(IF(K283="",-1,K283)&gt;=0)*(IF(K283="",-1,K283)&lt;=1),IF(C283="peso_corporal",IF(ISNUMBER(E283),E283,0)+I283,I283)*J283*1000+I283,0)=W283,2,IF(IF((G283&gt;0)*(IF(H283="",-1,H283)&gt;=0)*(IF(H283="",-1,H283)&lt;=1),IF(C283="peso_corporal",IF(ISNUMBER(E283),E283,0)+F283,F283)*G283*1000+F283,0)=W283,1,0))))))</f>
        <v>0</v>
      </c>
      <c r="Y283" s="69">
        <f>MAX(IF((G283&gt;0)*(IF(H283="",-1,H283)=0)*(1-(IF(H283="",-1,H283)&gt;=0)*(IF(H283="",-1,H283)&lt;=1)),IF(C283="peso_corporal",IF(ISNUMBER(E283),E283,0)+F283,F283)*G283*1000+F283,0),IF((J283&gt;0)*(IF(K283="",-1,K283)=0)*(1-(IF(K283="",-1,K283)&gt;=0)*(IF(K283="",-1,K283)&lt;=1)),IF(C283="peso_corporal",IF(ISNUMBER(E283),E283,0)+I283,I283)*J283*1000+I283,0),IF((M283&gt;0)*(IF(N283="",-1,N283)=0)*(1-(IF(N283="",-1,N283)&gt;=0)*(IF(N283="",-1,N283)&lt;=1)),IF(C283="peso_corporal",IF(ISNUMBER(E283),E283,0)+L283,L283)*M283*1000+L283,0),IF((P283&gt;0)*(IF(Q283="",-1,Q283)=0)*(1-(IF(Q283="",-1,Q283)&gt;=0)*(IF(Q283="",-1,Q283)&lt;=1)),IF(C283="peso_corporal",IF(ISNUMBER(E283),E283,0)+O283,O283)*P283*1000+O283,0),IF((S283&gt;0)*(IF(T283="",-1,T283)=0)*(1-(IF(T283="",-1,T283)&gt;=0)*(IF(T283="",-1,T283)&lt;=1)),IF(C283="peso_corporal",IF(ISNUMBER(E283),E283,0)+R283,R283)*S283*1000+R283,0))</f>
        <v>0</v>
      </c>
      <c r="Z283" s="69">
        <f>IF(Y283=0,0,IF(IF((S283&gt;0)*(IF(T283="",-1,T283)=0)*(1-(IF(T283="",-1,T283)&gt;=0)*(IF(T283="",-1,T283)&lt;=1)),IF(C283="peso_corporal",IF(ISNUMBER(E283),E283,0)+R283,R283)*S283*1000+R283,0)=Y283,5,IF(IF((P283&gt;0)*(IF(Q283="",-1,Q283)=0)*(1-(IF(Q283="",-1,Q283)&gt;=0)*(IF(Q283="",-1,Q283)&lt;=1)),IF(C283="peso_corporal",IF(ISNUMBER(E283),E283,0)+O283,O283)*P283*1000+O283,0)=Y283,4,IF(IF((M283&gt;0)*(IF(N283="",-1,N283)=0)*(1-(IF(N283="",-1,N283)&gt;=0)*(IF(N283="",-1,N283)&lt;=1)),IF(C283="peso_corporal",IF(ISNUMBER(E283),E283,0)+L283,L283)*M283*1000+L283,0)=Y283,3,IF(IF((J283&gt;0)*(IF(K283="",-1,K283)=0)*(1-(IF(K283="",-1,K283)&gt;=0)*(IF(K283="",-1,K283)&lt;=1)),IF(C283="peso_corporal",IF(ISNUMBER(E283),E283,0)+I283,I283)*J283*1000+I283,0)=Y283,2,IF(IF((G283&gt;0)*(IF(H283="",-1,H283)=0)*(1-(IF(H283="",-1,H283)&gt;=0)*(IF(H283="",-1,H283)&lt;=1)),IF(C283="peso_corporal",IF(ISNUMBER(E283),E283,0)+F283,F283)*G283*1000+F283,0)=Y283,1,0))))))</f>
        <v>0</v>
      </c>
      <c r="AA283" s="69">
        <f>MAX(IF((G283&gt;=3)*(1-(IF(H283="",-1,H283)&gt;=0)*(IF(H283="",-1,H283)&lt;=1))*(1-(IF(H283="",-1,H283)=0)),IF(C283="peso_corporal",IF(ISNUMBER(E283),E283,0)+F283,F283)*(30+G283)*100+F283,0),IF((J283&gt;=3)*(1-(IF(K283="",-1,K283)&gt;=0)*(IF(K283="",-1,K283)&lt;=1))*(1-(IF(K283="",-1,K283)=0)),IF(C283="peso_corporal",IF(ISNUMBER(E283),E283,0)+I283,I283)*(30+J283)*100+I283,0),IF((M283&gt;=3)*(1-(IF(N283="",-1,N283)&gt;=0)*(IF(N283="",-1,N283)&lt;=1))*(1-(IF(N283="",-1,N283)=0)),IF(C283="peso_corporal",IF(ISNUMBER(E283),E283,0)+L283,L283)*(30+M283)*100+L283,0),IF((P283&gt;=3)*(1-(IF(Q283="",-1,Q283)&gt;=0)*(IF(Q283="",-1,Q283)&lt;=1))*(1-(IF(Q283="",-1,Q283)=0)),IF(C283="peso_corporal",IF(ISNUMBER(E283),E283,0)+O283,O283)*(30+P283)*100+O283,0),IF((S283&gt;=3)*(1-(IF(T283="",-1,T283)&gt;=0)*(IF(T283="",-1,T283)&lt;=1))*(1-(IF(T283="",-1,T283)=0)),IF(C283="peso_corporal",IF(ISNUMBER(E283),E283,0)+R283,R283)*(30+S283)*100+R283,0))</f>
        <v>0</v>
      </c>
      <c r="AB283" s="69">
        <f>IF(AA283=0,0,IF(IF((S283&gt;=3)*(1-(IF(T283="",-1,T283)&gt;=0)*(IF(T283="",-1,T283)&lt;=1))*(1-(IF(T283="",-1,T283)=0)),IF(C283="peso_corporal",IF(ISNUMBER(E283),E283,0)+R283,R283)*(30+S283)*100+R283,0)=AA283,5,IF(IF((P283&gt;=3)*(1-(IF(Q283="",-1,Q283)&gt;=0)*(IF(Q283="",-1,Q283)&lt;=1))*(1-(IF(Q283="",-1,Q283)=0)),IF(C283="peso_corporal",IF(ISNUMBER(E283),E283,0)+O283,O283)*(30+P283)*100+O283,0)=AA283,4,IF(IF((M283&gt;=3)*(1-(IF(N283="",-1,N283)&gt;=0)*(IF(N283="",-1,N283)&lt;=1))*(1-(IF(N283="",-1,N283)=0)),IF(C283="peso_corporal",IF(ISNUMBER(E283),E283,0)+L283,L283)*(30+M283)*100+L283,0)=AA283,3,IF(IF((J283&gt;=3)*(1-(IF(K283="",-1,K283)&gt;=0)*(IF(K283="",-1,K283)&lt;=1))*(1-(IF(K283="",-1,K283)=0)),IF(C283="peso_corporal",IF(ISNUMBER(E283),E283,0)+I283,I283)*(30+J283)*100+I283,0)=AA283,2,IF(IF((G283&gt;=3)*(1-(IF(H283="",-1,H283)&gt;=0)*(IF(H283="",-1,H283)&lt;=1))*(1-(IF(H283="",-1,H283)=0)),IF(C283="peso_corporal",IF(ISNUMBER(E283),E283,0)+F283,F283)*(30+G283)*100+F283,0)=AA283,1,0))))))</f>
        <v>0</v>
      </c>
      <c r="AC283" s="69" t="str">
        <f>IF(X283&gt;0,"A"&amp;X283,IF(Z283&gt;0,"B"&amp;Z283,IF(AB283&gt;0,"C"&amp;AB283,"")))</f>
        <v/>
      </c>
    </row>
    <row r="284" spans="1:29" ht="6"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69"/>
      <c r="X284" s="69"/>
      <c r="Y284" s="69"/>
      <c r="Z284" s="69"/>
      <c r="AA284" s="69"/>
      <c r="AB284" s="69"/>
      <c r="AC284" s="69"/>
    </row>
    <row r="285" spans="1:29" ht="18" customHeight="1">
      <c r="A285" s="85" t="s">
        <v>77</v>
      </c>
      <c r="B285" s="73"/>
      <c r="C285" s="73"/>
      <c r="D285" s="73"/>
      <c r="E285" s="73"/>
      <c r="F285" s="73"/>
      <c r="G285" s="73"/>
      <c r="H285" s="73"/>
      <c r="I285" s="73"/>
      <c r="J285" s="73"/>
      <c r="K285" s="73"/>
      <c r="L285" s="73"/>
      <c r="M285" s="73"/>
      <c r="N285" s="73"/>
      <c r="O285" s="73"/>
      <c r="P285" s="73"/>
      <c r="Q285" s="73"/>
      <c r="R285" s="73"/>
      <c r="S285" s="73"/>
      <c r="T285" s="73"/>
      <c r="U285" s="73"/>
      <c r="V285" s="73"/>
      <c r="W285" s="69"/>
      <c r="X285" s="69"/>
      <c r="Y285" s="69"/>
      <c r="Z285" s="69"/>
      <c r="AA285" s="69"/>
      <c r="AB285" s="69"/>
      <c r="AC285" s="69"/>
    </row>
    <row r="286" spans="1:29" ht="15" customHeight="1">
      <c r="A286" s="81" t="s">
        <v>42</v>
      </c>
      <c r="B286" s="73"/>
      <c r="C286" s="73"/>
      <c r="D286" s="73"/>
      <c r="E286" s="73"/>
      <c r="F286" s="73"/>
      <c r="G286" s="73"/>
      <c r="H286" s="73"/>
      <c r="I286" s="73"/>
      <c r="J286" s="73"/>
      <c r="K286" s="73"/>
      <c r="L286" s="73"/>
      <c r="M286" s="73"/>
      <c r="N286" s="73"/>
      <c r="O286" s="73"/>
      <c r="P286" s="73"/>
      <c r="Q286" s="73"/>
      <c r="R286" s="73"/>
      <c r="S286" s="73"/>
      <c r="T286" s="73"/>
      <c r="U286" s="73"/>
      <c r="V286" s="73"/>
      <c r="W286" s="69"/>
      <c r="X286" s="69"/>
      <c r="Y286" s="69"/>
      <c r="Z286" s="69"/>
      <c r="AA286" s="69"/>
      <c r="AB286" s="69"/>
      <c r="AC286" s="69"/>
    </row>
    <row r="287" spans="1:29" ht="20.100000000000001" customHeight="1">
      <c r="A287" s="14" t="s">
        <v>45</v>
      </c>
      <c r="B287" s="15" t="s">
        <v>93</v>
      </c>
      <c r="C287" s="16" t="str">
        <f>IFERROR(INDEX(EJERCICIOS!$D$3:$D$75,MATCH(A287&amp;"|"&amp;B287,EJERCICIOS!$G$3:$G$75,0)),"--")</f>
        <v>--</v>
      </c>
      <c r="D287" s="17">
        <v>3</v>
      </c>
      <c r="E287" s="18">
        <f>IFERROR(LOOKUP(2,1/(MEDIDAS_Y_PESO!$B$3:$B$14&lt;&gt;""),MEDIDAS_Y_PESO!$B$3:$B$14),"--")</f>
        <v>80</v>
      </c>
      <c r="F287" s="19"/>
      <c r="G287" s="20"/>
      <c r="H287" s="21"/>
      <c r="I287" s="19"/>
      <c r="J287" s="20"/>
      <c r="K287" s="21"/>
      <c r="L287" s="19"/>
      <c r="M287" s="20"/>
      <c r="N287" s="21"/>
      <c r="O287" s="19"/>
      <c r="P287" s="20"/>
      <c r="Q287" s="21"/>
      <c r="R287" s="19"/>
      <c r="S287" s="20"/>
      <c r="T287" s="21"/>
      <c r="U287" s="22" t="str">
        <f>IFERROR(IF(IF(X287&gt;0,X287,IF(Z287&gt;0,Z287,IF(AB287&gt;0,AB287,0)))=0,"--",ROUND(CHOOSE(IF(X287&gt;0,X287,IF(Z287&gt;0,Z287,IF(AB287&gt;0,AB287,0))),IF(C287="peso_corporal",IF(ISNUMBER(E287),E287,0)+F287,F287)*(1+G287/30),IF(C287="peso_corporal",IF(ISNUMBER(E287),E287,0)+I287,I287)*(1+J287/30),IF(C287="peso_corporal",IF(ISNUMBER(E287),E287,0)+L287,L287)*(1+M287/30),IF(C287="peso_corporal",IF(ISNUMBER(E287),E287,0)+O287,O287)*(1+P287/30),IF(C287="peso_corporal",IF(ISNUMBER(E287),E287,0)+R287,R287)*(1+S287/30)),1)),"--")</f>
        <v>--</v>
      </c>
      <c r="V287" s="23" t="str">
        <f>IF(SUGERENCIAS!N734="SIN","Sin datos anteriores",IF(SUGERENCIAS!N734="SUBIR_F","^ SUBIR FUERTE | Kg:"&amp;ROUND(SUGERENCIAS!K734,1)&amp;" R:"&amp;ROUND(SUGERENCIAS!L734,0)&amp;" RIR:"&amp;ROUND(SUGERENCIAS!M734,0),IF(SUGERENCIAS!N734="SUBIR_E","^ SUBIR (Est.) | Kg:"&amp;ROUND(SUGERENCIAS!K734,1)&amp;" R:"&amp;ROUND(SUGERENCIAS!L734,0)&amp;" RIR:"&amp;ROUND(SUGERENCIAS!M734,0),IF(SUGERENCIAS!N734="SUBIR","^ SUBIR | Kg:"&amp;ROUND(SUGERENCIAS!K734,1)&amp;" R:"&amp;ROUND(SUGERENCIAS!L734,0)&amp;" RIR:"&amp;ROUND(SUGERENCIAS!M734,0),IF(SUGERENCIAS!N734="BAJAR","v BAJAR | Kg:"&amp;ROUND(SUGERENCIAS!K734,1)&amp;" R:"&amp;ROUND(SUGERENCIAS!L734,0)&amp;" RIR:"&amp;ROUND(SUGERENCIAS!M734,0),"= MANT | Kg:"&amp;ROUND(SUGERENCIAS!K734,1)&amp;" R:"&amp;ROUND(SUGERENCIAS!L734,0)&amp;" RIR:"&amp;ROUND(SUGERENCIAS!M734,0))))))</f>
        <v>Sin datos anteriores</v>
      </c>
      <c r="W287" s="69">
        <f>MAX(IF((G287&gt;0)*(IF(H287="",-1,H287)&gt;=3)*(IF(H287="",-1,H287)&lt;=4),IF(C287="peso_corporal",IF(ISNUMBER(E287),E287,0)+F287,F287)*G287*1000+F287,0),IF((J287&gt;0)*(IF(K287="",-1,K287)&gt;=3)*(IF(K287="",-1,K287)&lt;=4),IF(C287="peso_corporal",IF(ISNUMBER(E287),E287,0)+I287,I287)*J287*1000+I287,0),IF((M287&gt;0)*(IF(N287="",-1,N287)&gt;=3)*(IF(N287="",-1,N287)&lt;=4),IF(C287="peso_corporal",IF(ISNUMBER(E287),E287,0)+L287,L287)*M287*1000+L287,0),IF((P287&gt;0)*(IF(Q287="",-1,Q287)&gt;=3)*(IF(Q287="",-1,Q287)&lt;=4),IF(C287="peso_corporal",IF(ISNUMBER(E287),E287,0)+O287,O287)*P287*1000+O287,0),IF((S287&gt;0)*(IF(T287="",-1,T287)&gt;=3)*(IF(T287="",-1,T287)&lt;=4),IF(C287="peso_corporal",IF(ISNUMBER(E287),E287,0)+R287,R287)*S287*1000+R287,0))</f>
        <v>0</v>
      </c>
      <c r="X287" s="69">
        <f>IF(W287=0,0,IF(IF((S287&gt;0)*(IF(T287="",-1,T287)&gt;=3)*(IF(T287="",-1,T287)&lt;=4),IF(C287="peso_corporal",IF(ISNUMBER(E287),E287,0)+R287,R287)*S287*1000+R287,0)=W287,5,IF(IF((P287&gt;0)*(IF(Q287="",-1,Q287)&gt;=3)*(IF(Q287="",-1,Q287)&lt;=4),IF(C287="peso_corporal",IF(ISNUMBER(E287),E287,0)+O287,O287)*P287*1000+O287,0)=W287,4,IF(IF((M287&gt;0)*(IF(N287="",-1,N287)&gt;=3)*(IF(N287="",-1,N287)&lt;=4),IF(C287="peso_corporal",IF(ISNUMBER(E287),E287,0)+L287,L287)*M287*1000+L287,0)=W287,3,IF(IF((J287&gt;0)*(IF(K287="",-1,K287)&gt;=3)*(IF(K287="",-1,K287)&lt;=4),IF(C287="peso_corporal",IF(ISNUMBER(E287),E287,0)+I287,I287)*J287*1000+I287,0)=W287,2,IF(IF((G287&gt;0)*(IF(H287="",-1,H287)&gt;=3)*(IF(H287="",-1,H287)&lt;=4),IF(C287="peso_corporal",IF(ISNUMBER(E287),E287,0)+F287,F287)*G287*1000+F287,0)=W287,1,0))))))</f>
        <v>0</v>
      </c>
      <c r="Y287" s="69">
        <f>MAX(IF((G287&gt;0)*(IF(H287="",-1,H287)=0)*(1-(IF(H287="",-1,H287)&gt;=3)*(IF(H287="",-1,H287)&lt;=4)),IF(C287="peso_corporal",IF(ISNUMBER(E287),E287,0)+F287,F287)*G287*1000+F287,0),IF((J287&gt;0)*(IF(K287="",-1,K287)=0)*(1-(IF(K287="",-1,K287)&gt;=3)*(IF(K287="",-1,K287)&lt;=4)),IF(C287="peso_corporal",IF(ISNUMBER(E287),E287,0)+I287,I287)*J287*1000+I287,0),IF((M287&gt;0)*(IF(N287="",-1,N287)=0)*(1-(IF(N287="",-1,N287)&gt;=3)*(IF(N287="",-1,N287)&lt;=4)),IF(C287="peso_corporal",IF(ISNUMBER(E287),E287,0)+L287,L287)*M287*1000+L287,0),IF((P287&gt;0)*(IF(Q287="",-1,Q287)=0)*(1-(IF(Q287="",-1,Q287)&gt;=3)*(IF(Q287="",-1,Q287)&lt;=4)),IF(C287="peso_corporal",IF(ISNUMBER(E287),E287,0)+O287,O287)*P287*1000+O287,0),IF((S287&gt;0)*(IF(T287="",-1,T287)=0)*(1-(IF(T287="",-1,T287)&gt;=3)*(IF(T287="",-1,T287)&lt;=4)),IF(C287="peso_corporal",IF(ISNUMBER(E287),E287,0)+R287,R287)*S287*1000+R287,0))</f>
        <v>0</v>
      </c>
      <c r="Z287" s="69">
        <f>IF(Y287=0,0,IF(IF((S287&gt;0)*(IF(T287="",-1,T287)=0)*(1-(IF(T287="",-1,T287)&gt;=3)*(IF(T287="",-1,T287)&lt;=4)),IF(C287="peso_corporal",IF(ISNUMBER(E287),E287,0)+R287,R287)*S287*1000+R287,0)=Y287,5,IF(IF((P287&gt;0)*(IF(Q287="",-1,Q287)=0)*(1-(IF(Q287="",-1,Q287)&gt;=3)*(IF(Q287="",-1,Q287)&lt;=4)),IF(C287="peso_corporal",IF(ISNUMBER(E287),E287,0)+O287,O287)*P287*1000+O287,0)=Y287,4,IF(IF((M287&gt;0)*(IF(N287="",-1,N287)=0)*(1-(IF(N287="",-1,N287)&gt;=3)*(IF(N287="",-1,N287)&lt;=4)),IF(C287="peso_corporal",IF(ISNUMBER(E287),E287,0)+L287,L287)*M287*1000+L287,0)=Y287,3,IF(IF((J287&gt;0)*(IF(K287="",-1,K287)=0)*(1-(IF(K287="",-1,K287)&gt;=3)*(IF(K287="",-1,K287)&lt;=4)),IF(C287="peso_corporal",IF(ISNUMBER(E287),E287,0)+I287,I287)*J287*1000+I287,0)=Y287,2,IF(IF((G287&gt;0)*(IF(H287="",-1,H287)=0)*(1-(IF(H287="",-1,H287)&gt;=3)*(IF(H287="",-1,H287)&lt;=4)),IF(C287="peso_corporal",IF(ISNUMBER(E287),E287,0)+F287,F287)*G287*1000+F287,0)=Y287,1,0))))))</f>
        <v>0</v>
      </c>
      <c r="AA287" s="69">
        <f>MAX(IF((G287&gt;=12)*(1-(IF(H287="",-1,H287)&gt;=3)*(IF(H287="",-1,H287)&lt;=4))*(1-(IF(H287="",-1,H287)=0)),IF(C287="peso_corporal",IF(ISNUMBER(E287),E287,0)+F287,F287)*(30+G287)*100+F287,0),IF((J287&gt;=12)*(1-(IF(K287="",-1,K287)&gt;=3)*(IF(K287="",-1,K287)&lt;=4))*(1-(IF(K287="",-1,K287)=0)),IF(C287="peso_corporal",IF(ISNUMBER(E287),E287,0)+I287,I287)*(30+J287)*100+I287,0),IF((M287&gt;=12)*(1-(IF(N287="",-1,N287)&gt;=3)*(IF(N287="",-1,N287)&lt;=4))*(1-(IF(N287="",-1,N287)=0)),IF(C287="peso_corporal",IF(ISNUMBER(E287),E287,0)+L287,L287)*(30+M287)*100+L287,0),IF((P287&gt;=12)*(1-(IF(Q287="",-1,Q287)&gt;=3)*(IF(Q287="",-1,Q287)&lt;=4))*(1-(IF(Q287="",-1,Q287)=0)),IF(C287="peso_corporal",IF(ISNUMBER(E287),E287,0)+O287,O287)*(30+P287)*100+O287,0),IF((S287&gt;=12)*(1-(IF(T287="",-1,T287)&gt;=3)*(IF(T287="",-1,T287)&lt;=4))*(1-(IF(T287="",-1,T287)=0)),IF(C287="peso_corporal",IF(ISNUMBER(E287),E287,0)+R287,R287)*(30+S287)*100+R287,0))</f>
        <v>0</v>
      </c>
      <c r="AB287" s="69">
        <f>IF(AA287=0,0,IF(IF((S287&gt;=12)*(1-(IF(T287="",-1,T287)&gt;=3)*(IF(T287="",-1,T287)&lt;=4))*(1-(IF(T287="",-1,T287)=0)),IF(C287="peso_corporal",IF(ISNUMBER(E287),E287,0)+R287,R287)*(30+S287)*100+R287,0)=AA287,5,IF(IF((P287&gt;=12)*(1-(IF(Q287="",-1,Q287)&gt;=3)*(IF(Q287="",-1,Q287)&lt;=4))*(1-(IF(Q287="",-1,Q287)=0)),IF(C287="peso_corporal",IF(ISNUMBER(E287),E287,0)+O287,O287)*(30+P287)*100+O287,0)=AA287,4,IF(IF((M287&gt;=12)*(1-(IF(N287="",-1,N287)&gt;=3)*(IF(N287="",-1,N287)&lt;=4))*(1-(IF(N287="",-1,N287)=0)),IF(C287="peso_corporal",IF(ISNUMBER(E287),E287,0)+L287,L287)*(30+M287)*100+L287,0)=AA287,3,IF(IF((J287&gt;=12)*(1-(IF(K287="",-1,K287)&gt;=3)*(IF(K287="",-1,K287)&lt;=4))*(1-(IF(K287="",-1,K287)=0)),IF(C287="peso_corporal",IF(ISNUMBER(E287),E287,0)+I287,I287)*(30+J287)*100+I287,0)=AA287,2,IF(IF((G287&gt;=12)*(1-(IF(H287="",-1,H287)&gt;=3)*(IF(H287="",-1,H287)&lt;=4))*(1-(IF(H287="",-1,H287)=0)),IF(C287="peso_corporal",IF(ISNUMBER(E287),E287,0)+F287,F287)*(30+G287)*100+F287,0)=AA287,1,0))))))</f>
        <v>0</v>
      </c>
      <c r="AC287" s="69" t="str">
        <f>IF(X287&gt;0,"A"&amp;X287,IF(Z287&gt;0,"B"&amp;Z287,IF(AB287&gt;0,"C"&amp;AB287,"")))</f>
        <v/>
      </c>
    </row>
    <row r="288" spans="1:29" ht="20.100000000000001" customHeight="1">
      <c r="A288" s="14" t="s">
        <v>43</v>
      </c>
      <c r="B288" s="15" t="s">
        <v>159</v>
      </c>
      <c r="C288" s="16" t="str">
        <f>IFERROR(INDEX(EJERCICIOS!$D$3:$D$75,MATCH(A288&amp;"|"&amp;B288,EJERCICIOS!$G$3:$G$75,0)),"--")</f>
        <v>--</v>
      </c>
      <c r="D288" s="17">
        <v>3</v>
      </c>
      <c r="E288" s="18">
        <f>IFERROR(LOOKUP(2,1/(MEDIDAS_Y_PESO!$B$3:$B$14&lt;&gt;""),MEDIDAS_Y_PESO!$B$3:$B$14),"--")</f>
        <v>80</v>
      </c>
      <c r="F288" s="19"/>
      <c r="G288" s="20"/>
      <c r="H288" s="21"/>
      <c r="I288" s="19"/>
      <c r="J288" s="20"/>
      <c r="K288" s="21"/>
      <c r="L288" s="19"/>
      <c r="M288" s="20"/>
      <c r="N288" s="21"/>
      <c r="O288" s="19"/>
      <c r="P288" s="20"/>
      <c r="Q288" s="21"/>
      <c r="R288" s="19"/>
      <c r="S288" s="20"/>
      <c r="T288" s="21"/>
      <c r="U288" s="22" t="str">
        <f>IFERROR(IF(IF(X288&gt;0,X288,IF(Z288&gt;0,Z288,IF(AB288&gt;0,AB288,0)))=0,"--",ROUND(CHOOSE(IF(X288&gt;0,X288,IF(Z288&gt;0,Z288,IF(AB288&gt;0,AB288,0))),IF(C288="peso_corporal",IF(ISNUMBER(E288),E288,0)+F288,F288)*(1+G288/30),IF(C288="peso_corporal",IF(ISNUMBER(E288),E288,0)+I288,I288)*(1+J288/30),IF(C288="peso_corporal",IF(ISNUMBER(E288),E288,0)+L288,L288)*(1+M288/30),IF(C288="peso_corporal",IF(ISNUMBER(E288),E288,0)+O288,O288)*(1+P288/30),IF(C288="peso_corporal",IF(ISNUMBER(E288),E288,0)+R288,R288)*(1+S288/30)),1)),"--")</f>
        <v>--</v>
      </c>
      <c r="V288" s="23" t="str">
        <f>IF(SUGERENCIAS!N735="SIN","Sin datos anteriores",IF(SUGERENCIAS!N735="SUBIR_F","^ SUBIR FUERTE | Kg:"&amp;ROUND(SUGERENCIAS!K735,1)&amp;" R:"&amp;ROUND(SUGERENCIAS!L735,0)&amp;" RIR:"&amp;ROUND(SUGERENCIAS!M735,0),IF(SUGERENCIAS!N735="SUBIR_E","^ SUBIR (Est.) | Kg:"&amp;ROUND(SUGERENCIAS!K735,1)&amp;" R:"&amp;ROUND(SUGERENCIAS!L735,0)&amp;" RIR:"&amp;ROUND(SUGERENCIAS!M735,0),IF(SUGERENCIAS!N735="SUBIR","^ SUBIR | Kg:"&amp;ROUND(SUGERENCIAS!K735,1)&amp;" R:"&amp;ROUND(SUGERENCIAS!L735,0)&amp;" RIR:"&amp;ROUND(SUGERENCIAS!M735,0),IF(SUGERENCIAS!N735="BAJAR","v BAJAR | Kg:"&amp;ROUND(SUGERENCIAS!K735,1)&amp;" R:"&amp;ROUND(SUGERENCIAS!L735,0)&amp;" RIR:"&amp;ROUND(SUGERENCIAS!M735,0),"= MANT | Kg:"&amp;ROUND(SUGERENCIAS!K735,1)&amp;" R:"&amp;ROUND(SUGERENCIAS!L735,0)&amp;" RIR:"&amp;ROUND(SUGERENCIAS!M735,0))))))</f>
        <v>Sin datos anteriores</v>
      </c>
      <c r="W288" s="69">
        <f>MAX(IF((G288&gt;0)*(IF(H288="",-1,H288)&gt;=3)*(IF(H288="",-1,H288)&lt;=4),IF(C288="peso_corporal",IF(ISNUMBER(E288),E288,0)+F288,F288)*G288*1000+F288,0),IF((J288&gt;0)*(IF(K288="",-1,K288)&gt;=3)*(IF(K288="",-1,K288)&lt;=4),IF(C288="peso_corporal",IF(ISNUMBER(E288),E288,0)+I288,I288)*J288*1000+I288,0),IF((M288&gt;0)*(IF(N288="",-1,N288)&gt;=3)*(IF(N288="",-1,N288)&lt;=4),IF(C288="peso_corporal",IF(ISNUMBER(E288),E288,0)+L288,L288)*M288*1000+L288,0),IF((P288&gt;0)*(IF(Q288="",-1,Q288)&gt;=3)*(IF(Q288="",-1,Q288)&lt;=4),IF(C288="peso_corporal",IF(ISNUMBER(E288),E288,0)+O288,O288)*P288*1000+O288,0),IF((S288&gt;0)*(IF(T288="",-1,T288)&gt;=3)*(IF(T288="",-1,T288)&lt;=4),IF(C288="peso_corporal",IF(ISNUMBER(E288),E288,0)+R288,R288)*S288*1000+R288,0))</f>
        <v>0</v>
      </c>
      <c r="X288" s="69">
        <f>IF(W288=0,0,IF(IF((S288&gt;0)*(IF(T288="",-1,T288)&gt;=3)*(IF(T288="",-1,T288)&lt;=4),IF(C288="peso_corporal",IF(ISNUMBER(E288),E288,0)+R288,R288)*S288*1000+R288,0)=W288,5,IF(IF((P288&gt;0)*(IF(Q288="",-1,Q288)&gt;=3)*(IF(Q288="",-1,Q288)&lt;=4),IF(C288="peso_corporal",IF(ISNUMBER(E288),E288,0)+O288,O288)*P288*1000+O288,0)=W288,4,IF(IF((M288&gt;0)*(IF(N288="",-1,N288)&gt;=3)*(IF(N288="",-1,N288)&lt;=4),IF(C288="peso_corporal",IF(ISNUMBER(E288),E288,0)+L288,L288)*M288*1000+L288,0)=W288,3,IF(IF((J288&gt;0)*(IF(K288="",-1,K288)&gt;=3)*(IF(K288="",-1,K288)&lt;=4),IF(C288="peso_corporal",IF(ISNUMBER(E288),E288,0)+I288,I288)*J288*1000+I288,0)=W288,2,IF(IF((G288&gt;0)*(IF(H288="",-1,H288)&gt;=3)*(IF(H288="",-1,H288)&lt;=4),IF(C288="peso_corporal",IF(ISNUMBER(E288),E288,0)+F288,F288)*G288*1000+F288,0)=W288,1,0))))))</f>
        <v>0</v>
      </c>
      <c r="Y288" s="69">
        <f>MAX(IF((G288&gt;0)*(IF(H288="",-1,H288)=0)*(1-(IF(H288="",-1,H288)&gt;=3)*(IF(H288="",-1,H288)&lt;=4)),IF(C288="peso_corporal",IF(ISNUMBER(E288),E288,0)+F288,F288)*G288*1000+F288,0),IF((J288&gt;0)*(IF(K288="",-1,K288)=0)*(1-(IF(K288="",-1,K288)&gt;=3)*(IF(K288="",-1,K288)&lt;=4)),IF(C288="peso_corporal",IF(ISNUMBER(E288),E288,0)+I288,I288)*J288*1000+I288,0),IF((M288&gt;0)*(IF(N288="",-1,N288)=0)*(1-(IF(N288="",-1,N288)&gt;=3)*(IF(N288="",-1,N288)&lt;=4)),IF(C288="peso_corporal",IF(ISNUMBER(E288),E288,0)+L288,L288)*M288*1000+L288,0),IF((P288&gt;0)*(IF(Q288="",-1,Q288)=0)*(1-(IF(Q288="",-1,Q288)&gt;=3)*(IF(Q288="",-1,Q288)&lt;=4)),IF(C288="peso_corporal",IF(ISNUMBER(E288),E288,0)+O288,O288)*P288*1000+O288,0),IF((S288&gt;0)*(IF(T288="",-1,T288)=0)*(1-(IF(T288="",-1,T288)&gt;=3)*(IF(T288="",-1,T288)&lt;=4)),IF(C288="peso_corporal",IF(ISNUMBER(E288),E288,0)+R288,R288)*S288*1000+R288,0))</f>
        <v>0</v>
      </c>
      <c r="Z288" s="69">
        <f>IF(Y288=0,0,IF(IF((S288&gt;0)*(IF(T288="",-1,T288)=0)*(1-(IF(T288="",-1,T288)&gt;=3)*(IF(T288="",-1,T288)&lt;=4)),IF(C288="peso_corporal",IF(ISNUMBER(E288),E288,0)+R288,R288)*S288*1000+R288,0)=Y288,5,IF(IF((P288&gt;0)*(IF(Q288="",-1,Q288)=0)*(1-(IF(Q288="",-1,Q288)&gt;=3)*(IF(Q288="",-1,Q288)&lt;=4)),IF(C288="peso_corporal",IF(ISNUMBER(E288),E288,0)+O288,O288)*P288*1000+O288,0)=Y288,4,IF(IF((M288&gt;0)*(IF(N288="",-1,N288)=0)*(1-(IF(N288="",-1,N288)&gt;=3)*(IF(N288="",-1,N288)&lt;=4)),IF(C288="peso_corporal",IF(ISNUMBER(E288),E288,0)+L288,L288)*M288*1000+L288,0)=Y288,3,IF(IF((J288&gt;0)*(IF(K288="",-1,K288)=0)*(1-(IF(K288="",-1,K288)&gt;=3)*(IF(K288="",-1,K288)&lt;=4)),IF(C288="peso_corporal",IF(ISNUMBER(E288),E288,0)+I288,I288)*J288*1000+I288,0)=Y288,2,IF(IF((G288&gt;0)*(IF(H288="",-1,H288)=0)*(1-(IF(H288="",-1,H288)&gt;=3)*(IF(H288="",-1,H288)&lt;=4)),IF(C288="peso_corporal",IF(ISNUMBER(E288),E288,0)+F288,F288)*G288*1000+F288,0)=Y288,1,0))))))</f>
        <v>0</v>
      </c>
      <c r="AA288" s="69">
        <f>MAX(IF((G288&gt;=12)*(1-(IF(H288="",-1,H288)&gt;=3)*(IF(H288="",-1,H288)&lt;=4))*(1-(IF(H288="",-1,H288)=0)),IF(C288="peso_corporal",IF(ISNUMBER(E288),E288,0)+F288,F288)*(30+G288)*100+F288,0),IF((J288&gt;=12)*(1-(IF(K288="",-1,K288)&gt;=3)*(IF(K288="",-1,K288)&lt;=4))*(1-(IF(K288="",-1,K288)=0)),IF(C288="peso_corporal",IF(ISNUMBER(E288),E288,0)+I288,I288)*(30+J288)*100+I288,0),IF((M288&gt;=12)*(1-(IF(N288="",-1,N288)&gt;=3)*(IF(N288="",-1,N288)&lt;=4))*(1-(IF(N288="",-1,N288)=0)),IF(C288="peso_corporal",IF(ISNUMBER(E288),E288,0)+L288,L288)*(30+M288)*100+L288,0),IF((P288&gt;=12)*(1-(IF(Q288="",-1,Q288)&gt;=3)*(IF(Q288="",-1,Q288)&lt;=4))*(1-(IF(Q288="",-1,Q288)=0)),IF(C288="peso_corporal",IF(ISNUMBER(E288),E288,0)+O288,O288)*(30+P288)*100+O288,0),IF((S288&gt;=12)*(1-(IF(T288="",-1,T288)&gt;=3)*(IF(T288="",-1,T288)&lt;=4))*(1-(IF(T288="",-1,T288)=0)),IF(C288="peso_corporal",IF(ISNUMBER(E288),E288,0)+R288,R288)*(30+S288)*100+R288,0))</f>
        <v>0</v>
      </c>
      <c r="AB288" s="69">
        <f>IF(AA288=0,0,IF(IF((S288&gt;=12)*(1-(IF(T288="",-1,T288)&gt;=3)*(IF(T288="",-1,T288)&lt;=4))*(1-(IF(T288="",-1,T288)=0)),IF(C288="peso_corporal",IF(ISNUMBER(E288),E288,0)+R288,R288)*(30+S288)*100+R288,0)=AA288,5,IF(IF((P288&gt;=12)*(1-(IF(Q288="",-1,Q288)&gt;=3)*(IF(Q288="",-1,Q288)&lt;=4))*(1-(IF(Q288="",-1,Q288)=0)),IF(C288="peso_corporal",IF(ISNUMBER(E288),E288,0)+O288,O288)*(30+P288)*100+O288,0)=AA288,4,IF(IF((M288&gt;=12)*(1-(IF(N288="",-1,N288)&gt;=3)*(IF(N288="",-1,N288)&lt;=4))*(1-(IF(N288="",-1,N288)=0)),IF(C288="peso_corporal",IF(ISNUMBER(E288),E288,0)+L288,L288)*(30+M288)*100+L288,0)=AA288,3,IF(IF((J288&gt;=12)*(1-(IF(K288="",-1,K288)&gt;=3)*(IF(K288="",-1,K288)&lt;=4))*(1-(IF(K288="",-1,K288)=0)),IF(C288="peso_corporal",IF(ISNUMBER(E288),E288,0)+I288,I288)*(30+J288)*100+I288,0)=AA288,2,IF(IF((G288&gt;=12)*(1-(IF(H288="",-1,H288)&gt;=3)*(IF(H288="",-1,H288)&lt;=4))*(1-(IF(H288="",-1,H288)=0)),IF(C288="peso_corporal",IF(ISNUMBER(E288),E288,0)+F288,F288)*(30+G288)*100+F288,0)=AA288,1,0))))))</f>
        <v>0</v>
      </c>
      <c r="AC288" s="69" t="str">
        <f>IF(X288&gt;0,"A"&amp;X288,IF(Z288&gt;0,"B"&amp;Z288,IF(AB288&gt;0,"C"&amp;AB288,"")))</f>
        <v/>
      </c>
    </row>
    <row r="289" spans="1:29" ht="11.1" customHeight="1">
      <c r="A289" s="92" t="s">
        <v>160</v>
      </c>
      <c r="B289" s="73"/>
      <c r="C289" s="73"/>
      <c r="D289" s="73"/>
      <c r="E289" s="73"/>
      <c r="F289" s="73"/>
      <c r="G289" s="73"/>
      <c r="H289" s="73"/>
      <c r="I289" s="73"/>
      <c r="J289" s="73"/>
      <c r="K289" s="73"/>
      <c r="L289" s="73"/>
      <c r="M289" s="73"/>
      <c r="N289" s="73"/>
      <c r="O289" s="73"/>
      <c r="P289" s="73"/>
      <c r="Q289" s="73"/>
      <c r="R289" s="73"/>
      <c r="S289" s="73"/>
      <c r="T289" s="73"/>
      <c r="U289" s="73"/>
      <c r="V289" s="73"/>
      <c r="W289" s="69"/>
      <c r="X289" s="69"/>
      <c r="Y289" s="69"/>
      <c r="Z289" s="69"/>
      <c r="AA289" s="69"/>
      <c r="AB289" s="69"/>
      <c r="AC289" s="69"/>
    </row>
    <row r="290" spans="1:29" ht="20.100000000000001" customHeight="1">
      <c r="A290" s="14" t="s">
        <v>161</v>
      </c>
      <c r="B290" s="15" t="s">
        <v>162</v>
      </c>
      <c r="C290" s="16" t="str">
        <f>IFERROR(INDEX(EJERCICIOS!$D$3:$D$75,MATCH(A290&amp;"|"&amp;B290,EJERCICIOS!$G$3:$G$75,0)),"--")</f>
        <v>mancuerna</v>
      </c>
      <c r="D290" s="17">
        <v>3</v>
      </c>
      <c r="E290" s="18">
        <f>IFERROR(LOOKUP(2,1/(MEDIDAS_Y_PESO!$B$3:$B$14&lt;&gt;""),MEDIDAS_Y_PESO!$B$3:$B$14),"--")</f>
        <v>80</v>
      </c>
      <c r="F290" s="19"/>
      <c r="G290" s="20"/>
      <c r="H290" s="21"/>
      <c r="I290" s="19"/>
      <c r="J290" s="20"/>
      <c r="K290" s="21"/>
      <c r="L290" s="19"/>
      <c r="M290" s="20"/>
      <c r="N290" s="21"/>
      <c r="O290" s="19"/>
      <c r="P290" s="20"/>
      <c r="Q290" s="21"/>
      <c r="R290" s="19"/>
      <c r="S290" s="20"/>
      <c r="T290" s="21"/>
      <c r="U290" s="22" t="str">
        <f>IFERROR(IF(IF(X290&gt;0,X290,IF(Z290&gt;0,Z290,IF(AB290&gt;0,AB290,0)))=0,"--",ROUND(CHOOSE(IF(X290&gt;0,X290,IF(Z290&gt;0,Z290,IF(AB290&gt;0,AB290,0))),IF(C290="peso_corporal",IF(ISNUMBER(E290),E290,0)+F290,F290)*(1+G290/30),IF(C290="peso_corporal",IF(ISNUMBER(E290),E290,0)+I290,I290)*(1+J290/30),IF(C290="peso_corporal",IF(ISNUMBER(E290),E290,0)+L290,L290)*(1+M290/30),IF(C290="peso_corporal",IF(ISNUMBER(E290),E290,0)+O290,O290)*(1+P290/30),IF(C290="peso_corporal",IF(ISNUMBER(E290),E290,0)+R290,R290)*(1+S290/30)),1)),"--")</f>
        <v>--</v>
      </c>
      <c r="V290" s="23" t="str">
        <f>IF(SUGERENCIAS!N736="SIN","Sin datos anteriores",IF(SUGERENCIAS!N736="SUBIR_F","^ SUBIR FUERTE | Kg:"&amp;ROUND(SUGERENCIAS!K736,1)&amp;" R:"&amp;ROUND(SUGERENCIAS!L736,0)&amp;" RIR:"&amp;ROUND(SUGERENCIAS!M736,0),IF(SUGERENCIAS!N736="SUBIR_E","^ SUBIR (Est.) | Kg:"&amp;ROUND(SUGERENCIAS!K736,1)&amp;" R:"&amp;ROUND(SUGERENCIAS!L736,0)&amp;" RIR:"&amp;ROUND(SUGERENCIAS!M736,0),IF(SUGERENCIAS!N736="SUBIR","^ SUBIR | Kg:"&amp;ROUND(SUGERENCIAS!K736,1)&amp;" R:"&amp;ROUND(SUGERENCIAS!L736,0)&amp;" RIR:"&amp;ROUND(SUGERENCIAS!M736,0),IF(SUGERENCIAS!N736="BAJAR","v BAJAR | Kg:"&amp;ROUND(SUGERENCIAS!K736,1)&amp;" R:"&amp;ROUND(SUGERENCIAS!L736,0)&amp;" RIR:"&amp;ROUND(SUGERENCIAS!M736,0),"= MANT | Kg:"&amp;ROUND(SUGERENCIAS!K736,1)&amp;" R:"&amp;ROUND(SUGERENCIAS!L736,0)&amp;" RIR:"&amp;ROUND(SUGERENCIAS!M736,0))))))</f>
        <v>Sin datos anteriores</v>
      </c>
      <c r="W290" s="69">
        <f>MAX(IF((G290&gt;0)*(IF(H290="",-1,H290)&gt;=3)*(IF(H290="",-1,H290)&lt;=4),IF(C290="peso_corporal",IF(ISNUMBER(E290),E290,0)+F290,F290)*G290*1000+F290,0),IF((J290&gt;0)*(IF(K290="",-1,K290)&gt;=3)*(IF(K290="",-1,K290)&lt;=4),IF(C290="peso_corporal",IF(ISNUMBER(E290),E290,0)+I290,I290)*J290*1000+I290,0),IF((M290&gt;0)*(IF(N290="",-1,N290)&gt;=3)*(IF(N290="",-1,N290)&lt;=4),IF(C290="peso_corporal",IF(ISNUMBER(E290),E290,0)+L290,L290)*M290*1000+L290,0),IF((P290&gt;0)*(IF(Q290="",-1,Q290)&gt;=3)*(IF(Q290="",-1,Q290)&lt;=4),IF(C290="peso_corporal",IF(ISNUMBER(E290),E290,0)+O290,O290)*P290*1000+O290,0),IF((S290&gt;0)*(IF(T290="",-1,T290)&gt;=3)*(IF(T290="",-1,T290)&lt;=4),IF(C290="peso_corporal",IF(ISNUMBER(E290),E290,0)+R290,R290)*S290*1000+R290,0))</f>
        <v>0</v>
      </c>
      <c r="X290" s="69">
        <f>IF(W290=0,0,IF(IF((S290&gt;0)*(IF(T290="",-1,T290)&gt;=3)*(IF(T290="",-1,T290)&lt;=4),IF(C290="peso_corporal",IF(ISNUMBER(E290),E290,0)+R290,R290)*S290*1000+R290,0)=W290,5,IF(IF((P290&gt;0)*(IF(Q290="",-1,Q290)&gt;=3)*(IF(Q290="",-1,Q290)&lt;=4),IF(C290="peso_corporal",IF(ISNUMBER(E290),E290,0)+O290,O290)*P290*1000+O290,0)=W290,4,IF(IF((M290&gt;0)*(IF(N290="",-1,N290)&gt;=3)*(IF(N290="",-1,N290)&lt;=4),IF(C290="peso_corporal",IF(ISNUMBER(E290),E290,0)+L290,L290)*M290*1000+L290,0)=W290,3,IF(IF((J290&gt;0)*(IF(K290="",-1,K290)&gt;=3)*(IF(K290="",-1,K290)&lt;=4),IF(C290="peso_corporal",IF(ISNUMBER(E290),E290,0)+I290,I290)*J290*1000+I290,0)=W290,2,IF(IF((G290&gt;0)*(IF(H290="",-1,H290)&gt;=3)*(IF(H290="",-1,H290)&lt;=4),IF(C290="peso_corporal",IF(ISNUMBER(E290),E290,0)+F290,F290)*G290*1000+F290,0)=W290,1,0))))))</f>
        <v>0</v>
      </c>
      <c r="Y290" s="69">
        <f>MAX(IF((G290&gt;0)*(IF(H290="",-1,H290)=0)*(1-(IF(H290="",-1,H290)&gt;=3)*(IF(H290="",-1,H290)&lt;=4)),IF(C290="peso_corporal",IF(ISNUMBER(E290),E290,0)+F290,F290)*G290*1000+F290,0),IF((J290&gt;0)*(IF(K290="",-1,K290)=0)*(1-(IF(K290="",-1,K290)&gt;=3)*(IF(K290="",-1,K290)&lt;=4)),IF(C290="peso_corporal",IF(ISNUMBER(E290),E290,0)+I290,I290)*J290*1000+I290,0),IF((M290&gt;0)*(IF(N290="",-1,N290)=0)*(1-(IF(N290="",-1,N290)&gt;=3)*(IF(N290="",-1,N290)&lt;=4)),IF(C290="peso_corporal",IF(ISNUMBER(E290),E290,0)+L290,L290)*M290*1000+L290,0),IF((P290&gt;0)*(IF(Q290="",-1,Q290)=0)*(1-(IF(Q290="",-1,Q290)&gt;=3)*(IF(Q290="",-1,Q290)&lt;=4)),IF(C290="peso_corporal",IF(ISNUMBER(E290),E290,0)+O290,O290)*P290*1000+O290,0),IF((S290&gt;0)*(IF(T290="",-1,T290)=0)*(1-(IF(T290="",-1,T290)&gt;=3)*(IF(T290="",-1,T290)&lt;=4)),IF(C290="peso_corporal",IF(ISNUMBER(E290),E290,0)+R290,R290)*S290*1000+R290,0))</f>
        <v>0</v>
      </c>
      <c r="Z290" s="69">
        <f>IF(Y290=0,0,IF(IF((S290&gt;0)*(IF(T290="",-1,T290)=0)*(1-(IF(T290="",-1,T290)&gt;=3)*(IF(T290="",-1,T290)&lt;=4)),IF(C290="peso_corporal",IF(ISNUMBER(E290),E290,0)+R290,R290)*S290*1000+R290,0)=Y290,5,IF(IF((P290&gt;0)*(IF(Q290="",-1,Q290)=0)*(1-(IF(Q290="",-1,Q290)&gt;=3)*(IF(Q290="",-1,Q290)&lt;=4)),IF(C290="peso_corporal",IF(ISNUMBER(E290),E290,0)+O290,O290)*P290*1000+O290,0)=Y290,4,IF(IF((M290&gt;0)*(IF(N290="",-1,N290)=0)*(1-(IF(N290="",-1,N290)&gt;=3)*(IF(N290="",-1,N290)&lt;=4)),IF(C290="peso_corporal",IF(ISNUMBER(E290),E290,0)+L290,L290)*M290*1000+L290,0)=Y290,3,IF(IF((J290&gt;0)*(IF(K290="",-1,K290)=0)*(1-(IF(K290="",-1,K290)&gt;=3)*(IF(K290="",-1,K290)&lt;=4)),IF(C290="peso_corporal",IF(ISNUMBER(E290),E290,0)+I290,I290)*J290*1000+I290,0)=Y290,2,IF(IF((G290&gt;0)*(IF(H290="",-1,H290)=0)*(1-(IF(H290="",-1,H290)&gt;=3)*(IF(H290="",-1,H290)&lt;=4)),IF(C290="peso_corporal",IF(ISNUMBER(E290),E290,0)+F290,F290)*G290*1000+F290,0)=Y290,1,0))))))</f>
        <v>0</v>
      </c>
      <c r="AA290" s="69">
        <f>MAX(IF((G290&gt;=12)*(1-(IF(H290="",-1,H290)&gt;=3)*(IF(H290="",-1,H290)&lt;=4))*(1-(IF(H290="",-1,H290)=0)),IF(C290="peso_corporal",IF(ISNUMBER(E290),E290,0)+F290,F290)*(30+G290)*100+F290,0),IF((J290&gt;=12)*(1-(IF(K290="",-1,K290)&gt;=3)*(IF(K290="",-1,K290)&lt;=4))*(1-(IF(K290="",-1,K290)=0)),IF(C290="peso_corporal",IF(ISNUMBER(E290),E290,0)+I290,I290)*(30+J290)*100+I290,0),IF((M290&gt;=12)*(1-(IF(N290="",-1,N290)&gt;=3)*(IF(N290="",-1,N290)&lt;=4))*(1-(IF(N290="",-1,N290)=0)),IF(C290="peso_corporal",IF(ISNUMBER(E290),E290,0)+L290,L290)*(30+M290)*100+L290,0),IF((P290&gt;=12)*(1-(IF(Q290="",-1,Q290)&gt;=3)*(IF(Q290="",-1,Q290)&lt;=4))*(1-(IF(Q290="",-1,Q290)=0)),IF(C290="peso_corporal",IF(ISNUMBER(E290),E290,0)+O290,O290)*(30+P290)*100+O290,0),IF((S290&gt;=12)*(1-(IF(T290="",-1,T290)&gt;=3)*(IF(T290="",-1,T290)&lt;=4))*(1-(IF(T290="",-1,T290)=0)),IF(C290="peso_corporal",IF(ISNUMBER(E290),E290,0)+R290,R290)*(30+S290)*100+R290,0))</f>
        <v>0</v>
      </c>
      <c r="AB290" s="69">
        <f>IF(AA290=0,0,IF(IF((S290&gt;=12)*(1-(IF(T290="",-1,T290)&gt;=3)*(IF(T290="",-1,T290)&lt;=4))*(1-(IF(T290="",-1,T290)=0)),IF(C290="peso_corporal",IF(ISNUMBER(E290),E290,0)+R290,R290)*(30+S290)*100+R290,0)=AA290,5,IF(IF((P290&gt;=12)*(1-(IF(Q290="",-1,Q290)&gt;=3)*(IF(Q290="",-1,Q290)&lt;=4))*(1-(IF(Q290="",-1,Q290)=0)),IF(C290="peso_corporal",IF(ISNUMBER(E290),E290,0)+O290,O290)*(30+P290)*100+O290,0)=AA290,4,IF(IF((M290&gt;=12)*(1-(IF(N290="",-1,N290)&gt;=3)*(IF(N290="",-1,N290)&lt;=4))*(1-(IF(N290="",-1,N290)=0)),IF(C290="peso_corporal",IF(ISNUMBER(E290),E290,0)+L290,L290)*(30+M290)*100+L290,0)=AA290,3,IF(IF((J290&gt;=12)*(1-(IF(K290="",-1,K290)&gt;=3)*(IF(K290="",-1,K290)&lt;=4))*(1-(IF(K290="",-1,K290)=0)),IF(C290="peso_corporal",IF(ISNUMBER(E290),E290,0)+I290,I290)*(30+J290)*100+I290,0)=AA290,2,IF(IF((G290&gt;=12)*(1-(IF(H290="",-1,H290)&gt;=3)*(IF(H290="",-1,H290)&lt;=4))*(1-(IF(H290="",-1,H290)=0)),IF(C290="peso_corporal",IF(ISNUMBER(E290),E290,0)+F290,F290)*(30+G290)*100+F290,0)=AA290,1,0))))))</f>
        <v>0</v>
      </c>
      <c r="AC290" s="69" t="str">
        <f>IF(X290&gt;0,"A"&amp;X290,IF(Z290&gt;0,"B"&amp;Z290,IF(AB290&gt;0,"C"&amp;AB290,"")))</f>
        <v/>
      </c>
    </row>
    <row r="291" spans="1:29" ht="20.100000000000001" customHeight="1">
      <c r="A291" s="14" t="s">
        <v>163</v>
      </c>
      <c r="B291" s="15" t="s">
        <v>52</v>
      </c>
      <c r="C291" s="16" t="str">
        <f>IFERROR(INDEX(EJERCICIOS!$D$3:$D$75,MATCH(A291&amp;"|"&amp;B291,EJERCICIOS!$G$3:$G$75,0)),"--")</f>
        <v>polea</v>
      </c>
      <c r="D291" s="17">
        <v>3</v>
      </c>
      <c r="E291" s="18">
        <f>IFERROR(LOOKUP(2,1/(MEDIDAS_Y_PESO!$B$3:$B$14&lt;&gt;""),MEDIDAS_Y_PESO!$B$3:$B$14),"--")</f>
        <v>80</v>
      </c>
      <c r="F291" s="19"/>
      <c r="G291" s="20"/>
      <c r="H291" s="21"/>
      <c r="I291" s="19"/>
      <c r="J291" s="20"/>
      <c r="K291" s="21"/>
      <c r="L291" s="19"/>
      <c r="M291" s="20"/>
      <c r="N291" s="21"/>
      <c r="O291" s="19"/>
      <c r="P291" s="20"/>
      <c r="Q291" s="21"/>
      <c r="R291" s="19"/>
      <c r="S291" s="20"/>
      <c r="T291" s="21"/>
      <c r="U291" s="22" t="str">
        <f>IFERROR(IF(IF(X291&gt;0,X291,IF(Z291&gt;0,Z291,IF(AB291&gt;0,AB291,0)))=0,"--",ROUND(CHOOSE(IF(X291&gt;0,X291,IF(Z291&gt;0,Z291,IF(AB291&gt;0,AB291,0))),IF(C291="peso_corporal",IF(ISNUMBER(E291),E291,0)+F291,F291)*(1+G291/30),IF(C291="peso_corporal",IF(ISNUMBER(E291),E291,0)+I291,I291)*(1+J291/30),IF(C291="peso_corporal",IF(ISNUMBER(E291),E291,0)+L291,L291)*(1+M291/30),IF(C291="peso_corporal",IF(ISNUMBER(E291),E291,0)+O291,O291)*(1+P291/30),IF(C291="peso_corporal",IF(ISNUMBER(E291),E291,0)+R291,R291)*(1+S291/30)),1)),"--")</f>
        <v>--</v>
      </c>
      <c r="V291" s="23" t="str">
        <f>IF(SUGERENCIAS!N737="SIN","Sin datos anteriores",IF(SUGERENCIAS!N737="SUBIR_F","^ SUBIR FUERTE | Kg:"&amp;ROUND(SUGERENCIAS!K737,1)&amp;" R:"&amp;ROUND(SUGERENCIAS!L737,0)&amp;" RIR:"&amp;ROUND(SUGERENCIAS!M737,0),IF(SUGERENCIAS!N737="SUBIR_E","^ SUBIR (Est.) | Kg:"&amp;ROUND(SUGERENCIAS!K737,1)&amp;" R:"&amp;ROUND(SUGERENCIAS!L737,0)&amp;" RIR:"&amp;ROUND(SUGERENCIAS!M737,0),IF(SUGERENCIAS!N737="SUBIR","^ SUBIR | Kg:"&amp;ROUND(SUGERENCIAS!K737,1)&amp;" R:"&amp;ROUND(SUGERENCIAS!L737,0)&amp;" RIR:"&amp;ROUND(SUGERENCIAS!M737,0),IF(SUGERENCIAS!N737="BAJAR","v BAJAR | Kg:"&amp;ROUND(SUGERENCIAS!K737,1)&amp;" R:"&amp;ROUND(SUGERENCIAS!L737,0)&amp;" RIR:"&amp;ROUND(SUGERENCIAS!M737,0),"= MANT | Kg:"&amp;ROUND(SUGERENCIAS!K737,1)&amp;" R:"&amp;ROUND(SUGERENCIAS!L737,0)&amp;" RIR:"&amp;ROUND(SUGERENCIAS!M737,0))))))</f>
        <v>Sin datos anteriores</v>
      </c>
      <c r="W291" s="69">
        <f>MAX(IF((G291&gt;0)*(IF(H291="",-1,H291)&gt;=3)*(IF(H291="",-1,H291)&lt;=4),IF(C291="peso_corporal",IF(ISNUMBER(E291),E291,0)+F291,F291)*G291*1000+F291,0),IF((J291&gt;0)*(IF(K291="",-1,K291)&gt;=3)*(IF(K291="",-1,K291)&lt;=4),IF(C291="peso_corporal",IF(ISNUMBER(E291),E291,0)+I291,I291)*J291*1000+I291,0),IF((M291&gt;0)*(IF(N291="",-1,N291)&gt;=3)*(IF(N291="",-1,N291)&lt;=4),IF(C291="peso_corporal",IF(ISNUMBER(E291),E291,0)+L291,L291)*M291*1000+L291,0),IF((P291&gt;0)*(IF(Q291="",-1,Q291)&gt;=3)*(IF(Q291="",-1,Q291)&lt;=4),IF(C291="peso_corporal",IF(ISNUMBER(E291),E291,0)+O291,O291)*P291*1000+O291,0),IF((S291&gt;0)*(IF(T291="",-1,T291)&gt;=3)*(IF(T291="",-1,T291)&lt;=4),IF(C291="peso_corporal",IF(ISNUMBER(E291),E291,0)+R291,R291)*S291*1000+R291,0))</f>
        <v>0</v>
      </c>
      <c r="X291" s="69">
        <f>IF(W291=0,0,IF(IF((S291&gt;0)*(IF(T291="",-1,T291)&gt;=3)*(IF(T291="",-1,T291)&lt;=4),IF(C291="peso_corporal",IF(ISNUMBER(E291),E291,0)+R291,R291)*S291*1000+R291,0)=W291,5,IF(IF((P291&gt;0)*(IF(Q291="",-1,Q291)&gt;=3)*(IF(Q291="",-1,Q291)&lt;=4),IF(C291="peso_corporal",IF(ISNUMBER(E291),E291,0)+O291,O291)*P291*1000+O291,0)=W291,4,IF(IF((M291&gt;0)*(IF(N291="",-1,N291)&gt;=3)*(IF(N291="",-1,N291)&lt;=4),IF(C291="peso_corporal",IF(ISNUMBER(E291),E291,0)+L291,L291)*M291*1000+L291,0)=W291,3,IF(IF((J291&gt;0)*(IF(K291="",-1,K291)&gt;=3)*(IF(K291="",-1,K291)&lt;=4),IF(C291="peso_corporal",IF(ISNUMBER(E291),E291,0)+I291,I291)*J291*1000+I291,0)=W291,2,IF(IF((G291&gt;0)*(IF(H291="",-1,H291)&gt;=3)*(IF(H291="",-1,H291)&lt;=4),IF(C291="peso_corporal",IF(ISNUMBER(E291),E291,0)+F291,F291)*G291*1000+F291,0)=W291,1,0))))))</f>
        <v>0</v>
      </c>
      <c r="Y291" s="69">
        <f>MAX(IF((G291&gt;0)*(IF(H291="",-1,H291)=0)*(1-(IF(H291="",-1,H291)&gt;=3)*(IF(H291="",-1,H291)&lt;=4)),IF(C291="peso_corporal",IF(ISNUMBER(E291),E291,0)+F291,F291)*G291*1000+F291,0),IF((J291&gt;0)*(IF(K291="",-1,K291)=0)*(1-(IF(K291="",-1,K291)&gt;=3)*(IF(K291="",-1,K291)&lt;=4)),IF(C291="peso_corporal",IF(ISNUMBER(E291),E291,0)+I291,I291)*J291*1000+I291,0),IF((M291&gt;0)*(IF(N291="",-1,N291)=0)*(1-(IF(N291="",-1,N291)&gt;=3)*(IF(N291="",-1,N291)&lt;=4)),IF(C291="peso_corporal",IF(ISNUMBER(E291),E291,0)+L291,L291)*M291*1000+L291,0),IF((P291&gt;0)*(IF(Q291="",-1,Q291)=0)*(1-(IF(Q291="",-1,Q291)&gt;=3)*(IF(Q291="",-1,Q291)&lt;=4)),IF(C291="peso_corporal",IF(ISNUMBER(E291),E291,0)+O291,O291)*P291*1000+O291,0),IF((S291&gt;0)*(IF(T291="",-1,T291)=0)*(1-(IF(T291="",-1,T291)&gt;=3)*(IF(T291="",-1,T291)&lt;=4)),IF(C291="peso_corporal",IF(ISNUMBER(E291),E291,0)+R291,R291)*S291*1000+R291,0))</f>
        <v>0</v>
      </c>
      <c r="Z291" s="69">
        <f>IF(Y291=0,0,IF(IF((S291&gt;0)*(IF(T291="",-1,T291)=0)*(1-(IF(T291="",-1,T291)&gt;=3)*(IF(T291="",-1,T291)&lt;=4)),IF(C291="peso_corporal",IF(ISNUMBER(E291),E291,0)+R291,R291)*S291*1000+R291,0)=Y291,5,IF(IF((P291&gt;0)*(IF(Q291="",-1,Q291)=0)*(1-(IF(Q291="",-1,Q291)&gt;=3)*(IF(Q291="",-1,Q291)&lt;=4)),IF(C291="peso_corporal",IF(ISNUMBER(E291),E291,0)+O291,O291)*P291*1000+O291,0)=Y291,4,IF(IF((M291&gt;0)*(IF(N291="",-1,N291)=0)*(1-(IF(N291="",-1,N291)&gt;=3)*(IF(N291="",-1,N291)&lt;=4)),IF(C291="peso_corporal",IF(ISNUMBER(E291),E291,0)+L291,L291)*M291*1000+L291,0)=Y291,3,IF(IF((J291&gt;0)*(IF(K291="",-1,K291)=0)*(1-(IF(K291="",-1,K291)&gt;=3)*(IF(K291="",-1,K291)&lt;=4)),IF(C291="peso_corporal",IF(ISNUMBER(E291),E291,0)+I291,I291)*J291*1000+I291,0)=Y291,2,IF(IF((G291&gt;0)*(IF(H291="",-1,H291)=0)*(1-(IF(H291="",-1,H291)&gt;=3)*(IF(H291="",-1,H291)&lt;=4)),IF(C291="peso_corporal",IF(ISNUMBER(E291),E291,0)+F291,F291)*G291*1000+F291,0)=Y291,1,0))))))</f>
        <v>0</v>
      </c>
      <c r="AA291" s="69">
        <f>MAX(IF((G291&gt;=12)*(1-(IF(H291="",-1,H291)&gt;=3)*(IF(H291="",-1,H291)&lt;=4))*(1-(IF(H291="",-1,H291)=0)),IF(C291="peso_corporal",IF(ISNUMBER(E291),E291,0)+F291,F291)*(30+G291)*100+F291,0),IF((J291&gt;=12)*(1-(IF(K291="",-1,K291)&gt;=3)*(IF(K291="",-1,K291)&lt;=4))*(1-(IF(K291="",-1,K291)=0)),IF(C291="peso_corporal",IF(ISNUMBER(E291),E291,0)+I291,I291)*(30+J291)*100+I291,0),IF((M291&gt;=12)*(1-(IF(N291="",-1,N291)&gt;=3)*(IF(N291="",-1,N291)&lt;=4))*(1-(IF(N291="",-1,N291)=0)),IF(C291="peso_corporal",IF(ISNUMBER(E291),E291,0)+L291,L291)*(30+M291)*100+L291,0),IF((P291&gt;=12)*(1-(IF(Q291="",-1,Q291)&gt;=3)*(IF(Q291="",-1,Q291)&lt;=4))*(1-(IF(Q291="",-1,Q291)=0)),IF(C291="peso_corporal",IF(ISNUMBER(E291),E291,0)+O291,O291)*(30+P291)*100+O291,0),IF((S291&gt;=12)*(1-(IF(T291="",-1,T291)&gt;=3)*(IF(T291="",-1,T291)&lt;=4))*(1-(IF(T291="",-1,T291)=0)),IF(C291="peso_corporal",IF(ISNUMBER(E291),E291,0)+R291,R291)*(30+S291)*100+R291,0))</f>
        <v>0</v>
      </c>
      <c r="AB291" s="69">
        <f>IF(AA291=0,0,IF(IF((S291&gt;=12)*(1-(IF(T291="",-1,T291)&gt;=3)*(IF(T291="",-1,T291)&lt;=4))*(1-(IF(T291="",-1,T291)=0)),IF(C291="peso_corporal",IF(ISNUMBER(E291),E291,0)+R291,R291)*(30+S291)*100+R291,0)=AA291,5,IF(IF((P291&gt;=12)*(1-(IF(Q291="",-1,Q291)&gt;=3)*(IF(Q291="",-1,Q291)&lt;=4))*(1-(IF(Q291="",-1,Q291)=0)),IF(C291="peso_corporal",IF(ISNUMBER(E291),E291,0)+O291,O291)*(30+P291)*100+O291,0)=AA291,4,IF(IF((M291&gt;=12)*(1-(IF(N291="",-1,N291)&gt;=3)*(IF(N291="",-1,N291)&lt;=4))*(1-(IF(N291="",-1,N291)=0)),IF(C291="peso_corporal",IF(ISNUMBER(E291),E291,0)+L291,L291)*(30+M291)*100+L291,0)=AA291,3,IF(IF((J291&gt;=12)*(1-(IF(K291="",-1,K291)&gt;=3)*(IF(K291="",-1,K291)&lt;=4))*(1-(IF(K291="",-1,K291)=0)),IF(C291="peso_corporal",IF(ISNUMBER(E291),E291,0)+I291,I291)*(30+J291)*100+I291,0)=AA291,2,IF(IF((G291&gt;=12)*(1-(IF(H291="",-1,H291)&gt;=3)*(IF(H291="",-1,H291)&lt;=4))*(1-(IF(H291="",-1,H291)=0)),IF(C291="peso_corporal",IF(ISNUMBER(E291),E291,0)+F291,F291)*(30+G291)*100+F291,0)=AA291,1,0))))))</f>
        <v>0</v>
      </c>
      <c r="AC291" s="69" t="str">
        <f>IF(X291&gt;0,"A"&amp;X291,IF(Z291&gt;0,"B"&amp;Z291,IF(AB291&gt;0,"C"&amp;AB291,"")))</f>
        <v/>
      </c>
    </row>
    <row r="292" spans="1:29" ht="20.100000000000001" customHeight="1">
      <c r="A292" s="14" t="s">
        <v>164</v>
      </c>
      <c r="B292" s="15" t="s">
        <v>114</v>
      </c>
      <c r="C292" s="16" t="str">
        <f>IFERROR(INDEX(EJERCICIOS!$D$3:$D$75,MATCH(A292&amp;"|"&amp;B292,EJERCICIOS!$G$3:$G$75,0)),"--")</f>
        <v>polea</v>
      </c>
      <c r="D292" s="17">
        <v>3</v>
      </c>
      <c r="E292" s="18">
        <f>IFERROR(LOOKUP(2,1/(MEDIDAS_Y_PESO!$B$3:$B$14&lt;&gt;""),MEDIDAS_Y_PESO!$B$3:$B$14),"--")</f>
        <v>80</v>
      </c>
      <c r="F292" s="19"/>
      <c r="G292" s="20"/>
      <c r="H292" s="21"/>
      <c r="I292" s="19"/>
      <c r="J292" s="20"/>
      <c r="K292" s="21"/>
      <c r="L292" s="19"/>
      <c r="M292" s="20"/>
      <c r="N292" s="21"/>
      <c r="O292" s="19"/>
      <c r="P292" s="20"/>
      <c r="Q292" s="21"/>
      <c r="R292" s="19"/>
      <c r="S292" s="20"/>
      <c r="T292" s="21"/>
      <c r="U292" s="22" t="str">
        <f>IFERROR(IF(IF(X292&gt;0,X292,IF(Z292&gt;0,Z292,IF(AB292&gt;0,AB292,0)))=0,"--",ROUND(CHOOSE(IF(X292&gt;0,X292,IF(Z292&gt;0,Z292,IF(AB292&gt;0,AB292,0))),IF(C292="peso_corporal",IF(ISNUMBER(E292),E292,0)+F292,F292)*(1+G292/30),IF(C292="peso_corporal",IF(ISNUMBER(E292),E292,0)+I292,I292)*(1+J292/30),IF(C292="peso_corporal",IF(ISNUMBER(E292),E292,0)+L292,L292)*(1+M292/30),IF(C292="peso_corporal",IF(ISNUMBER(E292),E292,0)+O292,O292)*(1+P292/30),IF(C292="peso_corporal",IF(ISNUMBER(E292),E292,0)+R292,R292)*(1+S292/30)),1)),"--")</f>
        <v>--</v>
      </c>
      <c r="V292" s="23" t="str">
        <f>IF(SUGERENCIAS!N738="SIN","Sin datos anteriores",IF(SUGERENCIAS!N738="SUBIR_F","^ SUBIR FUERTE | Kg:"&amp;ROUND(SUGERENCIAS!K738,1)&amp;" R:"&amp;ROUND(SUGERENCIAS!L738,0)&amp;" RIR:"&amp;ROUND(SUGERENCIAS!M738,0),IF(SUGERENCIAS!N738="SUBIR_E","^ SUBIR (Est.) | Kg:"&amp;ROUND(SUGERENCIAS!K738,1)&amp;" R:"&amp;ROUND(SUGERENCIAS!L738,0)&amp;" RIR:"&amp;ROUND(SUGERENCIAS!M738,0),IF(SUGERENCIAS!N738="SUBIR","^ SUBIR | Kg:"&amp;ROUND(SUGERENCIAS!K738,1)&amp;" R:"&amp;ROUND(SUGERENCIAS!L738,0)&amp;" RIR:"&amp;ROUND(SUGERENCIAS!M738,0),IF(SUGERENCIAS!N738="BAJAR","v BAJAR | Kg:"&amp;ROUND(SUGERENCIAS!K738,1)&amp;" R:"&amp;ROUND(SUGERENCIAS!L738,0)&amp;" RIR:"&amp;ROUND(SUGERENCIAS!M738,0),"= MANT | Kg:"&amp;ROUND(SUGERENCIAS!K738,1)&amp;" R:"&amp;ROUND(SUGERENCIAS!L738,0)&amp;" RIR:"&amp;ROUND(SUGERENCIAS!M738,0))))))</f>
        <v>Sin datos anteriores</v>
      </c>
      <c r="W292" s="69">
        <f>MAX(IF((G292&gt;0)*(IF(H292="",-1,H292)&gt;=3)*(IF(H292="",-1,H292)&lt;=4),IF(C292="peso_corporal",IF(ISNUMBER(E292),E292,0)+F292,F292)*G292*1000+F292,0),IF((J292&gt;0)*(IF(K292="",-1,K292)&gt;=3)*(IF(K292="",-1,K292)&lt;=4),IF(C292="peso_corporal",IF(ISNUMBER(E292),E292,0)+I292,I292)*J292*1000+I292,0),IF((M292&gt;0)*(IF(N292="",-1,N292)&gt;=3)*(IF(N292="",-1,N292)&lt;=4),IF(C292="peso_corporal",IF(ISNUMBER(E292),E292,0)+L292,L292)*M292*1000+L292,0),IF((P292&gt;0)*(IF(Q292="",-1,Q292)&gt;=3)*(IF(Q292="",-1,Q292)&lt;=4),IF(C292="peso_corporal",IF(ISNUMBER(E292),E292,0)+O292,O292)*P292*1000+O292,0),IF((S292&gt;0)*(IF(T292="",-1,T292)&gt;=3)*(IF(T292="",-1,T292)&lt;=4),IF(C292="peso_corporal",IF(ISNUMBER(E292),E292,0)+R292,R292)*S292*1000+R292,0))</f>
        <v>0</v>
      </c>
      <c r="X292" s="69">
        <f>IF(W292=0,0,IF(IF((S292&gt;0)*(IF(T292="",-1,T292)&gt;=3)*(IF(T292="",-1,T292)&lt;=4),IF(C292="peso_corporal",IF(ISNUMBER(E292),E292,0)+R292,R292)*S292*1000+R292,0)=W292,5,IF(IF((P292&gt;0)*(IF(Q292="",-1,Q292)&gt;=3)*(IF(Q292="",-1,Q292)&lt;=4),IF(C292="peso_corporal",IF(ISNUMBER(E292),E292,0)+O292,O292)*P292*1000+O292,0)=W292,4,IF(IF((M292&gt;0)*(IF(N292="",-1,N292)&gt;=3)*(IF(N292="",-1,N292)&lt;=4),IF(C292="peso_corporal",IF(ISNUMBER(E292),E292,0)+L292,L292)*M292*1000+L292,0)=W292,3,IF(IF((J292&gt;0)*(IF(K292="",-1,K292)&gt;=3)*(IF(K292="",-1,K292)&lt;=4),IF(C292="peso_corporal",IF(ISNUMBER(E292),E292,0)+I292,I292)*J292*1000+I292,0)=W292,2,IF(IF((G292&gt;0)*(IF(H292="",-1,H292)&gt;=3)*(IF(H292="",-1,H292)&lt;=4),IF(C292="peso_corporal",IF(ISNUMBER(E292),E292,0)+F292,F292)*G292*1000+F292,0)=W292,1,0))))))</f>
        <v>0</v>
      </c>
      <c r="Y292" s="69">
        <f>MAX(IF((G292&gt;0)*(IF(H292="",-1,H292)=0)*(1-(IF(H292="",-1,H292)&gt;=3)*(IF(H292="",-1,H292)&lt;=4)),IF(C292="peso_corporal",IF(ISNUMBER(E292),E292,0)+F292,F292)*G292*1000+F292,0),IF((J292&gt;0)*(IF(K292="",-1,K292)=0)*(1-(IF(K292="",-1,K292)&gt;=3)*(IF(K292="",-1,K292)&lt;=4)),IF(C292="peso_corporal",IF(ISNUMBER(E292),E292,0)+I292,I292)*J292*1000+I292,0),IF((M292&gt;0)*(IF(N292="",-1,N292)=0)*(1-(IF(N292="",-1,N292)&gt;=3)*(IF(N292="",-1,N292)&lt;=4)),IF(C292="peso_corporal",IF(ISNUMBER(E292),E292,0)+L292,L292)*M292*1000+L292,0),IF((P292&gt;0)*(IF(Q292="",-1,Q292)=0)*(1-(IF(Q292="",-1,Q292)&gt;=3)*(IF(Q292="",-1,Q292)&lt;=4)),IF(C292="peso_corporal",IF(ISNUMBER(E292),E292,0)+O292,O292)*P292*1000+O292,0),IF((S292&gt;0)*(IF(T292="",-1,T292)=0)*(1-(IF(T292="",-1,T292)&gt;=3)*(IF(T292="",-1,T292)&lt;=4)),IF(C292="peso_corporal",IF(ISNUMBER(E292),E292,0)+R292,R292)*S292*1000+R292,0))</f>
        <v>0</v>
      </c>
      <c r="Z292" s="69">
        <f>IF(Y292=0,0,IF(IF((S292&gt;0)*(IF(T292="",-1,T292)=0)*(1-(IF(T292="",-1,T292)&gt;=3)*(IF(T292="",-1,T292)&lt;=4)),IF(C292="peso_corporal",IF(ISNUMBER(E292),E292,0)+R292,R292)*S292*1000+R292,0)=Y292,5,IF(IF((P292&gt;0)*(IF(Q292="",-1,Q292)=0)*(1-(IF(Q292="",-1,Q292)&gt;=3)*(IF(Q292="",-1,Q292)&lt;=4)),IF(C292="peso_corporal",IF(ISNUMBER(E292),E292,0)+O292,O292)*P292*1000+O292,0)=Y292,4,IF(IF((M292&gt;0)*(IF(N292="",-1,N292)=0)*(1-(IF(N292="",-1,N292)&gt;=3)*(IF(N292="",-1,N292)&lt;=4)),IF(C292="peso_corporal",IF(ISNUMBER(E292),E292,0)+L292,L292)*M292*1000+L292,0)=Y292,3,IF(IF((J292&gt;0)*(IF(K292="",-1,K292)=0)*(1-(IF(K292="",-1,K292)&gt;=3)*(IF(K292="",-1,K292)&lt;=4)),IF(C292="peso_corporal",IF(ISNUMBER(E292),E292,0)+I292,I292)*J292*1000+I292,0)=Y292,2,IF(IF((G292&gt;0)*(IF(H292="",-1,H292)=0)*(1-(IF(H292="",-1,H292)&gt;=3)*(IF(H292="",-1,H292)&lt;=4)),IF(C292="peso_corporal",IF(ISNUMBER(E292),E292,0)+F292,F292)*G292*1000+F292,0)=Y292,1,0))))))</f>
        <v>0</v>
      </c>
      <c r="AA292" s="69">
        <f>MAX(IF((G292&gt;=12)*(1-(IF(H292="",-1,H292)&gt;=3)*(IF(H292="",-1,H292)&lt;=4))*(1-(IF(H292="",-1,H292)=0)),IF(C292="peso_corporal",IF(ISNUMBER(E292),E292,0)+F292,F292)*(30+G292)*100+F292,0),IF((J292&gt;=12)*(1-(IF(K292="",-1,K292)&gt;=3)*(IF(K292="",-1,K292)&lt;=4))*(1-(IF(K292="",-1,K292)=0)),IF(C292="peso_corporal",IF(ISNUMBER(E292),E292,0)+I292,I292)*(30+J292)*100+I292,0),IF((M292&gt;=12)*(1-(IF(N292="",-1,N292)&gt;=3)*(IF(N292="",-1,N292)&lt;=4))*(1-(IF(N292="",-1,N292)=0)),IF(C292="peso_corporal",IF(ISNUMBER(E292),E292,0)+L292,L292)*(30+M292)*100+L292,0),IF((P292&gt;=12)*(1-(IF(Q292="",-1,Q292)&gt;=3)*(IF(Q292="",-1,Q292)&lt;=4))*(1-(IF(Q292="",-1,Q292)=0)),IF(C292="peso_corporal",IF(ISNUMBER(E292),E292,0)+O292,O292)*(30+P292)*100+O292,0),IF((S292&gt;=12)*(1-(IF(T292="",-1,T292)&gt;=3)*(IF(T292="",-1,T292)&lt;=4))*(1-(IF(T292="",-1,T292)=0)),IF(C292="peso_corporal",IF(ISNUMBER(E292),E292,0)+R292,R292)*(30+S292)*100+R292,0))</f>
        <v>0</v>
      </c>
      <c r="AB292" s="69">
        <f>IF(AA292=0,0,IF(IF((S292&gt;=12)*(1-(IF(T292="",-1,T292)&gt;=3)*(IF(T292="",-1,T292)&lt;=4))*(1-(IF(T292="",-1,T292)=0)),IF(C292="peso_corporal",IF(ISNUMBER(E292),E292,0)+R292,R292)*(30+S292)*100+R292,0)=AA292,5,IF(IF((P292&gt;=12)*(1-(IF(Q292="",-1,Q292)&gt;=3)*(IF(Q292="",-1,Q292)&lt;=4))*(1-(IF(Q292="",-1,Q292)=0)),IF(C292="peso_corporal",IF(ISNUMBER(E292),E292,0)+O292,O292)*(30+P292)*100+O292,0)=AA292,4,IF(IF((M292&gt;=12)*(1-(IF(N292="",-1,N292)&gt;=3)*(IF(N292="",-1,N292)&lt;=4))*(1-(IF(N292="",-1,N292)=0)),IF(C292="peso_corporal",IF(ISNUMBER(E292),E292,0)+L292,L292)*(30+M292)*100+L292,0)=AA292,3,IF(IF((J292&gt;=12)*(1-(IF(K292="",-1,K292)&gt;=3)*(IF(K292="",-1,K292)&lt;=4))*(1-(IF(K292="",-1,K292)=0)),IF(C292="peso_corporal",IF(ISNUMBER(E292),E292,0)+I292,I292)*(30+J292)*100+I292,0)=AA292,2,IF(IF((G292&gt;=12)*(1-(IF(H292="",-1,H292)&gt;=3)*(IF(H292="",-1,H292)&lt;=4))*(1-(IF(H292="",-1,H292)=0)),IF(C292="peso_corporal",IF(ISNUMBER(E292),E292,0)+F292,F292)*(30+G292)*100+F292,0)=AA292,1,0))))))</f>
        <v>0</v>
      </c>
      <c r="AC292" s="69" t="str">
        <f>IF(X292&gt;0,"A"&amp;X292,IF(Z292&gt;0,"B"&amp;Z292,IF(AB292&gt;0,"C"&amp;AB292,"")))</f>
        <v/>
      </c>
    </row>
    <row r="293" spans="1:29" ht="15" customHeight="1">
      <c r="A293" s="75" t="s">
        <v>28</v>
      </c>
      <c r="B293" s="73"/>
      <c r="C293" s="73"/>
      <c r="D293" s="73"/>
      <c r="E293" s="73"/>
      <c r="F293" s="73"/>
      <c r="G293" s="73"/>
      <c r="H293" s="73"/>
      <c r="I293" s="73"/>
      <c r="J293" s="73"/>
      <c r="K293" s="73"/>
      <c r="L293" s="73"/>
      <c r="M293" s="73"/>
      <c r="N293" s="73"/>
      <c r="O293" s="73"/>
      <c r="P293" s="73"/>
      <c r="Q293" s="73"/>
      <c r="R293" s="73"/>
      <c r="S293" s="73"/>
      <c r="T293" s="73"/>
      <c r="U293" s="73"/>
      <c r="V293" s="73"/>
      <c r="W293" s="69"/>
      <c r="X293" s="69"/>
      <c r="Y293" s="69"/>
      <c r="Z293" s="69"/>
      <c r="AA293" s="69"/>
      <c r="AB293" s="69"/>
      <c r="AC293" s="69"/>
    </row>
    <row r="294" spans="1:29" ht="11.1" customHeight="1">
      <c r="A294" s="76" t="s">
        <v>29</v>
      </c>
      <c r="B294" s="73"/>
      <c r="C294" s="73"/>
      <c r="D294" s="73"/>
      <c r="E294" s="73"/>
      <c r="F294" s="73"/>
      <c r="G294" s="73"/>
      <c r="H294" s="73"/>
      <c r="I294" s="73"/>
      <c r="J294" s="73"/>
      <c r="K294" s="73"/>
      <c r="L294" s="73"/>
      <c r="M294" s="73"/>
      <c r="N294" s="73"/>
      <c r="O294" s="73"/>
      <c r="P294" s="73"/>
      <c r="Q294" s="73"/>
      <c r="R294" s="73"/>
      <c r="S294" s="73"/>
      <c r="T294" s="73"/>
      <c r="U294" s="73"/>
      <c r="V294" s="73"/>
      <c r="W294" s="69"/>
      <c r="X294" s="69"/>
      <c r="Y294" s="69"/>
      <c r="Z294" s="69"/>
      <c r="AA294" s="69"/>
      <c r="AB294" s="69"/>
      <c r="AC294" s="69"/>
    </row>
    <row r="295" spans="1:29" ht="20.100000000000001" customHeight="1">
      <c r="A295" s="14" t="s">
        <v>30</v>
      </c>
      <c r="B295" s="15" t="s">
        <v>31</v>
      </c>
      <c r="C295" s="16" t="str">
        <f>IFERROR(INDEX(EJERCICIOS!$D$3:$D$75,MATCH(A295&amp;"|"&amp;B295,EJERCICIOS!$G$3:$G$75,0)),"--")</f>
        <v>mancuerna</v>
      </c>
      <c r="D295" s="17">
        <v>3</v>
      </c>
      <c r="E295" s="18">
        <f>IFERROR(LOOKUP(2,1/(MEDIDAS_Y_PESO!$B$3:$B$14&lt;&gt;""),MEDIDAS_Y_PESO!$B$3:$B$14),"--")</f>
        <v>80</v>
      </c>
      <c r="F295" s="19"/>
      <c r="G295" s="20"/>
      <c r="H295" s="21"/>
      <c r="I295" s="19"/>
      <c r="J295" s="20"/>
      <c r="K295" s="21"/>
      <c r="L295" s="19"/>
      <c r="M295" s="20"/>
      <c r="N295" s="21"/>
      <c r="O295" s="19"/>
      <c r="P295" s="20"/>
      <c r="Q295" s="21"/>
      <c r="R295" s="19"/>
      <c r="S295" s="20"/>
      <c r="T295" s="21"/>
      <c r="U295" s="22" t="str">
        <f>IFERROR(IF(IF(X295&gt;0,X295,IF(Z295&gt;0,Z295,IF(AB295&gt;0,AB295,0)))=0,"--",ROUND(CHOOSE(IF(X295&gt;0,X295,IF(Z295&gt;0,Z295,IF(AB295&gt;0,AB295,0))),IF(C295="peso_corporal",IF(ISNUMBER(E295),E295,0)+F295,F295)*(1+G295/30),IF(C295="peso_corporal",IF(ISNUMBER(E295),E295,0)+I295,I295)*(1+J295/30),IF(C295="peso_corporal",IF(ISNUMBER(E295),E295,0)+L295,L295)*(1+M295/30),IF(C295="peso_corporal",IF(ISNUMBER(E295),E295,0)+O295,O295)*(1+P295/30),IF(C295="peso_corporal",IF(ISNUMBER(E295),E295,0)+R295,R295)*(1+S295/30)),1)),"--")</f>
        <v>--</v>
      </c>
      <c r="V295" s="23" t="str">
        <f>IF(SUGERENCIAS!N739="SIN","Sin datos anteriores",IF(SUGERENCIAS!N739="SUBIR_F","^ SUBIR FUERTE | Kg:"&amp;ROUND(SUGERENCIAS!K739,1)&amp;" R:"&amp;ROUND(SUGERENCIAS!L739,0)&amp;" RIR:"&amp;ROUND(SUGERENCIAS!M739,0),IF(SUGERENCIAS!N739="SUBIR_E","^ SUBIR (Est.) | Kg:"&amp;ROUND(SUGERENCIAS!K739,1)&amp;" R:"&amp;ROUND(SUGERENCIAS!L739,0)&amp;" RIR:"&amp;ROUND(SUGERENCIAS!M739,0),IF(SUGERENCIAS!N739="SUBIR","^ SUBIR | Kg:"&amp;ROUND(SUGERENCIAS!K739,1)&amp;" R:"&amp;ROUND(SUGERENCIAS!L739,0)&amp;" RIR:"&amp;ROUND(SUGERENCIAS!M739,0),IF(SUGERENCIAS!N739="BAJAR","v BAJAR | Kg:"&amp;ROUND(SUGERENCIAS!K739,1)&amp;" R:"&amp;ROUND(SUGERENCIAS!L739,0)&amp;" RIR:"&amp;ROUND(SUGERENCIAS!M739,0),"= MANT | Kg:"&amp;ROUND(SUGERENCIAS!K739,1)&amp;" R:"&amp;ROUND(SUGERENCIAS!L739,0)&amp;" RIR:"&amp;ROUND(SUGERENCIAS!M739,0))))))</f>
        <v>Sin datos anteriores</v>
      </c>
      <c r="W295" s="69">
        <f>MAX(IF((G295&gt;0)*(IF(H295="",-1,H295)&gt;=3)*(IF(H295="",-1,H295)&lt;=4),IF(C295="peso_corporal",IF(ISNUMBER(E295),E295,0)+F295,F295)*G295*1000+F295,0),IF((J295&gt;0)*(IF(K295="",-1,K295)&gt;=3)*(IF(K295="",-1,K295)&lt;=4),IF(C295="peso_corporal",IF(ISNUMBER(E295),E295,0)+I295,I295)*J295*1000+I295,0),IF((M295&gt;0)*(IF(N295="",-1,N295)&gt;=3)*(IF(N295="",-1,N295)&lt;=4),IF(C295="peso_corporal",IF(ISNUMBER(E295),E295,0)+L295,L295)*M295*1000+L295,0),IF((P295&gt;0)*(IF(Q295="",-1,Q295)&gt;=3)*(IF(Q295="",-1,Q295)&lt;=4),IF(C295="peso_corporal",IF(ISNUMBER(E295),E295,0)+O295,O295)*P295*1000+O295,0),IF((S295&gt;0)*(IF(T295="",-1,T295)&gt;=3)*(IF(T295="",-1,T295)&lt;=4),IF(C295="peso_corporal",IF(ISNUMBER(E295),E295,0)+R295,R295)*S295*1000+R295,0))</f>
        <v>0</v>
      </c>
      <c r="X295" s="69">
        <f>IF(W295=0,0,IF(IF((S295&gt;0)*(IF(T295="",-1,T295)&gt;=3)*(IF(T295="",-1,T295)&lt;=4),IF(C295="peso_corporal",IF(ISNUMBER(E295),E295,0)+R295,R295)*S295*1000+R295,0)=W295,5,IF(IF((P295&gt;0)*(IF(Q295="",-1,Q295)&gt;=3)*(IF(Q295="",-1,Q295)&lt;=4),IF(C295="peso_corporal",IF(ISNUMBER(E295),E295,0)+O295,O295)*P295*1000+O295,0)=W295,4,IF(IF((M295&gt;0)*(IF(N295="",-1,N295)&gt;=3)*(IF(N295="",-1,N295)&lt;=4),IF(C295="peso_corporal",IF(ISNUMBER(E295),E295,0)+L295,L295)*M295*1000+L295,0)=W295,3,IF(IF((J295&gt;0)*(IF(K295="",-1,K295)&gt;=3)*(IF(K295="",-1,K295)&lt;=4),IF(C295="peso_corporal",IF(ISNUMBER(E295),E295,0)+I295,I295)*J295*1000+I295,0)=W295,2,IF(IF((G295&gt;0)*(IF(H295="",-1,H295)&gt;=3)*(IF(H295="",-1,H295)&lt;=4),IF(C295="peso_corporal",IF(ISNUMBER(E295),E295,0)+F295,F295)*G295*1000+F295,0)=W295,1,0))))))</f>
        <v>0</v>
      </c>
      <c r="Y295" s="69">
        <f>MAX(IF((G295&gt;0)*(IF(H295="",-1,H295)=0)*(1-(IF(H295="",-1,H295)&gt;=3)*(IF(H295="",-1,H295)&lt;=4)),IF(C295="peso_corporal",IF(ISNUMBER(E295),E295,0)+F295,F295)*G295*1000+F295,0),IF((J295&gt;0)*(IF(K295="",-1,K295)=0)*(1-(IF(K295="",-1,K295)&gt;=3)*(IF(K295="",-1,K295)&lt;=4)),IF(C295="peso_corporal",IF(ISNUMBER(E295),E295,0)+I295,I295)*J295*1000+I295,0),IF((M295&gt;0)*(IF(N295="",-1,N295)=0)*(1-(IF(N295="",-1,N295)&gt;=3)*(IF(N295="",-1,N295)&lt;=4)),IF(C295="peso_corporal",IF(ISNUMBER(E295),E295,0)+L295,L295)*M295*1000+L295,0),IF((P295&gt;0)*(IF(Q295="",-1,Q295)=0)*(1-(IF(Q295="",-1,Q295)&gt;=3)*(IF(Q295="",-1,Q295)&lt;=4)),IF(C295="peso_corporal",IF(ISNUMBER(E295),E295,0)+O295,O295)*P295*1000+O295,0),IF((S295&gt;0)*(IF(T295="",-1,T295)=0)*(1-(IF(T295="",-1,T295)&gt;=3)*(IF(T295="",-1,T295)&lt;=4)),IF(C295="peso_corporal",IF(ISNUMBER(E295),E295,0)+R295,R295)*S295*1000+R295,0))</f>
        <v>0</v>
      </c>
      <c r="Z295" s="69">
        <f>IF(Y295=0,0,IF(IF((S295&gt;0)*(IF(T295="",-1,T295)=0)*(1-(IF(T295="",-1,T295)&gt;=3)*(IF(T295="",-1,T295)&lt;=4)),IF(C295="peso_corporal",IF(ISNUMBER(E295),E295,0)+R295,R295)*S295*1000+R295,0)=Y295,5,IF(IF((P295&gt;0)*(IF(Q295="",-1,Q295)=0)*(1-(IF(Q295="",-1,Q295)&gt;=3)*(IF(Q295="",-1,Q295)&lt;=4)),IF(C295="peso_corporal",IF(ISNUMBER(E295),E295,0)+O295,O295)*P295*1000+O295,0)=Y295,4,IF(IF((M295&gt;0)*(IF(N295="",-1,N295)=0)*(1-(IF(N295="",-1,N295)&gt;=3)*(IF(N295="",-1,N295)&lt;=4)),IF(C295="peso_corporal",IF(ISNUMBER(E295),E295,0)+L295,L295)*M295*1000+L295,0)=Y295,3,IF(IF((J295&gt;0)*(IF(K295="",-1,K295)=0)*(1-(IF(K295="",-1,K295)&gt;=3)*(IF(K295="",-1,K295)&lt;=4)),IF(C295="peso_corporal",IF(ISNUMBER(E295),E295,0)+I295,I295)*J295*1000+I295,0)=Y295,2,IF(IF((G295&gt;0)*(IF(H295="",-1,H295)=0)*(1-(IF(H295="",-1,H295)&gt;=3)*(IF(H295="",-1,H295)&lt;=4)),IF(C295="peso_corporal",IF(ISNUMBER(E295),E295,0)+F295,F295)*G295*1000+F295,0)=Y295,1,0))))))</f>
        <v>0</v>
      </c>
      <c r="AA295" s="69">
        <f>MAX(IF((G295&gt;=12)*(1-(IF(H295="",-1,H295)&gt;=3)*(IF(H295="",-1,H295)&lt;=4))*(1-(IF(H295="",-1,H295)=0)),IF(C295="peso_corporal",IF(ISNUMBER(E295),E295,0)+F295,F295)*(30+G295)*100+F295,0),IF((J295&gt;=12)*(1-(IF(K295="",-1,K295)&gt;=3)*(IF(K295="",-1,K295)&lt;=4))*(1-(IF(K295="",-1,K295)=0)),IF(C295="peso_corporal",IF(ISNUMBER(E295),E295,0)+I295,I295)*(30+J295)*100+I295,0),IF((M295&gt;=12)*(1-(IF(N295="",-1,N295)&gt;=3)*(IF(N295="",-1,N295)&lt;=4))*(1-(IF(N295="",-1,N295)=0)),IF(C295="peso_corporal",IF(ISNUMBER(E295),E295,0)+L295,L295)*(30+M295)*100+L295,0),IF((P295&gt;=12)*(1-(IF(Q295="",-1,Q295)&gt;=3)*(IF(Q295="",-1,Q295)&lt;=4))*(1-(IF(Q295="",-1,Q295)=0)),IF(C295="peso_corporal",IF(ISNUMBER(E295),E295,0)+O295,O295)*(30+P295)*100+O295,0),IF((S295&gt;=12)*(1-(IF(T295="",-1,T295)&gt;=3)*(IF(T295="",-1,T295)&lt;=4))*(1-(IF(T295="",-1,T295)=0)),IF(C295="peso_corporal",IF(ISNUMBER(E295),E295,0)+R295,R295)*(30+S295)*100+R295,0))</f>
        <v>0</v>
      </c>
      <c r="AB295" s="69">
        <f>IF(AA295=0,0,IF(IF((S295&gt;=12)*(1-(IF(T295="",-1,T295)&gt;=3)*(IF(T295="",-1,T295)&lt;=4))*(1-(IF(T295="",-1,T295)=0)),IF(C295="peso_corporal",IF(ISNUMBER(E295),E295,0)+R295,R295)*(30+S295)*100+R295,0)=AA295,5,IF(IF((P295&gt;=12)*(1-(IF(Q295="",-1,Q295)&gt;=3)*(IF(Q295="",-1,Q295)&lt;=4))*(1-(IF(Q295="",-1,Q295)=0)),IF(C295="peso_corporal",IF(ISNUMBER(E295),E295,0)+O295,O295)*(30+P295)*100+O295,0)=AA295,4,IF(IF((M295&gt;=12)*(1-(IF(N295="",-1,N295)&gt;=3)*(IF(N295="",-1,N295)&lt;=4))*(1-(IF(N295="",-1,N295)=0)),IF(C295="peso_corporal",IF(ISNUMBER(E295),E295,0)+L295,L295)*(30+M295)*100+L295,0)=AA295,3,IF(IF((J295&gt;=12)*(1-(IF(K295="",-1,K295)&gt;=3)*(IF(K295="",-1,K295)&lt;=4))*(1-(IF(K295="",-1,K295)=0)),IF(C295="peso_corporal",IF(ISNUMBER(E295),E295,0)+I295,I295)*(30+J295)*100+I295,0)=AA295,2,IF(IF((G295&gt;=12)*(1-(IF(H295="",-1,H295)&gt;=3)*(IF(H295="",-1,H295)&lt;=4))*(1-(IF(H295="",-1,H295)=0)),IF(C295="peso_corporal",IF(ISNUMBER(E295),E295,0)+F295,F295)*(30+G295)*100+F295,0)=AA295,1,0))))))</f>
        <v>0</v>
      </c>
      <c r="AC295" s="69" t="str">
        <f>IF(X295&gt;0,"A"&amp;X295,IF(Z295&gt;0,"B"&amp;Z295,IF(AB295&gt;0,"C"&amp;AB295,"")))</f>
        <v/>
      </c>
    </row>
    <row r="296" spans="1:29" ht="11.1" customHeight="1">
      <c r="A296" s="84" t="s">
        <v>32</v>
      </c>
      <c r="B296" s="73"/>
      <c r="C296" s="73"/>
      <c r="D296" s="73"/>
      <c r="E296" s="73"/>
      <c r="F296" s="73"/>
      <c r="G296" s="73"/>
      <c r="H296" s="73"/>
      <c r="I296" s="73"/>
      <c r="J296" s="73"/>
      <c r="K296" s="73"/>
      <c r="L296" s="73"/>
      <c r="M296" s="73"/>
      <c r="N296" s="73"/>
      <c r="O296" s="73"/>
      <c r="P296" s="73"/>
      <c r="Q296" s="73"/>
      <c r="R296" s="73"/>
      <c r="S296" s="73"/>
      <c r="T296" s="73"/>
      <c r="U296" s="73"/>
      <c r="V296" s="73"/>
      <c r="W296" s="69"/>
      <c r="X296" s="69"/>
      <c r="Y296" s="69"/>
      <c r="Z296" s="69"/>
      <c r="AA296" s="69"/>
      <c r="AB296" s="69"/>
      <c r="AC296" s="69"/>
    </row>
    <row r="297" spans="1:29" ht="20.100000000000001" customHeight="1">
      <c r="A297" s="14" t="s">
        <v>61</v>
      </c>
      <c r="B297" s="15" t="s">
        <v>93</v>
      </c>
      <c r="C297" s="16" t="str">
        <f>IFERROR(INDEX(EJERCICIOS!$D$3:$D$75,MATCH(A297&amp;"|"&amp;B297,EJERCICIOS!$G$3:$G$75,0)),"--")</f>
        <v>disco</v>
      </c>
      <c r="D297" s="17">
        <v>3</v>
      </c>
      <c r="E297" s="18">
        <f>IFERROR(LOOKUP(2,1/(MEDIDAS_Y_PESO!$B$3:$B$14&lt;&gt;""),MEDIDAS_Y_PESO!$B$3:$B$14),"--")</f>
        <v>80</v>
      </c>
      <c r="F297" s="19"/>
      <c r="G297" s="20"/>
      <c r="H297" s="21"/>
      <c r="I297" s="19"/>
      <c r="J297" s="20"/>
      <c r="K297" s="21"/>
      <c r="L297" s="19"/>
      <c r="M297" s="20"/>
      <c r="N297" s="21"/>
      <c r="O297" s="19"/>
      <c r="P297" s="20"/>
      <c r="Q297" s="21"/>
      <c r="R297" s="19"/>
      <c r="S297" s="20"/>
      <c r="T297" s="21"/>
      <c r="U297" s="22" t="str">
        <f>IFERROR(IF(IF(X297&gt;0,X297,IF(Z297&gt;0,Z297,IF(AB297&gt;0,AB297,0)))=0,"--",ROUND(CHOOSE(IF(X297&gt;0,X297,IF(Z297&gt;0,Z297,IF(AB297&gt;0,AB297,0))),IF(C297="peso_corporal",IF(ISNUMBER(E297),E297,0)+F297,F297)*(1+G297/30),IF(C297="peso_corporal",IF(ISNUMBER(E297),E297,0)+I297,I297)*(1+J297/30),IF(C297="peso_corporal",IF(ISNUMBER(E297),E297,0)+L297,L297)*(1+M297/30),IF(C297="peso_corporal",IF(ISNUMBER(E297),E297,0)+O297,O297)*(1+P297/30),IF(C297="peso_corporal",IF(ISNUMBER(E297),E297,0)+R297,R297)*(1+S297/30)),1)),"--")</f>
        <v>--</v>
      </c>
      <c r="V297" s="23" t="str">
        <f>IF(SUGERENCIAS!N740="SIN","Sin datos anteriores",IF(SUGERENCIAS!N740="SUBIR_F","^ SUBIR FUERTE | Kg:"&amp;ROUND(SUGERENCIAS!K740,1)&amp;" R:"&amp;ROUND(SUGERENCIAS!L740,0)&amp;" RIR:"&amp;ROUND(SUGERENCIAS!M740,0),IF(SUGERENCIAS!N740="SUBIR_E","^ SUBIR (Est.) | Kg:"&amp;ROUND(SUGERENCIAS!K740,1)&amp;" R:"&amp;ROUND(SUGERENCIAS!L740,0)&amp;" RIR:"&amp;ROUND(SUGERENCIAS!M740,0),IF(SUGERENCIAS!N740="SUBIR","^ SUBIR | Kg:"&amp;ROUND(SUGERENCIAS!K740,1)&amp;" R:"&amp;ROUND(SUGERENCIAS!L740,0)&amp;" RIR:"&amp;ROUND(SUGERENCIAS!M740,0),IF(SUGERENCIAS!N740="BAJAR","v BAJAR | Kg:"&amp;ROUND(SUGERENCIAS!K740,1)&amp;" R:"&amp;ROUND(SUGERENCIAS!L740,0)&amp;" RIR:"&amp;ROUND(SUGERENCIAS!M740,0),"= MANT | Kg:"&amp;ROUND(SUGERENCIAS!K740,1)&amp;" R:"&amp;ROUND(SUGERENCIAS!L740,0)&amp;" RIR:"&amp;ROUND(SUGERENCIAS!M740,0))))))</f>
        <v>Sin datos anteriores</v>
      </c>
      <c r="W297" s="69">
        <f>MAX(IF((G297&gt;0)*(IF(H297="",-1,H297)&gt;=3)*(IF(H297="",-1,H297)&lt;=4),IF(C297="peso_corporal",IF(ISNUMBER(E297),E297,0)+F297,F297)*G297*1000+F297,0),IF((J297&gt;0)*(IF(K297="",-1,K297)&gt;=3)*(IF(K297="",-1,K297)&lt;=4),IF(C297="peso_corporal",IF(ISNUMBER(E297),E297,0)+I297,I297)*J297*1000+I297,0),IF((M297&gt;0)*(IF(N297="",-1,N297)&gt;=3)*(IF(N297="",-1,N297)&lt;=4),IF(C297="peso_corporal",IF(ISNUMBER(E297),E297,0)+L297,L297)*M297*1000+L297,0),IF((P297&gt;0)*(IF(Q297="",-1,Q297)&gt;=3)*(IF(Q297="",-1,Q297)&lt;=4),IF(C297="peso_corporal",IF(ISNUMBER(E297),E297,0)+O297,O297)*P297*1000+O297,0),IF((S297&gt;0)*(IF(T297="",-1,T297)&gt;=3)*(IF(T297="",-1,T297)&lt;=4),IF(C297="peso_corporal",IF(ISNUMBER(E297),E297,0)+R297,R297)*S297*1000+R297,0))</f>
        <v>0</v>
      </c>
      <c r="X297" s="69">
        <f>IF(W297=0,0,IF(IF((S297&gt;0)*(IF(T297="",-1,T297)&gt;=3)*(IF(T297="",-1,T297)&lt;=4),IF(C297="peso_corporal",IF(ISNUMBER(E297),E297,0)+R297,R297)*S297*1000+R297,0)=W297,5,IF(IF((P297&gt;0)*(IF(Q297="",-1,Q297)&gt;=3)*(IF(Q297="",-1,Q297)&lt;=4),IF(C297="peso_corporal",IF(ISNUMBER(E297),E297,0)+O297,O297)*P297*1000+O297,0)=W297,4,IF(IF((M297&gt;0)*(IF(N297="",-1,N297)&gt;=3)*(IF(N297="",-1,N297)&lt;=4),IF(C297="peso_corporal",IF(ISNUMBER(E297),E297,0)+L297,L297)*M297*1000+L297,0)=W297,3,IF(IF((J297&gt;0)*(IF(K297="",-1,K297)&gt;=3)*(IF(K297="",-1,K297)&lt;=4),IF(C297="peso_corporal",IF(ISNUMBER(E297),E297,0)+I297,I297)*J297*1000+I297,0)=W297,2,IF(IF((G297&gt;0)*(IF(H297="",-1,H297)&gt;=3)*(IF(H297="",-1,H297)&lt;=4),IF(C297="peso_corporal",IF(ISNUMBER(E297),E297,0)+F297,F297)*G297*1000+F297,0)=W297,1,0))))))</f>
        <v>0</v>
      </c>
      <c r="Y297" s="69">
        <f>MAX(IF((G297&gt;0)*(IF(H297="",-1,H297)=0)*(1-(IF(H297="",-1,H297)&gt;=3)*(IF(H297="",-1,H297)&lt;=4)),IF(C297="peso_corporal",IF(ISNUMBER(E297),E297,0)+F297,F297)*G297*1000+F297,0),IF((J297&gt;0)*(IF(K297="",-1,K297)=0)*(1-(IF(K297="",-1,K297)&gt;=3)*(IF(K297="",-1,K297)&lt;=4)),IF(C297="peso_corporal",IF(ISNUMBER(E297),E297,0)+I297,I297)*J297*1000+I297,0),IF((M297&gt;0)*(IF(N297="",-1,N297)=0)*(1-(IF(N297="",-1,N297)&gt;=3)*(IF(N297="",-1,N297)&lt;=4)),IF(C297="peso_corporal",IF(ISNUMBER(E297),E297,0)+L297,L297)*M297*1000+L297,0),IF((P297&gt;0)*(IF(Q297="",-1,Q297)=0)*(1-(IF(Q297="",-1,Q297)&gt;=3)*(IF(Q297="",-1,Q297)&lt;=4)),IF(C297="peso_corporal",IF(ISNUMBER(E297),E297,0)+O297,O297)*P297*1000+O297,0),IF((S297&gt;0)*(IF(T297="",-1,T297)=0)*(1-(IF(T297="",-1,T297)&gt;=3)*(IF(T297="",-1,T297)&lt;=4)),IF(C297="peso_corporal",IF(ISNUMBER(E297),E297,0)+R297,R297)*S297*1000+R297,0))</f>
        <v>0</v>
      </c>
      <c r="Z297" s="69">
        <f>IF(Y297=0,0,IF(IF((S297&gt;0)*(IF(T297="",-1,T297)=0)*(1-(IF(T297="",-1,T297)&gt;=3)*(IF(T297="",-1,T297)&lt;=4)),IF(C297="peso_corporal",IF(ISNUMBER(E297),E297,0)+R297,R297)*S297*1000+R297,0)=Y297,5,IF(IF((P297&gt;0)*(IF(Q297="",-1,Q297)=0)*(1-(IF(Q297="",-1,Q297)&gt;=3)*(IF(Q297="",-1,Q297)&lt;=4)),IF(C297="peso_corporal",IF(ISNUMBER(E297),E297,0)+O297,O297)*P297*1000+O297,0)=Y297,4,IF(IF((M297&gt;0)*(IF(N297="",-1,N297)=0)*(1-(IF(N297="",-1,N297)&gt;=3)*(IF(N297="",-1,N297)&lt;=4)),IF(C297="peso_corporal",IF(ISNUMBER(E297),E297,0)+L297,L297)*M297*1000+L297,0)=Y297,3,IF(IF((J297&gt;0)*(IF(K297="",-1,K297)=0)*(1-(IF(K297="",-1,K297)&gt;=3)*(IF(K297="",-1,K297)&lt;=4)),IF(C297="peso_corporal",IF(ISNUMBER(E297),E297,0)+I297,I297)*J297*1000+I297,0)=Y297,2,IF(IF((G297&gt;0)*(IF(H297="",-1,H297)=0)*(1-(IF(H297="",-1,H297)&gt;=3)*(IF(H297="",-1,H297)&lt;=4)),IF(C297="peso_corporal",IF(ISNUMBER(E297),E297,0)+F297,F297)*G297*1000+F297,0)=Y297,1,0))))))</f>
        <v>0</v>
      </c>
      <c r="AA297" s="69">
        <f>MAX(IF((G297&gt;=12)*(1-(IF(H297="",-1,H297)&gt;=3)*(IF(H297="",-1,H297)&lt;=4))*(1-(IF(H297="",-1,H297)=0)),IF(C297="peso_corporal",IF(ISNUMBER(E297),E297,0)+F297,F297)*(30+G297)*100+F297,0),IF((J297&gt;=12)*(1-(IF(K297="",-1,K297)&gt;=3)*(IF(K297="",-1,K297)&lt;=4))*(1-(IF(K297="",-1,K297)=0)),IF(C297="peso_corporal",IF(ISNUMBER(E297),E297,0)+I297,I297)*(30+J297)*100+I297,0),IF((M297&gt;=12)*(1-(IF(N297="",-1,N297)&gt;=3)*(IF(N297="",-1,N297)&lt;=4))*(1-(IF(N297="",-1,N297)=0)),IF(C297="peso_corporal",IF(ISNUMBER(E297),E297,0)+L297,L297)*(30+M297)*100+L297,0),IF((P297&gt;=12)*(1-(IF(Q297="",-1,Q297)&gt;=3)*(IF(Q297="",-1,Q297)&lt;=4))*(1-(IF(Q297="",-1,Q297)=0)),IF(C297="peso_corporal",IF(ISNUMBER(E297),E297,0)+O297,O297)*(30+P297)*100+O297,0),IF((S297&gt;=12)*(1-(IF(T297="",-1,T297)&gt;=3)*(IF(T297="",-1,T297)&lt;=4))*(1-(IF(T297="",-1,T297)=0)),IF(C297="peso_corporal",IF(ISNUMBER(E297),E297,0)+R297,R297)*(30+S297)*100+R297,0))</f>
        <v>0</v>
      </c>
      <c r="AB297" s="69">
        <f>IF(AA297=0,0,IF(IF((S297&gt;=12)*(1-(IF(T297="",-1,T297)&gt;=3)*(IF(T297="",-1,T297)&lt;=4))*(1-(IF(T297="",-1,T297)=0)),IF(C297="peso_corporal",IF(ISNUMBER(E297),E297,0)+R297,R297)*(30+S297)*100+R297,0)=AA297,5,IF(IF((P297&gt;=12)*(1-(IF(Q297="",-1,Q297)&gt;=3)*(IF(Q297="",-1,Q297)&lt;=4))*(1-(IF(Q297="",-1,Q297)=0)),IF(C297="peso_corporal",IF(ISNUMBER(E297),E297,0)+O297,O297)*(30+P297)*100+O297,0)=AA297,4,IF(IF((M297&gt;=12)*(1-(IF(N297="",-1,N297)&gt;=3)*(IF(N297="",-1,N297)&lt;=4))*(1-(IF(N297="",-1,N297)=0)),IF(C297="peso_corporal",IF(ISNUMBER(E297),E297,0)+L297,L297)*(30+M297)*100+L297,0)=AA297,3,IF(IF((J297&gt;=12)*(1-(IF(K297="",-1,K297)&gt;=3)*(IF(K297="",-1,K297)&lt;=4))*(1-(IF(K297="",-1,K297)=0)),IF(C297="peso_corporal",IF(ISNUMBER(E297),E297,0)+I297,I297)*(30+J297)*100+I297,0)=AA297,2,IF(IF((G297&gt;=12)*(1-(IF(H297="",-1,H297)&gt;=3)*(IF(H297="",-1,H297)&lt;=4))*(1-(IF(H297="",-1,H297)=0)),IF(C297="peso_corporal",IF(ISNUMBER(E297),E297,0)+F297,F297)*(30+G297)*100+F297,0)=AA297,1,0))))))</f>
        <v>0</v>
      </c>
      <c r="AC297" s="69" t="str">
        <f>IF(X297&gt;0,"A"&amp;X297,IF(Z297&gt;0,"B"&amp;Z297,IF(AB297&gt;0,"C"&amp;AB297,"")))</f>
        <v/>
      </c>
    </row>
    <row r="298" spans="1:29" ht="11.1" customHeight="1">
      <c r="A298" s="87" t="s">
        <v>165</v>
      </c>
      <c r="B298" s="73"/>
      <c r="C298" s="73"/>
      <c r="D298" s="73"/>
      <c r="E298" s="73"/>
      <c r="F298" s="73"/>
      <c r="G298" s="73"/>
      <c r="H298" s="73"/>
      <c r="I298" s="73"/>
      <c r="J298" s="73"/>
      <c r="K298" s="73"/>
      <c r="L298" s="73"/>
      <c r="M298" s="73"/>
      <c r="N298" s="73"/>
      <c r="O298" s="73"/>
      <c r="P298" s="73"/>
      <c r="Q298" s="73"/>
      <c r="R298" s="73"/>
      <c r="S298" s="73"/>
      <c r="T298" s="73"/>
      <c r="U298" s="73"/>
      <c r="V298" s="73"/>
      <c r="W298" s="69"/>
      <c r="X298" s="69"/>
      <c r="Y298" s="69"/>
      <c r="Z298" s="69"/>
      <c r="AA298" s="69"/>
      <c r="AB298" s="69"/>
      <c r="AC298" s="69"/>
    </row>
    <row r="299" spans="1:29" ht="20.100000000000001" customHeight="1">
      <c r="A299" s="14" t="s">
        <v>62</v>
      </c>
      <c r="B299" s="15" t="s">
        <v>63</v>
      </c>
      <c r="C299" s="16" t="str">
        <f>IFERROR(INDEX(EJERCICIOS!$D$3:$D$75,MATCH(A299&amp;"|"&amp;B299,EJERCICIOS!$G$3:$G$75,0)),"--")</f>
        <v>--</v>
      </c>
      <c r="D299" s="17">
        <v>3</v>
      </c>
      <c r="E299" s="18">
        <f>IFERROR(LOOKUP(2,1/(MEDIDAS_Y_PESO!$B$3:$B$14&lt;&gt;""),MEDIDAS_Y_PESO!$B$3:$B$14),"--")</f>
        <v>80</v>
      </c>
      <c r="F299" s="19"/>
      <c r="G299" s="20"/>
      <c r="H299" s="21"/>
      <c r="I299" s="19"/>
      <c r="J299" s="20"/>
      <c r="K299" s="21"/>
      <c r="L299" s="19"/>
      <c r="M299" s="20"/>
      <c r="N299" s="21"/>
      <c r="O299" s="19"/>
      <c r="P299" s="20"/>
      <c r="Q299" s="21"/>
      <c r="R299" s="19"/>
      <c r="S299" s="20"/>
      <c r="T299" s="21"/>
      <c r="U299" s="22" t="str">
        <f>IFERROR(IF(IF(X299&gt;0,X299,IF(Z299&gt;0,Z299,IF(AB299&gt;0,AB299,0)))=0,"--",ROUND(CHOOSE(IF(X299&gt;0,X299,IF(Z299&gt;0,Z299,IF(AB299&gt;0,AB299,0))),IF(C299="peso_corporal",IF(ISNUMBER(E299),E299,0)+F299,F299)*(1+G299/30),IF(C299="peso_corporal",IF(ISNUMBER(E299),E299,0)+I299,I299)*(1+J299/30),IF(C299="peso_corporal",IF(ISNUMBER(E299),E299,0)+L299,L299)*(1+M299/30),IF(C299="peso_corporal",IF(ISNUMBER(E299),E299,0)+O299,O299)*(1+P299/30),IF(C299="peso_corporal",IF(ISNUMBER(E299),E299,0)+R299,R299)*(1+S299/30)),1)),"--")</f>
        <v>--</v>
      </c>
      <c r="V299" s="23" t="str">
        <f>IF(SUGERENCIAS!N741="SIN","Sin datos anteriores",IF(SUGERENCIAS!N741="SUBIR_F","^ SUBIR FUERTE | Kg:"&amp;ROUND(SUGERENCIAS!K741,1)&amp;" R:"&amp;ROUND(SUGERENCIAS!L741,0)&amp;" RIR:"&amp;ROUND(SUGERENCIAS!M741,0),IF(SUGERENCIAS!N741="SUBIR_E","^ SUBIR (Est.) | Kg:"&amp;ROUND(SUGERENCIAS!K741,1)&amp;" R:"&amp;ROUND(SUGERENCIAS!L741,0)&amp;" RIR:"&amp;ROUND(SUGERENCIAS!M741,0),IF(SUGERENCIAS!N741="SUBIR","^ SUBIR | Kg:"&amp;ROUND(SUGERENCIAS!K741,1)&amp;" R:"&amp;ROUND(SUGERENCIAS!L741,0)&amp;" RIR:"&amp;ROUND(SUGERENCIAS!M741,0),IF(SUGERENCIAS!N741="BAJAR","v BAJAR | Kg:"&amp;ROUND(SUGERENCIAS!K741,1)&amp;" R:"&amp;ROUND(SUGERENCIAS!L741,0)&amp;" RIR:"&amp;ROUND(SUGERENCIAS!M741,0),"= MANT | Kg:"&amp;ROUND(SUGERENCIAS!K741,1)&amp;" R:"&amp;ROUND(SUGERENCIAS!L741,0)&amp;" RIR:"&amp;ROUND(SUGERENCIAS!M741,0))))))</f>
        <v>Sin datos anteriores</v>
      </c>
      <c r="W299" s="69">
        <f>MAX(IF((G299&gt;0)*(IF(H299="",-1,H299)&gt;=3)*(IF(H299="",-1,H299)&lt;=4),IF(C299="peso_corporal",IF(ISNUMBER(E299),E299,0)+F299,F299)*G299*1000+F299,0),IF((J299&gt;0)*(IF(K299="",-1,K299)&gt;=3)*(IF(K299="",-1,K299)&lt;=4),IF(C299="peso_corporal",IF(ISNUMBER(E299),E299,0)+I299,I299)*J299*1000+I299,0),IF((M299&gt;0)*(IF(N299="",-1,N299)&gt;=3)*(IF(N299="",-1,N299)&lt;=4),IF(C299="peso_corporal",IF(ISNUMBER(E299),E299,0)+L299,L299)*M299*1000+L299,0),IF((P299&gt;0)*(IF(Q299="",-1,Q299)&gt;=3)*(IF(Q299="",-1,Q299)&lt;=4),IF(C299="peso_corporal",IF(ISNUMBER(E299),E299,0)+O299,O299)*P299*1000+O299,0),IF((S299&gt;0)*(IF(T299="",-1,T299)&gt;=3)*(IF(T299="",-1,T299)&lt;=4),IF(C299="peso_corporal",IF(ISNUMBER(E299),E299,0)+R299,R299)*S299*1000+R299,0))</f>
        <v>0</v>
      </c>
      <c r="X299" s="69">
        <f>IF(W299=0,0,IF(IF((S299&gt;0)*(IF(T299="",-1,T299)&gt;=3)*(IF(T299="",-1,T299)&lt;=4),IF(C299="peso_corporal",IF(ISNUMBER(E299),E299,0)+R299,R299)*S299*1000+R299,0)=W299,5,IF(IF((P299&gt;0)*(IF(Q299="",-1,Q299)&gt;=3)*(IF(Q299="",-1,Q299)&lt;=4),IF(C299="peso_corporal",IF(ISNUMBER(E299),E299,0)+O299,O299)*P299*1000+O299,0)=W299,4,IF(IF((M299&gt;0)*(IF(N299="",-1,N299)&gt;=3)*(IF(N299="",-1,N299)&lt;=4),IF(C299="peso_corporal",IF(ISNUMBER(E299),E299,0)+L299,L299)*M299*1000+L299,0)=W299,3,IF(IF((J299&gt;0)*(IF(K299="",-1,K299)&gt;=3)*(IF(K299="",-1,K299)&lt;=4),IF(C299="peso_corporal",IF(ISNUMBER(E299),E299,0)+I299,I299)*J299*1000+I299,0)=W299,2,IF(IF((G299&gt;0)*(IF(H299="",-1,H299)&gt;=3)*(IF(H299="",-1,H299)&lt;=4),IF(C299="peso_corporal",IF(ISNUMBER(E299),E299,0)+F299,F299)*G299*1000+F299,0)=W299,1,0))))))</f>
        <v>0</v>
      </c>
      <c r="Y299" s="69">
        <f>MAX(IF((G299&gt;0)*(IF(H299="",-1,H299)=0)*(1-(IF(H299="",-1,H299)&gt;=3)*(IF(H299="",-1,H299)&lt;=4)),IF(C299="peso_corporal",IF(ISNUMBER(E299),E299,0)+F299,F299)*G299*1000+F299,0),IF((J299&gt;0)*(IF(K299="",-1,K299)=0)*(1-(IF(K299="",-1,K299)&gt;=3)*(IF(K299="",-1,K299)&lt;=4)),IF(C299="peso_corporal",IF(ISNUMBER(E299),E299,0)+I299,I299)*J299*1000+I299,0),IF((M299&gt;0)*(IF(N299="",-1,N299)=0)*(1-(IF(N299="",-1,N299)&gt;=3)*(IF(N299="",-1,N299)&lt;=4)),IF(C299="peso_corporal",IF(ISNUMBER(E299),E299,0)+L299,L299)*M299*1000+L299,0),IF((P299&gt;0)*(IF(Q299="",-1,Q299)=0)*(1-(IF(Q299="",-1,Q299)&gt;=3)*(IF(Q299="",-1,Q299)&lt;=4)),IF(C299="peso_corporal",IF(ISNUMBER(E299),E299,0)+O299,O299)*P299*1000+O299,0),IF((S299&gt;0)*(IF(T299="",-1,T299)=0)*(1-(IF(T299="",-1,T299)&gt;=3)*(IF(T299="",-1,T299)&lt;=4)),IF(C299="peso_corporal",IF(ISNUMBER(E299),E299,0)+R299,R299)*S299*1000+R299,0))</f>
        <v>0</v>
      </c>
      <c r="Z299" s="69">
        <f>IF(Y299=0,0,IF(IF((S299&gt;0)*(IF(T299="",-1,T299)=0)*(1-(IF(T299="",-1,T299)&gt;=3)*(IF(T299="",-1,T299)&lt;=4)),IF(C299="peso_corporal",IF(ISNUMBER(E299),E299,0)+R299,R299)*S299*1000+R299,0)=Y299,5,IF(IF((P299&gt;0)*(IF(Q299="",-1,Q299)=0)*(1-(IF(Q299="",-1,Q299)&gt;=3)*(IF(Q299="",-1,Q299)&lt;=4)),IF(C299="peso_corporal",IF(ISNUMBER(E299),E299,0)+O299,O299)*P299*1000+O299,0)=Y299,4,IF(IF((M299&gt;0)*(IF(N299="",-1,N299)=0)*(1-(IF(N299="",-1,N299)&gt;=3)*(IF(N299="",-1,N299)&lt;=4)),IF(C299="peso_corporal",IF(ISNUMBER(E299),E299,0)+L299,L299)*M299*1000+L299,0)=Y299,3,IF(IF((J299&gt;0)*(IF(K299="",-1,K299)=0)*(1-(IF(K299="",-1,K299)&gt;=3)*(IF(K299="",-1,K299)&lt;=4)),IF(C299="peso_corporal",IF(ISNUMBER(E299),E299,0)+I299,I299)*J299*1000+I299,0)=Y299,2,IF(IF((G299&gt;0)*(IF(H299="",-1,H299)=0)*(1-(IF(H299="",-1,H299)&gt;=3)*(IF(H299="",-1,H299)&lt;=4)),IF(C299="peso_corporal",IF(ISNUMBER(E299),E299,0)+F299,F299)*G299*1000+F299,0)=Y299,1,0))))))</f>
        <v>0</v>
      </c>
      <c r="AA299" s="69">
        <f>MAX(IF((G299&gt;=12)*(1-(IF(H299="",-1,H299)&gt;=3)*(IF(H299="",-1,H299)&lt;=4))*(1-(IF(H299="",-1,H299)=0)),IF(C299="peso_corporal",IF(ISNUMBER(E299),E299,0)+F299,F299)*(30+G299)*100+F299,0),IF((J299&gt;=12)*(1-(IF(K299="",-1,K299)&gt;=3)*(IF(K299="",-1,K299)&lt;=4))*(1-(IF(K299="",-1,K299)=0)),IF(C299="peso_corporal",IF(ISNUMBER(E299),E299,0)+I299,I299)*(30+J299)*100+I299,0),IF((M299&gt;=12)*(1-(IF(N299="",-1,N299)&gt;=3)*(IF(N299="",-1,N299)&lt;=4))*(1-(IF(N299="",-1,N299)=0)),IF(C299="peso_corporal",IF(ISNUMBER(E299),E299,0)+L299,L299)*(30+M299)*100+L299,0),IF((P299&gt;=12)*(1-(IF(Q299="",-1,Q299)&gt;=3)*(IF(Q299="",-1,Q299)&lt;=4))*(1-(IF(Q299="",-1,Q299)=0)),IF(C299="peso_corporal",IF(ISNUMBER(E299),E299,0)+O299,O299)*(30+P299)*100+O299,0),IF((S299&gt;=12)*(1-(IF(T299="",-1,T299)&gt;=3)*(IF(T299="",-1,T299)&lt;=4))*(1-(IF(T299="",-1,T299)=0)),IF(C299="peso_corporal",IF(ISNUMBER(E299),E299,0)+R299,R299)*(30+S299)*100+R299,0))</f>
        <v>0</v>
      </c>
      <c r="AB299" s="69">
        <f>IF(AA299=0,0,IF(IF((S299&gt;=12)*(1-(IF(T299="",-1,T299)&gt;=3)*(IF(T299="",-1,T299)&lt;=4))*(1-(IF(T299="",-1,T299)=0)),IF(C299="peso_corporal",IF(ISNUMBER(E299),E299,0)+R299,R299)*(30+S299)*100+R299,0)=AA299,5,IF(IF((P299&gt;=12)*(1-(IF(Q299="",-1,Q299)&gt;=3)*(IF(Q299="",-1,Q299)&lt;=4))*(1-(IF(Q299="",-1,Q299)=0)),IF(C299="peso_corporal",IF(ISNUMBER(E299),E299,0)+O299,O299)*(30+P299)*100+O299,0)=AA299,4,IF(IF((M299&gt;=12)*(1-(IF(N299="",-1,N299)&gt;=3)*(IF(N299="",-1,N299)&lt;=4))*(1-(IF(N299="",-1,N299)=0)),IF(C299="peso_corporal",IF(ISNUMBER(E299),E299,0)+L299,L299)*(30+M299)*100+L299,0)=AA299,3,IF(IF((J299&gt;=12)*(1-(IF(K299="",-1,K299)&gt;=3)*(IF(K299="",-1,K299)&lt;=4))*(1-(IF(K299="",-1,K299)=0)),IF(C299="peso_corporal",IF(ISNUMBER(E299),E299,0)+I299,I299)*(30+J299)*100+I299,0)=AA299,2,IF(IF((G299&gt;=12)*(1-(IF(H299="",-1,H299)&gt;=3)*(IF(H299="",-1,H299)&lt;=4))*(1-(IF(H299="",-1,H299)=0)),IF(C299="peso_corporal",IF(ISNUMBER(E299),E299,0)+F299,F299)*(30+G299)*100+F299,0)=AA299,1,0))))))</f>
        <v>0</v>
      </c>
      <c r="AC299" s="69" t="str">
        <f>IF(X299&gt;0,"A"&amp;X299,IF(Z299&gt;0,"B"&amp;Z299,IF(AB299&gt;0,"C"&amp;AB299,"")))</f>
        <v/>
      </c>
    </row>
    <row r="300" spans="1:29" ht="15" customHeight="1">
      <c r="A300" s="82" t="s">
        <v>47</v>
      </c>
      <c r="B300" s="73"/>
      <c r="C300" s="73"/>
      <c r="D300" s="73"/>
      <c r="E300" s="73"/>
      <c r="F300" s="73"/>
      <c r="G300" s="73"/>
      <c r="H300" s="73"/>
      <c r="I300" s="73"/>
      <c r="J300" s="73"/>
      <c r="K300" s="73"/>
      <c r="L300" s="73"/>
      <c r="M300" s="73"/>
      <c r="N300" s="73"/>
      <c r="O300" s="73"/>
      <c r="P300" s="73"/>
      <c r="Q300" s="73"/>
      <c r="R300" s="73"/>
      <c r="S300" s="73"/>
      <c r="T300" s="73"/>
      <c r="U300" s="73"/>
      <c r="V300" s="73"/>
      <c r="W300" s="69"/>
      <c r="X300" s="69"/>
      <c r="Y300" s="69"/>
      <c r="Z300" s="69"/>
      <c r="AA300" s="69"/>
      <c r="AB300" s="69"/>
      <c r="AC300" s="69"/>
    </row>
    <row r="301" spans="1:29" ht="20.100000000000001" customHeight="1">
      <c r="A301" s="14" t="s">
        <v>40</v>
      </c>
      <c r="B301" s="15" t="s">
        <v>41</v>
      </c>
      <c r="C301" s="16" t="str">
        <f>IFERROR(INDEX(EJERCICIOS!$D$3:$D$75,MATCH(A301&amp;"|"&amp;B301,EJERCICIOS!$G$3:$G$75,0)),"--")</f>
        <v>polea</v>
      </c>
      <c r="D301" s="17">
        <v>3</v>
      </c>
      <c r="E301" s="18">
        <f>IFERROR(LOOKUP(2,1/(MEDIDAS_Y_PESO!$B$3:$B$14&lt;&gt;""),MEDIDAS_Y_PESO!$B$3:$B$14),"--")</f>
        <v>80</v>
      </c>
      <c r="F301" s="19"/>
      <c r="G301" s="20"/>
      <c r="H301" s="21"/>
      <c r="I301" s="19"/>
      <c r="J301" s="20"/>
      <c r="K301" s="21"/>
      <c r="L301" s="19"/>
      <c r="M301" s="20"/>
      <c r="N301" s="21"/>
      <c r="O301" s="19"/>
      <c r="P301" s="20"/>
      <c r="Q301" s="21"/>
      <c r="R301" s="19"/>
      <c r="S301" s="20"/>
      <c r="T301" s="21"/>
      <c r="U301" s="22" t="str">
        <f>IFERROR(IF(IF(X301&gt;0,X301,IF(Z301&gt;0,Z301,IF(AB301&gt;0,AB301,0)))=0,"--",ROUND(CHOOSE(IF(X301&gt;0,X301,IF(Z301&gt;0,Z301,IF(AB301&gt;0,AB301,0))),IF(C301="peso_corporal",IF(ISNUMBER(E301),E301,0)+F301,F301)*(1+G301/30),IF(C301="peso_corporal",IF(ISNUMBER(E301),E301,0)+I301,I301)*(1+J301/30),IF(C301="peso_corporal",IF(ISNUMBER(E301),E301,0)+L301,L301)*(1+M301/30),IF(C301="peso_corporal",IF(ISNUMBER(E301),E301,0)+O301,O301)*(1+P301/30),IF(C301="peso_corporal",IF(ISNUMBER(E301),E301,0)+R301,R301)*(1+S301/30)),1)),"--")</f>
        <v>--</v>
      </c>
      <c r="V301" s="23" t="str">
        <f>IF(SUGERENCIAS!N742="SIN","Sin datos anteriores",IF(SUGERENCIAS!N742="SUBIR_F","^ SUBIR FUERTE | Kg:"&amp;ROUND(SUGERENCIAS!K742,1)&amp;" R:"&amp;ROUND(SUGERENCIAS!L742,0)&amp;" RIR:"&amp;ROUND(SUGERENCIAS!M742,0),IF(SUGERENCIAS!N742="SUBIR_E","^ SUBIR (Est.) | Kg:"&amp;ROUND(SUGERENCIAS!K742,1)&amp;" R:"&amp;ROUND(SUGERENCIAS!L742,0)&amp;" RIR:"&amp;ROUND(SUGERENCIAS!M742,0),IF(SUGERENCIAS!N742="SUBIR","^ SUBIR | Kg:"&amp;ROUND(SUGERENCIAS!K742,1)&amp;" R:"&amp;ROUND(SUGERENCIAS!L742,0)&amp;" RIR:"&amp;ROUND(SUGERENCIAS!M742,0),IF(SUGERENCIAS!N742="BAJAR","v BAJAR | Kg:"&amp;ROUND(SUGERENCIAS!K742,1)&amp;" R:"&amp;ROUND(SUGERENCIAS!L742,0)&amp;" RIR:"&amp;ROUND(SUGERENCIAS!M742,0),"= MANT | Kg:"&amp;ROUND(SUGERENCIAS!K742,1)&amp;" R:"&amp;ROUND(SUGERENCIAS!L742,0)&amp;" RIR:"&amp;ROUND(SUGERENCIAS!M742,0))))))</f>
        <v>Sin datos anteriores</v>
      </c>
      <c r="W301" s="69">
        <f>MAX(IF((G301&gt;0)*(IF(H301="",-1,H301)&gt;=3)*(IF(H301="",-1,H301)&lt;=4),IF(C301="peso_corporal",IF(ISNUMBER(E301),E301,0)+F301,F301)*G301*1000+F301,0),IF((J301&gt;0)*(IF(K301="",-1,K301)&gt;=3)*(IF(K301="",-1,K301)&lt;=4),IF(C301="peso_corporal",IF(ISNUMBER(E301),E301,0)+I301,I301)*J301*1000+I301,0),IF((M301&gt;0)*(IF(N301="",-1,N301)&gt;=3)*(IF(N301="",-1,N301)&lt;=4),IF(C301="peso_corporal",IF(ISNUMBER(E301),E301,0)+L301,L301)*M301*1000+L301,0),IF((P301&gt;0)*(IF(Q301="",-1,Q301)&gt;=3)*(IF(Q301="",-1,Q301)&lt;=4),IF(C301="peso_corporal",IF(ISNUMBER(E301),E301,0)+O301,O301)*P301*1000+O301,0),IF((S301&gt;0)*(IF(T301="",-1,T301)&gt;=3)*(IF(T301="",-1,T301)&lt;=4),IF(C301="peso_corporal",IF(ISNUMBER(E301),E301,0)+R301,R301)*S301*1000+R301,0))</f>
        <v>0</v>
      </c>
      <c r="X301" s="69">
        <f>IF(W301=0,0,IF(IF((S301&gt;0)*(IF(T301="",-1,T301)&gt;=3)*(IF(T301="",-1,T301)&lt;=4),IF(C301="peso_corporal",IF(ISNUMBER(E301),E301,0)+R301,R301)*S301*1000+R301,0)=W301,5,IF(IF((P301&gt;0)*(IF(Q301="",-1,Q301)&gt;=3)*(IF(Q301="",-1,Q301)&lt;=4),IF(C301="peso_corporal",IF(ISNUMBER(E301),E301,0)+O301,O301)*P301*1000+O301,0)=W301,4,IF(IF((M301&gt;0)*(IF(N301="",-1,N301)&gt;=3)*(IF(N301="",-1,N301)&lt;=4),IF(C301="peso_corporal",IF(ISNUMBER(E301),E301,0)+L301,L301)*M301*1000+L301,0)=W301,3,IF(IF((J301&gt;0)*(IF(K301="",-1,K301)&gt;=3)*(IF(K301="",-1,K301)&lt;=4),IF(C301="peso_corporal",IF(ISNUMBER(E301),E301,0)+I301,I301)*J301*1000+I301,0)=W301,2,IF(IF((G301&gt;0)*(IF(H301="",-1,H301)&gt;=3)*(IF(H301="",-1,H301)&lt;=4),IF(C301="peso_corporal",IF(ISNUMBER(E301),E301,0)+F301,F301)*G301*1000+F301,0)=W301,1,0))))))</f>
        <v>0</v>
      </c>
      <c r="Y301" s="69">
        <f>MAX(IF((G301&gt;0)*(IF(H301="",-1,H301)=0)*(1-(IF(H301="",-1,H301)&gt;=3)*(IF(H301="",-1,H301)&lt;=4)),IF(C301="peso_corporal",IF(ISNUMBER(E301),E301,0)+F301,F301)*G301*1000+F301,0),IF((J301&gt;0)*(IF(K301="",-1,K301)=0)*(1-(IF(K301="",-1,K301)&gt;=3)*(IF(K301="",-1,K301)&lt;=4)),IF(C301="peso_corporal",IF(ISNUMBER(E301),E301,0)+I301,I301)*J301*1000+I301,0),IF((M301&gt;0)*(IF(N301="",-1,N301)=0)*(1-(IF(N301="",-1,N301)&gt;=3)*(IF(N301="",-1,N301)&lt;=4)),IF(C301="peso_corporal",IF(ISNUMBER(E301),E301,0)+L301,L301)*M301*1000+L301,0),IF((P301&gt;0)*(IF(Q301="",-1,Q301)=0)*(1-(IF(Q301="",-1,Q301)&gt;=3)*(IF(Q301="",-1,Q301)&lt;=4)),IF(C301="peso_corporal",IF(ISNUMBER(E301),E301,0)+O301,O301)*P301*1000+O301,0),IF((S301&gt;0)*(IF(T301="",-1,T301)=0)*(1-(IF(T301="",-1,T301)&gt;=3)*(IF(T301="",-1,T301)&lt;=4)),IF(C301="peso_corporal",IF(ISNUMBER(E301),E301,0)+R301,R301)*S301*1000+R301,0))</f>
        <v>0</v>
      </c>
      <c r="Z301" s="69">
        <f>IF(Y301=0,0,IF(IF((S301&gt;0)*(IF(T301="",-1,T301)=0)*(1-(IF(T301="",-1,T301)&gt;=3)*(IF(T301="",-1,T301)&lt;=4)),IF(C301="peso_corporal",IF(ISNUMBER(E301),E301,0)+R301,R301)*S301*1000+R301,0)=Y301,5,IF(IF((P301&gt;0)*(IF(Q301="",-1,Q301)=0)*(1-(IF(Q301="",-1,Q301)&gt;=3)*(IF(Q301="",-1,Q301)&lt;=4)),IF(C301="peso_corporal",IF(ISNUMBER(E301),E301,0)+O301,O301)*P301*1000+O301,0)=Y301,4,IF(IF((M301&gt;0)*(IF(N301="",-1,N301)=0)*(1-(IF(N301="",-1,N301)&gt;=3)*(IF(N301="",-1,N301)&lt;=4)),IF(C301="peso_corporal",IF(ISNUMBER(E301),E301,0)+L301,L301)*M301*1000+L301,0)=Y301,3,IF(IF((J301&gt;0)*(IF(K301="",-1,K301)=0)*(1-(IF(K301="",-1,K301)&gt;=3)*(IF(K301="",-1,K301)&lt;=4)),IF(C301="peso_corporal",IF(ISNUMBER(E301),E301,0)+I301,I301)*J301*1000+I301,0)=Y301,2,IF(IF((G301&gt;0)*(IF(H301="",-1,H301)=0)*(1-(IF(H301="",-1,H301)&gt;=3)*(IF(H301="",-1,H301)&lt;=4)),IF(C301="peso_corporal",IF(ISNUMBER(E301),E301,0)+F301,F301)*G301*1000+F301,0)=Y301,1,0))))))</f>
        <v>0</v>
      </c>
      <c r="AA301" s="69">
        <f>MAX(IF((G301&gt;=12)*(1-(IF(H301="",-1,H301)&gt;=3)*(IF(H301="",-1,H301)&lt;=4))*(1-(IF(H301="",-1,H301)=0)),IF(C301="peso_corporal",IF(ISNUMBER(E301),E301,0)+F301,F301)*(30+G301)*100+F301,0),IF((J301&gt;=12)*(1-(IF(K301="",-1,K301)&gt;=3)*(IF(K301="",-1,K301)&lt;=4))*(1-(IF(K301="",-1,K301)=0)),IF(C301="peso_corporal",IF(ISNUMBER(E301),E301,0)+I301,I301)*(30+J301)*100+I301,0),IF((M301&gt;=12)*(1-(IF(N301="",-1,N301)&gt;=3)*(IF(N301="",-1,N301)&lt;=4))*(1-(IF(N301="",-1,N301)=0)),IF(C301="peso_corporal",IF(ISNUMBER(E301),E301,0)+L301,L301)*(30+M301)*100+L301,0),IF((P301&gt;=12)*(1-(IF(Q301="",-1,Q301)&gt;=3)*(IF(Q301="",-1,Q301)&lt;=4))*(1-(IF(Q301="",-1,Q301)=0)),IF(C301="peso_corporal",IF(ISNUMBER(E301),E301,0)+O301,O301)*(30+P301)*100+O301,0),IF((S301&gt;=12)*(1-(IF(T301="",-1,T301)&gt;=3)*(IF(T301="",-1,T301)&lt;=4))*(1-(IF(T301="",-1,T301)=0)),IF(C301="peso_corporal",IF(ISNUMBER(E301),E301,0)+R301,R301)*(30+S301)*100+R301,0))</f>
        <v>0</v>
      </c>
      <c r="AB301" s="69">
        <f>IF(AA301=0,0,IF(IF((S301&gt;=12)*(1-(IF(T301="",-1,T301)&gt;=3)*(IF(T301="",-1,T301)&lt;=4))*(1-(IF(T301="",-1,T301)=0)),IF(C301="peso_corporal",IF(ISNUMBER(E301),E301,0)+R301,R301)*(30+S301)*100+R301,0)=AA301,5,IF(IF((P301&gt;=12)*(1-(IF(Q301="",-1,Q301)&gt;=3)*(IF(Q301="",-1,Q301)&lt;=4))*(1-(IF(Q301="",-1,Q301)=0)),IF(C301="peso_corporal",IF(ISNUMBER(E301),E301,0)+O301,O301)*(30+P301)*100+O301,0)=AA301,4,IF(IF((M301&gt;=12)*(1-(IF(N301="",-1,N301)&gt;=3)*(IF(N301="",-1,N301)&lt;=4))*(1-(IF(N301="",-1,N301)=0)),IF(C301="peso_corporal",IF(ISNUMBER(E301),E301,0)+L301,L301)*(30+M301)*100+L301,0)=AA301,3,IF(IF((J301&gt;=12)*(1-(IF(K301="",-1,K301)&gt;=3)*(IF(K301="",-1,K301)&lt;=4))*(1-(IF(K301="",-1,K301)=0)),IF(C301="peso_corporal",IF(ISNUMBER(E301),E301,0)+I301,I301)*(30+J301)*100+I301,0)=AA301,2,IF(IF((G301&gt;=12)*(1-(IF(H301="",-1,H301)&gt;=3)*(IF(H301="",-1,H301)&lt;=4))*(1-(IF(H301="",-1,H301)=0)),IF(C301="peso_corporal",IF(ISNUMBER(E301),E301,0)+F301,F301)*(30+G301)*100+F301,0)=AA301,1,0))))))</f>
        <v>0</v>
      </c>
      <c r="AC301" s="69" t="str">
        <f>IF(X301&gt;0,"A"&amp;X301,IF(Z301&gt;0,"B"&amp;Z301,IF(AB301&gt;0,"C"&amp;AB301,"")))</f>
        <v/>
      </c>
    </row>
    <row r="302" spans="1:29" ht="20.100000000000001" customHeight="1">
      <c r="A302" s="14" t="s">
        <v>48</v>
      </c>
      <c r="B302" s="15" t="s">
        <v>166</v>
      </c>
      <c r="C302" s="16" t="str">
        <f>IFERROR(INDEX(EJERCICIOS!$D$3:$D$75,MATCH(A302&amp;"|"&amp;B302,EJERCICIOS!$G$3:$G$75,0)),"--")</f>
        <v>--</v>
      </c>
      <c r="D302" s="17">
        <v>3</v>
      </c>
      <c r="E302" s="18">
        <f>IFERROR(LOOKUP(2,1/(MEDIDAS_Y_PESO!$B$3:$B$14&lt;&gt;""),MEDIDAS_Y_PESO!$B$3:$B$14),"--")</f>
        <v>80</v>
      </c>
      <c r="F302" s="19"/>
      <c r="G302" s="20"/>
      <c r="H302" s="21"/>
      <c r="I302" s="19"/>
      <c r="J302" s="20"/>
      <c r="K302" s="21"/>
      <c r="L302" s="19"/>
      <c r="M302" s="20"/>
      <c r="N302" s="21"/>
      <c r="O302" s="19"/>
      <c r="P302" s="20"/>
      <c r="Q302" s="21"/>
      <c r="R302" s="19"/>
      <c r="S302" s="20"/>
      <c r="T302" s="21"/>
      <c r="U302" s="22" t="str">
        <f>IFERROR(IF(IF(X302&gt;0,X302,IF(Z302&gt;0,Z302,IF(AB302&gt;0,AB302,0)))=0,"--",ROUND(CHOOSE(IF(X302&gt;0,X302,IF(Z302&gt;0,Z302,IF(AB302&gt;0,AB302,0))),IF(C302="peso_corporal",IF(ISNUMBER(E302),E302,0)+F302,F302)*(1+G302/30),IF(C302="peso_corporal",IF(ISNUMBER(E302),E302,0)+I302,I302)*(1+J302/30),IF(C302="peso_corporal",IF(ISNUMBER(E302),E302,0)+L302,L302)*(1+M302/30),IF(C302="peso_corporal",IF(ISNUMBER(E302),E302,0)+O302,O302)*(1+P302/30),IF(C302="peso_corporal",IF(ISNUMBER(E302),E302,0)+R302,R302)*(1+S302/30)),1)),"--")</f>
        <v>--</v>
      </c>
      <c r="V302" s="23" t="str">
        <f>IF(SUGERENCIAS!N743="SIN","Sin datos anteriores",IF(SUGERENCIAS!N743="SUBIR_F","^ SUBIR FUERTE | Kg:"&amp;ROUND(SUGERENCIAS!K743,1)&amp;" R:"&amp;ROUND(SUGERENCIAS!L743,0)&amp;" RIR:"&amp;ROUND(SUGERENCIAS!M743,0),IF(SUGERENCIAS!N743="SUBIR_E","^ SUBIR (Est.) | Kg:"&amp;ROUND(SUGERENCIAS!K743,1)&amp;" R:"&amp;ROUND(SUGERENCIAS!L743,0)&amp;" RIR:"&amp;ROUND(SUGERENCIAS!M743,0),IF(SUGERENCIAS!N743="SUBIR","^ SUBIR | Kg:"&amp;ROUND(SUGERENCIAS!K743,1)&amp;" R:"&amp;ROUND(SUGERENCIAS!L743,0)&amp;" RIR:"&amp;ROUND(SUGERENCIAS!M743,0),IF(SUGERENCIAS!N743="BAJAR","v BAJAR | Kg:"&amp;ROUND(SUGERENCIAS!K743,1)&amp;" R:"&amp;ROUND(SUGERENCIAS!L743,0)&amp;" RIR:"&amp;ROUND(SUGERENCIAS!M743,0),"= MANT | Kg:"&amp;ROUND(SUGERENCIAS!K743,1)&amp;" R:"&amp;ROUND(SUGERENCIAS!L743,0)&amp;" RIR:"&amp;ROUND(SUGERENCIAS!M743,0))))))</f>
        <v>Sin datos anteriores</v>
      </c>
      <c r="W302" s="69">
        <f>MAX(IF((G302&gt;0)*(IF(H302="",-1,H302)&gt;=3)*(IF(H302="",-1,H302)&lt;=4),IF(C302="peso_corporal",IF(ISNUMBER(E302),E302,0)+F302,F302)*G302*1000+F302,0),IF((J302&gt;0)*(IF(K302="",-1,K302)&gt;=3)*(IF(K302="",-1,K302)&lt;=4),IF(C302="peso_corporal",IF(ISNUMBER(E302),E302,0)+I302,I302)*J302*1000+I302,0),IF((M302&gt;0)*(IF(N302="",-1,N302)&gt;=3)*(IF(N302="",-1,N302)&lt;=4),IF(C302="peso_corporal",IF(ISNUMBER(E302),E302,0)+L302,L302)*M302*1000+L302,0),IF((P302&gt;0)*(IF(Q302="",-1,Q302)&gt;=3)*(IF(Q302="",-1,Q302)&lt;=4),IF(C302="peso_corporal",IF(ISNUMBER(E302),E302,0)+O302,O302)*P302*1000+O302,0),IF((S302&gt;0)*(IF(T302="",-1,T302)&gt;=3)*(IF(T302="",-1,T302)&lt;=4),IF(C302="peso_corporal",IF(ISNUMBER(E302),E302,0)+R302,R302)*S302*1000+R302,0))</f>
        <v>0</v>
      </c>
      <c r="X302" s="69">
        <f>IF(W302=0,0,IF(IF((S302&gt;0)*(IF(T302="",-1,T302)&gt;=3)*(IF(T302="",-1,T302)&lt;=4),IF(C302="peso_corporal",IF(ISNUMBER(E302),E302,0)+R302,R302)*S302*1000+R302,0)=W302,5,IF(IF((P302&gt;0)*(IF(Q302="",-1,Q302)&gt;=3)*(IF(Q302="",-1,Q302)&lt;=4),IF(C302="peso_corporal",IF(ISNUMBER(E302),E302,0)+O302,O302)*P302*1000+O302,0)=W302,4,IF(IF((M302&gt;0)*(IF(N302="",-1,N302)&gt;=3)*(IF(N302="",-1,N302)&lt;=4),IF(C302="peso_corporal",IF(ISNUMBER(E302),E302,0)+L302,L302)*M302*1000+L302,0)=W302,3,IF(IF((J302&gt;0)*(IF(K302="",-1,K302)&gt;=3)*(IF(K302="",-1,K302)&lt;=4),IF(C302="peso_corporal",IF(ISNUMBER(E302),E302,0)+I302,I302)*J302*1000+I302,0)=W302,2,IF(IF((G302&gt;0)*(IF(H302="",-1,H302)&gt;=3)*(IF(H302="",-1,H302)&lt;=4),IF(C302="peso_corporal",IF(ISNUMBER(E302),E302,0)+F302,F302)*G302*1000+F302,0)=W302,1,0))))))</f>
        <v>0</v>
      </c>
      <c r="Y302" s="69">
        <f>MAX(IF((G302&gt;0)*(IF(H302="",-1,H302)=0)*(1-(IF(H302="",-1,H302)&gt;=3)*(IF(H302="",-1,H302)&lt;=4)),IF(C302="peso_corporal",IF(ISNUMBER(E302),E302,0)+F302,F302)*G302*1000+F302,0),IF((J302&gt;0)*(IF(K302="",-1,K302)=0)*(1-(IF(K302="",-1,K302)&gt;=3)*(IF(K302="",-1,K302)&lt;=4)),IF(C302="peso_corporal",IF(ISNUMBER(E302),E302,0)+I302,I302)*J302*1000+I302,0),IF((M302&gt;0)*(IF(N302="",-1,N302)=0)*(1-(IF(N302="",-1,N302)&gt;=3)*(IF(N302="",-1,N302)&lt;=4)),IF(C302="peso_corporal",IF(ISNUMBER(E302),E302,0)+L302,L302)*M302*1000+L302,0),IF((P302&gt;0)*(IF(Q302="",-1,Q302)=0)*(1-(IF(Q302="",-1,Q302)&gt;=3)*(IF(Q302="",-1,Q302)&lt;=4)),IF(C302="peso_corporal",IF(ISNUMBER(E302),E302,0)+O302,O302)*P302*1000+O302,0),IF((S302&gt;0)*(IF(T302="",-1,T302)=0)*(1-(IF(T302="",-1,T302)&gt;=3)*(IF(T302="",-1,T302)&lt;=4)),IF(C302="peso_corporal",IF(ISNUMBER(E302),E302,0)+R302,R302)*S302*1000+R302,0))</f>
        <v>0</v>
      </c>
      <c r="Z302" s="69">
        <f>IF(Y302=0,0,IF(IF((S302&gt;0)*(IF(T302="",-1,T302)=0)*(1-(IF(T302="",-1,T302)&gt;=3)*(IF(T302="",-1,T302)&lt;=4)),IF(C302="peso_corporal",IF(ISNUMBER(E302),E302,0)+R302,R302)*S302*1000+R302,0)=Y302,5,IF(IF((P302&gt;0)*(IF(Q302="",-1,Q302)=0)*(1-(IF(Q302="",-1,Q302)&gt;=3)*(IF(Q302="",-1,Q302)&lt;=4)),IF(C302="peso_corporal",IF(ISNUMBER(E302),E302,0)+O302,O302)*P302*1000+O302,0)=Y302,4,IF(IF((M302&gt;0)*(IF(N302="",-1,N302)=0)*(1-(IF(N302="",-1,N302)&gt;=3)*(IF(N302="",-1,N302)&lt;=4)),IF(C302="peso_corporal",IF(ISNUMBER(E302),E302,0)+L302,L302)*M302*1000+L302,0)=Y302,3,IF(IF((J302&gt;0)*(IF(K302="",-1,K302)=0)*(1-(IF(K302="",-1,K302)&gt;=3)*(IF(K302="",-1,K302)&lt;=4)),IF(C302="peso_corporal",IF(ISNUMBER(E302),E302,0)+I302,I302)*J302*1000+I302,0)=Y302,2,IF(IF((G302&gt;0)*(IF(H302="",-1,H302)=0)*(1-(IF(H302="",-1,H302)&gt;=3)*(IF(H302="",-1,H302)&lt;=4)),IF(C302="peso_corporal",IF(ISNUMBER(E302),E302,0)+F302,F302)*G302*1000+F302,0)=Y302,1,0))))))</f>
        <v>0</v>
      </c>
      <c r="AA302" s="69">
        <f>MAX(IF((G302&gt;=12)*(1-(IF(H302="",-1,H302)&gt;=3)*(IF(H302="",-1,H302)&lt;=4))*(1-(IF(H302="",-1,H302)=0)),IF(C302="peso_corporal",IF(ISNUMBER(E302),E302,0)+F302,F302)*(30+G302)*100+F302,0),IF((J302&gt;=12)*(1-(IF(K302="",-1,K302)&gt;=3)*(IF(K302="",-1,K302)&lt;=4))*(1-(IF(K302="",-1,K302)=0)),IF(C302="peso_corporal",IF(ISNUMBER(E302),E302,0)+I302,I302)*(30+J302)*100+I302,0),IF((M302&gt;=12)*(1-(IF(N302="",-1,N302)&gt;=3)*(IF(N302="",-1,N302)&lt;=4))*(1-(IF(N302="",-1,N302)=0)),IF(C302="peso_corporal",IF(ISNUMBER(E302),E302,0)+L302,L302)*(30+M302)*100+L302,0),IF((P302&gt;=12)*(1-(IF(Q302="",-1,Q302)&gt;=3)*(IF(Q302="",-1,Q302)&lt;=4))*(1-(IF(Q302="",-1,Q302)=0)),IF(C302="peso_corporal",IF(ISNUMBER(E302),E302,0)+O302,O302)*(30+P302)*100+O302,0),IF((S302&gt;=12)*(1-(IF(T302="",-1,T302)&gt;=3)*(IF(T302="",-1,T302)&lt;=4))*(1-(IF(T302="",-1,T302)=0)),IF(C302="peso_corporal",IF(ISNUMBER(E302),E302,0)+R302,R302)*(30+S302)*100+R302,0))</f>
        <v>0</v>
      </c>
      <c r="AB302" s="69">
        <f>IF(AA302=0,0,IF(IF((S302&gt;=12)*(1-(IF(T302="",-1,T302)&gt;=3)*(IF(T302="",-1,T302)&lt;=4))*(1-(IF(T302="",-1,T302)=0)),IF(C302="peso_corporal",IF(ISNUMBER(E302),E302,0)+R302,R302)*(30+S302)*100+R302,0)=AA302,5,IF(IF((P302&gt;=12)*(1-(IF(Q302="",-1,Q302)&gt;=3)*(IF(Q302="",-1,Q302)&lt;=4))*(1-(IF(Q302="",-1,Q302)=0)),IF(C302="peso_corporal",IF(ISNUMBER(E302),E302,0)+O302,O302)*(30+P302)*100+O302,0)=AA302,4,IF(IF((M302&gt;=12)*(1-(IF(N302="",-1,N302)&gt;=3)*(IF(N302="",-1,N302)&lt;=4))*(1-(IF(N302="",-1,N302)=0)),IF(C302="peso_corporal",IF(ISNUMBER(E302),E302,0)+L302,L302)*(30+M302)*100+L302,0)=AA302,3,IF(IF((J302&gt;=12)*(1-(IF(K302="",-1,K302)&gt;=3)*(IF(K302="",-1,K302)&lt;=4))*(1-(IF(K302="",-1,K302)=0)),IF(C302="peso_corporal",IF(ISNUMBER(E302),E302,0)+I302,I302)*(30+J302)*100+I302,0)=AA302,2,IF(IF((G302&gt;=12)*(1-(IF(H302="",-1,H302)&gt;=3)*(IF(H302="",-1,H302)&lt;=4))*(1-(IF(H302="",-1,H302)=0)),IF(C302="peso_corporal",IF(ISNUMBER(E302),E302,0)+F302,F302)*(30+G302)*100+F302,0)=AA302,1,0))))))</f>
        <v>0</v>
      </c>
      <c r="AC302" s="69" t="str">
        <f>IF(X302&gt;0,"A"&amp;X302,IF(Z302&gt;0,"B"&amp;Z302,IF(AB302&gt;0,"C"&amp;AB302,"")))</f>
        <v/>
      </c>
    </row>
    <row r="303" spans="1:29" ht="15" customHeight="1">
      <c r="A303" s="88" t="s">
        <v>50</v>
      </c>
      <c r="B303" s="73"/>
      <c r="C303" s="73"/>
      <c r="D303" s="73"/>
      <c r="E303" s="73"/>
      <c r="F303" s="73"/>
      <c r="G303" s="73"/>
      <c r="H303" s="73"/>
      <c r="I303" s="73"/>
      <c r="J303" s="73"/>
      <c r="K303" s="73"/>
      <c r="L303" s="73"/>
      <c r="M303" s="73"/>
      <c r="N303" s="73"/>
      <c r="O303" s="73"/>
      <c r="P303" s="73"/>
      <c r="Q303" s="73"/>
      <c r="R303" s="73"/>
      <c r="S303" s="73"/>
      <c r="T303" s="73"/>
      <c r="U303" s="73"/>
      <c r="V303" s="73"/>
      <c r="W303" s="69"/>
      <c r="X303" s="69"/>
      <c r="Y303" s="69"/>
      <c r="Z303" s="69"/>
      <c r="AA303" s="69"/>
      <c r="AB303" s="69"/>
      <c r="AC303" s="69"/>
    </row>
    <row r="304" spans="1:29" ht="20.100000000000001" customHeight="1">
      <c r="A304" s="14" t="s">
        <v>65</v>
      </c>
      <c r="B304" s="15" t="s">
        <v>137</v>
      </c>
      <c r="C304" s="16" t="str">
        <f>IFERROR(INDEX(EJERCICIOS!$D$3:$D$75,MATCH(A304&amp;"|"&amp;B304,EJERCICIOS!$G$3:$G$75,0)),"--")</f>
        <v>--</v>
      </c>
      <c r="D304" s="17">
        <v>3</v>
      </c>
      <c r="E304" s="18">
        <f>IFERROR(LOOKUP(2,1/(MEDIDAS_Y_PESO!$B$3:$B$14&lt;&gt;""),MEDIDAS_Y_PESO!$B$3:$B$14),"--")</f>
        <v>80</v>
      </c>
      <c r="F304" s="19"/>
      <c r="G304" s="20"/>
      <c r="H304" s="21"/>
      <c r="I304" s="19"/>
      <c r="J304" s="20"/>
      <c r="K304" s="21"/>
      <c r="L304" s="19"/>
      <c r="M304" s="20"/>
      <c r="N304" s="21"/>
      <c r="O304" s="19"/>
      <c r="P304" s="20"/>
      <c r="Q304" s="21"/>
      <c r="R304" s="19"/>
      <c r="S304" s="20"/>
      <c r="T304" s="21"/>
      <c r="U304" s="22" t="str">
        <f>IFERROR(IF(IF(X304&gt;0,X304,IF(Z304&gt;0,Z304,IF(AB304&gt;0,AB304,0)))=0,"--",ROUND(CHOOSE(IF(X304&gt;0,X304,IF(Z304&gt;0,Z304,IF(AB304&gt;0,AB304,0))),IF(C304="peso_corporal",IF(ISNUMBER(E304),E304,0)+F304,F304)*(1+G304/30),IF(C304="peso_corporal",IF(ISNUMBER(E304),E304,0)+I304,I304)*(1+J304/30),IF(C304="peso_corporal",IF(ISNUMBER(E304),E304,0)+L304,L304)*(1+M304/30),IF(C304="peso_corporal",IF(ISNUMBER(E304),E304,0)+O304,O304)*(1+P304/30),IF(C304="peso_corporal",IF(ISNUMBER(E304),E304,0)+R304,R304)*(1+S304/30)),1)),"--")</f>
        <v>--</v>
      </c>
      <c r="V304" s="23" t="str">
        <f>IF(SUGERENCIAS!N744="SIN","Sin datos anteriores",IF(SUGERENCIAS!N744="SUBIR_F","^ SUBIR FUERTE | Kg:"&amp;ROUND(SUGERENCIAS!K744,1)&amp;" R:"&amp;ROUND(SUGERENCIAS!L744,0)&amp;" RIR:"&amp;ROUND(SUGERENCIAS!M744,0),IF(SUGERENCIAS!N744="SUBIR_E","^ SUBIR (Est.) | Kg:"&amp;ROUND(SUGERENCIAS!K744,1)&amp;" R:"&amp;ROUND(SUGERENCIAS!L744,0)&amp;" RIR:"&amp;ROUND(SUGERENCIAS!M744,0),IF(SUGERENCIAS!N744="SUBIR","^ SUBIR | Kg:"&amp;ROUND(SUGERENCIAS!K744,1)&amp;" R:"&amp;ROUND(SUGERENCIAS!L744,0)&amp;" RIR:"&amp;ROUND(SUGERENCIAS!M744,0),IF(SUGERENCIAS!N744="BAJAR","v BAJAR | Kg:"&amp;ROUND(SUGERENCIAS!K744,1)&amp;" R:"&amp;ROUND(SUGERENCIAS!L744,0)&amp;" RIR:"&amp;ROUND(SUGERENCIAS!M744,0),"= MANT | Kg:"&amp;ROUND(SUGERENCIAS!K744,1)&amp;" R:"&amp;ROUND(SUGERENCIAS!L744,0)&amp;" RIR:"&amp;ROUND(SUGERENCIAS!M744,0))))))</f>
        <v>Sin datos anteriores</v>
      </c>
      <c r="W304" s="69">
        <f>MAX(IF((G304&gt;0)*(IF(H304="",-1,H304)&gt;=3)*(IF(H304="",-1,H304)&lt;=4),IF(C304="peso_corporal",IF(ISNUMBER(E304),E304,0)+F304,F304)*G304*1000+F304,0),IF((J304&gt;0)*(IF(K304="",-1,K304)&gt;=3)*(IF(K304="",-1,K304)&lt;=4),IF(C304="peso_corporal",IF(ISNUMBER(E304),E304,0)+I304,I304)*J304*1000+I304,0),IF((M304&gt;0)*(IF(N304="",-1,N304)&gt;=3)*(IF(N304="",-1,N304)&lt;=4),IF(C304="peso_corporal",IF(ISNUMBER(E304),E304,0)+L304,L304)*M304*1000+L304,0),IF((P304&gt;0)*(IF(Q304="",-1,Q304)&gt;=3)*(IF(Q304="",-1,Q304)&lt;=4),IF(C304="peso_corporal",IF(ISNUMBER(E304),E304,0)+O304,O304)*P304*1000+O304,0),IF((S304&gt;0)*(IF(T304="",-1,T304)&gt;=3)*(IF(T304="",-1,T304)&lt;=4),IF(C304="peso_corporal",IF(ISNUMBER(E304),E304,0)+R304,R304)*S304*1000+R304,0))</f>
        <v>0</v>
      </c>
      <c r="X304" s="69">
        <f>IF(W304=0,0,IF(IF((S304&gt;0)*(IF(T304="",-1,T304)&gt;=3)*(IF(T304="",-1,T304)&lt;=4),IF(C304="peso_corporal",IF(ISNUMBER(E304),E304,0)+R304,R304)*S304*1000+R304,0)=W304,5,IF(IF((P304&gt;0)*(IF(Q304="",-1,Q304)&gt;=3)*(IF(Q304="",-1,Q304)&lt;=4),IF(C304="peso_corporal",IF(ISNUMBER(E304),E304,0)+O304,O304)*P304*1000+O304,0)=W304,4,IF(IF((M304&gt;0)*(IF(N304="",-1,N304)&gt;=3)*(IF(N304="",-1,N304)&lt;=4),IF(C304="peso_corporal",IF(ISNUMBER(E304),E304,0)+L304,L304)*M304*1000+L304,0)=W304,3,IF(IF((J304&gt;0)*(IF(K304="",-1,K304)&gt;=3)*(IF(K304="",-1,K304)&lt;=4),IF(C304="peso_corporal",IF(ISNUMBER(E304),E304,0)+I304,I304)*J304*1000+I304,0)=W304,2,IF(IF((G304&gt;0)*(IF(H304="",-1,H304)&gt;=3)*(IF(H304="",-1,H304)&lt;=4),IF(C304="peso_corporal",IF(ISNUMBER(E304),E304,0)+F304,F304)*G304*1000+F304,0)=W304,1,0))))))</f>
        <v>0</v>
      </c>
      <c r="Y304" s="69">
        <f>MAX(IF((G304&gt;0)*(IF(H304="",-1,H304)=0)*(1-(IF(H304="",-1,H304)&gt;=3)*(IF(H304="",-1,H304)&lt;=4)),IF(C304="peso_corporal",IF(ISNUMBER(E304),E304,0)+F304,F304)*G304*1000+F304,0),IF((J304&gt;0)*(IF(K304="",-1,K304)=0)*(1-(IF(K304="",-1,K304)&gt;=3)*(IF(K304="",-1,K304)&lt;=4)),IF(C304="peso_corporal",IF(ISNUMBER(E304),E304,0)+I304,I304)*J304*1000+I304,0),IF((M304&gt;0)*(IF(N304="",-1,N304)=0)*(1-(IF(N304="",-1,N304)&gt;=3)*(IF(N304="",-1,N304)&lt;=4)),IF(C304="peso_corporal",IF(ISNUMBER(E304),E304,0)+L304,L304)*M304*1000+L304,0),IF((P304&gt;0)*(IF(Q304="",-1,Q304)=0)*(1-(IF(Q304="",-1,Q304)&gt;=3)*(IF(Q304="",-1,Q304)&lt;=4)),IF(C304="peso_corporal",IF(ISNUMBER(E304),E304,0)+O304,O304)*P304*1000+O304,0),IF((S304&gt;0)*(IF(T304="",-1,T304)=0)*(1-(IF(T304="",-1,T304)&gt;=3)*(IF(T304="",-1,T304)&lt;=4)),IF(C304="peso_corporal",IF(ISNUMBER(E304),E304,0)+R304,R304)*S304*1000+R304,0))</f>
        <v>0</v>
      </c>
      <c r="Z304" s="69">
        <f>IF(Y304=0,0,IF(IF((S304&gt;0)*(IF(T304="",-1,T304)=0)*(1-(IF(T304="",-1,T304)&gt;=3)*(IF(T304="",-1,T304)&lt;=4)),IF(C304="peso_corporal",IF(ISNUMBER(E304),E304,0)+R304,R304)*S304*1000+R304,0)=Y304,5,IF(IF((P304&gt;0)*(IF(Q304="",-1,Q304)=0)*(1-(IF(Q304="",-1,Q304)&gt;=3)*(IF(Q304="",-1,Q304)&lt;=4)),IF(C304="peso_corporal",IF(ISNUMBER(E304),E304,0)+O304,O304)*P304*1000+O304,0)=Y304,4,IF(IF((M304&gt;0)*(IF(N304="",-1,N304)=0)*(1-(IF(N304="",-1,N304)&gt;=3)*(IF(N304="",-1,N304)&lt;=4)),IF(C304="peso_corporal",IF(ISNUMBER(E304),E304,0)+L304,L304)*M304*1000+L304,0)=Y304,3,IF(IF((J304&gt;0)*(IF(K304="",-1,K304)=0)*(1-(IF(K304="",-1,K304)&gt;=3)*(IF(K304="",-1,K304)&lt;=4)),IF(C304="peso_corporal",IF(ISNUMBER(E304),E304,0)+I304,I304)*J304*1000+I304,0)=Y304,2,IF(IF((G304&gt;0)*(IF(H304="",-1,H304)=0)*(1-(IF(H304="",-1,H304)&gt;=3)*(IF(H304="",-1,H304)&lt;=4)),IF(C304="peso_corporal",IF(ISNUMBER(E304),E304,0)+F304,F304)*G304*1000+F304,0)=Y304,1,0))))))</f>
        <v>0</v>
      </c>
      <c r="AA304" s="69">
        <f>MAX(IF((G304&gt;=12)*(1-(IF(H304="",-1,H304)&gt;=3)*(IF(H304="",-1,H304)&lt;=4))*(1-(IF(H304="",-1,H304)=0)),IF(C304="peso_corporal",IF(ISNUMBER(E304),E304,0)+F304,F304)*(30+G304)*100+F304,0),IF((J304&gt;=12)*(1-(IF(K304="",-1,K304)&gt;=3)*(IF(K304="",-1,K304)&lt;=4))*(1-(IF(K304="",-1,K304)=0)),IF(C304="peso_corporal",IF(ISNUMBER(E304),E304,0)+I304,I304)*(30+J304)*100+I304,0),IF((M304&gt;=12)*(1-(IF(N304="",-1,N304)&gt;=3)*(IF(N304="",-1,N304)&lt;=4))*(1-(IF(N304="",-1,N304)=0)),IF(C304="peso_corporal",IF(ISNUMBER(E304),E304,0)+L304,L304)*(30+M304)*100+L304,0),IF((P304&gt;=12)*(1-(IF(Q304="",-1,Q304)&gt;=3)*(IF(Q304="",-1,Q304)&lt;=4))*(1-(IF(Q304="",-1,Q304)=0)),IF(C304="peso_corporal",IF(ISNUMBER(E304),E304,0)+O304,O304)*(30+P304)*100+O304,0),IF((S304&gt;=12)*(1-(IF(T304="",-1,T304)&gt;=3)*(IF(T304="",-1,T304)&lt;=4))*(1-(IF(T304="",-1,T304)=0)),IF(C304="peso_corporal",IF(ISNUMBER(E304),E304,0)+R304,R304)*(30+S304)*100+R304,0))</f>
        <v>0</v>
      </c>
      <c r="AB304" s="69">
        <f>IF(AA304=0,0,IF(IF((S304&gt;=12)*(1-(IF(T304="",-1,T304)&gt;=3)*(IF(T304="",-1,T304)&lt;=4))*(1-(IF(T304="",-1,T304)=0)),IF(C304="peso_corporal",IF(ISNUMBER(E304),E304,0)+R304,R304)*(30+S304)*100+R304,0)=AA304,5,IF(IF((P304&gt;=12)*(1-(IF(Q304="",-1,Q304)&gt;=3)*(IF(Q304="",-1,Q304)&lt;=4))*(1-(IF(Q304="",-1,Q304)=0)),IF(C304="peso_corporal",IF(ISNUMBER(E304),E304,0)+O304,O304)*(30+P304)*100+O304,0)=AA304,4,IF(IF((M304&gt;=12)*(1-(IF(N304="",-1,N304)&gt;=3)*(IF(N304="",-1,N304)&lt;=4))*(1-(IF(N304="",-1,N304)=0)),IF(C304="peso_corporal",IF(ISNUMBER(E304),E304,0)+L304,L304)*(30+M304)*100+L304,0)=AA304,3,IF(IF((J304&gt;=12)*(1-(IF(K304="",-1,K304)&gt;=3)*(IF(K304="",-1,K304)&lt;=4))*(1-(IF(K304="",-1,K304)=0)),IF(C304="peso_corporal",IF(ISNUMBER(E304),E304,0)+I304,I304)*(30+J304)*100+I304,0)=AA304,2,IF(IF((G304&gt;=12)*(1-(IF(H304="",-1,H304)&gt;=3)*(IF(H304="",-1,H304)&lt;=4))*(1-(IF(H304="",-1,H304)=0)),IF(C304="peso_corporal",IF(ISNUMBER(E304),E304,0)+F304,F304)*(30+G304)*100+F304,0)=AA304,1,0))))))</f>
        <v>0</v>
      </c>
      <c r="AC304" s="69" t="str">
        <f>IF(X304&gt;0,"A"&amp;X304,IF(Z304&gt;0,"B"&amp;Z304,IF(AB304&gt;0,"C"&amp;AB304,"")))</f>
        <v/>
      </c>
    </row>
    <row r="305" spans="1:29" ht="15" customHeight="1">
      <c r="A305" s="81" t="s">
        <v>53</v>
      </c>
      <c r="B305" s="73"/>
      <c r="C305" s="73"/>
      <c r="D305" s="73"/>
      <c r="E305" s="73"/>
      <c r="F305" s="73"/>
      <c r="G305" s="73"/>
      <c r="H305" s="73"/>
      <c r="I305" s="73"/>
      <c r="J305" s="73"/>
      <c r="K305" s="73"/>
      <c r="L305" s="73"/>
      <c r="M305" s="73"/>
      <c r="N305" s="73"/>
      <c r="O305" s="73"/>
      <c r="P305" s="73"/>
      <c r="Q305" s="73"/>
      <c r="R305" s="73"/>
      <c r="S305" s="73"/>
      <c r="T305" s="73"/>
      <c r="U305" s="73"/>
      <c r="V305" s="73"/>
      <c r="W305" s="69"/>
      <c r="X305" s="69"/>
      <c r="Y305" s="69"/>
      <c r="Z305" s="69"/>
      <c r="AA305" s="69"/>
      <c r="AB305" s="69"/>
      <c r="AC305" s="69"/>
    </row>
    <row r="306" spans="1:29" ht="20.100000000000001" customHeight="1">
      <c r="A306" s="14" t="s">
        <v>54</v>
      </c>
      <c r="B306" s="15" t="s">
        <v>115</v>
      </c>
      <c r="C306" s="16" t="str">
        <f>IFERROR(INDEX(EJERCICIOS!$D$3:$D$75,MATCH(A306&amp;"|"&amp;B306,EJERCICIOS!$G$3:$G$75,0)),"--")</f>
        <v>polea</v>
      </c>
      <c r="D306" s="17">
        <v>3</v>
      </c>
      <c r="E306" s="18">
        <f>IFERROR(LOOKUP(2,1/(MEDIDAS_Y_PESO!$B$3:$B$14&lt;&gt;""),MEDIDAS_Y_PESO!$B$3:$B$14),"--")</f>
        <v>80</v>
      </c>
      <c r="F306" s="19"/>
      <c r="G306" s="20"/>
      <c r="H306" s="21"/>
      <c r="I306" s="19"/>
      <c r="J306" s="20"/>
      <c r="K306" s="21"/>
      <c r="L306" s="19"/>
      <c r="M306" s="20"/>
      <c r="N306" s="21"/>
      <c r="O306" s="19"/>
      <c r="P306" s="20"/>
      <c r="Q306" s="21"/>
      <c r="R306" s="19"/>
      <c r="S306" s="20"/>
      <c r="T306" s="21"/>
      <c r="U306" s="22" t="str">
        <f>IFERROR(IF(IF(X306&gt;0,X306,IF(Z306&gt;0,Z306,IF(AB306&gt;0,AB306,0)))=0,"--",ROUND(CHOOSE(IF(X306&gt;0,X306,IF(Z306&gt;0,Z306,IF(AB306&gt;0,AB306,0))),IF(C306="peso_corporal",IF(ISNUMBER(E306),E306,0)+F306,F306)*(1+G306/30),IF(C306="peso_corporal",IF(ISNUMBER(E306),E306,0)+I306,I306)*(1+J306/30),IF(C306="peso_corporal",IF(ISNUMBER(E306),E306,0)+L306,L306)*(1+M306/30),IF(C306="peso_corporal",IF(ISNUMBER(E306),E306,0)+O306,O306)*(1+P306/30),IF(C306="peso_corporal",IF(ISNUMBER(E306),E306,0)+R306,R306)*(1+S306/30)),1)),"--")</f>
        <v>--</v>
      </c>
      <c r="V306" s="23" t="str">
        <f>IF(SUGERENCIAS!N745="SIN","Sin datos anteriores",IF(SUGERENCIAS!N745="SUBIR_F","^ SUBIR FUERTE | Kg:"&amp;ROUND(SUGERENCIAS!K745,1)&amp;" R:"&amp;ROUND(SUGERENCIAS!L745,0)&amp;" RIR:"&amp;ROUND(SUGERENCIAS!M745,0),IF(SUGERENCIAS!N745="SUBIR_E","^ SUBIR (Est.) | Kg:"&amp;ROUND(SUGERENCIAS!K745,1)&amp;" R:"&amp;ROUND(SUGERENCIAS!L745,0)&amp;" RIR:"&amp;ROUND(SUGERENCIAS!M745,0),IF(SUGERENCIAS!N745="SUBIR","^ SUBIR | Kg:"&amp;ROUND(SUGERENCIAS!K745,1)&amp;" R:"&amp;ROUND(SUGERENCIAS!L745,0)&amp;" RIR:"&amp;ROUND(SUGERENCIAS!M745,0),IF(SUGERENCIAS!N745="BAJAR","v BAJAR | Kg:"&amp;ROUND(SUGERENCIAS!K745,1)&amp;" R:"&amp;ROUND(SUGERENCIAS!L745,0)&amp;" RIR:"&amp;ROUND(SUGERENCIAS!M745,0),"= MANT | Kg:"&amp;ROUND(SUGERENCIAS!K745,1)&amp;" R:"&amp;ROUND(SUGERENCIAS!L745,0)&amp;" RIR:"&amp;ROUND(SUGERENCIAS!M745,0))))))</f>
        <v>= MANT | Kg:40 R:7 RIR:2</v>
      </c>
      <c r="W306" s="69">
        <f>MAX(IF((G306&gt;0)*(IF(H306="",-1,H306)&gt;=3)*(IF(H306="",-1,H306)&lt;=4),IF(C306="peso_corporal",IF(ISNUMBER(E306),E306,0)+F306,F306)*G306*1000+F306,0),IF((J306&gt;0)*(IF(K306="",-1,K306)&gt;=3)*(IF(K306="",-1,K306)&lt;=4),IF(C306="peso_corporal",IF(ISNUMBER(E306),E306,0)+I306,I306)*J306*1000+I306,0),IF((M306&gt;0)*(IF(N306="",-1,N306)&gt;=3)*(IF(N306="",-1,N306)&lt;=4),IF(C306="peso_corporal",IF(ISNUMBER(E306),E306,0)+L306,L306)*M306*1000+L306,0),IF((P306&gt;0)*(IF(Q306="",-1,Q306)&gt;=3)*(IF(Q306="",-1,Q306)&lt;=4),IF(C306="peso_corporal",IF(ISNUMBER(E306),E306,0)+O306,O306)*P306*1000+O306,0),IF((S306&gt;0)*(IF(T306="",-1,T306)&gt;=3)*(IF(T306="",-1,T306)&lt;=4),IF(C306="peso_corporal",IF(ISNUMBER(E306),E306,0)+R306,R306)*S306*1000+R306,0))</f>
        <v>0</v>
      </c>
      <c r="X306" s="69">
        <f>IF(W306=0,0,IF(IF((S306&gt;0)*(IF(T306="",-1,T306)&gt;=3)*(IF(T306="",-1,T306)&lt;=4),IF(C306="peso_corporal",IF(ISNUMBER(E306),E306,0)+R306,R306)*S306*1000+R306,0)=W306,5,IF(IF((P306&gt;0)*(IF(Q306="",-1,Q306)&gt;=3)*(IF(Q306="",-1,Q306)&lt;=4),IF(C306="peso_corporal",IF(ISNUMBER(E306),E306,0)+O306,O306)*P306*1000+O306,0)=W306,4,IF(IF((M306&gt;0)*(IF(N306="",-1,N306)&gt;=3)*(IF(N306="",-1,N306)&lt;=4),IF(C306="peso_corporal",IF(ISNUMBER(E306),E306,0)+L306,L306)*M306*1000+L306,0)=W306,3,IF(IF((J306&gt;0)*(IF(K306="",-1,K306)&gt;=3)*(IF(K306="",-1,K306)&lt;=4),IF(C306="peso_corporal",IF(ISNUMBER(E306),E306,0)+I306,I306)*J306*1000+I306,0)=W306,2,IF(IF((G306&gt;0)*(IF(H306="",-1,H306)&gt;=3)*(IF(H306="",-1,H306)&lt;=4),IF(C306="peso_corporal",IF(ISNUMBER(E306),E306,0)+F306,F306)*G306*1000+F306,0)=W306,1,0))))))</f>
        <v>0</v>
      </c>
      <c r="Y306" s="69">
        <f>MAX(IF((G306&gt;0)*(IF(H306="",-1,H306)=0)*(1-(IF(H306="",-1,H306)&gt;=3)*(IF(H306="",-1,H306)&lt;=4)),IF(C306="peso_corporal",IF(ISNUMBER(E306),E306,0)+F306,F306)*G306*1000+F306,0),IF((J306&gt;0)*(IF(K306="",-1,K306)=0)*(1-(IF(K306="",-1,K306)&gt;=3)*(IF(K306="",-1,K306)&lt;=4)),IF(C306="peso_corporal",IF(ISNUMBER(E306),E306,0)+I306,I306)*J306*1000+I306,0),IF((M306&gt;0)*(IF(N306="",-1,N306)=0)*(1-(IF(N306="",-1,N306)&gt;=3)*(IF(N306="",-1,N306)&lt;=4)),IF(C306="peso_corporal",IF(ISNUMBER(E306),E306,0)+L306,L306)*M306*1000+L306,0),IF((P306&gt;0)*(IF(Q306="",-1,Q306)=0)*(1-(IF(Q306="",-1,Q306)&gt;=3)*(IF(Q306="",-1,Q306)&lt;=4)),IF(C306="peso_corporal",IF(ISNUMBER(E306),E306,0)+O306,O306)*P306*1000+O306,0),IF((S306&gt;0)*(IF(T306="",-1,T306)=0)*(1-(IF(T306="",-1,T306)&gt;=3)*(IF(T306="",-1,T306)&lt;=4)),IF(C306="peso_corporal",IF(ISNUMBER(E306),E306,0)+R306,R306)*S306*1000+R306,0))</f>
        <v>0</v>
      </c>
      <c r="Z306" s="69">
        <f>IF(Y306=0,0,IF(IF((S306&gt;0)*(IF(T306="",-1,T306)=0)*(1-(IF(T306="",-1,T306)&gt;=3)*(IF(T306="",-1,T306)&lt;=4)),IF(C306="peso_corporal",IF(ISNUMBER(E306),E306,0)+R306,R306)*S306*1000+R306,0)=Y306,5,IF(IF((P306&gt;0)*(IF(Q306="",-1,Q306)=0)*(1-(IF(Q306="",-1,Q306)&gt;=3)*(IF(Q306="",-1,Q306)&lt;=4)),IF(C306="peso_corporal",IF(ISNUMBER(E306),E306,0)+O306,O306)*P306*1000+O306,0)=Y306,4,IF(IF((M306&gt;0)*(IF(N306="",-1,N306)=0)*(1-(IF(N306="",-1,N306)&gt;=3)*(IF(N306="",-1,N306)&lt;=4)),IF(C306="peso_corporal",IF(ISNUMBER(E306),E306,0)+L306,L306)*M306*1000+L306,0)=Y306,3,IF(IF((J306&gt;0)*(IF(K306="",-1,K306)=0)*(1-(IF(K306="",-1,K306)&gt;=3)*(IF(K306="",-1,K306)&lt;=4)),IF(C306="peso_corporal",IF(ISNUMBER(E306),E306,0)+I306,I306)*J306*1000+I306,0)=Y306,2,IF(IF((G306&gt;0)*(IF(H306="",-1,H306)=0)*(1-(IF(H306="",-1,H306)&gt;=3)*(IF(H306="",-1,H306)&lt;=4)),IF(C306="peso_corporal",IF(ISNUMBER(E306),E306,0)+F306,F306)*G306*1000+F306,0)=Y306,1,0))))))</f>
        <v>0</v>
      </c>
      <c r="AA306" s="69">
        <f>MAX(IF((G306&gt;=12)*(1-(IF(H306="",-1,H306)&gt;=3)*(IF(H306="",-1,H306)&lt;=4))*(1-(IF(H306="",-1,H306)=0)),IF(C306="peso_corporal",IF(ISNUMBER(E306),E306,0)+F306,F306)*(30+G306)*100+F306,0),IF((J306&gt;=12)*(1-(IF(K306="",-1,K306)&gt;=3)*(IF(K306="",-1,K306)&lt;=4))*(1-(IF(K306="",-1,K306)=0)),IF(C306="peso_corporal",IF(ISNUMBER(E306),E306,0)+I306,I306)*(30+J306)*100+I306,0),IF((M306&gt;=12)*(1-(IF(N306="",-1,N306)&gt;=3)*(IF(N306="",-1,N306)&lt;=4))*(1-(IF(N306="",-1,N306)=0)),IF(C306="peso_corporal",IF(ISNUMBER(E306),E306,0)+L306,L306)*(30+M306)*100+L306,0),IF((P306&gt;=12)*(1-(IF(Q306="",-1,Q306)&gt;=3)*(IF(Q306="",-1,Q306)&lt;=4))*(1-(IF(Q306="",-1,Q306)=0)),IF(C306="peso_corporal",IF(ISNUMBER(E306),E306,0)+O306,O306)*(30+P306)*100+O306,0),IF((S306&gt;=12)*(1-(IF(T306="",-1,T306)&gt;=3)*(IF(T306="",-1,T306)&lt;=4))*(1-(IF(T306="",-1,T306)=0)),IF(C306="peso_corporal",IF(ISNUMBER(E306),E306,0)+R306,R306)*(30+S306)*100+R306,0))</f>
        <v>0</v>
      </c>
      <c r="AB306" s="69">
        <f>IF(AA306=0,0,IF(IF((S306&gt;=12)*(1-(IF(T306="",-1,T306)&gt;=3)*(IF(T306="",-1,T306)&lt;=4))*(1-(IF(T306="",-1,T306)=0)),IF(C306="peso_corporal",IF(ISNUMBER(E306),E306,0)+R306,R306)*(30+S306)*100+R306,0)=AA306,5,IF(IF((P306&gt;=12)*(1-(IF(Q306="",-1,Q306)&gt;=3)*(IF(Q306="",-1,Q306)&lt;=4))*(1-(IF(Q306="",-1,Q306)=0)),IF(C306="peso_corporal",IF(ISNUMBER(E306),E306,0)+O306,O306)*(30+P306)*100+O306,0)=AA306,4,IF(IF((M306&gt;=12)*(1-(IF(N306="",-1,N306)&gt;=3)*(IF(N306="",-1,N306)&lt;=4))*(1-(IF(N306="",-1,N306)=0)),IF(C306="peso_corporal",IF(ISNUMBER(E306),E306,0)+L306,L306)*(30+M306)*100+L306,0)=AA306,3,IF(IF((J306&gt;=12)*(1-(IF(K306="",-1,K306)&gt;=3)*(IF(K306="",-1,K306)&lt;=4))*(1-(IF(K306="",-1,K306)=0)),IF(C306="peso_corporal",IF(ISNUMBER(E306),E306,0)+I306,I306)*(30+J306)*100+I306,0)=AA306,2,IF(IF((G306&gt;=12)*(1-(IF(H306="",-1,H306)&gt;=3)*(IF(H306="",-1,H306)&lt;=4))*(1-(IF(H306="",-1,H306)=0)),IF(C306="peso_corporal",IF(ISNUMBER(E306),E306,0)+F306,F306)*(30+G306)*100+F306,0)=AA306,1,0))))))</f>
        <v>0</v>
      </c>
      <c r="AC306" s="69" t="str">
        <f>IF(X306&gt;0,"A"&amp;X306,IF(Z306&gt;0,"B"&amp;Z306,IF(AB306&gt;0,"C"&amp;AB306,"")))</f>
        <v/>
      </c>
    </row>
    <row r="307" spans="1:29" ht="15" customHeight="1">
      <c r="A307" s="72" t="s">
        <v>56</v>
      </c>
      <c r="B307" s="73"/>
      <c r="C307" s="73"/>
      <c r="D307" s="73"/>
      <c r="E307" s="73"/>
      <c r="F307" s="73"/>
      <c r="G307" s="73"/>
      <c r="H307" s="73"/>
      <c r="I307" s="73"/>
      <c r="J307" s="73"/>
      <c r="K307" s="73"/>
      <c r="L307" s="73"/>
      <c r="M307" s="73"/>
      <c r="N307" s="73"/>
      <c r="O307" s="73"/>
      <c r="P307" s="73"/>
      <c r="Q307" s="73"/>
      <c r="R307" s="73"/>
      <c r="S307" s="73"/>
      <c r="T307" s="73"/>
      <c r="U307" s="73"/>
      <c r="V307" s="73"/>
      <c r="W307" s="69"/>
      <c r="X307" s="69"/>
      <c r="Y307" s="69"/>
      <c r="Z307" s="69"/>
      <c r="AA307" s="69"/>
      <c r="AB307" s="69"/>
      <c r="AC307" s="69"/>
    </row>
    <row r="308" spans="1:29" ht="20.100000000000001" customHeight="1">
      <c r="A308" s="14" t="s">
        <v>57</v>
      </c>
      <c r="B308" s="15" t="s">
        <v>58</v>
      </c>
      <c r="C308" s="16" t="str">
        <f>IFERROR(INDEX(EJERCICIOS!$D$3:$D$75,MATCH(A308&amp;"|"&amp;B308,EJERCICIOS!$G$3:$G$75,0)),"--")</f>
        <v>polea</v>
      </c>
      <c r="D308" s="17">
        <v>3</v>
      </c>
      <c r="E308" s="18">
        <f>IFERROR(LOOKUP(2,1/(MEDIDAS_Y_PESO!$B$3:$B$14&lt;&gt;""),MEDIDAS_Y_PESO!$B$3:$B$14),"--")</f>
        <v>80</v>
      </c>
      <c r="F308" s="19"/>
      <c r="G308" s="20"/>
      <c r="H308" s="21"/>
      <c r="I308" s="19"/>
      <c r="J308" s="20"/>
      <c r="K308" s="21"/>
      <c r="L308" s="19"/>
      <c r="M308" s="20"/>
      <c r="N308" s="21"/>
      <c r="O308" s="19"/>
      <c r="P308" s="20"/>
      <c r="Q308" s="21"/>
      <c r="R308" s="19"/>
      <c r="S308" s="20"/>
      <c r="T308" s="21"/>
      <c r="U308" s="22" t="str">
        <f>IFERROR(IF(IF(X308&gt;0,X308,IF(Z308&gt;0,Z308,IF(AB308&gt;0,AB308,0)))=0,"--",ROUND(CHOOSE(IF(X308&gt;0,X308,IF(Z308&gt;0,Z308,IF(AB308&gt;0,AB308,0))),IF(C308="peso_corporal",IF(ISNUMBER(E308),E308,0)+F308,F308)*(1+G308/30),IF(C308="peso_corporal",IF(ISNUMBER(E308),E308,0)+I308,I308)*(1+J308/30),IF(C308="peso_corporal",IF(ISNUMBER(E308),E308,0)+L308,L308)*(1+M308/30),IF(C308="peso_corporal",IF(ISNUMBER(E308),E308,0)+O308,O308)*(1+P308/30),IF(C308="peso_corporal",IF(ISNUMBER(E308),E308,0)+R308,R308)*(1+S308/30)),1)),"--")</f>
        <v>--</v>
      </c>
      <c r="V308" s="23" t="str">
        <f>IF(SUGERENCIAS!N746="SIN","Sin datos anteriores",IF(SUGERENCIAS!N746="SUBIR_F","^ SUBIR FUERTE | Kg:"&amp;ROUND(SUGERENCIAS!K746,1)&amp;" R:"&amp;ROUND(SUGERENCIAS!L746,0)&amp;" RIR:"&amp;ROUND(SUGERENCIAS!M746,0),IF(SUGERENCIAS!N746="SUBIR_E","^ SUBIR (Est.) | Kg:"&amp;ROUND(SUGERENCIAS!K746,1)&amp;" R:"&amp;ROUND(SUGERENCIAS!L746,0)&amp;" RIR:"&amp;ROUND(SUGERENCIAS!M746,0),IF(SUGERENCIAS!N746="SUBIR","^ SUBIR | Kg:"&amp;ROUND(SUGERENCIAS!K746,1)&amp;" R:"&amp;ROUND(SUGERENCIAS!L746,0)&amp;" RIR:"&amp;ROUND(SUGERENCIAS!M746,0),IF(SUGERENCIAS!N746="BAJAR","v BAJAR | Kg:"&amp;ROUND(SUGERENCIAS!K746,1)&amp;" R:"&amp;ROUND(SUGERENCIAS!L746,0)&amp;" RIR:"&amp;ROUND(SUGERENCIAS!M746,0),"= MANT | Kg:"&amp;ROUND(SUGERENCIAS!K746,1)&amp;" R:"&amp;ROUND(SUGERENCIAS!L746,0)&amp;" RIR:"&amp;ROUND(SUGERENCIAS!M746,0))))))</f>
        <v>Sin datos anteriores</v>
      </c>
      <c r="W308" s="69">
        <f>MAX(IF((G308&gt;0)*(IF(H308="",-1,H308)&gt;=3)*(IF(H308="",-1,H308)&lt;=4),IF(C308="peso_corporal",IF(ISNUMBER(E308),E308,0)+F308,F308)*G308*1000+F308,0),IF((J308&gt;0)*(IF(K308="",-1,K308)&gt;=3)*(IF(K308="",-1,K308)&lt;=4),IF(C308="peso_corporal",IF(ISNUMBER(E308),E308,0)+I308,I308)*J308*1000+I308,0),IF((M308&gt;0)*(IF(N308="",-1,N308)&gt;=3)*(IF(N308="",-1,N308)&lt;=4),IF(C308="peso_corporal",IF(ISNUMBER(E308),E308,0)+L308,L308)*M308*1000+L308,0),IF((P308&gt;0)*(IF(Q308="",-1,Q308)&gt;=3)*(IF(Q308="",-1,Q308)&lt;=4),IF(C308="peso_corporal",IF(ISNUMBER(E308),E308,0)+O308,O308)*P308*1000+O308,0),IF((S308&gt;0)*(IF(T308="",-1,T308)&gt;=3)*(IF(T308="",-1,T308)&lt;=4),IF(C308="peso_corporal",IF(ISNUMBER(E308),E308,0)+R308,R308)*S308*1000+R308,0))</f>
        <v>0</v>
      </c>
      <c r="X308" s="69">
        <f>IF(W308=0,0,IF(IF((S308&gt;0)*(IF(T308="",-1,T308)&gt;=3)*(IF(T308="",-1,T308)&lt;=4),IF(C308="peso_corporal",IF(ISNUMBER(E308),E308,0)+R308,R308)*S308*1000+R308,0)=W308,5,IF(IF((P308&gt;0)*(IF(Q308="",-1,Q308)&gt;=3)*(IF(Q308="",-1,Q308)&lt;=4),IF(C308="peso_corporal",IF(ISNUMBER(E308),E308,0)+O308,O308)*P308*1000+O308,0)=W308,4,IF(IF((M308&gt;0)*(IF(N308="",-1,N308)&gt;=3)*(IF(N308="",-1,N308)&lt;=4),IF(C308="peso_corporal",IF(ISNUMBER(E308),E308,0)+L308,L308)*M308*1000+L308,0)=W308,3,IF(IF((J308&gt;0)*(IF(K308="",-1,K308)&gt;=3)*(IF(K308="",-1,K308)&lt;=4),IF(C308="peso_corporal",IF(ISNUMBER(E308),E308,0)+I308,I308)*J308*1000+I308,0)=W308,2,IF(IF((G308&gt;0)*(IF(H308="",-1,H308)&gt;=3)*(IF(H308="",-1,H308)&lt;=4),IF(C308="peso_corporal",IF(ISNUMBER(E308),E308,0)+F308,F308)*G308*1000+F308,0)=W308,1,0))))))</f>
        <v>0</v>
      </c>
      <c r="Y308" s="69">
        <f>MAX(IF((G308&gt;0)*(IF(H308="",-1,H308)=0)*(1-(IF(H308="",-1,H308)&gt;=3)*(IF(H308="",-1,H308)&lt;=4)),IF(C308="peso_corporal",IF(ISNUMBER(E308),E308,0)+F308,F308)*G308*1000+F308,0),IF((J308&gt;0)*(IF(K308="",-1,K308)=0)*(1-(IF(K308="",-1,K308)&gt;=3)*(IF(K308="",-1,K308)&lt;=4)),IF(C308="peso_corporal",IF(ISNUMBER(E308),E308,0)+I308,I308)*J308*1000+I308,0),IF((M308&gt;0)*(IF(N308="",-1,N308)=0)*(1-(IF(N308="",-1,N308)&gt;=3)*(IF(N308="",-1,N308)&lt;=4)),IF(C308="peso_corporal",IF(ISNUMBER(E308),E308,0)+L308,L308)*M308*1000+L308,0),IF((P308&gt;0)*(IF(Q308="",-1,Q308)=0)*(1-(IF(Q308="",-1,Q308)&gt;=3)*(IF(Q308="",-1,Q308)&lt;=4)),IF(C308="peso_corporal",IF(ISNUMBER(E308),E308,0)+O308,O308)*P308*1000+O308,0),IF((S308&gt;0)*(IF(T308="",-1,T308)=0)*(1-(IF(T308="",-1,T308)&gt;=3)*(IF(T308="",-1,T308)&lt;=4)),IF(C308="peso_corporal",IF(ISNUMBER(E308),E308,0)+R308,R308)*S308*1000+R308,0))</f>
        <v>0</v>
      </c>
      <c r="Z308" s="69">
        <f>IF(Y308=0,0,IF(IF((S308&gt;0)*(IF(T308="",-1,T308)=0)*(1-(IF(T308="",-1,T308)&gt;=3)*(IF(T308="",-1,T308)&lt;=4)),IF(C308="peso_corporal",IF(ISNUMBER(E308),E308,0)+R308,R308)*S308*1000+R308,0)=Y308,5,IF(IF((P308&gt;0)*(IF(Q308="",-1,Q308)=0)*(1-(IF(Q308="",-1,Q308)&gt;=3)*(IF(Q308="",-1,Q308)&lt;=4)),IF(C308="peso_corporal",IF(ISNUMBER(E308),E308,0)+O308,O308)*P308*1000+O308,0)=Y308,4,IF(IF((M308&gt;0)*(IF(N308="",-1,N308)=0)*(1-(IF(N308="",-1,N308)&gt;=3)*(IF(N308="",-1,N308)&lt;=4)),IF(C308="peso_corporal",IF(ISNUMBER(E308),E308,0)+L308,L308)*M308*1000+L308,0)=Y308,3,IF(IF((J308&gt;0)*(IF(K308="",-1,K308)=0)*(1-(IF(K308="",-1,K308)&gt;=3)*(IF(K308="",-1,K308)&lt;=4)),IF(C308="peso_corporal",IF(ISNUMBER(E308),E308,0)+I308,I308)*J308*1000+I308,0)=Y308,2,IF(IF((G308&gt;0)*(IF(H308="",-1,H308)=0)*(1-(IF(H308="",-1,H308)&gt;=3)*(IF(H308="",-1,H308)&lt;=4)),IF(C308="peso_corporal",IF(ISNUMBER(E308),E308,0)+F308,F308)*G308*1000+F308,0)=Y308,1,0))))))</f>
        <v>0</v>
      </c>
      <c r="AA308" s="69">
        <f>MAX(IF((G308&gt;=12)*(1-(IF(H308="",-1,H308)&gt;=3)*(IF(H308="",-1,H308)&lt;=4))*(1-(IF(H308="",-1,H308)=0)),IF(C308="peso_corporal",IF(ISNUMBER(E308),E308,0)+F308,F308)*(30+G308)*100+F308,0),IF((J308&gt;=12)*(1-(IF(K308="",-1,K308)&gt;=3)*(IF(K308="",-1,K308)&lt;=4))*(1-(IF(K308="",-1,K308)=0)),IF(C308="peso_corporal",IF(ISNUMBER(E308),E308,0)+I308,I308)*(30+J308)*100+I308,0),IF((M308&gt;=12)*(1-(IF(N308="",-1,N308)&gt;=3)*(IF(N308="",-1,N308)&lt;=4))*(1-(IF(N308="",-1,N308)=0)),IF(C308="peso_corporal",IF(ISNUMBER(E308),E308,0)+L308,L308)*(30+M308)*100+L308,0),IF((P308&gt;=12)*(1-(IF(Q308="",-1,Q308)&gt;=3)*(IF(Q308="",-1,Q308)&lt;=4))*(1-(IF(Q308="",-1,Q308)=0)),IF(C308="peso_corporal",IF(ISNUMBER(E308),E308,0)+O308,O308)*(30+P308)*100+O308,0),IF((S308&gt;=12)*(1-(IF(T308="",-1,T308)&gt;=3)*(IF(T308="",-1,T308)&lt;=4))*(1-(IF(T308="",-1,T308)=0)),IF(C308="peso_corporal",IF(ISNUMBER(E308),E308,0)+R308,R308)*(30+S308)*100+R308,0))</f>
        <v>0</v>
      </c>
      <c r="AB308" s="69">
        <f>IF(AA308=0,0,IF(IF((S308&gt;=12)*(1-(IF(T308="",-1,T308)&gt;=3)*(IF(T308="",-1,T308)&lt;=4))*(1-(IF(T308="",-1,T308)=0)),IF(C308="peso_corporal",IF(ISNUMBER(E308),E308,0)+R308,R308)*(30+S308)*100+R308,0)=AA308,5,IF(IF((P308&gt;=12)*(1-(IF(Q308="",-1,Q308)&gt;=3)*(IF(Q308="",-1,Q308)&lt;=4))*(1-(IF(Q308="",-1,Q308)=0)),IF(C308="peso_corporal",IF(ISNUMBER(E308),E308,0)+O308,O308)*(30+P308)*100+O308,0)=AA308,4,IF(IF((M308&gt;=12)*(1-(IF(N308="",-1,N308)&gt;=3)*(IF(N308="",-1,N308)&lt;=4))*(1-(IF(N308="",-1,N308)=0)),IF(C308="peso_corporal",IF(ISNUMBER(E308),E308,0)+L308,L308)*(30+M308)*100+L308,0)=AA308,3,IF(IF((J308&gt;=12)*(1-(IF(K308="",-1,K308)&gt;=3)*(IF(K308="",-1,K308)&lt;=4))*(1-(IF(K308="",-1,K308)=0)),IF(C308="peso_corporal",IF(ISNUMBER(E308),E308,0)+I308,I308)*(30+J308)*100+I308,0)=AA308,2,IF(IF((G308&gt;=12)*(1-(IF(H308="",-1,H308)&gt;=3)*(IF(H308="",-1,H308)&lt;=4))*(1-(IF(H308="",-1,H308)=0)),IF(C308="peso_corporal",IF(ISNUMBER(E308),E308,0)+F308,F308)*(30+G308)*100+F308,0)=AA308,1,0))))))</f>
        <v>0</v>
      </c>
      <c r="AC308" s="69" t="str">
        <f>IF(X308&gt;0,"A"&amp;X308,IF(Z308&gt;0,"B"&amp;Z308,IF(AB308&gt;0,"C"&amp;AB308,"")))</f>
        <v/>
      </c>
    </row>
    <row r="309" spans="1:29" ht="6"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69"/>
      <c r="X309" s="69"/>
      <c r="Y309" s="69"/>
      <c r="Z309" s="69"/>
      <c r="AA309" s="69"/>
      <c r="AB309" s="69"/>
      <c r="AC309" s="69"/>
    </row>
  </sheetData>
  <mergeCells count="140">
    <mergeCell ref="A298:V298"/>
    <mergeCell ref="A185:V185"/>
    <mergeCell ref="A23:V23"/>
    <mergeCell ref="A194:V194"/>
    <mergeCell ref="A39:V39"/>
    <mergeCell ref="A36:V36"/>
    <mergeCell ref="A246:V246"/>
    <mergeCell ref="A264:V264"/>
    <mergeCell ref="A198:V198"/>
    <mergeCell ref="A239:V239"/>
    <mergeCell ref="A244:V244"/>
    <mergeCell ref="A253:V253"/>
    <mergeCell ref="A235:V235"/>
    <mergeCell ref="A225:V225"/>
    <mergeCell ref="A153:V153"/>
    <mergeCell ref="A32:V32"/>
    <mergeCell ref="A307:V307"/>
    <mergeCell ref="A43:V43"/>
    <mergeCell ref="A171:V171"/>
    <mergeCell ref="A155:V155"/>
    <mergeCell ref="A211:V211"/>
    <mergeCell ref="A93:V93"/>
    <mergeCell ref="A293:V293"/>
    <mergeCell ref="A173:V173"/>
    <mergeCell ref="A130:V130"/>
    <mergeCell ref="A261:V261"/>
    <mergeCell ref="A148:V148"/>
    <mergeCell ref="A300:V300"/>
    <mergeCell ref="A230:V230"/>
    <mergeCell ref="A111:V111"/>
    <mergeCell ref="A143:V143"/>
    <mergeCell ref="A48:V48"/>
    <mergeCell ref="A232:V232"/>
    <mergeCell ref="A207:V207"/>
    <mergeCell ref="A296:V296"/>
    <mergeCell ref="A78:V78"/>
    <mergeCell ref="A282:V282"/>
    <mergeCell ref="A275:V275"/>
    <mergeCell ref="A228:V228"/>
    <mergeCell ref="A205:V205"/>
    <mergeCell ref="A21:V21"/>
    <mergeCell ref="A105:V105"/>
    <mergeCell ref="A57:V57"/>
    <mergeCell ref="A10:V10"/>
    <mergeCell ref="A19:V19"/>
    <mergeCell ref="A68:V68"/>
    <mergeCell ref="O2:Q2"/>
    <mergeCell ref="A157:V157"/>
    <mergeCell ref="A132:V132"/>
    <mergeCell ref="A139:V139"/>
    <mergeCell ref="A11:V11"/>
    <mergeCell ref="A71:V71"/>
    <mergeCell ref="A146:V146"/>
    <mergeCell ref="A5:V5"/>
    <mergeCell ref="A271:V271"/>
    <mergeCell ref="A218:V218"/>
    <mergeCell ref="A128:V128"/>
    <mergeCell ref="A193:V193"/>
    <mergeCell ref="A255:V255"/>
    <mergeCell ref="A80:V80"/>
    <mergeCell ref="A46:V46"/>
    <mergeCell ref="A273:V273"/>
    <mergeCell ref="A89:V89"/>
    <mergeCell ref="A136:V136"/>
    <mergeCell ref="A268:V268"/>
    <mergeCell ref="A164:V164"/>
    <mergeCell ref="A250:V250"/>
    <mergeCell ref="A210:V210"/>
    <mergeCell ref="A1:V1"/>
    <mergeCell ref="A94:V94"/>
    <mergeCell ref="A103:V103"/>
    <mergeCell ref="A168:V168"/>
    <mergeCell ref="A110:V110"/>
    <mergeCell ref="A119:V119"/>
    <mergeCell ref="A69:V69"/>
    <mergeCell ref="A196:V196"/>
    <mergeCell ref="A25:V25"/>
    <mergeCell ref="A118:V118"/>
    <mergeCell ref="A75:V75"/>
    <mergeCell ref="A50:V50"/>
    <mergeCell ref="A55:V55"/>
    <mergeCell ref="R2:T2"/>
    <mergeCell ref="A100:V100"/>
    <mergeCell ref="A53:V53"/>
    <mergeCell ref="A35:V35"/>
    <mergeCell ref="A180:V180"/>
    <mergeCell ref="A64:V64"/>
    <mergeCell ref="A98:V98"/>
    <mergeCell ref="A169:V169"/>
    <mergeCell ref="A107:V107"/>
    <mergeCell ref="A178:V178"/>
    <mergeCell ref="A61:V61"/>
    <mergeCell ref="A305:V305"/>
    <mergeCell ref="A243:V243"/>
    <mergeCell ref="A221:V221"/>
    <mergeCell ref="I2:K2"/>
    <mergeCell ref="A286:V286"/>
    <mergeCell ref="A236:V236"/>
    <mergeCell ref="A214:V214"/>
    <mergeCell ref="A18:V18"/>
    <mergeCell ref="A189:V189"/>
    <mergeCell ref="A223:V223"/>
    <mergeCell ref="A294:V294"/>
    <mergeCell ref="A86:V86"/>
    <mergeCell ref="A278:V278"/>
    <mergeCell ref="A135:V135"/>
    <mergeCell ref="A150:V150"/>
    <mergeCell ref="A144:V144"/>
    <mergeCell ref="A125:V125"/>
    <mergeCell ref="A28:V28"/>
    <mergeCell ref="A30:V30"/>
    <mergeCell ref="A114:V114"/>
    <mergeCell ref="A182:V182"/>
    <mergeCell ref="A248:V248"/>
    <mergeCell ref="A160:V160"/>
    <mergeCell ref="A175:V175"/>
    <mergeCell ref="A303:V303"/>
    <mergeCell ref="A14:V14"/>
    <mergeCell ref="A219:V219"/>
    <mergeCell ref="F2:H2"/>
    <mergeCell ref="A200:V200"/>
    <mergeCell ref="A4:V4"/>
    <mergeCell ref="A96:V96"/>
    <mergeCell ref="A280:V280"/>
    <mergeCell ref="A121:V121"/>
    <mergeCell ref="A161:V161"/>
    <mergeCell ref="A44:V44"/>
    <mergeCell ref="A289:V289"/>
    <mergeCell ref="A186:V186"/>
    <mergeCell ref="A257:V257"/>
    <mergeCell ref="A73:V73"/>
    <mergeCell ref="A82:V82"/>
    <mergeCell ref="A260:V260"/>
    <mergeCell ref="A60:V60"/>
    <mergeCell ref="A123:V123"/>
    <mergeCell ref="A285:V285"/>
    <mergeCell ref="A203:V203"/>
    <mergeCell ref="A85:V85"/>
    <mergeCell ref="A269:V269"/>
    <mergeCell ref="L2:N2"/>
  </mergeCells>
  <conditionalFormatting sqref="I12:K12">
    <cfRule type="expression" dxfId="2798" priority="4">
      <formula>$D$12&lt;2</formula>
    </cfRule>
  </conditionalFormatting>
  <conditionalFormatting sqref="I13:K13">
    <cfRule type="expression" dxfId="2797" priority="19">
      <formula>$D$13&lt;2</formula>
    </cfRule>
  </conditionalFormatting>
  <conditionalFormatting sqref="I15:K15">
    <cfRule type="expression" dxfId="2796" priority="34">
      <formula>$D$15&lt;2</formula>
    </cfRule>
  </conditionalFormatting>
  <conditionalFormatting sqref="I16:K16">
    <cfRule type="expression" dxfId="2795" priority="49">
      <formula>$D$16&lt;2</formula>
    </cfRule>
  </conditionalFormatting>
  <conditionalFormatting sqref="I17:K17">
    <cfRule type="expression" dxfId="2794" priority="64">
      <formula>$D$17&lt;2</formula>
    </cfRule>
  </conditionalFormatting>
  <conditionalFormatting sqref="I20:K20">
    <cfRule type="expression" dxfId="2793" priority="79">
      <formula>$D$20&lt;2</formula>
    </cfRule>
  </conditionalFormatting>
  <conditionalFormatting sqref="I22:K22">
    <cfRule type="expression" dxfId="2792" priority="94">
      <formula>$D$22&lt;2</formula>
    </cfRule>
  </conditionalFormatting>
  <conditionalFormatting sqref="I24:K24">
    <cfRule type="expression" dxfId="2791" priority="109">
      <formula>$D$24&lt;2</formula>
    </cfRule>
  </conditionalFormatting>
  <conditionalFormatting sqref="I26:K26">
    <cfRule type="expression" dxfId="2790" priority="124">
      <formula>$D$26&lt;2</formula>
    </cfRule>
  </conditionalFormatting>
  <conditionalFormatting sqref="I27:K27">
    <cfRule type="expression" dxfId="2789" priority="139">
      <formula>$D$27&lt;2</formula>
    </cfRule>
  </conditionalFormatting>
  <conditionalFormatting sqref="I29:K29">
    <cfRule type="expression" dxfId="2788" priority="154">
      <formula>$D$29&lt;2</formula>
    </cfRule>
  </conditionalFormatting>
  <conditionalFormatting sqref="I31:K31">
    <cfRule type="expression" dxfId="2787" priority="169">
      <formula>$D$31&lt;2</formula>
    </cfRule>
  </conditionalFormatting>
  <conditionalFormatting sqref="I33:K33">
    <cfRule type="expression" dxfId="2786" priority="184">
      <formula>$D$33&lt;2</formula>
    </cfRule>
  </conditionalFormatting>
  <conditionalFormatting sqref="I37:K37">
    <cfRule type="expression" dxfId="2785" priority="199">
      <formula>$D$37&lt;2</formula>
    </cfRule>
  </conditionalFormatting>
  <conditionalFormatting sqref="I38:K38">
    <cfRule type="expression" dxfId="2784" priority="214">
      <formula>$D$38&lt;2</formula>
    </cfRule>
  </conditionalFormatting>
  <conditionalFormatting sqref="I40:K40">
    <cfRule type="expression" dxfId="2783" priority="229">
      <formula>$D$40&lt;2</formula>
    </cfRule>
  </conditionalFormatting>
  <conditionalFormatting sqref="I41:K41">
    <cfRule type="expression" dxfId="2782" priority="244">
      <formula>$D$41&lt;2</formula>
    </cfRule>
  </conditionalFormatting>
  <conditionalFormatting sqref="I42:K42">
    <cfRule type="expression" dxfId="2781" priority="259">
      <formula>$D$42&lt;2</formula>
    </cfRule>
  </conditionalFormatting>
  <conditionalFormatting sqref="I45:K45">
    <cfRule type="expression" dxfId="2780" priority="274">
      <formula>$D$45&lt;2</formula>
    </cfRule>
  </conditionalFormatting>
  <conditionalFormatting sqref="I47:K47">
    <cfRule type="expression" dxfId="2779" priority="289">
      <formula>$D$47&lt;2</formula>
    </cfRule>
  </conditionalFormatting>
  <conditionalFormatting sqref="I49:K49">
    <cfRule type="expression" dxfId="2778" priority="304">
      <formula>$D$49&lt;2</formula>
    </cfRule>
  </conditionalFormatting>
  <conditionalFormatting sqref="I51:K51">
    <cfRule type="expression" dxfId="2777" priority="319">
      <formula>$D$51&lt;2</formula>
    </cfRule>
  </conditionalFormatting>
  <conditionalFormatting sqref="I52:K52">
    <cfRule type="expression" dxfId="2776" priority="334">
      <formula>$D$52&lt;2</formula>
    </cfRule>
  </conditionalFormatting>
  <conditionalFormatting sqref="I54:K54">
    <cfRule type="expression" dxfId="2775" priority="349">
      <formula>$D$54&lt;2</formula>
    </cfRule>
  </conditionalFormatting>
  <conditionalFormatting sqref="I56:K56">
    <cfRule type="expression" dxfId="2774" priority="364">
      <formula>$D$56&lt;2</formula>
    </cfRule>
  </conditionalFormatting>
  <conditionalFormatting sqref="I58:K58">
    <cfRule type="expression" dxfId="2773" priority="379">
      <formula>$D$58&lt;2</formula>
    </cfRule>
  </conditionalFormatting>
  <conditionalFormatting sqref="I62:K62">
    <cfRule type="expression" dxfId="2772" priority="394">
      <formula>$D$62&lt;2</formula>
    </cfRule>
  </conditionalFormatting>
  <conditionalFormatting sqref="I63:K63">
    <cfRule type="expression" dxfId="2771" priority="409">
      <formula>$D$63&lt;2</formula>
    </cfRule>
  </conditionalFormatting>
  <conditionalFormatting sqref="I65:K65">
    <cfRule type="expression" dxfId="2770" priority="424">
      <formula>$D$65&lt;2</formula>
    </cfRule>
  </conditionalFormatting>
  <conditionalFormatting sqref="I66:K66">
    <cfRule type="expression" dxfId="2769" priority="439">
      <formula>$D$66&lt;2</formula>
    </cfRule>
  </conditionalFormatting>
  <conditionalFormatting sqref="I67:K67">
    <cfRule type="expression" dxfId="2768" priority="454">
      <formula>$D$67&lt;2</formula>
    </cfRule>
  </conditionalFormatting>
  <conditionalFormatting sqref="I70:K70">
    <cfRule type="expression" dxfId="2767" priority="469">
      <formula>$D$70&lt;2</formula>
    </cfRule>
  </conditionalFormatting>
  <conditionalFormatting sqref="I72:K72">
    <cfRule type="expression" dxfId="2766" priority="484">
      <formula>$D$72&lt;2</formula>
    </cfRule>
  </conditionalFormatting>
  <conditionalFormatting sqref="I74:K74">
    <cfRule type="expression" dxfId="2765" priority="499">
      <formula>$D$74&lt;2</formula>
    </cfRule>
  </conditionalFormatting>
  <conditionalFormatting sqref="I76:K76">
    <cfRule type="expression" dxfId="2764" priority="514">
      <formula>$D$76&lt;2</formula>
    </cfRule>
  </conditionalFormatting>
  <conditionalFormatting sqref="I77:K77">
    <cfRule type="expression" dxfId="2763" priority="529">
      <formula>$D$77&lt;2</formula>
    </cfRule>
  </conditionalFormatting>
  <conditionalFormatting sqref="I79:K79">
    <cfRule type="expression" dxfId="2762" priority="544">
      <formula>$D$79&lt;2</formula>
    </cfRule>
  </conditionalFormatting>
  <conditionalFormatting sqref="I81:K81">
    <cfRule type="expression" dxfId="2761" priority="559">
      <formula>$D$81&lt;2</formula>
    </cfRule>
  </conditionalFormatting>
  <conditionalFormatting sqref="I83:K83">
    <cfRule type="expression" dxfId="2760" priority="574">
      <formula>$D$83&lt;2</formula>
    </cfRule>
  </conditionalFormatting>
  <conditionalFormatting sqref="I87:K87">
    <cfRule type="expression" dxfId="2759" priority="589">
      <formula>$D$87&lt;2</formula>
    </cfRule>
  </conditionalFormatting>
  <conditionalFormatting sqref="I88:K88">
    <cfRule type="expression" dxfId="2758" priority="604">
      <formula>$D$88&lt;2</formula>
    </cfRule>
  </conditionalFormatting>
  <conditionalFormatting sqref="I90:K90">
    <cfRule type="expression" dxfId="2757" priority="619">
      <formula>$D$90&lt;2</formula>
    </cfRule>
  </conditionalFormatting>
  <conditionalFormatting sqref="I91:K91">
    <cfRule type="expression" dxfId="2756" priority="634">
      <formula>$D$91&lt;2</formula>
    </cfRule>
  </conditionalFormatting>
  <conditionalFormatting sqref="I92:K92">
    <cfRule type="expression" dxfId="2755" priority="649">
      <formula>$D$92&lt;2</formula>
    </cfRule>
  </conditionalFormatting>
  <conditionalFormatting sqref="I95:K95">
    <cfRule type="expression" dxfId="2754" priority="664">
      <formula>$D$95&lt;2</formula>
    </cfRule>
  </conditionalFormatting>
  <conditionalFormatting sqref="I97:K97">
    <cfRule type="expression" dxfId="2753" priority="679">
      <formula>$D$97&lt;2</formula>
    </cfRule>
  </conditionalFormatting>
  <conditionalFormatting sqref="I99:K99">
    <cfRule type="expression" dxfId="2752" priority="694">
      <formula>$D$99&lt;2</formula>
    </cfRule>
  </conditionalFormatting>
  <conditionalFormatting sqref="I101:K101">
    <cfRule type="expression" dxfId="2751" priority="709">
      <formula>$D$101&lt;2</formula>
    </cfRule>
  </conditionalFormatting>
  <conditionalFormatting sqref="I102:K102">
    <cfRule type="expression" dxfId="2750" priority="724">
      <formula>$D$102&lt;2</formula>
    </cfRule>
  </conditionalFormatting>
  <conditionalFormatting sqref="I104:K104">
    <cfRule type="expression" dxfId="2749" priority="739">
      <formula>$D$104&lt;2</formula>
    </cfRule>
  </conditionalFormatting>
  <conditionalFormatting sqref="I106:K106">
    <cfRule type="expression" dxfId="2748" priority="754">
      <formula>$D$106&lt;2</formula>
    </cfRule>
  </conditionalFormatting>
  <conditionalFormatting sqref="I108:K108">
    <cfRule type="expression" dxfId="2747" priority="769">
      <formula>$D$108&lt;2</formula>
    </cfRule>
  </conditionalFormatting>
  <conditionalFormatting sqref="I112:K112">
    <cfRule type="expression" dxfId="2746" priority="784">
      <formula>$D$112&lt;2</formula>
    </cfRule>
  </conditionalFormatting>
  <conditionalFormatting sqref="I113:K113">
    <cfRule type="expression" dxfId="2745" priority="799">
      <formula>$D$113&lt;2</formula>
    </cfRule>
  </conditionalFormatting>
  <conditionalFormatting sqref="I115:K115">
    <cfRule type="expression" dxfId="2744" priority="814">
      <formula>$D$115&lt;2</formula>
    </cfRule>
  </conditionalFormatting>
  <conditionalFormatting sqref="I116:K116">
    <cfRule type="expression" dxfId="2743" priority="829">
      <formula>$D$116&lt;2</formula>
    </cfRule>
  </conditionalFormatting>
  <conditionalFormatting sqref="I117:K117">
    <cfRule type="expression" dxfId="2742" priority="844">
      <formula>$D$117&lt;2</formula>
    </cfRule>
  </conditionalFormatting>
  <conditionalFormatting sqref="I120:K120">
    <cfRule type="expression" dxfId="2741" priority="859">
      <formula>$D$120&lt;2</formula>
    </cfRule>
  </conditionalFormatting>
  <conditionalFormatting sqref="I122:K122">
    <cfRule type="expression" dxfId="2740" priority="874">
      <formula>$D$122&lt;2</formula>
    </cfRule>
  </conditionalFormatting>
  <conditionalFormatting sqref="I124:K124">
    <cfRule type="expression" dxfId="2739" priority="889">
      <formula>$D$124&lt;2</formula>
    </cfRule>
  </conditionalFormatting>
  <conditionalFormatting sqref="I126:K126">
    <cfRule type="expression" dxfId="2738" priority="904">
      <formula>$D$126&lt;2</formula>
    </cfRule>
  </conditionalFormatting>
  <conditionalFormatting sqref="I127:K127">
    <cfRule type="expression" dxfId="2737" priority="919">
      <formula>$D$127&lt;2</formula>
    </cfRule>
  </conditionalFormatting>
  <conditionalFormatting sqref="I129:K129">
    <cfRule type="expression" dxfId="2736" priority="934">
      <formula>$D$129&lt;2</formula>
    </cfRule>
  </conditionalFormatting>
  <conditionalFormatting sqref="I131:K131">
    <cfRule type="expression" dxfId="2735" priority="949">
      <formula>$D$131&lt;2</formula>
    </cfRule>
  </conditionalFormatting>
  <conditionalFormatting sqref="I133:K133">
    <cfRule type="expression" dxfId="2734" priority="964">
      <formula>$D$133&lt;2</formula>
    </cfRule>
  </conditionalFormatting>
  <conditionalFormatting sqref="I137:K137">
    <cfRule type="expression" dxfId="2733" priority="979">
      <formula>$D$137&lt;2</formula>
    </cfRule>
  </conditionalFormatting>
  <conditionalFormatting sqref="I138:K138">
    <cfRule type="expression" dxfId="2732" priority="994">
      <formula>$D$138&lt;2</formula>
    </cfRule>
  </conditionalFormatting>
  <conditionalFormatting sqref="I140:K140">
    <cfRule type="expression" dxfId="2731" priority="1009">
      <formula>$D$140&lt;2</formula>
    </cfRule>
  </conditionalFormatting>
  <conditionalFormatting sqref="I141:K141">
    <cfRule type="expression" dxfId="2730" priority="1024">
      <formula>$D$141&lt;2</formula>
    </cfRule>
  </conditionalFormatting>
  <conditionalFormatting sqref="I142:K142">
    <cfRule type="expression" dxfId="2729" priority="1039">
      <formula>$D$142&lt;2</formula>
    </cfRule>
  </conditionalFormatting>
  <conditionalFormatting sqref="I145:K145">
    <cfRule type="expression" dxfId="2728" priority="1054">
      <formula>$D$145&lt;2</formula>
    </cfRule>
  </conditionalFormatting>
  <conditionalFormatting sqref="I147:K147">
    <cfRule type="expression" dxfId="2727" priority="1069">
      <formula>$D$147&lt;2</formula>
    </cfRule>
  </conditionalFormatting>
  <conditionalFormatting sqref="I149:K149">
    <cfRule type="expression" dxfId="2726" priority="1084">
      <formula>$D$149&lt;2</formula>
    </cfRule>
  </conditionalFormatting>
  <conditionalFormatting sqref="I151:K151">
    <cfRule type="expression" dxfId="2725" priority="1099">
      <formula>$D$151&lt;2</formula>
    </cfRule>
  </conditionalFormatting>
  <conditionalFormatting sqref="I152:K152">
    <cfRule type="expression" dxfId="2724" priority="1114">
      <formula>$D$152&lt;2</formula>
    </cfRule>
  </conditionalFormatting>
  <conditionalFormatting sqref="I154:K154">
    <cfRule type="expression" dxfId="2723" priority="1129">
      <formula>$D$154&lt;2</formula>
    </cfRule>
  </conditionalFormatting>
  <conditionalFormatting sqref="I156:K156">
    <cfRule type="expression" dxfId="2722" priority="1144">
      <formula>$D$156&lt;2</formula>
    </cfRule>
  </conditionalFormatting>
  <conditionalFormatting sqref="I158:K158">
    <cfRule type="expression" dxfId="2721" priority="1159">
      <formula>$D$158&lt;2</formula>
    </cfRule>
  </conditionalFormatting>
  <conditionalFormatting sqref="I162:K162">
    <cfRule type="expression" dxfId="2720" priority="1174">
      <formula>$D$162&lt;2</formula>
    </cfRule>
  </conditionalFormatting>
  <conditionalFormatting sqref="I163:K163">
    <cfRule type="expression" dxfId="2719" priority="1189">
      <formula>$D$163&lt;2</formula>
    </cfRule>
  </conditionalFormatting>
  <conditionalFormatting sqref="I165:K165">
    <cfRule type="expression" dxfId="2718" priority="1204">
      <formula>$D$165&lt;2</formula>
    </cfRule>
  </conditionalFormatting>
  <conditionalFormatting sqref="I166:K166">
    <cfRule type="expression" dxfId="2717" priority="1219">
      <formula>$D$166&lt;2</formula>
    </cfRule>
  </conditionalFormatting>
  <conditionalFormatting sqref="I167:K167">
    <cfRule type="expression" dxfId="2716" priority="1234">
      <formula>$D$167&lt;2</formula>
    </cfRule>
  </conditionalFormatting>
  <conditionalFormatting sqref="I170:K170">
    <cfRule type="expression" dxfId="2715" priority="1249">
      <formula>$D$170&lt;2</formula>
    </cfRule>
  </conditionalFormatting>
  <conditionalFormatting sqref="I172:K172">
    <cfRule type="expression" dxfId="2714" priority="1264">
      <formula>$D$172&lt;2</formula>
    </cfRule>
  </conditionalFormatting>
  <conditionalFormatting sqref="I174:K174">
    <cfRule type="expression" dxfId="2713" priority="1279">
      <formula>$D$174&lt;2</formula>
    </cfRule>
  </conditionalFormatting>
  <conditionalFormatting sqref="I176:K176">
    <cfRule type="expression" dxfId="2712" priority="1294">
      <formula>$D$176&lt;2</formula>
    </cfRule>
  </conditionalFormatting>
  <conditionalFormatting sqref="I177:K177">
    <cfRule type="expression" dxfId="2711" priority="1309">
      <formula>$D$177&lt;2</formula>
    </cfRule>
  </conditionalFormatting>
  <conditionalFormatting sqref="I179:K179">
    <cfRule type="expression" dxfId="2710" priority="1324">
      <formula>$D$179&lt;2</formula>
    </cfRule>
  </conditionalFormatting>
  <conditionalFormatting sqref="I181:K181">
    <cfRule type="expression" dxfId="2709" priority="1339">
      <formula>$D$181&lt;2</formula>
    </cfRule>
  </conditionalFormatting>
  <conditionalFormatting sqref="I183:K183">
    <cfRule type="expression" dxfId="2708" priority="1354">
      <formula>$D$183&lt;2</formula>
    </cfRule>
  </conditionalFormatting>
  <conditionalFormatting sqref="I187:K187">
    <cfRule type="expression" dxfId="2707" priority="1369">
      <formula>$D$187&lt;2</formula>
    </cfRule>
  </conditionalFormatting>
  <conditionalFormatting sqref="I188:K188">
    <cfRule type="expression" dxfId="2706" priority="1384">
      <formula>$D$188&lt;2</formula>
    </cfRule>
  </conditionalFormatting>
  <conditionalFormatting sqref="I190:K190">
    <cfRule type="expression" dxfId="2705" priority="1399">
      <formula>$D$190&lt;2</formula>
    </cfRule>
  </conditionalFormatting>
  <conditionalFormatting sqref="I191:K191">
    <cfRule type="expression" dxfId="2704" priority="1414">
      <formula>$D$191&lt;2</formula>
    </cfRule>
  </conditionalFormatting>
  <conditionalFormatting sqref="I192:K192">
    <cfRule type="expression" dxfId="2703" priority="1429">
      <formula>$D$192&lt;2</formula>
    </cfRule>
  </conditionalFormatting>
  <conditionalFormatting sqref="I195:K195">
    <cfRule type="expression" dxfId="2702" priority="1444">
      <formula>$D$195&lt;2</formula>
    </cfRule>
  </conditionalFormatting>
  <conditionalFormatting sqref="I197:K197">
    <cfRule type="expression" dxfId="2701" priority="1459">
      <formula>$D$197&lt;2</formula>
    </cfRule>
  </conditionalFormatting>
  <conditionalFormatting sqref="I199:K199">
    <cfRule type="expression" dxfId="2700" priority="1474">
      <formula>$D$199&lt;2</formula>
    </cfRule>
  </conditionalFormatting>
  <conditionalFormatting sqref="I201:K201">
    <cfRule type="expression" dxfId="2699" priority="1489">
      <formula>$D$201&lt;2</formula>
    </cfRule>
  </conditionalFormatting>
  <conditionalFormatting sqref="I202:K202">
    <cfRule type="expression" dxfId="2698" priority="1504">
      <formula>$D$202&lt;2</formula>
    </cfRule>
  </conditionalFormatting>
  <conditionalFormatting sqref="I204:K204">
    <cfRule type="expression" dxfId="2697" priority="1519">
      <formula>$D$204&lt;2</formula>
    </cfRule>
  </conditionalFormatting>
  <conditionalFormatting sqref="I206:K206">
    <cfRule type="expression" dxfId="2696" priority="1534">
      <formula>$D$206&lt;2</formula>
    </cfRule>
  </conditionalFormatting>
  <conditionalFormatting sqref="I208:K208">
    <cfRule type="expression" dxfId="2695" priority="1549">
      <formula>$D$208&lt;2</formula>
    </cfRule>
  </conditionalFormatting>
  <conditionalFormatting sqref="I212:K212">
    <cfRule type="expression" dxfId="2694" priority="1564">
      <formula>$D$212&lt;2</formula>
    </cfRule>
  </conditionalFormatting>
  <conditionalFormatting sqref="I213:K213">
    <cfRule type="expression" dxfId="2693" priority="1579">
      <formula>$D$213&lt;2</formula>
    </cfRule>
  </conditionalFormatting>
  <conditionalFormatting sqref="I215:K215">
    <cfRule type="expression" dxfId="2692" priority="1594">
      <formula>$D$215&lt;2</formula>
    </cfRule>
  </conditionalFormatting>
  <conditionalFormatting sqref="I216:K216">
    <cfRule type="expression" dxfId="2691" priority="1609">
      <formula>$D$216&lt;2</formula>
    </cfRule>
  </conditionalFormatting>
  <conditionalFormatting sqref="I217:K217">
    <cfRule type="expression" dxfId="2690" priority="1624">
      <formula>$D$217&lt;2</formula>
    </cfRule>
  </conditionalFormatting>
  <conditionalFormatting sqref="I220:K220">
    <cfRule type="expression" dxfId="2689" priority="1639">
      <formula>$D$220&lt;2</formula>
    </cfRule>
  </conditionalFormatting>
  <conditionalFormatting sqref="I222:K222">
    <cfRule type="expression" dxfId="2688" priority="1654">
      <formula>$D$222&lt;2</formula>
    </cfRule>
  </conditionalFormatting>
  <conditionalFormatting sqref="I224:K224">
    <cfRule type="expression" dxfId="2687" priority="1669">
      <formula>$D$224&lt;2</formula>
    </cfRule>
  </conditionalFormatting>
  <conditionalFormatting sqref="I226:K226">
    <cfRule type="expression" dxfId="2686" priority="1684">
      <formula>$D$226&lt;2</formula>
    </cfRule>
  </conditionalFormatting>
  <conditionalFormatting sqref="I227:K227">
    <cfRule type="expression" dxfId="2685" priority="1699">
      <formula>$D$227&lt;2</formula>
    </cfRule>
  </conditionalFormatting>
  <conditionalFormatting sqref="I229:K229">
    <cfRule type="expression" dxfId="2684" priority="1714">
      <formula>$D$229&lt;2</formula>
    </cfRule>
  </conditionalFormatting>
  <conditionalFormatting sqref="I231:K231">
    <cfRule type="expression" dxfId="2683" priority="1729">
      <formula>$D$231&lt;2</formula>
    </cfRule>
  </conditionalFormatting>
  <conditionalFormatting sqref="I233:K233">
    <cfRule type="expression" dxfId="2682" priority="1744">
      <formula>$D$233&lt;2</formula>
    </cfRule>
  </conditionalFormatting>
  <conditionalFormatting sqref="I237:K237">
    <cfRule type="expression" dxfId="2681" priority="1759">
      <formula>$D$237&lt;2</formula>
    </cfRule>
  </conditionalFormatting>
  <conditionalFormatting sqref="I238:K238">
    <cfRule type="expression" dxfId="2680" priority="1774">
      <formula>$D$238&lt;2</formula>
    </cfRule>
  </conditionalFormatting>
  <conditionalFormatting sqref="I240:K240">
    <cfRule type="expression" dxfId="2679" priority="1789">
      <formula>$D$240&lt;2</formula>
    </cfRule>
  </conditionalFormatting>
  <conditionalFormatting sqref="I241:K241">
    <cfRule type="expression" dxfId="2678" priority="1804">
      <formula>$D$241&lt;2</formula>
    </cfRule>
  </conditionalFormatting>
  <conditionalFormatting sqref="I242:K242">
    <cfRule type="expression" dxfId="2677" priority="1819">
      <formula>$D$242&lt;2</formula>
    </cfRule>
  </conditionalFormatting>
  <conditionalFormatting sqref="I245:K245">
    <cfRule type="expression" dxfId="2676" priority="1834">
      <formula>$D$245&lt;2</formula>
    </cfRule>
  </conditionalFormatting>
  <conditionalFormatting sqref="I247:K247">
    <cfRule type="expression" dxfId="2675" priority="1849">
      <formula>$D$247&lt;2</formula>
    </cfRule>
  </conditionalFormatting>
  <conditionalFormatting sqref="I249:K249">
    <cfRule type="expression" dxfId="2674" priority="1864">
      <formula>$D$249&lt;2</formula>
    </cfRule>
  </conditionalFormatting>
  <conditionalFormatting sqref="I251:K251">
    <cfRule type="expression" dxfId="2673" priority="1879">
      <formula>$D$251&lt;2</formula>
    </cfRule>
  </conditionalFormatting>
  <conditionalFormatting sqref="I252:K252">
    <cfRule type="expression" dxfId="2672" priority="1894">
      <formula>$D$252&lt;2</formula>
    </cfRule>
  </conditionalFormatting>
  <conditionalFormatting sqref="I254:K254">
    <cfRule type="expression" dxfId="2671" priority="1909">
      <formula>$D$254&lt;2</formula>
    </cfRule>
  </conditionalFormatting>
  <conditionalFormatting sqref="I256:K256">
    <cfRule type="expression" dxfId="2670" priority="1924">
      <formula>$D$256&lt;2</formula>
    </cfRule>
  </conditionalFormatting>
  <conditionalFormatting sqref="I258:K258">
    <cfRule type="expression" dxfId="2669" priority="1939">
      <formula>$D$258&lt;2</formula>
    </cfRule>
  </conditionalFormatting>
  <conditionalFormatting sqref="I262:K262">
    <cfRule type="expression" dxfId="2668" priority="1954">
      <formula>$D$262&lt;2</formula>
    </cfRule>
  </conditionalFormatting>
  <conditionalFormatting sqref="I263:K263">
    <cfRule type="expression" dxfId="2667" priority="1969">
      <formula>$D$263&lt;2</formula>
    </cfRule>
  </conditionalFormatting>
  <conditionalFormatting sqref="I265:K265">
    <cfRule type="expression" dxfId="2666" priority="1984">
      <formula>$D$265&lt;2</formula>
    </cfRule>
  </conditionalFormatting>
  <conditionalFormatting sqref="I266:K266">
    <cfRule type="expression" dxfId="2665" priority="1999">
      <formula>$D$266&lt;2</formula>
    </cfRule>
  </conditionalFormatting>
  <conditionalFormatting sqref="I267:K267">
    <cfRule type="expression" dxfId="2664" priority="2014">
      <formula>$D$267&lt;2</formula>
    </cfRule>
  </conditionalFormatting>
  <conditionalFormatting sqref="I270:K270">
    <cfRule type="expression" dxfId="2663" priority="2029">
      <formula>$D$270&lt;2</formula>
    </cfRule>
  </conditionalFormatting>
  <conditionalFormatting sqref="I272:K272">
    <cfRule type="expression" dxfId="2662" priority="2044">
      <formula>$D$272&lt;2</formula>
    </cfRule>
  </conditionalFormatting>
  <conditionalFormatting sqref="I274:K274">
    <cfRule type="expression" dxfId="2661" priority="2059">
      <formula>$D$274&lt;2</formula>
    </cfRule>
  </conditionalFormatting>
  <conditionalFormatting sqref="I276:K276">
    <cfRule type="expression" dxfId="2660" priority="2074">
      <formula>$D$276&lt;2</formula>
    </cfRule>
  </conditionalFormatting>
  <conditionalFormatting sqref="I277:K277">
    <cfRule type="expression" dxfId="2659" priority="2089">
      <formula>$D$277&lt;2</formula>
    </cfRule>
  </conditionalFormatting>
  <conditionalFormatting sqref="I279:K279">
    <cfRule type="expression" dxfId="2658" priority="2104">
      <formula>$D$279&lt;2</formula>
    </cfRule>
  </conditionalFormatting>
  <conditionalFormatting sqref="I281:K281">
    <cfRule type="expression" dxfId="2657" priority="2119">
      <formula>$D$281&lt;2</formula>
    </cfRule>
  </conditionalFormatting>
  <conditionalFormatting sqref="I283:K283">
    <cfRule type="expression" dxfId="2656" priority="2134">
      <formula>$D$283&lt;2</formula>
    </cfRule>
  </conditionalFormatting>
  <conditionalFormatting sqref="I287:K287">
    <cfRule type="expression" dxfId="2655" priority="2149">
      <formula>$D$287&lt;2</formula>
    </cfRule>
  </conditionalFormatting>
  <conditionalFormatting sqref="I288:K288">
    <cfRule type="expression" dxfId="2654" priority="2164">
      <formula>$D$288&lt;2</formula>
    </cfRule>
  </conditionalFormatting>
  <conditionalFormatting sqref="I290:K290">
    <cfRule type="expression" dxfId="2653" priority="2179">
      <formula>$D$290&lt;2</formula>
    </cfRule>
  </conditionalFormatting>
  <conditionalFormatting sqref="I291:K291">
    <cfRule type="expression" dxfId="2652" priority="2194">
      <formula>$D$291&lt;2</formula>
    </cfRule>
  </conditionalFormatting>
  <conditionalFormatting sqref="I292:K292">
    <cfRule type="expression" dxfId="2651" priority="2209">
      <formula>$D$292&lt;2</formula>
    </cfRule>
  </conditionalFormatting>
  <conditionalFormatting sqref="I295:K295">
    <cfRule type="expression" dxfId="2650" priority="2224">
      <formula>$D$295&lt;2</formula>
    </cfRule>
  </conditionalFormatting>
  <conditionalFormatting sqref="I297:K297">
    <cfRule type="expression" dxfId="2649" priority="2239">
      <formula>$D$297&lt;2</formula>
    </cfRule>
  </conditionalFormatting>
  <conditionalFormatting sqref="I299:K299">
    <cfRule type="expression" dxfId="2648" priority="2254">
      <formula>$D$299&lt;2</formula>
    </cfRule>
  </conditionalFormatting>
  <conditionalFormatting sqref="I301:K301">
    <cfRule type="expression" dxfId="2647" priority="2269">
      <formula>$D$301&lt;2</formula>
    </cfRule>
  </conditionalFormatting>
  <conditionalFormatting sqref="I302:K302">
    <cfRule type="expression" dxfId="2646" priority="2284">
      <formula>$D$302&lt;2</formula>
    </cfRule>
  </conditionalFormatting>
  <conditionalFormatting sqref="I304:K304">
    <cfRule type="expression" dxfId="2645" priority="2299">
      <formula>$D$304&lt;2</formula>
    </cfRule>
  </conditionalFormatting>
  <conditionalFormatting sqref="I306:K306">
    <cfRule type="expression" dxfId="2644" priority="2314">
      <formula>$D$306&lt;2</formula>
    </cfRule>
  </conditionalFormatting>
  <conditionalFormatting sqref="I308:K308">
    <cfRule type="expression" dxfId="2643" priority="2329">
      <formula>$D$308&lt;2</formula>
    </cfRule>
  </conditionalFormatting>
  <conditionalFormatting sqref="L12:N12">
    <cfRule type="expression" dxfId="2642" priority="7">
      <formula>$D$12&lt;3</formula>
    </cfRule>
  </conditionalFormatting>
  <conditionalFormatting sqref="L13:N13">
    <cfRule type="expression" dxfId="2641" priority="22">
      <formula>$D$13&lt;3</formula>
    </cfRule>
  </conditionalFormatting>
  <conditionalFormatting sqref="L15:N15">
    <cfRule type="expression" dxfId="2640" priority="37">
      <formula>$D$15&lt;3</formula>
    </cfRule>
  </conditionalFormatting>
  <conditionalFormatting sqref="L16:N16">
    <cfRule type="expression" dxfId="2639" priority="52">
      <formula>$D$16&lt;3</formula>
    </cfRule>
  </conditionalFormatting>
  <conditionalFormatting sqref="L17:N17">
    <cfRule type="expression" dxfId="2638" priority="67">
      <formula>$D$17&lt;3</formula>
    </cfRule>
  </conditionalFormatting>
  <conditionalFormatting sqref="L20:N20">
    <cfRule type="expression" dxfId="2637" priority="82">
      <formula>$D$20&lt;3</formula>
    </cfRule>
  </conditionalFormatting>
  <conditionalFormatting sqref="L22:N22">
    <cfRule type="expression" dxfId="2636" priority="97">
      <formula>$D$22&lt;3</formula>
    </cfRule>
  </conditionalFormatting>
  <conditionalFormatting sqref="L24:N24">
    <cfRule type="expression" dxfId="2635" priority="112">
      <formula>$D$24&lt;3</formula>
    </cfRule>
  </conditionalFormatting>
  <conditionalFormatting sqref="L26:N26">
    <cfRule type="expression" dxfId="2634" priority="127">
      <formula>$D$26&lt;3</formula>
    </cfRule>
  </conditionalFormatting>
  <conditionalFormatting sqref="L27:N27">
    <cfRule type="expression" dxfId="2633" priority="142">
      <formula>$D$27&lt;3</formula>
    </cfRule>
  </conditionalFormatting>
  <conditionalFormatting sqref="L29:N29">
    <cfRule type="expression" dxfId="2632" priority="157">
      <formula>$D$29&lt;3</formula>
    </cfRule>
  </conditionalFormatting>
  <conditionalFormatting sqref="L31:N31">
    <cfRule type="expression" dxfId="2631" priority="172">
      <formula>$D$31&lt;3</formula>
    </cfRule>
  </conditionalFormatting>
  <conditionalFormatting sqref="L33:N33">
    <cfRule type="expression" dxfId="2630" priority="187">
      <formula>$D$33&lt;3</formula>
    </cfRule>
  </conditionalFormatting>
  <conditionalFormatting sqref="L37:N37">
    <cfRule type="expression" dxfId="2629" priority="202">
      <formula>$D$37&lt;3</formula>
    </cfRule>
  </conditionalFormatting>
  <conditionalFormatting sqref="L38:N38">
    <cfRule type="expression" dxfId="2628" priority="217">
      <formula>$D$38&lt;3</formula>
    </cfRule>
  </conditionalFormatting>
  <conditionalFormatting sqref="L40:N40">
    <cfRule type="expression" dxfId="2627" priority="232">
      <formula>$D$40&lt;3</formula>
    </cfRule>
  </conditionalFormatting>
  <conditionalFormatting sqref="L41:N41">
    <cfRule type="expression" dxfId="2626" priority="247">
      <formula>$D$41&lt;3</formula>
    </cfRule>
  </conditionalFormatting>
  <conditionalFormatting sqref="L42:N42">
    <cfRule type="expression" dxfId="2625" priority="262">
      <formula>$D$42&lt;3</formula>
    </cfRule>
  </conditionalFormatting>
  <conditionalFormatting sqref="L45:N45">
    <cfRule type="expression" dxfId="2624" priority="277">
      <formula>$D$45&lt;3</formula>
    </cfRule>
  </conditionalFormatting>
  <conditionalFormatting sqref="L47:N47">
    <cfRule type="expression" dxfId="2623" priority="292">
      <formula>$D$47&lt;3</formula>
    </cfRule>
  </conditionalFormatting>
  <conditionalFormatting sqref="L49:N49">
    <cfRule type="expression" dxfId="2622" priority="307">
      <formula>$D$49&lt;3</formula>
    </cfRule>
  </conditionalFormatting>
  <conditionalFormatting sqref="L51:N51">
    <cfRule type="expression" dxfId="2621" priority="322">
      <formula>$D$51&lt;3</formula>
    </cfRule>
  </conditionalFormatting>
  <conditionalFormatting sqref="L52:N52">
    <cfRule type="expression" dxfId="2620" priority="337">
      <formula>$D$52&lt;3</formula>
    </cfRule>
  </conditionalFormatting>
  <conditionalFormatting sqref="L54:N54">
    <cfRule type="expression" dxfId="2619" priority="352">
      <formula>$D$54&lt;3</formula>
    </cfRule>
  </conditionalFormatting>
  <conditionalFormatting sqref="L56:N56">
    <cfRule type="expression" dxfId="2618" priority="367">
      <formula>$D$56&lt;3</formula>
    </cfRule>
  </conditionalFormatting>
  <conditionalFormatting sqref="L58:N58">
    <cfRule type="expression" dxfId="2617" priority="382">
      <formula>$D$58&lt;3</formula>
    </cfRule>
  </conditionalFormatting>
  <conditionalFormatting sqref="L62:N62">
    <cfRule type="expression" dxfId="2616" priority="397">
      <formula>$D$62&lt;3</formula>
    </cfRule>
  </conditionalFormatting>
  <conditionalFormatting sqref="L63:N63">
    <cfRule type="expression" dxfId="2615" priority="412">
      <formula>$D$63&lt;3</formula>
    </cfRule>
  </conditionalFormatting>
  <conditionalFormatting sqref="L65:N65">
    <cfRule type="expression" dxfId="2614" priority="427">
      <formula>$D$65&lt;3</formula>
    </cfRule>
  </conditionalFormatting>
  <conditionalFormatting sqref="L66:N66">
    <cfRule type="expression" dxfId="2613" priority="442">
      <formula>$D$66&lt;3</formula>
    </cfRule>
  </conditionalFormatting>
  <conditionalFormatting sqref="L67:N67">
    <cfRule type="expression" dxfId="2612" priority="457">
      <formula>$D$67&lt;3</formula>
    </cfRule>
  </conditionalFormatting>
  <conditionalFormatting sqref="L70:N70">
    <cfRule type="expression" dxfId="2611" priority="472">
      <formula>$D$70&lt;3</formula>
    </cfRule>
  </conditionalFormatting>
  <conditionalFormatting sqref="L72:N72">
    <cfRule type="expression" dxfId="2610" priority="487">
      <formula>$D$72&lt;3</formula>
    </cfRule>
  </conditionalFormatting>
  <conditionalFormatting sqref="L74:N74">
    <cfRule type="expression" dxfId="2609" priority="502">
      <formula>$D$74&lt;3</formula>
    </cfRule>
  </conditionalFormatting>
  <conditionalFormatting sqref="L76:N76">
    <cfRule type="expression" dxfId="2608" priority="517">
      <formula>$D$76&lt;3</formula>
    </cfRule>
  </conditionalFormatting>
  <conditionalFormatting sqref="L77:N77">
    <cfRule type="expression" dxfId="2607" priority="532">
      <formula>$D$77&lt;3</formula>
    </cfRule>
  </conditionalFormatting>
  <conditionalFormatting sqref="L79:N79">
    <cfRule type="expression" dxfId="2606" priority="547">
      <formula>$D$79&lt;3</formula>
    </cfRule>
  </conditionalFormatting>
  <conditionalFormatting sqref="L81:N81">
    <cfRule type="expression" dxfId="2605" priority="562">
      <formula>$D$81&lt;3</formula>
    </cfRule>
  </conditionalFormatting>
  <conditionalFormatting sqref="L83:N83">
    <cfRule type="expression" dxfId="2604" priority="577">
      <formula>$D$83&lt;3</formula>
    </cfRule>
  </conditionalFormatting>
  <conditionalFormatting sqref="L87:N87">
    <cfRule type="expression" dxfId="2603" priority="592">
      <formula>$D$87&lt;3</formula>
    </cfRule>
  </conditionalFormatting>
  <conditionalFormatting sqref="L88:N88">
    <cfRule type="expression" dxfId="2602" priority="607">
      <formula>$D$88&lt;3</formula>
    </cfRule>
  </conditionalFormatting>
  <conditionalFormatting sqref="L90:N90">
    <cfRule type="expression" dxfId="2601" priority="622">
      <formula>$D$90&lt;3</formula>
    </cfRule>
  </conditionalFormatting>
  <conditionalFormatting sqref="L91:N91">
    <cfRule type="expression" dxfId="2600" priority="637">
      <formula>$D$91&lt;3</formula>
    </cfRule>
  </conditionalFormatting>
  <conditionalFormatting sqref="L92:N92">
    <cfRule type="expression" dxfId="2599" priority="652">
      <formula>$D$92&lt;3</formula>
    </cfRule>
  </conditionalFormatting>
  <conditionalFormatting sqref="L95:N95">
    <cfRule type="expression" dxfId="2598" priority="667">
      <formula>$D$95&lt;3</formula>
    </cfRule>
  </conditionalFormatting>
  <conditionalFormatting sqref="L97:N97">
    <cfRule type="expression" dxfId="2597" priority="682">
      <formula>$D$97&lt;3</formula>
    </cfRule>
  </conditionalFormatting>
  <conditionalFormatting sqref="L99:N99">
    <cfRule type="expression" dxfId="2596" priority="697">
      <formula>$D$99&lt;3</formula>
    </cfRule>
  </conditionalFormatting>
  <conditionalFormatting sqref="L101:N101">
    <cfRule type="expression" dxfId="2595" priority="712">
      <formula>$D$101&lt;3</formula>
    </cfRule>
  </conditionalFormatting>
  <conditionalFormatting sqref="L102:N102">
    <cfRule type="expression" dxfId="2594" priority="727">
      <formula>$D$102&lt;3</formula>
    </cfRule>
  </conditionalFormatting>
  <conditionalFormatting sqref="L104:N104">
    <cfRule type="expression" dxfId="2593" priority="742">
      <formula>$D$104&lt;3</formula>
    </cfRule>
  </conditionalFormatting>
  <conditionalFormatting sqref="L106:N106">
    <cfRule type="expression" dxfId="2592" priority="757">
      <formula>$D$106&lt;3</formula>
    </cfRule>
  </conditionalFormatting>
  <conditionalFormatting sqref="L108:N108">
    <cfRule type="expression" dxfId="2591" priority="772">
      <formula>$D$108&lt;3</formula>
    </cfRule>
  </conditionalFormatting>
  <conditionalFormatting sqref="L112:N112">
    <cfRule type="expression" dxfId="2590" priority="787">
      <formula>$D$112&lt;3</formula>
    </cfRule>
  </conditionalFormatting>
  <conditionalFormatting sqref="L113:N113">
    <cfRule type="expression" dxfId="2589" priority="802">
      <formula>$D$113&lt;3</formula>
    </cfRule>
  </conditionalFormatting>
  <conditionalFormatting sqref="L115:N115">
    <cfRule type="expression" dxfId="2588" priority="817">
      <formula>$D$115&lt;3</formula>
    </cfRule>
  </conditionalFormatting>
  <conditionalFormatting sqref="L116:N116">
    <cfRule type="expression" dxfId="2587" priority="832">
      <formula>$D$116&lt;3</formula>
    </cfRule>
  </conditionalFormatting>
  <conditionalFormatting sqref="L117:N117">
    <cfRule type="expression" dxfId="2586" priority="847">
      <formula>$D$117&lt;3</formula>
    </cfRule>
  </conditionalFormatting>
  <conditionalFormatting sqref="L120:N120">
    <cfRule type="expression" dxfId="2585" priority="862">
      <formula>$D$120&lt;3</formula>
    </cfRule>
  </conditionalFormatting>
  <conditionalFormatting sqref="L122:N122">
    <cfRule type="expression" dxfId="2584" priority="877">
      <formula>$D$122&lt;3</formula>
    </cfRule>
  </conditionalFormatting>
  <conditionalFormatting sqref="L124:N124">
    <cfRule type="expression" dxfId="2583" priority="892">
      <formula>$D$124&lt;3</formula>
    </cfRule>
  </conditionalFormatting>
  <conditionalFormatting sqref="L126:N126">
    <cfRule type="expression" dxfId="2582" priority="907">
      <formula>$D$126&lt;3</formula>
    </cfRule>
  </conditionalFormatting>
  <conditionalFormatting sqref="L127:N127">
    <cfRule type="expression" dxfId="2581" priority="922">
      <formula>$D$127&lt;3</formula>
    </cfRule>
  </conditionalFormatting>
  <conditionalFormatting sqref="L129:N129">
    <cfRule type="expression" dxfId="2580" priority="937">
      <formula>$D$129&lt;3</formula>
    </cfRule>
  </conditionalFormatting>
  <conditionalFormatting sqref="L131:N131">
    <cfRule type="expression" dxfId="2579" priority="952">
      <formula>$D$131&lt;3</formula>
    </cfRule>
  </conditionalFormatting>
  <conditionalFormatting sqref="L133:N133">
    <cfRule type="expression" dxfId="2578" priority="967">
      <formula>$D$133&lt;3</formula>
    </cfRule>
  </conditionalFormatting>
  <conditionalFormatting sqref="L137:N137">
    <cfRule type="expression" dxfId="2577" priority="982">
      <formula>$D$137&lt;3</formula>
    </cfRule>
  </conditionalFormatting>
  <conditionalFormatting sqref="L138:N138">
    <cfRule type="expression" dxfId="2576" priority="997">
      <formula>$D$138&lt;3</formula>
    </cfRule>
  </conditionalFormatting>
  <conditionalFormatting sqref="L140:N140">
    <cfRule type="expression" dxfId="2575" priority="1012">
      <formula>$D$140&lt;3</formula>
    </cfRule>
  </conditionalFormatting>
  <conditionalFormatting sqref="L141:N141">
    <cfRule type="expression" dxfId="2574" priority="1027">
      <formula>$D$141&lt;3</formula>
    </cfRule>
  </conditionalFormatting>
  <conditionalFormatting sqref="L142:N142">
    <cfRule type="expression" dxfId="2573" priority="1042">
      <formula>$D$142&lt;3</formula>
    </cfRule>
  </conditionalFormatting>
  <conditionalFormatting sqref="L145:N145">
    <cfRule type="expression" dxfId="2572" priority="1057">
      <formula>$D$145&lt;3</formula>
    </cfRule>
  </conditionalFormatting>
  <conditionalFormatting sqref="L147:N147">
    <cfRule type="expression" dxfId="2571" priority="1072">
      <formula>$D$147&lt;3</formula>
    </cfRule>
  </conditionalFormatting>
  <conditionalFormatting sqref="L149:N149">
    <cfRule type="expression" dxfId="2570" priority="1087">
      <formula>$D$149&lt;3</formula>
    </cfRule>
  </conditionalFormatting>
  <conditionalFormatting sqref="L151:N151">
    <cfRule type="expression" dxfId="2569" priority="1102">
      <formula>$D$151&lt;3</formula>
    </cfRule>
  </conditionalFormatting>
  <conditionalFormatting sqref="L152:N152">
    <cfRule type="expression" dxfId="2568" priority="1117">
      <formula>$D$152&lt;3</formula>
    </cfRule>
  </conditionalFormatting>
  <conditionalFormatting sqref="L154:N154">
    <cfRule type="expression" dxfId="2567" priority="1132">
      <formula>$D$154&lt;3</formula>
    </cfRule>
  </conditionalFormatting>
  <conditionalFormatting sqref="L156:N156">
    <cfRule type="expression" dxfId="2566" priority="1147">
      <formula>$D$156&lt;3</formula>
    </cfRule>
  </conditionalFormatting>
  <conditionalFormatting sqref="L158:N158">
    <cfRule type="expression" dxfId="2565" priority="1162">
      <formula>$D$158&lt;3</formula>
    </cfRule>
  </conditionalFormatting>
  <conditionalFormatting sqref="L162:N162">
    <cfRule type="expression" dxfId="2564" priority="1177">
      <formula>$D$162&lt;3</formula>
    </cfRule>
  </conditionalFormatting>
  <conditionalFormatting sqref="L163:N163">
    <cfRule type="expression" dxfId="2563" priority="1192">
      <formula>$D$163&lt;3</formula>
    </cfRule>
  </conditionalFormatting>
  <conditionalFormatting sqref="L165:N165">
    <cfRule type="expression" dxfId="2562" priority="1207">
      <formula>$D$165&lt;3</formula>
    </cfRule>
  </conditionalFormatting>
  <conditionalFormatting sqref="L166:N166">
    <cfRule type="expression" dxfId="2561" priority="1222">
      <formula>$D$166&lt;3</formula>
    </cfRule>
  </conditionalFormatting>
  <conditionalFormatting sqref="L167:N167">
    <cfRule type="expression" dxfId="2560" priority="1237">
      <formula>$D$167&lt;3</formula>
    </cfRule>
  </conditionalFormatting>
  <conditionalFormatting sqref="L170:N170">
    <cfRule type="expression" dxfId="2559" priority="1252">
      <formula>$D$170&lt;3</formula>
    </cfRule>
  </conditionalFormatting>
  <conditionalFormatting sqref="L172:N172">
    <cfRule type="expression" dxfId="2558" priority="1267">
      <formula>$D$172&lt;3</formula>
    </cfRule>
  </conditionalFormatting>
  <conditionalFormatting sqref="L174:N174">
    <cfRule type="expression" dxfId="2557" priority="1282">
      <formula>$D$174&lt;3</formula>
    </cfRule>
  </conditionalFormatting>
  <conditionalFormatting sqref="L176:N176">
    <cfRule type="expression" dxfId="2556" priority="1297">
      <formula>$D$176&lt;3</formula>
    </cfRule>
  </conditionalFormatting>
  <conditionalFormatting sqref="L177:N177">
    <cfRule type="expression" dxfId="2555" priority="1312">
      <formula>$D$177&lt;3</formula>
    </cfRule>
  </conditionalFormatting>
  <conditionalFormatting sqref="L179:N179">
    <cfRule type="expression" dxfId="2554" priority="1327">
      <formula>$D$179&lt;3</formula>
    </cfRule>
  </conditionalFormatting>
  <conditionalFormatting sqref="L181:N181">
    <cfRule type="expression" dxfId="2553" priority="1342">
      <formula>$D$181&lt;3</formula>
    </cfRule>
  </conditionalFormatting>
  <conditionalFormatting sqref="L183:N183">
    <cfRule type="expression" dxfId="2552" priority="1357">
      <formula>$D$183&lt;3</formula>
    </cfRule>
  </conditionalFormatting>
  <conditionalFormatting sqref="L187:N187">
    <cfRule type="expression" dxfId="2551" priority="1372">
      <formula>$D$187&lt;3</formula>
    </cfRule>
  </conditionalFormatting>
  <conditionalFormatting sqref="L188:N188">
    <cfRule type="expression" dxfId="2550" priority="1387">
      <formula>$D$188&lt;3</formula>
    </cfRule>
  </conditionalFormatting>
  <conditionalFormatting sqref="L190:N190">
    <cfRule type="expression" dxfId="2549" priority="1402">
      <formula>$D$190&lt;3</formula>
    </cfRule>
  </conditionalFormatting>
  <conditionalFormatting sqref="L191:N191">
    <cfRule type="expression" dxfId="2548" priority="1417">
      <formula>$D$191&lt;3</formula>
    </cfRule>
  </conditionalFormatting>
  <conditionalFormatting sqref="L192:N192">
    <cfRule type="expression" dxfId="2547" priority="1432">
      <formula>$D$192&lt;3</formula>
    </cfRule>
  </conditionalFormatting>
  <conditionalFormatting sqref="L195:N195">
    <cfRule type="expression" dxfId="2546" priority="1447">
      <formula>$D$195&lt;3</formula>
    </cfRule>
  </conditionalFormatting>
  <conditionalFormatting sqref="L197:N197">
    <cfRule type="expression" dxfId="2545" priority="1462">
      <formula>$D$197&lt;3</formula>
    </cfRule>
  </conditionalFormatting>
  <conditionalFormatting sqref="L199:N199">
    <cfRule type="expression" dxfId="2544" priority="1477">
      <formula>$D$199&lt;3</formula>
    </cfRule>
  </conditionalFormatting>
  <conditionalFormatting sqref="L201:N201">
    <cfRule type="expression" dxfId="2543" priority="1492">
      <formula>$D$201&lt;3</formula>
    </cfRule>
  </conditionalFormatting>
  <conditionalFormatting sqref="L202:N202">
    <cfRule type="expression" dxfId="2542" priority="1507">
      <formula>$D$202&lt;3</formula>
    </cfRule>
  </conditionalFormatting>
  <conditionalFormatting sqref="L204:N204">
    <cfRule type="expression" dxfId="2541" priority="1522">
      <formula>$D$204&lt;3</formula>
    </cfRule>
  </conditionalFormatting>
  <conditionalFormatting sqref="L206:N206">
    <cfRule type="expression" dxfId="2540" priority="1537">
      <formula>$D$206&lt;3</formula>
    </cfRule>
  </conditionalFormatting>
  <conditionalFormatting sqref="L208:N208">
    <cfRule type="expression" dxfId="2539" priority="1552">
      <formula>$D$208&lt;3</formula>
    </cfRule>
  </conditionalFormatting>
  <conditionalFormatting sqref="L212:N212">
    <cfRule type="expression" dxfId="2538" priority="1567">
      <formula>$D$212&lt;3</formula>
    </cfRule>
  </conditionalFormatting>
  <conditionalFormatting sqref="L213:N213">
    <cfRule type="expression" dxfId="2537" priority="1582">
      <formula>$D$213&lt;3</formula>
    </cfRule>
  </conditionalFormatting>
  <conditionalFormatting sqref="L215:N215">
    <cfRule type="expression" dxfId="2536" priority="1597">
      <formula>$D$215&lt;3</formula>
    </cfRule>
  </conditionalFormatting>
  <conditionalFormatting sqref="L216:N216">
    <cfRule type="expression" dxfId="2535" priority="1612">
      <formula>$D$216&lt;3</formula>
    </cfRule>
  </conditionalFormatting>
  <conditionalFormatting sqref="L217:N217">
    <cfRule type="expression" dxfId="2534" priority="1627">
      <formula>$D$217&lt;3</formula>
    </cfRule>
  </conditionalFormatting>
  <conditionalFormatting sqref="L220:N220">
    <cfRule type="expression" dxfId="2533" priority="1642">
      <formula>$D$220&lt;3</formula>
    </cfRule>
  </conditionalFormatting>
  <conditionalFormatting sqref="L222:N222">
    <cfRule type="expression" dxfId="2532" priority="1657">
      <formula>$D$222&lt;3</formula>
    </cfRule>
  </conditionalFormatting>
  <conditionalFormatting sqref="L224:N224">
    <cfRule type="expression" dxfId="2531" priority="1672">
      <formula>$D$224&lt;3</formula>
    </cfRule>
  </conditionalFormatting>
  <conditionalFormatting sqref="L226:N226">
    <cfRule type="expression" dxfId="2530" priority="1687">
      <formula>$D$226&lt;3</formula>
    </cfRule>
  </conditionalFormatting>
  <conditionalFormatting sqref="L227:N227">
    <cfRule type="expression" dxfId="2529" priority="1702">
      <formula>$D$227&lt;3</formula>
    </cfRule>
  </conditionalFormatting>
  <conditionalFormatting sqref="L229:N229">
    <cfRule type="expression" dxfId="2528" priority="1717">
      <formula>$D$229&lt;3</formula>
    </cfRule>
  </conditionalFormatting>
  <conditionalFormatting sqref="L231:N231">
    <cfRule type="expression" dxfId="2527" priority="1732">
      <formula>$D$231&lt;3</formula>
    </cfRule>
  </conditionalFormatting>
  <conditionalFormatting sqref="L233:N233">
    <cfRule type="expression" dxfId="2526" priority="1747">
      <formula>$D$233&lt;3</formula>
    </cfRule>
  </conditionalFormatting>
  <conditionalFormatting sqref="L237:N237">
    <cfRule type="expression" dxfId="2525" priority="1762">
      <formula>$D$237&lt;3</formula>
    </cfRule>
  </conditionalFormatting>
  <conditionalFormatting sqref="L238:N238">
    <cfRule type="expression" dxfId="2524" priority="1777">
      <formula>$D$238&lt;3</formula>
    </cfRule>
  </conditionalFormatting>
  <conditionalFormatting sqref="L240:N240">
    <cfRule type="expression" dxfId="2523" priority="1792">
      <formula>$D$240&lt;3</formula>
    </cfRule>
  </conditionalFormatting>
  <conditionalFormatting sqref="L241:N241">
    <cfRule type="expression" dxfId="2522" priority="1807">
      <formula>$D$241&lt;3</formula>
    </cfRule>
  </conditionalFormatting>
  <conditionalFormatting sqref="L242:N242">
    <cfRule type="expression" dxfId="2521" priority="1822">
      <formula>$D$242&lt;3</formula>
    </cfRule>
  </conditionalFormatting>
  <conditionalFormatting sqref="L245:N245">
    <cfRule type="expression" dxfId="2520" priority="1837">
      <formula>$D$245&lt;3</formula>
    </cfRule>
  </conditionalFormatting>
  <conditionalFormatting sqref="L247:N247">
    <cfRule type="expression" dxfId="2519" priority="1852">
      <formula>$D$247&lt;3</formula>
    </cfRule>
  </conditionalFormatting>
  <conditionalFormatting sqref="L249:N249">
    <cfRule type="expression" dxfId="2518" priority="1867">
      <formula>$D$249&lt;3</formula>
    </cfRule>
  </conditionalFormatting>
  <conditionalFormatting sqref="L251:N251">
    <cfRule type="expression" dxfId="2517" priority="1882">
      <formula>$D$251&lt;3</formula>
    </cfRule>
  </conditionalFormatting>
  <conditionalFormatting sqref="L252:N252">
    <cfRule type="expression" dxfId="2516" priority="1897">
      <formula>$D$252&lt;3</formula>
    </cfRule>
  </conditionalFormatting>
  <conditionalFormatting sqref="L254:N254">
    <cfRule type="expression" dxfId="2515" priority="1912">
      <formula>$D$254&lt;3</formula>
    </cfRule>
  </conditionalFormatting>
  <conditionalFormatting sqref="L256:N256">
    <cfRule type="expression" dxfId="2514" priority="1927">
      <formula>$D$256&lt;3</formula>
    </cfRule>
  </conditionalFormatting>
  <conditionalFormatting sqref="L258:N258">
    <cfRule type="expression" dxfId="2513" priority="1942">
      <formula>$D$258&lt;3</formula>
    </cfRule>
  </conditionalFormatting>
  <conditionalFormatting sqref="L262:N262">
    <cfRule type="expression" dxfId="2512" priority="1957">
      <formula>$D$262&lt;3</formula>
    </cfRule>
  </conditionalFormatting>
  <conditionalFormatting sqref="L263:N263">
    <cfRule type="expression" dxfId="2511" priority="1972">
      <formula>$D$263&lt;3</formula>
    </cfRule>
  </conditionalFormatting>
  <conditionalFormatting sqref="L265:N265">
    <cfRule type="expression" dxfId="2510" priority="1987">
      <formula>$D$265&lt;3</formula>
    </cfRule>
  </conditionalFormatting>
  <conditionalFormatting sqref="L266:N266">
    <cfRule type="expression" dxfId="2509" priority="2002">
      <formula>$D$266&lt;3</formula>
    </cfRule>
  </conditionalFormatting>
  <conditionalFormatting sqref="L267:N267">
    <cfRule type="expression" dxfId="2508" priority="2017">
      <formula>$D$267&lt;3</formula>
    </cfRule>
  </conditionalFormatting>
  <conditionalFormatting sqref="L270:N270">
    <cfRule type="expression" dxfId="2507" priority="2032">
      <formula>$D$270&lt;3</formula>
    </cfRule>
  </conditionalFormatting>
  <conditionalFormatting sqref="L272:N272">
    <cfRule type="expression" dxfId="2506" priority="2047">
      <formula>$D$272&lt;3</formula>
    </cfRule>
  </conditionalFormatting>
  <conditionalFormatting sqref="L274:N274">
    <cfRule type="expression" dxfId="2505" priority="2062">
      <formula>$D$274&lt;3</formula>
    </cfRule>
  </conditionalFormatting>
  <conditionalFormatting sqref="L276:N276">
    <cfRule type="expression" dxfId="2504" priority="2077">
      <formula>$D$276&lt;3</formula>
    </cfRule>
  </conditionalFormatting>
  <conditionalFormatting sqref="L277:N277">
    <cfRule type="expression" dxfId="2503" priority="2092">
      <formula>$D$277&lt;3</formula>
    </cfRule>
  </conditionalFormatting>
  <conditionalFormatting sqref="L279:N279">
    <cfRule type="expression" dxfId="2502" priority="2107">
      <formula>$D$279&lt;3</formula>
    </cfRule>
  </conditionalFormatting>
  <conditionalFormatting sqref="L281:N281">
    <cfRule type="expression" dxfId="2501" priority="2122">
      <formula>$D$281&lt;3</formula>
    </cfRule>
  </conditionalFormatting>
  <conditionalFormatting sqref="L283:N283">
    <cfRule type="expression" dxfId="2500" priority="2137">
      <formula>$D$283&lt;3</formula>
    </cfRule>
  </conditionalFormatting>
  <conditionalFormatting sqref="L287:N287">
    <cfRule type="expression" dxfId="2499" priority="2152">
      <formula>$D$287&lt;3</formula>
    </cfRule>
  </conditionalFormatting>
  <conditionalFormatting sqref="L288:N288">
    <cfRule type="expression" dxfId="2498" priority="2167">
      <formula>$D$288&lt;3</formula>
    </cfRule>
  </conditionalFormatting>
  <conditionalFormatting sqref="L290:N290">
    <cfRule type="expression" dxfId="2497" priority="2182">
      <formula>$D$290&lt;3</formula>
    </cfRule>
  </conditionalFormatting>
  <conditionalFormatting sqref="L291:N291">
    <cfRule type="expression" dxfId="2496" priority="2197">
      <formula>$D$291&lt;3</formula>
    </cfRule>
  </conditionalFormatting>
  <conditionalFormatting sqref="L292:N292">
    <cfRule type="expression" dxfId="2495" priority="2212">
      <formula>$D$292&lt;3</formula>
    </cfRule>
  </conditionalFormatting>
  <conditionalFormatting sqref="L295:N295">
    <cfRule type="expression" dxfId="2494" priority="2227">
      <formula>$D$295&lt;3</formula>
    </cfRule>
  </conditionalFormatting>
  <conditionalFormatting sqref="L297:N297">
    <cfRule type="expression" dxfId="2493" priority="2242">
      <formula>$D$297&lt;3</formula>
    </cfRule>
  </conditionalFormatting>
  <conditionalFormatting sqref="L299:N299">
    <cfRule type="expression" dxfId="2492" priority="2257">
      <formula>$D$299&lt;3</formula>
    </cfRule>
  </conditionalFormatting>
  <conditionalFormatting sqref="L301:N301">
    <cfRule type="expression" dxfId="2491" priority="2272">
      <formula>$D$301&lt;3</formula>
    </cfRule>
  </conditionalFormatting>
  <conditionalFormatting sqref="L302:N302">
    <cfRule type="expression" dxfId="2490" priority="2287">
      <formula>$D$302&lt;3</formula>
    </cfRule>
  </conditionalFormatting>
  <conditionalFormatting sqref="L304:N304">
    <cfRule type="expression" dxfId="2489" priority="2302">
      <formula>$D$304&lt;3</formula>
    </cfRule>
  </conditionalFormatting>
  <conditionalFormatting sqref="L306:N306">
    <cfRule type="expression" dxfId="2488" priority="2317">
      <formula>$D$306&lt;3</formula>
    </cfRule>
  </conditionalFormatting>
  <conditionalFormatting sqref="L308:N308">
    <cfRule type="expression" dxfId="2487" priority="2332">
      <formula>$D$308&lt;3</formula>
    </cfRule>
  </conditionalFormatting>
  <conditionalFormatting sqref="O12:Q12">
    <cfRule type="expression" dxfId="2486" priority="10">
      <formula>$D$12&lt;4</formula>
    </cfRule>
  </conditionalFormatting>
  <conditionalFormatting sqref="O13:Q13">
    <cfRule type="expression" dxfId="2485" priority="25">
      <formula>$D$13&lt;4</formula>
    </cfRule>
  </conditionalFormatting>
  <conditionalFormatting sqref="O15:Q15">
    <cfRule type="expression" dxfId="2484" priority="40">
      <formula>$D$15&lt;4</formula>
    </cfRule>
  </conditionalFormatting>
  <conditionalFormatting sqref="O16:Q16">
    <cfRule type="expression" dxfId="2483" priority="55">
      <formula>$D$16&lt;4</formula>
    </cfRule>
  </conditionalFormatting>
  <conditionalFormatting sqref="O17:Q17">
    <cfRule type="expression" dxfId="2482" priority="70">
      <formula>$D$17&lt;4</formula>
    </cfRule>
  </conditionalFormatting>
  <conditionalFormatting sqref="O20:Q20">
    <cfRule type="expression" dxfId="2481" priority="85">
      <formula>$D$20&lt;4</formula>
    </cfRule>
  </conditionalFormatting>
  <conditionalFormatting sqref="O22:Q22">
    <cfRule type="expression" dxfId="2480" priority="100">
      <formula>$D$22&lt;4</formula>
    </cfRule>
  </conditionalFormatting>
  <conditionalFormatting sqref="O24:Q24">
    <cfRule type="expression" dxfId="2479" priority="115">
      <formula>$D$24&lt;4</formula>
    </cfRule>
  </conditionalFormatting>
  <conditionalFormatting sqref="O26:Q26">
    <cfRule type="expression" dxfId="2478" priority="130">
      <formula>$D$26&lt;4</formula>
    </cfRule>
  </conditionalFormatting>
  <conditionalFormatting sqref="O27:Q27">
    <cfRule type="expression" dxfId="2477" priority="145">
      <formula>$D$27&lt;4</formula>
    </cfRule>
  </conditionalFormatting>
  <conditionalFormatting sqref="O29:Q29">
    <cfRule type="expression" dxfId="2476" priority="160">
      <formula>$D$29&lt;4</formula>
    </cfRule>
  </conditionalFormatting>
  <conditionalFormatting sqref="O31:Q31">
    <cfRule type="expression" dxfId="2475" priority="175">
      <formula>$D$31&lt;4</formula>
    </cfRule>
  </conditionalFormatting>
  <conditionalFormatting sqref="O33:Q33">
    <cfRule type="expression" dxfId="2474" priority="190">
      <formula>$D$33&lt;4</formula>
    </cfRule>
  </conditionalFormatting>
  <conditionalFormatting sqref="O37:Q37">
    <cfRule type="expression" dxfId="2473" priority="205">
      <formula>$D$37&lt;4</formula>
    </cfRule>
  </conditionalFormatting>
  <conditionalFormatting sqref="O38:Q38">
    <cfRule type="expression" dxfId="2472" priority="220">
      <formula>$D$38&lt;4</formula>
    </cfRule>
  </conditionalFormatting>
  <conditionalFormatting sqref="O40:Q40">
    <cfRule type="expression" dxfId="2471" priority="235">
      <formula>$D$40&lt;4</formula>
    </cfRule>
  </conditionalFormatting>
  <conditionalFormatting sqref="O41:Q41">
    <cfRule type="expression" dxfId="2470" priority="250">
      <formula>$D$41&lt;4</formula>
    </cfRule>
  </conditionalFormatting>
  <conditionalFormatting sqref="O42:Q42">
    <cfRule type="expression" dxfId="2469" priority="265">
      <formula>$D$42&lt;4</formula>
    </cfRule>
  </conditionalFormatting>
  <conditionalFormatting sqref="O45:Q45">
    <cfRule type="expression" dxfId="2468" priority="280">
      <formula>$D$45&lt;4</formula>
    </cfRule>
  </conditionalFormatting>
  <conditionalFormatting sqref="O47:Q47">
    <cfRule type="expression" dxfId="2467" priority="295">
      <formula>$D$47&lt;4</formula>
    </cfRule>
  </conditionalFormatting>
  <conditionalFormatting sqref="O49:Q49">
    <cfRule type="expression" dxfId="2466" priority="310">
      <formula>$D$49&lt;4</formula>
    </cfRule>
  </conditionalFormatting>
  <conditionalFormatting sqref="O51:Q51">
    <cfRule type="expression" dxfId="2465" priority="325">
      <formula>$D$51&lt;4</formula>
    </cfRule>
  </conditionalFormatting>
  <conditionalFormatting sqref="O52:Q52">
    <cfRule type="expression" dxfId="2464" priority="340">
      <formula>$D$52&lt;4</formula>
    </cfRule>
  </conditionalFormatting>
  <conditionalFormatting sqref="O54:Q54">
    <cfRule type="expression" dxfId="2463" priority="355">
      <formula>$D$54&lt;4</formula>
    </cfRule>
  </conditionalFormatting>
  <conditionalFormatting sqref="O56:Q56">
    <cfRule type="expression" dxfId="2462" priority="370">
      <formula>$D$56&lt;4</formula>
    </cfRule>
  </conditionalFormatting>
  <conditionalFormatting sqref="O58:Q58">
    <cfRule type="expression" dxfId="2461" priority="385">
      <formula>$D$58&lt;4</formula>
    </cfRule>
  </conditionalFormatting>
  <conditionalFormatting sqref="O62:Q62">
    <cfRule type="expression" dxfId="2460" priority="400">
      <formula>$D$62&lt;4</formula>
    </cfRule>
  </conditionalFormatting>
  <conditionalFormatting sqref="O63:Q63">
    <cfRule type="expression" dxfId="2459" priority="415">
      <formula>$D$63&lt;4</formula>
    </cfRule>
  </conditionalFormatting>
  <conditionalFormatting sqref="O65:Q65">
    <cfRule type="expression" dxfId="2458" priority="430">
      <formula>$D$65&lt;4</formula>
    </cfRule>
  </conditionalFormatting>
  <conditionalFormatting sqref="O66:Q66">
    <cfRule type="expression" dxfId="2457" priority="445">
      <formula>$D$66&lt;4</formula>
    </cfRule>
  </conditionalFormatting>
  <conditionalFormatting sqref="O67:Q67">
    <cfRule type="expression" dxfId="2456" priority="460">
      <formula>$D$67&lt;4</formula>
    </cfRule>
  </conditionalFormatting>
  <conditionalFormatting sqref="O70:Q70">
    <cfRule type="expression" dxfId="2455" priority="475">
      <formula>$D$70&lt;4</formula>
    </cfRule>
  </conditionalFormatting>
  <conditionalFormatting sqref="O72:Q72">
    <cfRule type="expression" dxfId="2454" priority="490">
      <formula>$D$72&lt;4</formula>
    </cfRule>
  </conditionalFormatting>
  <conditionalFormatting sqref="O74:Q74">
    <cfRule type="expression" dxfId="2453" priority="505">
      <formula>$D$74&lt;4</formula>
    </cfRule>
  </conditionalFormatting>
  <conditionalFormatting sqref="O76:Q76">
    <cfRule type="expression" dxfId="2452" priority="520">
      <formula>$D$76&lt;4</formula>
    </cfRule>
  </conditionalFormatting>
  <conditionalFormatting sqref="O77:Q77">
    <cfRule type="expression" dxfId="2451" priority="535">
      <formula>$D$77&lt;4</formula>
    </cfRule>
  </conditionalFormatting>
  <conditionalFormatting sqref="O79:Q79">
    <cfRule type="expression" dxfId="2450" priority="550">
      <formula>$D$79&lt;4</formula>
    </cfRule>
  </conditionalFormatting>
  <conditionalFormatting sqref="O81:Q81">
    <cfRule type="expression" dxfId="2449" priority="565">
      <formula>$D$81&lt;4</formula>
    </cfRule>
  </conditionalFormatting>
  <conditionalFormatting sqref="O83:Q83">
    <cfRule type="expression" dxfId="2448" priority="580">
      <formula>$D$83&lt;4</formula>
    </cfRule>
  </conditionalFormatting>
  <conditionalFormatting sqref="O87:Q87">
    <cfRule type="expression" dxfId="2447" priority="595">
      <formula>$D$87&lt;4</formula>
    </cfRule>
  </conditionalFormatting>
  <conditionalFormatting sqref="O88:Q88">
    <cfRule type="expression" dxfId="2446" priority="610">
      <formula>$D$88&lt;4</formula>
    </cfRule>
  </conditionalFormatting>
  <conditionalFormatting sqref="O90:Q90">
    <cfRule type="expression" dxfId="2445" priority="625">
      <formula>$D$90&lt;4</formula>
    </cfRule>
  </conditionalFormatting>
  <conditionalFormatting sqref="O91:Q91">
    <cfRule type="expression" dxfId="2444" priority="640">
      <formula>$D$91&lt;4</formula>
    </cfRule>
  </conditionalFormatting>
  <conditionalFormatting sqref="O92:Q92">
    <cfRule type="expression" dxfId="2443" priority="655">
      <formula>$D$92&lt;4</formula>
    </cfRule>
  </conditionalFormatting>
  <conditionalFormatting sqref="O95:Q95">
    <cfRule type="expression" dxfId="2442" priority="670">
      <formula>$D$95&lt;4</formula>
    </cfRule>
  </conditionalFormatting>
  <conditionalFormatting sqref="O97:Q97">
    <cfRule type="expression" dxfId="2441" priority="685">
      <formula>$D$97&lt;4</formula>
    </cfRule>
  </conditionalFormatting>
  <conditionalFormatting sqref="O99:Q99">
    <cfRule type="expression" dxfId="2440" priority="700">
      <formula>$D$99&lt;4</formula>
    </cfRule>
  </conditionalFormatting>
  <conditionalFormatting sqref="O101:Q101">
    <cfRule type="expression" dxfId="2439" priority="715">
      <formula>$D$101&lt;4</formula>
    </cfRule>
  </conditionalFormatting>
  <conditionalFormatting sqref="O102:Q102">
    <cfRule type="expression" dxfId="2438" priority="730">
      <formula>$D$102&lt;4</formula>
    </cfRule>
  </conditionalFormatting>
  <conditionalFormatting sqref="O104:Q104">
    <cfRule type="expression" dxfId="2437" priority="745">
      <formula>$D$104&lt;4</formula>
    </cfRule>
  </conditionalFormatting>
  <conditionalFormatting sqref="O106:Q106">
    <cfRule type="expression" dxfId="2436" priority="760">
      <formula>$D$106&lt;4</formula>
    </cfRule>
  </conditionalFormatting>
  <conditionalFormatting sqref="O108:Q108">
    <cfRule type="expression" dxfId="2435" priority="775">
      <formula>$D$108&lt;4</formula>
    </cfRule>
  </conditionalFormatting>
  <conditionalFormatting sqref="O112:Q112">
    <cfRule type="expression" dxfId="2434" priority="790">
      <formula>$D$112&lt;4</formula>
    </cfRule>
  </conditionalFormatting>
  <conditionalFormatting sqref="O113:Q113">
    <cfRule type="expression" dxfId="2433" priority="805">
      <formula>$D$113&lt;4</formula>
    </cfRule>
  </conditionalFormatting>
  <conditionalFormatting sqref="O115:Q115">
    <cfRule type="expression" dxfId="2432" priority="820">
      <formula>$D$115&lt;4</formula>
    </cfRule>
  </conditionalFormatting>
  <conditionalFormatting sqref="O116:Q116">
    <cfRule type="expression" dxfId="2431" priority="835">
      <formula>$D$116&lt;4</formula>
    </cfRule>
  </conditionalFormatting>
  <conditionalFormatting sqref="O117:Q117">
    <cfRule type="expression" dxfId="2430" priority="850">
      <formula>$D$117&lt;4</formula>
    </cfRule>
  </conditionalFormatting>
  <conditionalFormatting sqref="O120:Q120">
    <cfRule type="expression" dxfId="2429" priority="865">
      <formula>$D$120&lt;4</formula>
    </cfRule>
  </conditionalFormatting>
  <conditionalFormatting sqref="O122:Q122">
    <cfRule type="expression" dxfId="2428" priority="880">
      <formula>$D$122&lt;4</formula>
    </cfRule>
  </conditionalFormatting>
  <conditionalFormatting sqref="O124:Q124">
    <cfRule type="expression" dxfId="2427" priority="895">
      <formula>$D$124&lt;4</formula>
    </cfRule>
  </conditionalFormatting>
  <conditionalFormatting sqref="O126:Q126">
    <cfRule type="expression" dxfId="2426" priority="910">
      <formula>$D$126&lt;4</formula>
    </cfRule>
  </conditionalFormatting>
  <conditionalFormatting sqref="O127:Q127">
    <cfRule type="expression" dxfId="2425" priority="925">
      <formula>$D$127&lt;4</formula>
    </cfRule>
  </conditionalFormatting>
  <conditionalFormatting sqref="O129:Q129">
    <cfRule type="expression" dxfId="2424" priority="940">
      <formula>$D$129&lt;4</formula>
    </cfRule>
  </conditionalFormatting>
  <conditionalFormatting sqref="O131:Q131">
    <cfRule type="expression" dxfId="2423" priority="955">
      <formula>$D$131&lt;4</formula>
    </cfRule>
  </conditionalFormatting>
  <conditionalFormatting sqref="O133:Q133">
    <cfRule type="expression" dxfId="2422" priority="970">
      <formula>$D$133&lt;4</formula>
    </cfRule>
  </conditionalFormatting>
  <conditionalFormatting sqref="O137:Q137">
    <cfRule type="expression" dxfId="2421" priority="985">
      <formula>$D$137&lt;4</formula>
    </cfRule>
  </conditionalFormatting>
  <conditionalFormatting sqref="O138:Q138">
    <cfRule type="expression" dxfId="2420" priority="1000">
      <formula>$D$138&lt;4</formula>
    </cfRule>
  </conditionalFormatting>
  <conditionalFormatting sqref="O140:Q140">
    <cfRule type="expression" dxfId="2419" priority="1015">
      <formula>$D$140&lt;4</formula>
    </cfRule>
  </conditionalFormatting>
  <conditionalFormatting sqref="O141:Q141">
    <cfRule type="expression" dxfId="2418" priority="1030">
      <formula>$D$141&lt;4</formula>
    </cfRule>
  </conditionalFormatting>
  <conditionalFormatting sqref="O142:Q142">
    <cfRule type="expression" dxfId="2417" priority="1045">
      <formula>$D$142&lt;4</formula>
    </cfRule>
  </conditionalFormatting>
  <conditionalFormatting sqref="O145:Q145">
    <cfRule type="expression" dxfId="2416" priority="1060">
      <formula>$D$145&lt;4</formula>
    </cfRule>
  </conditionalFormatting>
  <conditionalFormatting sqref="O147:Q147">
    <cfRule type="expression" dxfId="2415" priority="1075">
      <formula>$D$147&lt;4</formula>
    </cfRule>
  </conditionalFormatting>
  <conditionalFormatting sqref="O149:Q149">
    <cfRule type="expression" dxfId="2414" priority="1090">
      <formula>$D$149&lt;4</formula>
    </cfRule>
  </conditionalFormatting>
  <conditionalFormatting sqref="O151:Q151">
    <cfRule type="expression" dxfId="2413" priority="1105">
      <formula>$D$151&lt;4</formula>
    </cfRule>
  </conditionalFormatting>
  <conditionalFormatting sqref="O152:Q152">
    <cfRule type="expression" dxfId="2412" priority="1120">
      <formula>$D$152&lt;4</formula>
    </cfRule>
  </conditionalFormatting>
  <conditionalFormatting sqref="O154:Q154">
    <cfRule type="expression" dxfId="2411" priority="1135">
      <formula>$D$154&lt;4</formula>
    </cfRule>
  </conditionalFormatting>
  <conditionalFormatting sqref="O156:Q156">
    <cfRule type="expression" dxfId="2410" priority="1150">
      <formula>$D$156&lt;4</formula>
    </cfRule>
  </conditionalFormatting>
  <conditionalFormatting sqref="O158:Q158">
    <cfRule type="expression" dxfId="2409" priority="1165">
      <formula>$D$158&lt;4</formula>
    </cfRule>
  </conditionalFormatting>
  <conditionalFormatting sqref="O162:Q162">
    <cfRule type="expression" dxfId="2408" priority="1180">
      <formula>$D$162&lt;4</formula>
    </cfRule>
  </conditionalFormatting>
  <conditionalFormatting sqref="O163:Q163">
    <cfRule type="expression" dxfId="2407" priority="1195">
      <formula>$D$163&lt;4</formula>
    </cfRule>
  </conditionalFormatting>
  <conditionalFormatting sqref="O165:Q165">
    <cfRule type="expression" dxfId="2406" priority="1210">
      <formula>$D$165&lt;4</formula>
    </cfRule>
  </conditionalFormatting>
  <conditionalFormatting sqref="O166:Q166">
    <cfRule type="expression" dxfId="2405" priority="1225">
      <formula>$D$166&lt;4</formula>
    </cfRule>
  </conditionalFormatting>
  <conditionalFormatting sqref="O167:Q167">
    <cfRule type="expression" dxfId="2404" priority="1240">
      <formula>$D$167&lt;4</formula>
    </cfRule>
  </conditionalFormatting>
  <conditionalFormatting sqref="O170:Q170">
    <cfRule type="expression" dxfId="2403" priority="1255">
      <formula>$D$170&lt;4</formula>
    </cfRule>
  </conditionalFormatting>
  <conditionalFormatting sqref="O172:Q172">
    <cfRule type="expression" dxfId="2402" priority="1270">
      <formula>$D$172&lt;4</formula>
    </cfRule>
  </conditionalFormatting>
  <conditionalFormatting sqref="O174:Q174">
    <cfRule type="expression" dxfId="2401" priority="1285">
      <formula>$D$174&lt;4</formula>
    </cfRule>
  </conditionalFormatting>
  <conditionalFormatting sqref="O176:Q176">
    <cfRule type="expression" dxfId="2400" priority="1300">
      <formula>$D$176&lt;4</formula>
    </cfRule>
  </conditionalFormatting>
  <conditionalFormatting sqref="O177:Q177">
    <cfRule type="expression" dxfId="2399" priority="1315">
      <formula>$D$177&lt;4</formula>
    </cfRule>
  </conditionalFormatting>
  <conditionalFormatting sqref="O179:Q179">
    <cfRule type="expression" dxfId="2398" priority="1330">
      <formula>$D$179&lt;4</formula>
    </cfRule>
  </conditionalFormatting>
  <conditionalFormatting sqref="O181:Q181">
    <cfRule type="expression" dxfId="2397" priority="1345">
      <formula>$D$181&lt;4</formula>
    </cfRule>
  </conditionalFormatting>
  <conditionalFormatting sqref="O183:Q183">
    <cfRule type="expression" dxfId="2396" priority="1360">
      <formula>$D$183&lt;4</formula>
    </cfRule>
  </conditionalFormatting>
  <conditionalFormatting sqref="O187:Q187">
    <cfRule type="expression" dxfId="2395" priority="1375">
      <formula>$D$187&lt;4</formula>
    </cfRule>
  </conditionalFormatting>
  <conditionalFormatting sqref="O188:Q188">
    <cfRule type="expression" dxfId="2394" priority="1390">
      <formula>$D$188&lt;4</formula>
    </cfRule>
  </conditionalFormatting>
  <conditionalFormatting sqref="O190:Q190">
    <cfRule type="expression" dxfId="2393" priority="1405">
      <formula>$D$190&lt;4</formula>
    </cfRule>
  </conditionalFormatting>
  <conditionalFormatting sqref="O191:Q191">
    <cfRule type="expression" dxfId="2392" priority="1420">
      <formula>$D$191&lt;4</formula>
    </cfRule>
  </conditionalFormatting>
  <conditionalFormatting sqref="O192:Q192">
    <cfRule type="expression" dxfId="2391" priority="1435">
      <formula>$D$192&lt;4</formula>
    </cfRule>
  </conditionalFormatting>
  <conditionalFormatting sqref="O195:Q195">
    <cfRule type="expression" dxfId="2390" priority="1450">
      <formula>$D$195&lt;4</formula>
    </cfRule>
  </conditionalFormatting>
  <conditionalFormatting sqref="O197:Q197">
    <cfRule type="expression" dxfId="2389" priority="1465">
      <formula>$D$197&lt;4</formula>
    </cfRule>
  </conditionalFormatting>
  <conditionalFormatting sqref="O199:Q199">
    <cfRule type="expression" dxfId="2388" priority="1480">
      <formula>$D$199&lt;4</formula>
    </cfRule>
  </conditionalFormatting>
  <conditionalFormatting sqref="O201:Q201">
    <cfRule type="expression" dxfId="2387" priority="1495">
      <formula>$D$201&lt;4</formula>
    </cfRule>
  </conditionalFormatting>
  <conditionalFormatting sqref="O202:Q202">
    <cfRule type="expression" dxfId="2386" priority="1510">
      <formula>$D$202&lt;4</formula>
    </cfRule>
  </conditionalFormatting>
  <conditionalFormatting sqref="O204:Q204">
    <cfRule type="expression" dxfId="2385" priority="1525">
      <formula>$D$204&lt;4</formula>
    </cfRule>
  </conditionalFormatting>
  <conditionalFormatting sqref="O206:Q206">
    <cfRule type="expression" dxfId="2384" priority="1540">
      <formula>$D$206&lt;4</formula>
    </cfRule>
  </conditionalFormatting>
  <conditionalFormatting sqref="O208:Q208">
    <cfRule type="expression" dxfId="2383" priority="1555">
      <formula>$D$208&lt;4</formula>
    </cfRule>
  </conditionalFormatting>
  <conditionalFormatting sqref="O212:Q212">
    <cfRule type="expression" dxfId="2382" priority="1570">
      <formula>$D$212&lt;4</formula>
    </cfRule>
  </conditionalFormatting>
  <conditionalFormatting sqref="O213:Q213">
    <cfRule type="expression" dxfId="2381" priority="1585">
      <formula>$D$213&lt;4</formula>
    </cfRule>
  </conditionalFormatting>
  <conditionalFormatting sqref="O215:Q215">
    <cfRule type="expression" dxfId="2380" priority="1600">
      <formula>$D$215&lt;4</formula>
    </cfRule>
  </conditionalFormatting>
  <conditionalFormatting sqref="O216:Q216">
    <cfRule type="expression" dxfId="2379" priority="1615">
      <formula>$D$216&lt;4</formula>
    </cfRule>
  </conditionalFormatting>
  <conditionalFormatting sqref="O217:Q217">
    <cfRule type="expression" dxfId="2378" priority="1630">
      <formula>$D$217&lt;4</formula>
    </cfRule>
  </conditionalFormatting>
  <conditionalFormatting sqref="O220:Q220">
    <cfRule type="expression" dxfId="2377" priority="1645">
      <formula>$D$220&lt;4</formula>
    </cfRule>
  </conditionalFormatting>
  <conditionalFormatting sqref="O222:Q222">
    <cfRule type="expression" dxfId="2376" priority="1660">
      <formula>$D$222&lt;4</formula>
    </cfRule>
  </conditionalFormatting>
  <conditionalFormatting sqref="O224:Q224">
    <cfRule type="expression" dxfId="2375" priority="1675">
      <formula>$D$224&lt;4</formula>
    </cfRule>
  </conditionalFormatting>
  <conditionalFormatting sqref="O226:Q226">
    <cfRule type="expression" dxfId="2374" priority="1690">
      <formula>$D$226&lt;4</formula>
    </cfRule>
  </conditionalFormatting>
  <conditionalFormatting sqref="O227:Q227">
    <cfRule type="expression" dxfId="2373" priority="1705">
      <formula>$D$227&lt;4</formula>
    </cfRule>
  </conditionalFormatting>
  <conditionalFormatting sqref="O229:Q229">
    <cfRule type="expression" dxfId="2372" priority="1720">
      <formula>$D$229&lt;4</formula>
    </cfRule>
  </conditionalFormatting>
  <conditionalFormatting sqref="O231:Q231">
    <cfRule type="expression" dxfId="2371" priority="1735">
      <formula>$D$231&lt;4</formula>
    </cfRule>
  </conditionalFormatting>
  <conditionalFormatting sqref="O233:Q233">
    <cfRule type="expression" dxfId="2370" priority="1750">
      <formula>$D$233&lt;4</formula>
    </cfRule>
  </conditionalFormatting>
  <conditionalFormatting sqref="O237:Q237">
    <cfRule type="expression" dxfId="2369" priority="1765">
      <formula>$D$237&lt;4</formula>
    </cfRule>
  </conditionalFormatting>
  <conditionalFormatting sqref="O238:Q238">
    <cfRule type="expression" dxfId="2368" priority="1780">
      <formula>$D$238&lt;4</formula>
    </cfRule>
  </conditionalFormatting>
  <conditionalFormatting sqref="O240:Q240">
    <cfRule type="expression" dxfId="2367" priority="1795">
      <formula>$D$240&lt;4</formula>
    </cfRule>
  </conditionalFormatting>
  <conditionalFormatting sqref="O241:Q241">
    <cfRule type="expression" dxfId="2366" priority="1810">
      <formula>$D$241&lt;4</formula>
    </cfRule>
  </conditionalFormatting>
  <conditionalFormatting sqref="O242:Q242">
    <cfRule type="expression" dxfId="2365" priority="1825">
      <formula>$D$242&lt;4</formula>
    </cfRule>
  </conditionalFormatting>
  <conditionalFormatting sqref="O245:Q245">
    <cfRule type="expression" dxfId="2364" priority="1840">
      <formula>$D$245&lt;4</formula>
    </cfRule>
  </conditionalFormatting>
  <conditionalFormatting sqref="O247:Q247">
    <cfRule type="expression" dxfId="2363" priority="1855">
      <formula>$D$247&lt;4</formula>
    </cfRule>
  </conditionalFormatting>
  <conditionalFormatting sqref="O249:Q249">
    <cfRule type="expression" dxfId="2362" priority="1870">
      <formula>$D$249&lt;4</formula>
    </cfRule>
  </conditionalFormatting>
  <conditionalFormatting sqref="O251:Q251">
    <cfRule type="expression" dxfId="2361" priority="1885">
      <formula>$D$251&lt;4</formula>
    </cfRule>
  </conditionalFormatting>
  <conditionalFormatting sqref="O252:Q252">
    <cfRule type="expression" dxfId="2360" priority="1900">
      <formula>$D$252&lt;4</formula>
    </cfRule>
  </conditionalFormatting>
  <conditionalFormatting sqref="O254:Q254">
    <cfRule type="expression" dxfId="2359" priority="1915">
      <formula>$D$254&lt;4</formula>
    </cfRule>
  </conditionalFormatting>
  <conditionalFormatting sqref="O256:Q256">
    <cfRule type="expression" dxfId="2358" priority="1930">
      <formula>$D$256&lt;4</formula>
    </cfRule>
  </conditionalFormatting>
  <conditionalFormatting sqref="O258:Q258">
    <cfRule type="expression" dxfId="2357" priority="1945">
      <formula>$D$258&lt;4</formula>
    </cfRule>
  </conditionalFormatting>
  <conditionalFormatting sqref="O262:Q262">
    <cfRule type="expression" dxfId="2356" priority="1960">
      <formula>$D$262&lt;4</formula>
    </cfRule>
  </conditionalFormatting>
  <conditionalFormatting sqref="O263:Q263">
    <cfRule type="expression" dxfId="2355" priority="1975">
      <formula>$D$263&lt;4</formula>
    </cfRule>
  </conditionalFormatting>
  <conditionalFormatting sqref="O265:Q265">
    <cfRule type="expression" dxfId="2354" priority="1990">
      <formula>$D$265&lt;4</formula>
    </cfRule>
  </conditionalFormatting>
  <conditionalFormatting sqref="O266:Q266">
    <cfRule type="expression" dxfId="2353" priority="2005">
      <formula>$D$266&lt;4</formula>
    </cfRule>
  </conditionalFormatting>
  <conditionalFormatting sqref="O267:Q267">
    <cfRule type="expression" dxfId="2352" priority="2020">
      <formula>$D$267&lt;4</formula>
    </cfRule>
  </conditionalFormatting>
  <conditionalFormatting sqref="O270:Q270">
    <cfRule type="expression" dxfId="2351" priority="2035">
      <formula>$D$270&lt;4</formula>
    </cfRule>
  </conditionalFormatting>
  <conditionalFormatting sqref="O272:Q272">
    <cfRule type="expression" dxfId="2350" priority="2050">
      <formula>$D$272&lt;4</formula>
    </cfRule>
  </conditionalFormatting>
  <conditionalFormatting sqref="O274:Q274">
    <cfRule type="expression" dxfId="2349" priority="2065">
      <formula>$D$274&lt;4</formula>
    </cfRule>
  </conditionalFormatting>
  <conditionalFormatting sqref="O276:Q276">
    <cfRule type="expression" dxfId="2348" priority="2080">
      <formula>$D$276&lt;4</formula>
    </cfRule>
  </conditionalFormatting>
  <conditionalFormatting sqref="O277:Q277">
    <cfRule type="expression" dxfId="2347" priority="2095">
      <formula>$D$277&lt;4</formula>
    </cfRule>
  </conditionalFormatting>
  <conditionalFormatting sqref="O279:Q279">
    <cfRule type="expression" dxfId="2346" priority="2110">
      <formula>$D$279&lt;4</formula>
    </cfRule>
  </conditionalFormatting>
  <conditionalFormatting sqref="O281:Q281">
    <cfRule type="expression" dxfId="2345" priority="2125">
      <formula>$D$281&lt;4</formula>
    </cfRule>
  </conditionalFormatting>
  <conditionalFormatting sqref="O283:Q283">
    <cfRule type="expression" dxfId="2344" priority="2140">
      <formula>$D$283&lt;4</formula>
    </cfRule>
  </conditionalFormatting>
  <conditionalFormatting sqref="O287:Q287">
    <cfRule type="expression" dxfId="2343" priority="2155">
      <formula>$D$287&lt;4</formula>
    </cfRule>
  </conditionalFormatting>
  <conditionalFormatting sqref="O288:Q288">
    <cfRule type="expression" dxfId="2342" priority="2170">
      <formula>$D$288&lt;4</formula>
    </cfRule>
  </conditionalFormatting>
  <conditionalFormatting sqref="O290:Q290">
    <cfRule type="expression" dxfId="2341" priority="2185">
      <formula>$D$290&lt;4</formula>
    </cfRule>
  </conditionalFormatting>
  <conditionalFormatting sqref="O291:Q291">
    <cfRule type="expression" dxfId="2340" priority="2200">
      <formula>$D$291&lt;4</formula>
    </cfRule>
  </conditionalFormatting>
  <conditionalFormatting sqref="O292:Q292">
    <cfRule type="expression" dxfId="2339" priority="2215">
      <formula>$D$292&lt;4</formula>
    </cfRule>
  </conditionalFormatting>
  <conditionalFormatting sqref="O295:Q295">
    <cfRule type="expression" dxfId="2338" priority="2230">
      <formula>$D$295&lt;4</formula>
    </cfRule>
  </conditionalFormatting>
  <conditionalFormatting sqref="O297:Q297">
    <cfRule type="expression" dxfId="2337" priority="2245">
      <formula>$D$297&lt;4</formula>
    </cfRule>
  </conditionalFormatting>
  <conditionalFormatting sqref="O299:Q299">
    <cfRule type="expression" dxfId="2336" priority="2260">
      <formula>$D$299&lt;4</formula>
    </cfRule>
  </conditionalFormatting>
  <conditionalFormatting sqref="O301:Q301">
    <cfRule type="expression" dxfId="2335" priority="2275">
      <formula>$D$301&lt;4</formula>
    </cfRule>
  </conditionalFormatting>
  <conditionalFormatting sqref="O302:Q302">
    <cfRule type="expression" dxfId="2334" priority="2290">
      <formula>$D$302&lt;4</formula>
    </cfRule>
  </conditionalFormatting>
  <conditionalFormatting sqref="O304:Q304">
    <cfRule type="expression" dxfId="2333" priority="2305">
      <formula>$D$304&lt;4</formula>
    </cfRule>
  </conditionalFormatting>
  <conditionalFormatting sqref="O306:Q306">
    <cfRule type="expression" dxfId="2332" priority="2320">
      <formula>$D$306&lt;4</formula>
    </cfRule>
  </conditionalFormatting>
  <conditionalFormatting sqref="O308:Q308">
    <cfRule type="expression" dxfId="2331" priority="2335">
      <formula>$D$308&lt;4</formula>
    </cfRule>
  </conditionalFormatting>
  <conditionalFormatting sqref="R12:T12">
    <cfRule type="expression" dxfId="2330" priority="13">
      <formula>$D$12&lt;5</formula>
    </cfRule>
  </conditionalFormatting>
  <conditionalFormatting sqref="R13:T13">
    <cfRule type="expression" dxfId="2329" priority="28">
      <formula>$D$13&lt;5</formula>
    </cfRule>
  </conditionalFormatting>
  <conditionalFormatting sqref="R15:T15">
    <cfRule type="expression" dxfId="2328" priority="43">
      <formula>$D$15&lt;5</formula>
    </cfRule>
  </conditionalFormatting>
  <conditionalFormatting sqref="R16:T16">
    <cfRule type="expression" dxfId="2327" priority="58">
      <formula>$D$16&lt;5</formula>
    </cfRule>
  </conditionalFormatting>
  <conditionalFormatting sqref="R17:T17">
    <cfRule type="expression" dxfId="2326" priority="73">
      <formula>$D$17&lt;5</formula>
    </cfRule>
  </conditionalFormatting>
  <conditionalFormatting sqref="R20:T20">
    <cfRule type="expression" dxfId="2325" priority="88">
      <formula>$D$20&lt;5</formula>
    </cfRule>
  </conditionalFormatting>
  <conditionalFormatting sqref="R22:T22">
    <cfRule type="expression" dxfId="2324" priority="103">
      <formula>$D$22&lt;5</formula>
    </cfRule>
  </conditionalFormatting>
  <conditionalFormatting sqref="R24:T24">
    <cfRule type="expression" dxfId="2323" priority="118">
      <formula>$D$24&lt;5</formula>
    </cfRule>
  </conditionalFormatting>
  <conditionalFormatting sqref="R26:T26">
    <cfRule type="expression" dxfId="2322" priority="133">
      <formula>$D$26&lt;5</formula>
    </cfRule>
  </conditionalFormatting>
  <conditionalFormatting sqref="R27:T27">
    <cfRule type="expression" dxfId="2321" priority="148">
      <formula>$D$27&lt;5</formula>
    </cfRule>
  </conditionalFormatting>
  <conditionalFormatting sqref="R29:T29">
    <cfRule type="expression" dxfId="2320" priority="163">
      <formula>$D$29&lt;5</formula>
    </cfRule>
  </conditionalFormatting>
  <conditionalFormatting sqref="R31:T31">
    <cfRule type="expression" dxfId="2319" priority="178">
      <formula>$D$31&lt;5</formula>
    </cfRule>
  </conditionalFormatting>
  <conditionalFormatting sqref="R33:T33">
    <cfRule type="expression" dxfId="2318" priority="193">
      <formula>$D$33&lt;5</formula>
    </cfRule>
  </conditionalFormatting>
  <conditionalFormatting sqref="R37:T37">
    <cfRule type="expression" dxfId="2317" priority="208">
      <formula>$D$37&lt;5</formula>
    </cfRule>
  </conditionalFormatting>
  <conditionalFormatting sqref="R38:T38">
    <cfRule type="expression" dxfId="2316" priority="223">
      <formula>$D$38&lt;5</formula>
    </cfRule>
  </conditionalFormatting>
  <conditionalFormatting sqref="R40:T40">
    <cfRule type="expression" dxfId="2315" priority="238">
      <formula>$D$40&lt;5</formula>
    </cfRule>
  </conditionalFormatting>
  <conditionalFormatting sqref="R41:T41">
    <cfRule type="expression" dxfId="2314" priority="253">
      <formula>$D$41&lt;5</formula>
    </cfRule>
  </conditionalFormatting>
  <conditionalFormatting sqref="R42:T42">
    <cfRule type="expression" dxfId="2313" priority="268">
      <formula>$D$42&lt;5</formula>
    </cfRule>
  </conditionalFormatting>
  <conditionalFormatting sqref="R45:T45">
    <cfRule type="expression" dxfId="2312" priority="283">
      <formula>$D$45&lt;5</formula>
    </cfRule>
  </conditionalFormatting>
  <conditionalFormatting sqref="R47:T47">
    <cfRule type="expression" dxfId="2311" priority="298">
      <formula>$D$47&lt;5</formula>
    </cfRule>
  </conditionalFormatting>
  <conditionalFormatting sqref="R49:T49">
    <cfRule type="expression" dxfId="2310" priority="313">
      <formula>$D$49&lt;5</formula>
    </cfRule>
  </conditionalFormatting>
  <conditionalFormatting sqref="R51:T51">
    <cfRule type="expression" dxfId="2309" priority="328">
      <formula>$D$51&lt;5</formula>
    </cfRule>
  </conditionalFormatting>
  <conditionalFormatting sqref="R52:T52">
    <cfRule type="expression" dxfId="2308" priority="343">
      <formula>$D$52&lt;5</formula>
    </cfRule>
  </conditionalFormatting>
  <conditionalFormatting sqref="R54:T54">
    <cfRule type="expression" dxfId="2307" priority="358">
      <formula>$D$54&lt;5</formula>
    </cfRule>
  </conditionalFormatting>
  <conditionalFormatting sqref="R56:T56">
    <cfRule type="expression" dxfId="2306" priority="373">
      <formula>$D$56&lt;5</formula>
    </cfRule>
  </conditionalFormatting>
  <conditionalFormatting sqref="R58:T58">
    <cfRule type="expression" dxfId="2305" priority="388">
      <formula>$D$58&lt;5</formula>
    </cfRule>
  </conditionalFormatting>
  <conditionalFormatting sqref="R62:T62">
    <cfRule type="expression" dxfId="2304" priority="403">
      <formula>$D$62&lt;5</formula>
    </cfRule>
  </conditionalFormatting>
  <conditionalFormatting sqref="R63:T63">
    <cfRule type="expression" dxfId="2303" priority="418">
      <formula>$D$63&lt;5</formula>
    </cfRule>
  </conditionalFormatting>
  <conditionalFormatting sqref="R65:T65">
    <cfRule type="expression" dxfId="2302" priority="433">
      <formula>$D$65&lt;5</formula>
    </cfRule>
  </conditionalFormatting>
  <conditionalFormatting sqref="R66:T66">
    <cfRule type="expression" dxfId="2301" priority="448">
      <formula>$D$66&lt;5</formula>
    </cfRule>
  </conditionalFormatting>
  <conditionalFormatting sqref="R67:T67">
    <cfRule type="expression" dxfId="2300" priority="463">
      <formula>$D$67&lt;5</formula>
    </cfRule>
  </conditionalFormatting>
  <conditionalFormatting sqref="R70:T70">
    <cfRule type="expression" dxfId="2299" priority="478">
      <formula>$D$70&lt;5</formula>
    </cfRule>
  </conditionalFormatting>
  <conditionalFormatting sqref="R72:T72">
    <cfRule type="expression" dxfId="2298" priority="493">
      <formula>$D$72&lt;5</formula>
    </cfRule>
  </conditionalFormatting>
  <conditionalFormatting sqref="R74:T74">
    <cfRule type="expression" dxfId="2297" priority="508">
      <formula>$D$74&lt;5</formula>
    </cfRule>
  </conditionalFormatting>
  <conditionalFormatting sqref="R76:T76">
    <cfRule type="expression" dxfId="2296" priority="523">
      <formula>$D$76&lt;5</formula>
    </cfRule>
  </conditionalFormatting>
  <conditionalFormatting sqref="R77:T77">
    <cfRule type="expression" dxfId="2295" priority="538">
      <formula>$D$77&lt;5</formula>
    </cfRule>
  </conditionalFormatting>
  <conditionalFormatting sqref="R79:T79">
    <cfRule type="expression" dxfId="2294" priority="553">
      <formula>$D$79&lt;5</formula>
    </cfRule>
  </conditionalFormatting>
  <conditionalFormatting sqref="R81:T81">
    <cfRule type="expression" dxfId="2293" priority="568">
      <formula>$D$81&lt;5</formula>
    </cfRule>
  </conditionalFormatting>
  <conditionalFormatting sqref="R83:T83">
    <cfRule type="expression" dxfId="2292" priority="583">
      <formula>$D$83&lt;5</formula>
    </cfRule>
  </conditionalFormatting>
  <conditionalFormatting sqref="R87:T87">
    <cfRule type="expression" dxfId="2291" priority="598">
      <formula>$D$87&lt;5</formula>
    </cfRule>
  </conditionalFormatting>
  <conditionalFormatting sqref="R88:T88">
    <cfRule type="expression" dxfId="2290" priority="613">
      <formula>$D$88&lt;5</formula>
    </cfRule>
  </conditionalFormatting>
  <conditionalFormatting sqref="R90:T90">
    <cfRule type="expression" dxfId="2289" priority="628">
      <formula>$D$90&lt;5</formula>
    </cfRule>
  </conditionalFormatting>
  <conditionalFormatting sqref="R91:T91">
    <cfRule type="expression" dxfId="2288" priority="643">
      <formula>$D$91&lt;5</formula>
    </cfRule>
  </conditionalFormatting>
  <conditionalFormatting sqref="R92:T92">
    <cfRule type="expression" dxfId="2287" priority="658">
      <formula>$D$92&lt;5</formula>
    </cfRule>
  </conditionalFormatting>
  <conditionalFormatting sqref="R95:T95">
    <cfRule type="expression" dxfId="2286" priority="673">
      <formula>$D$95&lt;5</formula>
    </cfRule>
  </conditionalFormatting>
  <conditionalFormatting sqref="R97:T97">
    <cfRule type="expression" dxfId="2285" priority="688">
      <formula>$D$97&lt;5</formula>
    </cfRule>
  </conditionalFormatting>
  <conditionalFormatting sqref="R99:T99">
    <cfRule type="expression" dxfId="2284" priority="703">
      <formula>$D$99&lt;5</formula>
    </cfRule>
  </conditionalFormatting>
  <conditionalFormatting sqref="R101:T101">
    <cfRule type="expression" dxfId="2283" priority="718">
      <formula>$D$101&lt;5</formula>
    </cfRule>
  </conditionalFormatting>
  <conditionalFormatting sqref="R102:T102">
    <cfRule type="expression" dxfId="2282" priority="733">
      <formula>$D$102&lt;5</formula>
    </cfRule>
  </conditionalFormatting>
  <conditionalFormatting sqref="R104:T104">
    <cfRule type="expression" dxfId="2281" priority="748">
      <formula>$D$104&lt;5</formula>
    </cfRule>
  </conditionalFormatting>
  <conditionalFormatting sqref="R106:T106">
    <cfRule type="expression" dxfId="2280" priority="763">
      <formula>$D$106&lt;5</formula>
    </cfRule>
  </conditionalFormatting>
  <conditionalFormatting sqref="R108:T108">
    <cfRule type="expression" dxfId="2279" priority="778">
      <formula>$D$108&lt;5</formula>
    </cfRule>
  </conditionalFormatting>
  <conditionalFormatting sqref="R112:T112">
    <cfRule type="expression" dxfId="2278" priority="793">
      <formula>$D$112&lt;5</formula>
    </cfRule>
  </conditionalFormatting>
  <conditionalFormatting sqref="R113:T113">
    <cfRule type="expression" dxfId="2277" priority="808">
      <formula>$D$113&lt;5</formula>
    </cfRule>
  </conditionalFormatting>
  <conditionalFormatting sqref="R115:T115">
    <cfRule type="expression" dxfId="2276" priority="823">
      <formula>$D$115&lt;5</formula>
    </cfRule>
  </conditionalFormatting>
  <conditionalFormatting sqref="R116:T116">
    <cfRule type="expression" dxfId="2275" priority="838">
      <formula>$D$116&lt;5</formula>
    </cfRule>
  </conditionalFormatting>
  <conditionalFormatting sqref="R117:T117">
    <cfRule type="expression" dxfId="2274" priority="853">
      <formula>$D$117&lt;5</formula>
    </cfRule>
  </conditionalFormatting>
  <conditionalFormatting sqref="R120:T120">
    <cfRule type="expression" dxfId="2273" priority="868">
      <formula>$D$120&lt;5</formula>
    </cfRule>
  </conditionalFormatting>
  <conditionalFormatting sqref="R122:T122">
    <cfRule type="expression" dxfId="2272" priority="883">
      <formula>$D$122&lt;5</formula>
    </cfRule>
  </conditionalFormatting>
  <conditionalFormatting sqref="R124:T124">
    <cfRule type="expression" dxfId="2271" priority="898">
      <formula>$D$124&lt;5</formula>
    </cfRule>
  </conditionalFormatting>
  <conditionalFormatting sqref="R126:T126">
    <cfRule type="expression" dxfId="2270" priority="913">
      <formula>$D$126&lt;5</formula>
    </cfRule>
  </conditionalFormatting>
  <conditionalFormatting sqref="R127:T127">
    <cfRule type="expression" dxfId="2269" priority="928">
      <formula>$D$127&lt;5</formula>
    </cfRule>
  </conditionalFormatting>
  <conditionalFormatting sqref="R129:T129">
    <cfRule type="expression" dxfId="2268" priority="943">
      <formula>$D$129&lt;5</formula>
    </cfRule>
  </conditionalFormatting>
  <conditionalFormatting sqref="R131:T131">
    <cfRule type="expression" dxfId="2267" priority="958">
      <formula>$D$131&lt;5</formula>
    </cfRule>
  </conditionalFormatting>
  <conditionalFormatting sqref="R133:T133">
    <cfRule type="expression" dxfId="2266" priority="973">
      <formula>$D$133&lt;5</formula>
    </cfRule>
  </conditionalFormatting>
  <conditionalFormatting sqref="R137:T137">
    <cfRule type="expression" dxfId="2265" priority="988">
      <formula>$D$137&lt;5</formula>
    </cfRule>
  </conditionalFormatting>
  <conditionalFormatting sqref="R138:T138">
    <cfRule type="expression" dxfId="2264" priority="1003">
      <formula>$D$138&lt;5</formula>
    </cfRule>
  </conditionalFormatting>
  <conditionalFormatting sqref="R140:T140">
    <cfRule type="expression" dxfId="2263" priority="1018">
      <formula>$D$140&lt;5</formula>
    </cfRule>
  </conditionalFormatting>
  <conditionalFormatting sqref="R141:T141">
    <cfRule type="expression" dxfId="2262" priority="1033">
      <formula>$D$141&lt;5</formula>
    </cfRule>
  </conditionalFormatting>
  <conditionalFormatting sqref="R142:T142">
    <cfRule type="expression" dxfId="2261" priority="1048">
      <formula>$D$142&lt;5</formula>
    </cfRule>
  </conditionalFormatting>
  <conditionalFormatting sqref="R145:T145">
    <cfRule type="expression" dxfId="2260" priority="1063">
      <formula>$D$145&lt;5</formula>
    </cfRule>
  </conditionalFormatting>
  <conditionalFormatting sqref="R147:T147">
    <cfRule type="expression" dxfId="2259" priority="1078">
      <formula>$D$147&lt;5</formula>
    </cfRule>
  </conditionalFormatting>
  <conditionalFormatting sqref="R149:T149">
    <cfRule type="expression" dxfId="2258" priority="1093">
      <formula>$D$149&lt;5</formula>
    </cfRule>
  </conditionalFormatting>
  <conditionalFormatting sqref="R151:T151">
    <cfRule type="expression" dxfId="2257" priority="1108">
      <formula>$D$151&lt;5</formula>
    </cfRule>
  </conditionalFormatting>
  <conditionalFormatting sqref="R152:T152">
    <cfRule type="expression" dxfId="2256" priority="1123">
      <formula>$D$152&lt;5</formula>
    </cfRule>
  </conditionalFormatting>
  <conditionalFormatting sqref="R154:T154">
    <cfRule type="expression" dxfId="2255" priority="1138">
      <formula>$D$154&lt;5</formula>
    </cfRule>
  </conditionalFormatting>
  <conditionalFormatting sqref="R156:T156">
    <cfRule type="expression" dxfId="2254" priority="1153">
      <formula>$D$156&lt;5</formula>
    </cfRule>
  </conditionalFormatting>
  <conditionalFormatting sqref="R158:T158">
    <cfRule type="expression" dxfId="2253" priority="1168">
      <formula>$D$158&lt;5</formula>
    </cfRule>
  </conditionalFormatting>
  <conditionalFormatting sqref="R162:T162">
    <cfRule type="expression" dxfId="2252" priority="1183">
      <formula>$D$162&lt;5</formula>
    </cfRule>
  </conditionalFormatting>
  <conditionalFormatting sqref="R163:T163">
    <cfRule type="expression" dxfId="2251" priority="1198">
      <formula>$D$163&lt;5</formula>
    </cfRule>
  </conditionalFormatting>
  <conditionalFormatting sqref="R165:T165">
    <cfRule type="expression" dxfId="2250" priority="1213">
      <formula>$D$165&lt;5</formula>
    </cfRule>
  </conditionalFormatting>
  <conditionalFormatting sqref="R166:T166">
    <cfRule type="expression" dxfId="2249" priority="1228">
      <formula>$D$166&lt;5</formula>
    </cfRule>
  </conditionalFormatting>
  <conditionalFormatting sqref="R167:T167">
    <cfRule type="expression" dxfId="2248" priority="1243">
      <formula>$D$167&lt;5</formula>
    </cfRule>
  </conditionalFormatting>
  <conditionalFormatting sqref="R170:T170">
    <cfRule type="expression" dxfId="2247" priority="1258">
      <formula>$D$170&lt;5</formula>
    </cfRule>
  </conditionalFormatting>
  <conditionalFormatting sqref="R172:T172">
    <cfRule type="expression" dxfId="2246" priority="1273">
      <formula>$D$172&lt;5</formula>
    </cfRule>
  </conditionalFormatting>
  <conditionalFormatting sqref="R174:T174">
    <cfRule type="expression" dxfId="2245" priority="1288">
      <formula>$D$174&lt;5</formula>
    </cfRule>
  </conditionalFormatting>
  <conditionalFormatting sqref="R176:T176">
    <cfRule type="expression" dxfId="2244" priority="1303">
      <formula>$D$176&lt;5</formula>
    </cfRule>
  </conditionalFormatting>
  <conditionalFormatting sqref="R177:T177">
    <cfRule type="expression" dxfId="2243" priority="1318">
      <formula>$D$177&lt;5</formula>
    </cfRule>
  </conditionalFormatting>
  <conditionalFormatting sqref="R179:T179">
    <cfRule type="expression" dxfId="2242" priority="1333">
      <formula>$D$179&lt;5</formula>
    </cfRule>
  </conditionalFormatting>
  <conditionalFormatting sqref="R181:T181">
    <cfRule type="expression" dxfId="2241" priority="1348">
      <formula>$D$181&lt;5</formula>
    </cfRule>
  </conditionalFormatting>
  <conditionalFormatting sqref="R183:T183">
    <cfRule type="expression" dxfId="2240" priority="1363">
      <formula>$D$183&lt;5</formula>
    </cfRule>
  </conditionalFormatting>
  <conditionalFormatting sqref="R187:T187">
    <cfRule type="expression" dxfId="2239" priority="1378">
      <formula>$D$187&lt;5</formula>
    </cfRule>
  </conditionalFormatting>
  <conditionalFormatting sqref="R188:T188">
    <cfRule type="expression" dxfId="2238" priority="1393">
      <formula>$D$188&lt;5</formula>
    </cfRule>
  </conditionalFormatting>
  <conditionalFormatting sqref="R190:T190">
    <cfRule type="expression" dxfId="2237" priority="1408">
      <formula>$D$190&lt;5</formula>
    </cfRule>
  </conditionalFormatting>
  <conditionalFormatting sqref="R191:T191">
    <cfRule type="expression" dxfId="2236" priority="1423">
      <formula>$D$191&lt;5</formula>
    </cfRule>
  </conditionalFormatting>
  <conditionalFormatting sqref="R192:T192">
    <cfRule type="expression" dxfId="2235" priority="1438">
      <formula>$D$192&lt;5</formula>
    </cfRule>
  </conditionalFormatting>
  <conditionalFormatting sqref="R195:T195">
    <cfRule type="expression" dxfId="2234" priority="1453">
      <formula>$D$195&lt;5</formula>
    </cfRule>
  </conditionalFormatting>
  <conditionalFormatting sqref="R197:T197">
    <cfRule type="expression" dxfId="2233" priority="1468">
      <formula>$D$197&lt;5</formula>
    </cfRule>
  </conditionalFormatting>
  <conditionalFormatting sqref="R199:T199">
    <cfRule type="expression" dxfId="2232" priority="1483">
      <formula>$D$199&lt;5</formula>
    </cfRule>
  </conditionalFormatting>
  <conditionalFormatting sqref="R201:T201">
    <cfRule type="expression" dxfId="2231" priority="1498">
      <formula>$D$201&lt;5</formula>
    </cfRule>
  </conditionalFormatting>
  <conditionalFormatting sqref="R202:T202">
    <cfRule type="expression" dxfId="2230" priority="1513">
      <formula>$D$202&lt;5</formula>
    </cfRule>
  </conditionalFormatting>
  <conditionalFormatting sqref="R204:T204">
    <cfRule type="expression" dxfId="2229" priority="1528">
      <formula>$D$204&lt;5</formula>
    </cfRule>
  </conditionalFormatting>
  <conditionalFormatting sqref="R206:T206">
    <cfRule type="expression" dxfId="2228" priority="1543">
      <formula>$D$206&lt;5</formula>
    </cfRule>
  </conditionalFormatting>
  <conditionalFormatting sqref="R208:T208">
    <cfRule type="expression" dxfId="2227" priority="1558">
      <formula>$D$208&lt;5</formula>
    </cfRule>
  </conditionalFormatting>
  <conditionalFormatting sqref="R212:T212">
    <cfRule type="expression" dxfId="2226" priority="1573">
      <formula>$D$212&lt;5</formula>
    </cfRule>
  </conditionalFormatting>
  <conditionalFormatting sqref="R213:T213">
    <cfRule type="expression" dxfId="2225" priority="1588">
      <formula>$D$213&lt;5</formula>
    </cfRule>
  </conditionalFormatting>
  <conditionalFormatting sqref="R215:T215">
    <cfRule type="expression" dxfId="2224" priority="1603">
      <formula>$D$215&lt;5</formula>
    </cfRule>
  </conditionalFormatting>
  <conditionalFormatting sqref="R216:T216">
    <cfRule type="expression" dxfId="2223" priority="1618">
      <formula>$D$216&lt;5</formula>
    </cfRule>
  </conditionalFormatting>
  <conditionalFormatting sqref="R217:T217">
    <cfRule type="expression" dxfId="2222" priority="1633">
      <formula>$D$217&lt;5</formula>
    </cfRule>
  </conditionalFormatting>
  <conditionalFormatting sqref="R220:T220">
    <cfRule type="expression" dxfId="2221" priority="1648">
      <formula>$D$220&lt;5</formula>
    </cfRule>
  </conditionalFormatting>
  <conditionalFormatting sqref="R222:T222">
    <cfRule type="expression" dxfId="2220" priority="1663">
      <formula>$D$222&lt;5</formula>
    </cfRule>
  </conditionalFormatting>
  <conditionalFormatting sqref="R224:T224">
    <cfRule type="expression" dxfId="2219" priority="1678">
      <formula>$D$224&lt;5</formula>
    </cfRule>
  </conditionalFormatting>
  <conditionalFormatting sqref="R226:T226">
    <cfRule type="expression" dxfId="2218" priority="1693">
      <formula>$D$226&lt;5</formula>
    </cfRule>
  </conditionalFormatting>
  <conditionalFormatting sqref="R227:T227">
    <cfRule type="expression" dxfId="2217" priority="1708">
      <formula>$D$227&lt;5</formula>
    </cfRule>
  </conditionalFormatting>
  <conditionalFormatting sqref="R229:T229">
    <cfRule type="expression" dxfId="2216" priority="1723">
      <formula>$D$229&lt;5</formula>
    </cfRule>
  </conditionalFormatting>
  <conditionalFormatting sqref="R231:T231">
    <cfRule type="expression" dxfId="2215" priority="1738">
      <formula>$D$231&lt;5</formula>
    </cfRule>
  </conditionalFormatting>
  <conditionalFormatting sqref="R233:T233">
    <cfRule type="expression" dxfId="2214" priority="1753">
      <formula>$D$233&lt;5</formula>
    </cfRule>
  </conditionalFormatting>
  <conditionalFormatting sqref="R237:T237">
    <cfRule type="expression" dxfId="2213" priority="1768">
      <formula>$D$237&lt;5</formula>
    </cfRule>
  </conditionalFormatting>
  <conditionalFormatting sqref="R238:T238">
    <cfRule type="expression" dxfId="2212" priority="1783">
      <formula>$D$238&lt;5</formula>
    </cfRule>
  </conditionalFormatting>
  <conditionalFormatting sqref="R240:T240">
    <cfRule type="expression" dxfId="2211" priority="1798">
      <formula>$D$240&lt;5</formula>
    </cfRule>
  </conditionalFormatting>
  <conditionalFormatting sqref="R241:T241">
    <cfRule type="expression" dxfId="2210" priority="1813">
      <formula>$D$241&lt;5</formula>
    </cfRule>
  </conditionalFormatting>
  <conditionalFormatting sqref="R242:T242">
    <cfRule type="expression" dxfId="2209" priority="1828">
      <formula>$D$242&lt;5</formula>
    </cfRule>
  </conditionalFormatting>
  <conditionalFormatting sqref="R245:T245">
    <cfRule type="expression" dxfId="2208" priority="1843">
      <formula>$D$245&lt;5</formula>
    </cfRule>
  </conditionalFormatting>
  <conditionalFormatting sqref="R247:T247">
    <cfRule type="expression" dxfId="2207" priority="1858">
      <formula>$D$247&lt;5</formula>
    </cfRule>
  </conditionalFormatting>
  <conditionalFormatting sqref="R249:T249">
    <cfRule type="expression" dxfId="2206" priority="1873">
      <formula>$D$249&lt;5</formula>
    </cfRule>
  </conditionalFormatting>
  <conditionalFormatting sqref="R251:T251">
    <cfRule type="expression" dxfId="2205" priority="1888">
      <formula>$D$251&lt;5</formula>
    </cfRule>
  </conditionalFormatting>
  <conditionalFormatting sqref="R252:T252">
    <cfRule type="expression" dxfId="2204" priority="1903">
      <formula>$D$252&lt;5</formula>
    </cfRule>
  </conditionalFormatting>
  <conditionalFormatting sqref="R254:T254">
    <cfRule type="expression" dxfId="2203" priority="1918">
      <formula>$D$254&lt;5</formula>
    </cfRule>
  </conditionalFormatting>
  <conditionalFormatting sqref="R256:T256">
    <cfRule type="expression" dxfId="2202" priority="1933">
      <formula>$D$256&lt;5</formula>
    </cfRule>
  </conditionalFormatting>
  <conditionalFormatting sqref="R258:T258">
    <cfRule type="expression" dxfId="2201" priority="1948">
      <formula>$D$258&lt;5</formula>
    </cfRule>
  </conditionalFormatting>
  <conditionalFormatting sqref="R262:T262">
    <cfRule type="expression" dxfId="2200" priority="1963">
      <formula>$D$262&lt;5</formula>
    </cfRule>
  </conditionalFormatting>
  <conditionalFormatting sqref="R263:T263">
    <cfRule type="expression" dxfId="2199" priority="1978">
      <formula>$D$263&lt;5</formula>
    </cfRule>
  </conditionalFormatting>
  <conditionalFormatting sqref="R265:T265">
    <cfRule type="expression" dxfId="2198" priority="1993">
      <formula>$D$265&lt;5</formula>
    </cfRule>
  </conditionalFormatting>
  <conditionalFormatting sqref="R266:T266">
    <cfRule type="expression" dxfId="2197" priority="2008">
      <formula>$D$266&lt;5</formula>
    </cfRule>
  </conditionalFormatting>
  <conditionalFormatting sqref="R267:T267">
    <cfRule type="expression" dxfId="2196" priority="2023">
      <formula>$D$267&lt;5</formula>
    </cfRule>
  </conditionalFormatting>
  <conditionalFormatting sqref="R270:T270">
    <cfRule type="expression" dxfId="2195" priority="2038">
      <formula>$D$270&lt;5</formula>
    </cfRule>
  </conditionalFormatting>
  <conditionalFormatting sqref="R272:T272">
    <cfRule type="expression" dxfId="2194" priority="2053">
      <formula>$D$272&lt;5</formula>
    </cfRule>
  </conditionalFormatting>
  <conditionalFormatting sqref="R274:T274">
    <cfRule type="expression" dxfId="2193" priority="2068">
      <formula>$D$274&lt;5</formula>
    </cfRule>
  </conditionalFormatting>
  <conditionalFormatting sqref="R276:T276">
    <cfRule type="expression" dxfId="2192" priority="2083">
      <formula>$D$276&lt;5</formula>
    </cfRule>
  </conditionalFormatting>
  <conditionalFormatting sqref="R277:T277">
    <cfRule type="expression" dxfId="2191" priority="2098">
      <formula>$D$277&lt;5</formula>
    </cfRule>
  </conditionalFormatting>
  <conditionalFormatting sqref="R279:T279">
    <cfRule type="expression" dxfId="2190" priority="2113">
      <formula>$D$279&lt;5</formula>
    </cfRule>
  </conditionalFormatting>
  <conditionalFormatting sqref="R281:T281">
    <cfRule type="expression" dxfId="2189" priority="2128">
      <formula>$D$281&lt;5</formula>
    </cfRule>
  </conditionalFormatting>
  <conditionalFormatting sqref="R283:T283">
    <cfRule type="expression" dxfId="2188" priority="2143">
      <formula>$D$283&lt;5</formula>
    </cfRule>
  </conditionalFormatting>
  <conditionalFormatting sqref="R287:T287">
    <cfRule type="expression" dxfId="2187" priority="2158">
      <formula>$D$287&lt;5</formula>
    </cfRule>
  </conditionalFormatting>
  <conditionalFormatting sqref="R288:T288">
    <cfRule type="expression" dxfId="2186" priority="2173">
      <formula>$D$288&lt;5</formula>
    </cfRule>
  </conditionalFormatting>
  <conditionalFormatting sqref="R290:T290">
    <cfRule type="expression" dxfId="2185" priority="2188">
      <formula>$D$290&lt;5</formula>
    </cfRule>
  </conditionalFormatting>
  <conditionalFormatting sqref="R291:T291">
    <cfRule type="expression" dxfId="2184" priority="2203">
      <formula>$D$291&lt;5</formula>
    </cfRule>
  </conditionalFormatting>
  <conditionalFormatting sqref="R292:T292">
    <cfRule type="expression" dxfId="2183" priority="2218">
      <formula>$D$292&lt;5</formula>
    </cfRule>
  </conditionalFormatting>
  <conditionalFormatting sqref="R295:T295">
    <cfRule type="expression" dxfId="2182" priority="2233">
      <formula>$D$295&lt;5</formula>
    </cfRule>
  </conditionalFormatting>
  <conditionalFormatting sqref="R297:T297">
    <cfRule type="expression" dxfId="2181" priority="2248">
      <formula>$D$297&lt;5</formula>
    </cfRule>
  </conditionalFormatting>
  <conditionalFormatting sqref="R299:T299">
    <cfRule type="expression" dxfId="2180" priority="2263">
      <formula>$D$299&lt;5</formula>
    </cfRule>
  </conditionalFormatting>
  <conditionalFormatting sqref="R301:T301">
    <cfRule type="expression" dxfId="2179" priority="2278">
      <formula>$D$301&lt;5</formula>
    </cfRule>
  </conditionalFormatting>
  <conditionalFormatting sqref="R302:T302">
    <cfRule type="expression" dxfId="2178" priority="2293">
      <formula>$D$302&lt;5</formula>
    </cfRule>
  </conditionalFormatting>
  <conditionalFormatting sqref="R304:T304">
    <cfRule type="expression" dxfId="2177" priority="2308">
      <formula>$D$304&lt;5</formula>
    </cfRule>
  </conditionalFormatting>
  <conditionalFormatting sqref="R306:T306">
    <cfRule type="expression" dxfId="2176" priority="2323">
      <formula>$D$306&lt;5</formula>
    </cfRule>
  </conditionalFormatting>
  <conditionalFormatting sqref="R308:T308">
    <cfRule type="expression" dxfId="2175" priority="2338">
      <formula>$D$308&lt;5</formula>
    </cfRule>
  </conditionalFormatting>
  <dataValidations count="8">
    <dataValidation type="list" allowBlank="1" sqref="A12:A13 A15:A17 A37:A38 A40:A42 A62:A63 A65:A67 A87:A88 A90:A92 A112:A113 A115:A117 A137:A138 A140:A142 A162:A163 A165:A167 A187:A188 A190:A192 A212:A213 A215:A217 A237:A238 A240:A242 A262:A263 A265:A267 A287:A288 A290:A292" xr:uid="{00000000-0002-0000-0300-000000000000}">
      <formula1>BASES_HOMBRO</formula1>
    </dataValidation>
    <dataValidation type="list" allowBlank="1" sqref="A26:A27 A51:A52 A76:A77 A101:A102 A126:A127 A151:A152 A176:A177 A201:A202 A226:A227 A251:A252 A276:A277 A301:A302" xr:uid="{00000000-0002-0000-0300-000001000000}">
      <formula1>BASES_TRICEPS</formula1>
    </dataValidation>
    <dataValidation type="list" allowBlank="1" sqref="A29 A54 A79 A104 A129 A154 A179 A204 A229 A254 A279 A304" xr:uid="{00000000-0002-0000-0300-000002000000}">
      <formula1>BASES_CUADRICEPS</formula1>
    </dataValidation>
    <dataValidation type="list" allowBlank="1" sqref="A31 A56 A81 A106 A131 A156 A181 A206 A231 A256 A281 A306" xr:uid="{00000000-0002-0000-0300-000003000000}">
      <formula1>BASES_BICEPS</formula1>
    </dataValidation>
    <dataValidation type="list" allowBlank="1" sqref="A33 A58 A83 A108 A133 A158 A183 A208 A233 A258 A283 A308" xr:uid="{00000000-0002-0000-0300-000004000000}">
      <formula1>BASES_CIERRE</formula1>
    </dataValidation>
    <dataValidation type="list" allowBlank="1" sqref="A20 A45 A70 A95 A120 A145 A170 A195 A220 A245 A270 A295" xr:uid="{00000000-0002-0000-0300-000005000000}">
      <formula1>BASES_PECHO_MEDIO</formula1>
    </dataValidation>
    <dataValidation type="list" allowBlank="1" sqref="A22 A47 A72 A97 A122 A147 A172 A197 A222 A247 A272 A297" xr:uid="{00000000-0002-0000-0300-000006000000}">
      <formula1>BASES_PECHO_ALTO</formula1>
    </dataValidation>
    <dataValidation type="list" allowBlank="1" sqref="A24 A49 A74 A99 A124 A149 A174 A199 A224 A249 A274 A299" xr:uid="{00000000-0002-0000-0300-000007000000}">
      <formula1>BASES_PECHO_BAJO</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xr:uid="{00000000-0002-0000-0300-000008000000}">
          <x14:formula1>
            <xm:f>INDIRECT(IFERROR(VLOOKUP(A6,EJERCICIOS!$B$3:$E$85,4,0),"BASES_LIST"))</xm:f>
          </x14:formula1>
          <xm:sqref>B308 B306 B304 B301:B302 B299 B297 B295 B290:B292 B287:B288 B283 B281 B279 B276:B277 B274 B272 B270 B265:B267 B262:B263 B258 B256 B254 B251:B252 B249 B247 B245 B240:B242 B237:B238 B233 B231 B229 B226:B227 B224 B222 B220 B215:B217 B212:B213 B208 B206 B204 B201:B202 B199 B197 B195 B190:B192 B187:B188 B183 B181 B179 B176:B177 B174 B172 B170 B165:B167 B162:B163 B158 B156 B154 B151:B152 B149 B147 B145 B140:B142 B137:B138 B133 B131 B129 B126:B127 B124 B122 B120 B115:B117 B112:B113 B108 B106 B104 B101:B102 B99 B97 B95 B90:B92 B87:B88 B83 B81 B79 B76:B77 B74 B72 B70 B65:B67 B62:B63 B58 B56 B54 B51:B52 B49 B47 B45 B40:B42 B37:B38 B33 B31 B29 B26:B27 B24 B22 B20 B15:B17 B12:B13 B6:B8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6B3D8F"/>
  </sheetPr>
  <dimension ref="A1:AC297"/>
  <sheetViews>
    <sheetView showGridLines="0" workbookViewId="0">
      <pane ySplit="3" topLeftCell="A10" activePane="bottomLeft" state="frozen"/>
      <selection pane="bottomLeft" activeCell="B28" sqref="B28"/>
    </sheetView>
  </sheetViews>
  <sheetFormatPr defaultColWidth="8.85546875" defaultRowHeight="15"/>
  <cols>
    <col min="1" max="1" width="28" style="68" customWidth="1"/>
    <col min="2" max="2" width="24" style="68" customWidth="1"/>
    <col min="3" max="3" width="10" style="68" customWidth="1"/>
    <col min="4" max="4" width="7" style="68" customWidth="1"/>
    <col min="5" max="5" width="8" style="68" customWidth="1"/>
    <col min="6" max="6" width="7" style="68" customWidth="1"/>
    <col min="7" max="7" width="6" style="68" customWidth="1"/>
    <col min="8" max="8" width="5" style="68" customWidth="1"/>
    <col min="9" max="9" width="7" style="68" customWidth="1"/>
    <col min="10" max="10" width="6" style="68" customWidth="1"/>
    <col min="11" max="11" width="5" style="68" customWidth="1"/>
    <col min="12" max="12" width="7" style="68" customWidth="1"/>
    <col min="13" max="13" width="6" style="68" customWidth="1"/>
    <col min="14" max="14" width="5" style="68" customWidth="1"/>
    <col min="15" max="15" width="7" style="68" customWidth="1"/>
    <col min="16" max="16" width="6" style="68" customWidth="1"/>
    <col min="17" max="17" width="5" style="68" customWidth="1"/>
    <col min="18" max="18" width="7" style="68" customWidth="1"/>
    <col min="19" max="19" width="6" style="68" customWidth="1"/>
    <col min="20" max="20" width="5" style="68" customWidth="1"/>
    <col min="21" max="21" width="9" style="68" customWidth="1"/>
    <col min="22" max="22" width="44" style="68" customWidth="1"/>
    <col min="23" max="29" width="13" style="68" hidden="1" customWidth="1"/>
  </cols>
  <sheetData>
    <row r="1" spans="1:29" ht="30" customHeight="1">
      <c r="A1" s="86" t="s">
        <v>167</v>
      </c>
      <c r="B1" s="78"/>
      <c r="C1" s="78"/>
      <c r="D1" s="78"/>
      <c r="E1" s="78"/>
      <c r="F1" s="78"/>
      <c r="G1" s="78"/>
      <c r="H1" s="78"/>
      <c r="I1" s="78"/>
      <c r="J1" s="78"/>
      <c r="K1" s="78"/>
      <c r="L1" s="78"/>
      <c r="M1" s="78"/>
      <c r="N1" s="78"/>
      <c r="O1" s="78"/>
      <c r="P1" s="78"/>
      <c r="Q1" s="78"/>
      <c r="R1" s="78"/>
      <c r="S1" s="78"/>
      <c r="T1" s="78"/>
      <c r="U1" s="78"/>
      <c r="V1" s="79"/>
      <c r="W1" s="69"/>
      <c r="X1" s="69"/>
      <c r="Y1" s="69"/>
      <c r="Z1" s="69"/>
      <c r="AA1" s="69"/>
      <c r="AB1" s="69"/>
      <c r="AC1" s="69"/>
    </row>
    <row r="2" spans="1:29" ht="20.100000000000001" customHeight="1">
      <c r="A2" s="1" t="s">
        <v>1</v>
      </c>
      <c r="B2" s="1" t="s">
        <v>2</v>
      </c>
      <c r="C2" s="1" t="s">
        <v>3</v>
      </c>
      <c r="D2" s="1" t="s">
        <v>4</v>
      </c>
      <c r="E2" s="1" t="s">
        <v>5</v>
      </c>
      <c r="F2" s="77" t="s">
        <v>6</v>
      </c>
      <c r="G2" s="78"/>
      <c r="H2" s="79"/>
      <c r="I2" s="77" t="s">
        <v>7</v>
      </c>
      <c r="J2" s="78"/>
      <c r="K2" s="79"/>
      <c r="L2" s="77" t="s">
        <v>8</v>
      </c>
      <c r="M2" s="78"/>
      <c r="N2" s="79"/>
      <c r="O2" s="77" t="s">
        <v>9</v>
      </c>
      <c r="P2" s="78"/>
      <c r="Q2" s="79"/>
      <c r="R2" s="77" t="s">
        <v>10</v>
      </c>
      <c r="S2" s="78"/>
      <c r="T2" s="79"/>
      <c r="U2" s="2" t="s">
        <v>11</v>
      </c>
      <c r="V2" s="1" t="s">
        <v>12</v>
      </c>
      <c r="W2" s="69"/>
      <c r="X2" s="69"/>
      <c r="Y2" s="69"/>
      <c r="Z2" s="69"/>
      <c r="AA2" s="69"/>
      <c r="AB2" s="69"/>
      <c r="AC2" s="69"/>
    </row>
    <row r="3" spans="1:29" ht="15.95" customHeight="1">
      <c r="A3" s="3"/>
      <c r="B3" s="3"/>
      <c r="C3" s="3"/>
      <c r="D3" s="3"/>
      <c r="E3" s="3"/>
      <c r="F3" s="4" t="s">
        <v>13</v>
      </c>
      <c r="G3" s="5" t="s">
        <v>14</v>
      </c>
      <c r="H3" s="6" t="s">
        <v>15</v>
      </c>
      <c r="I3" s="4" t="s">
        <v>13</v>
      </c>
      <c r="J3" s="5" t="s">
        <v>14</v>
      </c>
      <c r="K3" s="6" t="s">
        <v>15</v>
      </c>
      <c r="L3" s="4" t="s">
        <v>13</v>
      </c>
      <c r="M3" s="5" t="s">
        <v>14</v>
      </c>
      <c r="N3" s="6" t="s">
        <v>15</v>
      </c>
      <c r="O3" s="4" t="s">
        <v>13</v>
      </c>
      <c r="P3" s="5" t="s">
        <v>14</v>
      </c>
      <c r="Q3" s="6" t="s">
        <v>15</v>
      </c>
      <c r="R3" s="4" t="s">
        <v>13</v>
      </c>
      <c r="S3" s="5" t="s">
        <v>14</v>
      </c>
      <c r="T3" s="6" t="s">
        <v>15</v>
      </c>
      <c r="U3" s="3"/>
      <c r="V3" s="3"/>
      <c r="W3" s="69"/>
      <c r="X3" s="69"/>
      <c r="Y3" s="69"/>
      <c r="Z3" s="69"/>
      <c r="AA3" s="69"/>
      <c r="AB3" s="69"/>
      <c r="AC3" s="69"/>
    </row>
    <row r="4" spans="1:29" ht="15.95" customHeight="1">
      <c r="A4" s="80" t="s">
        <v>16</v>
      </c>
      <c r="B4" s="73"/>
      <c r="C4" s="73"/>
      <c r="D4" s="73"/>
      <c r="E4" s="73"/>
      <c r="F4" s="73"/>
      <c r="G4" s="73"/>
      <c r="H4" s="73"/>
      <c r="I4" s="73"/>
      <c r="J4" s="73"/>
      <c r="K4" s="73"/>
      <c r="L4" s="73"/>
      <c r="M4" s="73"/>
      <c r="N4" s="73"/>
      <c r="O4" s="73"/>
      <c r="P4" s="73"/>
      <c r="Q4" s="73"/>
      <c r="R4" s="73"/>
      <c r="S4" s="73"/>
      <c r="T4" s="73"/>
      <c r="U4" s="73"/>
      <c r="V4" s="73"/>
      <c r="W4" s="69"/>
      <c r="X4" s="69"/>
      <c r="Y4" s="69"/>
      <c r="Z4" s="69"/>
      <c r="AA4" s="69"/>
      <c r="AB4" s="69"/>
      <c r="AC4" s="69"/>
    </row>
    <row r="5" spans="1:29" ht="15.95" customHeight="1">
      <c r="A5" s="74" t="s">
        <v>168</v>
      </c>
      <c r="B5" s="73"/>
      <c r="C5" s="73"/>
      <c r="D5" s="73"/>
      <c r="E5" s="73"/>
      <c r="F5" s="73"/>
      <c r="G5" s="73"/>
      <c r="H5" s="73"/>
      <c r="I5" s="73"/>
      <c r="J5" s="73"/>
      <c r="K5" s="73"/>
      <c r="L5" s="73"/>
      <c r="M5" s="73"/>
      <c r="N5" s="73"/>
      <c r="O5" s="73"/>
      <c r="P5" s="73"/>
      <c r="Q5" s="73"/>
      <c r="R5" s="73"/>
      <c r="S5" s="73"/>
      <c r="T5" s="73"/>
      <c r="U5" s="73"/>
      <c r="V5" s="73"/>
      <c r="W5" s="69"/>
      <c r="X5" s="69"/>
      <c r="Y5" s="69"/>
      <c r="Z5" s="69"/>
      <c r="AA5" s="69"/>
      <c r="AB5" s="69"/>
      <c r="AC5" s="69"/>
    </row>
    <row r="6" spans="1:29" ht="18" customHeight="1">
      <c r="A6" s="7" t="s">
        <v>80</v>
      </c>
      <c r="B6" s="8" t="s">
        <v>81</v>
      </c>
      <c r="C6" s="9"/>
      <c r="D6" s="10">
        <v>2</v>
      </c>
      <c r="E6" s="11"/>
      <c r="F6" s="11"/>
      <c r="G6" s="11"/>
      <c r="H6" s="11"/>
      <c r="I6" s="11"/>
      <c r="J6" s="11"/>
      <c r="K6" s="11"/>
      <c r="L6" s="11"/>
      <c r="M6" s="11"/>
      <c r="N6" s="11"/>
      <c r="O6" s="11"/>
      <c r="P6" s="11"/>
      <c r="Q6" s="11"/>
      <c r="R6" s="11"/>
      <c r="S6" s="11"/>
      <c r="T6" s="11"/>
      <c r="U6" s="11"/>
      <c r="V6" s="12" t="s">
        <v>82</v>
      </c>
      <c r="W6" s="69"/>
      <c r="X6" s="69"/>
      <c r="Y6" s="69"/>
      <c r="Z6" s="69"/>
      <c r="AA6" s="69"/>
      <c r="AB6" s="69"/>
      <c r="AC6" s="69"/>
    </row>
    <row r="7" spans="1:29" ht="18" customHeight="1">
      <c r="A7" s="7" t="s">
        <v>111</v>
      </c>
      <c r="B7" s="8" t="s">
        <v>169</v>
      </c>
      <c r="C7" s="9"/>
      <c r="D7" s="10">
        <v>2</v>
      </c>
      <c r="E7" s="11"/>
      <c r="F7" s="11"/>
      <c r="G7" s="11"/>
      <c r="H7" s="11"/>
      <c r="I7" s="11"/>
      <c r="J7" s="11"/>
      <c r="K7" s="11"/>
      <c r="L7" s="11"/>
      <c r="M7" s="11"/>
      <c r="N7" s="11"/>
      <c r="O7" s="11"/>
      <c r="P7" s="11"/>
      <c r="Q7" s="11"/>
      <c r="R7" s="11"/>
      <c r="S7" s="11"/>
      <c r="T7" s="11"/>
      <c r="U7" s="11"/>
      <c r="V7" s="12" t="s">
        <v>170</v>
      </c>
      <c r="W7" s="69"/>
      <c r="X7" s="69"/>
      <c r="Y7" s="69"/>
      <c r="Z7" s="69"/>
      <c r="AA7" s="69"/>
      <c r="AB7" s="69"/>
      <c r="AC7" s="69"/>
    </row>
    <row r="8" spans="1:29" ht="18" customHeight="1">
      <c r="A8" s="7" t="s">
        <v>54</v>
      </c>
      <c r="B8" s="8" t="s">
        <v>171</v>
      </c>
      <c r="C8" s="9"/>
      <c r="D8" s="10">
        <v>1</v>
      </c>
      <c r="E8" s="11"/>
      <c r="F8" s="11"/>
      <c r="G8" s="11"/>
      <c r="H8" s="11"/>
      <c r="I8" s="11"/>
      <c r="J8" s="11"/>
      <c r="K8" s="11"/>
      <c r="L8" s="11"/>
      <c r="M8" s="11"/>
      <c r="N8" s="11"/>
      <c r="O8" s="11"/>
      <c r="P8" s="11"/>
      <c r="Q8" s="11"/>
      <c r="R8" s="11"/>
      <c r="S8" s="11"/>
      <c r="T8" s="11"/>
      <c r="U8" s="11"/>
      <c r="V8" s="12" t="s">
        <v>87</v>
      </c>
      <c r="W8" s="69"/>
      <c r="X8" s="69"/>
      <c r="Y8" s="69"/>
      <c r="Z8" s="69"/>
      <c r="AA8" s="69"/>
      <c r="AB8" s="69"/>
      <c r="AC8" s="69"/>
    </row>
    <row r="9" spans="1:29" ht="5.0999999999999996" customHeight="1">
      <c r="A9" s="13"/>
      <c r="B9" s="13"/>
      <c r="C9" s="13"/>
      <c r="D9" s="13"/>
      <c r="E9" s="13"/>
      <c r="F9" s="13"/>
      <c r="G9" s="13"/>
      <c r="H9" s="13"/>
      <c r="I9" s="13"/>
      <c r="J9" s="13"/>
      <c r="K9" s="13"/>
      <c r="L9" s="13"/>
      <c r="M9" s="13"/>
      <c r="N9" s="13"/>
      <c r="O9" s="13"/>
      <c r="P9" s="13"/>
      <c r="Q9" s="13"/>
      <c r="R9" s="13"/>
      <c r="S9" s="13"/>
      <c r="T9" s="13"/>
      <c r="U9" s="13"/>
      <c r="V9" s="13"/>
      <c r="W9" s="69"/>
      <c r="X9" s="69"/>
      <c r="Y9" s="69"/>
      <c r="Z9" s="69"/>
      <c r="AA9" s="69"/>
      <c r="AB9" s="69"/>
      <c r="AC9" s="69"/>
    </row>
    <row r="10" spans="1:29" ht="18" customHeight="1">
      <c r="A10" s="85" t="s">
        <v>27</v>
      </c>
      <c r="B10" s="73"/>
      <c r="C10" s="73"/>
      <c r="D10" s="73"/>
      <c r="E10" s="73"/>
      <c r="F10" s="73"/>
      <c r="G10" s="73"/>
      <c r="H10" s="73"/>
      <c r="I10" s="73"/>
      <c r="J10" s="73"/>
      <c r="K10" s="73"/>
      <c r="L10" s="73"/>
      <c r="M10" s="73"/>
      <c r="N10" s="73"/>
      <c r="O10" s="73"/>
      <c r="P10" s="73"/>
      <c r="Q10" s="73"/>
      <c r="R10" s="73"/>
      <c r="S10" s="73"/>
      <c r="T10" s="73"/>
      <c r="U10" s="73"/>
      <c r="V10" s="73"/>
      <c r="W10" s="69"/>
      <c r="X10" s="69"/>
      <c r="Y10" s="69"/>
      <c r="Z10" s="69"/>
      <c r="AA10" s="69"/>
      <c r="AB10" s="69"/>
      <c r="AC10" s="69"/>
    </row>
    <row r="11" spans="1:29" ht="15" customHeight="1">
      <c r="A11" s="75" t="s">
        <v>88</v>
      </c>
      <c r="B11" s="73"/>
      <c r="C11" s="73"/>
      <c r="D11" s="73"/>
      <c r="E11" s="73"/>
      <c r="F11" s="73"/>
      <c r="G11" s="73"/>
      <c r="H11" s="73"/>
      <c r="I11" s="73"/>
      <c r="J11" s="73"/>
      <c r="K11" s="73"/>
      <c r="L11" s="73"/>
      <c r="M11" s="73"/>
      <c r="N11" s="73"/>
      <c r="O11" s="73"/>
      <c r="P11" s="73"/>
      <c r="Q11" s="73"/>
      <c r="R11" s="73"/>
      <c r="S11" s="73"/>
      <c r="T11" s="73"/>
      <c r="U11" s="73"/>
      <c r="V11" s="73"/>
      <c r="W11" s="69"/>
      <c r="X11" s="69"/>
      <c r="Y11" s="69"/>
      <c r="Z11" s="69"/>
      <c r="AA11" s="69"/>
      <c r="AB11" s="69"/>
      <c r="AC11" s="69"/>
    </row>
    <row r="12" spans="1:29" ht="11.1" customHeight="1">
      <c r="A12" s="76" t="s">
        <v>89</v>
      </c>
      <c r="B12" s="73"/>
      <c r="C12" s="73"/>
      <c r="D12" s="73"/>
      <c r="E12" s="73"/>
      <c r="F12" s="73"/>
      <c r="G12" s="73"/>
      <c r="H12" s="73"/>
      <c r="I12" s="73"/>
      <c r="J12" s="73"/>
      <c r="K12" s="73"/>
      <c r="L12" s="73"/>
      <c r="M12" s="73"/>
      <c r="N12" s="73"/>
      <c r="O12" s="73"/>
      <c r="P12" s="73"/>
      <c r="Q12" s="73"/>
      <c r="R12" s="73"/>
      <c r="S12" s="73"/>
      <c r="T12" s="73"/>
      <c r="U12" s="73"/>
      <c r="V12" s="73"/>
      <c r="W12" s="69"/>
      <c r="X12" s="69"/>
      <c r="Y12" s="69"/>
      <c r="Z12" s="69"/>
      <c r="AA12" s="69"/>
      <c r="AB12" s="69"/>
      <c r="AC12" s="69"/>
    </row>
    <row r="13" spans="1:29" ht="20.100000000000001" customHeight="1">
      <c r="A13" s="14" t="s">
        <v>92</v>
      </c>
      <c r="B13" s="15" t="s">
        <v>108</v>
      </c>
      <c r="C13" s="16" t="str">
        <f>IFERROR(INDEX(EJERCICIOS!$D$3:$D$75,MATCH(A13&amp;"|"&amp;B13,EJERCICIOS!$G$3:$G$75,0)),"--")</f>
        <v>polea</v>
      </c>
      <c r="D13" s="17">
        <v>3</v>
      </c>
      <c r="E13" s="18">
        <f>IFERROR(LOOKUP(2,1/(MEDIDAS_Y_PESO!$B$3:$B$3&lt;&gt;""),MEDIDAS_Y_PESO!$B$3:$B$3),"--")</f>
        <v>80</v>
      </c>
      <c r="F13" s="19"/>
      <c r="G13" s="20"/>
      <c r="H13" s="21"/>
      <c r="I13" s="19"/>
      <c r="J13" s="20"/>
      <c r="K13" s="21"/>
      <c r="L13" s="19"/>
      <c r="M13" s="20"/>
      <c r="N13" s="21"/>
      <c r="O13" s="19"/>
      <c r="P13" s="20"/>
      <c r="Q13" s="21"/>
      <c r="R13" s="19"/>
      <c r="S13" s="20"/>
      <c r="T13" s="21"/>
      <c r="U13" s="22" t="str">
        <f>IFERROR(IF(IF(X13&gt;0,X13,IF(Z13&gt;0,Z13,IF(AB13&gt;0,AB13,0)))=0,"--",ROUND(CHOOSE(IF(X13&gt;0,X13,IF(Z13&gt;0,Z13,IF(AB13&gt;0,AB13,0))),IF(C13="peso_corporal",IF(ISNUMBER(E13),E13,0)+F13,F13)*(1+G13/30),IF(C13="peso_corporal",IF(ISNUMBER(E13),E13,0)+I13,I13)*(1+J13/30),IF(C13="peso_corporal",IF(ISNUMBER(E13),E13,0)+L13,L13)*(1+M13/30),IF(C13="peso_corporal",IF(ISNUMBER(E13),E13,0)+O13,O13)*(1+P13/30),IF(C13="peso_corporal",IF(ISNUMBER(E13),E13,0)+R13,R13)*(1+S13/30)),1)),"--")</f>
        <v>--</v>
      </c>
      <c r="V13" s="23" t="str">
        <f>IF(SUGERENCIAS!N54="SIN","Sin datos anteriores",IF(SUGERENCIAS!N54="SUBIR_F","^ SUBIR FUERTE | Kg:"&amp;ROUND(SUGERENCIAS!K54,1)&amp;" R:"&amp;ROUND(SUGERENCIAS!L54,0)&amp;" RIR:"&amp;ROUND(SUGERENCIAS!M54,0),IF(SUGERENCIAS!N54="SUBIR_E","^ SUBIR (Est.) | Kg:"&amp;ROUND(SUGERENCIAS!K54,1)&amp;" R:"&amp;ROUND(SUGERENCIAS!L54,0)&amp;" RIR:"&amp;ROUND(SUGERENCIAS!M54,0),IF(SUGERENCIAS!N54="SUBIR","^ SUBIR | Kg:"&amp;ROUND(SUGERENCIAS!K54,1)&amp;" R:"&amp;ROUND(SUGERENCIAS!L54,0)&amp;" RIR:"&amp;ROUND(SUGERENCIAS!M54,0),IF(SUGERENCIAS!N54="BAJAR","v BAJAR | Kg:"&amp;ROUND(SUGERENCIAS!K54,1)&amp;" R:"&amp;ROUND(SUGERENCIAS!L54,0)&amp;" RIR:"&amp;ROUND(SUGERENCIAS!M54,0),"= MANT | Kg:"&amp;ROUND(SUGERENCIAS!K54,1)&amp;" R:"&amp;ROUND(SUGERENCIAS!L54,0)&amp;" RIR:"&amp;ROUND(SUGERENCIAS!M54,0))))))</f>
        <v>Sin datos anteriores</v>
      </c>
      <c r="W13" s="69">
        <f>MAX(IF((G13&gt;0)*(IF(H13="",-1,H13)&gt;=1)*(IF(H13="",-1,H13)&lt;=3),IF(C13="peso_corporal",IF(ISNUMBER(E13),E13,0)+F13,F13)*G13*1000+F13,0),IF((J13&gt;0)*(IF(K13="",-1,K13)&gt;=1)*(IF(K13="",-1,K13)&lt;=3),IF(C13="peso_corporal",IF(ISNUMBER(E13),E13,0)+I13,I13)*J13*1000+I13,0),IF((M13&gt;0)*(IF(N13="",-1,N13)&gt;=1)*(IF(N13="",-1,N13)&lt;=3),IF(C13="peso_corporal",IF(ISNUMBER(E13),E13,0)+L13,L13)*M13*1000+L13,0),IF((P13&gt;0)*(IF(Q13="",-1,Q13)&gt;=1)*(IF(Q13="",-1,Q13)&lt;=3),IF(C13="peso_corporal",IF(ISNUMBER(E13),E13,0)+O13,O13)*P13*1000+O13,0),IF((S13&gt;0)*(IF(T13="",-1,T13)&gt;=1)*(IF(T13="",-1,T13)&lt;=3),IF(C13="peso_corporal",IF(ISNUMBER(E13),E13,0)+R13,R13)*S13*1000+R13,0))</f>
        <v>0</v>
      </c>
      <c r="X13" s="69">
        <f>IF(W13=0,0,IF(IF((S13&gt;0)*(IF(T13="",-1,T13)&gt;=1)*(IF(T13="",-1,T13)&lt;=3),IF(C13="peso_corporal",IF(ISNUMBER(E13),E13,0)+R13,R13)*S13*1000+R13,0)=W13,5,IF(IF((P13&gt;0)*(IF(Q13="",-1,Q13)&gt;=1)*(IF(Q13="",-1,Q13)&lt;=3),IF(C13="peso_corporal",IF(ISNUMBER(E13),E13,0)+O13,O13)*P13*1000+O13,0)=W13,4,IF(IF((M13&gt;0)*(IF(N13="",-1,N13)&gt;=1)*(IF(N13="",-1,N13)&lt;=3),IF(C13="peso_corporal",IF(ISNUMBER(E13),E13,0)+L13,L13)*M13*1000+L13,0)=W13,3,IF(IF((J13&gt;0)*(IF(K13="",-1,K13)&gt;=1)*(IF(K13="",-1,K13)&lt;=3),IF(C13="peso_corporal",IF(ISNUMBER(E13),E13,0)+I13,I13)*J13*1000+I13,0)=W13,2,IF(IF((G13&gt;0)*(IF(H13="",-1,H13)&gt;=1)*(IF(H13="",-1,H13)&lt;=3),IF(C13="peso_corporal",IF(ISNUMBER(E13),E13,0)+F13,F13)*G13*1000+F13,0)=W13,1,0))))))</f>
        <v>0</v>
      </c>
      <c r="Y13" s="69">
        <f>MAX(IF((G13&gt;0)*(IF(H13="",-1,H13)=0)*(1-(IF(H13="",-1,H13)&gt;=1)*(IF(H13="",-1,H13)&lt;=3)),IF(C13="peso_corporal",IF(ISNUMBER(E13),E13,0)+F13,F13)*G13*1000+F13,0),IF((J13&gt;0)*(IF(K13="",-1,K13)=0)*(1-(IF(K13="",-1,K13)&gt;=1)*(IF(K13="",-1,K13)&lt;=3)),IF(C13="peso_corporal",IF(ISNUMBER(E13),E13,0)+I13,I13)*J13*1000+I13,0),IF((M13&gt;0)*(IF(N13="",-1,N13)=0)*(1-(IF(N13="",-1,N13)&gt;=1)*(IF(N13="",-1,N13)&lt;=3)),IF(C13="peso_corporal",IF(ISNUMBER(E13),E13,0)+L13,L13)*M13*1000+L13,0),IF((P13&gt;0)*(IF(Q13="",-1,Q13)=0)*(1-(IF(Q13="",-1,Q13)&gt;=1)*(IF(Q13="",-1,Q13)&lt;=3)),IF(C13="peso_corporal",IF(ISNUMBER(E13),E13,0)+O13,O13)*P13*1000+O13,0),IF((S13&gt;0)*(IF(T13="",-1,T13)=0)*(1-(IF(T13="",-1,T13)&gt;=1)*(IF(T13="",-1,T13)&lt;=3)),IF(C13="peso_corporal",IF(ISNUMBER(E13),E13,0)+R13,R13)*S13*1000+R13,0))</f>
        <v>0</v>
      </c>
      <c r="Z13" s="69">
        <f>IF(Y13=0,0,IF(IF((S13&gt;0)*(IF(T13="",-1,T13)=0)*(1-(IF(T13="",-1,T13)&gt;=1)*(IF(T13="",-1,T13)&lt;=3)),IF(C13="peso_corporal",IF(ISNUMBER(E13),E13,0)+R13,R13)*S13*1000+R13,0)=Y13,5,IF(IF((P13&gt;0)*(IF(Q13="",-1,Q13)=0)*(1-(IF(Q13="",-1,Q13)&gt;=1)*(IF(Q13="",-1,Q13)&lt;=3)),IF(C13="peso_corporal",IF(ISNUMBER(E13),E13,0)+O13,O13)*P13*1000+O13,0)=Y13,4,IF(IF((M13&gt;0)*(IF(N13="",-1,N13)=0)*(1-(IF(N13="",-1,N13)&gt;=1)*(IF(N13="",-1,N13)&lt;=3)),IF(C13="peso_corporal",IF(ISNUMBER(E13),E13,0)+L13,L13)*M13*1000+L13,0)=Y13,3,IF(IF((J13&gt;0)*(IF(K13="",-1,K13)=0)*(1-(IF(K13="",-1,K13)&gt;=1)*(IF(K13="",-1,K13)&lt;=3)),IF(C13="peso_corporal",IF(ISNUMBER(E13),E13,0)+I13,I13)*J13*1000+I13,0)=Y13,2,IF(IF((G13&gt;0)*(IF(H13="",-1,H13)=0)*(1-(IF(H13="",-1,H13)&gt;=1)*(IF(H13="",-1,H13)&lt;=3)),IF(C13="peso_corporal",IF(ISNUMBER(E13),E13,0)+F13,F13)*G13*1000+F13,0)=Y13,1,0))))))</f>
        <v>0</v>
      </c>
      <c r="AA13" s="69">
        <f>MAX(IF((G13&gt;=6)*(1-(IF(H13="",-1,H13)&gt;=1)*(IF(H13="",-1,H13)&lt;=3))*(1-(IF(H13="",-1,H13)=0)),IF(C13="peso_corporal",IF(ISNUMBER(E13),E13,0)+F13,F13)*(30+G13)*100+F13,0),IF((J13&gt;=6)*(1-(IF(K13="",-1,K13)&gt;=1)*(IF(K13="",-1,K13)&lt;=3))*(1-(IF(K13="",-1,K13)=0)),IF(C13="peso_corporal",IF(ISNUMBER(E13),E13,0)+I13,I13)*(30+J13)*100+I13,0),IF((M13&gt;=6)*(1-(IF(N13="",-1,N13)&gt;=1)*(IF(N13="",-1,N13)&lt;=3))*(1-(IF(N13="",-1,N13)=0)),IF(C13="peso_corporal",IF(ISNUMBER(E13),E13,0)+L13,L13)*(30+M13)*100+L13,0),IF((P13&gt;=6)*(1-(IF(Q13="",-1,Q13)&gt;=1)*(IF(Q13="",-1,Q13)&lt;=3))*(1-(IF(Q13="",-1,Q13)=0)),IF(C13="peso_corporal",IF(ISNUMBER(E13),E13,0)+O13,O13)*(30+P13)*100+O13,0),IF((S13&gt;=6)*(1-(IF(T13="",-1,T13)&gt;=1)*(IF(T13="",-1,T13)&lt;=3))*(1-(IF(T13="",-1,T13)=0)),IF(C13="peso_corporal",IF(ISNUMBER(E13),E13,0)+R13,R13)*(30+S13)*100+R13,0))</f>
        <v>0</v>
      </c>
      <c r="AB13" s="69">
        <f>IF(AA13=0,0,IF(IF((S13&gt;=6)*(1-(IF(T13="",-1,T13)&gt;=1)*(IF(T13="",-1,T13)&lt;=3))*(1-(IF(T13="",-1,T13)=0)),IF(C13="peso_corporal",IF(ISNUMBER(E13),E13,0)+R13,R13)*(30+S13)*100+R13,0)=AA13,5,IF(IF((P13&gt;=6)*(1-(IF(Q13="",-1,Q13)&gt;=1)*(IF(Q13="",-1,Q13)&lt;=3))*(1-(IF(Q13="",-1,Q13)=0)),IF(C13="peso_corporal",IF(ISNUMBER(E13),E13,0)+O13,O13)*(30+P13)*100+O13,0)=AA13,4,IF(IF((M13&gt;=6)*(1-(IF(N13="",-1,N13)&gt;=1)*(IF(N13="",-1,N13)&lt;=3))*(1-(IF(N13="",-1,N13)=0)),IF(C13="peso_corporal",IF(ISNUMBER(E13),E13,0)+L13,L13)*(30+M13)*100+L13,0)=AA13,3,IF(IF((J13&gt;=6)*(1-(IF(K13="",-1,K13)&gt;=1)*(IF(K13="",-1,K13)&lt;=3))*(1-(IF(K13="",-1,K13)=0)),IF(C13="peso_corporal",IF(ISNUMBER(E13),E13,0)+I13,I13)*(30+J13)*100+I13,0)=AA13,2,IF(IF((G13&gt;=6)*(1-(IF(H13="",-1,H13)&gt;=1)*(IF(H13="",-1,H13)&lt;=3))*(1-(IF(H13="",-1,H13)=0)),IF(C13="peso_corporal",IF(ISNUMBER(E13),E13,0)+F13,F13)*(30+G13)*100+F13,0)=AA13,1,0))))))</f>
        <v>0</v>
      </c>
      <c r="AC13" s="69" t="str">
        <f>IF(X13&gt;0,"A"&amp;X13,IF(Z13&gt;0,"B"&amp;Z13,IF(AB13&gt;0,"C"&amp;AB13,"")))</f>
        <v/>
      </c>
    </row>
    <row r="14" spans="1:29" ht="11.1" customHeight="1">
      <c r="A14" s="84" t="s">
        <v>94</v>
      </c>
      <c r="B14" s="73"/>
      <c r="C14" s="73"/>
      <c r="D14" s="73"/>
      <c r="E14" s="73"/>
      <c r="F14" s="73"/>
      <c r="G14" s="73"/>
      <c r="H14" s="73"/>
      <c r="I14" s="73"/>
      <c r="J14" s="73"/>
      <c r="K14" s="73"/>
      <c r="L14" s="73"/>
      <c r="M14" s="73"/>
      <c r="N14" s="73"/>
      <c r="O14" s="73"/>
      <c r="P14" s="73"/>
      <c r="Q14" s="73"/>
      <c r="R14" s="73"/>
      <c r="S14" s="73"/>
      <c r="T14" s="73"/>
      <c r="U14" s="73"/>
      <c r="V14" s="73"/>
      <c r="W14" s="69"/>
      <c r="X14" s="69"/>
      <c r="Y14" s="69"/>
      <c r="Z14" s="69"/>
      <c r="AA14" s="69"/>
      <c r="AB14" s="69"/>
      <c r="AC14" s="69"/>
    </row>
    <row r="15" spans="1:29" ht="20.100000000000001" customHeight="1">
      <c r="A15" s="14" t="s">
        <v>95</v>
      </c>
      <c r="B15" s="15" t="s">
        <v>172</v>
      </c>
      <c r="C15" s="16" t="str">
        <f>IFERROR(INDEX(EJERCICIOS!$D$3:$D$75,MATCH(A15&amp;"|"&amp;B15,EJERCICIOS!$G$3:$G$75,0)),"--")</f>
        <v>polea</v>
      </c>
      <c r="D15" s="17">
        <v>3</v>
      </c>
      <c r="E15" s="18">
        <f>IFERROR(LOOKUP(2,1/(MEDIDAS_Y_PESO!$B$3:$B$3&lt;&gt;""),MEDIDAS_Y_PESO!$B$3:$B$3),"--")</f>
        <v>80</v>
      </c>
      <c r="F15" s="19"/>
      <c r="G15" s="20"/>
      <c r="H15" s="21"/>
      <c r="I15" s="19"/>
      <c r="J15" s="20"/>
      <c r="K15" s="21"/>
      <c r="L15" s="19"/>
      <c r="M15" s="20"/>
      <c r="N15" s="21"/>
      <c r="O15" s="19"/>
      <c r="P15" s="20"/>
      <c r="Q15" s="21"/>
      <c r="R15" s="19"/>
      <c r="S15" s="20"/>
      <c r="T15" s="21"/>
      <c r="U15" s="22" t="str">
        <f>IFERROR(IF(IF(X15&gt;0,X15,IF(Z15&gt;0,Z15,IF(AB15&gt;0,AB15,0)))=0,"--",ROUND(CHOOSE(IF(X15&gt;0,X15,IF(Z15&gt;0,Z15,IF(AB15&gt;0,AB15,0))),IF(C15="peso_corporal",IF(ISNUMBER(E15),E15,0)+F15,F15)*(1+G15/30),IF(C15="peso_corporal",IF(ISNUMBER(E15),E15,0)+I15,I15)*(1+J15/30),IF(C15="peso_corporal",IF(ISNUMBER(E15),E15,0)+L15,L15)*(1+M15/30),IF(C15="peso_corporal",IF(ISNUMBER(E15),E15,0)+O15,O15)*(1+P15/30),IF(C15="peso_corporal",IF(ISNUMBER(E15),E15,0)+R15,R15)*(1+S15/30)),1)),"--")</f>
        <v>--</v>
      </c>
      <c r="V15" s="23" t="str">
        <f>IF(SUGERENCIAS!N55="SIN","Sin datos anteriores",IF(SUGERENCIAS!N55="SUBIR_F","^ SUBIR FUERTE | Kg:"&amp;ROUND(SUGERENCIAS!K55,1)&amp;" R:"&amp;ROUND(SUGERENCIAS!L55,0)&amp;" RIR:"&amp;ROUND(SUGERENCIAS!M55,0),IF(SUGERENCIAS!N55="SUBIR_E","^ SUBIR (Est.) | Kg:"&amp;ROUND(SUGERENCIAS!K55,1)&amp;" R:"&amp;ROUND(SUGERENCIAS!L55,0)&amp;" RIR:"&amp;ROUND(SUGERENCIAS!M55,0),IF(SUGERENCIAS!N55="SUBIR","^ SUBIR | Kg:"&amp;ROUND(SUGERENCIAS!K55,1)&amp;" R:"&amp;ROUND(SUGERENCIAS!L55,0)&amp;" RIR:"&amp;ROUND(SUGERENCIAS!M55,0),IF(SUGERENCIAS!N55="BAJAR","v BAJAR | Kg:"&amp;ROUND(SUGERENCIAS!K55,1)&amp;" R:"&amp;ROUND(SUGERENCIAS!L55,0)&amp;" RIR:"&amp;ROUND(SUGERENCIAS!M55,0),"= MANT | Kg:"&amp;ROUND(SUGERENCIAS!K55,1)&amp;" R:"&amp;ROUND(SUGERENCIAS!L55,0)&amp;" RIR:"&amp;ROUND(SUGERENCIAS!M55,0))))))</f>
        <v>Sin datos anteriores</v>
      </c>
      <c r="W15" s="69">
        <f>MAX(IF((G15&gt;0)*(IF(H15="",-1,H15)&gt;=1)*(IF(H15="",-1,H15)&lt;=3),IF(C15="peso_corporal",IF(ISNUMBER(E15),E15,0)+F15,F15)*G15*1000+F15,0),IF((J15&gt;0)*(IF(K15="",-1,K15)&gt;=1)*(IF(K15="",-1,K15)&lt;=3),IF(C15="peso_corporal",IF(ISNUMBER(E15),E15,0)+I15,I15)*J15*1000+I15,0),IF((M15&gt;0)*(IF(N15="",-1,N15)&gt;=1)*(IF(N15="",-1,N15)&lt;=3),IF(C15="peso_corporal",IF(ISNUMBER(E15),E15,0)+L15,L15)*M15*1000+L15,0),IF((P15&gt;0)*(IF(Q15="",-1,Q15)&gt;=1)*(IF(Q15="",-1,Q15)&lt;=3),IF(C15="peso_corporal",IF(ISNUMBER(E15),E15,0)+O15,O15)*P15*1000+O15,0),IF((S15&gt;0)*(IF(T15="",-1,T15)&gt;=1)*(IF(T15="",-1,T15)&lt;=3),IF(C15="peso_corporal",IF(ISNUMBER(E15),E15,0)+R15,R15)*S15*1000+R15,0))</f>
        <v>0</v>
      </c>
      <c r="X15" s="69">
        <f>IF(W15=0,0,IF(IF((S15&gt;0)*(IF(T15="",-1,T15)&gt;=1)*(IF(T15="",-1,T15)&lt;=3),IF(C15="peso_corporal",IF(ISNUMBER(E15),E15,0)+R15,R15)*S15*1000+R15,0)=W15,5,IF(IF((P15&gt;0)*(IF(Q15="",-1,Q15)&gt;=1)*(IF(Q15="",-1,Q15)&lt;=3),IF(C15="peso_corporal",IF(ISNUMBER(E15),E15,0)+O15,O15)*P15*1000+O15,0)=W15,4,IF(IF((M15&gt;0)*(IF(N15="",-1,N15)&gt;=1)*(IF(N15="",-1,N15)&lt;=3),IF(C15="peso_corporal",IF(ISNUMBER(E15),E15,0)+L15,L15)*M15*1000+L15,0)=W15,3,IF(IF((J15&gt;0)*(IF(K15="",-1,K15)&gt;=1)*(IF(K15="",-1,K15)&lt;=3),IF(C15="peso_corporal",IF(ISNUMBER(E15),E15,0)+I15,I15)*J15*1000+I15,0)=W15,2,IF(IF((G15&gt;0)*(IF(H15="",-1,H15)&gt;=1)*(IF(H15="",-1,H15)&lt;=3),IF(C15="peso_corporal",IF(ISNUMBER(E15),E15,0)+F15,F15)*G15*1000+F15,0)=W15,1,0))))))</f>
        <v>0</v>
      </c>
      <c r="Y15" s="69">
        <f>MAX(IF((G15&gt;0)*(IF(H15="",-1,H15)=0)*(1-(IF(H15="",-1,H15)&gt;=1)*(IF(H15="",-1,H15)&lt;=3)),IF(C15="peso_corporal",IF(ISNUMBER(E15),E15,0)+F15,F15)*G15*1000+F15,0),IF((J15&gt;0)*(IF(K15="",-1,K15)=0)*(1-(IF(K15="",-1,K15)&gt;=1)*(IF(K15="",-1,K15)&lt;=3)),IF(C15="peso_corporal",IF(ISNUMBER(E15),E15,0)+I15,I15)*J15*1000+I15,0),IF((M15&gt;0)*(IF(N15="",-1,N15)=0)*(1-(IF(N15="",-1,N15)&gt;=1)*(IF(N15="",-1,N15)&lt;=3)),IF(C15="peso_corporal",IF(ISNUMBER(E15),E15,0)+L15,L15)*M15*1000+L15,0),IF((P15&gt;0)*(IF(Q15="",-1,Q15)=0)*(1-(IF(Q15="",-1,Q15)&gt;=1)*(IF(Q15="",-1,Q15)&lt;=3)),IF(C15="peso_corporal",IF(ISNUMBER(E15),E15,0)+O15,O15)*P15*1000+O15,0),IF((S15&gt;0)*(IF(T15="",-1,T15)=0)*(1-(IF(T15="",-1,T15)&gt;=1)*(IF(T15="",-1,T15)&lt;=3)),IF(C15="peso_corporal",IF(ISNUMBER(E15),E15,0)+R15,R15)*S15*1000+R15,0))</f>
        <v>0</v>
      </c>
      <c r="Z15" s="69">
        <f>IF(Y15=0,0,IF(IF((S15&gt;0)*(IF(T15="",-1,T15)=0)*(1-(IF(T15="",-1,T15)&gt;=1)*(IF(T15="",-1,T15)&lt;=3)),IF(C15="peso_corporal",IF(ISNUMBER(E15),E15,0)+R15,R15)*S15*1000+R15,0)=Y15,5,IF(IF((P15&gt;0)*(IF(Q15="",-1,Q15)=0)*(1-(IF(Q15="",-1,Q15)&gt;=1)*(IF(Q15="",-1,Q15)&lt;=3)),IF(C15="peso_corporal",IF(ISNUMBER(E15),E15,0)+O15,O15)*P15*1000+O15,0)=Y15,4,IF(IF((M15&gt;0)*(IF(N15="",-1,N15)=0)*(1-(IF(N15="",-1,N15)&gt;=1)*(IF(N15="",-1,N15)&lt;=3)),IF(C15="peso_corporal",IF(ISNUMBER(E15),E15,0)+L15,L15)*M15*1000+L15,0)=Y15,3,IF(IF((J15&gt;0)*(IF(K15="",-1,K15)=0)*(1-(IF(K15="",-1,K15)&gt;=1)*(IF(K15="",-1,K15)&lt;=3)),IF(C15="peso_corporal",IF(ISNUMBER(E15),E15,0)+I15,I15)*J15*1000+I15,0)=Y15,2,IF(IF((G15&gt;0)*(IF(H15="",-1,H15)=0)*(1-(IF(H15="",-1,H15)&gt;=1)*(IF(H15="",-1,H15)&lt;=3)),IF(C15="peso_corporal",IF(ISNUMBER(E15),E15,0)+F15,F15)*G15*1000+F15,0)=Y15,1,0))))))</f>
        <v>0</v>
      </c>
      <c r="AA15" s="69">
        <f>MAX(IF((G15&gt;=6)*(1-(IF(H15="",-1,H15)&gt;=1)*(IF(H15="",-1,H15)&lt;=3))*(1-(IF(H15="",-1,H15)=0)),IF(C15="peso_corporal",IF(ISNUMBER(E15),E15,0)+F15,F15)*(30+G15)*100+F15,0),IF((J15&gt;=6)*(1-(IF(K15="",-1,K15)&gt;=1)*(IF(K15="",-1,K15)&lt;=3))*(1-(IF(K15="",-1,K15)=0)),IF(C15="peso_corporal",IF(ISNUMBER(E15),E15,0)+I15,I15)*(30+J15)*100+I15,0),IF((M15&gt;=6)*(1-(IF(N15="",-1,N15)&gt;=1)*(IF(N15="",-1,N15)&lt;=3))*(1-(IF(N15="",-1,N15)=0)),IF(C15="peso_corporal",IF(ISNUMBER(E15),E15,0)+L15,L15)*(30+M15)*100+L15,0),IF((P15&gt;=6)*(1-(IF(Q15="",-1,Q15)&gt;=1)*(IF(Q15="",-1,Q15)&lt;=3))*(1-(IF(Q15="",-1,Q15)=0)),IF(C15="peso_corporal",IF(ISNUMBER(E15),E15,0)+O15,O15)*(30+P15)*100+O15,0),IF((S15&gt;=6)*(1-(IF(T15="",-1,T15)&gt;=1)*(IF(T15="",-1,T15)&lt;=3))*(1-(IF(T15="",-1,T15)=0)),IF(C15="peso_corporal",IF(ISNUMBER(E15),E15,0)+R15,R15)*(30+S15)*100+R15,0))</f>
        <v>0</v>
      </c>
      <c r="AB15" s="69">
        <f>IF(AA15=0,0,IF(IF((S15&gt;=6)*(1-(IF(T15="",-1,T15)&gt;=1)*(IF(T15="",-1,T15)&lt;=3))*(1-(IF(T15="",-1,T15)=0)),IF(C15="peso_corporal",IF(ISNUMBER(E15),E15,0)+R15,R15)*(30+S15)*100+R15,0)=AA15,5,IF(IF((P15&gt;=6)*(1-(IF(Q15="",-1,Q15)&gt;=1)*(IF(Q15="",-1,Q15)&lt;=3))*(1-(IF(Q15="",-1,Q15)=0)),IF(C15="peso_corporal",IF(ISNUMBER(E15),E15,0)+O15,O15)*(30+P15)*100+O15,0)=AA15,4,IF(IF((M15&gt;=6)*(1-(IF(N15="",-1,N15)&gt;=1)*(IF(N15="",-1,N15)&lt;=3))*(1-(IF(N15="",-1,N15)=0)),IF(C15="peso_corporal",IF(ISNUMBER(E15),E15,0)+L15,L15)*(30+M15)*100+L15,0)=AA15,3,IF(IF((J15&gt;=6)*(1-(IF(K15="",-1,K15)&gt;=1)*(IF(K15="",-1,K15)&lt;=3))*(1-(IF(K15="",-1,K15)=0)),IF(C15="peso_corporal",IF(ISNUMBER(E15),E15,0)+I15,I15)*(30+J15)*100+I15,0)=AA15,2,IF(IF((G15&gt;=6)*(1-(IF(H15="",-1,H15)&gt;=1)*(IF(H15="",-1,H15)&lt;=3))*(1-(IF(H15="",-1,H15)=0)),IF(C15="peso_corporal",IF(ISNUMBER(E15),E15,0)+F15,F15)*(30+G15)*100+F15,0)=AA15,1,0))))))</f>
        <v>0</v>
      </c>
      <c r="AC15" s="69" t="str">
        <f>IF(X15&gt;0,"A"&amp;X15,IF(Z15&gt;0,"B"&amp;Z15,IF(AB15&gt;0,"C"&amp;AB15,"")))</f>
        <v/>
      </c>
    </row>
    <row r="16" spans="1:29" ht="20.100000000000001" customHeight="1">
      <c r="A16" s="14" t="s">
        <v>95</v>
      </c>
      <c r="B16" s="15" t="s">
        <v>173</v>
      </c>
      <c r="C16" s="16" t="str">
        <f>IFERROR(INDEX(EJERCICIOS!$D$3:$D$75,MATCH(A16&amp;"|"&amp;B16,EJERCICIOS!$G$3:$G$75,0)),"--")</f>
        <v>polea</v>
      </c>
      <c r="D16" s="17">
        <v>3</v>
      </c>
      <c r="E16" s="18">
        <f>IFERROR(LOOKUP(2,1/(MEDIDAS_Y_PESO!$B$3:$B$3&lt;&gt;""),MEDIDAS_Y_PESO!$B$3:$B$3),"--")</f>
        <v>80</v>
      </c>
      <c r="F16" s="19"/>
      <c r="G16" s="20"/>
      <c r="H16" s="21"/>
      <c r="I16" s="19"/>
      <c r="J16" s="20"/>
      <c r="K16" s="21"/>
      <c r="L16" s="19"/>
      <c r="M16" s="20"/>
      <c r="N16" s="21"/>
      <c r="O16" s="19"/>
      <c r="P16" s="20"/>
      <c r="Q16" s="21"/>
      <c r="R16" s="19"/>
      <c r="S16" s="20"/>
      <c r="T16" s="21"/>
      <c r="U16" s="22" t="str">
        <f>IFERROR(IF(IF(X16&gt;0,X16,IF(Z16&gt;0,Z16,IF(AB16&gt;0,AB16,0)))=0,"--",ROUND(CHOOSE(IF(X16&gt;0,X16,IF(Z16&gt;0,Z16,IF(AB16&gt;0,AB16,0))),IF(C16="peso_corporal",IF(ISNUMBER(E16),E16,0)+F16,F16)*(1+G16/30),IF(C16="peso_corporal",IF(ISNUMBER(E16),E16,0)+I16,I16)*(1+J16/30),IF(C16="peso_corporal",IF(ISNUMBER(E16),E16,0)+L16,L16)*(1+M16/30),IF(C16="peso_corporal",IF(ISNUMBER(E16),E16,0)+O16,O16)*(1+P16/30),IF(C16="peso_corporal",IF(ISNUMBER(E16),E16,0)+R16,R16)*(1+S16/30)),1)),"--")</f>
        <v>--</v>
      </c>
      <c r="V16" s="23" t="str">
        <f>IF(SUGERENCIAS!N56="SIN","Sin datos anteriores",IF(SUGERENCIAS!N56="SUBIR_F","^ SUBIR FUERTE | Kg:"&amp;ROUND(SUGERENCIAS!K56,1)&amp;" R:"&amp;ROUND(SUGERENCIAS!L56,0)&amp;" RIR:"&amp;ROUND(SUGERENCIAS!M56,0),IF(SUGERENCIAS!N56="SUBIR_E","^ SUBIR (Est.) | Kg:"&amp;ROUND(SUGERENCIAS!K56,1)&amp;" R:"&amp;ROUND(SUGERENCIAS!L56,0)&amp;" RIR:"&amp;ROUND(SUGERENCIAS!M56,0),IF(SUGERENCIAS!N56="SUBIR","^ SUBIR | Kg:"&amp;ROUND(SUGERENCIAS!K56,1)&amp;" R:"&amp;ROUND(SUGERENCIAS!L56,0)&amp;" RIR:"&amp;ROUND(SUGERENCIAS!M56,0),IF(SUGERENCIAS!N56="BAJAR","v BAJAR | Kg:"&amp;ROUND(SUGERENCIAS!K56,1)&amp;" R:"&amp;ROUND(SUGERENCIAS!L56,0)&amp;" RIR:"&amp;ROUND(SUGERENCIAS!M56,0),"= MANT | Kg:"&amp;ROUND(SUGERENCIAS!K56,1)&amp;" R:"&amp;ROUND(SUGERENCIAS!L56,0)&amp;" RIR:"&amp;ROUND(SUGERENCIAS!M56,0))))))</f>
        <v>Sin datos anteriores</v>
      </c>
      <c r="W16" s="69">
        <f>MAX(IF((G16&gt;0)*(IF(H16="",-1,H16)&gt;=1)*(IF(H16="",-1,H16)&lt;=3),IF(C16="peso_corporal",IF(ISNUMBER(E16),E16,0)+F16,F16)*G16*1000+F16,0),IF((J16&gt;0)*(IF(K16="",-1,K16)&gt;=1)*(IF(K16="",-1,K16)&lt;=3),IF(C16="peso_corporal",IF(ISNUMBER(E16),E16,0)+I16,I16)*J16*1000+I16,0),IF((M16&gt;0)*(IF(N16="",-1,N16)&gt;=1)*(IF(N16="",-1,N16)&lt;=3),IF(C16="peso_corporal",IF(ISNUMBER(E16),E16,0)+L16,L16)*M16*1000+L16,0),IF((P16&gt;0)*(IF(Q16="",-1,Q16)&gt;=1)*(IF(Q16="",-1,Q16)&lt;=3),IF(C16="peso_corporal",IF(ISNUMBER(E16),E16,0)+O16,O16)*P16*1000+O16,0),IF((S16&gt;0)*(IF(T16="",-1,T16)&gt;=1)*(IF(T16="",-1,T16)&lt;=3),IF(C16="peso_corporal",IF(ISNUMBER(E16),E16,0)+R16,R16)*S16*1000+R16,0))</f>
        <v>0</v>
      </c>
      <c r="X16" s="69">
        <f>IF(W16=0,0,IF(IF((S16&gt;0)*(IF(T16="",-1,T16)&gt;=1)*(IF(T16="",-1,T16)&lt;=3),IF(C16="peso_corporal",IF(ISNUMBER(E16),E16,0)+R16,R16)*S16*1000+R16,0)=W16,5,IF(IF((P16&gt;0)*(IF(Q16="",-1,Q16)&gt;=1)*(IF(Q16="",-1,Q16)&lt;=3),IF(C16="peso_corporal",IF(ISNUMBER(E16),E16,0)+O16,O16)*P16*1000+O16,0)=W16,4,IF(IF((M16&gt;0)*(IF(N16="",-1,N16)&gt;=1)*(IF(N16="",-1,N16)&lt;=3),IF(C16="peso_corporal",IF(ISNUMBER(E16),E16,0)+L16,L16)*M16*1000+L16,0)=W16,3,IF(IF((J16&gt;0)*(IF(K16="",-1,K16)&gt;=1)*(IF(K16="",-1,K16)&lt;=3),IF(C16="peso_corporal",IF(ISNUMBER(E16),E16,0)+I16,I16)*J16*1000+I16,0)=W16,2,IF(IF((G16&gt;0)*(IF(H16="",-1,H16)&gt;=1)*(IF(H16="",-1,H16)&lt;=3),IF(C16="peso_corporal",IF(ISNUMBER(E16),E16,0)+F16,F16)*G16*1000+F16,0)=W16,1,0))))))</f>
        <v>0</v>
      </c>
      <c r="Y16" s="69">
        <f>MAX(IF((G16&gt;0)*(IF(H16="",-1,H16)=0)*(1-(IF(H16="",-1,H16)&gt;=1)*(IF(H16="",-1,H16)&lt;=3)),IF(C16="peso_corporal",IF(ISNUMBER(E16),E16,0)+F16,F16)*G16*1000+F16,0),IF((J16&gt;0)*(IF(K16="",-1,K16)=0)*(1-(IF(K16="",-1,K16)&gt;=1)*(IF(K16="",-1,K16)&lt;=3)),IF(C16="peso_corporal",IF(ISNUMBER(E16),E16,0)+I16,I16)*J16*1000+I16,0),IF((M16&gt;0)*(IF(N16="",-1,N16)=0)*(1-(IF(N16="",-1,N16)&gt;=1)*(IF(N16="",-1,N16)&lt;=3)),IF(C16="peso_corporal",IF(ISNUMBER(E16),E16,0)+L16,L16)*M16*1000+L16,0),IF((P16&gt;0)*(IF(Q16="",-1,Q16)=0)*(1-(IF(Q16="",-1,Q16)&gt;=1)*(IF(Q16="",-1,Q16)&lt;=3)),IF(C16="peso_corporal",IF(ISNUMBER(E16),E16,0)+O16,O16)*P16*1000+O16,0),IF((S16&gt;0)*(IF(T16="",-1,T16)=0)*(1-(IF(T16="",-1,T16)&gt;=1)*(IF(T16="",-1,T16)&lt;=3)),IF(C16="peso_corporal",IF(ISNUMBER(E16),E16,0)+R16,R16)*S16*1000+R16,0))</f>
        <v>0</v>
      </c>
      <c r="Z16" s="69">
        <f>IF(Y16=0,0,IF(IF((S16&gt;0)*(IF(T16="",-1,T16)=0)*(1-(IF(T16="",-1,T16)&gt;=1)*(IF(T16="",-1,T16)&lt;=3)),IF(C16="peso_corporal",IF(ISNUMBER(E16),E16,0)+R16,R16)*S16*1000+R16,0)=Y16,5,IF(IF((P16&gt;0)*(IF(Q16="",-1,Q16)=0)*(1-(IF(Q16="",-1,Q16)&gt;=1)*(IF(Q16="",-1,Q16)&lt;=3)),IF(C16="peso_corporal",IF(ISNUMBER(E16),E16,0)+O16,O16)*P16*1000+O16,0)=Y16,4,IF(IF((M16&gt;0)*(IF(N16="",-1,N16)=0)*(1-(IF(N16="",-1,N16)&gt;=1)*(IF(N16="",-1,N16)&lt;=3)),IF(C16="peso_corporal",IF(ISNUMBER(E16),E16,0)+L16,L16)*M16*1000+L16,0)=Y16,3,IF(IF((J16&gt;0)*(IF(K16="",-1,K16)=0)*(1-(IF(K16="",-1,K16)&gt;=1)*(IF(K16="",-1,K16)&lt;=3)),IF(C16="peso_corporal",IF(ISNUMBER(E16),E16,0)+I16,I16)*J16*1000+I16,0)=Y16,2,IF(IF((G16&gt;0)*(IF(H16="",-1,H16)=0)*(1-(IF(H16="",-1,H16)&gt;=1)*(IF(H16="",-1,H16)&lt;=3)),IF(C16="peso_corporal",IF(ISNUMBER(E16),E16,0)+F16,F16)*G16*1000+F16,0)=Y16,1,0))))))</f>
        <v>0</v>
      </c>
      <c r="AA16" s="69">
        <f>MAX(IF((G16&gt;=6)*(1-(IF(H16="",-1,H16)&gt;=1)*(IF(H16="",-1,H16)&lt;=3))*(1-(IF(H16="",-1,H16)=0)),IF(C16="peso_corporal",IF(ISNUMBER(E16),E16,0)+F16,F16)*(30+G16)*100+F16,0),IF((J16&gt;=6)*(1-(IF(K16="",-1,K16)&gt;=1)*(IF(K16="",-1,K16)&lt;=3))*(1-(IF(K16="",-1,K16)=0)),IF(C16="peso_corporal",IF(ISNUMBER(E16),E16,0)+I16,I16)*(30+J16)*100+I16,0),IF((M16&gt;=6)*(1-(IF(N16="",-1,N16)&gt;=1)*(IF(N16="",-1,N16)&lt;=3))*(1-(IF(N16="",-1,N16)=0)),IF(C16="peso_corporal",IF(ISNUMBER(E16),E16,0)+L16,L16)*(30+M16)*100+L16,0),IF((P16&gt;=6)*(1-(IF(Q16="",-1,Q16)&gt;=1)*(IF(Q16="",-1,Q16)&lt;=3))*(1-(IF(Q16="",-1,Q16)=0)),IF(C16="peso_corporal",IF(ISNUMBER(E16),E16,0)+O16,O16)*(30+P16)*100+O16,0),IF((S16&gt;=6)*(1-(IF(T16="",-1,T16)&gt;=1)*(IF(T16="",-1,T16)&lt;=3))*(1-(IF(T16="",-1,T16)=0)),IF(C16="peso_corporal",IF(ISNUMBER(E16),E16,0)+R16,R16)*(30+S16)*100+R16,0))</f>
        <v>0</v>
      </c>
      <c r="AB16" s="69">
        <f>IF(AA16=0,0,IF(IF((S16&gt;=6)*(1-(IF(T16="",-1,T16)&gt;=1)*(IF(T16="",-1,T16)&lt;=3))*(1-(IF(T16="",-1,T16)=0)),IF(C16="peso_corporal",IF(ISNUMBER(E16),E16,0)+R16,R16)*(30+S16)*100+R16,0)=AA16,5,IF(IF((P16&gt;=6)*(1-(IF(Q16="",-1,Q16)&gt;=1)*(IF(Q16="",-1,Q16)&lt;=3))*(1-(IF(Q16="",-1,Q16)=0)),IF(C16="peso_corporal",IF(ISNUMBER(E16),E16,0)+O16,O16)*(30+P16)*100+O16,0)=AA16,4,IF(IF((M16&gt;=6)*(1-(IF(N16="",-1,N16)&gt;=1)*(IF(N16="",-1,N16)&lt;=3))*(1-(IF(N16="",-1,N16)=0)),IF(C16="peso_corporal",IF(ISNUMBER(E16),E16,0)+L16,L16)*(30+M16)*100+L16,0)=AA16,3,IF(IF((J16&gt;=6)*(1-(IF(K16="",-1,K16)&gt;=1)*(IF(K16="",-1,K16)&lt;=3))*(1-(IF(K16="",-1,K16)=0)),IF(C16="peso_corporal",IF(ISNUMBER(E16),E16,0)+I16,I16)*(30+J16)*100+I16,0)=AA16,2,IF(IF((G16&gt;=6)*(1-(IF(H16="",-1,H16)&gt;=1)*(IF(H16="",-1,H16)&lt;=3))*(1-(IF(H16="",-1,H16)=0)),IF(C16="peso_corporal",IF(ISNUMBER(E16),E16,0)+F16,F16)*(30+G16)*100+F16,0)=AA16,1,0))))))</f>
        <v>0</v>
      </c>
      <c r="AC16" s="69" t="str">
        <f>IF(X16&gt;0,"A"&amp;X16,IF(Z16&gt;0,"B"&amp;Z16,IF(AB16&gt;0,"C"&amp;AB16,"")))</f>
        <v/>
      </c>
    </row>
    <row r="17" spans="1:29" ht="20.100000000000001" customHeight="1">
      <c r="A17" s="14" t="s">
        <v>163</v>
      </c>
      <c r="B17" s="15" t="s">
        <v>52</v>
      </c>
      <c r="C17" s="16" t="str">
        <f>IFERROR(INDEX(EJERCICIOS!$D$3:$D$75,MATCH(A17&amp;"|"&amp;B17,EJERCICIOS!$G$3:$G$75,0)),"--")</f>
        <v>polea</v>
      </c>
      <c r="D17" s="17">
        <v>3</v>
      </c>
      <c r="E17" s="18">
        <f>IFERROR(LOOKUP(2,1/(MEDIDAS_Y_PESO!$B$3:$B$3&lt;&gt;""),MEDIDAS_Y_PESO!$B$3:$B$3),"--")</f>
        <v>80</v>
      </c>
      <c r="F17" s="19"/>
      <c r="G17" s="20"/>
      <c r="H17" s="21"/>
      <c r="I17" s="19"/>
      <c r="J17" s="20"/>
      <c r="K17" s="21"/>
      <c r="L17" s="19"/>
      <c r="M17" s="20"/>
      <c r="N17" s="21"/>
      <c r="O17" s="19"/>
      <c r="P17" s="20"/>
      <c r="Q17" s="21"/>
      <c r="R17" s="19"/>
      <c r="S17" s="20"/>
      <c r="T17" s="21"/>
      <c r="U17" s="22" t="str">
        <f>IFERROR(IF(IF(X17&gt;0,X17,IF(Z17&gt;0,Z17,IF(AB17&gt;0,AB17,0)))=0,"--",ROUND(CHOOSE(IF(X17&gt;0,X17,IF(Z17&gt;0,Z17,IF(AB17&gt;0,AB17,0))),IF(C17="peso_corporal",IF(ISNUMBER(E17),E17,0)+F17,F17)*(1+G17/30),IF(C17="peso_corporal",IF(ISNUMBER(E17),E17,0)+I17,I17)*(1+J17/30),IF(C17="peso_corporal",IF(ISNUMBER(E17),E17,0)+L17,L17)*(1+M17/30),IF(C17="peso_corporal",IF(ISNUMBER(E17),E17,0)+O17,O17)*(1+P17/30),IF(C17="peso_corporal",IF(ISNUMBER(E17),E17,0)+R17,R17)*(1+S17/30)),1)),"--")</f>
        <v>--</v>
      </c>
      <c r="V17" s="23" t="str">
        <f>IF(SUGERENCIAS!N57="SIN","Sin datos anteriores",IF(SUGERENCIAS!N57="SUBIR_F","^ SUBIR FUERTE | Kg:"&amp;ROUND(SUGERENCIAS!K57,1)&amp;" R:"&amp;ROUND(SUGERENCIAS!L57,0)&amp;" RIR:"&amp;ROUND(SUGERENCIAS!M57,0),IF(SUGERENCIAS!N57="SUBIR_E","^ SUBIR (Est.) | Kg:"&amp;ROUND(SUGERENCIAS!K57,1)&amp;" R:"&amp;ROUND(SUGERENCIAS!L57,0)&amp;" RIR:"&amp;ROUND(SUGERENCIAS!M57,0),IF(SUGERENCIAS!N57="SUBIR","^ SUBIR | Kg:"&amp;ROUND(SUGERENCIAS!K57,1)&amp;" R:"&amp;ROUND(SUGERENCIAS!L57,0)&amp;" RIR:"&amp;ROUND(SUGERENCIAS!M57,0),IF(SUGERENCIAS!N57="BAJAR","v BAJAR | Kg:"&amp;ROUND(SUGERENCIAS!K57,1)&amp;" R:"&amp;ROUND(SUGERENCIAS!L57,0)&amp;" RIR:"&amp;ROUND(SUGERENCIAS!M57,0),"= MANT | Kg:"&amp;ROUND(SUGERENCIAS!K57,1)&amp;" R:"&amp;ROUND(SUGERENCIAS!L57,0)&amp;" RIR:"&amp;ROUND(SUGERENCIAS!M57,0))))))</f>
        <v>Sin datos anteriores</v>
      </c>
      <c r="W17" s="69">
        <f>MAX(IF((G17&gt;0)*(IF(H17="",-1,H17)&gt;=1)*(IF(H17="",-1,H17)&lt;=3),IF(C17="peso_corporal",IF(ISNUMBER(E17),E17,0)+F17,F17)*G17*1000+F17,0),IF((J17&gt;0)*(IF(K17="",-1,K17)&gt;=1)*(IF(K17="",-1,K17)&lt;=3),IF(C17="peso_corporal",IF(ISNUMBER(E17),E17,0)+I17,I17)*J17*1000+I17,0),IF((M17&gt;0)*(IF(N17="",-1,N17)&gt;=1)*(IF(N17="",-1,N17)&lt;=3),IF(C17="peso_corporal",IF(ISNUMBER(E17),E17,0)+L17,L17)*M17*1000+L17,0),IF((P17&gt;0)*(IF(Q17="",-1,Q17)&gt;=1)*(IF(Q17="",-1,Q17)&lt;=3),IF(C17="peso_corporal",IF(ISNUMBER(E17),E17,0)+O17,O17)*P17*1000+O17,0),IF((S17&gt;0)*(IF(T17="",-1,T17)&gt;=1)*(IF(T17="",-1,T17)&lt;=3),IF(C17="peso_corporal",IF(ISNUMBER(E17),E17,0)+R17,R17)*S17*1000+R17,0))</f>
        <v>0</v>
      </c>
      <c r="X17" s="69">
        <f>IF(W17=0,0,IF(IF((S17&gt;0)*(IF(T17="",-1,T17)&gt;=1)*(IF(T17="",-1,T17)&lt;=3),IF(C17="peso_corporal",IF(ISNUMBER(E17),E17,0)+R17,R17)*S17*1000+R17,0)=W17,5,IF(IF((P17&gt;0)*(IF(Q17="",-1,Q17)&gt;=1)*(IF(Q17="",-1,Q17)&lt;=3),IF(C17="peso_corporal",IF(ISNUMBER(E17),E17,0)+O17,O17)*P17*1000+O17,0)=W17,4,IF(IF((M17&gt;0)*(IF(N17="",-1,N17)&gt;=1)*(IF(N17="",-1,N17)&lt;=3),IF(C17="peso_corporal",IF(ISNUMBER(E17),E17,0)+L17,L17)*M17*1000+L17,0)=W17,3,IF(IF((J17&gt;0)*(IF(K17="",-1,K17)&gt;=1)*(IF(K17="",-1,K17)&lt;=3),IF(C17="peso_corporal",IF(ISNUMBER(E17),E17,0)+I17,I17)*J17*1000+I17,0)=W17,2,IF(IF((G17&gt;0)*(IF(H17="",-1,H17)&gt;=1)*(IF(H17="",-1,H17)&lt;=3),IF(C17="peso_corporal",IF(ISNUMBER(E17),E17,0)+F17,F17)*G17*1000+F17,0)=W17,1,0))))))</f>
        <v>0</v>
      </c>
      <c r="Y17" s="69">
        <f>MAX(IF((G17&gt;0)*(IF(H17="",-1,H17)=0)*(1-(IF(H17="",-1,H17)&gt;=1)*(IF(H17="",-1,H17)&lt;=3)),IF(C17="peso_corporal",IF(ISNUMBER(E17),E17,0)+F17,F17)*G17*1000+F17,0),IF((J17&gt;0)*(IF(K17="",-1,K17)=0)*(1-(IF(K17="",-1,K17)&gt;=1)*(IF(K17="",-1,K17)&lt;=3)),IF(C17="peso_corporal",IF(ISNUMBER(E17),E17,0)+I17,I17)*J17*1000+I17,0),IF((M17&gt;0)*(IF(N17="",-1,N17)=0)*(1-(IF(N17="",-1,N17)&gt;=1)*(IF(N17="",-1,N17)&lt;=3)),IF(C17="peso_corporal",IF(ISNUMBER(E17),E17,0)+L17,L17)*M17*1000+L17,0),IF((P17&gt;0)*(IF(Q17="",-1,Q17)=0)*(1-(IF(Q17="",-1,Q17)&gt;=1)*(IF(Q17="",-1,Q17)&lt;=3)),IF(C17="peso_corporal",IF(ISNUMBER(E17),E17,0)+O17,O17)*P17*1000+O17,0),IF((S17&gt;0)*(IF(T17="",-1,T17)=0)*(1-(IF(T17="",-1,T17)&gt;=1)*(IF(T17="",-1,T17)&lt;=3)),IF(C17="peso_corporal",IF(ISNUMBER(E17),E17,0)+R17,R17)*S17*1000+R17,0))</f>
        <v>0</v>
      </c>
      <c r="Z17" s="69">
        <f>IF(Y17=0,0,IF(IF((S17&gt;0)*(IF(T17="",-1,T17)=0)*(1-(IF(T17="",-1,T17)&gt;=1)*(IF(T17="",-1,T17)&lt;=3)),IF(C17="peso_corporal",IF(ISNUMBER(E17),E17,0)+R17,R17)*S17*1000+R17,0)=Y17,5,IF(IF((P17&gt;0)*(IF(Q17="",-1,Q17)=0)*(1-(IF(Q17="",-1,Q17)&gt;=1)*(IF(Q17="",-1,Q17)&lt;=3)),IF(C17="peso_corporal",IF(ISNUMBER(E17),E17,0)+O17,O17)*P17*1000+O17,0)=Y17,4,IF(IF((M17&gt;0)*(IF(N17="",-1,N17)=0)*(1-(IF(N17="",-1,N17)&gt;=1)*(IF(N17="",-1,N17)&lt;=3)),IF(C17="peso_corporal",IF(ISNUMBER(E17),E17,0)+L17,L17)*M17*1000+L17,0)=Y17,3,IF(IF((J17&gt;0)*(IF(K17="",-1,K17)=0)*(1-(IF(K17="",-1,K17)&gt;=1)*(IF(K17="",-1,K17)&lt;=3)),IF(C17="peso_corporal",IF(ISNUMBER(E17),E17,0)+I17,I17)*J17*1000+I17,0)=Y17,2,IF(IF((G17&gt;0)*(IF(H17="",-1,H17)=0)*(1-(IF(H17="",-1,H17)&gt;=1)*(IF(H17="",-1,H17)&lt;=3)),IF(C17="peso_corporal",IF(ISNUMBER(E17),E17,0)+F17,F17)*G17*1000+F17,0)=Y17,1,0))))))</f>
        <v>0</v>
      </c>
      <c r="AA17" s="69">
        <f>MAX(IF((G17&gt;=6)*(1-(IF(H17="",-1,H17)&gt;=1)*(IF(H17="",-1,H17)&lt;=3))*(1-(IF(H17="",-1,H17)=0)),IF(C17="peso_corporal",IF(ISNUMBER(E17),E17,0)+F17,F17)*(30+G17)*100+F17,0),IF((J17&gt;=6)*(1-(IF(K17="",-1,K17)&gt;=1)*(IF(K17="",-1,K17)&lt;=3))*(1-(IF(K17="",-1,K17)=0)),IF(C17="peso_corporal",IF(ISNUMBER(E17),E17,0)+I17,I17)*(30+J17)*100+I17,0),IF((M17&gt;=6)*(1-(IF(N17="",-1,N17)&gt;=1)*(IF(N17="",-1,N17)&lt;=3))*(1-(IF(N17="",-1,N17)=0)),IF(C17="peso_corporal",IF(ISNUMBER(E17),E17,0)+L17,L17)*(30+M17)*100+L17,0),IF((P17&gt;=6)*(1-(IF(Q17="",-1,Q17)&gt;=1)*(IF(Q17="",-1,Q17)&lt;=3))*(1-(IF(Q17="",-1,Q17)=0)),IF(C17="peso_corporal",IF(ISNUMBER(E17),E17,0)+O17,O17)*(30+P17)*100+O17,0),IF((S17&gt;=6)*(1-(IF(T17="",-1,T17)&gt;=1)*(IF(T17="",-1,T17)&lt;=3))*(1-(IF(T17="",-1,T17)=0)),IF(C17="peso_corporal",IF(ISNUMBER(E17),E17,0)+R17,R17)*(30+S17)*100+R17,0))</f>
        <v>0</v>
      </c>
      <c r="AB17" s="69">
        <f>IF(AA17=0,0,IF(IF((S17&gt;=6)*(1-(IF(T17="",-1,T17)&gt;=1)*(IF(T17="",-1,T17)&lt;=3))*(1-(IF(T17="",-1,T17)=0)),IF(C17="peso_corporal",IF(ISNUMBER(E17),E17,0)+R17,R17)*(30+S17)*100+R17,0)=AA17,5,IF(IF((P17&gt;=6)*(1-(IF(Q17="",-1,Q17)&gt;=1)*(IF(Q17="",-1,Q17)&lt;=3))*(1-(IF(Q17="",-1,Q17)=0)),IF(C17="peso_corporal",IF(ISNUMBER(E17),E17,0)+O17,O17)*(30+P17)*100+O17,0)=AA17,4,IF(IF((M17&gt;=6)*(1-(IF(N17="",-1,N17)&gt;=1)*(IF(N17="",-1,N17)&lt;=3))*(1-(IF(N17="",-1,N17)=0)),IF(C17="peso_corporal",IF(ISNUMBER(E17),E17,0)+L17,L17)*(30+M17)*100+L17,0)=AA17,3,IF(IF((J17&gt;=6)*(1-(IF(K17="",-1,K17)&gt;=1)*(IF(K17="",-1,K17)&lt;=3))*(1-(IF(K17="",-1,K17)=0)),IF(C17="peso_corporal",IF(ISNUMBER(E17),E17,0)+I17,I17)*(30+J17)*100+I17,0)=AA17,2,IF(IF((G17&gt;=6)*(1-(IF(H17="",-1,H17)&gt;=1)*(IF(H17="",-1,H17)&lt;=3))*(1-(IF(H17="",-1,H17)=0)),IF(C17="peso_corporal",IF(ISNUMBER(E17),E17,0)+F17,F17)*(30+G17)*100+F17,0)=AA17,1,0))))))</f>
        <v>0</v>
      </c>
      <c r="AC17" s="69" t="str">
        <f>IF(X17&gt;0,"A"&amp;X17,IF(Z17&gt;0,"B"&amp;Z17,IF(AB17&gt;0,"C"&amp;AB17,"")))</f>
        <v/>
      </c>
    </row>
    <row r="18" spans="1:29" ht="15" customHeight="1">
      <c r="A18" s="81" t="s">
        <v>53</v>
      </c>
      <c r="B18" s="73"/>
      <c r="C18" s="73"/>
      <c r="D18" s="73"/>
      <c r="E18" s="73"/>
      <c r="F18" s="73"/>
      <c r="G18" s="73"/>
      <c r="H18" s="73"/>
      <c r="I18" s="73"/>
      <c r="J18" s="73"/>
      <c r="K18" s="73"/>
      <c r="L18" s="73"/>
      <c r="M18" s="73"/>
      <c r="N18" s="73"/>
      <c r="O18" s="73"/>
      <c r="P18" s="73"/>
      <c r="Q18" s="73"/>
      <c r="R18" s="73"/>
      <c r="S18" s="73"/>
      <c r="T18" s="73"/>
      <c r="U18" s="73"/>
      <c r="V18" s="73"/>
      <c r="W18" s="69"/>
      <c r="X18" s="69"/>
      <c r="Y18" s="69"/>
      <c r="Z18" s="69"/>
      <c r="AA18" s="69"/>
      <c r="AB18" s="69"/>
      <c r="AC18" s="69"/>
    </row>
    <row r="19" spans="1:29" ht="20.100000000000001" customHeight="1">
      <c r="A19" s="14" t="s">
        <v>54</v>
      </c>
      <c r="B19" s="15" t="s">
        <v>115</v>
      </c>
      <c r="C19" s="16" t="str">
        <f>IFERROR(INDEX(EJERCICIOS!$D$3:$D$75,MATCH(A19&amp;"|"&amp;B19,EJERCICIOS!$G$3:$G$75,0)),"--")</f>
        <v>polea</v>
      </c>
      <c r="D19" s="17">
        <v>3</v>
      </c>
      <c r="E19" s="18">
        <f>IFERROR(LOOKUP(2,1/(MEDIDAS_Y_PESO!$B$3:$B$3&lt;&gt;""),MEDIDAS_Y_PESO!$B$3:$B$3),"--")</f>
        <v>80</v>
      </c>
      <c r="F19" s="19"/>
      <c r="G19" s="20"/>
      <c r="H19" s="21"/>
      <c r="I19" s="19"/>
      <c r="J19" s="20"/>
      <c r="K19" s="21"/>
      <c r="L19" s="19"/>
      <c r="M19" s="20"/>
      <c r="N19" s="21"/>
      <c r="O19" s="19"/>
      <c r="P19" s="20"/>
      <c r="Q19" s="21"/>
      <c r="R19" s="19"/>
      <c r="S19" s="20"/>
      <c r="T19" s="21"/>
      <c r="U19" s="22" t="str">
        <f>IFERROR(IF(IF(X19&gt;0,X19,IF(Z19&gt;0,Z19,IF(AB19&gt;0,AB19,0)))=0,"--",ROUND(CHOOSE(IF(X19&gt;0,X19,IF(Z19&gt;0,Z19,IF(AB19&gt;0,AB19,0))),IF(C19="peso_corporal",IF(ISNUMBER(E19),E19,0)+F19,F19)*(1+G19/30),IF(C19="peso_corporal",IF(ISNUMBER(E19),E19,0)+I19,I19)*(1+J19/30),IF(C19="peso_corporal",IF(ISNUMBER(E19),E19,0)+L19,L19)*(1+M19/30),IF(C19="peso_corporal",IF(ISNUMBER(E19),E19,0)+O19,O19)*(1+P19/30),IF(C19="peso_corporal",IF(ISNUMBER(E19),E19,0)+R19,R19)*(1+S19/30)),1)),"--")</f>
        <v>--</v>
      </c>
      <c r="V19" s="23" t="str">
        <f>IF(SUGERENCIAS!N58="SIN","Sin datos anteriores",IF(SUGERENCIAS!N58="SUBIR_F","^ SUBIR FUERTE | Kg:"&amp;ROUND(SUGERENCIAS!K58,1)&amp;" R:"&amp;ROUND(SUGERENCIAS!L58,0)&amp;" RIR:"&amp;ROUND(SUGERENCIAS!M58,0),IF(SUGERENCIAS!N58="SUBIR_E","^ SUBIR (Est.) | Kg:"&amp;ROUND(SUGERENCIAS!K58,1)&amp;" R:"&amp;ROUND(SUGERENCIAS!L58,0)&amp;" RIR:"&amp;ROUND(SUGERENCIAS!M58,0),IF(SUGERENCIAS!N58="SUBIR","^ SUBIR | Kg:"&amp;ROUND(SUGERENCIAS!K58,1)&amp;" R:"&amp;ROUND(SUGERENCIAS!L58,0)&amp;" RIR:"&amp;ROUND(SUGERENCIAS!M58,0),IF(SUGERENCIAS!N58="BAJAR","v BAJAR | Kg:"&amp;ROUND(SUGERENCIAS!K58,1)&amp;" R:"&amp;ROUND(SUGERENCIAS!L58,0)&amp;" RIR:"&amp;ROUND(SUGERENCIAS!M58,0),"= MANT | Kg:"&amp;ROUND(SUGERENCIAS!K58,1)&amp;" R:"&amp;ROUND(SUGERENCIAS!L58,0)&amp;" RIR:"&amp;ROUND(SUGERENCIAS!M58,0))))))</f>
        <v>Sin datos anteriores</v>
      </c>
      <c r="W19" s="69">
        <f>MAX(IF((G19&gt;0)*(IF(H19="",-1,H19)&gt;=1)*(IF(H19="",-1,H19)&lt;=3),IF(C19="peso_corporal",IF(ISNUMBER(E19),E19,0)+F19,F19)*G19*1000+F19,0),IF((J19&gt;0)*(IF(K19="",-1,K19)&gt;=1)*(IF(K19="",-1,K19)&lt;=3),IF(C19="peso_corporal",IF(ISNUMBER(E19),E19,0)+I19,I19)*J19*1000+I19,0),IF((M19&gt;0)*(IF(N19="",-1,N19)&gt;=1)*(IF(N19="",-1,N19)&lt;=3),IF(C19="peso_corporal",IF(ISNUMBER(E19),E19,0)+L19,L19)*M19*1000+L19,0),IF((P19&gt;0)*(IF(Q19="",-1,Q19)&gt;=1)*(IF(Q19="",-1,Q19)&lt;=3),IF(C19="peso_corporal",IF(ISNUMBER(E19),E19,0)+O19,O19)*P19*1000+O19,0),IF((S19&gt;0)*(IF(T19="",-1,T19)&gt;=1)*(IF(T19="",-1,T19)&lt;=3),IF(C19="peso_corporal",IF(ISNUMBER(E19),E19,0)+R19,R19)*S19*1000+R19,0))</f>
        <v>0</v>
      </c>
      <c r="X19" s="69">
        <f>IF(W19=0,0,IF(IF((S19&gt;0)*(IF(T19="",-1,T19)&gt;=1)*(IF(T19="",-1,T19)&lt;=3),IF(C19="peso_corporal",IF(ISNUMBER(E19),E19,0)+R19,R19)*S19*1000+R19,0)=W19,5,IF(IF((P19&gt;0)*(IF(Q19="",-1,Q19)&gt;=1)*(IF(Q19="",-1,Q19)&lt;=3),IF(C19="peso_corporal",IF(ISNUMBER(E19),E19,0)+O19,O19)*P19*1000+O19,0)=W19,4,IF(IF((M19&gt;0)*(IF(N19="",-1,N19)&gt;=1)*(IF(N19="",-1,N19)&lt;=3),IF(C19="peso_corporal",IF(ISNUMBER(E19),E19,0)+L19,L19)*M19*1000+L19,0)=W19,3,IF(IF((J19&gt;0)*(IF(K19="",-1,K19)&gt;=1)*(IF(K19="",-1,K19)&lt;=3),IF(C19="peso_corporal",IF(ISNUMBER(E19),E19,0)+I19,I19)*J19*1000+I19,0)=W19,2,IF(IF((G19&gt;0)*(IF(H19="",-1,H19)&gt;=1)*(IF(H19="",-1,H19)&lt;=3),IF(C19="peso_corporal",IF(ISNUMBER(E19),E19,0)+F19,F19)*G19*1000+F19,0)=W19,1,0))))))</f>
        <v>0</v>
      </c>
      <c r="Y19" s="69">
        <f>MAX(IF((G19&gt;0)*(IF(H19="",-1,H19)=0)*(1-(IF(H19="",-1,H19)&gt;=1)*(IF(H19="",-1,H19)&lt;=3)),IF(C19="peso_corporal",IF(ISNUMBER(E19),E19,0)+F19,F19)*G19*1000+F19,0),IF((J19&gt;0)*(IF(K19="",-1,K19)=0)*(1-(IF(K19="",-1,K19)&gt;=1)*(IF(K19="",-1,K19)&lt;=3)),IF(C19="peso_corporal",IF(ISNUMBER(E19),E19,0)+I19,I19)*J19*1000+I19,0),IF((M19&gt;0)*(IF(N19="",-1,N19)=0)*(1-(IF(N19="",-1,N19)&gt;=1)*(IF(N19="",-1,N19)&lt;=3)),IF(C19="peso_corporal",IF(ISNUMBER(E19),E19,0)+L19,L19)*M19*1000+L19,0),IF((P19&gt;0)*(IF(Q19="",-1,Q19)=0)*(1-(IF(Q19="",-1,Q19)&gt;=1)*(IF(Q19="",-1,Q19)&lt;=3)),IF(C19="peso_corporal",IF(ISNUMBER(E19),E19,0)+O19,O19)*P19*1000+O19,0),IF((S19&gt;0)*(IF(T19="",-1,T19)=0)*(1-(IF(T19="",-1,T19)&gt;=1)*(IF(T19="",-1,T19)&lt;=3)),IF(C19="peso_corporal",IF(ISNUMBER(E19),E19,0)+R19,R19)*S19*1000+R19,0))</f>
        <v>0</v>
      </c>
      <c r="Z19" s="69">
        <f>IF(Y19=0,0,IF(IF((S19&gt;0)*(IF(T19="",-1,T19)=0)*(1-(IF(T19="",-1,T19)&gt;=1)*(IF(T19="",-1,T19)&lt;=3)),IF(C19="peso_corporal",IF(ISNUMBER(E19),E19,0)+R19,R19)*S19*1000+R19,0)=Y19,5,IF(IF((P19&gt;0)*(IF(Q19="",-1,Q19)=0)*(1-(IF(Q19="",-1,Q19)&gt;=1)*(IF(Q19="",-1,Q19)&lt;=3)),IF(C19="peso_corporal",IF(ISNUMBER(E19),E19,0)+O19,O19)*P19*1000+O19,0)=Y19,4,IF(IF((M19&gt;0)*(IF(N19="",-1,N19)=0)*(1-(IF(N19="",-1,N19)&gt;=1)*(IF(N19="",-1,N19)&lt;=3)),IF(C19="peso_corporal",IF(ISNUMBER(E19),E19,0)+L19,L19)*M19*1000+L19,0)=Y19,3,IF(IF((J19&gt;0)*(IF(K19="",-1,K19)=0)*(1-(IF(K19="",-1,K19)&gt;=1)*(IF(K19="",-1,K19)&lt;=3)),IF(C19="peso_corporal",IF(ISNUMBER(E19),E19,0)+I19,I19)*J19*1000+I19,0)=Y19,2,IF(IF((G19&gt;0)*(IF(H19="",-1,H19)=0)*(1-(IF(H19="",-1,H19)&gt;=1)*(IF(H19="",-1,H19)&lt;=3)),IF(C19="peso_corporal",IF(ISNUMBER(E19),E19,0)+F19,F19)*G19*1000+F19,0)=Y19,1,0))))))</f>
        <v>0</v>
      </c>
      <c r="AA19" s="69">
        <f>MAX(IF((G19&gt;=6)*(1-(IF(H19="",-1,H19)&gt;=1)*(IF(H19="",-1,H19)&lt;=3))*(1-(IF(H19="",-1,H19)=0)),IF(C19="peso_corporal",IF(ISNUMBER(E19),E19,0)+F19,F19)*(30+G19)*100+F19,0),IF((J19&gt;=6)*(1-(IF(K19="",-1,K19)&gt;=1)*(IF(K19="",-1,K19)&lt;=3))*(1-(IF(K19="",-1,K19)=0)),IF(C19="peso_corporal",IF(ISNUMBER(E19),E19,0)+I19,I19)*(30+J19)*100+I19,0),IF((M19&gt;=6)*(1-(IF(N19="",-1,N19)&gt;=1)*(IF(N19="",-1,N19)&lt;=3))*(1-(IF(N19="",-1,N19)=0)),IF(C19="peso_corporal",IF(ISNUMBER(E19),E19,0)+L19,L19)*(30+M19)*100+L19,0),IF((P19&gt;=6)*(1-(IF(Q19="",-1,Q19)&gt;=1)*(IF(Q19="",-1,Q19)&lt;=3))*(1-(IF(Q19="",-1,Q19)=0)),IF(C19="peso_corporal",IF(ISNUMBER(E19),E19,0)+O19,O19)*(30+P19)*100+O19,0),IF((S19&gt;=6)*(1-(IF(T19="",-1,T19)&gt;=1)*(IF(T19="",-1,T19)&lt;=3))*(1-(IF(T19="",-1,T19)=0)),IF(C19="peso_corporal",IF(ISNUMBER(E19),E19,0)+R19,R19)*(30+S19)*100+R19,0))</f>
        <v>0</v>
      </c>
      <c r="AB19" s="69">
        <f>IF(AA19=0,0,IF(IF((S19&gt;=6)*(1-(IF(T19="",-1,T19)&gt;=1)*(IF(T19="",-1,T19)&lt;=3))*(1-(IF(T19="",-1,T19)=0)),IF(C19="peso_corporal",IF(ISNUMBER(E19),E19,0)+R19,R19)*(30+S19)*100+R19,0)=AA19,5,IF(IF((P19&gt;=6)*(1-(IF(Q19="",-1,Q19)&gt;=1)*(IF(Q19="",-1,Q19)&lt;=3))*(1-(IF(Q19="",-1,Q19)=0)),IF(C19="peso_corporal",IF(ISNUMBER(E19),E19,0)+O19,O19)*(30+P19)*100+O19,0)=AA19,4,IF(IF((M19&gt;=6)*(1-(IF(N19="",-1,N19)&gt;=1)*(IF(N19="",-1,N19)&lt;=3))*(1-(IF(N19="",-1,N19)=0)),IF(C19="peso_corporal",IF(ISNUMBER(E19),E19,0)+L19,L19)*(30+M19)*100+L19,0)=AA19,3,IF(IF((J19&gt;=6)*(1-(IF(K19="",-1,K19)&gt;=1)*(IF(K19="",-1,K19)&lt;=3))*(1-(IF(K19="",-1,K19)=0)),IF(C19="peso_corporal",IF(ISNUMBER(E19),E19,0)+I19,I19)*(30+J19)*100+I19,0)=AA19,2,IF(IF((G19&gt;=6)*(1-(IF(H19="",-1,H19)&gt;=1)*(IF(H19="",-1,H19)&lt;=3))*(1-(IF(H19="",-1,H19)=0)),IF(C19="peso_corporal",IF(ISNUMBER(E19),E19,0)+F19,F19)*(30+G19)*100+F19,0)=AA19,1,0))))))</f>
        <v>0</v>
      </c>
      <c r="AC19" s="69" t="str">
        <f>IF(X19&gt;0,"A"&amp;X19,IF(Z19&gt;0,"B"&amp;Z19,IF(AB19&gt;0,"C"&amp;AB19,"")))</f>
        <v/>
      </c>
    </row>
    <row r="20" spans="1:29" ht="20.100000000000001" customHeight="1">
      <c r="A20" s="14" t="s">
        <v>116</v>
      </c>
      <c r="B20" s="15" t="s">
        <v>114</v>
      </c>
      <c r="C20" s="16" t="str">
        <f>IFERROR(INDEX(EJERCICIOS!$D$3:$D$75,MATCH(A20&amp;"|"&amp;B20,EJERCICIOS!$G$3:$G$75,0)),"--")</f>
        <v>polea</v>
      </c>
      <c r="D20" s="17">
        <v>3</v>
      </c>
      <c r="E20" s="18">
        <f>IFERROR(LOOKUP(2,1/(MEDIDAS_Y_PESO!$B$3:$B$3&lt;&gt;""),MEDIDAS_Y_PESO!$B$3:$B$3),"--")</f>
        <v>80</v>
      </c>
      <c r="F20" s="19"/>
      <c r="G20" s="20"/>
      <c r="H20" s="21"/>
      <c r="I20" s="19"/>
      <c r="J20" s="20"/>
      <c r="K20" s="21"/>
      <c r="L20" s="19"/>
      <c r="M20" s="20"/>
      <c r="N20" s="21"/>
      <c r="O20" s="19"/>
      <c r="P20" s="20"/>
      <c r="Q20" s="21"/>
      <c r="R20" s="19"/>
      <c r="S20" s="20"/>
      <c r="T20" s="21"/>
      <c r="U20" s="22" t="str">
        <f>IFERROR(IF(IF(X20&gt;0,X20,IF(Z20&gt;0,Z20,IF(AB20&gt;0,AB20,0)))=0,"--",ROUND(CHOOSE(IF(X20&gt;0,X20,IF(Z20&gt;0,Z20,IF(AB20&gt;0,AB20,0))),IF(C20="peso_corporal",IF(ISNUMBER(E20),E20,0)+F20,F20)*(1+G20/30),IF(C20="peso_corporal",IF(ISNUMBER(E20),E20,0)+I20,I20)*(1+J20/30),IF(C20="peso_corporal",IF(ISNUMBER(E20),E20,0)+L20,L20)*(1+M20/30),IF(C20="peso_corporal",IF(ISNUMBER(E20),E20,0)+O20,O20)*(1+P20/30),IF(C20="peso_corporal",IF(ISNUMBER(E20),E20,0)+R20,R20)*(1+S20/30)),1)),"--")</f>
        <v>--</v>
      </c>
      <c r="V20" s="23" t="str">
        <f>IF(SUGERENCIAS!N59="SIN","Sin datos anteriores",IF(SUGERENCIAS!N59="SUBIR_F","^ SUBIR FUERTE | Kg:"&amp;ROUND(SUGERENCIAS!K59,1)&amp;" R:"&amp;ROUND(SUGERENCIAS!L59,0)&amp;" RIR:"&amp;ROUND(SUGERENCIAS!M59,0),IF(SUGERENCIAS!N59="SUBIR_E","^ SUBIR (Est.) | Kg:"&amp;ROUND(SUGERENCIAS!K59,1)&amp;" R:"&amp;ROUND(SUGERENCIAS!L59,0)&amp;" RIR:"&amp;ROUND(SUGERENCIAS!M59,0),IF(SUGERENCIAS!N59="SUBIR","^ SUBIR | Kg:"&amp;ROUND(SUGERENCIAS!K59,1)&amp;" R:"&amp;ROUND(SUGERENCIAS!L59,0)&amp;" RIR:"&amp;ROUND(SUGERENCIAS!M59,0),IF(SUGERENCIAS!N59="BAJAR","v BAJAR | Kg:"&amp;ROUND(SUGERENCIAS!K59,1)&amp;" R:"&amp;ROUND(SUGERENCIAS!L59,0)&amp;" RIR:"&amp;ROUND(SUGERENCIAS!M59,0),"= MANT | Kg:"&amp;ROUND(SUGERENCIAS!K59,1)&amp;" R:"&amp;ROUND(SUGERENCIAS!L59,0)&amp;" RIR:"&amp;ROUND(SUGERENCIAS!M59,0))))))</f>
        <v>Sin datos anteriores</v>
      </c>
      <c r="W20" s="69">
        <f>MAX(IF((G20&gt;0)*(IF(H20="",-1,H20)&gt;=1)*(IF(H20="",-1,H20)&lt;=3),IF(C20="peso_corporal",IF(ISNUMBER(E20),E20,0)+F20,F20)*G20*1000+F20,0),IF((J20&gt;0)*(IF(K20="",-1,K20)&gt;=1)*(IF(K20="",-1,K20)&lt;=3),IF(C20="peso_corporal",IF(ISNUMBER(E20),E20,0)+I20,I20)*J20*1000+I20,0),IF((M20&gt;0)*(IF(N20="",-1,N20)&gt;=1)*(IF(N20="",-1,N20)&lt;=3),IF(C20="peso_corporal",IF(ISNUMBER(E20),E20,0)+L20,L20)*M20*1000+L20,0),IF((P20&gt;0)*(IF(Q20="",-1,Q20)&gt;=1)*(IF(Q20="",-1,Q20)&lt;=3),IF(C20="peso_corporal",IF(ISNUMBER(E20),E20,0)+O20,O20)*P20*1000+O20,0),IF((S20&gt;0)*(IF(T20="",-1,T20)&gt;=1)*(IF(T20="",-1,T20)&lt;=3),IF(C20="peso_corporal",IF(ISNUMBER(E20),E20,0)+R20,R20)*S20*1000+R20,0))</f>
        <v>0</v>
      </c>
      <c r="X20" s="69">
        <f>IF(W20=0,0,IF(IF((S20&gt;0)*(IF(T20="",-1,T20)&gt;=1)*(IF(T20="",-1,T20)&lt;=3),IF(C20="peso_corporal",IF(ISNUMBER(E20),E20,0)+R20,R20)*S20*1000+R20,0)=W20,5,IF(IF((P20&gt;0)*(IF(Q20="",-1,Q20)&gt;=1)*(IF(Q20="",-1,Q20)&lt;=3),IF(C20="peso_corporal",IF(ISNUMBER(E20),E20,0)+O20,O20)*P20*1000+O20,0)=W20,4,IF(IF((M20&gt;0)*(IF(N20="",-1,N20)&gt;=1)*(IF(N20="",-1,N20)&lt;=3),IF(C20="peso_corporal",IF(ISNUMBER(E20),E20,0)+L20,L20)*M20*1000+L20,0)=W20,3,IF(IF((J20&gt;0)*(IF(K20="",-1,K20)&gt;=1)*(IF(K20="",-1,K20)&lt;=3),IF(C20="peso_corporal",IF(ISNUMBER(E20),E20,0)+I20,I20)*J20*1000+I20,0)=W20,2,IF(IF((G20&gt;0)*(IF(H20="",-1,H20)&gt;=1)*(IF(H20="",-1,H20)&lt;=3),IF(C20="peso_corporal",IF(ISNUMBER(E20),E20,0)+F20,F20)*G20*1000+F20,0)=W20,1,0))))))</f>
        <v>0</v>
      </c>
      <c r="Y20" s="69">
        <f>MAX(IF((G20&gt;0)*(IF(H20="",-1,H20)=0)*(1-(IF(H20="",-1,H20)&gt;=1)*(IF(H20="",-1,H20)&lt;=3)),IF(C20="peso_corporal",IF(ISNUMBER(E20),E20,0)+F20,F20)*G20*1000+F20,0),IF((J20&gt;0)*(IF(K20="",-1,K20)=0)*(1-(IF(K20="",-1,K20)&gt;=1)*(IF(K20="",-1,K20)&lt;=3)),IF(C20="peso_corporal",IF(ISNUMBER(E20),E20,0)+I20,I20)*J20*1000+I20,0),IF((M20&gt;0)*(IF(N20="",-1,N20)=0)*(1-(IF(N20="",-1,N20)&gt;=1)*(IF(N20="",-1,N20)&lt;=3)),IF(C20="peso_corporal",IF(ISNUMBER(E20),E20,0)+L20,L20)*M20*1000+L20,0),IF((P20&gt;0)*(IF(Q20="",-1,Q20)=0)*(1-(IF(Q20="",-1,Q20)&gt;=1)*(IF(Q20="",-1,Q20)&lt;=3)),IF(C20="peso_corporal",IF(ISNUMBER(E20),E20,0)+O20,O20)*P20*1000+O20,0),IF((S20&gt;0)*(IF(T20="",-1,T20)=0)*(1-(IF(T20="",-1,T20)&gt;=1)*(IF(T20="",-1,T20)&lt;=3)),IF(C20="peso_corporal",IF(ISNUMBER(E20),E20,0)+R20,R20)*S20*1000+R20,0))</f>
        <v>0</v>
      </c>
      <c r="Z20" s="69">
        <f>IF(Y20=0,0,IF(IF((S20&gt;0)*(IF(T20="",-1,T20)=0)*(1-(IF(T20="",-1,T20)&gt;=1)*(IF(T20="",-1,T20)&lt;=3)),IF(C20="peso_corporal",IF(ISNUMBER(E20),E20,0)+R20,R20)*S20*1000+R20,0)=Y20,5,IF(IF((P20&gt;0)*(IF(Q20="",-1,Q20)=0)*(1-(IF(Q20="",-1,Q20)&gt;=1)*(IF(Q20="",-1,Q20)&lt;=3)),IF(C20="peso_corporal",IF(ISNUMBER(E20),E20,0)+O20,O20)*P20*1000+O20,0)=Y20,4,IF(IF((M20&gt;0)*(IF(N20="",-1,N20)=0)*(1-(IF(N20="",-1,N20)&gt;=1)*(IF(N20="",-1,N20)&lt;=3)),IF(C20="peso_corporal",IF(ISNUMBER(E20),E20,0)+L20,L20)*M20*1000+L20,0)=Y20,3,IF(IF((J20&gt;0)*(IF(K20="",-1,K20)=0)*(1-(IF(K20="",-1,K20)&gt;=1)*(IF(K20="",-1,K20)&lt;=3)),IF(C20="peso_corporal",IF(ISNUMBER(E20),E20,0)+I20,I20)*J20*1000+I20,0)=Y20,2,IF(IF((G20&gt;0)*(IF(H20="",-1,H20)=0)*(1-(IF(H20="",-1,H20)&gt;=1)*(IF(H20="",-1,H20)&lt;=3)),IF(C20="peso_corporal",IF(ISNUMBER(E20),E20,0)+F20,F20)*G20*1000+F20,0)=Y20,1,0))))))</f>
        <v>0</v>
      </c>
      <c r="AA20" s="69">
        <f>MAX(IF((G20&gt;=6)*(1-(IF(H20="",-1,H20)&gt;=1)*(IF(H20="",-1,H20)&lt;=3))*(1-(IF(H20="",-1,H20)=0)),IF(C20="peso_corporal",IF(ISNUMBER(E20),E20,0)+F20,F20)*(30+G20)*100+F20,0),IF((J20&gt;=6)*(1-(IF(K20="",-1,K20)&gt;=1)*(IF(K20="",-1,K20)&lt;=3))*(1-(IF(K20="",-1,K20)=0)),IF(C20="peso_corporal",IF(ISNUMBER(E20),E20,0)+I20,I20)*(30+J20)*100+I20,0),IF((M20&gt;=6)*(1-(IF(N20="",-1,N20)&gt;=1)*(IF(N20="",-1,N20)&lt;=3))*(1-(IF(N20="",-1,N20)=0)),IF(C20="peso_corporal",IF(ISNUMBER(E20),E20,0)+L20,L20)*(30+M20)*100+L20,0),IF((P20&gt;=6)*(1-(IF(Q20="",-1,Q20)&gt;=1)*(IF(Q20="",-1,Q20)&lt;=3))*(1-(IF(Q20="",-1,Q20)=0)),IF(C20="peso_corporal",IF(ISNUMBER(E20),E20,0)+O20,O20)*(30+P20)*100+O20,0),IF((S20&gt;=6)*(1-(IF(T20="",-1,T20)&gt;=1)*(IF(T20="",-1,T20)&lt;=3))*(1-(IF(T20="",-1,T20)=0)),IF(C20="peso_corporal",IF(ISNUMBER(E20),E20,0)+R20,R20)*(30+S20)*100+R20,0))</f>
        <v>0</v>
      </c>
      <c r="AB20" s="69">
        <f>IF(AA20=0,0,IF(IF((S20&gt;=6)*(1-(IF(T20="",-1,T20)&gt;=1)*(IF(T20="",-1,T20)&lt;=3))*(1-(IF(T20="",-1,T20)=0)),IF(C20="peso_corporal",IF(ISNUMBER(E20),E20,0)+R20,R20)*(30+S20)*100+R20,0)=AA20,5,IF(IF((P20&gt;=6)*(1-(IF(Q20="",-1,Q20)&gt;=1)*(IF(Q20="",-1,Q20)&lt;=3))*(1-(IF(Q20="",-1,Q20)=0)),IF(C20="peso_corporal",IF(ISNUMBER(E20),E20,0)+O20,O20)*(30+P20)*100+O20,0)=AA20,4,IF(IF((M20&gt;=6)*(1-(IF(N20="",-1,N20)&gt;=1)*(IF(N20="",-1,N20)&lt;=3))*(1-(IF(N20="",-1,N20)=0)),IF(C20="peso_corporal",IF(ISNUMBER(E20),E20,0)+L20,L20)*(30+M20)*100+L20,0)=AA20,3,IF(IF((J20&gt;=6)*(1-(IF(K20="",-1,K20)&gt;=1)*(IF(K20="",-1,K20)&lt;=3))*(1-(IF(K20="",-1,K20)=0)),IF(C20="peso_corporal",IF(ISNUMBER(E20),E20,0)+I20,I20)*(30+J20)*100+I20,0)=AA20,2,IF(IF((G20&gt;=6)*(1-(IF(H20="",-1,H20)&gt;=1)*(IF(H20="",-1,H20)&lt;=3))*(1-(IF(H20="",-1,H20)=0)),IF(C20="peso_corporal",IF(ISNUMBER(E20),E20,0)+F20,F20)*(30+G20)*100+F20,0)=AA20,1,0))))))</f>
        <v>0</v>
      </c>
      <c r="AC20" s="69" t="str">
        <f>IF(X20&gt;0,"A"&amp;X20,IF(Z20&gt;0,"B"&amp;Z20,IF(AB20&gt;0,"C"&amp;AB20,"")))</f>
        <v/>
      </c>
    </row>
    <row r="21" spans="1:29" ht="15" customHeight="1">
      <c r="A21" s="83" t="s">
        <v>99</v>
      </c>
      <c r="B21" s="73"/>
      <c r="C21" s="73"/>
      <c r="D21" s="73"/>
      <c r="E21" s="73"/>
      <c r="F21" s="73"/>
      <c r="G21" s="73"/>
      <c r="H21" s="73"/>
      <c r="I21" s="73"/>
      <c r="J21" s="73"/>
      <c r="K21" s="73"/>
      <c r="L21" s="73"/>
      <c r="M21" s="73"/>
      <c r="N21" s="73"/>
      <c r="O21" s="73"/>
      <c r="P21" s="73"/>
      <c r="Q21" s="73"/>
      <c r="R21" s="73"/>
      <c r="S21" s="73"/>
      <c r="T21" s="73"/>
      <c r="U21" s="73"/>
      <c r="V21" s="73"/>
      <c r="W21" s="69"/>
      <c r="X21" s="69"/>
      <c r="Y21" s="69"/>
      <c r="Z21" s="69"/>
      <c r="AA21" s="69"/>
      <c r="AB21" s="69"/>
      <c r="AC21" s="69"/>
    </row>
    <row r="22" spans="1:29" ht="20.100000000000001" customHeight="1">
      <c r="A22" s="14" t="s">
        <v>100</v>
      </c>
      <c r="B22" s="15" t="s">
        <v>101</v>
      </c>
      <c r="C22" s="16" t="str">
        <f>IFERROR(INDEX(EJERCICIOS!$D$3:$D$75,MATCH(A22&amp;"|"&amp;B22,EJERCICIOS!$G$3:$G$75,0)),"--")</f>
        <v>mancuerna</v>
      </c>
      <c r="D22" s="17">
        <v>3</v>
      </c>
      <c r="E22" s="18">
        <f>IFERROR(LOOKUP(2,1/(MEDIDAS_Y_PESO!$B$3:$B$3&lt;&gt;""),MEDIDAS_Y_PESO!$B$3:$B$3),"--")</f>
        <v>80</v>
      </c>
      <c r="F22" s="19"/>
      <c r="G22" s="20"/>
      <c r="H22" s="21"/>
      <c r="I22" s="19"/>
      <c r="J22" s="20"/>
      <c r="K22" s="21"/>
      <c r="L22" s="19"/>
      <c r="M22" s="20"/>
      <c r="N22" s="21"/>
      <c r="O22" s="19"/>
      <c r="P22" s="20"/>
      <c r="Q22" s="21"/>
      <c r="R22" s="19"/>
      <c r="S22" s="20"/>
      <c r="T22" s="21"/>
      <c r="U22" s="22" t="str">
        <f>IFERROR(IF(IF(X22&gt;0,X22,IF(Z22&gt;0,Z22,IF(AB22&gt;0,AB22,0)))=0,"--",ROUND(CHOOSE(IF(X22&gt;0,X22,IF(Z22&gt;0,Z22,IF(AB22&gt;0,AB22,0))),IF(C22="peso_corporal",IF(ISNUMBER(E22),E22,0)+F22,F22)*(1+G22/30),IF(C22="peso_corporal",IF(ISNUMBER(E22),E22,0)+I22,I22)*(1+J22/30),IF(C22="peso_corporal",IF(ISNUMBER(E22),E22,0)+L22,L22)*(1+M22/30),IF(C22="peso_corporal",IF(ISNUMBER(E22),E22,0)+O22,O22)*(1+P22/30),IF(C22="peso_corporal",IF(ISNUMBER(E22),E22,0)+R22,R22)*(1+S22/30)),1)),"--")</f>
        <v>--</v>
      </c>
      <c r="V22" s="23" t="str">
        <f>IF(SUGERENCIAS!N60="SIN","Sin datos anteriores",IF(SUGERENCIAS!N60="SUBIR_F","^ SUBIR FUERTE | Kg:"&amp;ROUND(SUGERENCIAS!K60,1)&amp;" R:"&amp;ROUND(SUGERENCIAS!L60,0)&amp;" RIR:"&amp;ROUND(SUGERENCIAS!M60,0),IF(SUGERENCIAS!N60="SUBIR_E","^ SUBIR (Est.) | Kg:"&amp;ROUND(SUGERENCIAS!K60,1)&amp;" R:"&amp;ROUND(SUGERENCIAS!L60,0)&amp;" RIR:"&amp;ROUND(SUGERENCIAS!M60,0),IF(SUGERENCIAS!N60="SUBIR","^ SUBIR | Kg:"&amp;ROUND(SUGERENCIAS!K60,1)&amp;" R:"&amp;ROUND(SUGERENCIAS!L60,0)&amp;" RIR:"&amp;ROUND(SUGERENCIAS!M60,0),IF(SUGERENCIAS!N60="BAJAR","v BAJAR | Kg:"&amp;ROUND(SUGERENCIAS!K60,1)&amp;" R:"&amp;ROUND(SUGERENCIAS!L60,0)&amp;" RIR:"&amp;ROUND(SUGERENCIAS!M60,0),"= MANT | Kg:"&amp;ROUND(SUGERENCIAS!K60,1)&amp;" R:"&amp;ROUND(SUGERENCIAS!L60,0)&amp;" RIR:"&amp;ROUND(SUGERENCIAS!M60,0))))))</f>
        <v>Sin datos anteriores</v>
      </c>
      <c r="W22" s="69">
        <f>MAX(IF((G22&gt;0)*(IF(H22="",-1,H22)&gt;=1)*(IF(H22="",-1,H22)&lt;=3),IF(C22="peso_corporal",IF(ISNUMBER(E22),E22,0)+F22,F22)*G22*1000+F22,0),IF((J22&gt;0)*(IF(K22="",-1,K22)&gt;=1)*(IF(K22="",-1,K22)&lt;=3),IF(C22="peso_corporal",IF(ISNUMBER(E22),E22,0)+I22,I22)*J22*1000+I22,0),IF((M22&gt;0)*(IF(N22="",-1,N22)&gt;=1)*(IF(N22="",-1,N22)&lt;=3),IF(C22="peso_corporal",IF(ISNUMBER(E22),E22,0)+L22,L22)*M22*1000+L22,0),IF((P22&gt;0)*(IF(Q22="",-1,Q22)&gt;=1)*(IF(Q22="",-1,Q22)&lt;=3),IF(C22="peso_corporal",IF(ISNUMBER(E22),E22,0)+O22,O22)*P22*1000+O22,0),IF((S22&gt;0)*(IF(T22="",-1,T22)&gt;=1)*(IF(T22="",-1,T22)&lt;=3),IF(C22="peso_corporal",IF(ISNUMBER(E22),E22,0)+R22,R22)*S22*1000+R22,0))</f>
        <v>0</v>
      </c>
      <c r="X22" s="69">
        <f>IF(W22=0,0,IF(IF((S22&gt;0)*(IF(T22="",-1,T22)&gt;=1)*(IF(T22="",-1,T22)&lt;=3),IF(C22="peso_corporal",IF(ISNUMBER(E22),E22,0)+R22,R22)*S22*1000+R22,0)=W22,5,IF(IF((P22&gt;0)*(IF(Q22="",-1,Q22)&gt;=1)*(IF(Q22="",-1,Q22)&lt;=3),IF(C22="peso_corporal",IF(ISNUMBER(E22),E22,0)+O22,O22)*P22*1000+O22,0)=W22,4,IF(IF((M22&gt;0)*(IF(N22="",-1,N22)&gt;=1)*(IF(N22="",-1,N22)&lt;=3),IF(C22="peso_corporal",IF(ISNUMBER(E22),E22,0)+L22,L22)*M22*1000+L22,0)=W22,3,IF(IF((J22&gt;0)*(IF(K22="",-1,K22)&gt;=1)*(IF(K22="",-1,K22)&lt;=3),IF(C22="peso_corporal",IF(ISNUMBER(E22),E22,0)+I22,I22)*J22*1000+I22,0)=W22,2,IF(IF((G22&gt;0)*(IF(H22="",-1,H22)&gt;=1)*(IF(H22="",-1,H22)&lt;=3),IF(C22="peso_corporal",IF(ISNUMBER(E22),E22,0)+F22,F22)*G22*1000+F22,0)=W22,1,0))))))</f>
        <v>0</v>
      </c>
      <c r="Y22" s="69">
        <f>MAX(IF((G22&gt;0)*(IF(H22="",-1,H22)=0)*(1-(IF(H22="",-1,H22)&gt;=1)*(IF(H22="",-1,H22)&lt;=3)),IF(C22="peso_corporal",IF(ISNUMBER(E22),E22,0)+F22,F22)*G22*1000+F22,0),IF((J22&gt;0)*(IF(K22="",-1,K22)=0)*(1-(IF(K22="",-1,K22)&gt;=1)*(IF(K22="",-1,K22)&lt;=3)),IF(C22="peso_corporal",IF(ISNUMBER(E22),E22,0)+I22,I22)*J22*1000+I22,0),IF((M22&gt;0)*(IF(N22="",-1,N22)=0)*(1-(IF(N22="",-1,N22)&gt;=1)*(IF(N22="",-1,N22)&lt;=3)),IF(C22="peso_corporal",IF(ISNUMBER(E22),E22,0)+L22,L22)*M22*1000+L22,0),IF((P22&gt;0)*(IF(Q22="",-1,Q22)=0)*(1-(IF(Q22="",-1,Q22)&gt;=1)*(IF(Q22="",-1,Q22)&lt;=3)),IF(C22="peso_corporal",IF(ISNUMBER(E22),E22,0)+O22,O22)*P22*1000+O22,0),IF((S22&gt;0)*(IF(T22="",-1,T22)=0)*(1-(IF(T22="",-1,T22)&gt;=1)*(IF(T22="",-1,T22)&lt;=3)),IF(C22="peso_corporal",IF(ISNUMBER(E22),E22,0)+R22,R22)*S22*1000+R22,0))</f>
        <v>0</v>
      </c>
      <c r="Z22" s="69">
        <f>IF(Y22=0,0,IF(IF((S22&gt;0)*(IF(T22="",-1,T22)=0)*(1-(IF(T22="",-1,T22)&gt;=1)*(IF(T22="",-1,T22)&lt;=3)),IF(C22="peso_corporal",IF(ISNUMBER(E22),E22,0)+R22,R22)*S22*1000+R22,0)=Y22,5,IF(IF((P22&gt;0)*(IF(Q22="",-1,Q22)=0)*(1-(IF(Q22="",-1,Q22)&gt;=1)*(IF(Q22="",-1,Q22)&lt;=3)),IF(C22="peso_corporal",IF(ISNUMBER(E22),E22,0)+O22,O22)*P22*1000+O22,0)=Y22,4,IF(IF((M22&gt;0)*(IF(N22="",-1,N22)=0)*(1-(IF(N22="",-1,N22)&gt;=1)*(IF(N22="",-1,N22)&lt;=3)),IF(C22="peso_corporal",IF(ISNUMBER(E22),E22,0)+L22,L22)*M22*1000+L22,0)=Y22,3,IF(IF((J22&gt;0)*(IF(K22="",-1,K22)=0)*(1-(IF(K22="",-1,K22)&gt;=1)*(IF(K22="",-1,K22)&lt;=3)),IF(C22="peso_corporal",IF(ISNUMBER(E22),E22,0)+I22,I22)*J22*1000+I22,0)=Y22,2,IF(IF((G22&gt;0)*(IF(H22="",-1,H22)=0)*(1-(IF(H22="",-1,H22)&gt;=1)*(IF(H22="",-1,H22)&lt;=3)),IF(C22="peso_corporal",IF(ISNUMBER(E22),E22,0)+F22,F22)*G22*1000+F22,0)=Y22,1,0))))))</f>
        <v>0</v>
      </c>
      <c r="AA22" s="69">
        <f>MAX(IF((G22&gt;=6)*(1-(IF(H22="",-1,H22)&gt;=1)*(IF(H22="",-1,H22)&lt;=3))*(1-(IF(H22="",-1,H22)=0)),IF(C22="peso_corporal",IF(ISNUMBER(E22),E22,0)+F22,F22)*(30+G22)*100+F22,0),IF((J22&gt;=6)*(1-(IF(K22="",-1,K22)&gt;=1)*(IF(K22="",-1,K22)&lt;=3))*(1-(IF(K22="",-1,K22)=0)),IF(C22="peso_corporal",IF(ISNUMBER(E22),E22,0)+I22,I22)*(30+J22)*100+I22,0),IF((M22&gt;=6)*(1-(IF(N22="",-1,N22)&gt;=1)*(IF(N22="",-1,N22)&lt;=3))*(1-(IF(N22="",-1,N22)=0)),IF(C22="peso_corporal",IF(ISNUMBER(E22),E22,0)+L22,L22)*(30+M22)*100+L22,0),IF((P22&gt;=6)*(1-(IF(Q22="",-1,Q22)&gt;=1)*(IF(Q22="",-1,Q22)&lt;=3))*(1-(IF(Q22="",-1,Q22)=0)),IF(C22="peso_corporal",IF(ISNUMBER(E22),E22,0)+O22,O22)*(30+P22)*100+O22,0),IF((S22&gt;=6)*(1-(IF(T22="",-1,T22)&gt;=1)*(IF(T22="",-1,T22)&lt;=3))*(1-(IF(T22="",-1,T22)=0)),IF(C22="peso_corporal",IF(ISNUMBER(E22),E22,0)+R22,R22)*(30+S22)*100+R22,0))</f>
        <v>0</v>
      </c>
      <c r="AB22" s="69">
        <f>IF(AA22=0,0,IF(IF((S22&gt;=6)*(1-(IF(T22="",-1,T22)&gt;=1)*(IF(T22="",-1,T22)&lt;=3))*(1-(IF(T22="",-1,T22)=0)),IF(C22="peso_corporal",IF(ISNUMBER(E22),E22,0)+R22,R22)*(30+S22)*100+R22,0)=AA22,5,IF(IF((P22&gt;=6)*(1-(IF(Q22="",-1,Q22)&gt;=1)*(IF(Q22="",-1,Q22)&lt;=3))*(1-(IF(Q22="",-1,Q22)=0)),IF(C22="peso_corporal",IF(ISNUMBER(E22),E22,0)+O22,O22)*(30+P22)*100+O22,0)=AA22,4,IF(IF((M22&gt;=6)*(1-(IF(N22="",-1,N22)&gt;=1)*(IF(N22="",-1,N22)&lt;=3))*(1-(IF(N22="",-1,N22)=0)),IF(C22="peso_corporal",IF(ISNUMBER(E22),E22,0)+L22,L22)*(30+M22)*100+L22,0)=AA22,3,IF(IF((J22&gt;=6)*(1-(IF(K22="",-1,K22)&gt;=1)*(IF(K22="",-1,K22)&lt;=3))*(1-(IF(K22="",-1,K22)=0)),IF(C22="peso_corporal",IF(ISNUMBER(E22),E22,0)+I22,I22)*(30+J22)*100+I22,0)=AA22,2,IF(IF((G22&gt;=6)*(1-(IF(H22="",-1,H22)&gt;=1)*(IF(H22="",-1,H22)&lt;=3))*(1-(IF(H22="",-1,H22)=0)),IF(C22="peso_corporal",IF(ISNUMBER(E22),E22,0)+F22,F22)*(30+G22)*100+F22,0)=AA22,1,0))))))</f>
        <v>0</v>
      </c>
      <c r="AC22" s="69" t="str">
        <f>IF(X22&gt;0,"A"&amp;X22,IF(Z22&gt;0,"B"&amp;Z22,IF(AB22&gt;0,"C"&amp;AB22,"")))</f>
        <v/>
      </c>
    </row>
    <row r="23" spans="1:29" ht="20.100000000000001" customHeight="1">
      <c r="A23" s="14" t="s">
        <v>100</v>
      </c>
      <c r="B23" s="15" t="s">
        <v>102</v>
      </c>
      <c r="C23" s="16" t="str">
        <f>IFERROR(INDEX(EJERCICIOS!$D$3:$D$75,MATCH(A23&amp;"|"&amp;B23,EJERCICIOS!$G$3:$G$75,0)),"--")</f>
        <v>mancuerna</v>
      </c>
      <c r="D23" s="17">
        <v>3</v>
      </c>
      <c r="E23" s="18">
        <f>IFERROR(LOOKUP(2,1/(MEDIDAS_Y_PESO!$B$3:$B$3&lt;&gt;""),MEDIDAS_Y_PESO!$B$3:$B$3),"--")</f>
        <v>80</v>
      </c>
      <c r="F23" s="19"/>
      <c r="G23" s="20"/>
      <c r="H23" s="21"/>
      <c r="I23" s="19"/>
      <c r="J23" s="20"/>
      <c r="K23" s="21"/>
      <c r="L23" s="19"/>
      <c r="M23" s="20"/>
      <c r="N23" s="21"/>
      <c r="O23" s="19"/>
      <c r="P23" s="20"/>
      <c r="Q23" s="21"/>
      <c r="R23" s="19"/>
      <c r="S23" s="20"/>
      <c r="T23" s="21"/>
      <c r="U23" s="22" t="str">
        <f>IFERROR(IF(IF(X23&gt;0,X23,IF(Z23&gt;0,Z23,IF(AB23&gt;0,AB23,0)))=0,"--",ROUND(CHOOSE(IF(X23&gt;0,X23,IF(Z23&gt;0,Z23,IF(AB23&gt;0,AB23,0))),IF(C23="peso_corporal",IF(ISNUMBER(E23),E23,0)+F23,F23)*(1+G23/30),IF(C23="peso_corporal",IF(ISNUMBER(E23),E23,0)+I23,I23)*(1+J23/30),IF(C23="peso_corporal",IF(ISNUMBER(E23),E23,0)+L23,L23)*(1+M23/30),IF(C23="peso_corporal",IF(ISNUMBER(E23),E23,0)+O23,O23)*(1+P23/30),IF(C23="peso_corporal",IF(ISNUMBER(E23),E23,0)+R23,R23)*(1+S23/30)),1)),"--")</f>
        <v>--</v>
      </c>
      <c r="V23" s="23" t="str">
        <f>IF(SUGERENCIAS!N61="SIN","Sin datos anteriores",IF(SUGERENCIAS!N61="SUBIR_F","^ SUBIR FUERTE | Kg:"&amp;ROUND(SUGERENCIAS!K61,1)&amp;" R:"&amp;ROUND(SUGERENCIAS!L61,0)&amp;" RIR:"&amp;ROUND(SUGERENCIAS!M61,0),IF(SUGERENCIAS!N61="SUBIR_E","^ SUBIR (Est.) | Kg:"&amp;ROUND(SUGERENCIAS!K61,1)&amp;" R:"&amp;ROUND(SUGERENCIAS!L61,0)&amp;" RIR:"&amp;ROUND(SUGERENCIAS!M61,0),IF(SUGERENCIAS!N61="SUBIR","^ SUBIR | Kg:"&amp;ROUND(SUGERENCIAS!K61,1)&amp;" R:"&amp;ROUND(SUGERENCIAS!L61,0)&amp;" RIR:"&amp;ROUND(SUGERENCIAS!M61,0),IF(SUGERENCIAS!N61="BAJAR","v BAJAR | Kg:"&amp;ROUND(SUGERENCIAS!K61,1)&amp;" R:"&amp;ROUND(SUGERENCIAS!L61,0)&amp;" RIR:"&amp;ROUND(SUGERENCIAS!M61,0),"= MANT | Kg:"&amp;ROUND(SUGERENCIAS!K61,1)&amp;" R:"&amp;ROUND(SUGERENCIAS!L61,0)&amp;" RIR:"&amp;ROUND(SUGERENCIAS!M61,0))))))</f>
        <v>Sin datos anteriores</v>
      </c>
      <c r="W23" s="69">
        <f>MAX(IF((G23&gt;0)*(IF(H23="",-1,H23)&gt;=1)*(IF(H23="",-1,H23)&lt;=3),IF(C23="peso_corporal",IF(ISNUMBER(E23),E23,0)+F23,F23)*G23*1000+F23,0),IF((J23&gt;0)*(IF(K23="",-1,K23)&gt;=1)*(IF(K23="",-1,K23)&lt;=3),IF(C23="peso_corporal",IF(ISNUMBER(E23),E23,0)+I23,I23)*J23*1000+I23,0),IF((M23&gt;0)*(IF(N23="",-1,N23)&gt;=1)*(IF(N23="",-1,N23)&lt;=3),IF(C23="peso_corporal",IF(ISNUMBER(E23),E23,0)+L23,L23)*M23*1000+L23,0),IF((P23&gt;0)*(IF(Q23="",-1,Q23)&gt;=1)*(IF(Q23="",-1,Q23)&lt;=3),IF(C23="peso_corporal",IF(ISNUMBER(E23),E23,0)+O23,O23)*P23*1000+O23,0),IF((S23&gt;0)*(IF(T23="",-1,T23)&gt;=1)*(IF(T23="",-1,T23)&lt;=3),IF(C23="peso_corporal",IF(ISNUMBER(E23),E23,0)+R23,R23)*S23*1000+R23,0))</f>
        <v>0</v>
      </c>
      <c r="X23" s="69">
        <f>IF(W23=0,0,IF(IF((S23&gt;0)*(IF(T23="",-1,T23)&gt;=1)*(IF(T23="",-1,T23)&lt;=3),IF(C23="peso_corporal",IF(ISNUMBER(E23),E23,0)+R23,R23)*S23*1000+R23,0)=W23,5,IF(IF((P23&gt;0)*(IF(Q23="",-1,Q23)&gt;=1)*(IF(Q23="",-1,Q23)&lt;=3),IF(C23="peso_corporal",IF(ISNUMBER(E23),E23,0)+O23,O23)*P23*1000+O23,0)=W23,4,IF(IF((M23&gt;0)*(IF(N23="",-1,N23)&gt;=1)*(IF(N23="",-1,N23)&lt;=3),IF(C23="peso_corporal",IF(ISNUMBER(E23),E23,0)+L23,L23)*M23*1000+L23,0)=W23,3,IF(IF((J23&gt;0)*(IF(K23="",-1,K23)&gt;=1)*(IF(K23="",-1,K23)&lt;=3),IF(C23="peso_corporal",IF(ISNUMBER(E23),E23,0)+I23,I23)*J23*1000+I23,0)=W23,2,IF(IF((G23&gt;0)*(IF(H23="",-1,H23)&gt;=1)*(IF(H23="",-1,H23)&lt;=3),IF(C23="peso_corporal",IF(ISNUMBER(E23),E23,0)+F23,F23)*G23*1000+F23,0)=W23,1,0))))))</f>
        <v>0</v>
      </c>
      <c r="Y23" s="69">
        <f>MAX(IF((G23&gt;0)*(IF(H23="",-1,H23)=0)*(1-(IF(H23="",-1,H23)&gt;=1)*(IF(H23="",-1,H23)&lt;=3)),IF(C23="peso_corporal",IF(ISNUMBER(E23),E23,0)+F23,F23)*G23*1000+F23,0),IF((J23&gt;0)*(IF(K23="",-1,K23)=0)*(1-(IF(K23="",-1,K23)&gt;=1)*(IF(K23="",-1,K23)&lt;=3)),IF(C23="peso_corporal",IF(ISNUMBER(E23),E23,0)+I23,I23)*J23*1000+I23,0),IF((M23&gt;0)*(IF(N23="",-1,N23)=0)*(1-(IF(N23="",-1,N23)&gt;=1)*(IF(N23="",-1,N23)&lt;=3)),IF(C23="peso_corporal",IF(ISNUMBER(E23),E23,0)+L23,L23)*M23*1000+L23,0),IF((P23&gt;0)*(IF(Q23="",-1,Q23)=0)*(1-(IF(Q23="",-1,Q23)&gt;=1)*(IF(Q23="",-1,Q23)&lt;=3)),IF(C23="peso_corporal",IF(ISNUMBER(E23),E23,0)+O23,O23)*P23*1000+O23,0),IF((S23&gt;0)*(IF(T23="",-1,T23)=0)*(1-(IF(T23="",-1,T23)&gt;=1)*(IF(T23="",-1,T23)&lt;=3)),IF(C23="peso_corporal",IF(ISNUMBER(E23),E23,0)+R23,R23)*S23*1000+R23,0))</f>
        <v>0</v>
      </c>
      <c r="Z23" s="69">
        <f>IF(Y23=0,0,IF(IF((S23&gt;0)*(IF(T23="",-1,T23)=0)*(1-(IF(T23="",-1,T23)&gt;=1)*(IF(T23="",-1,T23)&lt;=3)),IF(C23="peso_corporal",IF(ISNUMBER(E23),E23,0)+R23,R23)*S23*1000+R23,0)=Y23,5,IF(IF((P23&gt;0)*(IF(Q23="",-1,Q23)=0)*(1-(IF(Q23="",-1,Q23)&gt;=1)*(IF(Q23="",-1,Q23)&lt;=3)),IF(C23="peso_corporal",IF(ISNUMBER(E23),E23,0)+O23,O23)*P23*1000+O23,0)=Y23,4,IF(IF((M23&gt;0)*(IF(N23="",-1,N23)=0)*(1-(IF(N23="",-1,N23)&gt;=1)*(IF(N23="",-1,N23)&lt;=3)),IF(C23="peso_corporal",IF(ISNUMBER(E23),E23,0)+L23,L23)*M23*1000+L23,0)=Y23,3,IF(IF((J23&gt;0)*(IF(K23="",-1,K23)=0)*(1-(IF(K23="",-1,K23)&gt;=1)*(IF(K23="",-1,K23)&lt;=3)),IF(C23="peso_corporal",IF(ISNUMBER(E23),E23,0)+I23,I23)*J23*1000+I23,0)=Y23,2,IF(IF((G23&gt;0)*(IF(H23="",-1,H23)=0)*(1-(IF(H23="",-1,H23)&gt;=1)*(IF(H23="",-1,H23)&lt;=3)),IF(C23="peso_corporal",IF(ISNUMBER(E23),E23,0)+F23,F23)*G23*1000+F23,0)=Y23,1,0))))))</f>
        <v>0</v>
      </c>
      <c r="AA23" s="69">
        <f>MAX(IF((G23&gt;=6)*(1-(IF(H23="",-1,H23)&gt;=1)*(IF(H23="",-1,H23)&lt;=3))*(1-(IF(H23="",-1,H23)=0)),IF(C23="peso_corporal",IF(ISNUMBER(E23),E23,0)+F23,F23)*(30+G23)*100+F23,0),IF((J23&gt;=6)*(1-(IF(K23="",-1,K23)&gt;=1)*(IF(K23="",-1,K23)&lt;=3))*(1-(IF(K23="",-1,K23)=0)),IF(C23="peso_corporal",IF(ISNUMBER(E23),E23,0)+I23,I23)*(30+J23)*100+I23,0),IF((M23&gt;=6)*(1-(IF(N23="",-1,N23)&gt;=1)*(IF(N23="",-1,N23)&lt;=3))*(1-(IF(N23="",-1,N23)=0)),IF(C23="peso_corporal",IF(ISNUMBER(E23),E23,0)+L23,L23)*(30+M23)*100+L23,0),IF((P23&gt;=6)*(1-(IF(Q23="",-1,Q23)&gt;=1)*(IF(Q23="",-1,Q23)&lt;=3))*(1-(IF(Q23="",-1,Q23)=0)),IF(C23="peso_corporal",IF(ISNUMBER(E23),E23,0)+O23,O23)*(30+P23)*100+O23,0),IF((S23&gt;=6)*(1-(IF(T23="",-1,T23)&gt;=1)*(IF(T23="",-1,T23)&lt;=3))*(1-(IF(T23="",-1,T23)=0)),IF(C23="peso_corporal",IF(ISNUMBER(E23),E23,0)+R23,R23)*(30+S23)*100+R23,0))</f>
        <v>0</v>
      </c>
      <c r="AB23" s="69">
        <f>IF(AA23=0,0,IF(IF((S23&gt;=6)*(1-(IF(T23="",-1,T23)&gt;=1)*(IF(T23="",-1,T23)&lt;=3))*(1-(IF(T23="",-1,T23)=0)),IF(C23="peso_corporal",IF(ISNUMBER(E23),E23,0)+R23,R23)*(30+S23)*100+R23,0)=AA23,5,IF(IF((P23&gt;=6)*(1-(IF(Q23="",-1,Q23)&gt;=1)*(IF(Q23="",-1,Q23)&lt;=3))*(1-(IF(Q23="",-1,Q23)=0)),IF(C23="peso_corporal",IF(ISNUMBER(E23),E23,0)+O23,O23)*(30+P23)*100+O23,0)=AA23,4,IF(IF((M23&gt;=6)*(1-(IF(N23="",-1,N23)&gt;=1)*(IF(N23="",-1,N23)&lt;=3))*(1-(IF(N23="",-1,N23)=0)),IF(C23="peso_corporal",IF(ISNUMBER(E23),E23,0)+L23,L23)*(30+M23)*100+L23,0)=AA23,3,IF(IF((J23&gt;=6)*(1-(IF(K23="",-1,K23)&gt;=1)*(IF(K23="",-1,K23)&lt;=3))*(1-(IF(K23="",-1,K23)=0)),IF(C23="peso_corporal",IF(ISNUMBER(E23),E23,0)+I23,I23)*(30+J23)*100+I23,0)=AA23,2,IF(IF((G23&gt;=6)*(1-(IF(H23="",-1,H23)&gt;=1)*(IF(H23="",-1,H23)&lt;=3))*(1-(IF(H23="",-1,H23)=0)),IF(C23="peso_corporal",IF(ISNUMBER(E23),E23,0)+F23,F23)*(30+G23)*100+F23,0)=AA23,1,0))))))</f>
        <v>0</v>
      </c>
      <c r="AC23" s="69" t="str">
        <f>IF(X23&gt;0,"A"&amp;X23,IF(Z23&gt;0,"B"&amp;Z23,IF(AB23&gt;0,"C"&amp;AB23,"")))</f>
        <v/>
      </c>
    </row>
    <row r="24" spans="1:29" ht="15" customHeight="1">
      <c r="A24" s="81" t="s">
        <v>42</v>
      </c>
      <c r="B24" s="73"/>
      <c r="C24" s="73"/>
      <c r="D24" s="73"/>
      <c r="E24" s="73"/>
      <c r="F24" s="73"/>
      <c r="G24" s="73"/>
      <c r="H24" s="73"/>
      <c r="I24" s="73"/>
      <c r="J24" s="73"/>
      <c r="K24" s="73"/>
      <c r="L24" s="73"/>
      <c r="M24" s="73"/>
      <c r="N24" s="73"/>
      <c r="O24" s="73"/>
      <c r="P24" s="73"/>
      <c r="Q24" s="73"/>
      <c r="R24" s="73"/>
      <c r="S24" s="73"/>
      <c r="T24" s="73"/>
      <c r="U24" s="73"/>
      <c r="V24" s="73"/>
      <c r="W24" s="69"/>
      <c r="X24" s="69"/>
      <c r="Y24" s="69"/>
      <c r="Z24" s="69"/>
      <c r="AA24" s="69"/>
      <c r="AB24" s="69"/>
      <c r="AC24" s="69"/>
    </row>
    <row r="25" spans="1:29" ht="20.100000000000001" customHeight="1">
      <c r="A25" s="14" t="s">
        <v>43</v>
      </c>
      <c r="B25" s="15" t="s">
        <v>44</v>
      </c>
      <c r="C25" s="16" t="str">
        <f>IFERROR(INDEX(EJERCICIOS!$D$3:$D$75,MATCH(A25&amp;"|"&amp;B25,EJERCICIOS!$G$3:$G$75,0)),"--")</f>
        <v>polea</v>
      </c>
      <c r="D25" s="17">
        <v>3</v>
      </c>
      <c r="E25" s="18">
        <f>IFERROR(LOOKUP(2,1/(MEDIDAS_Y_PESO!$B$3:$B$3&lt;&gt;""),MEDIDAS_Y_PESO!$B$3:$B$3),"--")</f>
        <v>80</v>
      </c>
      <c r="F25" s="19"/>
      <c r="G25" s="20"/>
      <c r="H25" s="21"/>
      <c r="I25" s="19"/>
      <c r="J25" s="20"/>
      <c r="K25" s="21"/>
      <c r="L25" s="19"/>
      <c r="M25" s="20"/>
      <c r="N25" s="21"/>
      <c r="O25" s="19"/>
      <c r="P25" s="20"/>
      <c r="Q25" s="21"/>
      <c r="R25" s="19"/>
      <c r="S25" s="20"/>
      <c r="T25" s="21"/>
      <c r="U25" s="22" t="str">
        <f>IFERROR(IF(IF(X25&gt;0,X25,IF(Z25&gt;0,Z25,IF(AB25&gt;0,AB25,0)))=0,"--",ROUND(CHOOSE(IF(X25&gt;0,X25,IF(Z25&gt;0,Z25,IF(AB25&gt;0,AB25,0))),IF(C25="peso_corporal",IF(ISNUMBER(E25),E25,0)+F25,F25)*(1+G25/30),IF(C25="peso_corporal",IF(ISNUMBER(E25),E25,0)+I25,I25)*(1+J25/30),IF(C25="peso_corporal",IF(ISNUMBER(E25),E25,0)+L25,L25)*(1+M25/30),IF(C25="peso_corporal",IF(ISNUMBER(E25),E25,0)+O25,O25)*(1+P25/30),IF(C25="peso_corporal",IF(ISNUMBER(E25),E25,0)+R25,R25)*(1+S25/30)),1)),"--")</f>
        <v>--</v>
      </c>
      <c r="V25" s="23" t="str">
        <f>IF(SUGERENCIAS!N62="SIN","Sin datos anteriores",IF(SUGERENCIAS!N62="SUBIR_F","^ SUBIR FUERTE | Kg:"&amp;ROUND(SUGERENCIAS!K62,1)&amp;" R:"&amp;ROUND(SUGERENCIAS!L62,0)&amp;" RIR:"&amp;ROUND(SUGERENCIAS!M62,0),IF(SUGERENCIAS!N62="SUBIR_E","^ SUBIR (Est.) | Kg:"&amp;ROUND(SUGERENCIAS!K62,1)&amp;" R:"&amp;ROUND(SUGERENCIAS!L62,0)&amp;" RIR:"&amp;ROUND(SUGERENCIAS!M62,0),IF(SUGERENCIAS!N62="SUBIR","^ SUBIR | Kg:"&amp;ROUND(SUGERENCIAS!K62,1)&amp;" R:"&amp;ROUND(SUGERENCIAS!L62,0)&amp;" RIR:"&amp;ROUND(SUGERENCIAS!M62,0),IF(SUGERENCIAS!N62="BAJAR","v BAJAR | Kg:"&amp;ROUND(SUGERENCIAS!K62,1)&amp;" R:"&amp;ROUND(SUGERENCIAS!L62,0)&amp;" RIR:"&amp;ROUND(SUGERENCIAS!M62,0),"= MANT | Kg:"&amp;ROUND(SUGERENCIAS!K62,1)&amp;" R:"&amp;ROUND(SUGERENCIAS!L62,0)&amp;" RIR:"&amp;ROUND(SUGERENCIAS!M62,0))))))</f>
        <v>Sin datos anteriores</v>
      </c>
      <c r="W25" s="69">
        <f>MAX(IF((G25&gt;0)*(IF(H25="",-1,H25)&gt;=1)*(IF(H25="",-1,H25)&lt;=3),IF(C25="peso_corporal",IF(ISNUMBER(E25),E25,0)+F25,F25)*G25*1000+F25,0),IF((J25&gt;0)*(IF(K25="",-1,K25)&gt;=1)*(IF(K25="",-1,K25)&lt;=3),IF(C25="peso_corporal",IF(ISNUMBER(E25),E25,0)+I25,I25)*J25*1000+I25,0),IF((M25&gt;0)*(IF(N25="",-1,N25)&gt;=1)*(IF(N25="",-1,N25)&lt;=3),IF(C25="peso_corporal",IF(ISNUMBER(E25),E25,0)+L25,L25)*M25*1000+L25,0),IF((P25&gt;0)*(IF(Q25="",-1,Q25)&gt;=1)*(IF(Q25="",-1,Q25)&lt;=3),IF(C25="peso_corporal",IF(ISNUMBER(E25),E25,0)+O25,O25)*P25*1000+O25,0),IF((S25&gt;0)*(IF(T25="",-1,T25)&gt;=1)*(IF(T25="",-1,T25)&lt;=3),IF(C25="peso_corporal",IF(ISNUMBER(E25),E25,0)+R25,R25)*S25*1000+R25,0))</f>
        <v>0</v>
      </c>
      <c r="X25" s="69">
        <f>IF(W25=0,0,IF(IF((S25&gt;0)*(IF(T25="",-1,T25)&gt;=1)*(IF(T25="",-1,T25)&lt;=3),IF(C25="peso_corporal",IF(ISNUMBER(E25),E25,0)+R25,R25)*S25*1000+R25,0)=W25,5,IF(IF((P25&gt;0)*(IF(Q25="",-1,Q25)&gt;=1)*(IF(Q25="",-1,Q25)&lt;=3),IF(C25="peso_corporal",IF(ISNUMBER(E25),E25,0)+O25,O25)*P25*1000+O25,0)=W25,4,IF(IF((M25&gt;0)*(IF(N25="",-1,N25)&gt;=1)*(IF(N25="",-1,N25)&lt;=3),IF(C25="peso_corporal",IF(ISNUMBER(E25),E25,0)+L25,L25)*M25*1000+L25,0)=W25,3,IF(IF((J25&gt;0)*(IF(K25="",-1,K25)&gt;=1)*(IF(K25="",-1,K25)&lt;=3),IF(C25="peso_corporal",IF(ISNUMBER(E25),E25,0)+I25,I25)*J25*1000+I25,0)=W25,2,IF(IF((G25&gt;0)*(IF(H25="",-1,H25)&gt;=1)*(IF(H25="",-1,H25)&lt;=3),IF(C25="peso_corporal",IF(ISNUMBER(E25),E25,0)+F25,F25)*G25*1000+F25,0)=W25,1,0))))))</f>
        <v>0</v>
      </c>
      <c r="Y25" s="69">
        <f>MAX(IF((G25&gt;0)*(IF(H25="",-1,H25)=0)*(1-(IF(H25="",-1,H25)&gt;=1)*(IF(H25="",-1,H25)&lt;=3)),IF(C25="peso_corporal",IF(ISNUMBER(E25),E25,0)+F25,F25)*G25*1000+F25,0),IF((J25&gt;0)*(IF(K25="",-1,K25)=0)*(1-(IF(K25="",-1,K25)&gt;=1)*(IF(K25="",-1,K25)&lt;=3)),IF(C25="peso_corporal",IF(ISNUMBER(E25),E25,0)+I25,I25)*J25*1000+I25,0),IF((M25&gt;0)*(IF(N25="",-1,N25)=0)*(1-(IF(N25="",-1,N25)&gt;=1)*(IF(N25="",-1,N25)&lt;=3)),IF(C25="peso_corporal",IF(ISNUMBER(E25),E25,0)+L25,L25)*M25*1000+L25,0),IF((P25&gt;0)*(IF(Q25="",-1,Q25)=0)*(1-(IF(Q25="",-1,Q25)&gt;=1)*(IF(Q25="",-1,Q25)&lt;=3)),IF(C25="peso_corporal",IF(ISNUMBER(E25),E25,0)+O25,O25)*P25*1000+O25,0),IF((S25&gt;0)*(IF(T25="",-1,T25)=0)*(1-(IF(T25="",-1,T25)&gt;=1)*(IF(T25="",-1,T25)&lt;=3)),IF(C25="peso_corporal",IF(ISNUMBER(E25),E25,0)+R25,R25)*S25*1000+R25,0))</f>
        <v>0</v>
      </c>
      <c r="Z25" s="69">
        <f>IF(Y25=0,0,IF(IF((S25&gt;0)*(IF(T25="",-1,T25)=0)*(1-(IF(T25="",-1,T25)&gt;=1)*(IF(T25="",-1,T25)&lt;=3)),IF(C25="peso_corporal",IF(ISNUMBER(E25),E25,0)+R25,R25)*S25*1000+R25,0)=Y25,5,IF(IF((P25&gt;0)*(IF(Q25="",-1,Q25)=0)*(1-(IF(Q25="",-1,Q25)&gt;=1)*(IF(Q25="",-1,Q25)&lt;=3)),IF(C25="peso_corporal",IF(ISNUMBER(E25),E25,0)+O25,O25)*P25*1000+O25,0)=Y25,4,IF(IF((M25&gt;0)*(IF(N25="",-1,N25)=0)*(1-(IF(N25="",-1,N25)&gt;=1)*(IF(N25="",-1,N25)&lt;=3)),IF(C25="peso_corporal",IF(ISNUMBER(E25),E25,0)+L25,L25)*M25*1000+L25,0)=Y25,3,IF(IF((J25&gt;0)*(IF(K25="",-1,K25)=0)*(1-(IF(K25="",-1,K25)&gt;=1)*(IF(K25="",-1,K25)&lt;=3)),IF(C25="peso_corporal",IF(ISNUMBER(E25),E25,0)+I25,I25)*J25*1000+I25,0)=Y25,2,IF(IF((G25&gt;0)*(IF(H25="",-1,H25)=0)*(1-(IF(H25="",-1,H25)&gt;=1)*(IF(H25="",-1,H25)&lt;=3)),IF(C25="peso_corporal",IF(ISNUMBER(E25),E25,0)+F25,F25)*G25*1000+F25,0)=Y25,1,0))))))</f>
        <v>0</v>
      </c>
      <c r="AA25" s="69">
        <f>MAX(IF((G25&gt;=6)*(1-(IF(H25="",-1,H25)&gt;=1)*(IF(H25="",-1,H25)&lt;=3))*(1-(IF(H25="",-1,H25)=0)),IF(C25="peso_corporal",IF(ISNUMBER(E25),E25,0)+F25,F25)*(30+G25)*100+F25,0),IF((J25&gt;=6)*(1-(IF(K25="",-1,K25)&gt;=1)*(IF(K25="",-1,K25)&lt;=3))*(1-(IF(K25="",-1,K25)=0)),IF(C25="peso_corporal",IF(ISNUMBER(E25),E25,0)+I25,I25)*(30+J25)*100+I25,0),IF((M25&gt;=6)*(1-(IF(N25="",-1,N25)&gt;=1)*(IF(N25="",-1,N25)&lt;=3))*(1-(IF(N25="",-1,N25)=0)),IF(C25="peso_corporal",IF(ISNUMBER(E25),E25,0)+L25,L25)*(30+M25)*100+L25,0),IF((P25&gt;=6)*(1-(IF(Q25="",-1,Q25)&gt;=1)*(IF(Q25="",-1,Q25)&lt;=3))*(1-(IF(Q25="",-1,Q25)=0)),IF(C25="peso_corporal",IF(ISNUMBER(E25),E25,0)+O25,O25)*(30+P25)*100+O25,0),IF((S25&gt;=6)*(1-(IF(T25="",-1,T25)&gt;=1)*(IF(T25="",-1,T25)&lt;=3))*(1-(IF(T25="",-1,T25)=0)),IF(C25="peso_corporal",IF(ISNUMBER(E25),E25,0)+R25,R25)*(30+S25)*100+R25,0))</f>
        <v>0</v>
      </c>
      <c r="AB25" s="69">
        <f>IF(AA25=0,0,IF(IF((S25&gt;=6)*(1-(IF(T25="",-1,T25)&gt;=1)*(IF(T25="",-1,T25)&lt;=3))*(1-(IF(T25="",-1,T25)=0)),IF(C25="peso_corporal",IF(ISNUMBER(E25),E25,0)+R25,R25)*(30+S25)*100+R25,0)=AA25,5,IF(IF((P25&gt;=6)*(1-(IF(Q25="",-1,Q25)&gt;=1)*(IF(Q25="",-1,Q25)&lt;=3))*(1-(IF(Q25="",-1,Q25)=0)),IF(C25="peso_corporal",IF(ISNUMBER(E25),E25,0)+O25,O25)*(30+P25)*100+O25,0)=AA25,4,IF(IF((M25&gt;=6)*(1-(IF(N25="",-1,N25)&gt;=1)*(IF(N25="",-1,N25)&lt;=3))*(1-(IF(N25="",-1,N25)=0)),IF(C25="peso_corporal",IF(ISNUMBER(E25),E25,0)+L25,L25)*(30+M25)*100+L25,0)=AA25,3,IF(IF((J25&gt;=6)*(1-(IF(K25="",-1,K25)&gt;=1)*(IF(K25="",-1,K25)&lt;=3))*(1-(IF(K25="",-1,K25)=0)),IF(C25="peso_corporal",IF(ISNUMBER(E25),E25,0)+I25,I25)*(30+J25)*100+I25,0)=AA25,2,IF(IF((G25&gt;=6)*(1-(IF(H25="",-1,H25)&gt;=1)*(IF(H25="",-1,H25)&lt;=3))*(1-(IF(H25="",-1,H25)=0)),IF(C25="peso_corporal",IF(ISNUMBER(E25),E25,0)+F25,F25)*(30+G25)*100+F25,0)=AA25,1,0))))))</f>
        <v>0</v>
      </c>
      <c r="AC25" s="69" t="str">
        <f>IF(X25&gt;0,"A"&amp;X25,IF(Z25&gt;0,"B"&amp;Z25,IF(AB25&gt;0,"C"&amp;AB25,"")))</f>
        <v/>
      </c>
    </row>
    <row r="26" spans="1:29" ht="15" customHeight="1">
      <c r="A26" s="81" t="s">
        <v>174</v>
      </c>
      <c r="B26" s="73"/>
      <c r="C26" s="73"/>
      <c r="D26" s="73"/>
      <c r="E26" s="73"/>
      <c r="F26" s="73"/>
      <c r="G26" s="73"/>
      <c r="H26" s="73"/>
      <c r="I26" s="73"/>
      <c r="J26" s="73"/>
      <c r="K26" s="73"/>
      <c r="L26" s="73"/>
      <c r="M26" s="73"/>
      <c r="N26" s="73"/>
      <c r="O26" s="73"/>
      <c r="P26" s="73"/>
      <c r="Q26" s="73"/>
      <c r="R26" s="73"/>
      <c r="S26" s="73"/>
      <c r="T26" s="73"/>
      <c r="U26" s="73"/>
      <c r="V26" s="73"/>
      <c r="W26" s="69"/>
      <c r="X26" s="69"/>
      <c r="Y26" s="69"/>
      <c r="Z26" s="69"/>
      <c r="AA26" s="69"/>
      <c r="AB26" s="69"/>
      <c r="AC26" s="69"/>
    </row>
    <row r="27" spans="1:29" ht="20.100000000000001" customHeight="1">
      <c r="A27" s="14" t="s">
        <v>175</v>
      </c>
      <c r="B27" s="15" t="s">
        <v>176</v>
      </c>
      <c r="C27" s="16" t="str">
        <f>IFERROR(INDEX(EJERCICIOS!$D$3:$D$75,MATCH(A27&amp;"|"&amp;B27,EJERCICIOS!$G$3:$G$75,0)),"--")</f>
        <v>mancuerna</v>
      </c>
      <c r="D27" s="17">
        <v>3</v>
      </c>
      <c r="E27" s="18">
        <f>IFERROR(LOOKUP(2,1/(MEDIDAS_Y_PESO!$B$3:$B$3&lt;&gt;""),MEDIDAS_Y_PESO!$B$3:$B$3),"--")</f>
        <v>80</v>
      </c>
      <c r="F27" s="19"/>
      <c r="G27" s="20"/>
      <c r="H27" s="21"/>
      <c r="I27" s="19"/>
      <c r="J27" s="20"/>
      <c r="K27" s="21"/>
      <c r="L27" s="19"/>
      <c r="M27" s="20"/>
      <c r="N27" s="21"/>
      <c r="O27" s="19"/>
      <c r="P27" s="20"/>
      <c r="Q27" s="21"/>
      <c r="R27" s="19"/>
      <c r="S27" s="20"/>
      <c r="T27" s="21"/>
      <c r="U27" s="22" t="str">
        <f>IFERROR(IF(IF(X27&gt;0,X27,IF(Z27&gt;0,Z27,IF(AB27&gt;0,AB27,0)))=0,"--",ROUND(CHOOSE(IF(X27&gt;0,X27,IF(Z27&gt;0,Z27,IF(AB27&gt;0,AB27,0))),IF(C27="peso_corporal",IF(ISNUMBER(E27),E27,0)+F27,F27)*(1+G27/30),IF(C27="peso_corporal",IF(ISNUMBER(E27),E27,0)+I27,I27)*(1+J27/30),IF(C27="peso_corporal",IF(ISNUMBER(E27),E27,0)+L27,L27)*(1+M27/30),IF(C27="peso_corporal",IF(ISNUMBER(E27),E27,0)+O27,O27)*(1+P27/30),IF(C27="peso_corporal",IF(ISNUMBER(E27),E27,0)+R27,R27)*(1+S27/30)),1)),"--")</f>
        <v>--</v>
      </c>
      <c r="V27" s="23" t="str">
        <f>IF(SUGERENCIAS!N63="SIN","Sin datos anteriores",IF(SUGERENCIAS!N63="SUBIR_F","^ SUBIR FUERTE | Kg:"&amp;ROUND(SUGERENCIAS!K63,1)&amp;" R:"&amp;ROUND(SUGERENCIAS!L63,0)&amp;" RIR:"&amp;ROUND(SUGERENCIAS!M63,0),IF(SUGERENCIAS!N63="SUBIR_E","^ SUBIR (Est.) | Kg:"&amp;ROUND(SUGERENCIAS!K63,1)&amp;" R:"&amp;ROUND(SUGERENCIAS!L63,0)&amp;" RIR:"&amp;ROUND(SUGERENCIAS!M63,0),IF(SUGERENCIAS!N63="SUBIR","^ SUBIR | Kg:"&amp;ROUND(SUGERENCIAS!K63,1)&amp;" R:"&amp;ROUND(SUGERENCIAS!L63,0)&amp;" RIR:"&amp;ROUND(SUGERENCIAS!M63,0),IF(SUGERENCIAS!N63="BAJAR","v BAJAR | Kg:"&amp;ROUND(SUGERENCIAS!K63,1)&amp;" R:"&amp;ROUND(SUGERENCIAS!L63,0)&amp;" RIR:"&amp;ROUND(SUGERENCIAS!M63,0),"= MANT | Kg:"&amp;ROUND(SUGERENCIAS!K63,1)&amp;" R:"&amp;ROUND(SUGERENCIAS!L63,0)&amp;" RIR:"&amp;ROUND(SUGERENCIAS!M63,0))))))</f>
        <v>Sin datos anteriores</v>
      </c>
      <c r="W27" s="69">
        <f>MAX(IF((G27&gt;0)*(IF(H27="",-1,H27)&gt;=1)*(IF(H27="",-1,H27)&lt;=3),IF(C27="peso_corporal",IF(ISNUMBER(E27),E27,0)+F27,F27)*G27*1000+F27,0),IF((J27&gt;0)*(IF(K27="",-1,K27)&gt;=1)*(IF(K27="",-1,K27)&lt;=3),IF(C27="peso_corporal",IF(ISNUMBER(E27),E27,0)+I27,I27)*J27*1000+I27,0),IF((M27&gt;0)*(IF(N27="",-1,N27)&gt;=1)*(IF(N27="",-1,N27)&lt;=3),IF(C27="peso_corporal",IF(ISNUMBER(E27),E27,0)+L27,L27)*M27*1000+L27,0),IF((P27&gt;0)*(IF(Q27="",-1,Q27)&gt;=1)*(IF(Q27="",-1,Q27)&lt;=3),IF(C27="peso_corporal",IF(ISNUMBER(E27),E27,0)+O27,O27)*P27*1000+O27,0),IF((S27&gt;0)*(IF(T27="",-1,T27)&gt;=1)*(IF(T27="",-1,T27)&lt;=3),IF(C27="peso_corporal",IF(ISNUMBER(E27),E27,0)+R27,R27)*S27*1000+R27,0))</f>
        <v>0</v>
      </c>
      <c r="X27" s="69">
        <f>IF(W27=0,0,IF(IF((S27&gt;0)*(IF(T27="",-1,T27)&gt;=1)*(IF(T27="",-1,T27)&lt;=3),IF(C27="peso_corporal",IF(ISNUMBER(E27),E27,0)+R27,R27)*S27*1000+R27,0)=W27,5,IF(IF((P27&gt;0)*(IF(Q27="",-1,Q27)&gt;=1)*(IF(Q27="",-1,Q27)&lt;=3),IF(C27="peso_corporal",IF(ISNUMBER(E27),E27,0)+O27,O27)*P27*1000+O27,0)=W27,4,IF(IF((M27&gt;0)*(IF(N27="",-1,N27)&gt;=1)*(IF(N27="",-1,N27)&lt;=3),IF(C27="peso_corporal",IF(ISNUMBER(E27),E27,0)+L27,L27)*M27*1000+L27,0)=W27,3,IF(IF((J27&gt;0)*(IF(K27="",-1,K27)&gt;=1)*(IF(K27="",-1,K27)&lt;=3),IF(C27="peso_corporal",IF(ISNUMBER(E27),E27,0)+I27,I27)*J27*1000+I27,0)=W27,2,IF(IF((G27&gt;0)*(IF(H27="",-1,H27)&gt;=1)*(IF(H27="",-1,H27)&lt;=3),IF(C27="peso_corporal",IF(ISNUMBER(E27),E27,0)+F27,F27)*G27*1000+F27,0)=W27,1,0))))))</f>
        <v>0</v>
      </c>
      <c r="Y27" s="69">
        <f>MAX(IF((G27&gt;0)*(IF(H27="",-1,H27)=0)*(1-(IF(H27="",-1,H27)&gt;=1)*(IF(H27="",-1,H27)&lt;=3)),IF(C27="peso_corporal",IF(ISNUMBER(E27),E27,0)+F27,F27)*G27*1000+F27,0),IF((J27&gt;0)*(IF(K27="",-1,K27)=0)*(1-(IF(K27="",-1,K27)&gt;=1)*(IF(K27="",-1,K27)&lt;=3)),IF(C27="peso_corporal",IF(ISNUMBER(E27),E27,0)+I27,I27)*J27*1000+I27,0),IF((M27&gt;0)*(IF(N27="",-1,N27)=0)*(1-(IF(N27="",-1,N27)&gt;=1)*(IF(N27="",-1,N27)&lt;=3)),IF(C27="peso_corporal",IF(ISNUMBER(E27),E27,0)+L27,L27)*M27*1000+L27,0),IF((P27&gt;0)*(IF(Q27="",-1,Q27)=0)*(1-(IF(Q27="",-1,Q27)&gt;=1)*(IF(Q27="",-1,Q27)&lt;=3)),IF(C27="peso_corporal",IF(ISNUMBER(E27),E27,0)+O27,O27)*P27*1000+O27,0),IF((S27&gt;0)*(IF(T27="",-1,T27)=0)*(1-(IF(T27="",-1,T27)&gt;=1)*(IF(T27="",-1,T27)&lt;=3)),IF(C27="peso_corporal",IF(ISNUMBER(E27),E27,0)+R27,R27)*S27*1000+R27,0))</f>
        <v>0</v>
      </c>
      <c r="Z27" s="69">
        <f>IF(Y27=0,0,IF(IF((S27&gt;0)*(IF(T27="",-1,T27)=0)*(1-(IF(T27="",-1,T27)&gt;=1)*(IF(T27="",-1,T27)&lt;=3)),IF(C27="peso_corporal",IF(ISNUMBER(E27),E27,0)+R27,R27)*S27*1000+R27,0)=Y27,5,IF(IF((P27&gt;0)*(IF(Q27="",-1,Q27)=0)*(1-(IF(Q27="",-1,Q27)&gt;=1)*(IF(Q27="",-1,Q27)&lt;=3)),IF(C27="peso_corporal",IF(ISNUMBER(E27),E27,0)+O27,O27)*P27*1000+O27,0)=Y27,4,IF(IF((M27&gt;0)*(IF(N27="",-1,N27)=0)*(1-(IF(N27="",-1,N27)&gt;=1)*(IF(N27="",-1,N27)&lt;=3)),IF(C27="peso_corporal",IF(ISNUMBER(E27),E27,0)+L27,L27)*M27*1000+L27,0)=Y27,3,IF(IF((J27&gt;0)*(IF(K27="",-1,K27)=0)*(1-(IF(K27="",-1,K27)&gt;=1)*(IF(K27="",-1,K27)&lt;=3)),IF(C27="peso_corporal",IF(ISNUMBER(E27),E27,0)+I27,I27)*J27*1000+I27,0)=Y27,2,IF(IF((G27&gt;0)*(IF(H27="",-1,H27)=0)*(1-(IF(H27="",-1,H27)&gt;=1)*(IF(H27="",-1,H27)&lt;=3)),IF(C27="peso_corporal",IF(ISNUMBER(E27),E27,0)+F27,F27)*G27*1000+F27,0)=Y27,1,0))))))</f>
        <v>0</v>
      </c>
      <c r="AA27" s="69">
        <f>MAX(IF((G27&gt;=6)*(1-(IF(H27="",-1,H27)&gt;=1)*(IF(H27="",-1,H27)&lt;=3))*(1-(IF(H27="",-1,H27)=0)),IF(C27="peso_corporal",IF(ISNUMBER(E27),E27,0)+F27,F27)*(30+G27)*100+F27,0),IF((J27&gt;=6)*(1-(IF(K27="",-1,K27)&gt;=1)*(IF(K27="",-1,K27)&lt;=3))*(1-(IF(K27="",-1,K27)=0)),IF(C27="peso_corporal",IF(ISNUMBER(E27),E27,0)+I27,I27)*(30+J27)*100+I27,0),IF((M27&gt;=6)*(1-(IF(N27="",-1,N27)&gt;=1)*(IF(N27="",-1,N27)&lt;=3))*(1-(IF(N27="",-1,N27)=0)),IF(C27="peso_corporal",IF(ISNUMBER(E27),E27,0)+L27,L27)*(30+M27)*100+L27,0),IF((P27&gt;=6)*(1-(IF(Q27="",-1,Q27)&gt;=1)*(IF(Q27="",-1,Q27)&lt;=3))*(1-(IF(Q27="",-1,Q27)=0)),IF(C27="peso_corporal",IF(ISNUMBER(E27),E27,0)+O27,O27)*(30+P27)*100+O27,0),IF((S27&gt;=6)*(1-(IF(T27="",-1,T27)&gt;=1)*(IF(T27="",-1,T27)&lt;=3))*(1-(IF(T27="",-1,T27)=0)),IF(C27="peso_corporal",IF(ISNUMBER(E27),E27,0)+R27,R27)*(30+S27)*100+R27,0))</f>
        <v>0</v>
      </c>
      <c r="AB27" s="69">
        <f>IF(AA27=0,0,IF(IF((S27&gt;=6)*(1-(IF(T27="",-1,T27)&gt;=1)*(IF(T27="",-1,T27)&lt;=3))*(1-(IF(T27="",-1,T27)=0)),IF(C27="peso_corporal",IF(ISNUMBER(E27),E27,0)+R27,R27)*(30+S27)*100+R27,0)=AA27,5,IF(IF((P27&gt;=6)*(1-(IF(Q27="",-1,Q27)&gt;=1)*(IF(Q27="",-1,Q27)&lt;=3))*(1-(IF(Q27="",-1,Q27)=0)),IF(C27="peso_corporal",IF(ISNUMBER(E27),E27,0)+O27,O27)*(30+P27)*100+O27,0)=AA27,4,IF(IF((M27&gt;=6)*(1-(IF(N27="",-1,N27)&gt;=1)*(IF(N27="",-1,N27)&lt;=3))*(1-(IF(N27="",-1,N27)=0)),IF(C27="peso_corporal",IF(ISNUMBER(E27),E27,0)+L27,L27)*(30+M27)*100+L27,0)=AA27,3,IF(IF((J27&gt;=6)*(1-(IF(K27="",-1,K27)&gt;=1)*(IF(K27="",-1,K27)&lt;=3))*(1-(IF(K27="",-1,K27)=0)),IF(C27="peso_corporal",IF(ISNUMBER(E27),E27,0)+I27,I27)*(30+J27)*100+I27,0)=AA27,2,IF(IF((G27&gt;=6)*(1-(IF(H27="",-1,H27)&gt;=1)*(IF(H27="",-1,H27)&lt;=3))*(1-(IF(H27="",-1,H27)=0)),IF(C27="peso_corporal",IF(ISNUMBER(E27),E27,0)+F27,F27)*(30+G27)*100+F27,0)=AA27,1,0))))))</f>
        <v>0</v>
      </c>
      <c r="AC27" s="69" t="str">
        <f>IF(X27&gt;0,"A"&amp;X27,IF(Z27&gt;0,"B"&amp;Z27,IF(AB27&gt;0,"C"&amp;AB27,"")))</f>
        <v/>
      </c>
    </row>
    <row r="28" spans="1:29" ht="20.100000000000001" customHeight="1">
      <c r="A28" s="14" t="s">
        <v>109</v>
      </c>
      <c r="B28" s="15" t="s">
        <v>110</v>
      </c>
      <c r="C28" s="16" t="str">
        <f>IFERROR(INDEX(EJERCICIOS!$D$3:$D$75,MATCH(A28&amp;"|"&amp;B28,EJERCICIOS!$G$3:$G$75,0)),"--")</f>
        <v>polea</v>
      </c>
      <c r="D28" s="17">
        <v>3</v>
      </c>
      <c r="E28" s="18">
        <f>IFERROR(LOOKUP(2,1/(MEDIDAS_Y_PESO!$B$3:$B$3&lt;&gt;""),MEDIDAS_Y_PESO!$B$3:$B$3),"--")</f>
        <v>80</v>
      </c>
      <c r="F28" s="19"/>
      <c r="G28" s="20"/>
      <c r="H28" s="21"/>
      <c r="I28" s="19"/>
      <c r="J28" s="20"/>
      <c r="K28" s="21"/>
      <c r="L28" s="19"/>
      <c r="M28" s="20"/>
      <c r="N28" s="21"/>
      <c r="O28" s="19"/>
      <c r="P28" s="20"/>
      <c r="Q28" s="21"/>
      <c r="R28" s="19"/>
      <c r="S28" s="20"/>
      <c r="T28" s="21"/>
      <c r="U28" s="22" t="str">
        <f>IFERROR(IF(IF(X28&gt;0,X28,IF(Z28&gt;0,Z28,IF(AB28&gt;0,AB28,0)))=0,"--",ROUND(CHOOSE(IF(X28&gt;0,X28,IF(Z28&gt;0,Z28,IF(AB28&gt;0,AB28,0))),IF(C28="peso_corporal",IF(ISNUMBER(E28),E28,0)+F28,F28)*(1+G28/30),IF(C28="peso_corporal",IF(ISNUMBER(E28),E28,0)+I28,I28)*(1+J28/30),IF(C28="peso_corporal",IF(ISNUMBER(E28),E28,0)+L28,L28)*(1+M28/30),IF(C28="peso_corporal",IF(ISNUMBER(E28),E28,0)+O28,O28)*(1+P28/30),IF(C28="peso_corporal",IF(ISNUMBER(E28),E28,0)+R28,R28)*(1+S28/30)),1)),"--")</f>
        <v>--</v>
      </c>
      <c r="V28" s="23" t="str">
        <f>IF(SUGERENCIAS!N64="SIN","Sin datos anteriores",IF(SUGERENCIAS!N64="SUBIR_F","^ SUBIR FUERTE | Kg:"&amp;ROUND(SUGERENCIAS!K64,1)&amp;" R:"&amp;ROUND(SUGERENCIAS!L64,0)&amp;" RIR:"&amp;ROUND(SUGERENCIAS!M64,0),IF(SUGERENCIAS!N64="SUBIR_E","^ SUBIR (Est.) | Kg:"&amp;ROUND(SUGERENCIAS!K64,1)&amp;" R:"&amp;ROUND(SUGERENCIAS!L64,0)&amp;" RIR:"&amp;ROUND(SUGERENCIAS!M64,0),IF(SUGERENCIAS!N64="SUBIR","^ SUBIR | Kg:"&amp;ROUND(SUGERENCIAS!K64,1)&amp;" R:"&amp;ROUND(SUGERENCIAS!L64,0)&amp;" RIR:"&amp;ROUND(SUGERENCIAS!M64,0),IF(SUGERENCIAS!N64="BAJAR","v BAJAR | Kg:"&amp;ROUND(SUGERENCIAS!K64,1)&amp;" R:"&amp;ROUND(SUGERENCIAS!L64,0)&amp;" RIR:"&amp;ROUND(SUGERENCIAS!M64,0),"= MANT | Kg:"&amp;ROUND(SUGERENCIAS!K64,1)&amp;" R:"&amp;ROUND(SUGERENCIAS!L64,0)&amp;" RIR:"&amp;ROUND(SUGERENCIAS!M64,0))))))</f>
        <v>Sin datos anteriores</v>
      </c>
      <c r="W28" s="69">
        <f>MAX(IF((G28&gt;0)*(IF(H28="",-1,H28)&gt;=1)*(IF(H28="",-1,H28)&lt;=3),IF(C28="peso_corporal",IF(ISNUMBER(E28),E28,0)+F28,F28)*G28*1000+F28,0),IF((J28&gt;0)*(IF(K28="",-1,K28)&gt;=1)*(IF(K28="",-1,K28)&lt;=3),IF(C28="peso_corporal",IF(ISNUMBER(E28),E28,0)+I28,I28)*J28*1000+I28,0),IF((M28&gt;0)*(IF(N28="",-1,N28)&gt;=1)*(IF(N28="",-1,N28)&lt;=3),IF(C28="peso_corporal",IF(ISNUMBER(E28),E28,0)+L28,L28)*M28*1000+L28,0),IF((P28&gt;0)*(IF(Q28="",-1,Q28)&gt;=1)*(IF(Q28="",-1,Q28)&lt;=3),IF(C28="peso_corporal",IF(ISNUMBER(E28),E28,0)+O28,O28)*P28*1000+O28,0),IF((S28&gt;0)*(IF(T28="",-1,T28)&gt;=1)*(IF(T28="",-1,T28)&lt;=3),IF(C28="peso_corporal",IF(ISNUMBER(E28),E28,0)+R28,R28)*S28*1000+R28,0))</f>
        <v>0</v>
      </c>
      <c r="X28" s="69">
        <f>IF(W28=0,0,IF(IF((S28&gt;0)*(IF(T28="",-1,T28)&gt;=1)*(IF(T28="",-1,T28)&lt;=3),IF(C28="peso_corporal",IF(ISNUMBER(E28),E28,0)+R28,R28)*S28*1000+R28,0)=W28,5,IF(IF((P28&gt;0)*(IF(Q28="",-1,Q28)&gt;=1)*(IF(Q28="",-1,Q28)&lt;=3),IF(C28="peso_corporal",IF(ISNUMBER(E28),E28,0)+O28,O28)*P28*1000+O28,0)=W28,4,IF(IF((M28&gt;0)*(IF(N28="",-1,N28)&gt;=1)*(IF(N28="",-1,N28)&lt;=3),IF(C28="peso_corporal",IF(ISNUMBER(E28),E28,0)+L28,L28)*M28*1000+L28,0)=W28,3,IF(IF((J28&gt;0)*(IF(K28="",-1,K28)&gt;=1)*(IF(K28="",-1,K28)&lt;=3),IF(C28="peso_corporal",IF(ISNUMBER(E28),E28,0)+I28,I28)*J28*1000+I28,0)=W28,2,IF(IF((G28&gt;0)*(IF(H28="",-1,H28)&gt;=1)*(IF(H28="",-1,H28)&lt;=3),IF(C28="peso_corporal",IF(ISNUMBER(E28),E28,0)+F28,F28)*G28*1000+F28,0)=W28,1,0))))))</f>
        <v>0</v>
      </c>
      <c r="Y28" s="69">
        <f>MAX(IF((G28&gt;0)*(IF(H28="",-1,H28)=0)*(1-(IF(H28="",-1,H28)&gt;=1)*(IF(H28="",-1,H28)&lt;=3)),IF(C28="peso_corporal",IF(ISNUMBER(E28),E28,0)+F28,F28)*G28*1000+F28,0),IF((J28&gt;0)*(IF(K28="",-1,K28)=0)*(1-(IF(K28="",-1,K28)&gt;=1)*(IF(K28="",-1,K28)&lt;=3)),IF(C28="peso_corporal",IF(ISNUMBER(E28),E28,0)+I28,I28)*J28*1000+I28,0),IF((M28&gt;0)*(IF(N28="",-1,N28)=0)*(1-(IF(N28="",-1,N28)&gt;=1)*(IF(N28="",-1,N28)&lt;=3)),IF(C28="peso_corporal",IF(ISNUMBER(E28),E28,0)+L28,L28)*M28*1000+L28,0),IF((P28&gt;0)*(IF(Q28="",-1,Q28)=0)*(1-(IF(Q28="",-1,Q28)&gt;=1)*(IF(Q28="",-1,Q28)&lt;=3)),IF(C28="peso_corporal",IF(ISNUMBER(E28),E28,0)+O28,O28)*P28*1000+O28,0),IF((S28&gt;0)*(IF(T28="",-1,T28)=0)*(1-(IF(T28="",-1,T28)&gt;=1)*(IF(T28="",-1,T28)&lt;=3)),IF(C28="peso_corporal",IF(ISNUMBER(E28),E28,0)+R28,R28)*S28*1000+R28,0))</f>
        <v>0</v>
      </c>
      <c r="Z28" s="69">
        <f>IF(Y28=0,0,IF(IF((S28&gt;0)*(IF(T28="",-1,T28)=0)*(1-(IF(T28="",-1,T28)&gt;=1)*(IF(T28="",-1,T28)&lt;=3)),IF(C28="peso_corporal",IF(ISNUMBER(E28),E28,0)+R28,R28)*S28*1000+R28,0)=Y28,5,IF(IF((P28&gt;0)*(IF(Q28="",-1,Q28)=0)*(1-(IF(Q28="",-1,Q28)&gt;=1)*(IF(Q28="",-1,Q28)&lt;=3)),IF(C28="peso_corporal",IF(ISNUMBER(E28),E28,0)+O28,O28)*P28*1000+O28,0)=Y28,4,IF(IF((M28&gt;0)*(IF(N28="",-1,N28)=0)*(1-(IF(N28="",-1,N28)&gt;=1)*(IF(N28="",-1,N28)&lt;=3)),IF(C28="peso_corporal",IF(ISNUMBER(E28),E28,0)+L28,L28)*M28*1000+L28,0)=Y28,3,IF(IF((J28&gt;0)*(IF(K28="",-1,K28)=0)*(1-(IF(K28="",-1,K28)&gt;=1)*(IF(K28="",-1,K28)&lt;=3)),IF(C28="peso_corporal",IF(ISNUMBER(E28),E28,0)+I28,I28)*J28*1000+I28,0)=Y28,2,IF(IF((G28&gt;0)*(IF(H28="",-1,H28)=0)*(1-(IF(H28="",-1,H28)&gt;=1)*(IF(H28="",-1,H28)&lt;=3)),IF(C28="peso_corporal",IF(ISNUMBER(E28),E28,0)+F28,F28)*G28*1000+F28,0)=Y28,1,0))))))</f>
        <v>0</v>
      </c>
      <c r="AA28" s="69">
        <f>MAX(IF((G28&gt;=6)*(1-(IF(H28="",-1,H28)&gt;=1)*(IF(H28="",-1,H28)&lt;=3))*(1-(IF(H28="",-1,H28)=0)),IF(C28="peso_corporal",IF(ISNUMBER(E28),E28,0)+F28,F28)*(30+G28)*100+F28,0),IF((J28&gt;=6)*(1-(IF(K28="",-1,K28)&gt;=1)*(IF(K28="",-1,K28)&lt;=3))*(1-(IF(K28="",-1,K28)=0)),IF(C28="peso_corporal",IF(ISNUMBER(E28),E28,0)+I28,I28)*(30+J28)*100+I28,0),IF((M28&gt;=6)*(1-(IF(N28="",-1,N28)&gt;=1)*(IF(N28="",-1,N28)&lt;=3))*(1-(IF(N28="",-1,N28)=0)),IF(C28="peso_corporal",IF(ISNUMBER(E28),E28,0)+L28,L28)*(30+M28)*100+L28,0),IF((P28&gt;=6)*(1-(IF(Q28="",-1,Q28)&gt;=1)*(IF(Q28="",-1,Q28)&lt;=3))*(1-(IF(Q28="",-1,Q28)=0)),IF(C28="peso_corporal",IF(ISNUMBER(E28),E28,0)+O28,O28)*(30+P28)*100+O28,0),IF((S28&gt;=6)*(1-(IF(T28="",-1,T28)&gt;=1)*(IF(T28="",-1,T28)&lt;=3))*(1-(IF(T28="",-1,T28)=0)),IF(C28="peso_corporal",IF(ISNUMBER(E28),E28,0)+R28,R28)*(30+S28)*100+R28,0))</f>
        <v>0</v>
      </c>
      <c r="AB28" s="69">
        <f>IF(AA28=0,0,IF(IF((S28&gt;=6)*(1-(IF(T28="",-1,T28)&gt;=1)*(IF(T28="",-1,T28)&lt;=3))*(1-(IF(T28="",-1,T28)=0)),IF(C28="peso_corporal",IF(ISNUMBER(E28),E28,0)+R28,R28)*(30+S28)*100+R28,0)=AA28,5,IF(IF((P28&gt;=6)*(1-(IF(Q28="",-1,Q28)&gt;=1)*(IF(Q28="",-1,Q28)&lt;=3))*(1-(IF(Q28="",-1,Q28)=0)),IF(C28="peso_corporal",IF(ISNUMBER(E28),E28,0)+O28,O28)*(30+P28)*100+O28,0)=AA28,4,IF(IF((M28&gt;=6)*(1-(IF(N28="",-1,N28)&gt;=1)*(IF(N28="",-1,N28)&lt;=3))*(1-(IF(N28="",-1,N28)=0)),IF(C28="peso_corporal",IF(ISNUMBER(E28),E28,0)+L28,L28)*(30+M28)*100+L28,0)=AA28,3,IF(IF((J28&gt;=6)*(1-(IF(K28="",-1,K28)&gt;=1)*(IF(K28="",-1,K28)&lt;=3))*(1-(IF(K28="",-1,K28)=0)),IF(C28="peso_corporal",IF(ISNUMBER(E28),E28,0)+I28,I28)*(30+J28)*100+I28,0)=AA28,2,IF(IF((G28&gt;=6)*(1-(IF(H28="",-1,H28)&gt;=1)*(IF(H28="",-1,H28)&lt;=3))*(1-(IF(H28="",-1,H28)=0)),IF(C28="peso_corporal",IF(ISNUMBER(E28),E28,0)+F28,F28)*(30+G28)*100+F28,0)=AA28,1,0))))))</f>
        <v>0</v>
      </c>
      <c r="AC28" s="69" t="str">
        <f>IF(X28&gt;0,"A"&amp;X28,IF(Z28&gt;0,"B"&amp;Z28,IF(AB28&gt;0,"C"&amp;AB28,"")))</f>
        <v/>
      </c>
    </row>
    <row r="29" spans="1:29" ht="15" customHeight="1">
      <c r="A29" s="90" t="s">
        <v>142</v>
      </c>
      <c r="B29" s="73"/>
      <c r="C29" s="73"/>
      <c r="D29" s="73"/>
      <c r="E29" s="73"/>
      <c r="F29" s="73"/>
      <c r="G29" s="73"/>
      <c r="H29" s="73"/>
      <c r="I29" s="73"/>
      <c r="J29" s="73"/>
      <c r="K29" s="73"/>
      <c r="L29" s="73"/>
      <c r="M29" s="73"/>
      <c r="N29" s="73"/>
      <c r="O29" s="73"/>
      <c r="P29" s="73"/>
      <c r="Q29" s="73"/>
      <c r="R29" s="73"/>
      <c r="S29" s="73"/>
      <c r="T29" s="73"/>
      <c r="U29" s="73"/>
      <c r="V29" s="73"/>
      <c r="W29" s="69"/>
      <c r="X29" s="69"/>
      <c r="Y29" s="69"/>
      <c r="Z29" s="69"/>
      <c r="AA29" s="69"/>
      <c r="AB29" s="69"/>
      <c r="AC29" s="69"/>
    </row>
    <row r="30" spans="1:29" ht="20.100000000000001" customHeight="1">
      <c r="A30" s="14" t="s">
        <v>24</v>
      </c>
      <c r="B30" s="15" t="s">
        <v>143</v>
      </c>
      <c r="C30" s="16" t="str">
        <f>IFERROR(INDEX(EJERCICIOS!$D$3:$D$75,MATCH(A30&amp;"|"&amp;B30,EJERCICIOS!$G$3:$G$75,0)),"--")</f>
        <v>peso_corporal</v>
      </c>
      <c r="D30" s="17">
        <v>3</v>
      </c>
      <c r="E30" s="18">
        <f>IFERROR(LOOKUP(2,1/(MEDIDAS_Y_PESO!$B$3:$B$3&lt;&gt;""),MEDIDAS_Y_PESO!$B$3:$B$3),"--")</f>
        <v>80</v>
      </c>
      <c r="F30" s="19"/>
      <c r="G30" s="20"/>
      <c r="H30" s="21"/>
      <c r="I30" s="19"/>
      <c r="J30" s="20"/>
      <c r="K30" s="21"/>
      <c r="L30" s="19"/>
      <c r="M30" s="20"/>
      <c r="N30" s="21"/>
      <c r="O30" s="19"/>
      <c r="P30" s="20"/>
      <c r="Q30" s="21"/>
      <c r="R30" s="19"/>
      <c r="S30" s="20"/>
      <c r="T30" s="21"/>
      <c r="U30" s="22" t="str">
        <f>IFERROR(IF(IF(X30&gt;0,X30,IF(Z30&gt;0,Z30,IF(AB30&gt;0,AB30,0)))=0,"--",ROUND(CHOOSE(IF(X30&gt;0,X30,IF(Z30&gt;0,Z30,IF(AB30&gt;0,AB30,0))),IF(C30="peso_corporal",IF(ISNUMBER(E30),E30,0)+F30,F30)*(1+G30/30),IF(C30="peso_corporal",IF(ISNUMBER(E30),E30,0)+I30,I30)*(1+J30/30),IF(C30="peso_corporal",IF(ISNUMBER(E30),E30,0)+L30,L30)*(1+M30/30),IF(C30="peso_corporal",IF(ISNUMBER(E30),E30,0)+O30,O30)*(1+P30/30),IF(C30="peso_corporal",IF(ISNUMBER(E30),E30,0)+R30,R30)*(1+S30/30)),1)),"--")</f>
        <v>--</v>
      </c>
      <c r="V30" s="23" t="str">
        <f>IF(SUGERENCIAS!N65="SIN","Sin datos anteriores",IF(SUGERENCIAS!N65="SUBIR_F","^ SUBIR FUERTE | Kg:"&amp;ROUND(SUGERENCIAS!K65,1)&amp;" R:"&amp;ROUND(SUGERENCIAS!L65,0)&amp;" RIR:"&amp;ROUND(SUGERENCIAS!M65,0),IF(SUGERENCIAS!N65="SUBIR_E","^ SUBIR (Est.) | Kg:"&amp;ROUND(SUGERENCIAS!K65,1)&amp;" R:"&amp;ROUND(SUGERENCIAS!L65,0)&amp;" RIR:"&amp;ROUND(SUGERENCIAS!M65,0),IF(SUGERENCIAS!N65="SUBIR","^ SUBIR | Kg:"&amp;ROUND(SUGERENCIAS!K65,1)&amp;" R:"&amp;ROUND(SUGERENCIAS!L65,0)&amp;" RIR:"&amp;ROUND(SUGERENCIAS!M65,0),IF(SUGERENCIAS!N65="BAJAR","v BAJAR | Kg:"&amp;ROUND(SUGERENCIAS!K65,1)&amp;" R:"&amp;ROUND(SUGERENCIAS!L65,0)&amp;" RIR:"&amp;ROUND(SUGERENCIAS!M65,0),"= MANT | Kg:"&amp;ROUND(SUGERENCIAS!K65,1)&amp;" R:"&amp;ROUND(SUGERENCIAS!L65,0)&amp;" RIR:"&amp;ROUND(SUGERENCIAS!M65,0))))))</f>
        <v>Sin datos anteriores</v>
      </c>
      <c r="W30" s="69">
        <f>MAX(IF((G30&gt;0)*(IF(H30="",-1,H30)&gt;=1)*(IF(H30="",-1,H30)&lt;=3),IF(C30="peso_corporal",IF(ISNUMBER(E30),E30,0)+F30,F30)*G30*1000+F30,0),IF((J30&gt;0)*(IF(K30="",-1,K30)&gt;=1)*(IF(K30="",-1,K30)&lt;=3),IF(C30="peso_corporal",IF(ISNUMBER(E30),E30,0)+I30,I30)*J30*1000+I30,0),IF((M30&gt;0)*(IF(N30="",-1,N30)&gt;=1)*(IF(N30="",-1,N30)&lt;=3),IF(C30="peso_corporal",IF(ISNUMBER(E30),E30,0)+L30,L30)*M30*1000+L30,0),IF((P30&gt;0)*(IF(Q30="",-1,Q30)&gt;=1)*(IF(Q30="",-1,Q30)&lt;=3),IF(C30="peso_corporal",IF(ISNUMBER(E30),E30,0)+O30,O30)*P30*1000+O30,0),IF((S30&gt;0)*(IF(T30="",-1,T30)&gt;=1)*(IF(T30="",-1,T30)&lt;=3),IF(C30="peso_corporal",IF(ISNUMBER(E30),E30,0)+R30,R30)*S30*1000+R30,0))</f>
        <v>0</v>
      </c>
      <c r="X30" s="69">
        <f>IF(W30=0,0,IF(IF((S30&gt;0)*(IF(T30="",-1,T30)&gt;=1)*(IF(T30="",-1,T30)&lt;=3),IF(C30="peso_corporal",IF(ISNUMBER(E30),E30,0)+R30,R30)*S30*1000+R30,0)=W30,5,IF(IF((P30&gt;0)*(IF(Q30="",-1,Q30)&gt;=1)*(IF(Q30="",-1,Q30)&lt;=3),IF(C30="peso_corporal",IF(ISNUMBER(E30),E30,0)+O30,O30)*P30*1000+O30,0)=W30,4,IF(IF((M30&gt;0)*(IF(N30="",-1,N30)&gt;=1)*(IF(N30="",-1,N30)&lt;=3),IF(C30="peso_corporal",IF(ISNUMBER(E30),E30,0)+L30,L30)*M30*1000+L30,0)=W30,3,IF(IF((J30&gt;0)*(IF(K30="",-1,K30)&gt;=1)*(IF(K30="",-1,K30)&lt;=3),IF(C30="peso_corporal",IF(ISNUMBER(E30),E30,0)+I30,I30)*J30*1000+I30,0)=W30,2,IF(IF((G30&gt;0)*(IF(H30="",-1,H30)&gt;=1)*(IF(H30="",-1,H30)&lt;=3),IF(C30="peso_corporal",IF(ISNUMBER(E30),E30,0)+F30,F30)*G30*1000+F30,0)=W30,1,0))))))</f>
        <v>0</v>
      </c>
      <c r="Y30" s="69">
        <f>MAX(IF((G30&gt;0)*(IF(H30="",-1,H30)=0)*(1-(IF(H30="",-1,H30)&gt;=1)*(IF(H30="",-1,H30)&lt;=3)),IF(C30="peso_corporal",IF(ISNUMBER(E30),E30,0)+F30,F30)*G30*1000+F30,0),IF((J30&gt;0)*(IF(K30="",-1,K30)=0)*(1-(IF(K30="",-1,K30)&gt;=1)*(IF(K30="",-1,K30)&lt;=3)),IF(C30="peso_corporal",IF(ISNUMBER(E30),E30,0)+I30,I30)*J30*1000+I30,0),IF((M30&gt;0)*(IF(N30="",-1,N30)=0)*(1-(IF(N30="",-1,N30)&gt;=1)*(IF(N30="",-1,N30)&lt;=3)),IF(C30="peso_corporal",IF(ISNUMBER(E30),E30,0)+L30,L30)*M30*1000+L30,0),IF((P30&gt;0)*(IF(Q30="",-1,Q30)=0)*(1-(IF(Q30="",-1,Q30)&gt;=1)*(IF(Q30="",-1,Q30)&lt;=3)),IF(C30="peso_corporal",IF(ISNUMBER(E30),E30,0)+O30,O30)*P30*1000+O30,0),IF((S30&gt;0)*(IF(T30="",-1,T30)=0)*(1-(IF(T30="",-1,T30)&gt;=1)*(IF(T30="",-1,T30)&lt;=3)),IF(C30="peso_corporal",IF(ISNUMBER(E30),E30,0)+R30,R30)*S30*1000+R30,0))</f>
        <v>0</v>
      </c>
      <c r="Z30" s="69">
        <f>IF(Y30=0,0,IF(IF((S30&gt;0)*(IF(T30="",-1,T30)=0)*(1-(IF(T30="",-1,T30)&gt;=1)*(IF(T30="",-1,T30)&lt;=3)),IF(C30="peso_corporal",IF(ISNUMBER(E30),E30,0)+R30,R30)*S30*1000+R30,0)=Y30,5,IF(IF((P30&gt;0)*(IF(Q30="",-1,Q30)=0)*(1-(IF(Q30="",-1,Q30)&gt;=1)*(IF(Q30="",-1,Q30)&lt;=3)),IF(C30="peso_corporal",IF(ISNUMBER(E30),E30,0)+O30,O30)*P30*1000+O30,0)=Y30,4,IF(IF((M30&gt;0)*(IF(N30="",-1,N30)=0)*(1-(IF(N30="",-1,N30)&gt;=1)*(IF(N30="",-1,N30)&lt;=3)),IF(C30="peso_corporal",IF(ISNUMBER(E30),E30,0)+L30,L30)*M30*1000+L30,0)=Y30,3,IF(IF((J30&gt;0)*(IF(K30="",-1,K30)=0)*(1-(IF(K30="",-1,K30)&gt;=1)*(IF(K30="",-1,K30)&lt;=3)),IF(C30="peso_corporal",IF(ISNUMBER(E30),E30,0)+I30,I30)*J30*1000+I30,0)=Y30,2,IF(IF((G30&gt;0)*(IF(H30="",-1,H30)=0)*(1-(IF(H30="",-1,H30)&gt;=1)*(IF(H30="",-1,H30)&lt;=3)),IF(C30="peso_corporal",IF(ISNUMBER(E30),E30,0)+F30,F30)*G30*1000+F30,0)=Y30,1,0))))))</f>
        <v>0</v>
      </c>
      <c r="AA30" s="69">
        <f>MAX(IF((G30&gt;=6)*(1-(IF(H30="",-1,H30)&gt;=1)*(IF(H30="",-1,H30)&lt;=3))*(1-(IF(H30="",-1,H30)=0)),IF(C30="peso_corporal",IF(ISNUMBER(E30),E30,0)+F30,F30)*(30+G30)*100+F30,0),IF((J30&gt;=6)*(1-(IF(K30="",-1,K30)&gt;=1)*(IF(K30="",-1,K30)&lt;=3))*(1-(IF(K30="",-1,K30)=0)),IF(C30="peso_corporal",IF(ISNUMBER(E30),E30,0)+I30,I30)*(30+J30)*100+I30,0),IF((M30&gt;=6)*(1-(IF(N30="",-1,N30)&gt;=1)*(IF(N30="",-1,N30)&lt;=3))*(1-(IF(N30="",-1,N30)=0)),IF(C30="peso_corporal",IF(ISNUMBER(E30),E30,0)+L30,L30)*(30+M30)*100+L30,0),IF((P30&gt;=6)*(1-(IF(Q30="",-1,Q30)&gt;=1)*(IF(Q30="",-1,Q30)&lt;=3))*(1-(IF(Q30="",-1,Q30)=0)),IF(C30="peso_corporal",IF(ISNUMBER(E30),E30,0)+O30,O30)*(30+P30)*100+O30,0),IF((S30&gt;=6)*(1-(IF(T30="",-1,T30)&gt;=1)*(IF(T30="",-1,T30)&lt;=3))*(1-(IF(T30="",-1,T30)=0)),IF(C30="peso_corporal",IF(ISNUMBER(E30),E30,0)+R30,R30)*(30+S30)*100+R30,0))</f>
        <v>0</v>
      </c>
      <c r="AB30" s="69">
        <f>IF(AA30=0,0,IF(IF((S30&gt;=6)*(1-(IF(T30="",-1,T30)&gt;=1)*(IF(T30="",-1,T30)&lt;=3))*(1-(IF(T30="",-1,T30)=0)),IF(C30="peso_corporal",IF(ISNUMBER(E30),E30,0)+R30,R30)*(30+S30)*100+R30,0)=AA30,5,IF(IF((P30&gt;=6)*(1-(IF(Q30="",-1,Q30)&gt;=1)*(IF(Q30="",-1,Q30)&lt;=3))*(1-(IF(Q30="",-1,Q30)=0)),IF(C30="peso_corporal",IF(ISNUMBER(E30),E30,0)+O30,O30)*(30+P30)*100+O30,0)=AA30,4,IF(IF((M30&gt;=6)*(1-(IF(N30="",-1,N30)&gt;=1)*(IF(N30="",-1,N30)&lt;=3))*(1-(IF(N30="",-1,N30)=0)),IF(C30="peso_corporal",IF(ISNUMBER(E30),E30,0)+L30,L30)*(30+M30)*100+L30,0)=AA30,3,IF(IF((J30&gt;=6)*(1-(IF(K30="",-1,K30)&gt;=1)*(IF(K30="",-1,K30)&lt;=3))*(1-(IF(K30="",-1,K30)=0)),IF(C30="peso_corporal",IF(ISNUMBER(E30),E30,0)+I30,I30)*(30+J30)*100+I30,0)=AA30,2,IF(IF((G30&gt;=6)*(1-(IF(H30="",-1,H30)&gt;=1)*(IF(H30="",-1,H30)&lt;=3))*(1-(IF(H30="",-1,H30)=0)),IF(C30="peso_corporal",IF(ISNUMBER(E30),E30,0)+F30,F30)*(30+G30)*100+F30,0)=AA30,1,0))))))</f>
        <v>0</v>
      </c>
      <c r="AC30" s="69" t="str">
        <f>IF(X30&gt;0,"A"&amp;X30,IF(Z30&gt;0,"B"&amp;Z30,IF(AB30&gt;0,"C"&amp;AB30,"")))</f>
        <v/>
      </c>
    </row>
    <row r="31" spans="1:29" ht="15" customHeight="1">
      <c r="A31" s="72" t="s">
        <v>56</v>
      </c>
      <c r="B31" s="73"/>
      <c r="C31" s="73"/>
      <c r="D31" s="73"/>
      <c r="E31" s="73"/>
      <c r="F31" s="73"/>
      <c r="G31" s="73"/>
      <c r="H31" s="73"/>
      <c r="I31" s="73"/>
      <c r="J31" s="73"/>
      <c r="K31" s="73"/>
      <c r="L31" s="73"/>
      <c r="M31" s="73"/>
      <c r="N31" s="73"/>
      <c r="O31" s="73"/>
      <c r="P31" s="73"/>
      <c r="Q31" s="73"/>
      <c r="R31" s="73"/>
      <c r="S31" s="73"/>
      <c r="T31" s="73"/>
      <c r="U31" s="73"/>
      <c r="V31" s="73"/>
      <c r="W31" s="69"/>
      <c r="X31" s="69"/>
      <c r="Y31" s="69"/>
      <c r="Z31" s="69"/>
      <c r="AA31" s="69"/>
      <c r="AB31" s="69"/>
      <c r="AC31" s="69"/>
    </row>
    <row r="32" spans="1:29" ht="20.100000000000001" customHeight="1">
      <c r="A32" s="14" t="s">
        <v>57</v>
      </c>
      <c r="B32" s="15" t="s">
        <v>58</v>
      </c>
      <c r="C32" s="16" t="str">
        <f>IFERROR(INDEX(EJERCICIOS!$D$3:$D$75,MATCH(A32&amp;"|"&amp;B32,EJERCICIOS!$G$3:$G$75,0)),"--")</f>
        <v>polea</v>
      </c>
      <c r="D32" s="17">
        <v>3</v>
      </c>
      <c r="E32" s="18">
        <f>IFERROR(LOOKUP(2,1/(MEDIDAS_Y_PESO!$B$3:$B$3&lt;&gt;""),MEDIDAS_Y_PESO!$B$3:$B$3),"--")</f>
        <v>80</v>
      </c>
      <c r="F32" s="19"/>
      <c r="G32" s="20"/>
      <c r="H32" s="21"/>
      <c r="I32" s="19"/>
      <c r="J32" s="20"/>
      <c r="K32" s="21"/>
      <c r="L32" s="19"/>
      <c r="M32" s="20"/>
      <c r="N32" s="21"/>
      <c r="O32" s="19"/>
      <c r="P32" s="20"/>
      <c r="Q32" s="21"/>
      <c r="R32" s="19"/>
      <c r="S32" s="20"/>
      <c r="T32" s="21"/>
      <c r="U32" s="22" t="str">
        <f>IFERROR(IF(IF(X32&gt;0,X32,IF(Z32&gt;0,Z32,IF(AB32&gt;0,AB32,0)))=0,"--",ROUND(CHOOSE(IF(X32&gt;0,X32,IF(Z32&gt;0,Z32,IF(AB32&gt;0,AB32,0))),IF(C32="peso_corporal",IF(ISNUMBER(E32),E32,0)+F32,F32)*(1+G32/30),IF(C32="peso_corporal",IF(ISNUMBER(E32),E32,0)+I32,I32)*(1+J32/30),IF(C32="peso_corporal",IF(ISNUMBER(E32),E32,0)+L32,L32)*(1+M32/30),IF(C32="peso_corporal",IF(ISNUMBER(E32),E32,0)+O32,O32)*(1+P32/30),IF(C32="peso_corporal",IF(ISNUMBER(E32),E32,0)+R32,R32)*(1+S32/30)),1)),"--")</f>
        <v>--</v>
      </c>
      <c r="V32" s="23" t="str">
        <f>IF(SUGERENCIAS!N66="SIN","Sin datos anteriores",IF(SUGERENCIAS!N66="SUBIR_F","^ SUBIR FUERTE | Kg:"&amp;ROUND(SUGERENCIAS!K66,1)&amp;" R:"&amp;ROUND(SUGERENCIAS!L66,0)&amp;" RIR:"&amp;ROUND(SUGERENCIAS!M66,0),IF(SUGERENCIAS!N66="SUBIR_E","^ SUBIR (Est.) | Kg:"&amp;ROUND(SUGERENCIAS!K66,1)&amp;" R:"&amp;ROUND(SUGERENCIAS!L66,0)&amp;" RIR:"&amp;ROUND(SUGERENCIAS!M66,0),IF(SUGERENCIAS!N66="SUBIR","^ SUBIR | Kg:"&amp;ROUND(SUGERENCIAS!K66,1)&amp;" R:"&amp;ROUND(SUGERENCIAS!L66,0)&amp;" RIR:"&amp;ROUND(SUGERENCIAS!M66,0),IF(SUGERENCIAS!N66="BAJAR","v BAJAR | Kg:"&amp;ROUND(SUGERENCIAS!K66,1)&amp;" R:"&amp;ROUND(SUGERENCIAS!L66,0)&amp;" RIR:"&amp;ROUND(SUGERENCIAS!M66,0),"= MANT | Kg:"&amp;ROUND(SUGERENCIAS!K66,1)&amp;" R:"&amp;ROUND(SUGERENCIAS!L66,0)&amp;" RIR:"&amp;ROUND(SUGERENCIAS!M66,0))))))</f>
        <v>Sin datos anteriores</v>
      </c>
      <c r="W32" s="69">
        <f>MAX(IF((G32&gt;0)*(IF(H32="",-1,H32)&gt;=1)*(IF(H32="",-1,H32)&lt;=3),IF(C32="peso_corporal",IF(ISNUMBER(E32),E32,0)+F32,F32)*G32*1000+F32,0),IF((J32&gt;0)*(IF(K32="",-1,K32)&gt;=1)*(IF(K32="",-1,K32)&lt;=3),IF(C32="peso_corporal",IF(ISNUMBER(E32),E32,0)+I32,I32)*J32*1000+I32,0),IF((M32&gt;0)*(IF(N32="",-1,N32)&gt;=1)*(IF(N32="",-1,N32)&lt;=3),IF(C32="peso_corporal",IF(ISNUMBER(E32),E32,0)+L32,L32)*M32*1000+L32,0),IF((P32&gt;0)*(IF(Q32="",-1,Q32)&gt;=1)*(IF(Q32="",-1,Q32)&lt;=3),IF(C32="peso_corporal",IF(ISNUMBER(E32),E32,0)+O32,O32)*P32*1000+O32,0),IF((S32&gt;0)*(IF(T32="",-1,T32)&gt;=1)*(IF(T32="",-1,T32)&lt;=3),IF(C32="peso_corporal",IF(ISNUMBER(E32),E32,0)+R32,R32)*S32*1000+R32,0))</f>
        <v>0</v>
      </c>
      <c r="X32" s="69">
        <f>IF(W32=0,0,IF(IF((S32&gt;0)*(IF(T32="",-1,T32)&gt;=1)*(IF(T32="",-1,T32)&lt;=3),IF(C32="peso_corporal",IF(ISNUMBER(E32),E32,0)+R32,R32)*S32*1000+R32,0)=W32,5,IF(IF((P32&gt;0)*(IF(Q32="",-1,Q32)&gt;=1)*(IF(Q32="",-1,Q32)&lt;=3),IF(C32="peso_corporal",IF(ISNUMBER(E32),E32,0)+O32,O32)*P32*1000+O32,0)=W32,4,IF(IF((M32&gt;0)*(IF(N32="",-1,N32)&gt;=1)*(IF(N32="",-1,N32)&lt;=3),IF(C32="peso_corporal",IF(ISNUMBER(E32),E32,0)+L32,L32)*M32*1000+L32,0)=W32,3,IF(IF((J32&gt;0)*(IF(K32="",-1,K32)&gt;=1)*(IF(K32="",-1,K32)&lt;=3),IF(C32="peso_corporal",IF(ISNUMBER(E32),E32,0)+I32,I32)*J32*1000+I32,0)=W32,2,IF(IF((G32&gt;0)*(IF(H32="",-1,H32)&gt;=1)*(IF(H32="",-1,H32)&lt;=3),IF(C32="peso_corporal",IF(ISNUMBER(E32),E32,0)+F32,F32)*G32*1000+F32,0)=W32,1,0))))))</f>
        <v>0</v>
      </c>
      <c r="Y32" s="69">
        <f>MAX(IF((G32&gt;0)*(IF(H32="",-1,H32)=0)*(1-(IF(H32="",-1,H32)&gt;=1)*(IF(H32="",-1,H32)&lt;=3)),IF(C32="peso_corporal",IF(ISNUMBER(E32),E32,0)+F32,F32)*G32*1000+F32,0),IF((J32&gt;0)*(IF(K32="",-1,K32)=0)*(1-(IF(K32="",-1,K32)&gt;=1)*(IF(K32="",-1,K32)&lt;=3)),IF(C32="peso_corporal",IF(ISNUMBER(E32),E32,0)+I32,I32)*J32*1000+I32,0),IF((M32&gt;0)*(IF(N32="",-1,N32)=0)*(1-(IF(N32="",-1,N32)&gt;=1)*(IF(N32="",-1,N32)&lt;=3)),IF(C32="peso_corporal",IF(ISNUMBER(E32),E32,0)+L32,L32)*M32*1000+L32,0),IF((P32&gt;0)*(IF(Q32="",-1,Q32)=0)*(1-(IF(Q32="",-1,Q32)&gt;=1)*(IF(Q32="",-1,Q32)&lt;=3)),IF(C32="peso_corporal",IF(ISNUMBER(E32),E32,0)+O32,O32)*P32*1000+O32,0),IF((S32&gt;0)*(IF(T32="",-1,T32)=0)*(1-(IF(T32="",-1,T32)&gt;=1)*(IF(T32="",-1,T32)&lt;=3)),IF(C32="peso_corporal",IF(ISNUMBER(E32),E32,0)+R32,R32)*S32*1000+R32,0))</f>
        <v>0</v>
      </c>
      <c r="Z32" s="69">
        <f>IF(Y32=0,0,IF(IF((S32&gt;0)*(IF(T32="",-1,T32)=0)*(1-(IF(T32="",-1,T32)&gt;=1)*(IF(T32="",-1,T32)&lt;=3)),IF(C32="peso_corporal",IF(ISNUMBER(E32),E32,0)+R32,R32)*S32*1000+R32,0)=Y32,5,IF(IF((P32&gt;0)*(IF(Q32="",-1,Q32)=0)*(1-(IF(Q32="",-1,Q32)&gt;=1)*(IF(Q32="",-1,Q32)&lt;=3)),IF(C32="peso_corporal",IF(ISNUMBER(E32),E32,0)+O32,O32)*P32*1000+O32,0)=Y32,4,IF(IF((M32&gt;0)*(IF(N32="",-1,N32)=0)*(1-(IF(N32="",-1,N32)&gt;=1)*(IF(N32="",-1,N32)&lt;=3)),IF(C32="peso_corporal",IF(ISNUMBER(E32),E32,0)+L32,L32)*M32*1000+L32,0)=Y32,3,IF(IF((J32&gt;0)*(IF(K32="",-1,K32)=0)*(1-(IF(K32="",-1,K32)&gt;=1)*(IF(K32="",-1,K32)&lt;=3)),IF(C32="peso_corporal",IF(ISNUMBER(E32),E32,0)+I32,I32)*J32*1000+I32,0)=Y32,2,IF(IF((G32&gt;0)*(IF(H32="",-1,H32)=0)*(1-(IF(H32="",-1,H32)&gt;=1)*(IF(H32="",-1,H32)&lt;=3)),IF(C32="peso_corporal",IF(ISNUMBER(E32),E32,0)+F32,F32)*G32*1000+F32,0)=Y32,1,0))))))</f>
        <v>0</v>
      </c>
      <c r="AA32" s="69">
        <f>MAX(IF((G32&gt;=6)*(1-(IF(H32="",-1,H32)&gt;=1)*(IF(H32="",-1,H32)&lt;=3))*(1-(IF(H32="",-1,H32)=0)),IF(C32="peso_corporal",IF(ISNUMBER(E32),E32,0)+F32,F32)*(30+G32)*100+F32,0),IF((J32&gt;=6)*(1-(IF(K32="",-1,K32)&gt;=1)*(IF(K32="",-1,K32)&lt;=3))*(1-(IF(K32="",-1,K32)=0)),IF(C32="peso_corporal",IF(ISNUMBER(E32),E32,0)+I32,I32)*(30+J32)*100+I32,0),IF((M32&gt;=6)*(1-(IF(N32="",-1,N32)&gt;=1)*(IF(N32="",-1,N32)&lt;=3))*(1-(IF(N32="",-1,N32)=0)),IF(C32="peso_corporal",IF(ISNUMBER(E32),E32,0)+L32,L32)*(30+M32)*100+L32,0),IF((P32&gt;=6)*(1-(IF(Q32="",-1,Q32)&gt;=1)*(IF(Q32="",-1,Q32)&lt;=3))*(1-(IF(Q32="",-1,Q32)=0)),IF(C32="peso_corporal",IF(ISNUMBER(E32),E32,0)+O32,O32)*(30+P32)*100+O32,0),IF((S32&gt;=6)*(1-(IF(T32="",-1,T32)&gt;=1)*(IF(T32="",-1,T32)&lt;=3))*(1-(IF(T32="",-1,T32)=0)),IF(C32="peso_corporal",IF(ISNUMBER(E32),E32,0)+R32,R32)*(30+S32)*100+R32,0))</f>
        <v>0</v>
      </c>
      <c r="AB32" s="69">
        <f>IF(AA32=0,0,IF(IF((S32&gt;=6)*(1-(IF(T32="",-1,T32)&gt;=1)*(IF(T32="",-1,T32)&lt;=3))*(1-(IF(T32="",-1,T32)=0)),IF(C32="peso_corporal",IF(ISNUMBER(E32),E32,0)+R32,R32)*(30+S32)*100+R32,0)=AA32,5,IF(IF((P32&gt;=6)*(1-(IF(Q32="",-1,Q32)&gt;=1)*(IF(Q32="",-1,Q32)&lt;=3))*(1-(IF(Q32="",-1,Q32)=0)),IF(C32="peso_corporal",IF(ISNUMBER(E32),E32,0)+O32,O32)*(30+P32)*100+O32,0)=AA32,4,IF(IF((M32&gt;=6)*(1-(IF(N32="",-1,N32)&gt;=1)*(IF(N32="",-1,N32)&lt;=3))*(1-(IF(N32="",-1,N32)=0)),IF(C32="peso_corporal",IF(ISNUMBER(E32),E32,0)+L32,L32)*(30+M32)*100+L32,0)=AA32,3,IF(IF((J32&gt;=6)*(1-(IF(K32="",-1,K32)&gt;=1)*(IF(K32="",-1,K32)&lt;=3))*(1-(IF(K32="",-1,K32)=0)),IF(C32="peso_corporal",IF(ISNUMBER(E32),E32,0)+I32,I32)*(30+J32)*100+I32,0)=AA32,2,IF(IF((G32&gt;=6)*(1-(IF(H32="",-1,H32)&gt;=1)*(IF(H32="",-1,H32)&lt;=3))*(1-(IF(H32="",-1,H32)=0)),IF(C32="peso_corporal",IF(ISNUMBER(E32),E32,0)+F32,F32)*(30+G32)*100+F32,0)=AA32,1,0))))))</f>
        <v>0</v>
      </c>
      <c r="AC32" s="69" t="str">
        <f>IF(X32&gt;0,"A"&amp;X32,IF(Z32&gt;0,"B"&amp;Z32,IF(AB32&gt;0,"C"&amp;AB32,"")))</f>
        <v/>
      </c>
    </row>
    <row r="33" spans="1:29" ht="6" customHeight="1">
      <c r="A33" s="13"/>
      <c r="B33" s="13"/>
      <c r="C33" s="13"/>
      <c r="D33" s="13"/>
      <c r="E33" s="13"/>
      <c r="F33" s="13"/>
      <c r="G33" s="13"/>
      <c r="H33" s="13"/>
      <c r="I33" s="13"/>
      <c r="J33" s="13"/>
      <c r="K33" s="13"/>
      <c r="L33" s="13"/>
      <c r="M33" s="13"/>
      <c r="N33" s="13"/>
      <c r="O33" s="13"/>
      <c r="P33" s="13"/>
      <c r="Q33" s="13"/>
      <c r="R33" s="13"/>
      <c r="S33" s="13"/>
      <c r="T33" s="13"/>
      <c r="U33" s="13"/>
      <c r="V33" s="13"/>
      <c r="W33" s="69"/>
      <c r="X33" s="69"/>
      <c r="Y33" s="69"/>
      <c r="Z33" s="69"/>
      <c r="AA33" s="69"/>
      <c r="AB33" s="69"/>
      <c r="AC33" s="69"/>
    </row>
    <row r="34" spans="1:29" ht="18" customHeight="1">
      <c r="A34" s="85" t="s">
        <v>59</v>
      </c>
      <c r="B34" s="73"/>
      <c r="C34" s="73"/>
      <c r="D34" s="73"/>
      <c r="E34" s="73"/>
      <c r="F34" s="73"/>
      <c r="G34" s="73"/>
      <c r="H34" s="73"/>
      <c r="I34" s="73"/>
      <c r="J34" s="73"/>
      <c r="K34" s="73"/>
      <c r="L34" s="73"/>
      <c r="M34" s="73"/>
      <c r="N34" s="73"/>
      <c r="O34" s="73"/>
      <c r="P34" s="73"/>
      <c r="Q34" s="73"/>
      <c r="R34" s="73"/>
      <c r="S34" s="73"/>
      <c r="T34" s="73"/>
      <c r="U34" s="73"/>
      <c r="V34" s="73"/>
      <c r="W34" s="69"/>
      <c r="X34" s="69"/>
      <c r="Y34" s="69"/>
      <c r="Z34" s="69"/>
      <c r="AA34" s="69"/>
      <c r="AB34" s="69"/>
      <c r="AC34" s="69"/>
    </row>
    <row r="35" spans="1:29" ht="15" customHeight="1">
      <c r="A35" s="75" t="s">
        <v>88</v>
      </c>
      <c r="B35" s="73"/>
      <c r="C35" s="73"/>
      <c r="D35" s="73"/>
      <c r="E35" s="73"/>
      <c r="F35" s="73"/>
      <c r="G35" s="73"/>
      <c r="H35" s="73"/>
      <c r="I35" s="73"/>
      <c r="J35" s="73"/>
      <c r="K35" s="73"/>
      <c r="L35" s="73"/>
      <c r="M35" s="73"/>
      <c r="N35" s="73"/>
      <c r="O35" s="73"/>
      <c r="P35" s="73"/>
      <c r="Q35" s="73"/>
      <c r="R35" s="73"/>
      <c r="S35" s="73"/>
      <c r="T35" s="73"/>
      <c r="U35" s="73"/>
      <c r="V35" s="73"/>
      <c r="W35" s="69"/>
      <c r="X35" s="69"/>
      <c r="Y35" s="69"/>
      <c r="Z35" s="69"/>
      <c r="AA35" s="69"/>
      <c r="AB35" s="69"/>
      <c r="AC35" s="69"/>
    </row>
    <row r="36" spans="1:29" ht="11.1" customHeight="1">
      <c r="A36" s="76" t="s">
        <v>89</v>
      </c>
      <c r="B36" s="73"/>
      <c r="C36" s="73"/>
      <c r="D36" s="73"/>
      <c r="E36" s="73"/>
      <c r="F36" s="73"/>
      <c r="G36" s="73"/>
      <c r="H36" s="73"/>
      <c r="I36" s="73"/>
      <c r="J36" s="73"/>
      <c r="K36" s="73"/>
      <c r="L36" s="73"/>
      <c r="M36" s="73"/>
      <c r="N36" s="73"/>
      <c r="O36" s="73"/>
      <c r="P36" s="73"/>
      <c r="Q36" s="73"/>
      <c r="R36" s="73"/>
      <c r="S36" s="73"/>
      <c r="T36" s="73"/>
      <c r="U36" s="73"/>
      <c r="V36" s="73"/>
      <c r="W36" s="69"/>
      <c r="X36" s="69"/>
      <c r="Y36" s="69"/>
      <c r="Z36" s="69"/>
      <c r="AA36" s="69"/>
      <c r="AB36" s="69"/>
      <c r="AC36" s="69"/>
    </row>
    <row r="37" spans="1:29" ht="20.100000000000001" customHeight="1">
      <c r="A37" s="14" t="s">
        <v>92</v>
      </c>
      <c r="B37" s="15" t="s">
        <v>108</v>
      </c>
      <c r="C37" s="16" t="str">
        <f>IFERROR(INDEX(EJERCICIOS!$D$3:$D$75,MATCH(A37&amp;"|"&amp;B37,EJERCICIOS!$G$3:$G$75,0)),"--")</f>
        <v>polea</v>
      </c>
      <c r="D37" s="17">
        <v>3</v>
      </c>
      <c r="E37" s="18">
        <f>IFERROR(LOOKUP(2,1/(MEDIDAS_Y_PESO!$B$3:$B$4&lt;&gt;""),MEDIDAS_Y_PESO!$B$3:$B$4),"--")</f>
        <v>80</v>
      </c>
      <c r="F37" s="19"/>
      <c r="G37" s="20"/>
      <c r="H37" s="21"/>
      <c r="I37" s="19"/>
      <c r="J37" s="20"/>
      <c r="K37" s="21"/>
      <c r="L37" s="19"/>
      <c r="M37" s="20"/>
      <c r="N37" s="21"/>
      <c r="O37" s="19"/>
      <c r="P37" s="20"/>
      <c r="Q37" s="21"/>
      <c r="R37" s="19"/>
      <c r="S37" s="20"/>
      <c r="T37" s="21"/>
      <c r="U37" s="22" t="str">
        <f>IFERROR(IF(IF(X37&gt;0,X37,IF(Z37&gt;0,Z37,IF(AB37&gt;0,AB37,0)))=0,"--",ROUND(CHOOSE(IF(X37&gt;0,X37,IF(Z37&gt;0,Z37,IF(AB37&gt;0,AB37,0))),IF(C37="peso_corporal",IF(ISNUMBER(E37),E37,0)+F37,F37)*(1+G37/30),IF(C37="peso_corporal",IF(ISNUMBER(E37),E37,0)+I37,I37)*(1+J37/30),IF(C37="peso_corporal",IF(ISNUMBER(E37),E37,0)+L37,L37)*(1+M37/30),IF(C37="peso_corporal",IF(ISNUMBER(E37),E37,0)+O37,O37)*(1+P37/30),IF(C37="peso_corporal",IF(ISNUMBER(E37),E37,0)+R37,R37)*(1+S37/30)),1)),"--")</f>
        <v>--</v>
      </c>
      <c r="V37" s="23" t="str">
        <f>IF(SUGERENCIAS!N117="SIN","Sin datos anteriores",IF(SUGERENCIAS!N117="SUBIR_F","^ SUBIR FUERTE | Kg:"&amp;ROUND(SUGERENCIAS!K117,1)&amp;" R:"&amp;ROUND(SUGERENCIAS!L117,0)&amp;" RIR:"&amp;ROUND(SUGERENCIAS!M117,0),IF(SUGERENCIAS!N117="SUBIR_E","^ SUBIR (Est.) | Kg:"&amp;ROUND(SUGERENCIAS!K117,1)&amp;" R:"&amp;ROUND(SUGERENCIAS!L117,0)&amp;" RIR:"&amp;ROUND(SUGERENCIAS!M117,0),IF(SUGERENCIAS!N117="SUBIR","^ SUBIR | Kg:"&amp;ROUND(SUGERENCIAS!K117,1)&amp;" R:"&amp;ROUND(SUGERENCIAS!L117,0)&amp;" RIR:"&amp;ROUND(SUGERENCIAS!M117,0),IF(SUGERENCIAS!N117="BAJAR","v BAJAR | Kg:"&amp;ROUND(SUGERENCIAS!K117,1)&amp;" R:"&amp;ROUND(SUGERENCIAS!L117,0)&amp;" RIR:"&amp;ROUND(SUGERENCIAS!M117,0),"= MANT | Kg:"&amp;ROUND(SUGERENCIAS!K117,1)&amp;" R:"&amp;ROUND(SUGERENCIAS!L117,0)&amp;" RIR:"&amp;ROUND(SUGERENCIAS!M117,0))))))</f>
        <v>Sin datos anteriores</v>
      </c>
      <c r="W37" s="69">
        <f>MAX(IF((G37&gt;0)*(IF(H37="",-1,H37)&gt;=1)*(IF(H37="",-1,H37)&lt;=3),IF(C37="peso_corporal",IF(ISNUMBER(E37),E37,0)+F37,F37)*G37*1000+F37,0),IF((J37&gt;0)*(IF(K37="",-1,K37)&gt;=1)*(IF(K37="",-1,K37)&lt;=3),IF(C37="peso_corporal",IF(ISNUMBER(E37),E37,0)+I37,I37)*J37*1000+I37,0),IF((M37&gt;0)*(IF(N37="",-1,N37)&gt;=1)*(IF(N37="",-1,N37)&lt;=3),IF(C37="peso_corporal",IF(ISNUMBER(E37),E37,0)+L37,L37)*M37*1000+L37,0),IF((P37&gt;0)*(IF(Q37="",-1,Q37)&gt;=1)*(IF(Q37="",-1,Q37)&lt;=3),IF(C37="peso_corporal",IF(ISNUMBER(E37),E37,0)+O37,O37)*P37*1000+O37,0),IF((S37&gt;0)*(IF(T37="",-1,T37)&gt;=1)*(IF(T37="",-1,T37)&lt;=3),IF(C37="peso_corporal",IF(ISNUMBER(E37),E37,0)+R37,R37)*S37*1000+R37,0))</f>
        <v>0</v>
      </c>
      <c r="X37" s="69">
        <f>IF(W37=0,0,IF(IF((S37&gt;0)*(IF(T37="",-1,T37)&gt;=1)*(IF(T37="",-1,T37)&lt;=3),IF(C37="peso_corporal",IF(ISNUMBER(E37),E37,0)+R37,R37)*S37*1000+R37,0)=W37,5,IF(IF((P37&gt;0)*(IF(Q37="",-1,Q37)&gt;=1)*(IF(Q37="",-1,Q37)&lt;=3),IF(C37="peso_corporal",IF(ISNUMBER(E37),E37,0)+O37,O37)*P37*1000+O37,0)=W37,4,IF(IF((M37&gt;0)*(IF(N37="",-1,N37)&gt;=1)*(IF(N37="",-1,N37)&lt;=3),IF(C37="peso_corporal",IF(ISNUMBER(E37),E37,0)+L37,L37)*M37*1000+L37,0)=W37,3,IF(IF((J37&gt;0)*(IF(K37="",-1,K37)&gt;=1)*(IF(K37="",-1,K37)&lt;=3),IF(C37="peso_corporal",IF(ISNUMBER(E37),E37,0)+I37,I37)*J37*1000+I37,0)=W37,2,IF(IF((G37&gt;0)*(IF(H37="",-1,H37)&gt;=1)*(IF(H37="",-1,H37)&lt;=3),IF(C37="peso_corporal",IF(ISNUMBER(E37),E37,0)+F37,F37)*G37*1000+F37,0)=W37,1,0))))))</f>
        <v>0</v>
      </c>
      <c r="Y37" s="69">
        <f>MAX(IF((G37&gt;0)*(IF(H37="",-1,H37)=0)*(1-(IF(H37="",-1,H37)&gt;=1)*(IF(H37="",-1,H37)&lt;=3)),IF(C37="peso_corporal",IF(ISNUMBER(E37),E37,0)+F37,F37)*G37*1000+F37,0),IF((J37&gt;0)*(IF(K37="",-1,K37)=0)*(1-(IF(K37="",-1,K37)&gt;=1)*(IF(K37="",-1,K37)&lt;=3)),IF(C37="peso_corporal",IF(ISNUMBER(E37),E37,0)+I37,I37)*J37*1000+I37,0),IF((M37&gt;0)*(IF(N37="",-1,N37)=0)*(1-(IF(N37="",-1,N37)&gt;=1)*(IF(N37="",-1,N37)&lt;=3)),IF(C37="peso_corporal",IF(ISNUMBER(E37),E37,0)+L37,L37)*M37*1000+L37,0),IF((P37&gt;0)*(IF(Q37="",-1,Q37)=0)*(1-(IF(Q37="",-1,Q37)&gt;=1)*(IF(Q37="",-1,Q37)&lt;=3)),IF(C37="peso_corporal",IF(ISNUMBER(E37),E37,0)+O37,O37)*P37*1000+O37,0),IF((S37&gt;0)*(IF(T37="",-1,T37)=0)*(1-(IF(T37="",-1,T37)&gt;=1)*(IF(T37="",-1,T37)&lt;=3)),IF(C37="peso_corporal",IF(ISNUMBER(E37),E37,0)+R37,R37)*S37*1000+R37,0))</f>
        <v>0</v>
      </c>
      <c r="Z37" s="69">
        <f>IF(Y37=0,0,IF(IF((S37&gt;0)*(IF(T37="",-1,T37)=0)*(1-(IF(T37="",-1,T37)&gt;=1)*(IF(T37="",-1,T37)&lt;=3)),IF(C37="peso_corporal",IF(ISNUMBER(E37),E37,0)+R37,R37)*S37*1000+R37,0)=Y37,5,IF(IF((P37&gt;0)*(IF(Q37="",-1,Q37)=0)*(1-(IF(Q37="",-1,Q37)&gt;=1)*(IF(Q37="",-1,Q37)&lt;=3)),IF(C37="peso_corporal",IF(ISNUMBER(E37),E37,0)+O37,O37)*P37*1000+O37,0)=Y37,4,IF(IF((M37&gt;0)*(IF(N37="",-1,N37)=0)*(1-(IF(N37="",-1,N37)&gt;=1)*(IF(N37="",-1,N37)&lt;=3)),IF(C37="peso_corporal",IF(ISNUMBER(E37),E37,0)+L37,L37)*M37*1000+L37,0)=Y37,3,IF(IF((J37&gt;0)*(IF(K37="",-1,K37)=0)*(1-(IF(K37="",-1,K37)&gt;=1)*(IF(K37="",-1,K37)&lt;=3)),IF(C37="peso_corporal",IF(ISNUMBER(E37),E37,0)+I37,I37)*J37*1000+I37,0)=Y37,2,IF(IF((G37&gt;0)*(IF(H37="",-1,H37)=0)*(1-(IF(H37="",-1,H37)&gt;=1)*(IF(H37="",-1,H37)&lt;=3)),IF(C37="peso_corporal",IF(ISNUMBER(E37),E37,0)+F37,F37)*G37*1000+F37,0)=Y37,1,0))))))</f>
        <v>0</v>
      </c>
      <c r="AA37" s="69">
        <f>MAX(IF((G37&gt;=6)*(1-(IF(H37="",-1,H37)&gt;=1)*(IF(H37="",-1,H37)&lt;=3))*(1-(IF(H37="",-1,H37)=0)),IF(C37="peso_corporal",IF(ISNUMBER(E37),E37,0)+F37,F37)*(30+G37)*100+F37,0),IF((J37&gt;=6)*(1-(IF(K37="",-1,K37)&gt;=1)*(IF(K37="",-1,K37)&lt;=3))*(1-(IF(K37="",-1,K37)=0)),IF(C37="peso_corporal",IF(ISNUMBER(E37),E37,0)+I37,I37)*(30+J37)*100+I37,0),IF((M37&gt;=6)*(1-(IF(N37="",-1,N37)&gt;=1)*(IF(N37="",-1,N37)&lt;=3))*(1-(IF(N37="",-1,N37)=0)),IF(C37="peso_corporal",IF(ISNUMBER(E37),E37,0)+L37,L37)*(30+M37)*100+L37,0),IF((P37&gt;=6)*(1-(IF(Q37="",-1,Q37)&gt;=1)*(IF(Q37="",-1,Q37)&lt;=3))*(1-(IF(Q37="",-1,Q37)=0)),IF(C37="peso_corporal",IF(ISNUMBER(E37),E37,0)+O37,O37)*(30+P37)*100+O37,0),IF((S37&gt;=6)*(1-(IF(T37="",-1,T37)&gt;=1)*(IF(T37="",-1,T37)&lt;=3))*(1-(IF(T37="",-1,T37)=0)),IF(C37="peso_corporal",IF(ISNUMBER(E37),E37,0)+R37,R37)*(30+S37)*100+R37,0))</f>
        <v>0</v>
      </c>
      <c r="AB37" s="69">
        <f>IF(AA37=0,0,IF(IF((S37&gt;=6)*(1-(IF(T37="",-1,T37)&gt;=1)*(IF(T37="",-1,T37)&lt;=3))*(1-(IF(T37="",-1,T37)=0)),IF(C37="peso_corporal",IF(ISNUMBER(E37),E37,0)+R37,R37)*(30+S37)*100+R37,0)=AA37,5,IF(IF((P37&gt;=6)*(1-(IF(Q37="",-1,Q37)&gt;=1)*(IF(Q37="",-1,Q37)&lt;=3))*(1-(IF(Q37="",-1,Q37)=0)),IF(C37="peso_corporal",IF(ISNUMBER(E37),E37,0)+O37,O37)*(30+P37)*100+O37,0)=AA37,4,IF(IF((M37&gt;=6)*(1-(IF(N37="",-1,N37)&gt;=1)*(IF(N37="",-1,N37)&lt;=3))*(1-(IF(N37="",-1,N37)=0)),IF(C37="peso_corporal",IF(ISNUMBER(E37),E37,0)+L37,L37)*(30+M37)*100+L37,0)=AA37,3,IF(IF((J37&gt;=6)*(1-(IF(K37="",-1,K37)&gt;=1)*(IF(K37="",-1,K37)&lt;=3))*(1-(IF(K37="",-1,K37)=0)),IF(C37="peso_corporal",IF(ISNUMBER(E37),E37,0)+I37,I37)*(30+J37)*100+I37,0)=AA37,2,IF(IF((G37&gt;=6)*(1-(IF(H37="",-1,H37)&gt;=1)*(IF(H37="",-1,H37)&lt;=3))*(1-(IF(H37="",-1,H37)=0)),IF(C37="peso_corporal",IF(ISNUMBER(E37),E37,0)+F37,F37)*(30+G37)*100+F37,0)=AA37,1,0))))))</f>
        <v>0</v>
      </c>
      <c r="AC37" s="69" t="str">
        <f>IF(X37&gt;0,"A"&amp;X37,IF(Z37&gt;0,"B"&amp;Z37,IF(AB37&gt;0,"C"&amp;AB37,"")))</f>
        <v/>
      </c>
    </row>
    <row r="38" spans="1:29" ht="11.1" customHeight="1">
      <c r="A38" s="84" t="s">
        <v>94</v>
      </c>
      <c r="B38" s="73"/>
      <c r="C38" s="73"/>
      <c r="D38" s="73"/>
      <c r="E38" s="73"/>
      <c r="F38" s="73"/>
      <c r="G38" s="73"/>
      <c r="H38" s="73"/>
      <c r="I38" s="73"/>
      <c r="J38" s="73"/>
      <c r="K38" s="73"/>
      <c r="L38" s="73"/>
      <c r="M38" s="73"/>
      <c r="N38" s="73"/>
      <c r="O38" s="73"/>
      <c r="P38" s="73"/>
      <c r="Q38" s="73"/>
      <c r="R38" s="73"/>
      <c r="S38" s="73"/>
      <c r="T38" s="73"/>
      <c r="U38" s="73"/>
      <c r="V38" s="73"/>
      <c r="W38" s="69"/>
      <c r="X38" s="69"/>
      <c r="Y38" s="69"/>
      <c r="Z38" s="69"/>
      <c r="AA38" s="69"/>
      <c r="AB38" s="69"/>
      <c r="AC38" s="69"/>
    </row>
    <row r="39" spans="1:29" ht="20.100000000000001" customHeight="1">
      <c r="A39" s="14" t="s">
        <v>95</v>
      </c>
      <c r="B39" s="15" t="s">
        <v>172</v>
      </c>
      <c r="C39" s="16" t="str">
        <f>IFERROR(INDEX(EJERCICIOS!$D$3:$D$75,MATCH(A39&amp;"|"&amp;B39,EJERCICIOS!$G$3:$G$75,0)),"--")</f>
        <v>polea</v>
      </c>
      <c r="D39" s="17">
        <v>3</v>
      </c>
      <c r="E39" s="18">
        <f>IFERROR(LOOKUP(2,1/(MEDIDAS_Y_PESO!$B$3:$B$4&lt;&gt;""),MEDIDAS_Y_PESO!$B$3:$B$4),"--")</f>
        <v>80</v>
      </c>
      <c r="F39" s="19"/>
      <c r="G39" s="20"/>
      <c r="H39" s="21"/>
      <c r="I39" s="19"/>
      <c r="J39" s="20"/>
      <c r="K39" s="21"/>
      <c r="L39" s="19"/>
      <c r="M39" s="20"/>
      <c r="N39" s="21"/>
      <c r="O39" s="19"/>
      <c r="P39" s="20"/>
      <c r="Q39" s="21"/>
      <c r="R39" s="19"/>
      <c r="S39" s="20"/>
      <c r="T39" s="21"/>
      <c r="U39" s="22" t="str">
        <f>IFERROR(IF(IF(X39&gt;0,X39,IF(Z39&gt;0,Z39,IF(AB39&gt;0,AB39,0)))=0,"--",ROUND(CHOOSE(IF(X39&gt;0,X39,IF(Z39&gt;0,Z39,IF(AB39&gt;0,AB39,0))),IF(C39="peso_corporal",IF(ISNUMBER(E39),E39,0)+F39,F39)*(1+G39/30),IF(C39="peso_corporal",IF(ISNUMBER(E39),E39,0)+I39,I39)*(1+J39/30),IF(C39="peso_corporal",IF(ISNUMBER(E39),E39,0)+L39,L39)*(1+M39/30),IF(C39="peso_corporal",IF(ISNUMBER(E39),E39,0)+O39,O39)*(1+P39/30),IF(C39="peso_corporal",IF(ISNUMBER(E39),E39,0)+R39,R39)*(1+S39/30)),1)),"--")</f>
        <v>--</v>
      </c>
      <c r="V39" s="23" t="str">
        <f>IF(SUGERENCIAS!N118="SIN","Sin datos anteriores",IF(SUGERENCIAS!N118="SUBIR_F","^ SUBIR FUERTE | Kg:"&amp;ROUND(SUGERENCIAS!K118,1)&amp;" R:"&amp;ROUND(SUGERENCIAS!L118,0)&amp;" RIR:"&amp;ROUND(SUGERENCIAS!M118,0),IF(SUGERENCIAS!N118="SUBIR_E","^ SUBIR (Est.) | Kg:"&amp;ROUND(SUGERENCIAS!K118,1)&amp;" R:"&amp;ROUND(SUGERENCIAS!L118,0)&amp;" RIR:"&amp;ROUND(SUGERENCIAS!M118,0),IF(SUGERENCIAS!N118="SUBIR","^ SUBIR | Kg:"&amp;ROUND(SUGERENCIAS!K118,1)&amp;" R:"&amp;ROUND(SUGERENCIAS!L118,0)&amp;" RIR:"&amp;ROUND(SUGERENCIAS!M118,0),IF(SUGERENCIAS!N118="BAJAR","v BAJAR | Kg:"&amp;ROUND(SUGERENCIAS!K118,1)&amp;" R:"&amp;ROUND(SUGERENCIAS!L118,0)&amp;" RIR:"&amp;ROUND(SUGERENCIAS!M118,0),"= MANT | Kg:"&amp;ROUND(SUGERENCIAS!K118,1)&amp;" R:"&amp;ROUND(SUGERENCIAS!L118,0)&amp;" RIR:"&amp;ROUND(SUGERENCIAS!M118,0))))))</f>
        <v>Sin datos anteriores</v>
      </c>
      <c r="W39" s="69">
        <f>MAX(IF((G39&gt;0)*(IF(H39="",-1,H39)&gt;=1)*(IF(H39="",-1,H39)&lt;=3),IF(C39="peso_corporal",IF(ISNUMBER(E39),E39,0)+F39,F39)*G39*1000+F39,0),IF((J39&gt;0)*(IF(K39="",-1,K39)&gt;=1)*(IF(K39="",-1,K39)&lt;=3),IF(C39="peso_corporal",IF(ISNUMBER(E39),E39,0)+I39,I39)*J39*1000+I39,0),IF((M39&gt;0)*(IF(N39="",-1,N39)&gt;=1)*(IF(N39="",-1,N39)&lt;=3),IF(C39="peso_corporal",IF(ISNUMBER(E39),E39,0)+L39,L39)*M39*1000+L39,0),IF((P39&gt;0)*(IF(Q39="",-1,Q39)&gt;=1)*(IF(Q39="",-1,Q39)&lt;=3),IF(C39="peso_corporal",IF(ISNUMBER(E39),E39,0)+O39,O39)*P39*1000+O39,0),IF((S39&gt;0)*(IF(T39="",-1,T39)&gt;=1)*(IF(T39="",-1,T39)&lt;=3),IF(C39="peso_corporal",IF(ISNUMBER(E39),E39,0)+R39,R39)*S39*1000+R39,0))</f>
        <v>0</v>
      </c>
      <c r="X39" s="69">
        <f>IF(W39=0,0,IF(IF((S39&gt;0)*(IF(T39="",-1,T39)&gt;=1)*(IF(T39="",-1,T39)&lt;=3),IF(C39="peso_corporal",IF(ISNUMBER(E39),E39,0)+R39,R39)*S39*1000+R39,0)=W39,5,IF(IF((P39&gt;0)*(IF(Q39="",-1,Q39)&gt;=1)*(IF(Q39="",-1,Q39)&lt;=3),IF(C39="peso_corporal",IF(ISNUMBER(E39),E39,0)+O39,O39)*P39*1000+O39,0)=W39,4,IF(IF((M39&gt;0)*(IF(N39="",-1,N39)&gt;=1)*(IF(N39="",-1,N39)&lt;=3),IF(C39="peso_corporal",IF(ISNUMBER(E39),E39,0)+L39,L39)*M39*1000+L39,0)=W39,3,IF(IF((J39&gt;0)*(IF(K39="",-1,K39)&gt;=1)*(IF(K39="",-1,K39)&lt;=3),IF(C39="peso_corporal",IF(ISNUMBER(E39),E39,0)+I39,I39)*J39*1000+I39,0)=W39,2,IF(IF((G39&gt;0)*(IF(H39="",-1,H39)&gt;=1)*(IF(H39="",-1,H39)&lt;=3),IF(C39="peso_corporal",IF(ISNUMBER(E39),E39,0)+F39,F39)*G39*1000+F39,0)=W39,1,0))))))</f>
        <v>0</v>
      </c>
      <c r="Y39" s="69">
        <f>MAX(IF((G39&gt;0)*(IF(H39="",-1,H39)=0)*(1-(IF(H39="",-1,H39)&gt;=1)*(IF(H39="",-1,H39)&lt;=3)),IF(C39="peso_corporal",IF(ISNUMBER(E39),E39,0)+F39,F39)*G39*1000+F39,0),IF((J39&gt;0)*(IF(K39="",-1,K39)=0)*(1-(IF(K39="",-1,K39)&gt;=1)*(IF(K39="",-1,K39)&lt;=3)),IF(C39="peso_corporal",IF(ISNUMBER(E39),E39,0)+I39,I39)*J39*1000+I39,0),IF((M39&gt;0)*(IF(N39="",-1,N39)=0)*(1-(IF(N39="",-1,N39)&gt;=1)*(IF(N39="",-1,N39)&lt;=3)),IF(C39="peso_corporal",IF(ISNUMBER(E39),E39,0)+L39,L39)*M39*1000+L39,0),IF((P39&gt;0)*(IF(Q39="",-1,Q39)=0)*(1-(IF(Q39="",-1,Q39)&gt;=1)*(IF(Q39="",-1,Q39)&lt;=3)),IF(C39="peso_corporal",IF(ISNUMBER(E39),E39,0)+O39,O39)*P39*1000+O39,0),IF((S39&gt;0)*(IF(T39="",-1,T39)=0)*(1-(IF(T39="",-1,T39)&gt;=1)*(IF(T39="",-1,T39)&lt;=3)),IF(C39="peso_corporal",IF(ISNUMBER(E39),E39,0)+R39,R39)*S39*1000+R39,0))</f>
        <v>0</v>
      </c>
      <c r="Z39" s="69">
        <f>IF(Y39=0,0,IF(IF((S39&gt;0)*(IF(T39="",-1,T39)=0)*(1-(IF(T39="",-1,T39)&gt;=1)*(IF(T39="",-1,T39)&lt;=3)),IF(C39="peso_corporal",IF(ISNUMBER(E39),E39,0)+R39,R39)*S39*1000+R39,0)=Y39,5,IF(IF((P39&gt;0)*(IF(Q39="",-1,Q39)=0)*(1-(IF(Q39="",-1,Q39)&gt;=1)*(IF(Q39="",-1,Q39)&lt;=3)),IF(C39="peso_corporal",IF(ISNUMBER(E39),E39,0)+O39,O39)*P39*1000+O39,0)=Y39,4,IF(IF((M39&gt;0)*(IF(N39="",-1,N39)=0)*(1-(IF(N39="",-1,N39)&gt;=1)*(IF(N39="",-1,N39)&lt;=3)),IF(C39="peso_corporal",IF(ISNUMBER(E39),E39,0)+L39,L39)*M39*1000+L39,0)=Y39,3,IF(IF((J39&gt;0)*(IF(K39="",-1,K39)=0)*(1-(IF(K39="",-1,K39)&gt;=1)*(IF(K39="",-1,K39)&lt;=3)),IF(C39="peso_corporal",IF(ISNUMBER(E39),E39,0)+I39,I39)*J39*1000+I39,0)=Y39,2,IF(IF((G39&gt;0)*(IF(H39="",-1,H39)=0)*(1-(IF(H39="",-1,H39)&gt;=1)*(IF(H39="",-1,H39)&lt;=3)),IF(C39="peso_corporal",IF(ISNUMBER(E39),E39,0)+F39,F39)*G39*1000+F39,0)=Y39,1,0))))))</f>
        <v>0</v>
      </c>
      <c r="AA39" s="69">
        <f>MAX(IF((G39&gt;=6)*(1-(IF(H39="",-1,H39)&gt;=1)*(IF(H39="",-1,H39)&lt;=3))*(1-(IF(H39="",-1,H39)=0)),IF(C39="peso_corporal",IF(ISNUMBER(E39),E39,0)+F39,F39)*(30+G39)*100+F39,0),IF((J39&gt;=6)*(1-(IF(K39="",-1,K39)&gt;=1)*(IF(K39="",-1,K39)&lt;=3))*(1-(IF(K39="",-1,K39)=0)),IF(C39="peso_corporal",IF(ISNUMBER(E39),E39,0)+I39,I39)*(30+J39)*100+I39,0),IF((M39&gt;=6)*(1-(IF(N39="",-1,N39)&gt;=1)*(IF(N39="",-1,N39)&lt;=3))*(1-(IF(N39="",-1,N39)=0)),IF(C39="peso_corporal",IF(ISNUMBER(E39),E39,0)+L39,L39)*(30+M39)*100+L39,0),IF((P39&gt;=6)*(1-(IF(Q39="",-1,Q39)&gt;=1)*(IF(Q39="",-1,Q39)&lt;=3))*(1-(IF(Q39="",-1,Q39)=0)),IF(C39="peso_corporal",IF(ISNUMBER(E39),E39,0)+O39,O39)*(30+P39)*100+O39,0),IF((S39&gt;=6)*(1-(IF(T39="",-1,T39)&gt;=1)*(IF(T39="",-1,T39)&lt;=3))*(1-(IF(T39="",-1,T39)=0)),IF(C39="peso_corporal",IF(ISNUMBER(E39),E39,0)+R39,R39)*(30+S39)*100+R39,0))</f>
        <v>0</v>
      </c>
      <c r="AB39" s="69">
        <f>IF(AA39=0,0,IF(IF((S39&gt;=6)*(1-(IF(T39="",-1,T39)&gt;=1)*(IF(T39="",-1,T39)&lt;=3))*(1-(IF(T39="",-1,T39)=0)),IF(C39="peso_corporal",IF(ISNUMBER(E39),E39,0)+R39,R39)*(30+S39)*100+R39,0)=AA39,5,IF(IF((P39&gt;=6)*(1-(IF(Q39="",-1,Q39)&gt;=1)*(IF(Q39="",-1,Q39)&lt;=3))*(1-(IF(Q39="",-1,Q39)=0)),IF(C39="peso_corporal",IF(ISNUMBER(E39),E39,0)+O39,O39)*(30+P39)*100+O39,0)=AA39,4,IF(IF((M39&gt;=6)*(1-(IF(N39="",-1,N39)&gt;=1)*(IF(N39="",-1,N39)&lt;=3))*(1-(IF(N39="",-1,N39)=0)),IF(C39="peso_corporal",IF(ISNUMBER(E39),E39,0)+L39,L39)*(30+M39)*100+L39,0)=AA39,3,IF(IF((J39&gt;=6)*(1-(IF(K39="",-1,K39)&gt;=1)*(IF(K39="",-1,K39)&lt;=3))*(1-(IF(K39="",-1,K39)=0)),IF(C39="peso_corporal",IF(ISNUMBER(E39),E39,0)+I39,I39)*(30+J39)*100+I39,0)=AA39,2,IF(IF((G39&gt;=6)*(1-(IF(H39="",-1,H39)&gt;=1)*(IF(H39="",-1,H39)&lt;=3))*(1-(IF(H39="",-1,H39)=0)),IF(C39="peso_corporal",IF(ISNUMBER(E39),E39,0)+F39,F39)*(30+G39)*100+F39,0)=AA39,1,0))))))</f>
        <v>0</v>
      </c>
      <c r="AC39" s="69" t="str">
        <f>IF(X39&gt;0,"A"&amp;X39,IF(Z39&gt;0,"B"&amp;Z39,IF(AB39&gt;0,"C"&amp;AB39,"")))</f>
        <v/>
      </c>
    </row>
    <row r="40" spans="1:29" ht="20.100000000000001" customHeight="1">
      <c r="A40" s="14" t="s">
        <v>95</v>
      </c>
      <c r="B40" s="15" t="s">
        <v>173</v>
      </c>
      <c r="C40" s="16" t="str">
        <f>IFERROR(INDEX(EJERCICIOS!$D$3:$D$75,MATCH(A40&amp;"|"&amp;B40,EJERCICIOS!$G$3:$G$75,0)),"--")</f>
        <v>polea</v>
      </c>
      <c r="D40" s="17">
        <v>3</v>
      </c>
      <c r="E40" s="18">
        <f>IFERROR(LOOKUP(2,1/(MEDIDAS_Y_PESO!$B$3:$B$4&lt;&gt;""),MEDIDAS_Y_PESO!$B$3:$B$4),"--")</f>
        <v>80</v>
      </c>
      <c r="F40" s="19"/>
      <c r="G40" s="20"/>
      <c r="H40" s="21"/>
      <c r="I40" s="19"/>
      <c r="J40" s="20"/>
      <c r="K40" s="21"/>
      <c r="L40" s="19"/>
      <c r="M40" s="20"/>
      <c r="N40" s="21"/>
      <c r="O40" s="19"/>
      <c r="P40" s="20"/>
      <c r="Q40" s="21"/>
      <c r="R40" s="19"/>
      <c r="S40" s="20"/>
      <c r="T40" s="21"/>
      <c r="U40" s="22" t="str">
        <f>IFERROR(IF(IF(X40&gt;0,X40,IF(Z40&gt;0,Z40,IF(AB40&gt;0,AB40,0)))=0,"--",ROUND(CHOOSE(IF(X40&gt;0,X40,IF(Z40&gt;0,Z40,IF(AB40&gt;0,AB40,0))),IF(C40="peso_corporal",IF(ISNUMBER(E40),E40,0)+F40,F40)*(1+G40/30),IF(C40="peso_corporal",IF(ISNUMBER(E40),E40,0)+I40,I40)*(1+J40/30),IF(C40="peso_corporal",IF(ISNUMBER(E40),E40,0)+L40,L40)*(1+M40/30),IF(C40="peso_corporal",IF(ISNUMBER(E40),E40,0)+O40,O40)*(1+P40/30),IF(C40="peso_corporal",IF(ISNUMBER(E40),E40,0)+R40,R40)*(1+S40/30)),1)),"--")</f>
        <v>--</v>
      </c>
      <c r="V40" s="23" t="str">
        <f>IF(SUGERENCIAS!N119="SIN","Sin datos anteriores",IF(SUGERENCIAS!N119="SUBIR_F","^ SUBIR FUERTE | Kg:"&amp;ROUND(SUGERENCIAS!K119,1)&amp;" R:"&amp;ROUND(SUGERENCIAS!L119,0)&amp;" RIR:"&amp;ROUND(SUGERENCIAS!M119,0),IF(SUGERENCIAS!N119="SUBIR_E","^ SUBIR (Est.) | Kg:"&amp;ROUND(SUGERENCIAS!K119,1)&amp;" R:"&amp;ROUND(SUGERENCIAS!L119,0)&amp;" RIR:"&amp;ROUND(SUGERENCIAS!M119,0),IF(SUGERENCIAS!N119="SUBIR","^ SUBIR | Kg:"&amp;ROUND(SUGERENCIAS!K119,1)&amp;" R:"&amp;ROUND(SUGERENCIAS!L119,0)&amp;" RIR:"&amp;ROUND(SUGERENCIAS!M119,0),IF(SUGERENCIAS!N119="BAJAR","v BAJAR | Kg:"&amp;ROUND(SUGERENCIAS!K119,1)&amp;" R:"&amp;ROUND(SUGERENCIAS!L119,0)&amp;" RIR:"&amp;ROUND(SUGERENCIAS!M119,0),"= MANT | Kg:"&amp;ROUND(SUGERENCIAS!K119,1)&amp;" R:"&amp;ROUND(SUGERENCIAS!L119,0)&amp;" RIR:"&amp;ROUND(SUGERENCIAS!M119,0))))))</f>
        <v>Sin datos anteriores</v>
      </c>
      <c r="W40" s="69">
        <f>MAX(IF((G40&gt;0)*(IF(H40="",-1,H40)&gt;=1)*(IF(H40="",-1,H40)&lt;=3),IF(C40="peso_corporal",IF(ISNUMBER(E40),E40,0)+F40,F40)*G40*1000+F40,0),IF((J40&gt;0)*(IF(K40="",-1,K40)&gt;=1)*(IF(K40="",-1,K40)&lt;=3),IF(C40="peso_corporal",IF(ISNUMBER(E40),E40,0)+I40,I40)*J40*1000+I40,0),IF((M40&gt;0)*(IF(N40="",-1,N40)&gt;=1)*(IF(N40="",-1,N40)&lt;=3),IF(C40="peso_corporal",IF(ISNUMBER(E40),E40,0)+L40,L40)*M40*1000+L40,0),IF((P40&gt;0)*(IF(Q40="",-1,Q40)&gt;=1)*(IF(Q40="",-1,Q40)&lt;=3),IF(C40="peso_corporal",IF(ISNUMBER(E40),E40,0)+O40,O40)*P40*1000+O40,0),IF((S40&gt;0)*(IF(T40="",-1,T40)&gt;=1)*(IF(T40="",-1,T40)&lt;=3),IF(C40="peso_corporal",IF(ISNUMBER(E40),E40,0)+R40,R40)*S40*1000+R40,0))</f>
        <v>0</v>
      </c>
      <c r="X40" s="69">
        <f>IF(W40=0,0,IF(IF((S40&gt;0)*(IF(T40="",-1,T40)&gt;=1)*(IF(T40="",-1,T40)&lt;=3),IF(C40="peso_corporal",IF(ISNUMBER(E40),E40,0)+R40,R40)*S40*1000+R40,0)=W40,5,IF(IF((P40&gt;0)*(IF(Q40="",-1,Q40)&gt;=1)*(IF(Q40="",-1,Q40)&lt;=3),IF(C40="peso_corporal",IF(ISNUMBER(E40),E40,0)+O40,O40)*P40*1000+O40,0)=W40,4,IF(IF((M40&gt;0)*(IF(N40="",-1,N40)&gt;=1)*(IF(N40="",-1,N40)&lt;=3),IF(C40="peso_corporal",IF(ISNUMBER(E40),E40,0)+L40,L40)*M40*1000+L40,0)=W40,3,IF(IF((J40&gt;0)*(IF(K40="",-1,K40)&gt;=1)*(IF(K40="",-1,K40)&lt;=3),IF(C40="peso_corporal",IF(ISNUMBER(E40),E40,0)+I40,I40)*J40*1000+I40,0)=W40,2,IF(IF((G40&gt;0)*(IF(H40="",-1,H40)&gt;=1)*(IF(H40="",-1,H40)&lt;=3),IF(C40="peso_corporal",IF(ISNUMBER(E40),E40,0)+F40,F40)*G40*1000+F40,0)=W40,1,0))))))</f>
        <v>0</v>
      </c>
      <c r="Y40" s="69">
        <f>MAX(IF((G40&gt;0)*(IF(H40="",-1,H40)=0)*(1-(IF(H40="",-1,H40)&gt;=1)*(IF(H40="",-1,H40)&lt;=3)),IF(C40="peso_corporal",IF(ISNUMBER(E40),E40,0)+F40,F40)*G40*1000+F40,0),IF((J40&gt;0)*(IF(K40="",-1,K40)=0)*(1-(IF(K40="",-1,K40)&gt;=1)*(IF(K40="",-1,K40)&lt;=3)),IF(C40="peso_corporal",IF(ISNUMBER(E40),E40,0)+I40,I40)*J40*1000+I40,0),IF((M40&gt;0)*(IF(N40="",-1,N40)=0)*(1-(IF(N40="",-1,N40)&gt;=1)*(IF(N40="",-1,N40)&lt;=3)),IF(C40="peso_corporal",IF(ISNUMBER(E40),E40,0)+L40,L40)*M40*1000+L40,0),IF((P40&gt;0)*(IF(Q40="",-1,Q40)=0)*(1-(IF(Q40="",-1,Q40)&gt;=1)*(IF(Q40="",-1,Q40)&lt;=3)),IF(C40="peso_corporal",IF(ISNUMBER(E40),E40,0)+O40,O40)*P40*1000+O40,0),IF((S40&gt;0)*(IF(T40="",-1,T40)=0)*(1-(IF(T40="",-1,T40)&gt;=1)*(IF(T40="",-1,T40)&lt;=3)),IF(C40="peso_corporal",IF(ISNUMBER(E40),E40,0)+R40,R40)*S40*1000+R40,0))</f>
        <v>0</v>
      </c>
      <c r="Z40" s="69">
        <f>IF(Y40=0,0,IF(IF((S40&gt;0)*(IF(T40="",-1,T40)=0)*(1-(IF(T40="",-1,T40)&gt;=1)*(IF(T40="",-1,T40)&lt;=3)),IF(C40="peso_corporal",IF(ISNUMBER(E40),E40,0)+R40,R40)*S40*1000+R40,0)=Y40,5,IF(IF((P40&gt;0)*(IF(Q40="",-1,Q40)=0)*(1-(IF(Q40="",-1,Q40)&gt;=1)*(IF(Q40="",-1,Q40)&lt;=3)),IF(C40="peso_corporal",IF(ISNUMBER(E40),E40,0)+O40,O40)*P40*1000+O40,0)=Y40,4,IF(IF((M40&gt;0)*(IF(N40="",-1,N40)=0)*(1-(IF(N40="",-1,N40)&gt;=1)*(IF(N40="",-1,N40)&lt;=3)),IF(C40="peso_corporal",IF(ISNUMBER(E40),E40,0)+L40,L40)*M40*1000+L40,0)=Y40,3,IF(IF((J40&gt;0)*(IF(K40="",-1,K40)=0)*(1-(IF(K40="",-1,K40)&gt;=1)*(IF(K40="",-1,K40)&lt;=3)),IF(C40="peso_corporal",IF(ISNUMBER(E40),E40,0)+I40,I40)*J40*1000+I40,0)=Y40,2,IF(IF((G40&gt;0)*(IF(H40="",-1,H40)=0)*(1-(IF(H40="",-1,H40)&gt;=1)*(IF(H40="",-1,H40)&lt;=3)),IF(C40="peso_corporal",IF(ISNUMBER(E40),E40,0)+F40,F40)*G40*1000+F40,0)=Y40,1,0))))))</f>
        <v>0</v>
      </c>
      <c r="AA40" s="69">
        <f>MAX(IF((G40&gt;=6)*(1-(IF(H40="",-1,H40)&gt;=1)*(IF(H40="",-1,H40)&lt;=3))*(1-(IF(H40="",-1,H40)=0)),IF(C40="peso_corporal",IF(ISNUMBER(E40),E40,0)+F40,F40)*(30+G40)*100+F40,0),IF((J40&gt;=6)*(1-(IF(K40="",-1,K40)&gt;=1)*(IF(K40="",-1,K40)&lt;=3))*(1-(IF(K40="",-1,K40)=0)),IF(C40="peso_corporal",IF(ISNUMBER(E40),E40,0)+I40,I40)*(30+J40)*100+I40,0),IF((M40&gt;=6)*(1-(IF(N40="",-1,N40)&gt;=1)*(IF(N40="",-1,N40)&lt;=3))*(1-(IF(N40="",-1,N40)=0)),IF(C40="peso_corporal",IF(ISNUMBER(E40),E40,0)+L40,L40)*(30+M40)*100+L40,0),IF((P40&gt;=6)*(1-(IF(Q40="",-1,Q40)&gt;=1)*(IF(Q40="",-1,Q40)&lt;=3))*(1-(IF(Q40="",-1,Q40)=0)),IF(C40="peso_corporal",IF(ISNUMBER(E40),E40,0)+O40,O40)*(30+P40)*100+O40,0),IF((S40&gt;=6)*(1-(IF(T40="",-1,T40)&gt;=1)*(IF(T40="",-1,T40)&lt;=3))*(1-(IF(T40="",-1,T40)=0)),IF(C40="peso_corporal",IF(ISNUMBER(E40),E40,0)+R40,R40)*(30+S40)*100+R40,0))</f>
        <v>0</v>
      </c>
      <c r="AB40" s="69">
        <f>IF(AA40=0,0,IF(IF((S40&gt;=6)*(1-(IF(T40="",-1,T40)&gt;=1)*(IF(T40="",-1,T40)&lt;=3))*(1-(IF(T40="",-1,T40)=0)),IF(C40="peso_corporal",IF(ISNUMBER(E40),E40,0)+R40,R40)*(30+S40)*100+R40,0)=AA40,5,IF(IF((P40&gt;=6)*(1-(IF(Q40="",-1,Q40)&gt;=1)*(IF(Q40="",-1,Q40)&lt;=3))*(1-(IF(Q40="",-1,Q40)=0)),IF(C40="peso_corporal",IF(ISNUMBER(E40),E40,0)+O40,O40)*(30+P40)*100+O40,0)=AA40,4,IF(IF((M40&gt;=6)*(1-(IF(N40="",-1,N40)&gt;=1)*(IF(N40="",-1,N40)&lt;=3))*(1-(IF(N40="",-1,N40)=0)),IF(C40="peso_corporal",IF(ISNUMBER(E40),E40,0)+L40,L40)*(30+M40)*100+L40,0)=AA40,3,IF(IF((J40&gt;=6)*(1-(IF(K40="",-1,K40)&gt;=1)*(IF(K40="",-1,K40)&lt;=3))*(1-(IF(K40="",-1,K40)=0)),IF(C40="peso_corporal",IF(ISNUMBER(E40),E40,0)+I40,I40)*(30+J40)*100+I40,0)=AA40,2,IF(IF((G40&gt;=6)*(1-(IF(H40="",-1,H40)&gt;=1)*(IF(H40="",-1,H40)&lt;=3))*(1-(IF(H40="",-1,H40)=0)),IF(C40="peso_corporal",IF(ISNUMBER(E40),E40,0)+F40,F40)*(30+G40)*100+F40,0)=AA40,1,0))))))</f>
        <v>0</v>
      </c>
      <c r="AC40" s="69" t="str">
        <f>IF(X40&gt;0,"A"&amp;X40,IF(Z40&gt;0,"B"&amp;Z40,IF(AB40&gt;0,"C"&amp;AB40,"")))</f>
        <v/>
      </c>
    </row>
    <row r="41" spans="1:29" ht="20.100000000000001" customHeight="1">
      <c r="A41" s="14" t="s">
        <v>163</v>
      </c>
      <c r="B41" s="15" t="s">
        <v>52</v>
      </c>
      <c r="C41" s="16" t="str">
        <f>IFERROR(INDEX(EJERCICIOS!$D$3:$D$75,MATCH(A41&amp;"|"&amp;B41,EJERCICIOS!$G$3:$G$75,0)),"--")</f>
        <v>polea</v>
      </c>
      <c r="D41" s="17">
        <v>3</v>
      </c>
      <c r="E41" s="18">
        <f>IFERROR(LOOKUP(2,1/(MEDIDAS_Y_PESO!$B$3:$B$4&lt;&gt;""),MEDIDAS_Y_PESO!$B$3:$B$4),"--")</f>
        <v>80</v>
      </c>
      <c r="F41" s="19"/>
      <c r="G41" s="20"/>
      <c r="H41" s="21"/>
      <c r="I41" s="19"/>
      <c r="J41" s="20"/>
      <c r="K41" s="21"/>
      <c r="L41" s="19"/>
      <c r="M41" s="20"/>
      <c r="N41" s="21"/>
      <c r="O41" s="19"/>
      <c r="P41" s="20"/>
      <c r="Q41" s="21"/>
      <c r="R41" s="19"/>
      <c r="S41" s="20"/>
      <c r="T41" s="21"/>
      <c r="U41" s="22" t="str">
        <f>IFERROR(IF(IF(X41&gt;0,X41,IF(Z41&gt;0,Z41,IF(AB41&gt;0,AB41,0)))=0,"--",ROUND(CHOOSE(IF(X41&gt;0,X41,IF(Z41&gt;0,Z41,IF(AB41&gt;0,AB41,0))),IF(C41="peso_corporal",IF(ISNUMBER(E41),E41,0)+F41,F41)*(1+G41/30),IF(C41="peso_corporal",IF(ISNUMBER(E41),E41,0)+I41,I41)*(1+J41/30),IF(C41="peso_corporal",IF(ISNUMBER(E41),E41,0)+L41,L41)*(1+M41/30),IF(C41="peso_corporal",IF(ISNUMBER(E41),E41,0)+O41,O41)*(1+P41/30),IF(C41="peso_corporal",IF(ISNUMBER(E41),E41,0)+R41,R41)*(1+S41/30)),1)),"--")</f>
        <v>--</v>
      </c>
      <c r="V41" s="23" t="str">
        <f>IF(SUGERENCIAS!N120="SIN","Sin datos anteriores",IF(SUGERENCIAS!N120="SUBIR_F","^ SUBIR FUERTE | Kg:"&amp;ROUND(SUGERENCIAS!K120,1)&amp;" R:"&amp;ROUND(SUGERENCIAS!L120,0)&amp;" RIR:"&amp;ROUND(SUGERENCIAS!M120,0),IF(SUGERENCIAS!N120="SUBIR_E","^ SUBIR (Est.) | Kg:"&amp;ROUND(SUGERENCIAS!K120,1)&amp;" R:"&amp;ROUND(SUGERENCIAS!L120,0)&amp;" RIR:"&amp;ROUND(SUGERENCIAS!M120,0),IF(SUGERENCIAS!N120="SUBIR","^ SUBIR | Kg:"&amp;ROUND(SUGERENCIAS!K120,1)&amp;" R:"&amp;ROUND(SUGERENCIAS!L120,0)&amp;" RIR:"&amp;ROUND(SUGERENCIAS!M120,0),IF(SUGERENCIAS!N120="BAJAR","v BAJAR | Kg:"&amp;ROUND(SUGERENCIAS!K120,1)&amp;" R:"&amp;ROUND(SUGERENCIAS!L120,0)&amp;" RIR:"&amp;ROUND(SUGERENCIAS!M120,0),"= MANT | Kg:"&amp;ROUND(SUGERENCIAS!K120,1)&amp;" R:"&amp;ROUND(SUGERENCIAS!L120,0)&amp;" RIR:"&amp;ROUND(SUGERENCIAS!M120,0))))))</f>
        <v>Sin datos anteriores</v>
      </c>
      <c r="W41" s="69">
        <f>MAX(IF((G41&gt;0)*(IF(H41="",-1,H41)&gt;=1)*(IF(H41="",-1,H41)&lt;=3),IF(C41="peso_corporal",IF(ISNUMBER(E41),E41,0)+F41,F41)*G41*1000+F41,0),IF((J41&gt;0)*(IF(K41="",-1,K41)&gt;=1)*(IF(K41="",-1,K41)&lt;=3),IF(C41="peso_corporal",IF(ISNUMBER(E41),E41,0)+I41,I41)*J41*1000+I41,0),IF((M41&gt;0)*(IF(N41="",-1,N41)&gt;=1)*(IF(N41="",-1,N41)&lt;=3),IF(C41="peso_corporal",IF(ISNUMBER(E41),E41,0)+L41,L41)*M41*1000+L41,0),IF((P41&gt;0)*(IF(Q41="",-1,Q41)&gt;=1)*(IF(Q41="",-1,Q41)&lt;=3),IF(C41="peso_corporal",IF(ISNUMBER(E41),E41,0)+O41,O41)*P41*1000+O41,0),IF((S41&gt;0)*(IF(T41="",-1,T41)&gt;=1)*(IF(T41="",-1,T41)&lt;=3),IF(C41="peso_corporal",IF(ISNUMBER(E41),E41,0)+R41,R41)*S41*1000+R41,0))</f>
        <v>0</v>
      </c>
      <c r="X41" s="69">
        <f>IF(W41=0,0,IF(IF((S41&gt;0)*(IF(T41="",-1,T41)&gt;=1)*(IF(T41="",-1,T41)&lt;=3),IF(C41="peso_corporal",IF(ISNUMBER(E41),E41,0)+R41,R41)*S41*1000+R41,0)=W41,5,IF(IF((P41&gt;0)*(IF(Q41="",-1,Q41)&gt;=1)*(IF(Q41="",-1,Q41)&lt;=3),IF(C41="peso_corporal",IF(ISNUMBER(E41),E41,0)+O41,O41)*P41*1000+O41,0)=W41,4,IF(IF((M41&gt;0)*(IF(N41="",-1,N41)&gt;=1)*(IF(N41="",-1,N41)&lt;=3),IF(C41="peso_corporal",IF(ISNUMBER(E41),E41,0)+L41,L41)*M41*1000+L41,0)=W41,3,IF(IF((J41&gt;0)*(IF(K41="",-1,K41)&gt;=1)*(IF(K41="",-1,K41)&lt;=3),IF(C41="peso_corporal",IF(ISNUMBER(E41),E41,0)+I41,I41)*J41*1000+I41,0)=W41,2,IF(IF((G41&gt;0)*(IF(H41="",-1,H41)&gt;=1)*(IF(H41="",-1,H41)&lt;=3),IF(C41="peso_corporal",IF(ISNUMBER(E41),E41,0)+F41,F41)*G41*1000+F41,0)=W41,1,0))))))</f>
        <v>0</v>
      </c>
      <c r="Y41" s="69">
        <f>MAX(IF((G41&gt;0)*(IF(H41="",-1,H41)=0)*(1-(IF(H41="",-1,H41)&gt;=1)*(IF(H41="",-1,H41)&lt;=3)),IF(C41="peso_corporal",IF(ISNUMBER(E41),E41,0)+F41,F41)*G41*1000+F41,0),IF((J41&gt;0)*(IF(K41="",-1,K41)=0)*(1-(IF(K41="",-1,K41)&gt;=1)*(IF(K41="",-1,K41)&lt;=3)),IF(C41="peso_corporal",IF(ISNUMBER(E41),E41,0)+I41,I41)*J41*1000+I41,0),IF((M41&gt;0)*(IF(N41="",-1,N41)=0)*(1-(IF(N41="",-1,N41)&gt;=1)*(IF(N41="",-1,N41)&lt;=3)),IF(C41="peso_corporal",IF(ISNUMBER(E41),E41,0)+L41,L41)*M41*1000+L41,0),IF((P41&gt;0)*(IF(Q41="",-1,Q41)=0)*(1-(IF(Q41="",-1,Q41)&gt;=1)*(IF(Q41="",-1,Q41)&lt;=3)),IF(C41="peso_corporal",IF(ISNUMBER(E41),E41,0)+O41,O41)*P41*1000+O41,0),IF((S41&gt;0)*(IF(T41="",-1,T41)=0)*(1-(IF(T41="",-1,T41)&gt;=1)*(IF(T41="",-1,T41)&lt;=3)),IF(C41="peso_corporal",IF(ISNUMBER(E41),E41,0)+R41,R41)*S41*1000+R41,0))</f>
        <v>0</v>
      </c>
      <c r="Z41" s="69">
        <f>IF(Y41=0,0,IF(IF((S41&gt;0)*(IF(T41="",-1,T41)=0)*(1-(IF(T41="",-1,T41)&gt;=1)*(IF(T41="",-1,T41)&lt;=3)),IF(C41="peso_corporal",IF(ISNUMBER(E41),E41,0)+R41,R41)*S41*1000+R41,0)=Y41,5,IF(IF((P41&gt;0)*(IF(Q41="",-1,Q41)=0)*(1-(IF(Q41="",-1,Q41)&gt;=1)*(IF(Q41="",-1,Q41)&lt;=3)),IF(C41="peso_corporal",IF(ISNUMBER(E41),E41,0)+O41,O41)*P41*1000+O41,0)=Y41,4,IF(IF((M41&gt;0)*(IF(N41="",-1,N41)=0)*(1-(IF(N41="",-1,N41)&gt;=1)*(IF(N41="",-1,N41)&lt;=3)),IF(C41="peso_corporal",IF(ISNUMBER(E41),E41,0)+L41,L41)*M41*1000+L41,0)=Y41,3,IF(IF((J41&gt;0)*(IF(K41="",-1,K41)=0)*(1-(IF(K41="",-1,K41)&gt;=1)*(IF(K41="",-1,K41)&lt;=3)),IF(C41="peso_corporal",IF(ISNUMBER(E41),E41,0)+I41,I41)*J41*1000+I41,0)=Y41,2,IF(IF((G41&gt;0)*(IF(H41="",-1,H41)=0)*(1-(IF(H41="",-1,H41)&gt;=1)*(IF(H41="",-1,H41)&lt;=3)),IF(C41="peso_corporal",IF(ISNUMBER(E41),E41,0)+F41,F41)*G41*1000+F41,0)=Y41,1,0))))))</f>
        <v>0</v>
      </c>
      <c r="AA41" s="69">
        <f>MAX(IF((G41&gt;=6)*(1-(IF(H41="",-1,H41)&gt;=1)*(IF(H41="",-1,H41)&lt;=3))*(1-(IF(H41="",-1,H41)=0)),IF(C41="peso_corporal",IF(ISNUMBER(E41),E41,0)+F41,F41)*(30+G41)*100+F41,0),IF((J41&gt;=6)*(1-(IF(K41="",-1,K41)&gt;=1)*(IF(K41="",-1,K41)&lt;=3))*(1-(IF(K41="",-1,K41)=0)),IF(C41="peso_corporal",IF(ISNUMBER(E41),E41,0)+I41,I41)*(30+J41)*100+I41,0),IF((M41&gt;=6)*(1-(IF(N41="",-1,N41)&gt;=1)*(IF(N41="",-1,N41)&lt;=3))*(1-(IF(N41="",-1,N41)=0)),IF(C41="peso_corporal",IF(ISNUMBER(E41),E41,0)+L41,L41)*(30+M41)*100+L41,0),IF((P41&gt;=6)*(1-(IF(Q41="",-1,Q41)&gt;=1)*(IF(Q41="",-1,Q41)&lt;=3))*(1-(IF(Q41="",-1,Q41)=0)),IF(C41="peso_corporal",IF(ISNUMBER(E41),E41,0)+O41,O41)*(30+P41)*100+O41,0),IF((S41&gt;=6)*(1-(IF(T41="",-1,T41)&gt;=1)*(IF(T41="",-1,T41)&lt;=3))*(1-(IF(T41="",-1,T41)=0)),IF(C41="peso_corporal",IF(ISNUMBER(E41),E41,0)+R41,R41)*(30+S41)*100+R41,0))</f>
        <v>0</v>
      </c>
      <c r="AB41" s="69">
        <f>IF(AA41=0,0,IF(IF((S41&gt;=6)*(1-(IF(T41="",-1,T41)&gt;=1)*(IF(T41="",-1,T41)&lt;=3))*(1-(IF(T41="",-1,T41)=0)),IF(C41="peso_corporal",IF(ISNUMBER(E41),E41,0)+R41,R41)*(30+S41)*100+R41,0)=AA41,5,IF(IF((P41&gt;=6)*(1-(IF(Q41="",-1,Q41)&gt;=1)*(IF(Q41="",-1,Q41)&lt;=3))*(1-(IF(Q41="",-1,Q41)=0)),IF(C41="peso_corporal",IF(ISNUMBER(E41),E41,0)+O41,O41)*(30+P41)*100+O41,0)=AA41,4,IF(IF((M41&gt;=6)*(1-(IF(N41="",-1,N41)&gt;=1)*(IF(N41="",-1,N41)&lt;=3))*(1-(IF(N41="",-1,N41)=0)),IF(C41="peso_corporal",IF(ISNUMBER(E41),E41,0)+L41,L41)*(30+M41)*100+L41,0)=AA41,3,IF(IF((J41&gt;=6)*(1-(IF(K41="",-1,K41)&gt;=1)*(IF(K41="",-1,K41)&lt;=3))*(1-(IF(K41="",-1,K41)=0)),IF(C41="peso_corporal",IF(ISNUMBER(E41),E41,0)+I41,I41)*(30+J41)*100+I41,0)=AA41,2,IF(IF((G41&gt;=6)*(1-(IF(H41="",-1,H41)&gt;=1)*(IF(H41="",-1,H41)&lt;=3))*(1-(IF(H41="",-1,H41)=0)),IF(C41="peso_corporal",IF(ISNUMBER(E41),E41,0)+F41,F41)*(30+G41)*100+F41,0)=AA41,1,0))))))</f>
        <v>0</v>
      </c>
      <c r="AC41" s="69" t="str">
        <f>IF(X41&gt;0,"A"&amp;X41,IF(Z41&gt;0,"B"&amp;Z41,IF(AB41&gt;0,"C"&amp;AB41,"")))</f>
        <v/>
      </c>
    </row>
    <row r="42" spans="1:29" ht="15" customHeight="1">
      <c r="A42" s="81" t="s">
        <v>53</v>
      </c>
      <c r="B42" s="73"/>
      <c r="C42" s="73"/>
      <c r="D42" s="73"/>
      <c r="E42" s="73"/>
      <c r="F42" s="73"/>
      <c r="G42" s="73"/>
      <c r="H42" s="73"/>
      <c r="I42" s="73"/>
      <c r="J42" s="73"/>
      <c r="K42" s="73"/>
      <c r="L42" s="73"/>
      <c r="M42" s="73"/>
      <c r="N42" s="73"/>
      <c r="O42" s="73"/>
      <c r="P42" s="73"/>
      <c r="Q42" s="73"/>
      <c r="R42" s="73"/>
      <c r="S42" s="73"/>
      <c r="T42" s="73"/>
      <c r="U42" s="73"/>
      <c r="V42" s="73"/>
      <c r="W42" s="69"/>
      <c r="X42" s="69"/>
      <c r="Y42" s="69"/>
      <c r="Z42" s="69"/>
      <c r="AA42" s="69"/>
      <c r="AB42" s="69"/>
      <c r="AC42" s="69"/>
    </row>
    <row r="43" spans="1:29" ht="20.100000000000001" customHeight="1">
      <c r="A43" s="14" t="s">
        <v>54</v>
      </c>
      <c r="B43" s="15" t="s">
        <v>115</v>
      </c>
      <c r="C43" s="16" t="str">
        <f>IFERROR(INDEX(EJERCICIOS!$D$3:$D$75,MATCH(A43&amp;"|"&amp;B43,EJERCICIOS!$G$3:$G$75,0)),"--")</f>
        <v>polea</v>
      </c>
      <c r="D43" s="17">
        <v>3</v>
      </c>
      <c r="E43" s="18">
        <f>IFERROR(LOOKUP(2,1/(MEDIDAS_Y_PESO!$B$3:$B$4&lt;&gt;""),MEDIDAS_Y_PESO!$B$3:$B$4),"--")</f>
        <v>80</v>
      </c>
      <c r="F43" s="19"/>
      <c r="G43" s="20"/>
      <c r="H43" s="21"/>
      <c r="I43" s="19"/>
      <c r="J43" s="20"/>
      <c r="K43" s="21"/>
      <c r="L43" s="19"/>
      <c r="M43" s="20"/>
      <c r="N43" s="21"/>
      <c r="O43" s="19"/>
      <c r="P43" s="20"/>
      <c r="Q43" s="21"/>
      <c r="R43" s="19"/>
      <c r="S43" s="20"/>
      <c r="T43" s="21"/>
      <c r="U43" s="22" t="str">
        <f>IFERROR(IF(IF(X43&gt;0,X43,IF(Z43&gt;0,Z43,IF(AB43&gt;0,AB43,0)))=0,"--",ROUND(CHOOSE(IF(X43&gt;0,X43,IF(Z43&gt;0,Z43,IF(AB43&gt;0,AB43,0))),IF(C43="peso_corporal",IF(ISNUMBER(E43),E43,0)+F43,F43)*(1+G43/30),IF(C43="peso_corporal",IF(ISNUMBER(E43),E43,0)+I43,I43)*(1+J43/30),IF(C43="peso_corporal",IF(ISNUMBER(E43),E43,0)+L43,L43)*(1+M43/30),IF(C43="peso_corporal",IF(ISNUMBER(E43),E43,0)+O43,O43)*(1+P43/30),IF(C43="peso_corporal",IF(ISNUMBER(E43),E43,0)+R43,R43)*(1+S43/30)),1)),"--")</f>
        <v>--</v>
      </c>
      <c r="V43" s="23" t="str">
        <f>IF(SUGERENCIAS!N121="SIN","Sin datos anteriores",IF(SUGERENCIAS!N121="SUBIR_F","^ SUBIR FUERTE | Kg:"&amp;ROUND(SUGERENCIAS!K121,1)&amp;" R:"&amp;ROUND(SUGERENCIAS!L121,0)&amp;" RIR:"&amp;ROUND(SUGERENCIAS!M121,0),IF(SUGERENCIAS!N121="SUBIR_E","^ SUBIR (Est.) | Kg:"&amp;ROUND(SUGERENCIAS!K121,1)&amp;" R:"&amp;ROUND(SUGERENCIAS!L121,0)&amp;" RIR:"&amp;ROUND(SUGERENCIAS!M121,0),IF(SUGERENCIAS!N121="SUBIR","^ SUBIR | Kg:"&amp;ROUND(SUGERENCIAS!K121,1)&amp;" R:"&amp;ROUND(SUGERENCIAS!L121,0)&amp;" RIR:"&amp;ROUND(SUGERENCIAS!M121,0),IF(SUGERENCIAS!N121="BAJAR","v BAJAR | Kg:"&amp;ROUND(SUGERENCIAS!K121,1)&amp;" R:"&amp;ROUND(SUGERENCIAS!L121,0)&amp;" RIR:"&amp;ROUND(SUGERENCIAS!M121,0),"= MANT | Kg:"&amp;ROUND(SUGERENCIAS!K121,1)&amp;" R:"&amp;ROUND(SUGERENCIAS!L121,0)&amp;" RIR:"&amp;ROUND(SUGERENCIAS!M121,0))))))</f>
        <v>Sin datos anteriores</v>
      </c>
      <c r="W43" s="69">
        <f>MAX(IF((G43&gt;0)*(IF(H43="",-1,H43)&gt;=1)*(IF(H43="",-1,H43)&lt;=3),IF(C43="peso_corporal",IF(ISNUMBER(E43),E43,0)+F43,F43)*G43*1000+F43,0),IF((J43&gt;0)*(IF(K43="",-1,K43)&gt;=1)*(IF(K43="",-1,K43)&lt;=3),IF(C43="peso_corporal",IF(ISNUMBER(E43),E43,0)+I43,I43)*J43*1000+I43,0),IF((M43&gt;0)*(IF(N43="",-1,N43)&gt;=1)*(IF(N43="",-1,N43)&lt;=3),IF(C43="peso_corporal",IF(ISNUMBER(E43),E43,0)+L43,L43)*M43*1000+L43,0),IF((P43&gt;0)*(IF(Q43="",-1,Q43)&gt;=1)*(IF(Q43="",-1,Q43)&lt;=3),IF(C43="peso_corporal",IF(ISNUMBER(E43),E43,0)+O43,O43)*P43*1000+O43,0),IF((S43&gt;0)*(IF(T43="",-1,T43)&gt;=1)*(IF(T43="",-1,T43)&lt;=3),IF(C43="peso_corporal",IF(ISNUMBER(E43),E43,0)+R43,R43)*S43*1000+R43,0))</f>
        <v>0</v>
      </c>
      <c r="X43" s="69">
        <f>IF(W43=0,0,IF(IF((S43&gt;0)*(IF(T43="",-1,T43)&gt;=1)*(IF(T43="",-1,T43)&lt;=3),IF(C43="peso_corporal",IF(ISNUMBER(E43),E43,0)+R43,R43)*S43*1000+R43,0)=W43,5,IF(IF((P43&gt;0)*(IF(Q43="",-1,Q43)&gt;=1)*(IF(Q43="",-1,Q43)&lt;=3),IF(C43="peso_corporal",IF(ISNUMBER(E43),E43,0)+O43,O43)*P43*1000+O43,0)=W43,4,IF(IF((M43&gt;0)*(IF(N43="",-1,N43)&gt;=1)*(IF(N43="",-1,N43)&lt;=3),IF(C43="peso_corporal",IF(ISNUMBER(E43),E43,0)+L43,L43)*M43*1000+L43,0)=W43,3,IF(IF((J43&gt;0)*(IF(K43="",-1,K43)&gt;=1)*(IF(K43="",-1,K43)&lt;=3),IF(C43="peso_corporal",IF(ISNUMBER(E43),E43,0)+I43,I43)*J43*1000+I43,0)=W43,2,IF(IF((G43&gt;0)*(IF(H43="",-1,H43)&gt;=1)*(IF(H43="",-1,H43)&lt;=3),IF(C43="peso_corporal",IF(ISNUMBER(E43),E43,0)+F43,F43)*G43*1000+F43,0)=W43,1,0))))))</f>
        <v>0</v>
      </c>
      <c r="Y43" s="69">
        <f>MAX(IF((G43&gt;0)*(IF(H43="",-1,H43)=0)*(1-(IF(H43="",-1,H43)&gt;=1)*(IF(H43="",-1,H43)&lt;=3)),IF(C43="peso_corporal",IF(ISNUMBER(E43),E43,0)+F43,F43)*G43*1000+F43,0),IF((J43&gt;0)*(IF(K43="",-1,K43)=0)*(1-(IF(K43="",-1,K43)&gt;=1)*(IF(K43="",-1,K43)&lt;=3)),IF(C43="peso_corporal",IF(ISNUMBER(E43),E43,0)+I43,I43)*J43*1000+I43,0),IF((M43&gt;0)*(IF(N43="",-1,N43)=0)*(1-(IF(N43="",-1,N43)&gt;=1)*(IF(N43="",-1,N43)&lt;=3)),IF(C43="peso_corporal",IF(ISNUMBER(E43),E43,0)+L43,L43)*M43*1000+L43,0),IF((P43&gt;0)*(IF(Q43="",-1,Q43)=0)*(1-(IF(Q43="",-1,Q43)&gt;=1)*(IF(Q43="",-1,Q43)&lt;=3)),IF(C43="peso_corporal",IF(ISNUMBER(E43),E43,0)+O43,O43)*P43*1000+O43,0),IF((S43&gt;0)*(IF(T43="",-1,T43)=0)*(1-(IF(T43="",-1,T43)&gt;=1)*(IF(T43="",-1,T43)&lt;=3)),IF(C43="peso_corporal",IF(ISNUMBER(E43),E43,0)+R43,R43)*S43*1000+R43,0))</f>
        <v>0</v>
      </c>
      <c r="Z43" s="69">
        <f>IF(Y43=0,0,IF(IF((S43&gt;0)*(IF(T43="",-1,T43)=0)*(1-(IF(T43="",-1,T43)&gt;=1)*(IF(T43="",-1,T43)&lt;=3)),IF(C43="peso_corporal",IF(ISNUMBER(E43),E43,0)+R43,R43)*S43*1000+R43,0)=Y43,5,IF(IF((P43&gt;0)*(IF(Q43="",-1,Q43)=0)*(1-(IF(Q43="",-1,Q43)&gt;=1)*(IF(Q43="",-1,Q43)&lt;=3)),IF(C43="peso_corporal",IF(ISNUMBER(E43),E43,0)+O43,O43)*P43*1000+O43,0)=Y43,4,IF(IF((M43&gt;0)*(IF(N43="",-1,N43)=0)*(1-(IF(N43="",-1,N43)&gt;=1)*(IF(N43="",-1,N43)&lt;=3)),IF(C43="peso_corporal",IF(ISNUMBER(E43),E43,0)+L43,L43)*M43*1000+L43,0)=Y43,3,IF(IF((J43&gt;0)*(IF(K43="",-1,K43)=0)*(1-(IF(K43="",-1,K43)&gt;=1)*(IF(K43="",-1,K43)&lt;=3)),IF(C43="peso_corporal",IF(ISNUMBER(E43),E43,0)+I43,I43)*J43*1000+I43,0)=Y43,2,IF(IF((G43&gt;0)*(IF(H43="",-1,H43)=0)*(1-(IF(H43="",-1,H43)&gt;=1)*(IF(H43="",-1,H43)&lt;=3)),IF(C43="peso_corporal",IF(ISNUMBER(E43),E43,0)+F43,F43)*G43*1000+F43,0)=Y43,1,0))))))</f>
        <v>0</v>
      </c>
      <c r="AA43" s="69">
        <f>MAX(IF((G43&gt;=6)*(1-(IF(H43="",-1,H43)&gt;=1)*(IF(H43="",-1,H43)&lt;=3))*(1-(IF(H43="",-1,H43)=0)),IF(C43="peso_corporal",IF(ISNUMBER(E43),E43,0)+F43,F43)*(30+G43)*100+F43,0),IF((J43&gt;=6)*(1-(IF(K43="",-1,K43)&gt;=1)*(IF(K43="",-1,K43)&lt;=3))*(1-(IF(K43="",-1,K43)=0)),IF(C43="peso_corporal",IF(ISNUMBER(E43),E43,0)+I43,I43)*(30+J43)*100+I43,0),IF((M43&gt;=6)*(1-(IF(N43="",-1,N43)&gt;=1)*(IF(N43="",-1,N43)&lt;=3))*(1-(IF(N43="",-1,N43)=0)),IF(C43="peso_corporal",IF(ISNUMBER(E43),E43,0)+L43,L43)*(30+M43)*100+L43,0),IF((P43&gt;=6)*(1-(IF(Q43="",-1,Q43)&gt;=1)*(IF(Q43="",-1,Q43)&lt;=3))*(1-(IF(Q43="",-1,Q43)=0)),IF(C43="peso_corporal",IF(ISNUMBER(E43),E43,0)+O43,O43)*(30+P43)*100+O43,0),IF((S43&gt;=6)*(1-(IF(T43="",-1,T43)&gt;=1)*(IF(T43="",-1,T43)&lt;=3))*(1-(IF(T43="",-1,T43)=0)),IF(C43="peso_corporal",IF(ISNUMBER(E43),E43,0)+R43,R43)*(30+S43)*100+R43,0))</f>
        <v>0</v>
      </c>
      <c r="AB43" s="69">
        <f>IF(AA43=0,0,IF(IF((S43&gt;=6)*(1-(IF(T43="",-1,T43)&gt;=1)*(IF(T43="",-1,T43)&lt;=3))*(1-(IF(T43="",-1,T43)=0)),IF(C43="peso_corporal",IF(ISNUMBER(E43),E43,0)+R43,R43)*(30+S43)*100+R43,0)=AA43,5,IF(IF((P43&gt;=6)*(1-(IF(Q43="",-1,Q43)&gt;=1)*(IF(Q43="",-1,Q43)&lt;=3))*(1-(IF(Q43="",-1,Q43)=0)),IF(C43="peso_corporal",IF(ISNUMBER(E43),E43,0)+O43,O43)*(30+P43)*100+O43,0)=AA43,4,IF(IF((M43&gt;=6)*(1-(IF(N43="",-1,N43)&gt;=1)*(IF(N43="",-1,N43)&lt;=3))*(1-(IF(N43="",-1,N43)=0)),IF(C43="peso_corporal",IF(ISNUMBER(E43),E43,0)+L43,L43)*(30+M43)*100+L43,0)=AA43,3,IF(IF((J43&gt;=6)*(1-(IF(K43="",-1,K43)&gt;=1)*(IF(K43="",-1,K43)&lt;=3))*(1-(IF(K43="",-1,K43)=0)),IF(C43="peso_corporal",IF(ISNUMBER(E43),E43,0)+I43,I43)*(30+J43)*100+I43,0)=AA43,2,IF(IF((G43&gt;=6)*(1-(IF(H43="",-1,H43)&gt;=1)*(IF(H43="",-1,H43)&lt;=3))*(1-(IF(H43="",-1,H43)=0)),IF(C43="peso_corporal",IF(ISNUMBER(E43),E43,0)+F43,F43)*(30+G43)*100+F43,0)=AA43,1,0))))))</f>
        <v>0</v>
      </c>
      <c r="AC43" s="69" t="str">
        <f>IF(X43&gt;0,"A"&amp;X43,IF(Z43&gt;0,"B"&amp;Z43,IF(AB43&gt;0,"C"&amp;AB43,"")))</f>
        <v/>
      </c>
    </row>
    <row r="44" spans="1:29" ht="20.100000000000001" customHeight="1">
      <c r="A44" s="14" t="s">
        <v>116</v>
      </c>
      <c r="B44" s="15" t="s">
        <v>114</v>
      </c>
      <c r="C44" s="16" t="str">
        <f>IFERROR(INDEX(EJERCICIOS!$D$3:$D$75,MATCH(A44&amp;"|"&amp;B44,EJERCICIOS!$G$3:$G$75,0)),"--")</f>
        <v>polea</v>
      </c>
      <c r="D44" s="17">
        <v>3</v>
      </c>
      <c r="E44" s="18">
        <f>IFERROR(LOOKUP(2,1/(MEDIDAS_Y_PESO!$B$3:$B$4&lt;&gt;""),MEDIDAS_Y_PESO!$B$3:$B$4),"--")</f>
        <v>80</v>
      </c>
      <c r="F44" s="19"/>
      <c r="G44" s="20"/>
      <c r="H44" s="21"/>
      <c r="I44" s="19"/>
      <c r="J44" s="20"/>
      <c r="K44" s="21"/>
      <c r="L44" s="19"/>
      <c r="M44" s="20"/>
      <c r="N44" s="21"/>
      <c r="O44" s="19"/>
      <c r="P44" s="20"/>
      <c r="Q44" s="21"/>
      <c r="R44" s="19"/>
      <c r="S44" s="20"/>
      <c r="T44" s="21"/>
      <c r="U44" s="22" t="str">
        <f>IFERROR(IF(IF(X44&gt;0,X44,IF(Z44&gt;0,Z44,IF(AB44&gt;0,AB44,0)))=0,"--",ROUND(CHOOSE(IF(X44&gt;0,X44,IF(Z44&gt;0,Z44,IF(AB44&gt;0,AB44,0))),IF(C44="peso_corporal",IF(ISNUMBER(E44),E44,0)+F44,F44)*(1+G44/30),IF(C44="peso_corporal",IF(ISNUMBER(E44),E44,0)+I44,I44)*(1+J44/30),IF(C44="peso_corporal",IF(ISNUMBER(E44),E44,0)+L44,L44)*(1+M44/30),IF(C44="peso_corporal",IF(ISNUMBER(E44),E44,0)+O44,O44)*(1+P44/30),IF(C44="peso_corporal",IF(ISNUMBER(E44),E44,0)+R44,R44)*(1+S44/30)),1)),"--")</f>
        <v>--</v>
      </c>
      <c r="V44" s="23" t="str">
        <f>IF(SUGERENCIAS!N122="SIN","Sin datos anteriores",IF(SUGERENCIAS!N122="SUBIR_F","^ SUBIR FUERTE | Kg:"&amp;ROUND(SUGERENCIAS!K122,1)&amp;" R:"&amp;ROUND(SUGERENCIAS!L122,0)&amp;" RIR:"&amp;ROUND(SUGERENCIAS!M122,0),IF(SUGERENCIAS!N122="SUBIR_E","^ SUBIR (Est.) | Kg:"&amp;ROUND(SUGERENCIAS!K122,1)&amp;" R:"&amp;ROUND(SUGERENCIAS!L122,0)&amp;" RIR:"&amp;ROUND(SUGERENCIAS!M122,0),IF(SUGERENCIAS!N122="SUBIR","^ SUBIR | Kg:"&amp;ROUND(SUGERENCIAS!K122,1)&amp;" R:"&amp;ROUND(SUGERENCIAS!L122,0)&amp;" RIR:"&amp;ROUND(SUGERENCIAS!M122,0),IF(SUGERENCIAS!N122="BAJAR","v BAJAR | Kg:"&amp;ROUND(SUGERENCIAS!K122,1)&amp;" R:"&amp;ROUND(SUGERENCIAS!L122,0)&amp;" RIR:"&amp;ROUND(SUGERENCIAS!M122,0),"= MANT | Kg:"&amp;ROUND(SUGERENCIAS!K122,1)&amp;" R:"&amp;ROUND(SUGERENCIAS!L122,0)&amp;" RIR:"&amp;ROUND(SUGERENCIAS!M122,0))))))</f>
        <v>Sin datos anteriores</v>
      </c>
      <c r="W44" s="69">
        <f>MAX(IF((G44&gt;0)*(IF(H44="",-1,H44)&gt;=1)*(IF(H44="",-1,H44)&lt;=3),IF(C44="peso_corporal",IF(ISNUMBER(E44),E44,0)+F44,F44)*G44*1000+F44,0),IF((J44&gt;0)*(IF(K44="",-1,K44)&gt;=1)*(IF(K44="",-1,K44)&lt;=3),IF(C44="peso_corporal",IF(ISNUMBER(E44),E44,0)+I44,I44)*J44*1000+I44,0),IF((M44&gt;0)*(IF(N44="",-1,N44)&gt;=1)*(IF(N44="",-1,N44)&lt;=3),IF(C44="peso_corporal",IF(ISNUMBER(E44),E44,0)+L44,L44)*M44*1000+L44,0),IF((P44&gt;0)*(IF(Q44="",-1,Q44)&gt;=1)*(IF(Q44="",-1,Q44)&lt;=3),IF(C44="peso_corporal",IF(ISNUMBER(E44),E44,0)+O44,O44)*P44*1000+O44,0),IF((S44&gt;0)*(IF(T44="",-1,T44)&gt;=1)*(IF(T44="",-1,T44)&lt;=3),IF(C44="peso_corporal",IF(ISNUMBER(E44),E44,0)+R44,R44)*S44*1000+R44,0))</f>
        <v>0</v>
      </c>
      <c r="X44" s="69">
        <f>IF(W44=0,0,IF(IF((S44&gt;0)*(IF(T44="",-1,T44)&gt;=1)*(IF(T44="",-1,T44)&lt;=3),IF(C44="peso_corporal",IF(ISNUMBER(E44),E44,0)+R44,R44)*S44*1000+R44,0)=W44,5,IF(IF((P44&gt;0)*(IF(Q44="",-1,Q44)&gt;=1)*(IF(Q44="",-1,Q44)&lt;=3),IF(C44="peso_corporal",IF(ISNUMBER(E44),E44,0)+O44,O44)*P44*1000+O44,0)=W44,4,IF(IF((M44&gt;0)*(IF(N44="",-1,N44)&gt;=1)*(IF(N44="",-1,N44)&lt;=3),IF(C44="peso_corporal",IF(ISNUMBER(E44),E44,0)+L44,L44)*M44*1000+L44,0)=W44,3,IF(IF((J44&gt;0)*(IF(K44="",-1,K44)&gt;=1)*(IF(K44="",-1,K44)&lt;=3),IF(C44="peso_corporal",IF(ISNUMBER(E44),E44,0)+I44,I44)*J44*1000+I44,0)=W44,2,IF(IF((G44&gt;0)*(IF(H44="",-1,H44)&gt;=1)*(IF(H44="",-1,H44)&lt;=3),IF(C44="peso_corporal",IF(ISNUMBER(E44),E44,0)+F44,F44)*G44*1000+F44,0)=W44,1,0))))))</f>
        <v>0</v>
      </c>
      <c r="Y44" s="69">
        <f>MAX(IF((G44&gt;0)*(IF(H44="",-1,H44)=0)*(1-(IF(H44="",-1,H44)&gt;=1)*(IF(H44="",-1,H44)&lt;=3)),IF(C44="peso_corporal",IF(ISNUMBER(E44),E44,0)+F44,F44)*G44*1000+F44,0),IF((J44&gt;0)*(IF(K44="",-1,K44)=0)*(1-(IF(K44="",-1,K44)&gt;=1)*(IF(K44="",-1,K44)&lt;=3)),IF(C44="peso_corporal",IF(ISNUMBER(E44),E44,0)+I44,I44)*J44*1000+I44,0),IF((M44&gt;0)*(IF(N44="",-1,N44)=0)*(1-(IF(N44="",-1,N44)&gt;=1)*(IF(N44="",-1,N44)&lt;=3)),IF(C44="peso_corporal",IF(ISNUMBER(E44),E44,0)+L44,L44)*M44*1000+L44,0),IF((P44&gt;0)*(IF(Q44="",-1,Q44)=0)*(1-(IF(Q44="",-1,Q44)&gt;=1)*(IF(Q44="",-1,Q44)&lt;=3)),IF(C44="peso_corporal",IF(ISNUMBER(E44),E44,0)+O44,O44)*P44*1000+O44,0),IF((S44&gt;0)*(IF(T44="",-1,T44)=0)*(1-(IF(T44="",-1,T44)&gt;=1)*(IF(T44="",-1,T44)&lt;=3)),IF(C44="peso_corporal",IF(ISNUMBER(E44),E44,0)+R44,R44)*S44*1000+R44,0))</f>
        <v>0</v>
      </c>
      <c r="Z44" s="69">
        <f>IF(Y44=0,0,IF(IF((S44&gt;0)*(IF(T44="",-1,T44)=0)*(1-(IF(T44="",-1,T44)&gt;=1)*(IF(T44="",-1,T44)&lt;=3)),IF(C44="peso_corporal",IF(ISNUMBER(E44),E44,0)+R44,R44)*S44*1000+R44,0)=Y44,5,IF(IF((P44&gt;0)*(IF(Q44="",-1,Q44)=0)*(1-(IF(Q44="",-1,Q44)&gt;=1)*(IF(Q44="",-1,Q44)&lt;=3)),IF(C44="peso_corporal",IF(ISNUMBER(E44),E44,0)+O44,O44)*P44*1000+O44,0)=Y44,4,IF(IF((M44&gt;0)*(IF(N44="",-1,N44)=0)*(1-(IF(N44="",-1,N44)&gt;=1)*(IF(N44="",-1,N44)&lt;=3)),IF(C44="peso_corporal",IF(ISNUMBER(E44),E44,0)+L44,L44)*M44*1000+L44,0)=Y44,3,IF(IF((J44&gt;0)*(IF(K44="",-1,K44)=0)*(1-(IF(K44="",-1,K44)&gt;=1)*(IF(K44="",-1,K44)&lt;=3)),IF(C44="peso_corporal",IF(ISNUMBER(E44),E44,0)+I44,I44)*J44*1000+I44,0)=Y44,2,IF(IF((G44&gt;0)*(IF(H44="",-1,H44)=0)*(1-(IF(H44="",-1,H44)&gt;=1)*(IF(H44="",-1,H44)&lt;=3)),IF(C44="peso_corporal",IF(ISNUMBER(E44),E44,0)+F44,F44)*G44*1000+F44,0)=Y44,1,0))))))</f>
        <v>0</v>
      </c>
      <c r="AA44" s="69">
        <f>MAX(IF((G44&gt;=6)*(1-(IF(H44="",-1,H44)&gt;=1)*(IF(H44="",-1,H44)&lt;=3))*(1-(IF(H44="",-1,H44)=0)),IF(C44="peso_corporal",IF(ISNUMBER(E44),E44,0)+F44,F44)*(30+G44)*100+F44,0),IF((J44&gt;=6)*(1-(IF(K44="",-1,K44)&gt;=1)*(IF(K44="",-1,K44)&lt;=3))*(1-(IF(K44="",-1,K44)=0)),IF(C44="peso_corporal",IF(ISNUMBER(E44),E44,0)+I44,I44)*(30+J44)*100+I44,0),IF((M44&gt;=6)*(1-(IF(N44="",-1,N44)&gt;=1)*(IF(N44="",-1,N44)&lt;=3))*(1-(IF(N44="",-1,N44)=0)),IF(C44="peso_corporal",IF(ISNUMBER(E44),E44,0)+L44,L44)*(30+M44)*100+L44,0),IF((P44&gt;=6)*(1-(IF(Q44="",-1,Q44)&gt;=1)*(IF(Q44="",-1,Q44)&lt;=3))*(1-(IF(Q44="",-1,Q44)=0)),IF(C44="peso_corporal",IF(ISNUMBER(E44),E44,0)+O44,O44)*(30+P44)*100+O44,0),IF((S44&gt;=6)*(1-(IF(T44="",-1,T44)&gt;=1)*(IF(T44="",-1,T44)&lt;=3))*(1-(IF(T44="",-1,T44)=0)),IF(C44="peso_corporal",IF(ISNUMBER(E44),E44,0)+R44,R44)*(30+S44)*100+R44,0))</f>
        <v>0</v>
      </c>
      <c r="AB44" s="69">
        <f>IF(AA44=0,0,IF(IF((S44&gt;=6)*(1-(IF(T44="",-1,T44)&gt;=1)*(IF(T44="",-1,T44)&lt;=3))*(1-(IF(T44="",-1,T44)=0)),IF(C44="peso_corporal",IF(ISNUMBER(E44),E44,0)+R44,R44)*(30+S44)*100+R44,0)=AA44,5,IF(IF((P44&gt;=6)*(1-(IF(Q44="",-1,Q44)&gt;=1)*(IF(Q44="",-1,Q44)&lt;=3))*(1-(IF(Q44="",-1,Q44)=0)),IF(C44="peso_corporal",IF(ISNUMBER(E44),E44,0)+O44,O44)*(30+P44)*100+O44,0)=AA44,4,IF(IF((M44&gt;=6)*(1-(IF(N44="",-1,N44)&gt;=1)*(IF(N44="",-1,N44)&lt;=3))*(1-(IF(N44="",-1,N44)=0)),IF(C44="peso_corporal",IF(ISNUMBER(E44),E44,0)+L44,L44)*(30+M44)*100+L44,0)=AA44,3,IF(IF((J44&gt;=6)*(1-(IF(K44="",-1,K44)&gt;=1)*(IF(K44="",-1,K44)&lt;=3))*(1-(IF(K44="",-1,K44)=0)),IF(C44="peso_corporal",IF(ISNUMBER(E44),E44,0)+I44,I44)*(30+J44)*100+I44,0)=AA44,2,IF(IF((G44&gt;=6)*(1-(IF(H44="",-1,H44)&gt;=1)*(IF(H44="",-1,H44)&lt;=3))*(1-(IF(H44="",-1,H44)=0)),IF(C44="peso_corporal",IF(ISNUMBER(E44),E44,0)+F44,F44)*(30+G44)*100+F44,0)=AA44,1,0))))))</f>
        <v>0</v>
      </c>
      <c r="AC44" s="69" t="str">
        <f>IF(X44&gt;0,"A"&amp;X44,IF(Z44&gt;0,"B"&amp;Z44,IF(AB44&gt;0,"C"&amp;AB44,"")))</f>
        <v/>
      </c>
    </row>
    <row r="45" spans="1:29" ht="15" customHeight="1">
      <c r="A45" s="83" t="s">
        <v>99</v>
      </c>
      <c r="B45" s="73"/>
      <c r="C45" s="73"/>
      <c r="D45" s="73"/>
      <c r="E45" s="73"/>
      <c r="F45" s="73"/>
      <c r="G45" s="73"/>
      <c r="H45" s="73"/>
      <c r="I45" s="73"/>
      <c r="J45" s="73"/>
      <c r="K45" s="73"/>
      <c r="L45" s="73"/>
      <c r="M45" s="73"/>
      <c r="N45" s="73"/>
      <c r="O45" s="73"/>
      <c r="P45" s="73"/>
      <c r="Q45" s="73"/>
      <c r="R45" s="73"/>
      <c r="S45" s="73"/>
      <c r="T45" s="73"/>
      <c r="U45" s="73"/>
      <c r="V45" s="73"/>
      <c r="W45" s="69"/>
      <c r="X45" s="69"/>
      <c r="Y45" s="69"/>
      <c r="Z45" s="69"/>
      <c r="AA45" s="69"/>
      <c r="AB45" s="69"/>
      <c r="AC45" s="69"/>
    </row>
    <row r="46" spans="1:29" ht="20.100000000000001" customHeight="1">
      <c r="A46" s="14" t="s">
        <v>100</v>
      </c>
      <c r="B46" s="15" t="s">
        <v>101</v>
      </c>
      <c r="C46" s="16" t="str">
        <f>IFERROR(INDEX(EJERCICIOS!$D$3:$D$75,MATCH(A46&amp;"|"&amp;B46,EJERCICIOS!$G$3:$G$75,0)),"--")</f>
        <v>mancuerna</v>
      </c>
      <c r="D46" s="17">
        <v>3</v>
      </c>
      <c r="E46" s="18">
        <f>IFERROR(LOOKUP(2,1/(MEDIDAS_Y_PESO!$B$3:$B$4&lt;&gt;""),MEDIDAS_Y_PESO!$B$3:$B$4),"--")</f>
        <v>80</v>
      </c>
      <c r="F46" s="19"/>
      <c r="G46" s="20"/>
      <c r="H46" s="21"/>
      <c r="I46" s="19"/>
      <c r="J46" s="20"/>
      <c r="K46" s="21"/>
      <c r="L46" s="19"/>
      <c r="M46" s="20"/>
      <c r="N46" s="21"/>
      <c r="O46" s="19"/>
      <c r="P46" s="20"/>
      <c r="Q46" s="21"/>
      <c r="R46" s="19"/>
      <c r="S46" s="20"/>
      <c r="T46" s="21"/>
      <c r="U46" s="22" t="str">
        <f>IFERROR(IF(IF(X46&gt;0,X46,IF(Z46&gt;0,Z46,IF(AB46&gt;0,AB46,0)))=0,"--",ROUND(CHOOSE(IF(X46&gt;0,X46,IF(Z46&gt;0,Z46,IF(AB46&gt;0,AB46,0))),IF(C46="peso_corporal",IF(ISNUMBER(E46),E46,0)+F46,F46)*(1+G46/30),IF(C46="peso_corporal",IF(ISNUMBER(E46),E46,0)+I46,I46)*(1+J46/30),IF(C46="peso_corporal",IF(ISNUMBER(E46),E46,0)+L46,L46)*(1+M46/30),IF(C46="peso_corporal",IF(ISNUMBER(E46),E46,0)+O46,O46)*(1+P46/30),IF(C46="peso_corporal",IF(ISNUMBER(E46),E46,0)+R46,R46)*(1+S46/30)),1)),"--")</f>
        <v>--</v>
      </c>
      <c r="V46" s="23" t="str">
        <f>IF(SUGERENCIAS!N123="SIN","Sin datos anteriores",IF(SUGERENCIAS!N123="SUBIR_F","^ SUBIR FUERTE | Kg:"&amp;ROUND(SUGERENCIAS!K123,1)&amp;" R:"&amp;ROUND(SUGERENCIAS!L123,0)&amp;" RIR:"&amp;ROUND(SUGERENCIAS!M123,0),IF(SUGERENCIAS!N123="SUBIR_E","^ SUBIR (Est.) | Kg:"&amp;ROUND(SUGERENCIAS!K123,1)&amp;" R:"&amp;ROUND(SUGERENCIAS!L123,0)&amp;" RIR:"&amp;ROUND(SUGERENCIAS!M123,0),IF(SUGERENCIAS!N123="SUBIR","^ SUBIR | Kg:"&amp;ROUND(SUGERENCIAS!K123,1)&amp;" R:"&amp;ROUND(SUGERENCIAS!L123,0)&amp;" RIR:"&amp;ROUND(SUGERENCIAS!M123,0),IF(SUGERENCIAS!N123="BAJAR","v BAJAR | Kg:"&amp;ROUND(SUGERENCIAS!K123,1)&amp;" R:"&amp;ROUND(SUGERENCIAS!L123,0)&amp;" RIR:"&amp;ROUND(SUGERENCIAS!M123,0),"= MANT | Kg:"&amp;ROUND(SUGERENCIAS!K123,1)&amp;" R:"&amp;ROUND(SUGERENCIAS!L123,0)&amp;" RIR:"&amp;ROUND(SUGERENCIAS!M123,0))))))</f>
        <v>Sin datos anteriores</v>
      </c>
      <c r="W46" s="69">
        <f>MAX(IF((G46&gt;0)*(IF(H46="",-1,H46)&gt;=1)*(IF(H46="",-1,H46)&lt;=3),IF(C46="peso_corporal",IF(ISNUMBER(E46),E46,0)+F46,F46)*G46*1000+F46,0),IF((J46&gt;0)*(IF(K46="",-1,K46)&gt;=1)*(IF(K46="",-1,K46)&lt;=3),IF(C46="peso_corporal",IF(ISNUMBER(E46),E46,0)+I46,I46)*J46*1000+I46,0),IF((M46&gt;0)*(IF(N46="",-1,N46)&gt;=1)*(IF(N46="",-1,N46)&lt;=3),IF(C46="peso_corporal",IF(ISNUMBER(E46),E46,0)+L46,L46)*M46*1000+L46,0),IF((P46&gt;0)*(IF(Q46="",-1,Q46)&gt;=1)*(IF(Q46="",-1,Q46)&lt;=3),IF(C46="peso_corporal",IF(ISNUMBER(E46),E46,0)+O46,O46)*P46*1000+O46,0),IF((S46&gt;0)*(IF(T46="",-1,T46)&gt;=1)*(IF(T46="",-1,T46)&lt;=3),IF(C46="peso_corporal",IF(ISNUMBER(E46),E46,0)+R46,R46)*S46*1000+R46,0))</f>
        <v>0</v>
      </c>
      <c r="X46" s="69">
        <f>IF(W46=0,0,IF(IF((S46&gt;0)*(IF(T46="",-1,T46)&gt;=1)*(IF(T46="",-1,T46)&lt;=3),IF(C46="peso_corporal",IF(ISNUMBER(E46),E46,0)+R46,R46)*S46*1000+R46,0)=W46,5,IF(IF((P46&gt;0)*(IF(Q46="",-1,Q46)&gt;=1)*(IF(Q46="",-1,Q46)&lt;=3),IF(C46="peso_corporal",IF(ISNUMBER(E46),E46,0)+O46,O46)*P46*1000+O46,0)=W46,4,IF(IF((M46&gt;0)*(IF(N46="",-1,N46)&gt;=1)*(IF(N46="",-1,N46)&lt;=3),IF(C46="peso_corporal",IF(ISNUMBER(E46),E46,0)+L46,L46)*M46*1000+L46,0)=W46,3,IF(IF((J46&gt;0)*(IF(K46="",-1,K46)&gt;=1)*(IF(K46="",-1,K46)&lt;=3),IF(C46="peso_corporal",IF(ISNUMBER(E46),E46,0)+I46,I46)*J46*1000+I46,0)=W46,2,IF(IF((G46&gt;0)*(IF(H46="",-1,H46)&gt;=1)*(IF(H46="",-1,H46)&lt;=3),IF(C46="peso_corporal",IF(ISNUMBER(E46),E46,0)+F46,F46)*G46*1000+F46,0)=W46,1,0))))))</f>
        <v>0</v>
      </c>
      <c r="Y46" s="69">
        <f>MAX(IF((G46&gt;0)*(IF(H46="",-1,H46)=0)*(1-(IF(H46="",-1,H46)&gt;=1)*(IF(H46="",-1,H46)&lt;=3)),IF(C46="peso_corporal",IF(ISNUMBER(E46),E46,0)+F46,F46)*G46*1000+F46,0),IF((J46&gt;0)*(IF(K46="",-1,K46)=0)*(1-(IF(K46="",-1,K46)&gt;=1)*(IF(K46="",-1,K46)&lt;=3)),IF(C46="peso_corporal",IF(ISNUMBER(E46),E46,0)+I46,I46)*J46*1000+I46,0),IF((M46&gt;0)*(IF(N46="",-1,N46)=0)*(1-(IF(N46="",-1,N46)&gt;=1)*(IF(N46="",-1,N46)&lt;=3)),IF(C46="peso_corporal",IF(ISNUMBER(E46),E46,0)+L46,L46)*M46*1000+L46,0),IF((P46&gt;0)*(IF(Q46="",-1,Q46)=0)*(1-(IF(Q46="",-1,Q46)&gt;=1)*(IF(Q46="",-1,Q46)&lt;=3)),IF(C46="peso_corporal",IF(ISNUMBER(E46),E46,0)+O46,O46)*P46*1000+O46,0),IF((S46&gt;0)*(IF(T46="",-1,T46)=0)*(1-(IF(T46="",-1,T46)&gt;=1)*(IF(T46="",-1,T46)&lt;=3)),IF(C46="peso_corporal",IF(ISNUMBER(E46),E46,0)+R46,R46)*S46*1000+R46,0))</f>
        <v>0</v>
      </c>
      <c r="Z46" s="69">
        <f>IF(Y46=0,0,IF(IF((S46&gt;0)*(IF(T46="",-1,T46)=0)*(1-(IF(T46="",-1,T46)&gt;=1)*(IF(T46="",-1,T46)&lt;=3)),IF(C46="peso_corporal",IF(ISNUMBER(E46),E46,0)+R46,R46)*S46*1000+R46,0)=Y46,5,IF(IF((P46&gt;0)*(IF(Q46="",-1,Q46)=0)*(1-(IF(Q46="",-1,Q46)&gt;=1)*(IF(Q46="",-1,Q46)&lt;=3)),IF(C46="peso_corporal",IF(ISNUMBER(E46),E46,0)+O46,O46)*P46*1000+O46,0)=Y46,4,IF(IF((M46&gt;0)*(IF(N46="",-1,N46)=0)*(1-(IF(N46="",-1,N46)&gt;=1)*(IF(N46="",-1,N46)&lt;=3)),IF(C46="peso_corporal",IF(ISNUMBER(E46),E46,0)+L46,L46)*M46*1000+L46,0)=Y46,3,IF(IF((J46&gt;0)*(IF(K46="",-1,K46)=0)*(1-(IF(K46="",-1,K46)&gt;=1)*(IF(K46="",-1,K46)&lt;=3)),IF(C46="peso_corporal",IF(ISNUMBER(E46),E46,0)+I46,I46)*J46*1000+I46,0)=Y46,2,IF(IF((G46&gt;0)*(IF(H46="",-1,H46)=0)*(1-(IF(H46="",-1,H46)&gt;=1)*(IF(H46="",-1,H46)&lt;=3)),IF(C46="peso_corporal",IF(ISNUMBER(E46),E46,0)+F46,F46)*G46*1000+F46,0)=Y46,1,0))))))</f>
        <v>0</v>
      </c>
      <c r="AA46" s="69">
        <f>MAX(IF((G46&gt;=6)*(1-(IF(H46="",-1,H46)&gt;=1)*(IF(H46="",-1,H46)&lt;=3))*(1-(IF(H46="",-1,H46)=0)),IF(C46="peso_corporal",IF(ISNUMBER(E46),E46,0)+F46,F46)*(30+G46)*100+F46,0),IF((J46&gt;=6)*(1-(IF(K46="",-1,K46)&gt;=1)*(IF(K46="",-1,K46)&lt;=3))*(1-(IF(K46="",-1,K46)=0)),IF(C46="peso_corporal",IF(ISNUMBER(E46),E46,0)+I46,I46)*(30+J46)*100+I46,0),IF((M46&gt;=6)*(1-(IF(N46="",-1,N46)&gt;=1)*(IF(N46="",-1,N46)&lt;=3))*(1-(IF(N46="",-1,N46)=0)),IF(C46="peso_corporal",IF(ISNUMBER(E46),E46,0)+L46,L46)*(30+M46)*100+L46,0),IF((P46&gt;=6)*(1-(IF(Q46="",-1,Q46)&gt;=1)*(IF(Q46="",-1,Q46)&lt;=3))*(1-(IF(Q46="",-1,Q46)=0)),IF(C46="peso_corporal",IF(ISNUMBER(E46),E46,0)+O46,O46)*(30+P46)*100+O46,0),IF((S46&gt;=6)*(1-(IF(T46="",-1,T46)&gt;=1)*(IF(T46="",-1,T46)&lt;=3))*(1-(IF(T46="",-1,T46)=0)),IF(C46="peso_corporal",IF(ISNUMBER(E46),E46,0)+R46,R46)*(30+S46)*100+R46,0))</f>
        <v>0</v>
      </c>
      <c r="AB46" s="69">
        <f>IF(AA46=0,0,IF(IF((S46&gt;=6)*(1-(IF(T46="",-1,T46)&gt;=1)*(IF(T46="",-1,T46)&lt;=3))*(1-(IF(T46="",-1,T46)=0)),IF(C46="peso_corporal",IF(ISNUMBER(E46),E46,0)+R46,R46)*(30+S46)*100+R46,0)=AA46,5,IF(IF((P46&gt;=6)*(1-(IF(Q46="",-1,Q46)&gt;=1)*(IF(Q46="",-1,Q46)&lt;=3))*(1-(IF(Q46="",-1,Q46)=0)),IF(C46="peso_corporal",IF(ISNUMBER(E46),E46,0)+O46,O46)*(30+P46)*100+O46,0)=AA46,4,IF(IF((M46&gt;=6)*(1-(IF(N46="",-1,N46)&gt;=1)*(IF(N46="",-1,N46)&lt;=3))*(1-(IF(N46="",-1,N46)=0)),IF(C46="peso_corporal",IF(ISNUMBER(E46),E46,0)+L46,L46)*(30+M46)*100+L46,0)=AA46,3,IF(IF((J46&gt;=6)*(1-(IF(K46="",-1,K46)&gt;=1)*(IF(K46="",-1,K46)&lt;=3))*(1-(IF(K46="",-1,K46)=0)),IF(C46="peso_corporal",IF(ISNUMBER(E46),E46,0)+I46,I46)*(30+J46)*100+I46,0)=AA46,2,IF(IF((G46&gt;=6)*(1-(IF(H46="",-1,H46)&gt;=1)*(IF(H46="",-1,H46)&lt;=3))*(1-(IF(H46="",-1,H46)=0)),IF(C46="peso_corporal",IF(ISNUMBER(E46),E46,0)+F46,F46)*(30+G46)*100+F46,0)=AA46,1,0))))))</f>
        <v>0</v>
      </c>
      <c r="AC46" s="69" t="str">
        <f>IF(X46&gt;0,"A"&amp;X46,IF(Z46&gt;0,"B"&amp;Z46,IF(AB46&gt;0,"C"&amp;AB46,"")))</f>
        <v/>
      </c>
    </row>
    <row r="47" spans="1:29" ht="20.100000000000001" customHeight="1">
      <c r="A47" s="14" t="s">
        <v>100</v>
      </c>
      <c r="B47" s="15" t="s">
        <v>102</v>
      </c>
      <c r="C47" s="16" t="str">
        <f>IFERROR(INDEX(EJERCICIOS!$D$3:$D$75,MATCH(A47&amp;"|"&amp;B47,EJERCICIOS!$G$3:$G$75,0)),"--")</f>
        <v>mancuerna</v>
      </c>
      <c r="D47" s="17">
        <v>3</v>
      </c>
      <c r="E47" s="18">
        <f>IFERROR(LOOKUP(2,1/(MEDIDAS_Y_PESO!$B$3:$B$4&lt;&gt;""),MEDIDAS_Y_PESO!$B$3:$B$4),"--")</f>
        <v>80</v>
      </c>
      <c r="F47" s="19"/>
      <c r="G47" s="20"/>
      <c r="H47" s="21"/>
      <c r="I47" s="19"/>
      <c r="J47" s="20"/>
      <c r="K47" s="21"/>
      <c r="L47" s="19"/>
      <c r="M47" s="20"/>
      <c r="N47" s="21"/>
      <c r="O47" s="19"/>
      <c r="P47" s="20"/>
      <c r="Q47" s="21"/>
      <c r="R47" s="19"/>
      <c r="S47" s="20"/>
      <c r="T47" s="21"/>
      <c r="U47" s="22" t="str">
        <f>IFERROR(IF(IF(X47&gt;0,X47,IF(Z47&gt;0,Z47,IF(AB47&gt;0,AB47,0)))=0,"--",ROUND(CHOOSE(IF(X47&gt;0,X47,IF(Z47&gt;0,Z47,IF(AB47&gt;0,AB47,0))),IF(C47="peso_corporal",IF(ISNUMBER(E47),E47,0)+F47,F47)*(1+G47/30),IF(C47="peso_corporal",IF(ISNUMBER(E47),E47,0)+I47,I47)*(1+J47/30),IF(C47="peso_corporal",IF(ISNUMBER(E47),E47,0)+L47,L47)*(1+M47/30),IF(C47="peso_corporal",IF(ISNUMBER(E47),E47,0)+O47,O47)*(1+P47/30),IF(C47="peso_corporal",IF(ISNUMBER(E47),E47,0)+R47,R47)*(1+S47/30)),1)),"--")</f>
        <v>--</v>
      </c>
      <c r="V47" s="23" t="str">
        <f>IF(SUGERENCIAS!N124="SIN","Sin datos anteriores",IF(SUGERENCIAS!N124="SUBIR_F","^ SUBIR FUERTE | Kg:"&amp;ROUND(SUGERENCIAS!K124,1)&amp;" R:"&amp;ROUND(SUGERENCIAS!L124,0)&amp;" RIR:"&amp;ROUND(SUGERENCIAS!M124,0),IF(SUGERENCIAS!N124="SUBIR_E","^ SUBIR (Est.) | Kg:"&amp;ROUND(SUGERENCIAS!K124,1)&amp;" R:"&amp;ROUND(SUGERENCIAS!L124,0)&amp;" RIR:"&amp;ROUND(SUGERENCIAS!M124,0),IF(SUGERENCIAS!N124="SUBIR","^ SUBIR | Kg:"&amp;ROUND(SUGERENCIAS!K124,1)&amp;" R:"&amp;ROUND(SUGERENCIAS!L124,0)&amp;" RIR:"&amp;ROUND(SUGERENCIAS!M124,0),IF(SUGERENCIAS!N124="BAJAR","v BAJAR | Kg:"&amp;ROUND(SUGERENCIAS!K124,1)&amp;" R:"&amp;ROUND(SUGERENCIAS!L124,0)&amp;" RIR:"&amp;ROUND(SUGERENCIAS!M124,0),"= MANT | Kg:"&amp;ROUND(SUGERENCIAS!K124,1)&amp;" R:"&amp;ROUND(SUGERENCIAS!L124,0)&amp;" RIR:"&amp;ROUND(SUGERENCIAS!M124,0))))))</f>
        <v>Sin datos anteriores</v>
      </c>
      <c r="W47" s="69">
        <f>MAX(IF((G47&gt;0)*(IF(H47="",-1,H47)&gt;=1)*(IF(H47="",-1,H47)&lt;=3),IF(C47="peso_corporal",IF(ISNUMBER(E47),E47,0)+F47,F47)*G47*1000+F47,0),IF((J47&gt;0)*(IF(K47="",-1,K47)&gt;=1)*(IF(K47="",-1,K47)&lt;=3),IF(C47="peso_corporal",IF(ISNUMBER(E47),E47,0)+I47,I47)*J47*1000+I47,0),IF((M47&gt;0)*(IF(N47="",-1,N47)&gt;=1)*(IF(N47="",-1,N47)&lt;=3),IF(C47="peso_corporal",IF(ISNUMBER(E47),E47,0)+L47,L47)*M47*1000+L47,0),IF((P47&gt;0)*(IF(Q47="",-1,Q47)&gt;=1)*(IF(Q47="",-1,Q47)&lt;=3),IF(C47="peso_corporal",IF(ISNUMBER(E47),E47,0)+O47,O47)*P47*1000+O47,0),IF((S47&gt;0)*(IF(T47="",-1,T47)&gt;=1)*(IF(T47="",-1,T47)&lt;=3),IF(C47="peso_corporal",IF(ISNUMBER(E47),E47,0)+R47,R47)*S47*1000+R47,0))</f>
        <v>0</v>
      </c>
      <c r="X47" s="69">
        <f>IF(W47=0,0,IF(IF((S47&gt;0)*(IF(T47="",-1,T47)&gt;=1)*(IF(T47="",-1,T47)&lt;=3),IF(C47="peso_corporal",IF(ISNUMBER(E47),E47,0)+R47,R47)*S47*1000+R47,0)=W47,5,IF(IF((P47&gt;0)*(IF(Q47="",-1,Q47)&gt;=1)*(IF(Q47="",-1,Q47)&lt;=3),IF(C47="peso_corporal",IF(ISNUMBER(E47),E47,0)+O47,O47)*P47*1000+O47,0)=W47,4,IF(IF((M47&gt;0)*(IF(N47="",-1,N47)&gt;=1)*(IF(N47="",-1,N47)&lt;=3),IF(C47="peso_corporal",IF(ISNUMBER(E47),E47,0)+L47,L47)*M47*1000+L47,0)=W47,3,IF(IF((J47&gt;0)*(IF(K47="",-1,K47)&gt;=1)*(IF(K47="",-1,K47)&lt;=3),IF(C47="peso_corporal",IF(ISNUMBER(E47),E47,0)+I47,I47)*J47*1000+I47,0)=W47,2,IF(IF((G47&gt;0)*(IF(H47="",-1,H47)&gt;=1)*(IF(H47="",-1,H47)&lt;=3),IF(C47="peso_corporal",IF(ISNUMBER(E47),E47,0)+F47,F47)*G47*1000+F47,0)=W47,1,0))))))</f>
        <v>0</v>
      </c>
      <c r="Y47" s="69">
        <f>MAX(IF((G47&gt;0)*(IF(H47="",-1,H47)=0)*(1-(IF(H47="",-1,H47)&gt;=1)*(IF(H47="",-1,H47)&lt;=3)),IF(C47="peso_corporal",IF(ISNUMBER(E47),E47,0)+F47,F47)*G47*1000+F47,0),IF((J47&gt;0)*(IF(K47="",-1,K47)=0)*(1-(IF(K47="",-1,K47)&gt;=1)*(IF(K47="",-1,K47)&lt;=3)),IF(C47="peso_corporal",IF(ISNUMBER(E47),E47,0)+I47,I47)*J47*1000+I47,0),IF((M47&gt;0)*(IF(N47="",-1,N47)=0)*(1-(IF(N47="",-1,N47)&gt;=1)*(IF(N47="",-1,N47)&lt;=3)),IF(C47="peso_corporal",IF(ISNUMBER(E47),E47,0)+L47,L47)*M47*1000+L47,0),IF((P47&gt;0)*(IF(Q47="",-1,Q47)=0)*(1-(IF(Q47="",-1,Q47)&gt;=1)*(IF(Q47="",-1,Q47)&lt;=3)),IF(C47="peso_corporal",IF(ISNUMBER(E47),E47,0)+O47,O47)*P47*1000+O47,0),IF((S47&gt;0)*(IF(T47="",-1,T47)=0)*(1-(IF(T47="",-1,T47)&gt;=1)*(IF(T47="",-1,T47)&lt;=3)),IF(C47="peso_corporal",IF(ISNUMBER(E47),E47,0)+R47,R47)*S47*1000+R47,0))</f>
        <v>0</v>
      </c>
      <c r="Z47" s="69">
        <f>IF(Y47=0,0,IF(IF((S47&gt;0)*(IF(T47="",-1,T47)=0)*(1-(IF(T47="",-1,T47)&gt;=1)*(IF(T47="",-1,T47)&lt;=3)),IF(C47="peso_corporal",IF(ISNUMBER(E47),E47,0)+R47,R47)*S47*1000+R47,0)=Y47,5,IF(IF((P47&gt;0)*(IF(Q47="",-1,Q47)=0)*(1-(IF(Q47="",-1,Q47)&gt;=1)*(IF(Q47="",-1,Q47)&lt;=3)),IF(C47="peso_corporal",IF(ISNUMBER(E47),E47,0)+O47,O47)*P47*1000+O47,0)=Y47,4,IF(IF((M47&gt;0)*(IF(N47="",-1,N47)=0)*(1-(IF(N47="",-1,N47)&gt;=1)*(IF(N47="",-1,N47)&lt;=3)),IF(C47="peso_corporal",IF(ISNUMBER(E47),E47,0)+L47,L47)*M47*1000+L47,0)=Y47,3,IF(IF((J47&gt;0)*(IF(K47="",-1,K47)=0)*(1-(IF(K47="",-1,K47)&gt;=1)*(IF(K47="",-1,K47)&lt;=3)),IF(C47="peso_corporal",IF(ISNUMBER(E47),E47,0)+I47,I47)*J47*1000+I47,0)=Y47,2,IF(IF((G47&gt;0)*(IF(H47="",-1,H47)=0)*(1-(IF(H47="",-1,H47)&gt;=1)*(IF(H47="",-1,H47)&lt;=3)),IF(C47="peso_corporal",IF(ISNUMBER(E47),E47,0)+F47,F47)*G47*1000+F47,0)=Y47,1,0))))))</f>
        <v>0</v>
      </c>
      <c r="AA47" s="69">
        <f>MAX(IF((G47&gt;=6)*(1-(IF(H47="",-1,H47)&gt;=1)*(IF(H47="",-1,H47)&lt;=3))*(1-(IF(H47="",-1,H47)=0)),IF(C47="peso_corporal",IF(ISNUMBER(E47),E47,0)+F47,F47)*(30+G47)*100+F47,0),IF((J47&gt;=6)*(1-(IF(K47="",-1,K47)&gt;=1)*(IF(K47="",-1,K47)&lt;=3))*(1-(IF(K47="",-1,K47)=0)),IF(C47="peso_corporal",IF(ISNUMBER(E47),E47,0)+I47,I47)*(30+J47)*100+I47,0),IF((M47&gt;=6)*(1-(IF(N47="",-1,N47)&gt;=1)*(IF(N47="",-1,N47)&lt;=3))*(1-(IF(N47="",-1,N47)=0)),IF(C47="peso_corporal",IF(ISNUMBER(E47),E47,0)+L47,L47)*(30+M47)*100+L47,0),IF((P47&gt;=6)*(1-(IF(Q47="",-1,Q47)&gt;=1)*(IF(Q47="",-1,Q47)&lt;=3))*(1-(IF(Q47="",-1,Q47)=0)),IF(C47="peso_corporal",IF(ISNUMBER(E47),E47,0)+O47,O47)*(30+P47)*100+O47,0),IF((S47&gt;=6)*(1-(IF(T47="",-1,T47)&gt;=1)*(IF(T47="",-1,T47)&lt;=3))*(1-(IF(T47="",-1,T47)=0)),IF(C47="peso_corporal",IF(ISNUMBER(E47),E47,0)+R47,R47)*(30+S47)*100+R47,0))</f>
        <v>0</v>
      </c>
      <c r="AB47" s="69">
        <f>IF(AA47=0,0,IF(IF((S47&gt;=6)*(1-(IF(T47="",-1,T47)&gt;=1)*(IF(T47="",-1,T47)&lt;=3))*(1-(IF(T47="",-1,T47)=0)),IF(C47="peso_corporal",IF(ISNUMBER(E47),E47,0)+R47,R47)*(30+S47)*100+R47,0)=AA47,5,IF(IF((P47&gt;=6)*(1-(IF(Q47="",-1,Q47)&gt;=1)*(IF(Q47="",-1,Q47)&lt;=3))*(1-(IF(Q47="",-1,Q47)=0)),IF(C47="peso_corporal",IF(ISNUMBER(E47),E47,0)+O47,O47)*(30+P47)*100+O47,0)=AA47,4,IF(IF((M47&gt;=6)*(1-(IF(N47="",-1,N47)&gt;=1)*(IF(N47="",-1,N47)&lt;=3))*(1-(IF(N47="",-1,N47)=0)),IF(C47="peso_corporal",IF(ISNUMBER(E47),E47,0)+L47,L47)*(30+M47)*100+L47,0)=AA47,3,IF(IF((J47&gt;=6)*(1-(IF(K47="",-1,K47)&gt;=1)*(IF(K47="",-1,K47)&lt;=3))*(1-(IF(K47="",-1,K47)=0)),IF(C47="peso_corporal",IF(ISNUMBER(E47),E47,0)+I47,I47)*(30+J47)*100+I47,0)=AA47,2,IF(IF((G47&gt;=6)*(1-(IF(H47="",-1,H47)&gt;=1)*(IF(H47="",-1,H47)&lt;=3))*(1-(IF(H47="",-1,H47)=0)),IF(C47="peso_corporal",IF(ISNUMBER(E47),E47,0)+F47,F47)*(30+G47)*100+F47,0)=AA47,1,0))))))</f>
        <v>0</v>
      </c>
      <c r="AC47" s="69" t="str">
        <f>IF(X47&gt;0,"A"&amp;X47,IF(Z47&gt;0,"B"&amp;Z47,IF(AB47&gt;0,"C"&amp;AB47,"")))</f>
        <v/>
      </c>
    </row>
    <row r="48" spans="1:29" ht="15" customHeight="1">
      <c r="A48" s="81" t="s">
        <v>42</v>
      </c>
      <c r="B48" s="73"/>
      <c r="C48" s="73"/>
      <c r="D48" s="73"/>
      <c r="E48" s="73"/>
      <c r="F48" s="73"/>
      <c r="G48" s="73"/>
      <c r="H48" s="73"/>
      <c r="I48" s="73"/>
      <c r="J48" s="73"/>
      <c r="K48" s="73"/>
      <c r="L48" s="73"/>
      <c r="M48" s="73"/>
      <c r="N48" s="73"/>
      <c r="O48" s="73"/>
      <c r="P48" s="73"/>
      <c r="Q48" s="73"/>
      <c r="R48" s="73"/>
      <c r="S48" s="73"/>
      <c r="T48" s="73"/>
      <c r="U48" s="73"/>
      <c r="V48" s="73"/>
      <c r="W48" s="69"/>
      <c r="X48" s="69"/>
      <c r="Y48" s="69"/>
      <c r="Z48" s="69"/>
      <c r="AA48" s="69"/>
      <c r="AB48" s="69"/>
      <c r="AC48" s="69"/>
    </row>
    <row r="49" spans="1:29" ht="20.100000000000001" customHeight="1">
      <c r="A49" s="14" t="s">
        <v>43</v>
      </c>
      <c r="B49" s="15" t="s">
        <v>44</v>
      </c>
      <c r="C49" s="16" t="str">
        <f>IFERROR(INDEX(EJERCICIOS!$D$3:$D$75,MATCH(A49&amp;"|"&amp;B49,EJERCICIOS!$G$3:$G$75,0)),"--")</f>
        <v>polea</v>
      </c>
      <c r="D49" s="17">
        <v>3</v>
      </c>
      <c r="E49" s="18">
        <f>IFERROR(LOOKUP(2,1/(MEDIDAS_Y_PESO!$B$3:$B$4&lt;&gt;""),MEDIDAS_Y_PESO!$B$3:$B$4),"--")</f>
        <v>80</v>
      </c>
      <c r="F49" s="19"/>
      <c r="G49" s="20"/>
      <c r="H49" s="21"/>
      <c r="I49" s="19"/>
      <c r="J49" s="20"/>
      <c r="K49" s="21"/>
      <c r="L49" s="19"/>
      <c r="M49" s="20"/>
      <c r="N49" s="21"/>
      <c r="O49" s="19"/>
      <c r="P49" s="20"/>
      <c r="Q49" s="21"/>
      <c r="R49" s="19"/>
      <c r="S49" s="20"/>
      <c r="T49" s="21"/>
      <c r="U49" s="22" t="str">
        <f>IFERROR(IF(IF(X49&gt;0,X49,IF(Z49&gt;0,Z49,IF(AB49&gt;0,AB49,0)))=0,"--",ROUND(CHOOSE(IF(X49&gt;0,X49,IF(Z49&gt;0,Z49,IF(AB49&gt;0,AB49,0))),IF(C49="peso_corporal",IF(ISNUMBER(E49),E49,0)+F49,F49)*(1+G49/30),IF(C49="peso_corporal",IF(ISNUMBER(E49),E49,0)+I49,I49)*(1+J49/30),IF(C49="peso_corporal",IF(ISNUMBER(E49),E49,0)+L49,L49)*(1+M49/30),IF(C49="peso_corporal",IF(ISNUMBER(E49),E49,0)+O49,O49)*(1+P49/30),IF(C49="peso_corporal",IF(ISNUMBER(E49),E49,0)+R49,R49)*(1+S49/30)),1)),"--")</f>
        <v>--</v>
      </c>
      <c r="V49" s="23" t="str">
        <f>IF(SUGERENCIAS!N125="SIN","Sin datos anteriores",IF(SUGERENCIAS!N125="SUBIR_F","^ SUBIR FUERTE | Kg:"&amp;ROUND(SUGERENCIAS!K125,1)&amp;" R:"&amp;ROUND(SUGERENCIAS!L125,0)&amp;" RIR:"&amp;ROUND(SUGERENCIAS!M125,0),IF(SUGERENCIAS!N125="SUBIR_E","^ SUBIR (Est.) | Kg:"&amp;ROUND(SUGERENCIAS!K125,1)&amp;" R:"&amp;ROUND(SUGERENCIAS!L125,0)&amp;" RIR:"&amp;ROUND(SUGERENCIAS!M125,0),IF(SUGERENCIAS!N125="SUBIR","^ SUBIR | Kg:"&amp;ROUND(SUGERENCIAS!K125,1)&amp;" R:"&amp;ROUND(SUGERENCIAS!L125,0)&amp;" RIR:"&amp;ROUND(SUGERENCIAS!M125,0),IF(SUGERENCIAS!N125="BAJAR","v BAJAR | Kg:"&amp;ROUND(SUGERENCIAS!K125,1)&amp;" R:"&amp;ROUND(SUGERENCIAS!L125,0)&amp;" RIR:"&amp;ROUND(SUGERENCIAS!M125,0),"= MANT | Kg:"&amp;ROUND(SUGERENCIAS!K125,1)&amp;" R:"&amp;ROUND(SUGERENCIAS!L125,0)&amp;" RIR:"&amp;ROUND(SUGERENCIAS!M125,0))))))</f>
        <v>Sin datos anteriores</v>
      </c>
      <c r="W49" s="69">
        <f>MAX(IF((G49&gt;0)*(IF(H49="",-1,H49)&gt;=1)*(IF(H49="",-1,H49)&lt;=3),IF(C49="peso_corporal",IF(ISNUMBER(E49),E49,0)+F49,F49)*G49*1000+F49,0),IF((J49&gt;0)*(IF(K49="",-1,K49)&gt;=1)*(IF(K49="",-1,K49)&lt;=3),IF(C49="peso_corporal",IF(ISNUMBER(E49),E49,0)+I49,I49)*J49*1000+I49,0),IF((M49&gt;0)*(IF(N49="",-1,N49)&gt;=1)*(IF(N49="",-1,N49)&lt;=3),IF(C49="peso_corporal",IF(ISNUMBER(E49),E49,0)+L49,L49)*M49*1000+L49,0),IF((P49&gt;0)*(IF(Q49="",-1,Q49)&gt;=1)*(IF(Q49="",-1,Q49)&lt;=3),IF(C49="peso_corporal",IF(ISNUMBER(E49),E49,0)+O49,O49)*P49*1000+O49,0),IF((S49&gt;0)*(IF(T49="",-1,T49)&gt;=1)*(IF(T49="",-1,T49)&lt;=3),IF(C49="peso_corporal",IF(ISNUMBER(E49),E49,0)+R49,R49)*S49*1000+R49,0))</f>
        <v>0</v>
      </c>
      <c r="X49" s="69">
        <f>IF(W49=0,0,IF(IF((S49&gt;0)*(IF(T49="",-1,T49)&gt;=1)*(IF(T49="",-1,T49)&lt;=3),IF(C49="peso_corporal",IF(ISNUMBER(E49),E49,0)+R49,R49)*S49*1000+R49,0)=W49,5,IF(IF((P49&gt;0)*(IF(Q49="",-1,Q49)&gt;=1)*(IF(Q49="",-1,Q49)&lt;=3),IF(C49="peso_corporal",IF(ISNUMBER(E49),E49,0)+O49,O49)*P49*1000+O49,0)=W49,4,IF(IF((M49&gt;0)*(IF(N49="",-1,N49)&gt;=1)*(IF(N49="",-1,N49)&lt;=3),IF(C49="peso_corporal",IF(ISNUMBER(E49),E49,0)+L49,L49)*M49*1000+L49,0)=W49,3,IF(IF((J49&gt;0)*(IF(K49="",-1,K49)&gt;=1)*(IF(K49="",-1,K49)&lt;=3),IF(C49="peso_corporal",IF(ISNUMBER(E49),E49,0)+I49,I49)*J49*1000+I49,0)=W49,2,IF(IF((G49&gt;0)*(IF(H49="",-1,H49)&gt;=1)*(IF(H49="",-1,H49)&lt;=3),IF(C49="peso_corporal",IF(ISNUMBER(E49),E49,0)+F49,F49)*G49*1000+F49,0)=W49,1,0))))))</f>
        <v>0</v>
      </c>
      <c r="Y49" s="69">
        <f>MAX(IF((G49&gt;0)*(IF(H49="",-1,H49)=0)*(1-(IF(H49="",-1,H49)&gt;=1)*(IF(H49="",-1,H49)&lt;=3)),IF(C49="peso_corporal",IF(ISNUMBER(E49),E49,0)+F49,F49)*G49*1000+F49,0),IF((J49&gt;0)*(IF(K49="",-1,K49)=0)*(1-(IF(K49="",-1,K49)&gt;=1)*(IF(K49="",-1,K49)&lt;=3)),IF(C49="peso_corporal",IF(ISNUMBER(E49),E49,0)+I49,I49)*J49*1000+I49,0),IF((M49&gt;0)*(IF(N49="",-1,N49)=0)*(1-(IF(N49="",-1,N49)&gt;=1)*(IF(N49="",-1,N49)&lt;=3)),IF(C49="peso_corporal",IF(ISNUMBER(E49),E49,0)+L49,L49)*M49*1000+L49,0),IF((P49&gt;0)*(IF(Q49="",-1,Q49)=0)*(1-(IF(Q49="",-1,Q49)&gt;=1)*(IF(Q49="",-1,Q49)&lt;=3)),IF(C49="peso_corporal",IF(ISNUMBER(E49),E49,0)+O49,O49)*P49*1000+O49,0),IF((S49&gt;0)*(IF(T49="",-1,T49)=0)*(1-(IF(T49="",-1,T49)&gt;=1)*(IF(T49="",-1,T49)&lt;=3)),IF(C49="peso_corporal",IF(ISNUMBER(E49),E49,0)+R49,R49)*S49*1000+R49,0))</f>
        <v>0</v>
      </c>
      <c r="Z49" s="69">
        <f>IF(Y49=0,0,IF(IF((S49&gt;0)*(IF(T49="",-1,T49)=0)*(1-(IF(T49="",-1,T49)&gt;=1)*(IF(T49="",-1,T49)&lt;=3)),IF(C49="peso_corporal",IF(ISNUMBER(E49),E49,0)+R49,R49)*S49*1000+R49,0)=Y49,5,IF(IF((P49&gt;0)*(IF(Q49="",-1,Q49)=0)*(1-(IF(Q49="",-1,Q49)&gt;=1)*(IF(Q49="",-1,Q49)&lt;=3)),IF(C49="peso_corporal",IF(ISNUMBER(E49),E49,0)+O49,O49)*P49*1000+O49,0)=Y49,4,IF(IF((M49&gt;0)*(IF(N49="",-1,N49)=0)*(1-(IF(N49="",-1,N49)&gt;=1)*(IF(N49="",-1,N49)&lt;=3)),IF(C49="peso_corporal",IF(ISNUMBER(E49),E49,0)+L49,L49)*M49*1000+L49,0)=Y49,3,IF(IF((J49&gt;0)*(IF(K49="",-1,K49)=0)*(1-(IF(K49="",-1,K49)&gt;=1)*(IF(K49="",-1,K49)&lt;=3)),IF(C49="peso_corporal",IF(ISNUMBER(E49),E49,0)+I49,I49)*J49*1000+I49,0)=Y49,2,IF(IF((G49&gt;0)*(IF(H49="",-1,H49)=0)*(1-(IF(H49="",-1,H49)&gt;=1)*(IF(H49="",-1,H49)&lt;=3)),IF(C49="peso_corporal",IF(ISNUMBER(E49),E49,0)+F49,F49)*G49*1000+F49,0)=Y49,1,0))))))</f>
        <v>0</v>
      </c>
      <c r="AA49" s="69">
        <f>MAX(IF((G49&gt;=6)*(1-(IF(H49="",-1,H49)&gt;=1)*(IF(H49="",-1,H49)&lt;=3))*(1-(IF(H49="",-1,H49)=0)),IF(C49="peso_corporal",IF(ISNUMBER(E49),E49,0)+F49,F49)*(30+G49)*100+F49,0),IF((J49&gt;=6)*(1-(IF(K49="",-1,K49)&gt;=1)*(IF(K49="",-1,K49)&lt;=3))*(1-(IF(K49="",-1,K49)=0)),IF(C49="peso_corporal",IF(ISNUMBER(E49),E49,0)+I49,I49)*(30+J49)*100+I49,0),IF((M49&gt;=6)*(1-(IF(N49="",-1,N49)&gt;=1)*(IF(N49="",-1,N49)&lt;=3))*(1-(IF(N49="",-1,N49)=0)),IF(C49="peso_corporal",IF(ISNUMBER(E49),E49,0)+L49,L49)*(30+M49)*100+L49,0),IF((P49&gt;=6)*(1-(IF(Q49="",-1,Q49)&gt;=1)*(IF(Q49="",-1,Q49)&lt;=3))*(1-(IF(Q49="",-1,Q49)=0)),IF(C49="peso_corporal",IF(ISNUMBER(E49),E49,0)+O49,O49)*(30+P49)*100+O49,0),IF((S49&gt;=6)*(1-(IF(T49="",-1,T49)&gt;=1)*(IF(T49="",-1,T49)&lt;=3))*(1-(IF(T49="",-1,T49)=0)),IF(C49="peso_corporal",IF(ISNUMBER(E49),E49,0)+R49,R49)*(30+S49)*100+R49,0))</f>
        <v>0</v>
      </c>
      <c r="AB49" s="69">
        <f>IF(AA49=0,0,IF(IF((S49&gt;=6)*(1-(IF(T49="",-1,T49)&gt;=1)*(IF(T49="",-1,T49)&lt;=3))*(1-(IF(T49="",-1,T49)=0)),IF(C49="peso_corporal",IF(ISNUMBER(E49),E49,0)+R49,R49)*(30+S49)*100+R49,0)=AA49,5,IF(IF((P49&gt;=6)*(1-(IF(Q49="",-1,Q49)&gt;=1)*(IF(Q49="",-1,Q49)&lt;=3))*(1-(IF(Q49="",-1,Q49)=0)),IF(C49="peso_corporal",IF(ISNUMBER(E49),E49,0)+O49,O49)*(30+P49)*100+O49,0)=AA49,4,IF(IF((M49&gt;=6)*(1-(IF(N49="",-1,N49)&gt;=1)*(IF(N49="",-1,N49)&lt;=3))*(1-(IF(N49="",-1,N49)=0)),IF(C49="peso_corporal",IF(ISNUMBER(E49),E49,0)+L49,L49)*(30+M49)*100+L49,0)=AA49,3,IF(IF((J49&gt;=6)*(1-(IF(K49="",-1,K49)&gt;=1)*(IF(K49="",-1,K49)&lt;=3))*(1-(IF(K49="",-1,K49)=0)),IF(C49="peso_corporal",IF(ISNUMBER(E49),E49,0)+I49,I49)*(30+J49)*100+I49,0)=AA49,2,IF(IF((G49&gt;=6)*(1-(IF(H49="",-1,H49)&gt;=1)*(IF(H49="",-1,H49)&lt;=3))*(1-(IF(H49="",-1,H49)=0)),IF(C49="peso_corporal",IF(ISNUMBER(E49),E49,0)+F49,F49)*(30+G49)*100+F49,0)=AA49,1,0))))))</f>
        <v>0</v>
      </c>
      <c r="AC49" s="69" t="str">
        <f>IF(X49&gt;0,"A"&amp;X49,IF(Z49&gt;0,"B"&amp;Z49,IF(AB49&gt;0,"C"&amp;AB49,"")))</f>
        <v/>
      </c>
    </row>
    <row r="50" spans="1:29" ht="15" customHeight="1">
      <c r="A50" s="81" t="s">
        <v>174</v>
      </c>
      <c r="B50" s="73"/>
      <c r="C50" s="73"/>
      <c r="D50" s="73"/>
      <c r="E50" s="73"/>
      <c r="F50" s="73"/>
      <c r="G50" s="73"/>
      <c r="H50" s="73"/>
      <c r="I50" s="73"/>
      <c r="J50" s="73"/>
      <c r="K50" s="73"/>
      <c r="L50" s="73"/>
      <c r="M50" s="73"/>
      <c r="N50" s="73"/>
      <c r="O50" s="73"/>
      <c r="P50" s="73"/>
      <c r="Q50" s="73"/>
      <c r="R50" s="73"/>
      <c r="S50" s="73"/>
      <c r="T50" s="73"/>
      <c r="U50" s="73"/>
      <c r="V50" s="73"/>
      <c r="W50" s="69"/>
      <c r="X50" s="69"/>
      <c r="Y50" s="69"/>
      <c r="Z50" s="69"/>
      <c r="AA50" s="69"/>
      <c r="AB50" s="69"/>
      <c r="AC50" s="69"/>
    </row>
    <row r="51" spans="1:29" ht="20.100000000000001" customHeight="1">
      <c r="A51" s="14" t="s">
        <v>175</v>
      </c>
      <c r="B51" s="15" t="s">
        <v>176</v>
      </c>
      <c r="C51" s="16" t="str">
        <f>IFERROR(INDEX(EJERCICIOS!$D$3:$D$75,MATCH(A51&amp;"|"&amp;B51,EJERCICIOS!$G$3:$G$75,0)),"--")</f>
        <v>mancuerna</v>
      </c>
      <c r="D51" s="17">
        <v>3</v>
      </c>
      <c r="E51" s="18">
        <f>IFERROR(LOOKUP(2,1/(MEDIDAS_Y_PESO!$B$3:$B$4&lt;&gt;""),MEDIDAS_Y_PESO!$B$3:$B$4),"--")</f>
        <v>80</v>
      </c>
      <c r="F51" s="19"/>
      <c r="G51" s="20"/>
      <c r="H51" s="21"/>
      <c r="I51" s="19"/>
      <c r="J51" s="20"/>
      <c r="K51" s="21"/>
      <c r="L51" s="19"/>
      <c r="M51" s="20"/>
      <c r="N51" s="21"/>
      <c r="O51" s="19"/>
      <c r="P51" s="20"/>
      <c r="Q51" s="21"/>
      <c r="R51" s="19"/>
      <c r="S51" s="20"/>
      <c r="T51" s="21"/>
      <c r="U51" s="22" t="str">
        <f>IFERROR(IF(IF(X51&gt;0,X51,IF(Z51&gt;0,Z51,IF(AB51&gt;0,AB51,0)))=0,"--",ROUND(CHOOSE(IF(X51&gt;0,X51,IF(Z51&gt;0,Z51,IF(AB51&gt;0,AB51,0))),IF(C51="peso_corporal",IF(ISNUMBER(E51),E51,0)+F51,F51)*(1+G51/30),IF(C51="peso_corporal",IF(ISNUMBER(E51),E51,0)+I51,I51)*(1+J51/30),IF(C51="peso_corporal",IF(ISNUMBER(E51),E51,0)+L51,L51)*(1+M51/30),IF(C51="peso_corporal",IF(ISNUMBER(E51),E51,0)+O51,O51)*(1+P51/30),IF(C51="peso_corporal",IF(ISNUMBER(E51),E51,0)+R51,R51)*(1+S51/30)),1)),"--")</f>
        <v>--</v>
      </c>
      <c r="V51" s="23" t="str">
        <f>IF(SUGERENCIAS!N126="SIN","Sin datos anteriores",IF(SUGERENCIAS!N126="SUBIR_F","^ SUBIR FUERTE | Kg:"&amp;ROUND(SUGERENCIAS!K126,1)&amp;" R:"&amp;ROUND(SUGERENCIAS!L126,0)&amp;" RIR:"&amp;ROUND(SUGERENCIAS!M126,0),IF(SUGERENCIAS!N126="SUBIR_E","^ SUBIR (Est.) | Kg:"&amp;ROUND(SUGERENCIAS!K126,1)&amp;" R:"&amp;ROUND(SUGERENCIAS!L126,0)&amp;" RIR:"&amp;ROUND(SUGERENCIAS!M126,0),IF(SUGERENCIAS!N126="SUBIR","^ SUBIR | Kg:"&amp;ROUND(SUGERENCIAS!K126,1)&amp;" R:"&amp;ROUND(SUGERENCIAS!L126,0)&amp;" RIR:"&amp;ROUND(SUGERENCIAS!M126,0),IF(SUGERENCIAS!N126="BAJAR","v BAJAR | Kg:"&amp;ROUND(SUGERENCIAS!K126,1)&amp;" R:"&amp;ROUND(SUGERENCIAS!L126,0)&amp;" RIR:"&amp;ROUND(SUGERENCIAS!M126,0),"= MANT | Kg:"&amp;ROUND(SUGERENCIAS!K126,1)&amp;" R:"&amp;ROUND(SUGERENCIAS!L126,0)&amp;" RIR:"&amp;ROUND(SUGERENCIAS!M126,0))))))</f>
        <v>Sin datos anteriores</v>
      </c>
      <c r="W51" s="69">
        <f>MAX(IF((G51&gt;0)*(IF(H51="",-1,H51)&gt;=1)*(IF(H51="",-1,H51)&lt;=3),IF(C51="peso_corporal",IF(ISNUMBER(E51),E51,0)+F51,F51)*G51*1000+F51,0),IF((J51&gt;0)*(IF(K51="",-1,K51)&gt;=1)*(IF(K51="",-1,K51)&lt;=3),IF(C51="peso_corporal",IF(ISNUMBER(E51),E51,0)+I51,I51)*J51*1000+I51,0),IF((M51&gt;0)*(IF(N51="",-1,N51)&gt;=1)*(IF(N51="",-1,N51)&lt;=3),IF(C51="peso_corporal",IF(ISNUMBER(E51),E51,0)+L51,L51)*M51*1000+L51,0),IF((P51&gt;0)*(IF(Q51="",-1,Q51)&gt;=1)*(IF(Q51="",-1,Q51)&lt;=3),IF(C51="peso_corporal",IF(ISNUMBER(E51),E51,0)+O51,O51)*P51*1000+O51,0),IF((S51&gt;0)*(IF(T51="",-1,T51)&gt;=1)*(IF(T51="",-1,T51)&lt;=3),IF(C51="peso_corporal",IF(ISNUMBER(E51),E51,0)+R51,R51)*S51*1000+R51,0))</f>
        <v>0</v>
      </c>
      <c r="X51" s="69">
        <f>IF(W51=0,0,IF(IF((S51&gt;0)*(IF(T51="",-1,T51)&gt;=1)*(IF(T51="",-1,T51)&lt;=3),IF(C51="peso_corporal",IF(ISNUMBER(E51),E51,0)+R51,R51)*S51*1000+R51,0)=W51,5,IF(IF((P51&gt;0)*(IF(Q51="",-1,Q51)&gt;=1)*(IF(Q51="",-1,Q51)&lt;=3),IF(C51="peso_corporal",IF(ISNUMBER(E51),E51,0)+O51,O51)*P51*1000+O51,0)=W51,4,IF(IF((M51&gt;0)*(IF(N51="",-1,N51)&gt;=1)*(IF(N51="",-1,N51)&lt;=3),IF(C51="peso_corporal",IF(ISNUMBER(E51),E51,0)+L51,L51)*M51*1000+L51,0)=W51,3,IF(IF((J51&gt;0)*(IF(K51="",-1,K51)&gt;=1)*(IF(K51="",-1,K51)&lt;=3),IF(C51="peso_corporal",IF(ISNUMBER(E51),E51,0)+I51,I51)*J51*1000+I51,0)=W51,2,IF(IF((G51&gt;0)*(IF(H51="",-1,H51)&gt;=1)*(IF(H51="",-1,H51)&lt;=3),IF(C51="peso_corporal",IF(ISNUMBER(E51),E51,0)+F51,F51)*G51*1000+F51,0)=W51,1,0))))))</f>
        <v>0</v>
      </c>
      <c r="Y51" s="69">
        <f>MAX(IF((G51&gt;0)*(IF(H51="",-1,H51)=0)*(1-(IF(H51="",-1,H51)&gt;=1)*(IF(H51="",-1,H51)&lt;=3)),IF(C51="peso_corporal",IF(ISNUMBER(E51),E51,0)+F51,F51)*G51*1000+F51,0),IF((J51&gt;0)*(IF(K51="",-1,K51)=0)*(1-(IF(K51="",-1,K51)&gt;=1)*(IF(K51="",-1,K51)&lt;=3)),IF(C51="peso_corporal",IF(ISNUMBER(E51),E51,0)+I51,I51)*J51*1000+I51,0),IF((M51&gt;0)*(IF(N51="",-1,N51)=0)*(1-(IF(N51="",-1,N51)&gt;=1)*(IF(N51="",-1,N51)&lt;=3)),IF(C51="peso_corporal",IF(ISNUMBER(E51),E51,0)+L51,L51)*M51*1000+L51,0),IF((P51&gt;0)*(IF(Q51="",-1,Q51)=0)*(1-(IF(Q51="",-1,Q51)&gt;=1)*(IF(Q51="",-1,Q51)&lt;=3)),IF(C51="peso_corporal",IF(ISNUMBER(E51),E51,0)+O51,O51)*P51*1000+O51,0),IF((S51&gt;0)*(IF(T51="",-1,T51)=0)*(1-(IF(T51="",-1,T51)&gt;=1)*(IF(T51="",-1,T51)&lt;=3)),IF(C51="peso_corporal",IF(ISNUMBER(E51),E51,0)+R51,R51)*S51*1000+R51,0))</f>
        <v>0</v>
      </c>
      <c r="Z51" s="69">
        <f>IF(Y51=0,0,IF(IF((S51&gt;0)*(IF(T51="",-1,T51)=0)*(1-(IF(T51="",-1,T51)&gt;=1)*(IF(T51="",-1,T51)&lt;=3)),IF(C51="peso_corporal",IF(ISNUMBER(E51),E51,0)+R51,R51)*S51*1000+R51,0)=Y51,5,IF(IF((P51&gt;0)*(IF(Q51="",-1,Q51)=0)*(1-(IF(Q51="",-1,Q51)&gt;=1)*(IF(Q51="",-1,Q51)&lt;=3)),IF(C51="peso_corporal",IF(ISNUMBER(E51),E51,0)+O51,O51)*P51*1000+O51,0)=Y51,4,IF(IF((M51&gt;0)*(IF(N51="",-1,N51)=0)*(1-(IF(N51="",-1,N51)&gt;=1)*(IF(N51="",-1,N51)&lt;=3)),IF(C51="peso_corporal",IF(ISNUMBER(E51),E51,0)+L51,L51)*M51*1000+L51,0)=Y51,3,IF(IF((J51&gt;0)*(IF(K51="",-1,K51)=0)*(1-(IF(K51="",-1,K51)&gt;=1)*(IF(K51="",-1,K51)&lt;=3)),IF(C51="peso_corporal",IF(ISNUMBER(E51),E51,0)+I51,I51)*J51*1000+I51,0)=Y51,2,IF(IF((G51&gt;0)*(IF(H51="",-1,H51)=0)*(1-(IF(H51="",-1,H51)&gt;=1)*(IF(H51="",-1,H51)&lt;=3)),IF(C51="peso_corporal",IF(ISNUMBER(E51),E51,0)+F51,F51)*G51*1000+F51,0)=Y51,1,0))))))</f>
        <v>0</v>
      </c>
      <c r="AA51" s="69">
        <f>MAX(IF((G51&gt;=6)*(1-(IF(H51="",-1,H51)&gt;=1)*(IF(H51="",-1,H51)&lt;=3))*(1-(IF(H51="",-1,H51)=0)),IF(C51="peso_corporal",IF(ISNUMBER(E51),E51,0)+F51,F51)*(30+G51)*100+F51,0),IF((J51&gt;=6)*(1-(IF(K51="",-1,K51)&gt;=1)*(IF(K51="",-1,K51)&lt;=3))*(1-(IF(K51="",-1,K51)=0)),IF(C51="peso_corporal",IF(ISNUMBER(E51),E51,0)+I51,I51)*(30+J51)*100+I51,0),IF((M51&gt;=6)*(1-(IF(N51="",-1,N51)&gt;=1)*(IF(N51="",-1,N51)&lt;=3))*(1-(IF(N51="",-1,N51)=0)),IF(C51="peso_corporal",IF(ISNUMBER(E51),E51,0)+L51,L51)*(30+M51)*100+L51,0),IF((P51&gt;=6)*(1-(IF(Q51="",-1,Q51)&gt;=1)*(IF(Q51="",-1,Q51)&lt;=3))*(1-(IF(Q51="",-1,Q51)=0)),IF(C51="peso_corporal",IF(ISNUMBER(E51),E51,0)+O51,O51)*(30+P51)*100+O51,0),IF((S51&gt;=6)*(1-(IF(T51="",-1,T51)&gt;=1)*(IF(T51="",-1,T51)&lt;=3))*(1-(IF(T51="",-1,T51)=0)),IF(C51="peso_corporal",IF(ISNUMBER(E51),E51,0)+R51,R51)*(30+S51)*100+R51,0))</f>
        <v>0</v>
      </c>
      <c r="AB51" s="69">
        <f>IF(AA51=0,0,IF(IF((S51&gt;=6)*(1-(IF(T51="",-1,T51)&gt;=1)*(IF(T51="",-1,T51)&lt;=3))*(1-(IF(T51="",-1,T51)=0)),IF(C51="peso_corporal",IF(ISNUMBER(E51),E51,0)+R51,R51)*(30+S51)*100+R51,0)=AA51,5,IF(IF((P51&gt;=6)*(1-(IF(Q51="",-1,Q51)&gt;=1)*(IF(Q51="",-1,Q51)&lt;=3))*(1-(IF(Q51="",-1,Q51)=0)),IF(C51="peso_corporal",IF(ISNUMBER(E51),E51,0)+O51,O51)*(30+P51)*100+O51,0)=AA51,4,IF(IF((M51&gt;=6)*(1-(IF(N51="",-1,N51)&gt;=1)*(IF(N51="",-1,N51)&lt;=3))*(1-(IF(N51="",-1,N51)=0)),IF(C51="peso_corporal",IF(ISNUMBER(E51),E51,0)+L51,L51)*(30+M51)*100+L51,0)=AA51,3,IF(IF((J51&gt;=6)*(1-(IF(K51="",-1,K51)&gt;=1)*(IF(K51="",-1,K51)&lt;=3))*(1-(IF(K51="",-1,K51)=0)),IF(C51="peso_corporal",IF(ISNUMBER(E51),E51,0)+I51,I51)*(30+J51)*100+I51,0)=AA51,2,IF(IF((G51&gt;=6)*(1-(IF(H51="",-1,H51)&gt;=1)*(IF(H51="",-1,H51)&lt;=3))*(1-(IF(H51="",-1,H51)=0)),IF(C51="peso_corporal",IF(ISNUMBER(E51),E51,0)+F51,F51)*(30+G51)*100+F51,0)=AA51,1,0))))))</f>
        <v>0</v>
      </c>
      <c r="AC51" s="69" t="str">
        <f>IF(X51&gt;0,"A"&amp;X51,IF(Z51&gt;0,"B"&amp;Z51,IF(AB51&gt;0,"C"&amp;AB51,"")))</f>
        <v/>
      </c>
    </row>
    <row r="52" spans="1:29" ht="20.100000000000001" customHeight="1">
      <c r="A52" s="14" t="s">
        <v>109</v>
      </c>
      <c r="B52" s="15" t="s">
        <v>110</v>
      </c>
      <c r="C52" s="16" t="str">
        <f>IFERROR(INDEX(EJERCICIOS!$D$3:$D$75,MATCH(A52&amp;"|"&amp;B52,EJERCICIOS!$G$3:$G$75,0)),"--")</f>
        <v>polea</v>
      </c>
      <c r="D52" s="17">
        <v>3</v>
      </c>
      <c r="E52" s="18">
        <f>IFERROR(LOOKUP(2,1/(MEDIDAS_Y_PESO!$B$3:$B$4&lt;&gt;""),MEDIDAS_Y_PESO!$B$3:$B$4),"--")</f>
        <v>80</v>
      </c>
      <c r="F52" s="19"/>
      <c r="G52" s="20"/>
      <c r="H52" s="21"/>
      <c r="I52" s="19"/>
      <c r="J52" s="20"/>
      <c r="K52" s="21"/>
      <c r="L52" s="19"/>
      <c r="M52" s="20"/>
      <c r="N52" s="21"/>
      <c r="O52" s="19"/>
      <c r="P52" s="20"/>
      <c r="Q52" s="21"/>
      <c r="R52" s="19"/>
      <c r="S52" s="20"/>
      <c r="T52" s="21"/>
      <c r="U52" s="22" t="str">
        <f>IFERROR(IF(IF(X52&gt;0,X52,IF(Z52&gt;0,Z52,IF(AB52&gt;0,AB52,0)))=0,"--",ROUND(CHOOSE(IF(X52&gt;0,X52,IF(Z52&gt;0,Z52,IF(AB52&gt;0,AB52,0))),IF(C52="peso_corporal",IF(ISNUMBER(E52),E52,0)+F52,F52)*(1+G52/30),IF(C52="peso_corporal",IF(ISNUMBER(E52),E52,0)+I52,I52)*(1+J52/30),IF(C52="peso_corporal",IF(ISNUMBER(E52),E52,0)+L52,L52)*(1+M52/30),IF(C52="peso_corporal",IF(ISNUMBER(E52),E52,0)+O52,O52)*(1+P52/30),IF(C52="peso_corporal",IF(ISNUMBER(E52),E52,0)+R52,R52)*(1+S52/30)),1)),"--")</f>
        <v>--</v>
      </c>
      <c r="V52" s="23" t="str">
        <f>IF(SUGERENCIAS!N127="SIN","Sin datos anteriores",IF(SUGERENCIAS!N127="SUBIR_F","^ SUBIR FUERTE | Kg:"&amp;ROUND(SUGERENCIAS!K127,1)&amp;" R:"&amp;ROUND(SUGERENCIAS!L127,0)&amp;" RIR:"&amp;ROUND(SUGERENCIAS!M127,0),IF(SUGERENCIAS!N127="SUBIR_E","^ SUBIR (Est.) | Kg:"&amp;ROUND(SUGERENCIAS!K127,1)&amp;" R:"&amp;ROUND(SUGERENCIAS!L127,0)&amp;" RIR:"&amp;ROUND(SUGERENCIAS!M127,0),IF(SUGERENCIAS!N127="SUBIR","^ SUBIR | Kg:"&amp;ROUND(SUGERENCIAS!K127,1)&amp;" R:"&amp;ROUND(SUGERENCIAS!L127,0)&amp;" RIR:"&amp;ROUND(SUGERENCIAS!M127,0),IF(SUGERENCIAS!N127="BAJAR","v BAJAR | Kg:"&amp;ROUND(SUGERENCIAS!K127,1)&amp;" R:"&amp;ROUND(SUGERENCIAS!L127,0)&amp;" RIR:"&amp;ROUND(SUGERENCIAS!M127,0),"= MANT | Kg:"&amp;ROUND(SUGERENCIAS!K127,1)&amp;" R:"&amp;ROUND(SUGERENCIAS!L127,0)&amp;" RIR:"&amp;ROUND(SUGERENCIAS!M127,0))))))</f>
        <v>Sin datos anteriores</v>
      </c>
      <c r="W52" s="69">
        <f>MAX(IF((G52&gt;0)*(IF(H52="",-1,H52)&gt;=1)*(IF(H52="",-1,H52)&lt;=3),IF(C52="peso_corporal",IF(ISNUMBER(E52),E52,0)+F52,F52)*G52*1000+F52,0),IF((J52&gt;0)*(IF(K52="",-1,K52)&gt;=1)*(IF(K52="",-1,K52)&lt;=3),IF(C52="peso_corporal",IF(ISNUMBER(E52),E52,0)+I52,I52)*J52*1000+I52,0),IF((M52&gt;0)*(IF(N52="",-1,N52)&gt;=1)*(IF(N52="",-1,N52)&lt;=3),IF(C52="peso_corporal",IF(ISNUMBER(E52),E52,0)+L52,L52)*M52*1000+L52,0),IF((P52&gt;0)*(IF(Q52="",-1,Q52)&gt;=1)*(IF(Q52="",-1,Q52)&lt;=3),IF(C52="peso_corporal",IF(ISNUMBER(E52),E52,0)+O52,O52)*P52*1000+O52,0),IF((S52&gt;0)*(IF(T52="",-1,T52)&gt;=1)*(IF(T52="",-1,T52)&lt;=3),IF(C52="peso_corporal",IF(ISNUMBER(E52),E52,0)+R52,R52)*S52*1000+R52,0))</f>
        <v>0</v>
      </c>
      <c r="X52" s="69">
        <f>IF(W52=0,0,IF(IF((S52&gt;0)*(IF(T52="",-1,T52)&gt;=1)*(IF(T52="",-1,T52)&lt;=3),IF(C52="peso_corporal",IF(ISNUMBER(E52),E52,0)+R52,R52)*S52*1000+R52,0)=W52,5,IF(IF((P52&gt;0)*(IF(Q52="",-1,Q52)&gt;=1)*(IF(Q52="",-1,Q52)&lt;=3),IF(C52="peso_corporal",IF(ISNUMBER(E52),E52,0)+O52,O52)*P52*1000+O52,0)=W52,4,IF(IF((M52&gt;0)*(IF(N52="",-1,N52)&gt;=1)*(IF(N52="",-1,N52)&lt;=3),IF(C52="peso_corporal",IF(ISNUMBER(E52),E52,0)+L52,L52)*M52*1000+L52,0)=W52,3,IF(IF((J52&gt;0)*(IF(K52="",-1,K52)&gt;=1)*(IF(K52="",-1,K52)&lt;=3),IF(C52="peso_corporal",IF(ISNUMBER(E52),E52,0)+I52,I52)*J52*1000+I52,0)=W52,2,IF(IF((G52&gt;0)*(IF(H52="",-1,H52)&gt;=1)*(IF(H52="",-1,H52)&lt;=3),IF(C52="peso_corporal",IF(ISNUMBER(E52),E52,0)+F52,F52)*G52*1000+F52,0)=W52,1,0))))))</f>
        <v>0</v>
      </c>
      <c r="Y52" s="69">
        <f>MAX(IF((G52&gt;0)*(IF(H52="",-1,H52)=0)*(1-(IF(H52="",-1,H52)&gt;=1)*(IF(H52="",-1,H52)&lt;=3)),IF(C52="peso_corporal",IF(ISNUMBER(E52),E52,0)+F52,F52)*G52*1000+F52,0),IF((J52&gt;0)*(IF(K52="",-1,K52)=0)*(1-(IF(K52="",-1,K52)&gt;=1)*(IF(K52="",-1,K52)&lt;=3)),IF(C52="peso_corporal",IF(ISNUMBER(E52),E52,0)+I52,I52)*J52*1000+I52,0),IF((M52&gt;0)*(IF(N52="",-1,N52)=0)*(1-(IF(N52="",-1,N52)&gt;=1)*(IF(N52="",-1,N52)&lt;=3)),IF(C52="peso_corporal",IF(ISNUMBER(E52),E52,0)+L52,L52)*M52*1000+L52,0),IF((P52&gt;0)*(IF(Q52="",-1,Q52)=0)*(1-(IF(Q52="",-1,Q52)&gt;=1)*(IF(Q52="",-1,Q52)&lt;=3)),IF(C52="peso_corporal",IF(ISNUMBER(E52),E52,0)+O52,O52)*P52*1000+O52,0),IF((S52&gt;0)*(IF(T52="",-1,T52)=0)*(1-(IF(T52="",-1,T52)&gt;=1)*(IF(T52="",-1,T52)&lt;=3)),IF(C52="peso_corporal",IF(ISNUMBER(E52),E52,0)+R52,R52)*S52*1000+R52,0))</f>
        <v>0</v>
      </c>
      <c r="Z52" s="69">
        <f>IF(Y52=0,0,IF(IF((S52&gt;0)*(IF(T52="",-1,T52)=0)*(1-(IF(T52="",-1,T52)&gt;=1)*(IF(T52="",-1,T52)&lt;=3)),IF(C52="peso_corporal",IF(ISNUMBER(E52),E52,0)+R52,R52)*S52*1000+R52,0)=Y52,5,IF(IF((P52&gt;0)*(IF(Q52="",-1,Q52)=0)*(1-(IF(Q52="",-1,Q52)&gt;=1)*(IF(Q52="",-1,Q52)&lt;=3)),IF(C52="peso_corporal",IF(ISNUMBER(E52),E52,0)+O52,O52)*P52*1000+O52,0)=Y52,4,IF(IF((M52&gt;0)*(IF(N52="",-1,N52)=0)*(1-(IF(N52="",-1,N52)&gt;=1)*(IF(N52="",-1,N52)&lt;=3)),IF(C52="peso_corporal",IF(ISNUMBER(E52),E52,0)+L52,L52)*M52*1000+L52,0)=Y52,3,IF(IF((J52&gt;0)*(IF(K52="",-1,K52)=0)*(1-(IF(K52="",-1,K52)&gt;=1)*(IF(K52="",-1,K52)&lt;=3)),IF(C52="peso_corporal",IF(ISNUMBER(E52),E52,0)+I52,I52)*J52*1000+I52,0)=Y52,2,IF(IF((G52&gt;0)*(IF(H52="",-1,H52)=0)*(1-(IF(H52="",-1,H52)&gt;=1)*(IF(H52="",-1,H52)&lt;=3)),IF(C52="peso_corporal",IF(ISNUMBER(E52),E52,0)+F52,F52)*G52*1000+F52,0)=Y52,1,0))))))</f>
        <v>0</v>
      </c>
      <c r="AA52" s="69">
        <f>MAX(IF((G52&gt;=6)*(1-(IF(H52="",-1,H52)&gt;=1)*(IF(H52="",-1,H52)&lt;=3))*(1-(IF(H52="",-1,H52)=0)),IF(C52="peso_corporal",IF(ISNUMBER(E52),E52,0)+F52,F52)*(30+G52)*100+F52,0),IF((J52&gt;=6)*(1-(IF(K52="",-1,K52)&gt;=1)*(IF(K52="",-1,K52)&lt;=3))*(1-(IF(K52="",-1,K52)=0)),IF(C52="peso_corporal",IF(ISNUMBER(E52),E52,0)+I52,I52)*(30+J52)*100+I52,0),IF((M52&gt;=6)*(1-(IF(N52="",-1,N52)&gt;=1)*(IF(N52="",-1,N52)&lt;=3))*(1-(IF(N52="",-1,N52)=0)),IF(C52="peso_corporal",IF(ISNUMBER(E52),E52,0)+L52,L52)*(30+M52)*100+L52,0),IF((P52&gt;=6)*(1-(IF(Q52="",-1,Q52)&gt;=1)*(IF(Q52="",-1,Q52)&lt;=3))*(1-(IF(Q52="",-1,Q52)=0)),IF(C52="peso_corporal",IF(ISNUMBER(E52),E52,0)+O52,O52)*(30+P52)*100+O52,0),IF((S52&gt;=6)*(1-(IF(T52="",-1,T52)&gt;=1)*(IF(T52="",-1,T52)&lt;=3))*(1-(IF(T52="",-1,T52)=0)),IF(C52="peso_corporal",IF(ISNUMBER(E52),E52,0)+R52,R52)*(30+S52)*100+R52,0))</f>
        <v>0</v>
      </c>
      <c r="AB52" s="69">
        <f>IF(AA52=0,0,IF(IF((S52&gt;=6)*(1-(IF(T52="",-1,T52)&gt;=1)*(IF(T52="",-1,T52)&lt;=3))*(1-(IF(T52="",-1,T52)=0)),IF(C52="peso_corporal",IF(ISNUMBER(E52),E52,0)+R52,R52)*(30+S52)*100+R52,0)=AA52,5,IF(IF((P52&gt;=6)*(1-(IF(Q52="",-1,Q52)&gt;=1)*(IF(Q52="",-1,Q52)&lt;=3))*(1-(IF(Q52="",-1,Q52)=0)),IF(C52="peso_corporal",IF(ISNUMBER(E52),E52,0)+O52,O52)*(30+P52)*100+O52,0)=AA52,4,IF(IF((M52&gt;=6)*(1-(IF(N52="",-1,N52)&gt;=1)*(IF(N52="",-1,N52)&lt;=3))*(1-(IF(N52="",-1,N52)=0)),IF(C52="peso_corporal",IF(ISNUMBER(E52),E52,0)+L52,L52)*(30+M52)*100+L52,0)=AA52,3,IF(IF((J52&gt;=6)*(1-(IF(K52="",-1,K52)&gt;=1)*(IF(K52="",-1,K52)&lt;=3))*(1-(IF(K52="",-1,K52)=0)),IF(C52="peso_corporal",IF(ISNUMBER(E52),E52,0)+I52,I52)*(30+J52)*100+I52,0)=AA52,2,IF(IF((G52&gt;=6)*(1-(IF(H52="",-1,H52)&gt;=1)*(IF(H52="",-1,H52)&lt;=3))*(1-(IF(H52="",-1,H52)=0)),IF(C52="peso_corporal",IF(ISNUMBER(E52),E52,0)+F52,F52)*(30+G52)*100+F52,0)=AA52,1,0))))))</f>
        <v>0</v>
      </c>
      <c r="AC52" s="69" t="str">
        <f>IF(X52&gt;0,"A"&amp;X52,IF(Z52&gt;0,"B"&amp;Z52,IF(AB52&gt;0,"C"&amp;AB52,"")))</f>
        <v/>
      </c>
    </row>
    <row r="53" spans="1:29" ht="15" customHeight="1">
      <c r="A53" s="90" t="s">
        <v>142</v>
      </c>
      <c r="B53" s="73"/>
      <c r="C53" s="73"/>
      <c r="D53" s="73"/>
      <c r="E53" s="73"/>
      <c r="F53" s="73"/>
      <c r="G53" s="73"/>
      <c r="H53" s="73"/>
      <c r="I53" s="73"/>
      <c r="J53" s="73"/>
      <c r="K53" s="73"/>
      <c r="L53" s="73"/>
      <c r="M53" s="73"/>
      <c r="N53" s="73"/>
      <c r="O53" s="73"/>
      <c r="P53" s="73"/>
      <c r="Q53" s="73"/>
      <c r="R53" s="73"/>
      <c r="S53" s="73"/>
      <c r="T53" s="73"/>
      <c r="U53" s="73"/>
      <c r="V53" s="73"/>
      <c r="W53" s="69"/>
      <c r="X53" s="69"/>
      <c r="Y53" s="69"/>
      <c r="Z53" s="69"/>
      <c r="AA53" s="69"/>
      <c r="AB53" s="69"/>
      <c r="AC53" s="69"/>
    </row>
    <row r="54" spans="1:29" ht="20.100000000000001" customHeight="1">
      <c r="A54" s="14" t="s">
        <v>24</v>
      </c>
      <c r="B54" s="15" t="s">
        <v>143</v>
      </c>
      <c r="C54" s="16" t="str">
        <f>IFERROR(INDEX(EJERCICIOS!$D$3:$D$75,MATCH(A54&amp;"|"&amp;B54,EJERCICIOS!$G$3:$G$75,0)),"--")</f>
        <v>peso_corporal</v>
      </c>
      <c r="D54" s="17">
        <v>3</v>
      </c>
      <c r="E54" s="18">
        <f>IFERROR(LOOKUP(2,1/(MEDIDAS_Y_PESO!$B$3:$B$4&lt;&gt;""),MEDIDAS_Y_PESO!$B$3:$B$4),"--")</f>
        <v>80</v>
      </c>
      <c r="F54" s="19"/>
      <c r="G54" s="20"/>
      <c r="H54" s="21"/>
      <c r="I54" s="19"/>
      <c r="J54" s="20"/>
      <c r="K54" s="21"/>
      <c r="L54" s="19"/>
      <c r="M54" s="20"/>
      <c r="N54" s="21"/>
      <c r="O54" s="19"/>
      <c r="P54" s="20"/>
      <c r="Q54" s="21"/>
      <c r="R54" s="19"/>
      <c r="S54" s="20"/>
      <c r="T54" s="21"/>
      <c r="U54" s="22" t="str">
        <f>IFERROR(IF(IF(X54&gt;0,X54,IF(Z54&gt;0,Z54,IF(AB54&gt;0,AB54,0)))=0,"--",ROUND(CHOOSE(IF(X54&gt;0,X54,IF(Z54&gt;0,Z54,IF(AB54&gt;0,AB54,0))),IF(C54="peso_corporal",IF(ISNUMBER(E54),E54,0)+F54,F54)*(1+G54/30),IF(C54="peso_corporal",IF(ISNUMBER(E54),E54,0)+I54,I54)*(1+J54/30),IF(C54="peso_corporal",IF(ISNUMBER(E54),E54,0)+L54,L54)*(1+M54/30),IF(C54="peso_corporal",IF(ISNUMBER(E54),E54,0)+O54,O54)*(1+P54/30),IF(C54="peso_corporal",IF(ISNUMBER(E54),E54,0)+R54,R54)*(1+S54/30)),1)),"--")</f>
        <v>--</v>
      </c>
      <c r="V54" s="23" t="str">
        <f>IF(SUGERENCIAS!N128="SIN","Sin datos anteriores",IF(SUGERENCIAS!N128="SUBIR_F","^ SUBIR FUERTE | Kg:"&amp;ROUND(SUGERENCIAS!K128,1)&amp;" R:"&amp;ROUND(SUGERENCIAS!L128,0)&amp;" RIR:"&amp;ROUND(SUGERENCIAS!M128,0),IF(SUGERENCIAS!N128="SUBIR_E","^ SUBIR (Est.) | Kg:"&amp;ROUND(SUGERENCIAS!K128,1)&amp;" R:"&amp;ROUND(SUGERENCIAS!L128,0)&amp;" RIR:"&amp;ROUND(SUGERENCIAS!M128,0),IF(SUGERENCIAS!N128="SUBIR","^ SUBIR | Kg:"&amp;ROUND(SUGERENCIAS!K128,1)&amp;" R:"&amp;ROUND(SUGERENCIAS!L128,0)&amp;" RIR:"&amp;ROUND(SUGERENCIAS!M128,0),IF(SUGERENCIAS!N128="BAJAR","v BAJAR | Kg:"&amp;ROUND(SUGERENCIAS!K128,1)&amp;" R:"&amp;ROUND(SUGERENCIAS!L128,0)&amp;" RIR:"&amp;ROUND(SUGERENCIAS!M128,0),"= MANT | Kg:"&amp;ROUND(SUGERENCIAS!K128,1)&amp;" R:"&amp;ROUND(SUGERENCIAS!L128,0)&amp;" RIR:"&amp;ROUND(SUGERENCIAS!M128,0))))))</f>
        <v>Sin datos anteriores</v>
      </c>
      <c r="W54" s="69">
        <f>MAX(IF((G54&gt;0)*(IF(H54="",-1,H54)&gt;=1)*(IF(H54="",-1,H54)&lt;=3),IF(C54="peso_corporal",IF(ISNUMBER(E54),E54,0)+F54,F54)*G54*1000+F54,0),IF((J54&gt;0)*(IF(K54="",-1,K54)&gt;=1)*(IF(K54="",-1,K54)&lt;=3),IF(C54="peso_corporal",IF(ISNUMBER(E54),E54,0)+I54,I54)*J54*1000+I54,0),IF((M54&gt;0)*(IF(N54="",-1,N54)&gt;=1)*(IF(N54="",-1,N54)&lt;=3),IF(C54="peso_corporal",IF(ISNUMBER(E54),E54,0)+L54,L54)*M54*1000+L54,0),IF((P54&gt;0)*(IF(Q54="",-1,Q54)&gt;=1)*(IF(Q54="",-1,Q54)&lt;=3),IF(C54="peso_corporal",IF(ISNUMBER(E54),E54,0)+O54,O54)*P54*1000+O54,0),IF((S54&gt;0)*(IF(T54="",-1,T54)&gt;=1)*(IF(T54="",-1,T54)&lt;=3),IF(C54="peso_corporal",IF(ISNUMBER(E54),E54,0)+R54,R54)*S54*1000+R54,0))</f>
        <v>0</v>
      </c>
      <c r="X54" s="69">
        <f>IF(W54=0,0,IF(IF((S54&gt;0)*(IF(T54="",-1,T54)&gt;=1)*(IF(T54="",-1,T54)&lt;=3),IF(C54="peso_corporal",IF(ISNUMBER(E54),E54,0)+R54,R54)*S54*1000+R54,0)=W54,5,IF(IF((P54&gt;0)*(IF(Q54="",-1,Q54)&gt;=1)*(IF(Q54="",-1,Q54)&lt;=3),IF(C54="peso_corporal",IF(ISNUMBER(E54),E54,0)+O54,O54)*P54*1000+O54,0)=W54,4,IF(IF((M54&gt;0)*(IF(N54="",-1,N54)&gt;=1)*(IF(N54="",-1,N54)&lt;=3),IF(C54="peso_corporal",IF(ISNUMBER(E54),E54,0)+L54,L54)*M54*1000+L54,0)=W54,3,IF(IF((J54&gt;0)*(IF(K54="",-1,K54)&gt;=1)*(IF(K54="",-1,K54)&lt;=3),IF(C54="peso_corporal",IF(ISNUMBER(E54),E54,0)+I54,I54)*J54*1000+I54,0)=W54,2,IF(IF((G54&gt;0)*(IF(H54="",-1,H54)&gt;=1)*(IF(H54="",-1,H54)&lt;=3),IF(C54="peso_corporal",IF(ISNUMBER(E54),E54,0)+F54,F54)*G54*1000+F54,0)=W54,1,0))))))</f>
        <v>0</v>
      </c>
      <c r="Y54" s="69">
        <f>MAX(IF((G54&gt;0)*(IF(H54="",-1,H54)=0)*(1-(IF(H54="",-1,H54)&gt;=1)*(IF(H54="",-1,H54)&lt;=3)),IF(C54="peso_corporal",IF(ISNUMBER(E54),E54,0)+F54,F54)*G54*1000+F54,0),IF((J54&gt;0)*(IF(K54="",-1,K54)=0)*(1-(IF(K54="",-1,K54)&gt;=1)*(IF(K54="",-1,K54)&lt;=3)),IF(C54="peso_corporal",IF(ISNUMBER(E54),E54,0)+I54,I54)*J54*1000+I54,0),IF((M54&gt;0)*(IF(N54="",-1,N54)=0)*(1-(IF(N54="",-1,N54)&gt;=1)*(IF(N54="",-1,N54)&lt;=3)),IF(C54="peso_corporal",IF(ISNUMBER(E54),E54,0)+L54,L54)*M54*1000+L54,0),IF((P54&gt;0)*(IF(Q54="",-1,Q54)=0)*(1-(IF(Q54="",-1,Q54)&gt;=1)*(IF(Q54="",-1,Q54)&lt;=3)),IF(C54="peso_corporal",IF(ISNUMBER(E54),E54,0)+O54,O54)*P54*1000+O54,0),IF((S54&gt;0)*(IF(T54="",-1,T54)=0)*(1-(IF(T54="",-1,T54)&gt;=1)*(IF(T54="",-1,T54)&lt;=3)),IF(C54="peso_corporal",IF(ISNUMBER(E54),E54,0)+R54,R54)*S54*1000+R54,0))</f>
        <v>0</v>
      </c>
      <c r="Z54" s="69">
        <f>IF(Y54=0,0,IF(IF((S54&gt;0)*(IF(T54="",-1,T54)=0)*(1-(IF(T54="",-1,T54)&gt;=1)*(IF(T54="",-1,T54)&lt;=3)),IF(C54="peso_corporal",IF(ISNUMBER(E54),E54,0)+R54,R54)*S54*1000+R54,0)=Y54,5,IF(IF((P54&gt;0)*(IF(Q54="",-1,Q54)=0)*(1-(IF(Q54="",-1,Q54)&gt;=1)*(IF(Q54="",-1,Q54)&lt;=3)),IF(C54="peso_corporal",IF(ISNUMBER(E54),E54,0)+O54,O54)*P54*1000+O54,0)=Y54,4,IF(IF((M54&gt;0)*(IF(N54="",-1,N54)=0)*(1-(IF(N54="",-1,N54)&gt;=1)*(IF(N54="",-1,N54)&lt;=3)),IF(C54="peso_corporal",IF(ISNUMBER(E54),E54,0)+L54,L54)*M54*1000+L54,0)=Y54,3,IF(IF((J54&gt;0)*(IF(K54="",-1,K54)=0)*(1-(IF(K54="",-1,K54)&gt;=1)*(IF(K54="",-1,K54)&lt;=3)),IF(C54="peso_corporal",IF(ISNUMBER(E54),E54,0)+I54,I54)*J54*1000+I54,0)=Y54,2,IF(IF((G54&gt;0)*(IF(H54="",-1,H54)=0)*(1-(IF(H54="",-1,H54)&gt;=1)*(IF(H54="",-1,H54)&lt;=3)),IF(C54="peso_corporal",IF(ISNUMBER(E54),E54,0)+F54,F54)*G54*1000+F54,0)=Y54,1,0))))))</f>
        <v>0</v>
      </c>
      <c r="AA54" s="69">
        <f>MAX(IF((G54&gt;=6)*(1-(IF(H54="",-1,H54)&gt;=1)*(IF(H54="",-1,H54)&lt;=3))*(1-(IF(H54="",-1,H54)=0)),IF(C54="peso_corporal",IF(ISNUMBER(E54),E54,0)+F54,F54)*(30+G54)*100+F54,0),IF((J54&gt;=6)*(1-(IF(K54="",-1,K54)&gt;=1)*(IF(K54="",-1,K54)&lt;=3))*(1-(IF(K54="",-1,K54)=0)),IF(C54="peso_corporal",IF(ISNUMBER(E54),E54,0)+I54,I54)*(30+J54)*100+I54,0),IF((M54&gt;=6)*(1-(IF(N54="",-1,N54)&gt;=1)*(IF(N54="",-1,N54)&lt;=3))*(1-(IF(N54="",-1,N54)=0)),IF(C54="peso_corporal",IF(ISNUMBER(E54),E54,0)+L54,L54)*(30+M54)*100+L54,0),IF((P54&gt;=6)*(1-(IF(Q54="",-1,Q54)&gt;=1)*(IF(Q54="",-1,Q54)&lt;=3))*(1-(IF(Q54="",-1,Q54)=0)),IF(C54="peso_corporal",IF(ISNUMBER(E54),E54,0)+O54,O54)*(30+P54)*100+O54,0),IF((S54&gt;=6)*(1-(IF(T54="",-1,T54)&gt;=1)*(IF(T54="",-1,T54)&lt;=3))*(1-(IF(T54="",-1,T54)=0)),IF(C54="peso_corporal",IF(ISNUMBER(E54),E54,0)+R54,R54)*(30+S54)*100+R54,0))</f>
        <v>0</v>
      </c>
      <c r="AB54" s="69">
        <f>IF(AA54=0,0,IF(IF((S54&gt;=6)*(1-(IF(T54="",-1,T54)&gt;=1)*(IF(T54="",-1,T54)&lt;=3))*(1-(IF(T54="",-1,T54)=0)),IF(C54="peso_corporal",IF(ISNUMBER(E54),E54,0)+R54,R54)*(30+S54)*100+R54,0)=AA54,5,IF(IF((P54&gt;=6)*(1-(IF(Q54="",-1,Q54)&gt;=1)*(IF(Q54="",-1,Q54)&lt;=3))*(1-(IF(Q54="",-1,Q54)=0)),IF(C54="peso_corporal",IF(ISNUMBER(E54),E54,0)+O54,O54)*(30+P54)*100+O54,0)=AA54,4,IF(IF((M54&gt;=6)*(1-(IF(N54="",-1,N54)&gt;=1)*(IF(N54="",-1,N54)&lt;=3))*(1-(IF(N54="",-1,N54)=0)),IF(C54="peso_corporal",IF(ISNUMBER(E54),E54,0)+L54,L54)*(30+M54)*100+L54,0)=AA54,3,IF(IF((J54&gt;=6)*(1-(IF(K54="",-1,K54)&gt;=1)*(IF(K54="",-1,K54)&lt;=3))*(1-(IF(K54="",-1,K54)=0)),IF(C54="peso_corporal",IF(ISNUMBER(E54),E54,0)+I54,I54)*(30+J54)*100+I54,0)=AA54,2,IF(IF((G54&gt;=6)*(1-(IF(H54="",-1,H54)&gt;=1)*(IF(H54="",-1,H54)&lt;=3))*(1-(IF(H54="",-1,H54)=0)),IF(C54="peso_corporal",IF(ISNUMBER(E54),E54,0)+F54,F54)*(30+G54)*100+F54,0)=AA54,1,0))))))</f>
        <v>0</v>
      </c>
      <c r="AC54" s="69" t="str">
        <f>IF(X54&gt;0,"A"&amp;X54,IF(Z54&gt;0,"B"&amp;Z54,IF(AB54&gt;0,"C"&amp;AB54,"")))</f>
        <v/>
      </c>
    </row>
    <row r="55" spans="1:29" ht="15" customHeight="1">
      <c r="A55" s="72" t="s">
        <v>56</v>
      </c>
      <c r="B55" s="73"/>
      <c r="C55" s="73"/>
      <c r="D55" s="73"/>
      <c r="E55" s="73"/>
      <c r="F55" s="73"/>
      <c r="G55" s="73"/>
      <c r="H55" s="73"/>
      <c r="I55" s="73"/>
      <c r="J55" s="73"/>
      <c r="K55" s="73"/>
      <c r="L55" s="73"/>
      <c r="M55" s="73"/>
      <c r="N55" s="73"/>
      <c r="O55" s="73"/>
      <c r="P55" s="73"/>
      <c r="Q55" s="73"/>
      <c r="R55" s="73"/>
      <c r="S55" s="73"/>
      <c r="T55" s="73"/>
      <c r="U55" s="73"/>
      <c r="V55" s="73"/>
      <c r="W55" s="69"/>
      <c r="X55" s="69"/>
      <c r="Y55" s="69"/>
      <c r="Z55" s="69"/>
      <c r="AA55" s="69"/>
      <c r="AB55" s="69"/>
      <c r="AC55" s="69"/>
    </row>
    <row r="56" spans="1:29" ht="20.100000000000001" customHeight="1">
      <c r="A56" s="14" t="s">
        <v>57</v>
      </c>
      <c r="B56" s="15" t="s">
        <v>58</v>
      </c>
      <c r="C56" s="16" t="str">
        <f>IFERROR(INDEX(EJERCICIOS!$D$3:$D$75,MATCH(A56&amp;"|"&amp;B56,EJERCICIOS!$G$3:$G$75,0)),"--")</f>
        <v>polea</v>
      </c>
      <c r="D56" s="17">
        <v>3</v>
      </c>
      <c r="E56" s="18">
        <f>IFERROR(LOOKUP(2,1/(MEDIDAS_Y_PESO!$B$3:$B$4&lt;&gt;""),MEDIDAS_Y_PESO!$B$3:$B$4),"--")</f>
        <v>80</v>
      </c>
      <c r="F56" s="19"/>
      <c r="G56" s="20"/>
      <c r="H56" s="21"/>
      <c r="I56" s="19"/>
      <c r="J56" s="20"/>
      <c r="K56" s="21"/>
      <c r="L56" s="19"/>
      <c r="M56" s="20"/>
      <c r="N56" s="21"/>
      <c r="O56" s="19"/>
      <c r="P56" s="20"/>
      <c r="Q56" s="21"/>
      <c r="R56" s="19"/>
      <c r="S56" s="20"/>
      <c r="T56" s="21"/>
      <c r="U56" s="22" t="str">
        <f>IFERROR(IF(IF(X56&gt;0,X56,IF(Z56&gt;0,Z56,IF(AB56&gt;0,AB56,0)))=0,"--",ROUND(CHOOSE(IF(X56&gt;0,X56,IF(Z56&gt;0,Z56,IF(AB56&gt;0,AB56,0))),IF(C56="peso_corporal",IF(ISNUMBER(E56),E56,0)+F56,F56)*(1+G56/30),IF(C56="peso_corporal",IF(ISNUMBER(E56),E56,0)+I56,I56)*(1+J56/30),IF(C56="peso_corporal",IF(ISNUMBER(E56),E56,0)+L56,L56)*(1+M56/30),IF(C56="peso_corporal",IF(ISNUMBER(E56),E56,0)+O56,O56)*(1+P56/30),IF(C56="peso_corporal",IF(ISNUMBER(E56),E56,0)+R56,R56)*(1+S56/30)),1)),"--")</f>
        <v>--</v>
      </c>
      <c r="V56" s="23" t="str">
        <f>IF(SUGERENCIAS!N129="SIN","Sin datos anteriores",IF(SUGERENCIAS!N129="SUBIR_F","^ SUBIR FUERTE | Kg:"&amp;ROUND(SUGERENCIAS!K129,1)&amp;" R:"&amp;ROUND(SUGERENCIAS!L129,0)&amp;" RIR:"&amp;ROUND(SUGERENCIAS!M129,0),IF(SUGERENCIAS!N129="SUBIR_E","^ SUBIR (Est.) | Kg:"&amp;ROUND(SUGERENCIAS!K129,1)&amp;" R:"&amp;ROUND(SUGERENCIAS!L129,0)&amp;" RIR:"&amp;ROUND(SUGERENCIAS!M129,0),IF(SUGERENCIAS!N129="SUBIR","^ SUBIR | Kg:"&amp;ROUND(SUGERENCIAS!K129,1)&amp;" R:"&amp;ROUND(SUGERENCIAS!L129,0)&amp;" RIR:"&amp;ROUND(SUGERENCIAS!M129,0),IF(SUGERENCIAS!N129="BAJAR","v BAJAR | Kg:"&amp;ROUND(SUGERENCIAS!K129,1)&amp;" R:"&amp;ROUND(SUGERENCIAS!L129,0)&amp;" RIR:"&amp;ROUND(SUGERENCIAS!M129,0),"= MANT | Kg:"&amp;ROUND(SUGERENCIAS!K129,1)&amp;" R:"&amp;ROUND(SUGERENCIAS!L129,0)&amp;" RIR:"&amp;ROUND(SUGERENCIAS!M129,0))))))</f>
        <v>Sin datos anteriores</v>
      </c>
      <c r="W56" s="69">
        <f>MAX(IF((G56&gt;0)*(IF(H56="",-1,H56)&gt;=1)*(IF(H56="",-1,H56)&lt;=3),IF(C56="peso_corporal",IF(ISNUMBER(E56),E56,0)+F56,F56)*G56*1000+F56,0),IF((J56&gt;0)*(IF(K56="",-1,K56)&gt;=1)*(IF(K56="",-1,K56)&lt;=3),IF(C56="peso_corporal",IF(ISNUMBER(E56),E56,0)+I56,I56)*J56*1000+I56,0),IF((M56&gt;0)*(IF(N56="",-1,N56)&gt;=1)*(IF(N56="",-1,N56)&lt;=3),IF(C56="peso_corporal",IF(ISNUMBER(E56),E56,0)+L56,L56)*M56*1000+L56,0),IF((P56&gt;0)*(IF(Q56="",-1,Q56)&gt;=1)*(IF(Q56="",-1,Q56)&lt;=3),IF(C56="peso_corporal",IF(ISNUMBER(E56),E56,0)+O56,O56)*P56*1000+O56,0),IF((S56&gt;0)*(IF(T56="",-1,T56)&gt;=1)*(IF(T56="",-1,T56)&lt;=3),IF(C56="peso_corporal",IF(ISNUMBER(E56),E56,0)+R56,R56)*S56*1000+R56,0))</f>
        <v>0</v>
      </c>
      <c r="X56" s="69">
        <f>IF(W56=0,0,IF(IF((S56&gt;0)*(IF(T56="",-1,T56)&gt;=1)*(IF(T56="",-1,T56)&lt;=3),IF(C56="peso_corporal",IF(ISNUMBER(E56),E56,0)+R56,R56)*S56*1000+R56,0)=W56,5,IF(IF((P56&gt;0)*(IF(Q56="",-1,Q56)&gt;=1)*(IF(Q56="",-1,Q56)&lt;=3),IF(C56="peso_corporal",IF(ISNUMBER(E56),E56,0)+O56,O56)*P56*1000+O56,0)=W56,4,IF(IF((M56&gt;0)*(IF(N56="",-1,N56)&gt;=1)*(IF(N56="",-1,N56)&lt;=3),IF(C56="peso_corporal",IF(ISNUMBER(E56),E56,0)+L56,L56)*M56*1000+L56,0)=W56,3,IF(IF((J56&gt;0)*(IF(K56="",-1,K56)&gt;=1)*(IF(K56="",-1,K56)&lt;=3),IF(C56="peso_corporal",IF(ISNUMBER(E56),E56,0)+I56,I56)*J56*1000+I56,0)=W56,2,IF(IF((G56&gt;0)*(IF(H56="",-1,H56)&gt;=1)*(IF(H56="",-1,H56)&lt;=3),IF(C56="peso_corporal",IF(ISNUMBER(E56),E56,0)+F56,F56)*G56*1000+F56,0)=W56,1,0))))))</f>
        <v>0</v>
      </c>
      <c r="Y56" s="69">
        <f>MAX(IF((G56&gt;0)*(IF(H56="",-1,H56)=0)*(1-(IF(H56="",-1,H56)&gt;=1)*(IF(H56="",-1,H56)&lt;=3)),IF(C56="peso_corporal",IF(ISNUMBER(E56),E56,0)+F56,F56)*G56*1000+F56,0),IF((J56&gt;0)*(IF(K56="",-1,K56)=0)*(1-(IF(K56="",-1,K56)&gt;=1)*(IF(K56="",-1,K56)&lt;=3)),IF(C56="peso_corporal",IF(ISNUMBER(E56),E56,0)+I56,I56)*J56*1000+I56,0),IF((M56&gt;0)*(IF(N56="",-1,N56)=0)*(1-(IF(N56="",-1,N56)&gt;=1)*(IF(N56="",-1,N56)&lt;=3)),IF(C56="peso_corporal",IF(ISNUMBER(E56),E56,0)+L56,L56)*M56*1000+L56,0),IF((P56&gt;0)*(IF(Q56="",-1,Q56)=0)*(1-(IF(Q56="",-1,Q56)&gt;=1)*(IF(Q56="",-1,Q56)&lt;=3)),IF(C56="peso_corporal",IF(ISNUMBER(E56),E56,0)+O56,O56)*P56*1000+O56,0),IF((S56&gt;0)*(IF(T56="",-1,T56)=0)*(1-(IF(T56="",-1,T56)&gt;=1)*(IF(T56="",-1,T56)&lt;=3)),IF(C56="peso_corporal",IF(ISNUMBER(E56),E56,0)+R56,R56)*S56*1000+R56,0))</f>
        <v>0</v>
      </c>
      <c r="Z56" s="69">
        <f>IF(Y56=0,0,IF(IF((S56&gt;0)*(IF(T56="",-1,T56)=0)*(1-(IF(T56="",-1,T56)&gt;=1)*(IF(T56="",-1,T56)&lt;=3)),IF(C56="peso_corporal",IF(ISNUMBER(E56),E56,0)+R56,R56)*S56*1000+R56,0)=Y56,5,IF(IF((P56&gt;0)*(IF(Q56="",-1,Q56)=0)*(1-(IF(Q56="",-1,Q56)&gt;=1)*(IF(Q56="",-1,Q56)&lt;=3)),IF(C56="peso_corporal",IF(ISNUMBER(E56),E56,0)+O56,O56)*P56*1000+O56,0)=Y56,4,IF(IF((M56&gt;0)*(IF(N56="",-1,N56)=0)*(1-(IF(N56="",-1,N56)&gt;=1)*(IF(N56="",-1,N56)&lt;=3)),IF(C56="peso_corporal",IF(ISNUMBER(E56),E56,0)+L56,L56)*M56*1000+L56,0)=Y56,3,IF(IF((J56&gt;0)*(IF(K56="",-1,K56)=0)*(1-(IF(K56="",-1,K56)&gt;=1)*(IF(K56="",-1,K56)&lt;=3)),IF(C56="peso_corporal",IF(ISNUMBER(E56),E56,0)+I56,I56)*J56*1000+I56,0)=Y56,2,IF(IF((G56&gt;0)*(IF(H56="",-1,H56)=0)*(1-(IF(H56="",-1,H56)&gt;=1)*(IF(H56="",-1,H56)&lt;=3)),IF(C56="peso_corporal",IF(ISNUMBER(E56),E56,0)+F56,F56)*G56*1000+F56,0)=Y56,1,0))))))</f>
        <v>0</v>
      </c>
      <c r="AA56" s="69">
        <f>MAX(IF((G56&gt;=6)*(1-(IF(H56="",-1,H56)&gt;=1)*(IF(H56="",-1,H56)&lt;=3))*(1-(IF(H56="",-1,H56)=0)),IF(C56="peso_corporal",IF(ISNUMBER(E56),E56,0)+F56,F56)*(30+G56)*100+F56,0),IF((J56&gt;=6)*(1-(IF(K56="",-1,K56)&gt;=1)*(IF(K56="",-1,K56)&lt;=3))*(1-(IF(K56="",-1,K56)=0)),IF(C56="peso_corporal",IF(ISNUMBER(E56),E56,0)+I56,I56)*(30+J56)*100+I56,0),IF((M56&gt;=6)*(1-(IF(N56="",-1,N56)&gt;=1)*(IF(N56="",-1,N56)&lt;=3))*(1-(IF(N56="",-1,N56)=0)),IF(C56="peso_corporal",IF(ISNUMBER(E56),E56,0)+L56,L56)*(30+M56)*100+L56,0),IF((P56&gt;=6)*(1-(IF(Q56="",-1,Q56)&gt;=1)*(IF(Q56="",-1,Q56)&lt;=3))*(1-(IF(Q56="",-1,Q56)=0)),IF(C56="peso_corporal",IF(ISNUMBER(E56),E56,0)+O56,O56)*(30+P56)*100+O56,0),IF((S56&gt;=6)*(1-(IF(T56="",-1,T56)&gt;=1)*(IF(T56="",-1,T56)&lt;=3))*(1-(IF(T56="",-1,T56)=0)),IF(C56="peso_corporal",IF(ISNUMBER(E56),E56,0)+R56,R56)*(30+S56)*100+R56,0))</f>
        <v>0</v>
      </c>
      <c r="AB56" s="69">
        <f>IF(AA56=0,0,IF(IF((S56&gt;=6)*(1-(IF(T56="",-1,T56)&gt;=1)*(IF(T56="",-1,T56)&lt;=3))*(1-(IF(T56="",-1,T56)=0)),IF(C56="peso_corporal",IF(ISNUMBER(E56),E56,0)+R56,R56)*(30+S56)*100+R56,0)=AA56,5,IF(IF((P56&gt;=6)*(1-(IF(Q56="",-1,Q56)&gt;=1)*(IF(Q56="",-1,Q56)&lt;=3))*(1-(IF(Q56="",-1,Q56)=0)),IF(C56="peso_corporal",IF(ISNUMBER(E56),E56,0)+O56,O56)*(30+P56)*100+O56,0)=AA56,4,IF(IF((M56&gt;=6)*(1-(IF(N56="",-1,N56)&gt;=1)*(IF(N56="",-1,N56)&lt;=3))*(1-(IF(N56="",-1,N56)=0)),IF(C56="peso_corporal",IF(ISNUMBER(E56),E56,0)+L56,L56)*(30+M56)*100+L56,0)=AA56,3,IF(IF((J56&gt;=6)*(1-(IF(K56="",-1,K56)&gt;=1)*(IF(K56="",-1,K56)&lt;=3))*(1-(IF(K56="",-1,K56)=0)),IF(C56="peso_corporal",IF(ISNUMBER(E56),E56,0)+I56,I56)*(30+J56)*100+I56,0)=AA56,2,IF(IF((G56&gt;=6)*(1-(IF(H56="",-1,H56)&gt;=1)*(IF(H56="",-1,H56)&lt;=3))*(1-(IF(H56="",-1,H56)=0)),IF(C56="peso_corporal",IF(ISNUMBER(E56),E56,0)+F56,F56)*(30+G56)*100+F56,0)=AA56,1,0))))))</f>
        <v>0</v>
      </c>
      <c r="AC56" s="69" t="str">
        <f>IF(X56&gt;0,"A"&amp;X56,IF(Z56&gt;0,"B"&amp;Z56,IF(AB56&gt;0,"C"&amp;AB56,"")))</f>
        <v/>
      </c>
    </row>
    <row r="57" spans="1:29" ht="6" customHeight="1">
      <c r="A57" s="13"/>
      <c r="B57" s="13"/>
      <c r="C57" s="13"/>
      <c r="D57" s="13"/>
      <c r="E57" s="13"/>
      <c r="F57" s="13"/>
      <c r="G57" s="13"/>
      <c r="H57" s="13"/>
      <c r="I57" s="13"/>
      <c r="J57" s="13"/>
      <c r="K57" s="13"/>
      <c r="L57" s="13"/>
      <c r="M57" s="13"/>
      <c r="N57" s="13"/>
      <c r="O57" s="13"/>
      <c r="P57" s="13"/>
      <c r="Q57" s="13"/>
      <c r="R57" s="13"/>
      <c r="S57" s="13"/>
      <c r="T57" s="13"/>
      <c r="U57" s="13"/>
      <c r="V57" s="13"/>
      <c r="W57" s="69"/>
      <c r="X57" s="69"/>
      <c r="Y57" s="69"/>
      <c r="Z57" s="69"/>
      <c r="AA57" s="69"/>
      <c r="AB57" s="69"/>
      <c r="AC57" s="69"/>
    </row>
    <row r="58" spans="1:29" ht="18" customHeight="1">
      <c r="A58" s="85" t="s">
        <v>68</v>
      </c>
      <c r="B58" s="73"/>
      <c r="C58" s="73"/>
      <c r="D58" s="73"/>
      <c r="E58" s="73"/>
      <c r="F58" s="73"/>
      <c r="G58" s="73"/>
      <c r="H58" s="73"/>
      <c r="I58" s="73"/>
      <c r="J58" s="73"/>
      <c r="K58" s="73"/>
      <c r="L58" s="73"/>
      <c r="M58" s="73"/>
      <c r="N58" s="73"/>
      <c r="O58" s="73"/>
      <c r="P58" s="73"/>
      <c r="Q58" s="73"/>
      <c r="R58" s="73"/>
      <c r="S58" s="73"/>
      <c r="T58" s="73"/>
      <c r="U58" s="73"/>
      <c r="V58" s="73"/>
      <c r="W58" s="69"/>
      <c r="X58" s="69"/>
      <c r="Y58" s="69"/>
      <c r="Z58" s="69"/>
      <c r="AA58" s="69"/>
      <c r="AB58" s="69"/>
      <c r="AC58" s="69"/>
    </row>
    <row r="59" spans="1:29" ht="15" customHeight="1">
      <c r="A59" s="75" t="s">
        <v>88</v>
      </c>
      <c r="B59" s="73"/>
      <c r="C59" s="73"/>
      <c r="D59" s="73"/>
      <c r="E59" s="73"/>
      <c r="F59" s="73"/>
      <c r="G59" s="73"/>
      <c r="H59" s="73"/>
      <c r="I59" s="73"/>
      <c r="J59" s="73"/>
      <c r="K59" s="73"/>
      <c r="L59" s="73"/>
      <c r="M59" s="73"/>
      <c r="N59" s="73"/>
      <c r="O59" s="73"/>
      <c r="P59" s="73"/>
      <c r="Q59" s="73"/>
      <c r="R59" s="73"/>
      <c r="S59" s="73"/>
      <c r="T59" s="73"/>
      <c r="U59" s="73"/>
      <c r="V59" s="73"/>
      <c r="W59" s="69"/>
      <c r="X59" s="69"/>
      <c r="Y59" s="69"/>
      <c r="Z59" s="69"/>
      <c r="AA59" s="69"/>
      <c r="AB59" s="69"/>
      <c r="AC59" s="69"/>
    </row>
    <row r="60" spans="1:29" ht="11.1" customHeight="1">
      <c r="A60" s="76" t="s">
        <v>89</v>
      </c>
      <c r="B60" s="73"/>
      <c r="C60" s="73"/>
      <c r="D60" s="73"/>
      <c r="E60" s="73"/>
      <c r="F60" s="73"/>
      <c r="G60" s="73"/>
      <c r="H60" s="73"/>
      <c r="I60" s="73"/>
      <c r="J60" s="73"/>
      <c r="K60" s="73"/>
      <c r="L60" s="73"/>
      <c r="M60" s="73"/>
      <c r="N60" s="73"/>
      <c r="O60" s="73"/>
      <c r="P60" s="73"/>
      <c r="Q60" s="73"/>
      <c r="R60" s="73"/>
      <c r="S60" s="73"/>
      <c r="T60" s="73"/>
      <c r="U60" s="73"/>
      <c r="V60" s="73"/>
      <c r="W60" s="69"/>
      <c r="X60" s="69"/>
      <c r="Y60" s="69"/>
      <c r="Z60" s="69"/>
      <c r="AA60" s="69"/>
      <c r="AB60" s="69"/>
      <c r="AC60" s="69"/>
    </row>
    <row r="61" spans="1:29" ht="20.100000000000001" customHeight="1">
      <c r="A61" s="14" t="s">
        <v>92</v>
      </c>
      <c r="B61" s="15" t="s">
        <v>108</v>
      </c>
      <c r="C61" s="16" t="str">
        <f>IFERROR(INDEX(EJERCICIOS!$D$3:$D$75,MATCH(A61&amp;"|"&amp;B61,EJERCICIOS!$G$3:$G$75,0)),"--")</f>
        <v>polea</v>
      </c>
      <c r="D61" s="17">
        <v>3</v>
      </c>
      <c r="E61" s="18">
        <f>IFERROR(LOOKUP(2,1/(MEDIDAS_Y_PESO!$B$3:$B$5&lt;&gt;""),MEDIDAS_Y_PESO!$B$3:$B$5),"--")</f>
        <v>80</v>
      </c>
      <c r="F61" s="19"/>
      <c r="G61" s="20"/>
      <c r="H61" s="21"/>
      <c r="I61" s="19"/>
      <c r="J61" s="20"/>
      <c r="K61" s="21"/>
      <c r="L61" s="19"/>
      <c r="M61" s="20"/>
      <c r="N61" s="21"/>
      <c r="O61" s="19"/>
      <c r="P61" s="20"/>
      <c r="Q61" s="21"/>
      <c r="R61" s="19"/>
      <c r="S61" s="20"/>
      <c r="T61" s="21"/>
      <c r="U61" s="22" t="str">
        <f>IFERROR(IF(IF(X61&gt;0,X61,IF(Z61&gt;0,Z61,IF(AB61&gt;0,AB61,0)))=0,"--",ROUND(CHOOSE(IF(X61&gt;0,X61,IF(Z61&gt;0,Z61,IF(AB61&gt;0,AB61,0))),IF(C61="peso_corporal",IF(ISNUMBER(E61),E61,0)+F61,F61)*(1+G61/30),IF(C61="peso_corporal",IF(ISNUMBER(E61),E61,0)+I61,I61)*(1+J61/30),IF(C61="peso_corporal",IF(ISNUMBER(E61),E61,0)+L61,L61)*(1+M61/30),IF(C61="peso_corporal",IF(ISNUMBER(E61),E61,0)+O61,O61)*(1+P61/30),IF(C61="peso_corporal",IF(ISNUMBER(E61),E61,0)+R61,R61)*(1+S61/30)),1)),"--")</f>
        <v>--</v>
      </c>
      <c r="V61" s="23" t="str">
        <f>IF(SUGERENCIAS!N180="SIN","Sin datos anteriores",IF(SUGERENCIAS!N180="SUBIR_F","^ SUBIR FUERTE | Kg:"&amp;ROUND(SUGERENCIAS!K180,1)&amp;" R:"&amp;ROUND(SUGERENCIAS!L180,0)&amp;" RIR:"&amp;ROUND(SUGERENCIAS!M180,0),IF(SUGERENCIAS!N180="SUBIR_E","^ SUBIR (Est.) | Kg:"&amp;ROUND(SUGERENCIAS!K180,1)&amp;" R:"&amp;ROUND(SUGERENCIAS!L180,0)&amp;" RIR:"&amp;ROUND(SUGERENCIAS!M180,0),IF(SUGERENCIAS!N180="SUBIR","^ SUBIR | Kg:"&amp;ROUND(SUGERENCIAS!K180,1)&amp;" R:"&amp;ROUND(SUGERENCIAS!L180,0)&amp;" RIR:"&amp;ROUND(SUGERENCIAS!M180,0),IF(SUGERENCIAS!N180="BAJAR","v BAJAR | Kg:"&amp;ROUND(SUGERENCIAS!K180,1)&amp;" R:"&amp;ROUND(SUGERENCIAS!L180,0)&amp;" RIR:"&amp;ROUND(SUGERENCIAS!M180,0),"= MANT | Kg:"&amp;ROUND(SUGERENCIAS!K180,1)&amp;" R:"&amp;ROUND(SUGERENCIAS!L180,0)&amp;" RIR:"&amp;ROUND(SUGERENCIAS!M180,0))))))</f>
        <v>Sin datos anteriores</v>
      </c>
      <c r="W61" s="69">
        <f>MAX(IF((G61&gt;0)*(IF(H61="",-1,H61)&gt;=0)*(IF(H61="",-1,H61)&lt;=1),IF(C61="peso_corporal",IF(ISNUMBER(E61),E61,0)+F61,F61)*G61*1000+F61,0),IF((J61&gt;0)*(IF(K61="",-1,K61)&gt;=0)*(IF(K61="",-1,K61)&lt;=1),IF(C61="peso_corporal",IF(ISNUMBER(E61),E61,0)+I61,I61)*J61*1000+I61,0),IF((M61&gt;0)*(IF(N61="",-1,N61)&gt;=0)*(IF(N61="",-1,N61)&lt;=1),IF(C61="peso_corporal",IF(ISNUMBER(E61),E61,0)+L61,L61)*M61*1000+L61,0),IF((P61&gt;0)*(IF(Q61="",-1,Q61)&gt;=0)*(IF(Q61="",-1,Q61)&lt;=1),IF(C61="peso_corporal",IF(ISNUMBER(E61),E61,0)+O61,O61)*P61*1000+O61,0),IF((S61&gt;0)*(IF(T61="",-1,T61)&gt;=0)*(IF(T61="",-1,T61)&lt;=1),IF(C61="peso_corporal",IF(ISNUMBER(E61),E61,0)+R61,R61)*S61*1000+R61,0))</f>
        <v>0</v>
      </c>
      <c r="X61" s="69">
        <f>IF(W61=0,0,IF(IF((S61&gt;0)*(IF(T61="",-1,T61)&gt;=0)*(IF(T61="",-1,T61)&lt;=1),IF(C61="peso_corporal",IF(ISNUMBER(E61),E61,0)+R61,R61)*S61*1000+R61,0)=W61,5,IF(IF((P61&gt;0)*(IF(Q61="",-1,Q61)&gt;=0)*(IF(Q61="",-1,Q61)&lt;=1),IF(C61="peso_corporal",IF(ISNUMBER(E61),E61,0)+O61,O61)*P61*1000+O61,0)=W61,4,IF(IF((M61&gt;0)*(IF(N61="",-1,N61)&gt;=0)*(IF(N61="",-1,N61)&lt;=1),IF(C61="peso_corporal",IF(ISNUMBER(E61),E61,0)+L61,L61)*M61*1000+L61,0)=W61,3,IF(IF((J61&gt;0)*(IF(K61="",-1,K61)&gt;=0)*(IF(K61="",-1,K61)&lt;=1),IF(C61="peso_corporal",IF(ISNUMBER(E61),E61,0)+I61,I61)*J61*1000+I61,0)=W61,2,IF(IF((G61&gt;0)*(IF(H61="",-1,H61)&gt;=0)*(IF(H61="",-1,H61)&lt;=1),IF(C61="peso_corporal",IF(ISNUMBER(E61),E61,0)+F61,F61)*G61*1000+F61,0)=W61,1,0))))))</f>
        <v>0</v>
      </c>
      <c r="Y61" s="69">
        <f>MAX(IF((G61&gt;0)*(IF(H61="",-1,H61)=0)*(1-(IF(H61="",-1,H61)&gt;=0)*(IF(H61="",-1,H61)&lt;=1)),IF(C61="peso_corporal",IF(ISNUMBER(E61),E61,0)+F61,F61)*G61*1000+F61,0),IF((J61&gt;0)*(IF(K61="",-1,K61)=0)*(1-(IF(K61="",-1,K61)&gt;=0)*(IF(K61="",-1,K61)&lt;=1)),IF(C61="peso_corporal",IF(ISNUMBER(E61),E61,0)+I61,I61)*J61*1000+I61,0),IF((M61&gt;0)*(IF(N61="",-1,N61)=0)*(1-(IF(N61="",-1,N61)&gt;=0)*(IF(N61="",-1,N61)&lt;=1)),IF(C61="peso_corporal",IF(ISNUMBER(E61),E61,0)+L61,L61)*M61*1000+L61,0),IF((P61&gt;0)*(IF(Q61="",-1,Q61)=0)*(1-(IF(Q61="",-1,Q61)&gt;=0)*(IF(Q61="",-1,Q61)&lt;=1)),IF(C61="peso_corporal",IF(ISNUMBER(E61),E61,0)+O61,O61)*P61*1000+O61,0),IF((S61&gt;0)*(IF(T61="",-1,T61)=0)*(1-(IF(T61="",-1,T61)&gt;=0)*(IF(T61="",-1,T61)&lt;=1)),IF(C61="peso_corporal",IF(ISNUMBER(E61),E61,0)+R61,R61)*S61*1000+R61,0))</f>
        <v>0</v>
      </c>
      <c r="Z61" s="69">
        <f>IF(Y61=0,0,IF(IF((S61&gt;0)*(IF(T61="",-1,T61)=0)*(1-(IF(T61="",-1,T61)&gt;=0)*(IF(T61="",-1,T61)&lt;=1)),IF(C61="peso_corporal",IF(ISNUMBER(E61),E61,0)+R61,R61)*S61*1000+R61,0)=Y61,5,IF(IF((P61&gt;0)*(IF(Q61="",-1,Q61)=0)*(1-(IF(Q61="",-1,Q61)&gt;=0)*(IF(Q61="",-1,Q61)&lt;=1)),IF(C61="peso_corporal",IF(ISNUMBER(E61),E61,0)+O61,O61)*P61*1000+O61,0)=Y61,4,IF(IF((M61&gt;0)*(IF(N61="",-1,N61)=0)*(1-(IF(N61="",-1,N61)&gt;=0)*(IF(N61="",-1,N61)&lt;=1)),IF(C61="peso_corporal",IF(ISNUMBER(E61),E61,0)+L61,L61)*M61*1000+L61,0)=Y61,3,IF(IF((J61&gt;0)*(IF(K61="",-1,K61)=0)*(1-(IF(K61="",-1,K61)&gt;=0)*(IF(K61="",-1,K61)&lt;=1)),IF(C61="peso_corporal",IF(ISNUMBER(E61),E61,0)+I61,I61)*J61*1000+I61,0)=Y61,2,IF(IF((G61&gt;0)*(IF(H61="",-1,H61)=0)*(1-(IF(H61="",-1,H61)&gt;=0)*(IF(H61="",-1,H61)&lt;=1)),IF(C61="peso_corporal",IF(ISNUMBER(E61),E61,0)+F61,F61)*G61*1000+F61,0)=Y61,1,0))))))</f>
        <v>0</v>
      </c>
      <c r="AA61" s="69">
        <f>MAX(IF((G61&gt;=3)*(1-(IF(H61="",-1,H61)&gt;=0)*(IF(H61="",-1,H61)&lt;=1))*(1-(IF(H61="",-1,H61)=0)),IF(C61="peso_corporal",IF(ISNUMBER(E61),E61,0)+F61,F61)*(30+G61)*100+F61,0),IF((J61&gt;=3)*(1-(IF(K61="",-1,K61)&gt;=0)*(IF(K61="",-1,K61)&lt;=1))*(1-(IF(K61="",-1,K61)=0)),IF(C61="peso_corporal",IF(ISNUMBER(E61),E61,0)+I61,I61)*(30+J61)*100+I61,0),IF((M61&gt;=3)*(1-(IF(N61="",-1,N61)&gt;=0)*(IF(N61="",-1,N61)&lt;=1))*(1-(IF(N61="",-1,N61)=0)),IF(C61="peso_corporal",IF(ISNUMBER(E61),E61,0)+L61,L61)*(30+M61)*100+L61,0),IF((P61&gt;=3)*(1-(IF(Q61="",-1,Q61)&gt;=0)*(IF(Q61="",-1,Q61)&lt;=1))*(1-(IF(Q61="",-1,Q61)=0)),IF(C61="peso_corporal",IF(ISNUMBER(E61),E61,0)+O61,O61)*(30+P61)*100+O61,0),IF((S61&gt;=3)*(1-(IF(T61="",-1,T61)&gt;=0)*(IF(T61="",-1,T61)&lt;=1))*(1-(IF(T61="",-1,T61)=0)),IF(C61="peso_corporal",IF(ISNUMBER(E61),E61,0)+R61,R61)*(30+S61)*100+R61,0))</f>
        <v>0</v>
      </c>
      <c r="AB61" s="69">
        <f>IF(AA61=0,0,IF(IF((S61&gt;=3)*(1-(IF(T61="",-1,T61)&gt;=0)*(IF(T61="",-1,T61)&lt;=1))*(1-(IF(T61="",-1,T61)=0)),IF(C61="peso_corporal",IF(ISNUMBER(E61),E61,0)+R61,R61)*(30+S61)*100+R61,0)=AA61,5,IF(IF((P61&gt;=3)*(1-(IF(Q61="",-1,Q61)&gt;=0)*(IF(Q61="",-1,Q61)&lt;=1))*(1-(IF(Q61="",-1,Q61)=0)),IF(C61="peso_corporal",IF(ISNUMBER(E61),E61,0)+O61,O61)*(30+P61)*100+O61,0)=AA61,4,IF(IF((M61&gt;=3)*(1-(IF(N61="",-1,N61)&gt;=0)*(IF(N61="",-1,N61)&lt;=1))*(1-(IF(N61="",-1,N61)=0)),IF(C61="peso_corporal",IF(ISNUMBER(E61),E61,0)+L61,L61)*(30+M61)*100+L61,0)=AA61,3,IF(IF((J61&gt;=3)*(1-(IF(K61="",-1,K61)&gt;=0)*(IF(K61="",-1,K61)&lt;=1))*(1-(IF(K61="",-1,K61)=0)),IF(C61="peso_corporal",IF(ISNUMBER(E61),E61,0)+I61,I61)*(30+J61)*100+I61,0)=AA61,2,IF(IF((G61&gt;=3)*(1-(IF(H61="",-1,H61)&gt;=0)*(IF(H61="",-1,H61)&lt;=1))*(1-(IF(H61="",-1,H61)=0)),IF(C61="peso_corporal",IF(ISNUMBER(E61),E61,0)+F61,F61)*(30+G61)*100+F61,0)=AA61,1,0))))))</f>
        <v>0</v>
      </c>
      <c r="AC61" s="69" t="str">
        <f>IF(X61&gt;0,"A"&amp;X61,IF(Z61&gt;0,"B"&amp;Z61,IF(AB61&gt;0,"C"&amp;AB61,"")))</f>
        <v/>
      </c>
    </row>
    <row r="62" spans="1:29" ht="11.1" customHeight="1">
      <c r="A62" s="84" t="s">
        <v>94</v>
      </c>
      <c r="B62" s="73"/>
      <c r="C62" s="73"/>
      <c r="D62" s="73"/>
      <c r="E62" s="73"/>
      <c r="F62" s="73"/>
      <c r="G62" s="73"/>
      <c r="H62" s="73"/>
      <c r="I62" s="73"/>
      <c r="J62" s="73"/>
      <c r="K62" s="73"/>
      <c r="L62" s="73"/>
      <c r="M62" s="73"/>
      <c r="N62" s="73"/>
      <c r="O62" s="73"/>
      <c r="P62" s="73"/>
      <c r="Q62" s="73"/>
      <c r="R62" s="73"/>
      <c r="S62" s="73"/>
      <c r="T62" s="73"/>
      <c r="U62" s="73"/>
      <c r="V62" s="73"/>
      <c r="W62" s="69"/>
      <c r="X62" s="69"/>
      <c r="Y62" s="69"/>
      <c r="Z62" s="69"/>
      <c r="AA62" s="69"/>
      <c r="AB62" s="69"/>
      <c r="AC62" s="69"/>
    </row>
    <row r="63" spans="1:29" ht="20.100000000000001" customHeight="1">
      <c r="A63" s="14" t="s">
        <v>95</v>
      </c>
      <c r="B63" s="15" t="s">
        <v>172</v>
      </c>
      <c r="C63" s="16" t="str">
        <f>IFERROR(INDEX(EJERCICIOS!$D$3:$D$75,MATCH(A63&amp;"|"&amp;B63,EJERCICIOS!$G$3:$G$75,0)),"--")</f>
        <v>polea</v>
      </c>
      <c r="D63" s="17">
        <v>3</v>
      </c>
      <c r="E63" s="18">
        <f>IFERROR(LOOKUP(2,1/(MEDIDAS_Y_PESO!$B$3:$B$5&lt;&gt;""),MEDIDAS_Y_PESO!$B$3:$B$5),"--")</f>
        <v>80</v>
      </c>
      <c r="F63" s="19"/>
      <c r="G63" s="20"/>
      <c r="H63" s="21"/>
      <c r="I63" s="19"/>
      <c r="J63" s="20"/>
      <c r="K63" s="21"/>
      <c r="L63" s="19"/>
      <c r="M63" s="20"/>
      <c r="N63" s="21"/>
      <c r="O63" s="19"/>
      <c r="P63" s="20"/>
      <c r="Q63" s="21"/>
      <c r="R63" s="19"/>
      <c r="S63" s="20"/>
      <c r="T63" s="21"/>
      <c r="U63" s="22" t="str">
        <f>IFERROR(IF(IF(X63&gt;0,X63,IF(Z63&gt;0,Z63,IF(AB63&gt;0,AB63,0)))=0,"--",ROUND(CHOOSE(IF(X63&gt;0,X63,IF(Z63&gt;0,Z63,IF(AB63&gt;0,AB63,0))),IF(C63="peso_corporal",IF(ISNUMBER(E63),E63,0)+F63,F63)*(1+G63/30),IF(C63="peso_corporal",IF(ISNUMBER(E63),E63,0)+I63,I63)*(1+J63/30),IF(C63="peso_corporal",IF(ISNUMBER(E63),E63,0)+L63,L63)*(1+M63/30),IF(C63="peso_corporal",IF(ISNUMBER(E63),E63,0)+O63,O63)*(1+P63/30),IF(C63="peso_corporal",IF(ISNUMBER(E63),E63,0)+R63,R63)*(1+S63/30)),1)),"--")</f>
        <v>--</v>
      </c>
      <c r="V63" s="23" t="str">
        <f>IF(SUGERENCIAS!N181="SIN","Sin datos anteriores",IF(SUGERENCIAS!N181="SUBIR_F","^ SUBIR FUERTE | Kg:"&amp;ROUND(SUGERENCIAS!K181,1)&amp;" R:"&amp;ROUND(SUGERENCIAS!L181,0)&amp;" RIR:"&amp;ROUND(SUGERENCIAS!M181,0),IF(SUGERENCIAS!N181="SUBIR_E","^ SUBIR (Est.) | Kg:"&amp;ROUND(SUGERENCIAS!K181,1)&amp;" R:"&amp;ROUND(SUGERENCIAS!L181,0)&amp;" RIR:"&amp;ROUND(SUGERENCIAS!M181,0),IF(SUGERENCIAS!N181="SUBIR","^ SUBIR | Kg:"&amp;ROUND(SUGERENCIAS!K181,1)&amp;" R:"&amp;ROUND(SUGERENCIAS!L181,0)&amp;" RIR:"&amp;ROUND(SUGERENCIAS!M181,0),IF(SUGERENCIAS!N181="BAJAR","v BAJAR | Kg:"&amp;ROUND(SUGERENCIAS!K181,1)&amp;" R:"&amp;ROUND(SUGERENCIAS!L181,0)&amp;" RIR:"&amp;ROUND(SUGERENCIAS!M181,0),"= MANT | Kg:"&amp;ROUND(SUGERENCIAS!K181,1)&amp;" R:"&amp;ROUND(SUGERENCIAS!L181,0)&amp;" RIR:"&amp;ROUND(SUGERENCIAS!M181,0))))))</f>
        <v>Sin datos anteriores</v>
      </c>
      <c r="W63" s="69">
        <f>MAX(IF((G63&gt;0)*(IF(H63="",-1,H63)&gt;=0)*(IF(H63="",-1,H63)&lt;=1),IF(C63="peso_corporal",IF(ISNUMBER(E63),E63,0)+F63,F63)*G63*1000+F63,0),IF((J63&gt;0)*(IF(K63="",-1,K63)&gt;=0)*(IF(K63="",-1,K63)&lt;=1),IF(C63="peso_corporal",IF(ISNUMBER(E63),E63,0)+I63,I63)*J63*1000+I63,0),IF((M63&gt;0)*(IF(N63="",-1,N63)&gt;=0)*(IF(N63="",-1,N63)&lt;=1),IF(C63="peso_corporal",IF(ISNUMBER(E63),E63,0)+L63,L63)*M63*1000+L63,0),IF((P63&gt;0)*(IF(Q63="",-1,Q63)&gt;=0)*(IF(Q63="",-1,Q63)&lt;=1),IF(C63="peso_corporal",IF(ISNUMBER(E63),E63,0)+O63,O63)*P63*1000+O63,0),IF((S63&gt;0)*(IF(T63="",-1,T63)&gt;=0)*(IF(T63="",-1,T63)&lt;=1),IF(C63="peso_corporal",IF(ISNUMBER(E63),E63,0)+R63,R63)*S63*1000+R63,0))</f>
        <v>0</v>
      </c>
      <c r="X63" s="69">
        <f>IF(W63=0,0,IF(IF((S63&gt;0)*(IF(T63="",-1,T63)&gt;=0)*(IF(T63="",-1,T63)&lt;=1),IF(C63="peso_corporal",IF(ISNUMBER(E63),E63,0)+R63,R63)*S63*1000+R63,0)=W63,5,IF(IF((P63&gt;0)*(IF(Q63="",-1,Q63)&gt;=0)*(IF(Q63="",-1,Q63)&lt;=1),IF(C63="peso_corporal",IF(ISNUMBER(E63),E63,0)+O63,O63)*P63*1000+O63,0)=W63,4,IF(IF((M63&gt;0)*(IF(N63="",-1,N63)&gt;=0)*(IF(N63="",-1,N63)&lt;=1),IF(C63="peso_corporal",IF(ISNUMBER(E63),E63,0)+L63,L63)*M63*1000+L63,0)=W63,3,IF(IF((J63&gt;0)*(IF(K63="",-1,K63)&gt;=0)*(IF(K63="",-1,K63)&lt;=1),IF(C63="peso_corporal",IF(ISNUMBER(E63),E63,0)+I63,I63)*J63*1000+I63,0)=W63,2,IF(IF((G63&gt;0)*(IF(H63="",-1,H63)&gt;=0)*(IF(H63="",-1,H63)&lt;=1),IF(C63="peso_corporal",IF(ISNUMBER(E63),E63,0)+F63,F63)*G63*1000+F63,0)=W63,1,0))))))</f>
        <v>0</v>
      </c>
      <c r="Y63" s="69">
        <f>MAX(IF((G63&gt;0)*(IF(H63="",-1,H63)=0)*(1-(IF(H63="",-1,H63)&gt;=0)*(IF(H63="",-1,H63)&lt;=1)),IF(C63="peso_corporal",IF(ISNUMBER(E63),E63,0)+F63,F63)*G63*1000+F63,0),IF((J63&gt;0)*(IF(K63="",-1,K63)=0)*(1-(IF(K63="",-1,K63)&gt;=0)*(IF(K63="",-1,K63)&lt;=1)),IF(C63="peso_corporal",IF(ISNUMBER(E63),E63,0)+I63,I63)*J63*1000+I63,0),IF((M63&gt;0)*(IF(N63="",-1,N63)=0)*(1-(IF(N63="",-1,N63)&gt;=0)*(IF(N63="",-1,N63)&lt;=1)),IF(C63="peso_corporal",IF(ISNUMBER(E63),E63,0)+L63,L63)*M63*1000+L63,0),IF((P63&gt;0)*(IF(Q63="",-1,Q63)=0)*(1-(IF(Q63="",-1,Q63)&gt;=0)*(IF(Q63="",-1,Q63)&lt;=1)),IF(C63="peso_corporal",IF(ISNUMBER(E63),E63,0)+O63,O63)*P63*1000+O63,0),IF((S63&gt;0)*(IF(T63="",-1,T63)=0)*(1-(IF(T63="",-1,T63)&gt;=0)*(IF(T63="",-1,T63)&lt;=1)),IF(C63="peso_corporal",IF(ISNUMBER(E63),E63,0)+R63,R63)*S63*1000+R63,0))</f>
        <v>0</v>
      </c>
      <c r="Z63" s="69">
        <f>IF(Y63=0,0,IF(IF((S63&gt;0)*(IF(T63="",-1,T63)=0)*(1-(IF(T63="",-1,T63)&gt;=0)*(IF(T63="",-1,T63)&lt;=1)),IF(C63="peso_corporal",IF(ISNUMBER(E63),E63,0)+R63,R63)*S63*1000+R63,0)=Y63,5,IF(IF((P63&gt;0)*(IF(Q63="",-1,Q63)=0)*(1-(IF(Q63="",-1,Q63)&gt;=0)*(IF(Q63="",-1,Q63)&lt;=1)),IF(C63="peso_corporal",IF(ISNUMBER(E63),E63,0)+O63,O63)*P63*1000+O63,0)=Y63,4,IF(IF((M63&gt;0)*(IF(N63="",-1,N63)=0)*(1-(IF(N63="",-1,N63)&gt;=0)*(IF(N63="",-1,N63)&lt;=1)),IF(C63="peso_corporal",IF(ISNUMBER(E63),E63,0)+L63,L63)*M63*1000+L63,0)=Y63,3,IF(IF((J63&gt;0)*(IF(K63="",-1,K63)=0)*(1-(IF(K63="",-1,K63)&gt;=0)*(IF(K63="",-1,K63)&lt;=1)),IF(C63="peso_corporal",IF(ISNUMBER(E63),E63,0)+I63,I63)*J63*1000+I63,0)=Y63,2,IF(IF((G63&gt;0)*(IF(H63="",-1,H63)=0)*(1-(IF(H63="",-1,H63)&gt;=0)*(IF(H63="",-1,H63)&lt;=1)),IF(C63="peso_corporal",IF(ISNUMBER(E63),E63,0)+F63,F63)*G63*1000+F63,0)=Y63,1,0))))))</f>
        <v>0</v>
      </c>
      <c r="AA63" s="69">
        <f>MAX(IF((G63&gt;=3)*(1-(IF(H63="",-1,H63)&gt;=0)*(IF(H63="",-1,H63)&lt;=1))*(1-(IF(H63="",-1,H63)=0)),IF(C63="peso_corporal",IF(ISNUMBER(E63),E63,0)+F63,F63)*(30+G63)*100+F63,0),IF((J63&gt;=3)*(1-(IF(K63="",-1,K63)&gt;=0)*(IF(K63="",-1,K63)&lt;=1))*(1-(IF(K63="",-1,K63)=0)),IF(C63="peso_corporal",IF(ISNUMBER(E63),E63,0)+I63,I63)*(30+J63)*100+I63,0),IF((M63&gt;=3)*(1-(IF(N63="",-1,N63)&gt;=0)*(IF(N63="",-1,N63)&lt;=1))*(1-(IF(N63="",-1,N63)=0)),IF(C63="peso_corporal",IF(ISNUMBER(E63),E63,0)+L63,L63)*(30+M63)*100+L63,0),IF((P63&gt;=3)*(1-(IF(Q63="",-1,Q63)&gt;=0)*(IF(Q63="",-1,Q63)&lt;=1))*(1-(IF(Q63="",-1,Q63)=0)),IF(C63="peso_corporal",IF(ISNUMBER(E63),E63,0)+O63,O63)*(30+P63)*100+O63,0),IF((S63&gt;=3)*(1-(IF(T63="",-1,T63)&gt;=0)*(IF(T63="",-1,T63)&lt;=1))*(1-(IF(T63="",-1,T63)=0)),IF(C63="peso_corporal",IF(ISNUMBER(E63),E63,0)+R63,R63)*(30+S63)*100+R63,0))</f>
        <v>0</v>
      </c>
      <c r="AB63" s="69">
        <f>IF(AA63=0,0,IF(IF((S63&gt;=3)*(1-(IF(T63="",-1,T63)&gt;=0)*(IF(T63="",-1,T63)&lt;=1))*(1-(IF(T63="",-1,T63)=0)),IF(C63="peso_corporal",IF(ISNUMBER(E63),E63,0)+R63,R63)*(30+S63)*100+R63,0)=AA63,5,IF(IF((P63&gt;=3)*(1-(IF(Q63="",-1,Q63)&gt;=0)*(IF(Q63="",-1,Q63)&lt;=1))*(1-(IF(Q63="",-1,Q63)=0)),IF(C63="peso_corporal",IF(ISNUMBER(E63),E63,0)+O63,O63)*(30+P63)*100+O63,0)=AA63,4,IF(IF((M63&gt;=3)*(1-(IF(N63="",-1,N63)&gt;=0)*(IF(N63="",-1,N63)&lt;=1))*(1-(IF(N63="",-1,N63)=0)),IF(C63="peso_corporal",IF(ISNUMBER(E63),E63,0)+L63,L63)*(30+M63)*100+L63,0)=AA63,3,IF(IF((J63&gt;=3)*(1-(IF(K63="",-1,K63)&gt;=0)*(IF(K63="",-1,K63)&lt;=1))*(1-(IF(K63="",-1,K63)=0)),IF(C63="peso_corporal",IF(ISNUMBER(E63),E63,0)+I63,I63)*(30+J63)*100+I63,0)=AA63,2,IF(IF((G63&gt;=3)*(1-(IF(H63="",-1,H63)&gt;=0)*(IF(H63="",-1,H63)&lt;=1))*(1-(IF(H63="",-1,H63)=0)),IF(C63="peso_corporal",IF(ISNUMBER(E63),E63,0)+F63,F63)*(30+G63)*100+F63,0)=AA63,1,0))))))</f>
        <v>0</v>
      </c>
      <c r="AC63" s="69" t="str">
        <f>IF(X63&gt;0,"A"&amp;X63,IF(Z63&gt;0,"B"&amp;Z63,IF(AB63&gt;0,"C"&amp;AB63,"")))</f>
        <v/>
      </c>
    </row>
    <row r="64" spans="1:29" ht="20.100000000000001" customHeight="1">
      <c r="A64" s="14" t="s">
        <v>95</v>
      </c>
      <c r="B64" s="15" t="s">
        <v>173</v>
      </c>
      <c r="C64" s="16" t="str">
        <f>IFERROR(INDEX(EJERCICIOS!$D$3:$D$75,MATCH(A64&amp;"|"&amp;B64,EJERCICIOS!$G$3:$G$75,0)),"--")</f>
        <v>polea</v>
      </c>
      <c r="D64" s="17">
        <v>3</v>
      </c>
      <c r="E64" s="18">
        <f>IFERROR(LOOKUP(2,1/(MEDIDAS_Y_PESO!$B$3:$B$5&lt;&gt;""),MEDIDAS_Y_PESO!$B$3:$B$5),"--")</f>
        <v>80</v>
      </c>
      <c r="F64" s="19"/>
      <c r="G64" s="20"/>
      <c r="H64" s="21"/>
      <c r="I64" s="19"/>
      <c r="J64" s="20"/>
      <c r="K64" s="21"/>
      <c r="L64" s="19"/>
      <c r="M64" s="20"/>
      <c r="N64" s="21"/>
      <c r="O64" s="19"/>
      <c r="P64" s="20"/>
      <c r="Q64" s="21"/>
      <c r="R64" s="19"/>
      <c r="S64" s="20"/>
      <c r="T64" s="21"/>
      <c r="U64" s="22" t="str">
        <f>IFERROR(IF(IF(X64&gt;0,X64,IF(Z64&gt;0,Z64,IF(AB64&gt;0,AB64,0)))=0,"--",ROUND(CHOOSE(IF(X64&gt;0,X64,IF(Z64&gt;0,Z64,IF(AB64&gt;0,AB64,0))),IF(C64="peso_corporal",IF(ISNUMBER(E64),E64,0)+F64,F64)*(1+G64/30),IF(C64="peso_corporal",IF(ISNUMBER(E64),E64,0)+I64,I64)*(1+J64/30),IF(C64="peso_corporal",IF(ISNUMBER(E64),E64,0)+L64,L64)*(1+M64/30),IF(C64="peso_corporal",IF(ISNUMBER(E64),E64,0)+O64,O64)*(1+P64/30),IF(C64="peso_corporal",IF(ISNUMBER(E64),E64,0)+R64,R64)*(1+S64/30)),1)),"--")</f>
        <v>--</v>
      </c>
      <c r="V64" s="23" t="str">
        <f>IF(SUGERENCIAS!N182="SIN","Sin datos anteriores",IF(SUGERENCIAS!N182="SUBIR_F","^ SUBIR FUERTE | Kg:"&amp;ROUND(SUGERENCIAS!K182,1)&amp;" R:"&amp;ROUND(SUGERENCIAS!L182,0)&amp;" RIR:"&amp;ROUND(SUGERENCIAS!M182,0),IF(SUGERENCIAS!N182="SUBIR_E","^ SUBIR (Est.) | Kg:"&amp;ROUND(SUGERENCIAS!K182,1)&amp;" R:"&amp;ROUND(SUGERENCIAS!L182,0)&amp;" RIR:"&amp;ROUND(SUGERENCIAS!M182,0),IF(SUGERENCIAS!N182="SUBIR","^ SUBIR | Kg:"&amp;ROUND(SUGERENCIAS!K182,1)&amp;" R:"&amp;ROUND(SUGERENCIAS!L182,0)&amp;" RIR:"&amp;ROUND(SUGERENCIAS!M182,0),IF(SUGERENCIAS!N182="BAJAR","v BAJAR | Kg:"&amp;ROUND(SUGERENCIAS!K182,1)&amp;" R:"&amp;ROUND(SUGERENCIAS!L182,0)&amp;" RIR:"&amp;ROUND(SUGERENCIAS!M182,0),"= MANT | Kg:"&amp;ROUND(SUGERENCIAS!K182,1)&amp;" R:"&amp;ROUND(SUGERENCIAS!L182,0)&amp;" RIR:"&amp;ROUND(SUGERENCIAS!M182,0))))))</f>
        <v>Sin datos anteriores</v>
      </c>
      <c r="W64" s="69">
        <f>MAX(IF((G64&gt;0)*(IF(H64="",-1,H64)&gt;=0)*(IF(H64="",-1,H64)&lt;=1),IF(C64="peso_corporal",IF(ISNUMBER(E64),E64,0)+F64,F64)*G64*1000+F64,0),IF((J64&gt;0)*(IF(K64="",-1,K64)&gt;=0)*(IF(K64="",-1,K64)&lt;=1),IF(C64="peso_corporal",IF(ISNUMBER(E64),E64,0)+I64,I64)*J64*1000+I64,0),IF((M64&gt;0)*(IF(N64="",-1,N64)&gt;=0)*(IF(N64="",-1,N64)&lt;=1),IF(C64="peso_corporal",IF(ISNUMBER(E64),E64,0)+L64,L64)*M64*1000+L64,0),IF((P64&gt;0)*(IF(Q64="",-1,Q64)&gt;=0)*(IF(Q64="",-1,Q64)&lt;=1),IF(C64="peso_corporal",IF(ISNUMBER(E64),E64,0)+O64,O64)*P64*1000+O64,0),IF((S64&gt;0)*(IF(T64="",-1,T64)&gt;=0)*(IF(T64="",-1,T64)&lt;=1),IF(C64="peso_corporal",IF(ISNUMBER(E64),E64,0)+R64,R64)*S64*1000+R64,0))</f>
        <v>0</v>
      </c>
      <c r="X64" s="69">
        <f>IF(W64=0,0,IF(IF((S64&gt;0)*(IF(T64="",-1,T64)&gt;=0)*(IF(T64="",-1,T64)&lt;=1),IF(C64="peso_corporal",IF(ISNUMBER(E64),E64,0)+R64,R64)*S64*1000+R64,0)=W64,5,IF(IF((P64&gt;0)*(IF(Q64="",-1,Q64)&gt;=0)*(IF(Q64="",-1,Q64)&lt;=1),IF(C64="peso_corporal",IF(ISNUMBER(E64),E64,0)+O64,O64)*P64*1000+O64,0)=W64,4,IF(IF((M64&gt;0)*(IF(N64="",-1,N64)&gt;=0)*(IF(N64="",-1,N64)&lt;=1),IF(C64="peso_corporal",IF(ISNUMBER(E64),E64,0)+L64,L64)*M64*1000+L64,0)=W64,3,IF(IF((J64&gt;0)*(IF(K64="",-1,K64)&gt;=0)*(IF(K64="",-1,K64)&lt;=1),IF(C64="peso_corporal",IF(ISNUMBER(E64),E64,0)+I64,I64)*J64*1000+I64,0)=W64,2,IF(IF((G64&gt;0)*(IF(H64="",-1,H64)&gt;=0)*(IF(H64="",-1,H64)&lt;=1),IF(C64="peso_corporal",IF(ISNUMBER(E64),E64,0)+F64,F64)*G64*1000+F64,0)=W64,1,0))))))</f>
        <v>0</v>
      </c>
      <c r="Y64" s="69">
        <f>MAX(IF((G64&gt;0)*(IF(H64="",-1,H64)=0)*(1-(IF(H64="",-1,H64)&gt;=0)*(IF(H64="",-1,H64)&lt;=1)),IF(C64="peso_corporal",IF(ISNUMBER(E64),E64,0)+F64,F64)*G64*1000+F64,0),IF((J64&gt;0)*(IF(K64="",-1,K64)=0)*(1-(IF(K64="",-1,K64)&gt;=0)*(IF(K64="",-1,K64)&lt;=1)),IF(C64="peso_corporal",IF(ISNUMBER(E64),E64,0)+I64,I64)*J64*1000+I64,0),IF((M64&gt;0)*(IF(N64="",-1,N64)=0)*(1-(IF(N64="",-1,N64)&gt;=0)*(IF(N64="",-1,N64)&lt;=1)),IF(C64="peso_corporal",IF(ISNUMBER(E64),E64,0)+L64,L64)*M64*1000+L64,0),IF((P64&gt;0)*(IF(Q64="",-1,Q64)=0)*(1-(IF(Q64="",-1,Q64)&gt;=0)*(IF(Q64="",-1,Q64)&lt;=1)),IF(C64="peso_corporal",IF(ISNUMBER(E64),E64,0)+O64,O64)*P64*1000+O64,0),IF((S64&gt;0)*(IF(T64="",-1,T64)=0)*(1-(IF(T64="",-1,T64)&gt;=0)*(IF(T64="",-1,T64)&lt;=1)),IF(C64="peso_corporal",IF(ISNUMBER(E64),E64,0)+R64,R64)*S64*1000+R64,0))</f>
        <v>0</v>
      </c>
      <c r="Z64" s="69">
        <f>IF(Y64=0,0,IF(IF((S64&gt;0)*(IF(T64="",-1,T64)=0)*(1-(IF(T64="",-1,T64)&gt;=0)*(IF(T64="",-1,T64)&lt;=1)),IF(C64="peso_corporal",IF(ISNUMBER(E64),E64,0)+R64,R64)*S64*1000+R64,0)=Y64,5,IF(IF((P64&gt;0)*(IF(Q64="",-1,Q64)=0)*(1-(IF(Q64="",-1,Q64)&gt;=0)*(IF(Q64="",-1,Q64)&lt;=1)),IF(C64="peso_corporal",IF(ISNUMBER(E64),E64,0)+O64,O64)*P64*1000+O64,0)=Y64,4,IF(IF((M64&gt;0)*(IF(N64="",-1,N64)=0)*(1-(IF(N64="",-1,N64)&gt;=0)*(IF(N64="",-1,N64)&lt;=1)),IF(C64="peso_corporal",IF(ISNUMBER(E64),E64,0)+L64,L64)*M64*1000+L64,0)=Y64,3,IF(IF((J64&gt;0)*(IF(K64="",-1,K64)=0)*(1-(IF(K64="",-1,K64)&gt;=0)*(IF(K64="",-1,K64)&lt;=1)),IF(C64="peso_corporal",IF(ISNUMBER(E64),E64,0)+I64,I64)*J64*1000+I64,0)=Y64,2,IF(IF((G64&gt;0)*(IF(H64="",-1,H64)=0)*(1-(IF(H64="",-1,H64)&gt;=0)*(IF(H64="",-1,H64)&lt;=1)),IF(C64="peso_corporal",IF(ISNUMBER(E64),E64,0)+F64,F64)*G64*1000+F64,0)=Y64,1,0))))))</f>
        <v>0</v>
      </c>
      <c r="AA64" s="69">
        <f>MAX(IF((G64&gt;=3)*(1-(IF(H64="",-1,H64)&gt;=0)*(IF(H64="",-1,H64)&lt;=1))*(1-(IF(H64="",-1,H64)=0)),IF(C64="peso_corporal",IF(ISNUMBER(E64),E64,0)+F64,F64)*(30+G64)*100+F64,0),IF((J64&gt;=3)*(1-(IF(K64="",-1,K64)&gt;=0)*(IF(K64="",-1,K64)&lt;=1))*(1-(IF(K64="",-1,K64)=0)),IF(C64="peso_corporal",IF(ISNUMBER(E64),E64,0)+I64,I64)*(30+J64)*100+I64,0),IF((M64&gt;=3)*(1-(IF(N64="",-1,N64)&gt;=0)*(IF(N64="",-1,N64)&lt;=1))*(1-(IF(N64="",-1,N64)=0)),IF(C64="peso_corporal",IF(ISNUMBER(E64),E64,0)+L64,L64)*(30+M64)*100+L64,0),IF((P64&gt;=3)*(1-(IF(Q64="",-1,Q64)&gt;=0)*(IF(Q64="",-1,Q64)&lt;=1))*(1-(IF(Q64="",-1,Q64)=0)),IF(C64="peso_corporal",IF(ISNUMBER(E64),E64,0)+O64,O64)*(30+P64)*100+O64,0),IF((S64&gt;=3)*(1-(IF(T64="",-1,T64)&gt;=0)*(IF(T64="",-1,T64)&lt;=1))*(1-(IF(T64="",-1,T64)=0)),IF(C64="peso_corporal",IF(ISNUMBER(E64),E64,0)+R64,R64)*(30+S64)*100+R64,0))</f>
        <v>0</v>
      </c>
      <c r="AB64" s="69">
        <f>IF(AA64=0,0,IF(IF((S64&gt;=3)*(1-(IF(T64="",-1,T64)&gt;=0)*(IF(T64="",-1,T64)&lt;=1))*(1-(IF(T64="",-1,T64)=0)),IF(C64="peso_corporal",IF(ISNUMBER(E64),E64,0)+R64,R64)*(30+S64)*100+R64,0)=AA64,5,IF(IF((P64&gt;=3)*(1-(IF(Q64="",-1,Q64)&gt;=0)*(IF(Q64="",-1,Q64)&lt;=1))*(1-(IF(Q64="",-1,Q64)=0)),IF(C64="peso_corporal",IF(ISNUMBER(E64),E64,0)+O64,O64)*(30+P64)*100+O64,0)=AA64,4,IF(IF((M64&gt;=3)*(1-(IF(N64="",-1,N64)&gt;=0)*(IF(N64="",-1,N64)&lt;=1))*(1-(IF(N64="",-1,N64)=0)),IF(C64="peso_corporal",IF(ISNUMBER(E64),E64,0)+L64,L64)*(30+M64)*100+L64,0)=AA64,3,IF(IF((J64&gt;=3)*(1-(IF(K64="",-1,K64)&gt;=0)*(IF(K64="",-1,K64)&lt;=1))*(1-(IF(K64="",-1,K64)=0)),IF(C64="peso_corporal",IF(ISNUMBER(E64),E64,0)+I64,I64)*(30+J64)*100+I64,0)=AA64,2,IF(IF((G64&gt;=3)*(1-(IF(H64="",-1,H64)&gt;=0)*(IF(H64="",-1,H64)&lt;=1))*(1-(IF(H64="",-1,H64)=0)),IF(C64="peso_corporal",IF(ISNUMBER(E64),E64,0)+F64,F64)*(30+G64)*100+F64,0)=AA64,1,0))))))</f>
        <v>0</v>
      </c>
      <c r="AC64" s="69" t="str">
        <f>IF(X64&gt;0,"A"&amp;X64,IF(Z64&gt;0,"B"&amp;Z64,IF(AB64&gt;0,"C"&amp;AB64,"")))</f>
        <v/>
      </c>
    </row>
    <row r="65" spans="1:29" ht="20.100000000000001" customHeight="1">
      <c r="A65" s="14" t="s">
        <v>163</v>
      </c>
      <c r="B65" s="15" t="s">
        <v>52</v>
      </c>
      <c r="C65" s="16" t="str">
        <f>IFERROR(INDEX(EJERCICIOS!$D$3:$D$75,MATCH(A65&amp;"|"&amp;B65,EJERCICIOS!$G$3:$G$75,0)),"--")</f>
        <v>polea</v>
      </c>
      <c r="D65" s="17">
        <v>3</v>
      </c>
      <c r="E65" s="18">
        <f>IFERROR(LOOKUP(2,1/(MEDIDAS_Y_PESO!$B$3:$B$5&lt;&gt;""),MEDIDAS_Y_PESO!$B$3:$B$5),"--")</f>
        <v>80</v>
      </c>
      <c r="F65" s="19"/>
      <c r="G65" s="20"/>
      <c r="H65" s="21"/>
      <c r="I65" s="19"/>
      <c r="J65" s="20"/>
      <c r="K65" s="21"/>
      <c r="L65" s="19"/>
      <c r="M65" s="20"/>
      <c r="N65" s="21"/>
      <c r="O65" s="19"/>
      <c r="P65" s="20"/>
      <c r="Q65" s="21"/>
      <c r="R65" s="19"/>
      <c r="S65" s="20"/>
      <c r="T65" s="21"/>
      <c r="U65" s="22" t="str">
        <f>IFERROR(IF(IF(X65&gt;0,X65,IF(Z65&gt;0,Z65,IF(AB65&gt;0,AB65,0)))=0,"--",ROUND(CHOOSE(IF(X65&gt;0,X65,IF(Z65&gt;0,Z65,IF(AB65&gt;0,AB65,0))),IF(C65="peso_corporal",IF(ISNUMBER(E65),E65,0)+F65,F65)*(1+G65/30),IF(C65="peso_corporal",IF(ISNUMBER(E65),E65,0)+I65,I65)*(1+J65/30),IF(C65="peso_corporal",IF(ISNUMBER(E65),E65,0)+L65,L65)*(1+M65/30),IF(C65="peso_corporal",IF(ISNUMBER(E65),E65,0)+O65,O65)*(1+P65/30),IF(C65="peso_corporal",IF(ISNUMBER(E65),E65,0)+R65,R65)*(1+S65/30)),1)),"--")</f>
        <v>--</v>
      </c>
      <c r="V65" s="23" t="str">
        <f>IF(SUGERENCIAS!N183="SIN","Sin datos anteriores",IF(SUGERENCIAS!N183="SUBIR_F","^ SUBIR FUERTE | Kg:"&amp;ROUND(SUGERENCIAS!K183,1)&amp;" R:"&amp;ROUND(SUGERENCIAS!L183,0)&amp;" RIR:"&amp;ROUND(SUGERENCIAS!M183,0),IF(SUGERENCIAS!N183="SUBIR_E","^ SUBIR (Est.) | Kg:"&amp;ROUND(SUGERENCIAS!K183,1)&amp;" R:"&amp;ROUND(SUGERENCIAS!L183,0)&amp;" RIR:"&amp;ROUND(SUGERENCIAS!M183,0),IF(SUGERENCIAS!N183="SUBIR","^ SUBIR | Kg:"&amp;ROUND(SUGERENCIAS!K183,1)&amp;" R:"&amp;ROUND(SUGERENCIAS!L183,0)&amp;" RIR:"&amp;ROUND(SUGERENCIAS!M183,0),IF(SUGERENCIAS!N183="BAJAR","v BAJAR | Kg:"&amp;ROUND(SUGERENCIAS!K183,1)&amp;" R:"&amp;ROUND(SUGERENCIAS!L183,0)&amp;" RIR:"&amp;ROUND(SUGERENCIAS!M183,0),"= MANT | Kg:"&amp;ROUND(SUGERENCIAS!K183,1)&amp;" R:"&amp;ROUND(SUGERENCIAS!L183,0)&amp;" RIR:"&amp;ROUND(SUGERENCIAS!M183,0))))))</f>
        <v>Sin datos anteriores</v>
      </c>
      <c r="W65" s="69">
        <f>MAX(IF((G65&gt;0)*(IF(H65="",-1,H65)&gt;=0)*(IF(H65="",-1,H65)&lt;=1),IF(C65="peso_corporal",IF(ISNUMBER(E65),E65,0)+F65,F65)*G65*1000+F65,0),IF((J65&gt;0)*(IF(K65="",-1,K65)&gt;=0)*(IF(K65="",-1,K65)&lt;=1),IF(C65="peso_corporal",IF(ISNUMBER(E65),E65,0)+I65,I65)*J65*1000+I65,0),IF((M65&gt;0)*(IF(N65="",-1,N65)&gt;=0)*(IF(N65="",-1,N65)&lt;=1),IF(C65="peso_corporal",IF(ISNUMBER(E65),E65,0)+L65,L65)*M65*1000+L65,0),IF((P65&gt;0)*(IF(Q65="",-1,Q65)&gt;=0)*(IF(Q65="",-1,Q65)&lt;=1),IF(C65="peso_corporal",IF(ISNUMBER(E65),E65,0)+O65,O65)*P65*1000+O65,0),IF((S65&gt;0)*(IF(T65="",-1,T65)&gt;=0)*(IF(T65="",-1,T65)&lt;=1),IF(C65="peso_corporal",IF(ISNUMBER(E65),E65,0)+R65,R65)*S65*1000+R65,0))</f>
        <v>0</v>
      </c>
      <c r="X65" s="69">
        <f>IF(W65=0,0,IF(IF((S65&gt;0)*(IF(T65="",-1,T65)&gt;=0)*(IF(T65="",-1,T65)&lt;=1),IF(C65="peso_corporal",IF(ISNUMBER(E65),E65,0)+R65,R65)*S65*1000+R65,0)=W65,5,IF(IF((P65&gt;0)*(IF(Q65="",-1,Q65)&gt;=0)*(IF(Q65="",-1,Q65)&lt;=1),IF(C65="peso_corporal",IF(ISNUMBER(E65),E65,0)+O65,O65)*P65*1000+O65,0)=W65,4,IF(IF((M65&gt;0)*(IF(N65="",-1,N65)&gt;=0)*(IF(N65="",-1,N65)&lt;=1),IF(C65="peso_corporal",IF(ISNUMBER(E65),E65,0)+L65,L65)*M65*1000+L65,0)=W65,3,IF(IF((J65&gt;0)*(IF(K65="",-1,K65)&gt;=0)*(IF(K65="",-1,K65)&lt;=1),IF(C65="peso_corporal",IF(ISNUMBER(E65),E65,0)+I65,I65)*J65*1000+I65,0)=W65,2,IF(IF((G65&gt;0)*(IF(H65="",-1,H65)&gt;=0)*(IF(H65="",-1,H65)&lt;=1),IF(C65="peso_corporal",IF(ISNUMBER(E65),E65,0)+F65,F65)*G65*1000+F65,0)=W65,1,0))))))</f>
        <v>0</v>
      </c>
      <c r="Y65" s="69">
        <f>MAX(IF((G65&gt;0)*(IF(H65="",-1,H65)=0)*(1-(IF(H65="",-1,H65)&gt;=0)*(IF(H65="",-1,H65)&lt;=1)),IF(C65="peso_corporal",IF(ISNUMBER(E65),E65,0)+F65,F65)*G65*1000+F65,0),IF((J65&gt;0)*(IF(K65="",-1,K65)=0)*(1-(IF(K65="",-1,K65)&gt;=0)*(IF(K65="",-1,K65)&lt;=1)),IF(C65="peso_corporal",IF(ISNUMBER(E65),E65,0)+I65,I65)*J65*1000+I65,0),IF((M65&gt;0)*(IF(N65="",-1,N65)=0)*(1-(IF(N65="",-1,N65)&gt;=0)*(IF(N65="",-1,N65)&lt;=1)),IF(C65="peso_corporal",IF(ISNUMBER(E65),E65,0)+L65,L65)*M65*1000+L65,0),IF((P65&gt;0)*(IF(Q65="",-1,Q65)=0)*(1-(IF(Q65="",-1,Q65)&gt;=0)*(IF(Q65="",-1,Q65)&lt;=1)),IF(C65="peso_corporal",IF(ISNUMBER(E65),E65,0)+O65,O65)*P65*1000+O65,0),IF((S65&gt;0)*(IF(T65="",-1,T65)=0)*(1-(IF(T65="",-1,T65)&gt;=0)*(IF(T65="",-1,T65)&lt;=1)),IF(C65="peso_corporal",IF(ISNUMBER(E65),E65,0)+R65,R65)*S65*1000+R65,0))</f>
        <v>0</v>
      </c>
      <c r="Z65" s="69">
        <f>IF(Y65=0,0,IF(IF((S65&gt;0)*(IF(T65="",-1,T65)=0)*(1-(IF(T65="",-1,T65)&gt;=0)*(IF(T65="",-1,T65)&lt;=1)),IF(C65="peso_corporal",IF(ISNUMBER(E65),E65,0)+R65,R65)*S65*1000+R65,0)=Y65,5,IF(IF((P65&gt;0)*(IF(Q65="",-1,Q65)=0)*(1-(IF(Q65="",-1,Q65)&gt;=0)*(IF(Q65="",-1,Q65)&lt;=1)),IF(C65="peso_corporal",IF(ISNUMBER(E65),E65,0)+O65,O65)*P65*1000+O65,0)=Y65,4,IF(IF((M65&gt;0)*(IF(N65="",-1,N65)=0)*(1-(IF(N65="",-1,N65)&gt;=0)*(IF(N65="",-1,N65)&lt;=1)),IF(C65="peso_corporal",IF(ISNUMBER(E65),E65,0)+L65,L65)*M65*1000+L65,0)=Y65,3,IF(IF((J65&gt;0)*(IF(K65="",-1,K65)=0)*(1-(IF(K65="",-1,K65)&gt;=0)*(IF(K65="",-1,K65)&lt;=1)),IF(C65="peso_corporal",IF(ISNUMBER(E65),E65,0)+I65,I65)*J65*1000+I65,0)=Y65,2,IF(IF((G65&gt;0)*(IF(H65="",-1,H65)=0)*(1-(IF(H65="",-1,H65)&gt;=0)*(IF(H65="",-1,H65)&lt;=1)),IF(C65="peso_corporal",IF(ISNUMBER(E65),E65,0)+F65,F65)*G65*1000+F65,0)=Y65,1,0))))))</f>
        <v>0</v>
      </c>
      <c r="AA65" s="69">
        <f>MAX(IF((G65&gt;=3)*(1-(IF(H65="",-1,H65)&gt;=0)*(IF(H65="",-1,H65)&lt;=1))*(1-(IF(H65="",-1,H65)=0)),IF(C65="peso_corporal",IF(ISNUMBER(E65),E65,0)+F65,F65)*(30+G65)*100+F65,0),IF((J65&gt;=3)*(1-(IF(K65="",-1,K65)&gt;=0)*(IF(K65="",-1,K65)&lt;=1))*(1-(IF(K65="",-1,K65)=0)),IF(C65="peso_corporal",IF(ISNUMBER(E65),E65,0)+I65,I65)*(30+J65)*100+I65,0),IF((M65&gt;=3)*(1-(IF(N65="",-1,N65)&gt;=0)*(IF(N65="",-1,N65)&lt;=1))*(1-(IF(N65="",-1,N65)=0)),IF(C65="peso_corporal",IF(ISNUMBER(E65),E65,0)+L65,L65)*(30+M65)*100+L65,0),IF((P65&gt;=3)*(1-(IF(Q65="",-1,Q65)&gt;=0)*(IF(Q65="",-1,Q65)&lt;=1))*(1-(IF(Q65="",-1,Q65)=0)),IF(C65="peso_corporal",IF(ISNUMBER(E65),E65,0)+O65,O65)*(30+P65)*100+O65,0),IF((S65&gt;=3)*(1-(IF(T65="",-1,T65)&gt;=0)*(IF(T65="",-1,T65)&lt;=1))*(1-(IF(T65="",-1,T65)=0)),IF(C65="peso_corporal",IF(ISNUMBER(E65),E65,0)+R65,R65)*(30+S65)*100+R65,0))</f>
        <v>0</v>
      </c>
      <c r="AB65" s="69">
        <f>IF(AA65=0,0,IF(IF((S65&gt;=3)*(1-(IF(T65="",-1,T65)&gt;=0)*(IF(T65="",-1,T65)&lt;=1))*(1-(IF(T65="",-1,T65)=0)),IF(C65="peso_corporal",IF(ISNUMBER(E65),E65,0)+R65,R65)*(30+S65)*100+R65,0)=AA65,5,IF(IF((P65&gt;=3)*(1-(IF(Q65="",-1,Q65)&gt;=0)*(IF(Q65="",-1,Q65)&lt;=1))*(1-(IF(Q65="",-1,Q65)=0)),IF(C65="peso_corporal",IF(ISNUMBER(E65),E65,0)+O65,O65)*(30+P65)*100+O65,0)=AA65,4,IF(IF((M65&gt;=3)*(1-(IF(N65="",-1,N65)&gt;=0)*(IF(N65="",-1,N65)&lt;=1))*(1-(IF(N65="",-1,N65)=0)),IF(C65="peso_corporal",IF(ISNUMBER(E65),E65,0)+L65,L65)*(30+M65)*100+L65,0)=AA65,3,IF(IF((J65&gt;=3)*(1-(IF(K65="",-1,K65)&gt;=0)*(IF(K65="",-1,K65)&lt;=1))*(1-(IF(K65="",-1,K65)=0)),IF(C65="peso_corporal",IF(ISNUMBER(E65),E65,0)+I65,I65)*(30+J65)*100+I65,0)=AA65,2,IF(IF((G65&gt;=3)*(1-(IF(H65="",-1,H65)&gt;=0)*(IF(H65="",-1,H65)&lt;=1))*(1-(IF(H65="",-1,H65)=0)),IF(C65="peso_corporal",IF(ISNUMBER(E65),E65,0)+F65,F65)*(30+G65)*100+F65,0)=AA65,1,0))))))</f>
        <v>0</v>
      </c>
      <c r="AC65" s="69" t="str">
        <f>IF(X65&gt;0,"A"&amp;X65,IF(Z65&gt;0,"B"&amp;Z65,IF(AB65&gt;0,"C"&amp;AB65,"")))</f>
        <v/>
      </c>
    </row>
    <row r="66" spans="1:29" ht="15" customHeight="1">
      <c r="A66" s="81" t="s">
        <v>53</v>
      </c>
      <c r="B66" s="73"/>
      <c r="C66" s="73"/>
      <c r="D66" s="73"/>
      <c r="E66" s="73"/>
      <c r="F66" s="73"/>
      <c r="G66" s="73"/>
      <c r="H66" s="73"/>
      <c r="I66" s="73"/>
      <c r="J66" s="73"/>
      <c r="K66" s="73"/>
      <c r="L66" s="73"/>
      <c r="M66" s="73"/>
      <c r="N66" s="73"/>
      <c r="O66" s="73"/>
      <c r="P66" s="73"/>
      <c r="Q66" s="73"/>
      <c r="R66" s="73"/>
      <c r="S66" s="73"/>
      <c r="T66" s="73"/>
      <c r="U66" s="73"/>
      <c r="V66" s="73"/>
      <c r="W66" s="69"/>
      <c r="X66" s="69"/>
      <c r="Y66" s="69"/>
      <c r="Z66" s="69"/>
      <c r="AA66" s="69"/>
      <c r="AB66" s="69"/>
      <c r="AC66" s="69"/>
    </row>
    <row r="67" spans="1:29" ht="20.100000000000001" customHeight="1">
      <c r="A67" s="14" t="s">
        <v>54</v>
      </c>
      <c r="B67" s="15" t="s">
        <v>115</v>
      </c>
      <c r="C67" s="16" t="str">
        <f>IFERROR(INDEX(EJERCICIOS!$D$3:$D$75,MATCH(A67&amp;"|"&amp;B67,EJERCICIOS!$G$3:$G$75,0)),"--")</f>
        <v>polea</v>
      </c>
      <c r="D67" s="17">
        <v>3</v>
      </c>
      <c r="E67" s="18">
        <f>IFERROR(LOOKUP(2,1/(MEDIDAS_Y_PESO!$B$3:$B$5&lt;&gt;""),MEDIDAS_Y_PESO!$B$3:$B$5),"--")</f>
        <v>80</v>
      </c>
      <c r="F67" s="19"/>
      <c r="G67" s="20"/>
      <c r="H67" s="21"/>
      <c r="I67" s="19"/>
      <c r="J67" s="20"/>
      <c r="K67" s="21"/>
      <c r="L67" s="19"/>
      <c r="M67" s="20"/>
      <c r="N67" s="21"/>
      <c r="O67" s="19"/>
      <c r="P67" s="20"/>
      <c r="Q67" s="21"/>
      <c r="R67" s="19"/>
      <c r="S67" s="20"/>
      <c r="T67" s="21"/>
      <c r="U67" s="22" t="str">
        <f>IFERROR(IF(IF(X67&gt;0,X67,IF(Z67&gt;0,Z67,IF(AB67&gt;0,AB67,0)))=0,"--",ROUND(CHOOSE(IF(X67&gt;0,X67,IF(Z67&gt;0,Z67,IF(AB67&gt;0,AB67,0))),IF(C67="peso_corporal",IF(ISNUMBER(E67),E67,0)+F67,F67)*(1+G67/30),IF(C67="peso_corporal",IF(ISNUMBER(E67),E67,0)+I67,I67)*(1+J67/30),IF(C67="peso_corporal",IF(ISNUMBER(E67),E67,0)+L67,L67)*(1+M67/30),IF(C67="peso_corporal",IF(ISNUMBER(E67),E67,0)+O67,O67)*(1+P67/30),IF(C67="peso_corporal",IF(ISNUMBER(E67),E67,0)+R67,R67)*(1+S67/30)),1)),"--")</f>
        <v>--</v>
      </c>
      <c r="V67" s="23" t="str">
        <f>IF(SUGERENCIAS!N184="SIN","Sin datos anteriores",IF(SUGERENCIAS!N184="SUBIR_F","^ SUBIR FUERTE | Kg:"&amp;ROUND(SUGERENCIAS!K184,1)&amp;" R:"&amp;ROUND(SUGERENCIAS!L184,0)&amp;" RIR:"&amp;ROUND(SUGERENCIAS!M184,0),IF(SUGERENCIAS!N184="SUBIR_E","^ SUBIR (Est.) | Kg:"&amp;ROUND(SUGERENCIAS!K184,1)&amp;" R:"&amp;ROUND(SUGERENCIAS!L184,0)&amp;" RIR:"&amp;ROUND(SUGERENCIAS!M184,0),IF(SUGERENCIAS!N184="SUBIR","^ SUBIR | Kg:"&amp;ROUND(SUGERENCIAS!K184,1)&amp;" R:"&amp;ROUND(SUGERENCIAS!L184,0)&amp;" RIR:"&amp;ROUND(SUGERENCIAS!M184,0),IF(SUGERENCIAS!N184="BAJAR","v BAJAR | Kg:"&amp;ROUND(SUGERENCIAS!K184,1)&amp;" R:"&amp;ROUND(SUGERENCIAS!L184,0)&amp;" RIR:"&amp;ROUND(SUGERENCIAS!M184,0),"= MANT | Kg:"&amp;ROUND(SUGERENCIAS!K184,1)&amp;" R:"&amp;ROUND(SUGERENCIAS!L184,0)&amp;" RIR:"&amp;ROUND(SUGERENCIAS!M184,0))))))</f>
        <v>Sin datos anteriores</v>
      </c>
      <c r="W67" s="69">
        <f>MAX(IF((G67&gt;0)*(IF(H67="",-1,H67)&gt;=0)*(IF(H67="",-1,H67)&lt;=1),IF(C67="peso_corporal",IF(ISNUMBER(E67),E67,0)+F67,F67)*G67*1000+F67,0),IF((J67&gt;0)*(IF(K67="",-1,K67)&gt;=0)*(IF(K67="",-1,K67)&lt;=1),IF(C67="peso_corporal",IF(ISNUMBER(E67),E67,0)+I67,I67)*J67*1000+I67,0),IF((M67&gt;0)*(IF(N67="",-1,N67)&gt;=0)*(IF(N67="",-1,N67)&lt;=1),IF(C67="peso_corporal",IF(ISNUMBER(E67),E67,0)+L67,L67)*M67*1000+L67,0),IF((P67&gt;0)*(IF(Q67="",-1,Q67)&gt;=0)*(IF(Q67="",-1,Q67)&lt;=1),IF(C67="peso_corporal",IF(ISNUMBER(E67),E67,0)+O67,O67)*P67*1000+O67,0),IF((S67&gt;0)*(IF(T67="",-1,T67)&gt;=0)*(IF(T67="",-1,T67)&lt;=1),IF(C67="peso_corporal",IF(ISNUMBER(E67),E67,0)+R67,R67)*S67*1000+R67,0))</f>
        <v>0</v>
      </c>
      <c r="X67" s="69">
        <f>IF(W67=0,0,IF(IF((S67&gt;0)*(IF(T67="",-1,T67)&gt;=0)*(IF(T67="",-1,T67)&lt;=1),IF(C67="peso_corporal",IF(ISNUMBER(E67),E67,0)+R67,R67)*S67*1000+R67,0)=W67,5,IF(IF((P67&gt;0)*(IF(Q67="",-1,Q67)&gt;=0)*(IF(Q67="",-1,Q67)&lt;=1),IF(C67="peso_corporal",IF(ISNUMBER(E67),E67,0)+O67,O67)*P67*1000+O67,0)=W67,4,IF(IF((M67&gt;0)*(IF(N67="",-1,N67)&gt;=0)*(IF(N67="",-1,N67)&lt;=1),IF(C67="peso_corporal",IF(ISNUMBER(E67),E67,0)+L67,L67)*M67*1000+L67,0)=W67,3,IF(IF((J67&gt;0)*(IF(K67="",-1,K67)&gt;=0)*(IF(K67="",-1,K67)&lt;=1),IF(C67="peso_corporal",IF(ISNUMBER(E67),E67,0)+I67,I67)*J67*1000+I67,0)=W67,2,IF(IF((G67&gt;0)*(IF(H67="",-1,H67)&gt;=0)*(IF(H67="",-1,H67)&lt;=1),IF(C67="peso_corporal",IF(ISNUMBER(E67),E67,0)+F67,F67)*G67*1000+F67,0)=W67,1,0))))))</f>
        <v>0</v>
      </c>
      <c r="Y67" s="69">
        <f>MAX(IF((G67&gt;0)*(IF(H67="",-1,H67)=0)*(1-(IF(H67="",-1,H67)&gt;=0)*(IF(H67="",-1,H67)&lt;=1)),IF(C67="peso_corporal",IF(ISNUMBER(E67),E67,0)+F67,F67)*G67*1000+F67,0),IF((J67&gt;0)*(IF(K67="",-1,K67)=0)*(1-(IF(K67="",-1,K67)&gt;=0)*(IF(K67="",-1,K67)&lt;=1)),IF(C67="peso_corporal",IF(ISNUMBER(E67),E67,0)+I67,I67)*J67*1000+I67,0),IF((M67&gt;0)*(IF(N67="",-1,N67)=0)*(1-(IF(N67="",-1,N67)&gt;=0)*(IF(N67="",-1,N67)&lt;=1)),IF(C67="peso_corporal",IF(ISNUMBER(E67),E67,0)+L67,L67)*M67*1000+L67,0),IF((P67&gt;0)*(IF(Q67="",-1,Q67)=0)*(1-(IF(Q67="",-1,Q67)&gt;=0)*(IF(Q67="",-1,Q67)&lt;=1)),IF(C67="peso_corporal",IF(ISNUMBER(E67),E67,0)+O67,O67)*P67*1000+O67,0),IF((S67&gt;0)*(IF(T67="",-1,T67)=0)*(1-(IF(T67="",-1,T67)&gt;=0)*(IF(T67="",-1,T67)&lt;=1)),IF(C67="peso_corporal",IF(ISNUMBER(E67),E67,0)+R67,R67)*S67*1000+R67,0))</f>
        <v>0</v>
      </c>
      <c r="Z67" s="69">
        <f>IF(Y67=0,0,IF(IF((S67&gt;0)*(IF(T67="",-1,T67)=0)*(1-(IF(T67="",-1,T67)&gt;=0)*(IF(T67="",-1,T67)&lt;=1)),IF(C67="peso_corporal",IF(ISNUMBER(E67),E67,0)+R67,R67)*S67*1000+R67,0)=Y67,5,IF(IF((P67&gt;0)*(IF(Q67="",-1,Q67)=0)*(1-(IF(Q67="",-1,Q67)&gt;=0)*(IF(Q67="",-1,Q67)&lt;=1)),IF(C67="peso_corporal",IF(ISNUMBER(E67),E67,0)+O67,O67)*P67*1000+O67,0)=Y67,4,IF(IF((M67&gt;0)*(IF(N67="",-1,N67)=0)*(1-(IF(N67="",-1,N67)&gt;=0)*(IF(N67="",-1,N67)&lt;=1)),IF(C67="peso_corporal",IF(ISNUMBER(E67),E67,0)+L67,L67)*M67*1000+L67,0)=Y67,3,IF(IF((J67&gt;0)*(IF(K67="",-1,K67)=0)*(1-(IF(K67="",-1,K67)&gt;=0)*(IF(K67="",-1,K67)&lt;=1)),IF(C67="peso_corporal",IF(ISNUMBER(E67),E67,0)+I67,I67)*J67*1000+I67,0)=Y67,2,IF(IF((G67&gt;0)*(IF(H67="",-1,H67)=0)*(1-(IF(H67="",-1,H67)&gt;=0)*(IF(H67="",-1,H67)&lt;=1)),IF(C67="peso_corporal",IF(ISNUMBER(E67),E67,0)+F67,F67)*G67*1000+F67,0)=Y67,1,0))))))</f>
        <v>0</v>
      </c>
      <c r="AA67" s="69">
        <f>MAX(IF((G67&gt;=3)*(1-(IF(H67="",-1,H67)&gt;=0)*(IF(H67="",-1,H67)&lt;=1))*(1-(IF(H67="",-1,H67)=0)),IF(C67="peso_corporal",IF(ISNUMBER(E67),E67,0)+F67,F67)*(30+G67)*100+F67,0),IF((J67&gt;=3)*(1-(IF(K67="",-1,K67)&gt;=0)*(IF(K67="",-1,K67)&lt;=1))*(1-(IF(K67="",-1,K67)=0)),IF(C67="peso_corporal",IF(ISNUMBER(E67),E67,0)+I67,I67)*(30+J67)*100+I67,0),IF((M67&gt;=3)*(1-(IF(N67="",-1,N67)&gt;=0)*(IF(N67="",-1,N67)&lt;=1))*(1-(IF(N67="",-1,N67)=0)),IF(C67="peso_corporal",IF(ISNUMBER(E67),E67,0)+L67,L67)*(30+M67)*100+L67,0),IF((P67&gt;=3)*(1-(IF(Q67="",-1,Q67)&gt;=0)*(IF(Q67="",-1,Q67)&lt;=1))*(1-(IF(Q67="",-1,Q67)=0)),IF(C67="peso_corporal",IF(ISNUMBER(E67),E67,0)+O67,O67)*(30+P67)*100+O67,0),IF((S67&gt;=3)*(1-(IF(T67="",-1,T67)&gt;=0)*(IF(T67="",-1,T67)&lt;=1))*(1-(IF(T67="",-1,T67)=0)),IF(C67="peso_corporal",IF(ISNUMBER(E67),E67,0)+R67,R67)*(30+S67)*100+R67,0))</f>
        <v>0</v>
      </c>
      <c r="AB67" s="69">
        <f>IF(AA67=0,0,IF(IF((S67&gt;=3)*(1-(IF(T67="",-1,T67)&gt;=0)*(IF(T67="",-1,T67)&lt;=1))*(1-(IF(T67="",-1,T67)=0)),IF(C67="peso_corporal",IF(ISNUMBER(E67),E67,0)+R67,R67)*(30+S67)*100+R67,0)=AA67,5,IF(IF((P67&gt;=3)*(1-(IF(Q67="",-1,Q67)&gt;=0)*(IF(Q67="",-1,Q67)&lt;=1))*(1-(IF(Q67="",-1,Q67)=0)),IF(C67="peso_corporal",IF(ISNUMBER(E67),E67,0)+O67,O67)*(30+P67)*100+O67,0)=AA67,4,IF(IF((M67&gt;=3)*(1-(IF(N67="",-1,N67)&gt;=0)*(IF(N67="",-1,N67)&lt;=1))*(1-(IF(N67="",-1,N67)=0)),IF(C67="peso_corporal",IF(ISNUMBER(E67),E67,0)+L67,L67)*(30+M67)*100+L67,0)=AA67,3,IF(IF((J67&gt;=3)*(1-(IF(K67="",-1,K67)&gt;=0)*(IF(K67="",-1,K67)&lt;=1))*(1-(IF(K67="",-1,K67)=0)),IF(C67="peso_corporal",IF(ISNUMBER(E67),E67,0)+I67,I67)*(30+J67)*100+I67,0)=AA67,2,IF(IF((G67&gt;=3)*(1-(IF(H67="",-1,H67)&gt;=0)*(IF(H67="",-1,H67)&lt;=1))*(1-(IF(H67="",-1,H67)=0)),IF(C67="peso_corporal",IF(ISNUMBER(E67),E67,0)+F67,F67)*(30+G67)*100+F67,0)=AA67,1,0))))))</f>
        <v>0</v>
      </c>
      <c r="AC67" s="69" t="str">
        <f>IF(X67&gt;0,"A"&amp;X67,IF(Z67&gt;0,"B"&amp;Z67,IF(AB67&gt;0,"C"&amp;AB67,"")))</f>
        <v/>
      </c>
    </row>
    <row r="68" spans="1:29" ht="20.100000000000001" customHeight="1">
      <c r="A68" s="14" t="s">
        <v>116</v>
      </c>
      <c r="B68" s="15" t="s">
        <v>114</v>
      </c>
      <c r="C68" s="16" t="str">
        <f>IFERROR(INDEX(EJERCICIOS!$D$3:$D$75,MATCH(A68&amp;"|"&amp;B68,EJERCICIOS!$G$3:$G$75,0)),"--")</f>
        <v>polea</v>
      </c>
      <c r="D68" s="17">
        <v>3</v>
      </c>
      <c r="E68" s="18">
        <f>IFERROR(LOOKUP(2,1/(MEDIDAS_Y_PESO!$B$3:$B$5&lt;&gt;""),MEDIDAS_Y_PESO!$B$3:$B$5),"--")</f>
        <v>80</v>
      </c>
      <c r="F68" s="19"/>
      <c r="G68" s="20"/>
      <c r="H68" s="21"/>
      <c r="I68" s="19"/>
      <c r="J68" s="20"/>
      <c r="K68" s="21"/>
      <c r="L68" s="19"/>
      <c r="M68" s="20"/>
      <c r="N68" s="21"/>
      <c r="O68" s="19"/>
      <c r="P68" s="20"/>
      <c r="Q68" s="21"/>
      <c r="R68" s="19"/>
      <c r="S68" s="20"/>
      <c r="T68" s="21"/>
      <c r="U68" s="22" t="str">
        <f>IFERROR(IF(IF(X68&gt;0,X68,IF(Z68&gt;0,Z68,IF(AB68&gt;0,AB68,0)))=0,"--",ROUND(CHOOSE(IF(X68&gt;0,X68,IF(Z68&gt;0,Z68,IF(AB68&gt;0,AB68,0))),IF(C68="peso_corporal",IF(ISNUMBER(E68),E68,0)+F68,F68)*(1+G68/30),IF(C68="peso_corporal",IF(ISNUMBER(E68),E68,0)+I68,I68)*(1+J68/30),IF(C68="peso_corporal",IF(ISNUMBER(E68),E68,0)+L68,L68)*(1+M68/30),IF(C68="peso_corporal",IF(ISNUMBER(E68),E68,0)+O68,O68)*(1+P68/30),IF(C68="peso_corporal",IF(ISNUMBER(E68),E68,0)+R68,R68)*(1+S68/30)),1)),"--")</f>
        <v>--</v>
      </c>
      <c r="V68" s="23" t="str">
        <f>IF(SUGERENCIAS!N185="SIN","Sin datos anteriores",IF(SUGERENCIAS!N185="SUBIR_F","^ SUBIR FUERTE | Kg:"&amp;ROUND(SUGERENCIAS!K185,1)&amp;" R:"&amp;ROUND(SUGERENCIAS!L185,0)&amp;" RIR:"&amp;ROUND(SUGERENCIAS!M185,0),IF(SUGERENCIAS!N185="SUBIR_E","^ SUBIR (Est.) | Kg:"&amp;ROUND(SUGERENCIAS!K185,1)&amp;" R:"&amp;ROUND(SUGERENCIAS!L185,0)&amp;" RIR:"&amp;ROUND(SUGERENCIAS!M185,0),IF(SUGERENCIAS!N185="SUBIR","^ SUBIR | Kg:"&amp;ROUND(SUGERENCIAS!K185,1)&amp;" R:"&amp;ROUND(SUGERENCIAS!L185,0)&amp;" RIR:"&amp;ROUND(SUGERENCIAS!M185,0),IF(SUGERENCIAS!N185="BAJAR","v BAJAR | Kg:"&amp;ROUND(SUGERENCIAS!K185,1)&amp;" R:"&amp;ROUND(SUGERENCIAS!L185,0)&amp;" RIR:"&amp;ROUND(SUGERENCIAS!M185,0),"= MANT | Kg:"&amp;ROUND(SUGERENCIAS!K185,1)&amp;" R:"&amp;ROUND(SUGERENCIAS!L185,0)&amp;" RIR:"&amp;ROUND(SUGERENCIAS!M185,0))))))</f>
        <v>Sin datos anteriores</v>
      </c>
      <c r="W68" s="69">
        <f>MAX(IF((G68&gt;0)*(IF(H68="",-1,H68)&gt;=0)*(IF(H68="",-1,H68)&lt;=1),IF(C68="peso_corporal",IF(ISNUMBER(E68),E68,0)+F68,F68)*G68*1000+F68,0),IF((J68&gt;0)*(IF(K68="",-1,K68)&gt;=0)*(IF(K68="",-1,K68)&lt;=1),IF(C68="peso_corporal",IF(ISNUMBER(E68),E68,0)+I68,I68)*J68*1000+I68,0),IF((M68&gt;0)*(IF(N68="",-1,N68)&gt;=0)*(IF(N68="",-1,N68)&lt;=1),IF(C68="peso_corporal",IF(ISNUMBER(E68),E68,0)+L68,L68)*M68*1000+L68,0),IF((P68&gt;0)*(IF(Q68="",-1,Q68)&gt;=0)*(IF(Q68="",-1,Q68)&lt;=1),IF(C68="peso_corporal",IF(ISNUMBER(E68),E68,0)+O68,O68)*P68*1000+O68,0),IF((S68&gt;0)*(IF(T68="",-1,T68)&gt;=0)*(IF(T68="",-1,T68)&lt;=1),IF(C68="peso_corporal",IF(ISNUMBER(E68),E68,0)+R68,R68)*S68*1000+R68,0))</f>
        <v>0</v>
      </c>
      <c r="X68" s="69">
        <f>IF(W68=0,0,IF(IF((S68&gt;0)*(IF(T68="",-1,T68)&gt;=0)*(IF(T68="",-1,T68)&lt;=1),IF(C68="peso_corporal",IF(ISNUMBER(E68),E68,0)+R68,R68)*S68*1000+R68,0)=W68,5,IF(IF((P68&gt;0)*(IF(Q68="",-1,Q68)&gt;=0)*(IF(Q68="",-1,Q68)&lt;=1),IF(C68="peso_corporal",IF(ISNUMBER(E68),E68,0)+O68,O68)*P68*1000+O68,0)=W68,4,IF(IF((M68&gt;0)*(IF(N68="",-1,N68)&gt;=0)*(IF(N68="",-1,N68)&lt;=1),IF(C68="peso_corporal",IF(ISNUMBER(E68),E68,0)+L68,L68)*M68*1000+L68,0)=W68,3,IF(IF((J68&gt;0)*(IF(K68="",-1,K68)&gt;=0)*(IF(K68="",-1,K68)&lt;=1),IF(C68="peso_corporal",IF(ISNUMBER(E68),E68,0)+I68,I68)*J68*1000+I68,0)=W68,2,IF(IF((G68&gt;0)*(IF(H68="",-1,H68)&gt;=0)*(IF(H68="",-1,H68)&lt;=1),IF(C68="peso_corporal",IF(ISNUMBER(E68),E68,0)+F68,F68)*G68*1000+F68,0)=W68,1,0))))))</f>
        <v>0</v>
      </c>
      <c r="Y68" s="69">
        <f>MAX(IF((G68&gt;0)*(IF(H68="",-1,H68)=0)*(1-(IF(H68="",-1,H68)&gt;=0)*(IF(H68="",-1,H68)&lt;=1)),IF(C68="peso_corporal",IF(ISNUMBER(E68),E68,0)+F68,F68)*G68*1000+F68,0),IF((J68&gt;0)*(IF(K68="",-1,K68)=0)*(1-(IF(K68="",-1,K68)&gt;=0)*(IF(K68="",-1,K68)&lt;=1)),IF(C68="peso_corporal",IF(ISNUMBER(E68),E68,0)+I68,I68)*J68*1000+I68,0),IF((M68&gt;0)*(IF(N68="",-1,N68)=0)*(1-(IF(N68="",-1,N68)&gt;=0)*(IF(N68="",-1,N68)&lt;=1)),IF(C68="peso_corporal",IF(ISNUMBER(E68),E68,0)+L68,L68)*M68*1000+L68,0),IF((P68&gt;0)*(IF(Q68="",-1,Q68)=0)*(1-(IF(Q68="",-1,Q68)&gt;=0)*(IF(Q68="",-1,Q68)&lt;=1)),IF(C68="peso_corporal",IF(ISNUMBER(E68),E68,0)+O68,O68)*P68*1000+O68,0),IF((S68&gt;0)*(IF(T68="",-1,T68)=0)*(1-(IF(T68="",-1,T68)&gt;=0)*(IF(T68="",-1,T68)&lt;=1)),IF(C68="peso_corporal",IF(ISNUMBER(E68),E68,0)+R68,R68)*S68*1000+R68,0))</f>
        <v>0</v>
      </c>
      <c r="Z68" s="69">
        <f>IF(Y68=0,0,IF(IF((S68&gt;0)*(IF(T68="",-1,T68)=0)*(1-(IF(T68="",-1,T68)&gt;=0)*(IF(T68="",-1,T68)&lt;=1)),IF(C68="peso_corporal",IF(ISNUMBER(E68),E68,0)+R68,R68)*S68*1000+R68,0)=Y68,5,IF(IF((P68&gt;0)*(IF(Q68="",-1,Q68)=0)*(1-(IF(Q68="",-1,Q68)&gt;=0)*(IF(Q68="",-1,Q68)&lt;=1)),IF(C68="peso_corporal",IF(ISNUMBER(E68),E68,0)+O68,O68)*P68*1000+O68,0)=Y68,4,IF(IF((M68&gt;0)*(IF(N68="",-1,N68)=0)*(1-(IF(N68="",-1,N68)&gt;=0)*(IF(N68="",-1,N68)&lt;=1)),IF(C68="peso_corporal",IF(ISNUMBER(E68),E68,0)+L68,L68)*M68*1000+L68,0)=Y68,3,IF(IF((J68&gt;0)*(IF(K68="",-1,K68)=0)*(1-(IF(K68="",-1,K68)&gt;=0)*(IF(K68="",-1,K68)&lt;=1)),IF(C68="peso_corporal",IF(ISNUMBER(E68),E68,0)+I68,I68)*J68*1000+I68,0)=Y68,2,IF(IF((G68&gt;0)*(IF(H68="",-1,H68)=0)*(1-(IF(H68="",-1,H68)&gt;=0)*(IF(H68="",-1,H68)&lt;=1)),IF(C68="peso_corporal",IF(ISNUMBER(E68),E68,0)+F68,F68)*G68*1000+F68,0)=Y68,1,0))))))</f>
        <v>0</v>
      </c>
      <c r="AA68" s="69">
        <f>MAX(IF((G68&gt;=3)*(1-(IF(H68="",-1,H68)&gt;=0)*(IF(H68="",-1,H68)&lt;=1))*(1-(IF(H68="",-1,H68)=0)),IF(C68="peso_corporal",IF(ISNUMBER(E68),E68,0)+F68,F68)*(30+G68)*100+F68,0),IF((J68&gt;=3)*(1-(IF(K68="",-1,K68)&gt;=0)*(IF(K68="",-1,K68)&lt;=1))*(1-(IF(K68="",-1,K68)=0)),IF(C68="peso_corporal",IF(ISNUMBER(E68),E68,0)+I68,I68)*(30+J68)*100+I68,0),IF((M68&gt;=3)*(1-(IF(N68="",-1,N68)&gt;=0)*(IF(N68="",-1,N68)&lt;=1))*(1-(IF(N68="",-1,N68)=0)),IF(C68="peso_corporal",IF(ISNUMBER(E68),E68,0)+L68,L68)*(30+M68)*100+L68,0),IF((P68&gt;=3)*(1-(IF(Q68="",-1,Q68)&gt;=0)*(IF(Q68="",-1,Q68)&lt;=1))*(1-(IF(Q68="",-1,Q68)=0)),IF(C68="peso_corporal",IF(ISNUMBER(E68),E68,0)+O68,O68)*(30+P68)*100+O68,0),IF((S68&gt;=3)*(1-(IF(T68="",-1,T68)&gt;=0)*(IF(T68="",-1,T68)&lt;=1))*(1-(IF(T68="",-1,T68)=0)),IF(C68="peso_corporal",IF(ISNUMBER(E68),E68,0)+R68,R68)*(30+S68)*100+R68,0))</f>
        <v>0</v>
      </c>
      <c r="AB68" s="69">
        <f>IF(AA68=0,0,IF(IF((S68&gt;=3)*(1-(IF(T68="",-1,T68)&gt;=0)*(IF(T68="",-1,T68)&lt;=1))*(1-(IF(T68="",-1,T68)=0)),IF(C68="peso_corporal",IF(ISNUMBER(E68),E68,0)+R68,R68)*(30+S68)*100+R68,0)=AA68,5,IF(IF((P68&gt;=3)*(1-(IF(Q68="",-1,Q68)&gt;=0)*(IF(Q68="",-1,Q68)&lt;=1))*(1-(IF(Q68="",-1,Q68)=0)),IF(C68="peso_corporal",IF(ISNUMBER(E68),E68,0)+O68,O68)*(30+P68)*100+O68,0)=AA68,4,IF(IF((M68&gt;=3)*(1-(IF(N68="",-1,N68)&gt;=0)*(IF(N68="",-1,N68)&lt;=1))*(1-(IF(N68="",-1,N68)=0)),IF(C68="peso_corporal",IF(ISNUMBER(E68),E68,0)+L68,L68)*(30+M68)*100+L68,0)=AA68,3,IF(IF((J68&gt;=3)*(1-(IF(K68="",-1,K68)&gt;=0)*(IF(K68="",-1,K68)&lt;=1))*(1-(IF(K68="",-1,K68)=0)),IF(C68="peso_corporal",IF(ISNUMBER(E68),E68,0)+I68,I68)*(30+J68)*100+I68,0)=AA68,2,IF(IF((G68&gt;=3)*(1-(IF(H68="",-1,H68)&gt;=0)*(IF(H68="",-1,H68)&lt;=1))*(1-(IF(H68="",-1,H68)=0)),IF(C68="peso_corporal",IF(ISNUMBER(E68),E68,0)+F68,F68)*(30+G68)*100+F68,0)=AA68,1,0))))))</f>
        <v>0</v>
      </c>
      <c r="AC68" s="69" t="str">
        <f>IF(X68&gt;0,"A"&amp;X68,IF(Z68&gt;0,"B"&amp;Z68,IF(AB68&gt;0,"C"&amp;AB68,"")))</f>
        <v/>
      </c>
    </row>
    <row r="69" spans="1:29" ht="15" customHeight="1">
      <c r="A69" s="83" t="s">
        <v>99</v>
      </c>
      <c r="B69" s="73"/>
      <c r="C69" s="73"/>
      <c r="D69" s="73"/>
      <c r="E69" s="73"/>
      <c r="F69" s="73"/>
      <c r="G69" s="73"/>
      <c r="H69" s="73"/>
      <c r="I69" s="73"/>
      <c r="J69" s="73"/>
      <c r="K69" s="73"/>
      <c r="L69" s="73"/>
      <c r="M69" s="73"/>
      <c r="N69" s="73"/>
      <c r="O69" s="73"/>
      <c r="P69" s="73"/>
      <c r="Q69" s="73"/>
      <c r="R69" s="73"/>
      <c r="S69" s="73"/>
      <c r="T69" s="73"/>
      <c r="U69" s="73"/>
      <c r="V69" s="73"/>
      <c r="W69" s="69"/>
      <c r="X69" s="69"/>
      <c r="Y69" s="69"/>
      <c r="Z69" s="69"/>
      <c r="AA69" s="69"/>
      <c r="AB69" s="69"/>
      <c r="AC69" s="69"/>
    </row>
    <row r="70" spans="1:29" ht="20.100000000000001" customHeight="1">
      <c r="A70" s="14" t="s">
        <v>100</v>
      </c>
      <c r="B70" s="15" t="s">
        <v>101</v>
      </c>
      <c r="C70" s="16" t="str">
        <f>IFERROR(INDEX(EJERCICIOS!$D$3:$D$75,MATCH(A70&amp;"|"&amp;B70,EJERCICIOS!$G$3:$G$75,0)),"--")</f>
        <v>mancuerna</v>
      </c>
      <c r="D70" s="17">
        <v>3</v>
      </c>
      <c r="E70" s="18">
        <f>IFERROR(LOOKUP(2,1/(MEDIDAS_Y_PESO!$B$3:$B$5&lt;&gt;""),MEDIDAS_Y_PESO!$B$3:$B$5),"--")</f>
        <v>80</v>
      </c>
      <c r="F70" s="19"/>
      <c r="G70" s="20"/>
      <c r="H70" s="21"/>
      <c r="I70" s="19"/>
      <c r="J70" s="20"/>
      <c r="K70" s="21"/>
      <c r="L70" s="19"/>
      <c r="M70" s="20"/>
      <c r="N70" s="21"/>
      <c r="O70" s="19"/>
      <c r="P70" s="20"/>
      <c r="Q70" s="21"/>
      <c r="R70" s="19"/>
      <c r="S70" s="20"/>
      <c r="T70" s="21"/>
      <c r="U70" s="22" t="str">
        <f>IFERROR(IF(IF(X70&gt;0,X70,IF(Z70&gt;0,Z70,IF(AB70&gt;0,AB70,0)))=0,"--",ROUND(CHOOSE(IF(X70&gt;0,X70,IF(Z70&gt;0,Z70,IF(AB70&gt;0,AB70,0))),IF(C70="peso_corporal",IF(ISNUMBER(E70),E70,0)+F70,F70)*(1+G70/30),IF(C70="peso_corporal",IF(ISNUMBER(E70),E70,0)+I70,I70)*(1+J70/30),IF(C70="peso_corporal",IF(ISNUMBER(E70),E70,0)+L70,L70)*(1+M70/30),IF(C70="peso_corporal",IF(ISNUMBER(E70),E70,0)+O70,O70)*(1+P70/30),IF(C70="peso_corporal",IF(ISNUMBER(E70),E70,0)+R70,R70)*(1+S70/30)),1)),"--")</f>
        <v>--</v>
      </c>
      <c r="V70" s="23" t="str">
        <f>IF(SUGERENCIAS!N186="SIN","Sin datos anteriores",IF(SUGERENCIAS!N186="SUBIR_F","^ SUBIR FUERTE | Kg:"&amp;ROUND(SUGERENCIAS!K186,1)&amp;" R:"&amp;ROUND(SUGERENCIAS!L186,0)&amp;" RIR:"&amp;ROUND(SUGERENCIAS!M186,0),IF(SUGERENCIAS!N186="SUBIR_E","^ SUBIR (Est.) | Kg:"&amp;ROUND(SUGERENCIAS!K186,1)&amp;" R:"&amp;ROUND(SUGERENCIAS!L186,0)&amp;" RIR:"&amp;ROUND(SUGERENCIAS!M186,0),IF(SUGERENCIAS!N186="SUBIR","^ SUBIR | Kg:"&amp;ROUND(SUGERENCIAS!K186,1)&amp;" R:"&amp;ROUND(SUGERENCIAS!L186,0)&amp;" RIR:"&amp;ROUND(SUGERENCIAS!M186,0),IF(SUGERENCIAS!N186="BAJAR","v BAJAR | Kg:"&amp;ROUND(SUGERENCIAS!K186,1)&amp;" R:"&amp;ROUND(SUGERENCIAS!L186,0)&amp;" RIR:"&amp;ROUND(SUGERENCIAS!M186,0),"= MANT | Kg:"&amp;ROUND(SUGERENCIAS!K186,1)&amp;" R:"&amp;ROUND(SUGERENCIAS!L186,0)&amp;" RIR:"&amp;ROUND(SUGERENCIAS!M186,0))))))</f>
        <v>Sin datos anteriores</v>
      </c>
      <c r="W70" s="69">
        <f>MAX(IF((G70&gt;0)*(IF(H70="",-1,H70)&gt;=0)*(IF(H70="",-1,H70)&lt;=1),IF(C70="peso_corporal",IF(ISNUMBER(E70),E70,0)+F70,F70)*G70*1000+F70,0),IF((J70&gt;0)*(IF(K70="",-1,K70)&gt;=0)*(IF(K70="",-1,K70)&lt;=1),IF(C70="peso_corporal",IF(ISNUMBER(E70),E70,0)+I70,I70)*J70*1000+I70,0),IF((M70&gt;0)*(IF(N70="",-1,N70)&gt;=0)*(IF(N70="",-1,N70)&lt;=1),IF(C70="peso_corporal",IF(ISNUMBER(E70),E70,0)+L70,L70)*M70*1000+L70,0),IF((P70&gt;0)*(IF(Q70="",-1,Q70)&gt;=0)*(IF(Q70="",-1,Q70)&lt;=1),IF(C70="peso_corporal",IF(ISNUMBER(E70),E70,0)+O70,O70)*P70*1000+O70,0),IF((S70&gt;0)*(IF(T70="",-1,T70)&gt;=0)*(IF(T70="",-1,T70)&lt;=1),IF(C70="peso_corporal",IF(ISNUMBER(E70),E70,0)+R70,R70)*S70*1000+R70,0))</f>
        <v>0</v>
      </c>
      <c r="X70" s="69">
        <f>IF(W70=0,0,IF(IF((S70&gt;0)*(IF(T70="",-1,T70)&gt;=0)*(IF(T70="",-1,T70)&lt;=1),IF(C70="peso_corporal",IF(ISNUMBER(E70),E70,0)+R70,R70)*S70*1000+R70,0)=W70,5,IF(IF((P70&gt;0)*(IF(Q70="",-1,Q70)&gt;=0)*(IF(Q70="",-1,Q70)&lt;=1),IF(C70="peso_corporal",IF(ISNUMBER(E70),E70,0)+O70,O70)*P70*1000+O70,0)=W70,4,IF(IF((M70&gt;0)*(IF(N70="",-1,N70)&gt;=0)*(IF(N70="",-1,N70)&lt;=1),IF(C70="peso_corporal",IF(ISNUMBER(E70),E70,0)+L70,L70)*M70*1000+L70,0)=W70,3,IF(IF((J70&gt;0)*(IF(K70="",-1,K70)&gt;=0)*(IF(K70="",-1,K70)&lt;=1),IF(C70="peso_corporal",IF(ISNUMBER(E70),E70,0)+I70,I70)*J70*1000+I70,0)=W70,2,IF(IF((G70&gt;0)*(IF(H70="",-1,H70)&gt;=0)*(IF(H70="",-1,H70)&lt;=1),IF(C70="peso_corporal",IF(ISNUMBER(E70),E70,0)+F70,F70)*G70*1000+F70,0)=W70,1,0))))))</f>
        <v>0</v>
      </c>
      <c r="Y70" s="69">
        <f>MAX(IF((G70&gt;0)*(IF(H70="",-1,H70)=0)*(1-(IF(H70="",-1,H70)&gt;=0)*(IF(H70="",-1,H70)&lt;=1)),IF(C70="peso_corporal",IF(ISNUMBER(E70),E70,0)+F70,F70)*G70*1000+F70,0),IF((J70&gt;0)*(IF(K70="",-1,K70)=0)*(1-(IF(K70="",-1,K70)&gt;=0)*(IF(K70="",-1,K70)&lt;=1)),IF(C70="peso_corporal",IF(ISNUMBER(E70),E70,0)+I70,I70)*J70*1000+I70,0),IF((M70&gt;0)*(IF(N70="",-1,N70)=0)*(1-(IF(N70="",-1,N70)&gt;=0)*(IF(N70="",-1,N70)&lt;=1)),IF(C70="peso_corporal",IF(ISNUMBER(E70),E70,0)+L70,L70)*M70*1000+L70,0),IF((P70&gt;0)*(IF(Q70="",-1,Q70)=0)*(1-(IF(Q70="",-1,Q70)&gt;=0)*(IF(Q70="",-1,Q70)&lt;=1)),IF(C70="peso_corporal",IF(ISNUMBER(E70),E70,0)+O70,O70)*P70*1000+O70,0),IF((S70&gt;0)*(IF(T70="",-1,T70)=0)*(1-(IF(T70="",-1,T70)&gt;=0)*(IF(T70="",-1,T70)&lt;=1)),IF(C70="peso_corporal",IF(ISNUMBER(E70),E70,0)+R70,R70)*S70*1000+R70,0))</f>
        <v>0</v>
      </c>
      <c r="Z70" s="69">
        <f>IF(Y70=0,0,IF(IF((S70&gt;0)*(IF(T70="",-1,T70)=0)*(1-(IF(T70="",-1,T70)&gt;=0)*(IF(T70="",-1,T70)&lt;=1)),IF(C70="peso_corporal",IF(ISNUMBER(E70),E70,0)+R70,R70)*S70*1000+R70,0)=Y70,5,IF(IF((P70&gt;0)*(IF(Q70="",-1,Q70)=0)*(1-(IF(Q70="",-1,Q70)&gt;=0)*(IF(Q70="",-1,Q70)&lt;=1)),IF(C70="peso_corporal",IF(ISNUMBER(E70),E70,0)+O70,O70)*P70*1000+O70,0)=Y70,4,IF(IF((M70&gt;0)*(IF(N70="",-1,N70)=0)*(1-(IF(N70="",-1,N70)&gt;=0)*(IF(N70="",-1,N70)&lt;=1)),IF(C70="peso_corporal",IF(ISNUMBER(E70),E70,0)+L70,L70)*M70*1000+L70,0)=Y70,3,IF(IF((J70&gt;0)*(IF(K70="",-1,K70)=0)*(1-(IF(K70="",-1,K70)&gt;=0)*(IF(K70="",-1,K70)&lt;=1)),IF(C70="peso_corporal",IF(ISNUMBER(E70),E70,0)+I70,I70)*J70*1000+I70,0)=Y70,2,IF(IF((G70&gt;0)*(IF(H70="",-1,H70)=0)*(1-(IF(H70="",-1,H70)&gt;=0)*(IF(H70="",-1,H70)&lt;=1)),IF(C70="peso_corporal",IF(ISNUMBER(E70),E70,0)+F70,F70)*G70*1000+F70,0)=Y70,1,0))))))</f>
        <v>0</v>
      </c>
      <c r="AA70" s="69">
        <f>MAX(IF((G70&gt;=3)*(1-(IF(H70="",-1,H70)&gt;=0)*(IF(H70="",-1,H70)&lt;=1))*(1-(IF(H70="",-1,H70)=0)),IF(C70="peso_corporal",IF(ISNUMBER(E70),E70,0)+F70,F70)*(30+G70)*100+F70,0),IF((J70&gt;=3)*(1-(IF(K70="",-1,K70)&gt;=0)*(IF(K70="",-1,K70)&lt;=1))*(1-(IF(K70="",-1,K70)=0)),IF(C70="peso_corporal",IF(ISNUMBER(E70),E70,0)+I70,I70)*(30+J70)*100+I70,0),IF((M70&gt;=3)*(1-(IF(N70="",-1,N70)&gt;=0)*(IF(N70="",-1,N70)&lt;=1))*(1-(IF(N70="",-1,N70)=0)),IF(C70="peso_corporal",IF(ISNUMBER(E70),E70,0)+L70,L70)*(30+M70)*100+L70,0),IF((P70&gt;=3)*(1-(IF(Q70="",-1,Q70)&gt;=0)*(IF(Q70="",-1,Q70)&lt;=1))*(1-(IF(Q70="",-1,Q70)=0)),IF(C70="peso_corporal",IF(ISNUMBER(E70),E70,0)+O70,O70)*(30+P70)*100+O70,0),IF((S70&gt;=3)*(1-(IF(T70="",-1,T70)&gt;=0)*(IF(T70="",-1,T70)&lt;=1))*(1-(IF(T70="",-1,T70)=0)),IF(C70="peso_corporal",IF(ISNUMBER(E70),E70,0)+R70,R70)*(30+S70)*100+R70,0))</f>
        <v>0</v>
      </c>
      <c r="AB70" s="69">
        <f>IF(AA70=0,0,IF(IF((S70&gt;=3)*(1-(IF(T70="",-1,T70)&gt;=0)*(IF(T70="",-1,T70)&lt;=1))*(1-(IF(T70="",-1,T70)=0)),IF(C70="peso_corporal",IF(ISNUMBER(E70),E70,0)+R70,R70)*(30+S70)*100+R70,0)=AA70,5,IF(IF((P70&gt;=3)*(1-(IF(Q70="",-1,Q70)&gt;=0)*(IF(Q70="",-1,Q70)&lt;=1))*(1-(IF(Q70="",-1,Q70)=0)),IF(C70="peso_corporal",IF(ISNUMBER(E70),E70,0)+O70,O70)*(30+P70)*100+O70,0)=AA70,4,IF(IF((M70&gt;=3)*(1-(IF(N70="",-1,N70)&gt;=0)*(IF(N70="",-1,N70)&lt;=1))*(1-(IF(N70="",-1,N70)=0)),IF(C70="peso_corporal",IF(ISNUMBER(E70),E70,0)+L70,L70)*(30+M70)*100+L70,0)=AA70,3,IF(IF((J70&gt;=3)*(1-(IF(K70="",-1,K70)&gt;=0)*(IF(K70="",-1,K70)&lt;=1))*(1-(IF(K70="",-1,K70)=0)),IF(C70="peso_corporal",IF(ISNUMBER(E70),E70,0)+I70,I70)*(30+J70)*100+I70,0)=AA70,2,IF(IF((G70&gt;=3)*(1-(IF(H70="",-1,H70)&gt;=0)*(IF(H70="",-1,H70)&lt;=1))*(1-(IF(H70="",-1,H70)=0)),IF(C70="peso_corporal",IF(ISNUMBER(E70),E70,0)+F70,F70)*(30+G70)*100+F70,0)=AA70,1,0))))))</f>
        <v>0</v>
      </c>
      <c r="AC70" s="69" t="str">
        <f>IF(X70&gt;0,"A"&amp;X70,IF(Z70&gt;0,"B"&amp;Z70,IF(AB70&gt;0,"C"&amp;AB70,"")))</f>
        <v/>
      </c>
    </row>
    <row r="71" spans="1:29" ht="20.100000000000001" customHeight="1">
      <c r="A71" s="14" t="s">
        <v>100</v>
      </c>
      <c r="B71" s="15" t="s">
        <v>102</v>
      </c>
      <c r="C71" s="16" t="str">
        <f>IFERROR(INDEX(EJERCICIOS!$D$3:$D$75,MATCH(A71&amp;"|"&amp;B71,EJERCICIOS!$G$3:$G$75,0)),"--")</f>
        <v>mancuerna</v>
      </c>
      <c r="D71" s="17">
        <v>3</v>
      </c>
      <c r="E71" s="18">
        <f>IFERROR(LOOKUP(2,1/(MEDIDAS_Y_PESO!$B$3:$B$5&lt;&gt;""),MEDIDAS_Y_PESO!$B$3:$B$5),"--")</f>
        <v>80</v>
      </c>
      <c r="F71" s="19"/>
      <c r="G71" s="20"/>
      <c r="H71" s="21"/>
      <c r="I71" s="19"/>
      <c r="J71" s="20"/>
      <c r="K71" s="21"/>
      <c r="L71" s="19"/>
      <c r="M71" s="20"/>
      <c r="N71" s="21"/>
      <c r="O71" s="19"/>
      <c r="P71" s="20"/>
      <c r="Q71" s="21"/>
      <c r="R71" s="19"/>
      <c r="S71" s="20"/>
      <c r="T71" s="21"/>
      <c r="U71" s="22" t="str">
        <f>IFERROR(IF(IF(X71&gt;0,X71,IF(Z71&gt;0,Z71,IF(AB71&gt;0,AB71,0)))=0,"--",ROUND(CHOOSE(IF(X71&gt;0,X71,IF(Z71&gt;0,Z71,IF(AB71&gt;0,AB71,0))),IF(C71="peso_corporal",IF(ISNUMBER(E71),E71,0)+F71,F71)*(1+G71/30),IF(C71="peso_corporal",IF(ISNUMBER(E71),E71,0)+I71,I71)*(1+J71/30),IF(C71="peso_corporal",IF(ISNUMBER(E71),E71,0)+L71,L71)*(1+M71/30),IF(C71="peso_corporal",IF(ISNUMBER(E71),E71,0)+O71,O71)*(1+P71/30),IF(C71="peso_corporal",IF(ISNUMBER(E71),E71,0)+R71,R71)*(1+S71/30)),1)),"--")</f>
        <v>--</v>
      </c>
      <c r="V71" s="23" t="str">
        <f>IF(SUGERENCIAS!N187="SIN","Sin datos anteriores",IF(SUGERENCIAS!N187="SUBIR_F","^ SUBIR FUERTE | Kg:"&amp;ROUND(SUGERENCIAS!K187,1)&amp;" R:"&amp;ROUND(SUGERENCIAS!L187,0)&amp;" RIR:"&amp;ROUND(SUGERENCIAS!M187,0),IF(SUGERENCIAS!N187="SUBIR_E","^ SUBIR (Est.) | Kg:"&amp;ROUND(SUGERENCIAS!K187,1)&amp;" R:"&amp;ROUND(SUGERENCIAS!L187,0)&amp;" RIR:"&amp;ROUND(SUGERENCIAS!M187,0),IF(SUGERENCIAS!N187="SUBIR","^ SUBIR | Kg:"&amp;ROUND(SUGERENCIAS!K187,1)&amp;" R:"&amp;ROUND(SUGERENCIAS!L187,0)&amp;" RIR:"&amp;ROUND(SUGERENCIAS!M187,0),IF(SUGERENCIAS!N187="BAJAR","v BAJAR | Kg:"&amp;ROUND(SUGERENCIAS!K187,1)&amp;" R:"&amp;ROUND(SUGERENCIAS!L187,0)&amp;" RIR:"&amp;ROUND(SUGERENCIAS!M187,0),"= MANT | Kg:"&amp;ROUND(SUGERENCIAS!K187,1)&amp;" R:"&amp;ROUND(SUGERENCIAS!L187,0)&amp;" RIR:"&amp;ROUND(SUGERENCIAS!M187,0))))))</f>
        <v>Sin datos anteriores</v>
      </c>
      <c r="W71" s="69">
        <f>MAX(IF((G71&gt;0)*(IF(H71="",-1,H71)&gt;=0)*(IF(H71="",-1,H71)&lt;=1),IF(C71="peso_corporal",IF(ISNUMBER(E71),E71,0)+F71,F71)*G71*1000+F71,0),IF((J71&gt;0)*(IF(K71="",-1,K71)&gt;=0)*(IF(K71="",-1,K71)&lt;=1),IF(C71="peso_corporal",IF(ISNUMBER(E71),E71,0)+I71,I71)*J71*1000+I71,0),IF((M71&gt;0)*(IF(N71="",-1,N71)&gt;=0)*(IF(N71="",-1,N71)&lt;=1),IF(C71="peso_corporal",IF(ISNUMBER(E71),E71,0)+L71,L71)*M71*1000+L71,0),IF((P71&gt;0)*(IF(Q71="",-1,Q71)&gt;=0)*(IF(Q71="",-1,Q71)&lt;=1),IF(C71="peso_corporal",IF(ISNUMBER(E71),E71,0)+O71,O71)*P71*1000+O71,0),IF((S71&gt;0)*(IF(T71="",-1,T71)&gt;=0)*(IF(T71="",-1,T71)&lt;=1),IF(C71="peso_corporal",IF(ISNUMBER(E71),E71,0)+R71,R71)*S71*1000+R71,0))</f>
        <v>0</v>
      </c>
      <c r="X71" s="69">
        <f>IF(W71=0,0,IF(IF((S71&gt;0)*(IF(T71="",-1,T71)&gt;=0)*(IF(T71="",-1,T71)&lt;=1),IF(C71="peso_corporal",IF(ISNUMBER(E71),E71,0)+R71,R71)*S71*1000+R71,0)=W71,5,IF(IF((P71&gt;0)*(IF(Q71="",-1,Q71)&gt;=0)*(IF(Q71="",-1,Q71)&lt;=1),IF(C71="peso_corporal",IF(ISNUMBER(E71),E71,0)+O71,O71)*P71*1000+O71,0)=W71,4,IF(IF((M71&gt;0)*(IF(N71="",-1,N71)&gt;=0)*(IF(N71="",-1,N71)&lt;=1),IF(C71="peso_corporal",IF(ISNUMBER(E71),E71,0)+L71,L71)*M71*1000+L71,0)=W71,3,IF(IF((J71&gt;0)*(IF(K71="",-1,K71)&gt;=0)*(IF(K71="",-1,K71)&lt;=1),IF(C71="peso_corporal",IF(ISNUMBER(E71),E71,0)+I71,I71)*J71*1000+I71,0)=W71,2,IF(IF((G71&gt;0)*(IF(H71="",-1,H71)&gt;=0)*(IF(H71="",-1,H71)&lt;=1),IF(C71="peso_corporal",IF(ISNUMBER(E71),E71,0)+F71,F71)*G71*1000+F71,0)=W71,1,0))))))</f>
        <v>0</v>
      </c>
      <c r="Y71" s="69">
        <f>MAX(IF((G71&gt;0)*(IF(H71="",-1,H71)=0)*(1-(IF(H71="",-1,H71)&gt;=0)*(IF(H71="",-1,H71)&lt;=1)),IF(C71="peso_corporal",IF(ISNUMBER(E71),E71,0)+F71,F71)*G71*1000+F71,0),IF((J71&gt;0)*(IF(K71="",-1,K71)=0)*(1-(IF(K71="",-1,K71)&gt;=0)*(IF(K71="",-1,K71)&lt;=1)),IF(C71="peso_corporal",IF(ISNUMBER(E71),E71,0)+I71,I71)*J71*1000+I71,0),IF((M71&gt;0)*(IF(N71="",-1,N71)=0)*(1-(IF(N71="",-1,N71)&gt;=0)*(IF(N71="",-1,N71)&lt;=1)),IF(C71="peso_corporal",IF(ISNUMBER(E71),E71,0)+L71,L71)*M71*1000+L71,0),IF((P71&gt;0)*(IF(Q71="",-1,Q71)=0)*(1-(IF(Q71="",-1,Q71)&gt;=0)*(IF(Q71="",-1,Q71)&lt;=1)),IF(C71="peso_corporal",IF(ISNUMBER(E71),E71,0)+O71,O71)*P71*1000+O71,0),IF((S71&gt;0)*(IF(T71="",-1,T71)=0)*(1-(IF(T71="",-1,T71)&gt;=0)*(IF(T71="",-1,T71)&lt;=1)),IF(C71="peso_corporal",IF(ISNUMBER(E71),E71,0)+R71,R71)*S71*1000+R71,0))</f>
        <v>0</v>
      </c>
      <c r="Z71" s="69">
        <f>IF(Y71=0,0,IF(IF((S71&gt;0)*(IF(T71="",-1,T71)=0)*(1-(IF(T71="",-1,T71)&gt;=0)*(IF(T71="",-1,T71)&lt;=1)),IF(C71="peso_corporal",IF(ISNUMBER(E71),E71,0)+R71,R71)*S71*1000+R71,0)=Y71,5,IF(IF((P71&gt;0)*(IF(Q71="",-1,Q71)=0)*(1-(IF(Q71="",-1,Q71)&gt;=0)*(IF(Q71="",-1,Q71)&lt;=1)),IF(C71="peso_corporal",IF(ISNUMBER(E71),E71,0)+O71,O71)*P71*1000+O71,0)=Y71,4,IF(IF((M71&gt;0)*(IF(N71="",-1,N71)=0)*(1-(IF(N71="",-1,N71)&gt;=0)*(IF(N71="",-1,N71)&lt;=1)),IF(C71="peso_corporal",IF(ISNUMBER(E71),E71,0)+L71,L71)*M71*1000+L71,0)=Y71,3,IF(IF((J71&gt;0)*(IF(K71="",-1,K71)=0)*(1-(IF(K71="",-1,K71)&gt;=0)*(IF(K71="",-1,K71)&lt;=1)),IF(C71="peso_corporal",IF(ISNUMBER(E71),E71,0)+I71,I71)*J71*1000+I71,0)=Y71,2,IF(IF((G71&gt;0)*(IF(H71="",-1,H71)=0)*(1-(IF(H71="",-1,H71)&gt;=0)*(IF(H71="",-1,H71)&lt;=1)),IF(C71="peso_corporal",IF(ISNUMBER(E71),E71,0)+F71,F71)*G71*1000+F71,0)=Y71,1,0))))))</f>
        <v>0</v>
      </c>
      <c r="AA71" s="69">
        <f>MAX(IF((G71&gt;=3)*(1-(IF(H71="",-1,H71)&gt;=0)*(IF(H71="",-1,H71)&lt;=1))*(1-(IF(H71="",-1,H71)=0)),IF(C71="peso_corporal",IF(ISNUMBER(E71),E71,0)+F71,F71)*(30+G71)*100+F71,0),IF((J71&gt;=3)*(1-(IF(K71="",-1,K71)&gt;=0)*(IF(K71="",-1,K71)&lt;=1))*(1-(IF(K71="",-1,K71)=0)),IF(C71="peso_corporal",IF(ISNUMBER(E71),E71,0)+I71,I71)*(30+J71)*100+I71,0),IF((M71&gt;=3)*(1-(IF(N71="",-1,N71)&gt;=0)*(IF(N71="",-1,N71)&lt;=1))*(1-(IF(N71="",-1,N71)=0)),IF(C71="peso_corporal",IF(ISNUMBER(E71),E71,0)+L71,L71)*(30+M71)*100+L71,0),IF((P71&gt;=3)*(1-(IF(Q71="",-1,Q71)&gt;=0)*(IF(Q71="",-1,Q71)&lt;=1))*(1-(IF(Q71="",-1,Q71)=0)),IF(C71="peso_corporal",IF(ISNUMBER(E71),E71,0)+O71,O71)*(30+P71)*100+O71,0),IF((S71&gt;=3)*(1-(IF(T71="",-1,T71)&gt;=0)*(IF(T71="",-1,T71)&lt;=1))*(1-(IF(T71="",-1,T71)=0)),IF(C71="peso_corporal",IF(ISNUMBER(E71),E71,0)+R71,R71)*(30+S71)*100+R71,0))</f>
        <v>0</v>
      </c>
      <c r="AB71" s="69">
        <f>IF(AA71=0,0,IF(IF((S71&gt;=3)*(1-(IF(T71="",-1,T71)&gt;=0)*(IF(T71="",-1,T71)&lt;=1))*(1-(IF(T71="",-1,T71)=0)),IF(C71="peso_corporal",IF(ISNUMBER(E71),E71,0)+R71,R71)*(30+S71)*100+R71,0)=AA71,5,IF(IF((P71&gt;=3)*(1-(IF(Q71="",-1,Q71)&gt;=0)*(IF(Q71="",-1,Q71)&lt;=1))*(1-(IF(Q71="",-1,Q71)=0)),IF(C71="peso_corporal",IF(ISNUMBER(E71),E71,0)+O71,O71)*(30+P71)*100+O71,0)=AA71,4,IF(IF((M71&gt;=3)*(1-(IF(N71="",-1,N71)&gt;=0)*(IF(N71="",-1,N71)&lt;=1))*(1-(IF(N71="",-1,N71)=0)),IF(C71="peso_corporal",IF(ISNUMBER(E71),E71,0)+L71,L71)*(30+M71)*100+L71,0)=AA71,3,IF(IF((J71&gt;=3)*(1-(IF(K71="",-1,K71)&gt;=0)*(IF(K71="",-1,K71)&lt;=1))*(1-(IF(K71="",-1,K71)=0)),IF(C71="peso_corporal",IF(ISNUMBER(E71),E71,0)+I71,I71)*(30+J71)*100+I71,0)=AA71,2,IF(IF((G71&gt;=3)*(1-(IF(H71="",-1,H71)&gt;=0)*(IF(H71="",-1,H71)&lt;=1))*(1-(IF(H71="",-1,H71)=0)),IF(C71="peso_corporal",IF(ISNUMBER(E71),E71,0)+F71,F71)*(30+G71)*100+F71,0)=AA71,1,0))))))</f>
        <v>0</v>
      </c>
      <c r="AC71" s="69" t="str">
        <f>IF(X71&gt;0,"A"&amp;X71,IF(Z71&gt;0,"B"&amp;Z71,IF(AB71&gt;0,"C"&amp;AB71,"")))</f>
        <v/>
      </c>
    </row>
    <row r="72" spans="1:29" ht="15" customHeight="1">
      <c r="A72" s="81" t="s">
        <v>42</v>
      </c>
      <c r="B72" s="73"/>
      <c r="C72" s="73"/>
      <c r="D72" s="73"/>
      <c r="E72" s="73"/>
      <c r="F72" s="73"/>
      <c r="G72" s="73"/>
      <c r="H72" s="73"/>
      <c r="I72" s="73"/>
      <c r="J72" s="73"/>
      <c r="K72" s="73"/>
      <c r="L72" s="73"/>
      <c r="M72" s="73"/>
      <c r="N72" s="73"/>
      <c r="O72" s="73"/>
      <c r="P72" s="73"/>
      <c r="Q72" s="73"/>
      <c r="R72" s="73"/>
      <c r="S72" s="73"/>
      <c r="T72" s="73"/>
      <c r="U72" s="73"/>
      <c r="V72" s="73"/>
      <c r="W72" s="69"/>
      <c r="X72" s="69"/>
      <c r="Y72" s="69"/>
      <c r="Z72" s="69"/>
      <c r="AA72" s="69"/>
      <c r="AB72" s="69"/>
      <c r="AC72" s="69"/>
    </row>
    <row r="73" spans="1:29" ht="20.100000000000001" customHeight="1">
      <c r="A73" s="14" t="s">
        <v>43</v>
      </c>
      <c r="B73" s="15" t="s">
        <v>44</v>
      </c>
      <c r="C73" s="16" t="str">
        <f>IFERROR(INDEX(EJERCICIOS!$D$3:$D$75,MATCH(A73&amp;"|"&amp;B73,EJERCICIOS!$G$3:$G$75,0)),"--")</f>
        <v>polea</v>
      </c>
      <c r="D73" s="17">
        <v>3</v>
      </c>
      <c r="E73" s="18">
        <f>IFERROR(LOOKUP(2,1/(MEDIDAS_Y_PESO!$B$3:$B$5&lt;&gt;""),MEDIDAS_Y_PESO!$B$3:$B$5),"--")</f>
        <v>80</v>
      </c>
      <c r="F73" s="19"/>
      <c r="G73" s="20"/>
      <c r="H73" s="21"/>
      <c r="I73" s="19"/>
      <c r="J73" s="20"/>
      <c r="K73" s="21"/>
      <c r="L73" s="19"/>
      <c r="M73" s="20"/>
      <c r="N73" s="21"/>
      <c r="O73" s="19"/>
      <c r="P73" s="20"/>
      <c r="Q73" s="21"/>
      <c r="R73" s="19"/>
      <c r="S73" s="20"/>
      <c r="T73" s="21"/>
      <c r="U73" s="22" t="str">
        <f>IFERROR(IF(IF(X73&gt;0,X73,IF(Z73&gt;0,Z73,IF(AB73&gt;0,AB73,0)))=0,"--",ROUND(CHOOSE(IF(X73&gt;0,X73,IF(Z73&gt;0,Z73,IF(AB73&gt;0,AB73,0))),IF(C73="peso_corporal",IF(ISNUMBER(E73),E73,0)+F73,F73)*(1+G73/30),IF(C73="peso_corporal",IF(ISNUMBER(E73),E73,0)+I73,I73)*(1+J73/30),IF(C73="peso_corporal",IF(ISNUMBER(E73),E73,0)+L73,L73)*(1+M73/30),IF(C73="peso_corporal",IF(ISNUMBER(E73),E73,0)+O73,O73)*(1+P73/30),IF(C73="peso_corporal",IF(ISNUMBER(E73),E73,0)+R73,R73)*(1+S73/30)),1)),"--")</f>
        <v>--</v>
      </c>
      <c r="V73" s="23" t="str">
        <f>IF(SUGERENCIAS!N188="SIN","Sin datos anteriores",IF(SUGERENCIAS!N188="SUBIR_F","^ SUBIR FUERTE | Kg:"&amp;ROUND(SUGERENCIAS!K188,1)&amp;" R:"&amp;ROUND(SUGERENCIAS!L188,0)&amp;" RIR:"&amp;ROUND(SUGERENCIAS!M188,0),IF(SUGERENCIAS!N188="SUBIR_E","^ SUBIR (Est.) | Kg:"&amp;ROUND(SUGERENCIAS!K188,1)&amp;" R:"&amp;ROUND(SUGERENCIAS!L188,0)&amp;" RIR:"&amp;ROUND(SUGERENCIAS!M188,0),IF(SUGERENCIAS!N188="SUBIR","^ SUBIR | Kg:"&amp;ROUND(SUGERENCIAS!K188,1)&amp;" R:"&amp;ROUND(SUGERENCIAS!L188,0)&amp;" RIR:"&amp;ROUND(SUGERENCIAS!M188,0),IF(SUGERENCIAS!N188="BAJAR","v BAJAR | Kg:"&amp;ROUND(SUGERENCIAS!K188,1)&amp;" R:"&amp;ROUND(SUGERENCIAS!L188,0)&amp;" RIR:"&amp;ROUND(SUGERENCIAS!M188,0),"= MANT | Kg:"&amp;ROUND(SUGERENCIAS!K188,1)&amp;" R:"&amp;ROUND(SUGERENCIAS!L188,0)&amp;" RIR:"&amp;ROUND(SUGERENCIAS!M188,0))))))</f>
        <v>Sin datos anteriores</v>
      </c>
      <c r="W73" s="69">
        <f>MAX(IF((G73&gt;0)*(IF(H73="",-1,H73)&gt;=0)*(IF(H73="",-1,H73)&lt;=1),IF(C73="peso_corporal",IF(ISNUMBER(E73),E73,0)+F73,F73)*G73*1000+F73,0),IF((J73&gt;0)*(IF(K73="",-1,K73)&gt;=0)*(IF(K73="",-1,K73)&lt;=1),IF(C73="peso_corporal",IF(ISNUMBER(E73),E73,0)+I73,I73)*J73*1000+I73,0),IF((M73&gt;0)*(IF(N73="",-1,N73)&gt;=0)*(IF(N73="",-1,N73)&lt;=1),IF(C73="peso_corporal",IF(ISNUMBER(E73),E73,0)+L73,L73)*M73*1000+L73,0),IF((P73&gt;0)*(IF(Q73="",-1,Q73)&gt;=0)*(IF(Q73="",-1,Q73)&lt;=1),IF(C73="peso_corporal",IF(ISNUMBER(E73),E73,0)+O73,O73)*P73*1000+O73,0),IF((S73&gt;0)*(IF(T73="",-1,T73)&gt;=0)*(IF(T73="",-1,T73)&lt;=1),IF(C73="peso_corporal",IF(ISNUMBER(E73),E73,0)+R73,R73)*S73*1000+R73,0))</f>
        <v>0</v>
      </c>
      <c r="X73" s="69">
        <f>IF(W73=0,0,IF(IF((S73&gt;0)*(IF(T73="",-1,T73)&gt;=0)*(IF(T73="",-1,T73)&lt;=1),IF(C73="peso_corporal",IF(ISNUMBER(E73),E73,0)+R73,R73)*S73*1000+R73,0)=W73,5,IF(IF((P73&gt;0)*(IF(Q73="",-1,Q73)&gt;=0)*(IF(Q73="",-1,Q73)&lt;=1),IF(C73="peso_corporal",IF(ISNUMBER(E73),E73,0)+O73,O73)*P73*1000+O73,0)=W73,4,IF(IF((M73&gt;0)*(IF(N73="",-1,N73)&gt;=0)*(IF(N73="",-1,N73)&lt;=1),IF(C73="peso_corporal",IF(ISNUMBER(E73),E73,0)+L73,L73)*M73*1000+L73,0)=W73,3,IF(IF((J73&gt;0)*(IF(K73="",-1,K73)&gt;=0)*(IF(K73="",-1,K73)&lt;=1),IF(C73="peso_corporal",IF(ISNUMBER(E73),E73,0)+I73,I73)*J73*1000+I73,0)=W73,2,IF(IF((G73&gt;0)*(IF(H73="",-1,H73)&gt;=0)*(IF(H73="",-1,H73)&lt;=1),IF(C73="peso_corporal",IF(ISNUMBER(E73),E73,0)+F73,F73)*G73*1000+F73,0)=W73,1,0))))))</f>
        <v>0</v>
      </c>
      <c r="Y73" s="69">
        <f>MAX(IF((G73&gt;0)*(IF(H73="",-1,H73)=0)*(1-(IF(H73="",-1,H73)&gt;=0)*(IF(H73="",-1,H73)&lt;=1)),IF(C73="peso_corporal",IF(ISNUMBER(E73),E73,0)+F73,F73)*G73*1000+F73,0),IF((J73&gt;0)*(IF(K73="",-1,K73)=0)*(1-(IF(K73="",-1,K73)&gt;=0)*(IF(K73="",-1,K73)&lt;=1)),IF(C73="peso_corporal",IF(ISNUMBER(E73),E73,0)+I73,I73)*J73*1000+I73,0),IF((M73&gt;0)*(IF(N73="",-1,N73)=0)*(1-(IF(N73="",-1,N73)&gt;=0)*(IF(N73="",-1,N73)&lt;=1)),IF(C73="peso_corporal",IF(ISNUMBER(E73),E73,0)+L73,L73)*M73*1000+L73,0),IF((P73&gt;0)*(IF(Q73="",-1,Q73)=0)*(1-(IF(Q73="",-1,Q73)&gt;=0)*(IF(Q73="",-1,Q73)&lt;=1)),IF(C73="peso_corporal",IF(ISNUMBER(E73),E73,0)+O73,O73)*P73*1000+O73,0),IF((S73&gt;0)*(IF(T73="",-1,T73)=0)*(1-(IF(T73="",-1,T73)&gt;=0)*(IF(T73="",-1,T73)&lt;=1)),IF(C73="peso_corporal",IF(ISNUMBER(E73),E73,0)+R73,R73)*S73*1000+R73,0))</f>
        <v>0</v>
      </c>
      <c r="Z73" s="69">
        <f>IF(Y73=0,0,IF(IF((S73&gt;0)*(IF(T73="",-1,T73)=0)*(1-(IF(T73="",-1,T73)&gt;=0)*(IF(T73="",-1,T73)&lt;=1)),IF(C73="peso_corporal",IF(ISNUMBER(E73),E73,0)+R73,R73)*S73*1000+R73,0)=Y73,5,IF(IF((P73&gt;0)*(IF(Q73="",-1,Q73)=0)*(1-(IF(Q73="",-1,Q73)&gt;=0)*(IF(Q73="",-1,Q73)&lt;=1)),IF(C73="peso_corporal",IF(ISNUMBER(E73),E73,0)+O73,O73)*P73*1000+O73,0)=Y73,4,IF(IF((M73&gt;0)*(IF(N73="",-1,N73)=0)*(1-(IF(N73="",-1,N73)&gt;=0)*(IF(N73="",-1,N73)&lt;=1)),IF(C73="peso_corporal",IF(ISNUMBER(E73),E73,0)+L73,L73)*M73*1000+L73,0)=Y73,3,IF(IF((J73&gt;0)*(IF(K73="",-1,K73)=0)*(1-(IF(K73="",-1,K73)&gt;=0)*(IF(K73="",-1,K73)&lt;=1)),IF(C73="peso_corporal",IF(ISNUMBER(E73),E73,0)+I73,I73)*J73*1000+I73,0)=Y73,2,IF(IF((G73&gt;0)*(IF(H73="",-1,H73)=0)*(1-(IF(H73="",-1,H73)&gt;=0)*(IF(H73="",-1,H73)&lt;=1)),IF(C73="peso_corporal",IF(ISNUMBER(E73),E73,0)+F73,F73)*G73*1000+F73,0)=Y73,1,0))))))</f>
        <v>0</v>
      </c>
      <c r="AA73" s="69">
        <f>MAX(IF((G73&gt;=3)*(1-(IF(H73="",-1,H73)&gt;=0)*(IF(H73="",-1,H73)&lt;=1))*(1-(IF(H73="",-1,H73)=0)),IF(C73="peso_corporal",IF(ISNUMBER(E73),E73,0)+F73,F73)*(30+G73)*100+F73,0),IF((J73&gt;=3)*(1-(IF(K73="",-1,K73)&gt;=0)*(IF(K73="",-1,K73)&lt;=1))*(1-(IF(K73="",-1,K73)=0)),IF(C73="peso_corporal",IF(ISNUMBER(E73),E73,0)+I73,I73)*(30+J73)*100+I73,0),IF((M73&gt;=3)*(1-(IF(N73="",-1,N73)&gt;=0)*(IF(N73="",-1,N73)&lt;=1))*(1-(IF(N73="",-1,N73)=0)),IF(C73="peso_corporal",IF(ISNUMBER(E73),E73,0)+L73,L73)*(30+M73)*100+L73,0),IF((P73&gt;=3)*(1-(IF(Q73="",-1,Q73)&gt;=0)*(IF(Q73="",-1,Q73)&lt;=1))*(1-(IF(Q73="",-1,Q73)=0)),IF(C73="peso_corporal",IF(ISNUMBER(E73),E73,0)+O73,O73)*(30+P73)*100+O73,0),IF((S73&gt;=3)*(1-(IF(T73="",-1,T73)&gt;=0)*(IF(T73="",-1,T73)&lt;=1))*(1-(IF(T73="",-1,T73)=0)),IF(C73="peso_corporal",IF(ISNUMBER(E73),E73,0)+R73,R73)*(30+S73)*100+R73,0))</f>
        <v>0</v>
      </c>
      <c r="AB73" s="69">
        <f>IF(AA73=0,0,IF(IF((S73&gt;=3)*(1-(IF(T73="",-1,T73)&gt;=0)*(IF(T73="",-1,T73)&lt;=1))*(1-(IF(T73="",-1,T73)=0)),IF(C73="peso_corporal",IF(ISNUMBER(E73),E73,0)+R73,R73)*(30+S73)*100+R73,0)=AA73,5,IF(IF((P73&gt;=3)*(1-(IF(Q73="",-1,Q73)&gt;=0)*(IF(Q73="",-1,Q73)&lt;=1))*(1-(IF(Q73="",-1,Q73)=0)),IF(C73="peso_corporal",IF(ISNUMBER(E73),E73,0)+O73,O73)*(30+P73)*100+O73,0)=AA73,4,IF(IF((M73&gt;=3)*(1-(IF(N73="",-1,N73)&gt;=0)*(IF(N73="",-1,N73)&lt;=1))*(1-(IF(N73="",-1,N73)=0)),IF(C73="peso_corporal",IF(ISNUMBER(E73),E73,0)+L73,L73)*(30+M73)*100+L73,0)=AA73,3,IF(IF((J73&gt;=3)*(1-(IF(K73="",-1,K73)&gt;=0)*(IF(K73="",-1,K73)&lt;=1))*(1-(IF(K73="",-1,K73)=0)),IF(C73="peso_corporal",IF(ISNUMBER(E73),E73,0)+I73,I73)*(30+J73)*100+I73,0)=AA73,2,IF(IF((G73&gt;=3)*(1-(IF(H73="",-1,H73)&gt;=0)*(IF(H73="",-1,H73)&lt;=1))*(1-(IF(H73="",-1,H73)=0)),IF(C73="peso_corporal",IF(ISNUMBER(E73),E73,0)+F73,F73)*(30+G73)*100+F73,0)=AA73,1,0))))))</f>
        <v>0</v>
      </c>
      <c r="AC73" s="69" t="str">
        <f>IF(X73&gt;0,"A"&amp;X73,IF(Z73&gt;0,"B"&amp;Z73,IF(AB73&gt;0,"C"&amp;AB73,"")))</f>
        <v/>
      </c>
    </row>
    <row r="74" spans="1:29" ht="15" customHeight="1">
      <c r="A74" s="81" t="s">
        <v>174</v>
      </c>
      <c r="B74" s="73"/>
      <c r="C74" s="73"/>
      <c r="D74" s="73"/>
      <c r="E74" s="73"/>
      <c r="F74" s="73"/>
      <c r="G74" s="73"/>
      <c r="H74" s="73"/>
      <c r="I74" s="73"/>
      <c r="J74" s="73"/>
      <c r="K74" s="73"/>
      <c r="L74" s="73"/>
      <c r="M74" s="73"/>
      <c r="N74" s="73"/>
      <c r="O74" s="73"/>
      <c r="P74" s="73"/>
      <c r="Q74" s="73"/>
      <c r="R74" s="73"/>
      <c r="S74" s="73"/>
      <c r="T74" s="73"/>
      <c r="U74" s="73"/>
      <c r="V74" s="73"/>
      <c r="W74" s="69"/>
      <c r="X74" s="69"/>
      <c r="Y74" s="69"/>
      <c r="Z74" s="69"/>
      <c r="AA74" s="69"/>
      <c r="AB74" s="69"/>
      <c r="AC74" s="69"/>
    </row>
    <row r="75" spans="1:29" ht="20.100000000000001" customHeight="1">
      <c r="A75" s="14" t="s">
        <v>175</v>
      </c>
      <c r="B75" s="15" t="s">
        <v>176</v>
      </c>
      <c r="C75" s="16" t="str">
        <f>IFERROR(INDEX(EJERCICIOS!$D$3:$D$75,MATCH(A75&amp;"|"&amp;B75,EJERCICIOS!$G$3:$G$75,0)),"--")</f>
        <v>mancuerna</v>
      </c>
      <c r="D75" s="17">
        <v>3</v>
      </c>
      <c r="E75" s="18">
        <f>IFERROR(LOOKUP(2,1/(MEDIDAS_Y_PESO!$B$3:$B$5&lt;&gt;""),MEDIDAS_Y_PESO!$B$3:$B$5),"--")</f>
        <v>80</v>
      </c>
      <c r="F75" s="19"/>
      <c r="G75" s="20"/>
      <c r="H75" s="21"/>
      <c r="I75" s="19"/>
      <c r="J75" s="20"/>
      <c r="K75" s="21"/>
      <c r="L75" s="19"/>
      <c r="M75" s="20"/>
      <c r="N75" s="21"/>
      <c r="O75" s="19"/>
      <c r="P75" s="20"/>
      <c r="Q75" s="21"/>
      <c r="R75" s="19"/>
      <c r="S75" s="20"/>
      <c r="T75" s="21"/>
      <c r="U75" s="22" t="str">
        <f>IFERROR(IF(IF(X75&gt;0,X75,IF(Z75&gt;0,Z75,IF(AB75&gt;0,AB75,0)))=0,"--",ROUND(CHOOSE(IF(X75&gt;0,X75,IF(Z75&gt;0,Z75,IF(AB75&gt;0,AB75,0))),IF(C75="peso_corporal",IF(ISNUMBER(E75),E75,0)+F75,F75)*(1+G75/30),IF(C75="peso_corporal",IF(ISNUMBER(E75),E75,0)+I75,I75)*(1+J75/30),IF(C75="peso_corporal",IF(ISNUMBER(E75),E75,0)+L75,L75)*(1+M75/30),IF(C75="peso_corporal",IF(ISNUMBER(E75),E75,0)+O75,O75)*(1+P75/30),IF(C75="peso_corporal",IF(ISNUMBER(E75),E75,0)+R75,R75)*(1+S75/30)),1)),"--")</f>
        <v>--</v>
      </c>
      <c r="V75" s="23" t="str">
        <f>IF(SUGERENCIAS!N189="SIN","Sin datos anteriores",IF(SUGERENCIAS!N189="SUBIR_F","^ SUBIR FUERTE | Kg:"&amp;ROUND(SUGERENCIAS!K189,1)&amp;" R:"&amp;ROUND(SUGERENCIAS!L189,0)&amp;" RIR:"&amp;ROUND(SUGERENCIAS!M189,0),IF(SUGERENCIAS!N189="SUBIR_E","^ SUBIR (Est.) | Kg:"&amp;ROUND(SUGERENCIAS!K189,1)&amp;" R:"&amp;ROUND(SUGERENCIAS!L189,0)&amp;" RIR:"&amp;ROUND(SUGERENCIAS!M189,0),IF(SUGERENCIAS!N189="SUBIR","^ SUBIR | Kg:"&amp;ROUND(SUGERENCIAS!K189,1)&amp;" R:"&amp;ROUND(SUGERENCIAS!L189,0)&amp;" RIR:"&amp;ROUND(SUGERENCIAS!M189,0),IF(SUGERENCIAS!N189="BAJAR","v BAJAR | Kg:"&amp;ROUND(SUGERENCIAS!K189,1)&amp;" R:"&amp;ROUND(SUGERENCIAS!L189,0)&amp;" RIR:"&amp;ROUND(SUGERENCIAS!M189,0),"= MANT | Kg:"&amp;ROUND(SUGERENCIAS!K189,1)&amp;" R:"&amp;ROUND(SUGERENCIAS!L189,0)&amp;" RIR:"&amp;ROUND(SUGERENCIAS!M189,0))))))</f>
        <v>Sin datos anteriores</v>
      </c>
      <c r="W75" s="69">
        <f>MAX(IF((G75&gt;0)*(IF(H75="",-1,H75)&gt;=0)*(IF(H75="",-1,H75)&lt;=1),IF(C75="peso_corporal",IF(ISNUMBER(E75),E75,0)+F75,F75)*G75*1000+F75,0),IF((J75&gt;0)*(IF(K75="",-1,K75)&gt;=0)*(IF(K75="",-1,K75)&lt;=1),IF(C75="peso_corporal",IF(ISNUMBER(E75),E75,0)+I75,I75)*J75*1000+I75,0),IF((M75&gt;0)*(IF(N75="",-1,N75)&gt;=0)*(IF(N75="",-1,N75)&lt;=1),IF(C75="peso_corporal",IF(ISNUMBER(E75),E75,0)+L75,L75)*M75*1000+L75,0),IF((P75&gt;0)*(IF(Q75="",-1,Q75)&gt;=0)*(IF(Q75="",-1,Q75)&lt;=1),IF(C75="peso_corporal",IF(ISNUMBER(E75),E75,0)+O75,O75)*P75*1000+O75,0),IF((S75&gt;0)*(IF(T75="",-1,T75)&gt;=0)*(IF(T75="",-1,T75)&lt;=1),IF(C75="peso_corporal",IF(ISNUMBER(E75),E75,0)+R75,R75)*S75*1000+R75,0))</f>
        <v>0</v>
      </c>
      <c r="X75" s="69">
        <f>IF(W75=0,0,IF(IF((S75&gt;0)*(IF(T75="",-1,T75)&gt;=0)*(IF(T75="",-1,T75)&lt;=1),IF(C75="peso_corporal",IF(ISNUMBER(E75),E75,0)+R75,R75)*S75*1000+R75,0)=W75,5,IF(IF((P75&gt;0)*(IF(Q75="",-1,Q75)&gt;=0)*(IF(Q75="",-1,Q75)&lt;=1),IF(C75="peso_corporal",IF(ISNUMBER(E75),E75,0)+O75,O75)*P75*1000+O75,0)=W75,4,IF(IF((M75&gt;0)*(IF(N75="",-1,N75)&gt;=0)*(IF(N75="",-1,N75)&lt;=1),IF(C75="peso_corporal",IF(ISNUMBER(E75),E75,0)+L75,L75)*M75*1000+L75,0)=W75,3,IF(IF((J75&gt;0)*(IF(K75="",-1,K75)&gt;=0)*(IF(K75="",-1,K75)&lt;=1),IF(C75="peso_corporal",IF(ISNUMBER(E75),E75,0)+I75,I75)*J75*1000+I75,0)=W75,2,IF(IF((G75&gt;0)*(IF(H75="",-1,H75)&gt;=0)*(IF(H75="",-1,H75)&lt;=1),IF(C75="peso_corporal",IF(ISNUMBER(E75),E75,0)+F75,F75)*G75*1000+F75,0)=W75,1,0))))))</f>
        <v>0</v>
      </c>
      <c r="Y75" s="69">
        <f>MAX(IF((G75&gt;0)*(IF(H75="",-1,H75)=0)*(1-(IF(H75="",-1,H75)&gt;=0)*(IF(H75="",-1,H75)&lt;=1)),IF(C75="peso_corporal",IF(ISNUMBER(E75),E75,0)+F75,F75)*G75*1000+F75,0),IF((J75&gt;0)*(IF(K75="",-1,K75)=0)*(1-(IF(K75="",-1,K75)&gt;=0)*(IF(K75="",-1,K75)&lt;=1)),IF(C75="peso_corporal",IF(ISNUMBER(E75),E75,0)+I75,I75)*J75*1000+I75,0),IF((M75&gt;0)*(IF(N75="",-1,N75)=0)*(1-(IF(N75="",-1,N75)&gt;=0)*(IF(N75="",-1,N75)&lt;=1)),IF(C75="peso_corporal",IF(ISNUMBER(E75),E75,0)+L75,L75)*M75*1000+L75,0),IF((P75&gt;0)*(IF(Q75="",-1,Q75)=0)*(1-(IF(Q75="",-1,Q75)&gt;=0)*(IF(Q75="",-1,Q75)&lt;=1)),IF(C75="peso_corporal",IF(ISNUMBER(E75),E75,0)+O75,O75)*P75*1000+O75,0),IF((S75&gt;0)*(IF(T75="",-1,T75)=0)*(1-(IF(T75="",-1,T75)&gt;=0)*(IF(T75="",-1,T75)&lt;=1)),IF(C75="peso_corporal",IF(ISNUMBER(E75),E75,0)+R75,R75)*S75*1000+R75,0))</f>
        <v>0</v>
      </c>
      <c r="Z75" s="69">
        <f>IF(Y75=0,0,IF(IF((S75&gt;0)*(IF(T75="",-1,T75)=0)*(1-(IF(T75="",-1,T75)&gt;=0)*(IF(T75="",-1,T75)&lt;=1)),IF(C75="peso_corporal",IF(ISNUMBER(E75),E75,0)+R75,R75)*S75*1000+R75,0)=Y75,5,IF(IF((P75&gt;0)*(IF(Q75="",-1,Q75)=0)*(1-(IF(Q75="",-1,Q75)&gt;=0)*(IF(Q75="",-1,Q75)&lt;=1)),IF(C75="peso_corporal",IF(ISNUMBER(E75),E75,0)+O75,O75)*P75*1000+O75,0)=Y75,4,IF(IF((M75&gt;0)*(IF(N75="",-1,N75)=0)*(1-(IF(N75="",-1,N75)&gt;=0)*(IF(N75="",-1,N75)&lt;=1)),IF(C75="peso_corporal",IF(ISNUMBER(E75),E75,0)+L75,L75)*M75*1000+L75,0)=Y75,3,IF(IF((J75&gt;0)*(IF(K75="",-1,K75)=0)*(1-(IF(K75="",-1,K75)&gt;=0)*(IF(K75="",-1,K75)&lt;=1)),IF(C75="peso_corporal",IF(ISNUMBER(E75),E75,0)+I75,I75)*J75*1000+I75,0)=Y75,2,IF(IF((G75&gt;0)*(IF(H75="",-1,H75)=0)*(1-(IF(H75="",-1,H75)&gt;=0)*(IF(H75="",-1,H75)&lt;=1)),IF(C75="peso_corporal",IF(ISNUMBER(E75),E75,0)+F75,F75)*G75*1000+F75,0)=Y75,1,0))))))</f>
        <v>0</v>
      </c>
      <c r="AA75" s="69">
        <f>MAX(IF((G75&gt;=3)*(1-(IF(H75="",-1,H75)&gt;=0)*(IF(H75="",-1,H75)&lt;=1))*(1-(IF(H75="",-1,H75)=0)),IF(C75="peso_corporal",IF(ISNUMBER(E75),E75,0)+F75,F75)*(30+G75)*100+F75,0),IF((J75&gt;=3)*(1-(IF(K75="",-1,K75)&gt;=0)*(IF(K75="",-1,K75)&lt;=1))*(1-(IF(K75="",-1,K75)=0)),IF(C75="peso_corporal",IF(ISNUMBER(E75),E75,0)+I75,I75)*(30+J75)*100+I75,0),IF((M75&gt;=3)*(1-(IF(N75="",-1,N75)&gt;=0)*(IF(N75="",-1,N75)&lt;=1))*(1-(IF(N75="",-1,N75)=0)),IF(C75="peso_corporal",IF(ISNUMBER(E75),E75,0)+L75,L75)*(30+M75)*100+L75,0),IF((P75&gt;=3)*(1-(IF(Q75="",-1,Q75)&gt;=0)*(IF(Q75="",-1,Q75)&lt;=1))*(1-(IF(Q75="",-1,Q75)=0)),IF(C75="peso_corporal",IF(ISNUMBER(E75),E75,0)+O75,O75)*(30+P75)*100+O75,0),IF((S75&gt;=3)*(1-(IF(T75="",-1,T75)&gt;=0)*(IF(T75="",-1,T75)&lt;=1))*(1-(IF(T75="",-1,T75)=0)),IF(C75="peso_corporal",IF(ISNUMBER(E75),E75,0)+R75,R75)*(30+S75)*100+R75,0))</f>
        <v>0</v>
      </c>
      <c r="AB75" s="69">
        <f>IF(AA75=0,0,IF(IF((S75&gt;=3)*(1-(IF(T75="",-1,T75)&gt;=0)*(IF(T75="",-1,T75)&lt;=1))*(1-(IF(T75="",-1,T75)=0)),IF(C75="peso_corporal",IF(ISNUMBER(E75),E75,0)+R75,R75)*(30+S75)*100+R75,0)=AA75,5,IF(IF((P75&gt;=3)*(1-(IF(Q75="",-1,Q75)&gt;=0)*(IF(Q75="",-1,Q75)&lt;=1))*(1-(IF(Q75="",-1,Q75)=0)),IF(C75="peso_corporal",IF(ISNUMBER(E75),E75,0)+O75,O75)*(30+P75)*100+O75,0)=AA75,4,IF(IF((M75&gt;=3)*(1-(IF(N75="",-1,N75)&gt;=0)*(IF(N75="",-1,N75)&lt;=1))*(1-(IF(N75="",-1,N75)=0)),IF(C75="peso_corporal",IF(ISNUMBER(E75),E75,0)+L75,L75)*(30+M75)*100+L75,0)=AA75,3,IF(IF((J75&gt;=3)*(1-(IF(K75="",-1,K75)&gt;=0)*(IF(K75="",-1,K75)&lt;=1))*(1-(IF(K75="",-1,K75)=0)),IF(C75="peso_corporal",IF(ISNUMBER(E75),E75,0)+I75,I75)*(30+J75)*100+I75,0)=AA75,2,IF(IF((G75&gt;=3)*(1-(IF(H75="",-1,H75)&gt;=0)*(IF(H75="",-1,H75)&lt;=1))*(1-(IF(H75="",-1,H75)=0)),IF(C75="peso_corporal",IF(ISNUMBER(E75),E75,0)+F75,F75)*(30+G75)*100+F75,0)=AA75,1,0))))))</f>
        <v>0</v>
      </c>
      <c r="AC75" s="69" t="str">
        <f>IF(X75&gt;0,"A"&amp;X75,IF(Z75&gt;0,"B"&amp;Z75,IF(AB75&gt;0,"C"&amp;AB75,"")))</f>
        <v/>
      </c>
    </row>
    <row r="76" spans="1:29" ht="20.100000000000001" customHeight="1">
      <c r="A76" s="14" t="s">
        <v>109</v>
      </c>
      <c r="B76" s="15" t="s">
        <v>110</v>
      </c>
      <c r="C76" s="16" t="str">
        <f>IFERROR(INDEX(EJERCICIOS!$D$3:$D$75,MATCH(A76&amp;"|"&amp;B76,EJERCICIOS!$G$3:$G$75,0)),"--")</f>
        <v>polea</v>
      </c>
      <c r="D76" s="17">
        <v>3</v>
      </c>
      <c r="E76" s="18">
        <f>IFERROR(LOOKUP(2,1/(MEDIDAS_Y_PESO!$B$3:$B$5&lt;&gt;""),MEDIDAS_Y_PESO!$B$3:$B$5),"--")</f>
        <v>80</v>
      </c>
      <c r="F76" s="19"/>
      <c r="G76" s="20"/>
      <c r="H76" s="21"/>
      <c r="I76" s="19"/>
      <c r="J76" s="20"/>
      <c r="K76" s="21"/>
      <c r="L76" s="19"/>
      <c r="M76" s="20"/>
      <c r="N76" s="21"/>
      <c r="O76" s="19"/>
      <c r="P76" s="20"/>
      <c r="Q76" s="21"/>
      <c r="R76" s="19"/>
      <c r="S76" s="20"/>
      <c r="T76" s="21"/>
      <c r="U76" s="22" t="str">
        <f>IFERROR(IF(IF(X76&gt;0,X76,IF(Z76&gt;0,Z76,IF(AB76&gt;0,AB76,0)))=0,"--",ROUND(CHOOSE(IF(X76&gt;0,X76,IF(Z76&gt;0,Z76,IF(AB76&gt;0,AB76,0))),IF(C76="peso_corporal",IF(ISNUMBER(E76),E76,0)+F76,F76)*(1+G76/30),IF(C76="peso_corporal",IF(ISNUMBER(E76),E76,0)+I76,I76)*(1+J76/30),IF(C76="peso_corporal",IF(ISNUMBER(E76),E76,0)+L76,L76)*(1+M76/30),IF(C76="peso_corporal",IF(ISNUMBER(E76),E76,0)+O76,O76)*(1+P76/30),IF(C76="peso_corporal",IF(ISNUMBER(E76),E76,0)+R76,R76)*(1+S76/30)),1)),"--")</f>
        <v>--</v>
      </c>
      <c r="V76" s="23" t="str">
        <f>IF(SUGERENCIAS!N190="SIN","Sin datos anteriores",IF(SUGERENCIAS!N190="SUBIR_F","^ SUBIR FUERTE | Kg:"&amp;ROUND(SUGERENCIAS!K190,1)&amp;" R:"&amp;ROUND(SUGERENCIAS!L190,0)&amp;" RIR:"&amp;ROUND(SUGERENCIAS!M190,0),IF(SUGERENCIAS!N190="SUBIR_E","^ SUBIR (Est.) | Kg:"&amp;ROUND(SUGERENCIAS!K190,1)&amp;" R:"&amp;ROUND(SUGERENCIAS!L190,0)&amp;" RIR:"&amp;ROUND(SUGERENCIAS!M190,0),IF(SUGERENCIAS!N190="SUBIR","^ SUBIR | Kg:"&amp;ROUND(SUGERENCIAS!K190,1)&amp;" R:"&amp;ROUND(SUGERENCIAS!L190,0)&amp;" RIR:"&amp;ROUND(SUGERENCIAS!M190,0),IF(SUGERENCIAS!N190="BAJAR","v BAJAR | Kg:"&amp;ROUND(SUGERENCIAS!K190,1)&amp;" R:"&amp;ROUND(SUGERENCIAS!L190,0)&amp;" RIR:"&amp;ROUND(SUGERENCIAS!M190,0),"= MANT | Kg:"&amp;ROUND(SUGERENCIAS!K190,1)&amp;" R:"&amp;ROUND(SUGERENCIAS!L190,0)&amp;" RIR:"&amp;ROUND(SUGERENCIAS!M190,0))))))</f>
        <v>Sin datos anteriores</v>
      </c>
      <c r="W76" s="69">
        <f>MAX(IF((G76&gt;0)*(IF(H76="",-1,H76)&gt;=0)*(IF(H76="",-1,H76)&lt;=1),IF(C76="peso_corporal",IF(ISNUMBER(E76),E76,0)+F76,F76)*G76*1000+F76,0),IF((J76&gt;0)*(IF(K76="",-1,K76)&gt;=0)*(IF(K76="",-1,K76)&lt;=1),IF(C76="peso_corporal",IF(ISNUMBER(E76),E76,0)+I76,I76)*J76*1000+I76,0),IF((M76&gt;0)*(IF(N76="",-1,N76)&gt;=0)*(IF(N76="",-1,N76)&lt;=1),IF(C76="peso_corporal",IF(ISNUMBER(E76),E76,0)+L76,L76)*M76*1000+L76,0),IF((P76&gt;0)*(IF(Q76="",-1,Q76)&gt;=0)*(IF(Q76="",-1,Q76)&lt;=1),IF(C76="peso_corporal",IF(ISNUMBER(E76),E76,0)+O76,O76)*P76*1000+O76,0),IF((S76&gt;0)*(IF(T76="",-1,T76)&gt;=0)*(IF(T76="",-1,T76)&lt;=1),IF(C76="peso_corporal",IF(ISNUMBER(E76),E76,0)+R76,R76)*S76*1000+R76,0))</f>
        <v>0</v>
      </c>
      <c r="X76" s="69">
        <f>IF(W76=0,0,IF(IF((S76&gt;0)*(IF(T76="",-1,T76)&gt;=0)*(IF(T76="",-1,T76)&lt;=1),IF(C76="peso_corporal",IF(ISNUMBER(E76),E76,0)+R76,R76)*S76*1000+R76,0)=W76,5,IF(IF((P76&gt;0)*(IF(Q76="",-1,Q76)&gt;=0)*(IF(Q76="",-1,Q76)&lt;=1),IF(C76="peso_corporal",IF(ISNUMBER(E76),E76,0)+O76,O76)*P76*1000+O76,0)=W76,4,IF(IF((M76&gt;0)*(IF(N76="",-1,N76)&gt;=0)*(IF(N76="",-1,N76)&lt;=1),IF(C76="peso_corporal",IF(ISNUMBER(E76),E76,0)+L76,L76)*M76*1000+L76,0)=W76,3,IF(IF((J76&gt;0)*(IF(K76="",-1,K76)&gt;=0)*(IF(K76="",-1,K76)&lt;=1),IF(C76="peso_corporal",IF(ISNUMBER(E76),E76,0)+I76,I76)*J76*1000+I76,0)=W76,2,IF(IF((G76&gt;0)*(IF(H76="",-1,H76)&gt;=0)*(IF(H76="",-1,H76)&lt;=1),IF(C76="peso_corporal",IF(ISNUMBER(E76),E76,0)+F76,F76)*G76*1000+F76,0)=W76,1,0))))))</f>
        <v>0</v>
      </c>
      <c r="Y76" s="69">
        <f>MAX(IF((G76&gt;0)*(IF(H76="",-1,H76)=0)*(1-(IF(H76="",-1,H76)&gt;=0)*(IF(H76="",-1,H76)&lt;=1)),IF(C76="peso_corporal",IF(ISNUMBER(E76),E76,0)+F76,F76)*G76*1000+F76,0),IF((J76&gt;0)*(IF(K76="",-1,K76)=0)*(1-(IF(K76="",-1,K76)&gt;=0)*(IF(K76="",-1,K76)&lt;=1)),IF(C76="peso_corporal",IF(ISNUMBER(E76),E76,0)+I76,I76)*J76*1000+I76,0),IF((M76&gt;0)*(IF(N76="",-1,N76)=0)*(1-(IF(N76="",-1,N76)&gt;=0)*(IF(N76="",-1,N76)&lt;=1)),IF(C76="peso_corporal",IF(ISNUMBER(E76),E76,0)+L76,L76)*M76*1000+L76,0),IF((P76&gt;0)*(IF(Q76="",-1,Q76)=0)*(1-(IF(Q76="",-1,Q76)&gt;=0)*(IF(Q76="",-1,Q76)&lt;=1)),IF(C76="peso_corporal",IF(ISNUMBER(E76),E76,0)+O76,O76)*P76*1000+O76,0),IF((S76&gt;0)*(IF(T76="",-1,T76)=0)*(1-(IF(T76="",-1,T76)&gt;=0)*(IF(T76="",-1,T76)&lt;=1)),IF(C76="peso_corporal",IF(ISNUMBER(E76),E76,0)+R76,R76)*S76*1000+R76,0))</f>
        <v>0</v>
      </c>
      <c r="Z76" s="69">
        <f>IF(Y76=0,0,IF(IF((S76&gt;0)*(IF(T76="",-1,T76)=0)*(1-(IF(T76="",-1,T76)&gt;=0)*(IF(T76="",-1,T76)&lt;=1)),IF(C76="peso_corporal",IF(ISNUMBER(E76),E76,0)+R76,R76)*S76*1000+R76,0)=Y76,5,IF(IF((P76&gt;0)*(IF(Q76="",-1,Q76)=0)*(1-(IF(Q76="",-1,Q76)&gt;=0)*(IF(Q76="",-1,Q76)&lt;=1)),IF(C76="peso_corporal",IF(ISNUMBER(E76),E76,0)+O76,O76)*P76*1000+O76,0)=Y76,4,IF(IF((M76&gt;0)*(IF(N76="",-1,N76)=0)*(1-(IF(N76="",-1,N76)&gt;=0)*(IF(N76="",-1,N76)&lt;=1)),IF(C76="peso_corporal",IF(ISNUMBER(E76),E76,0)+L76,L76)*M76*1000+L76,0)=Y76,3,IF(IF((J76&gt;0)*(IF(K76="",-1,K76)=0)*(1-(IF(K76="",-1,K76)&gt;=0)*(IF(K76="",-1,K76)&lt;=1)),IF(C76="peso_corporal",IF(ISNUMBER(E76),E76,0)+I76,I76)*J76*1000+I76,0)=Y76,2,IF(IF((G76&gt;0)*(IF(H76="",-1,H76)=0)*(1-(IF(H76="",-1,H76)&gt;=0)*(IF(H76="",-1,H76)&lt;=1)),IF(C76="peso_corporal",IF(ISNUMBER(E76),E76,0)+F76,F76)*G76*1000+F76,0)=Y76,1,0))))))</f>
        <v>0</v>
      </c>
      <c r="AA76" s="69">
        <f>MAX(IF((G76&gt;=3)*(1-(IF(H76="",-1,H76)&gt;=0)*(IF(H76="",-1,H76)&lt;=1))*(1-(IF(H76="",-1,H76)=0)),IF(C76="peso_corporal",IF(ISNUMBER(E76),E76,0)+F76,F76)*(30+G76)*100+F76,0),IF((J76&gt;=3)*(1-(IF(K76="",-1,K76)&gt;=0)*(IF(K76="",-1,K76)&lt;=1))*(1-(IF(K76="",-1,K76)=0)),IF(C76="peso_corporal",IF(ISNUMBER(E76),E76,0)+I76,I76)*(30+J76)*100+I76,0),IF((M76&gt;=3)*(1-(IF(N76="",-1,N76)&gt;=0)*(IF(N76="",-1,N76)&lt;=1))*(1-(IF(N76="",-1,N76)=0)),IF(C76="peso_corporal",IF(ISNUMBER(E76),E76,0)+L76,L76)*(30+M76)*100+L76,0),IF((P76&gt;=3)*(1-(IF(Q76="",-1,Q76)&gt;=0)*(IF(Q76="",-1,Q76)&lt;=1))*(1-(IF(Q76="",-1,Q76)=0)),IF(C76="peso_corporal",IF(ISNUMBER(E76),E76,0)+O76,O76)*(30+P76)*100+O76,0),IF((S76&gt;=3)*(1-(IF(T76="",-1,T76)&gt;=0)*(IF(T76="",-1,T76)&lt;=1))*(1-(IF(T76="",-1,T76)=0)),IF(C76="peso_corporal",IF(ISNUMBER(E76),E76,0)+R76,R76)*(30+S76)*100+R76,0))</f>
        <v>0</v>
      </c>
      <c r="AB76" s="69">
        <f>IF(AA76=0,0,IF(IF((S76&gt;=3)*(1-(IF(T76="",-1,T76)&gt;=0)*(IF(T76="",-1,T76)&lt;=1))*(1-(IF(T76="",-1,T76)=0)),IF(C76="peso_corporal",IF(ISNUMBER(E76),E76,0)+R76,R76)*(30+S76)*100+R76,0)=AA76,5,IF(IF((P76&gt;=3)*(1-(IF(Q76="",-1,Q76)&gt;=0)*(IF(Q76="",-1,Q76)&lt;=1))*(1-(IF(Q76="",-1,Q76)=0)),IF(C76="peso_corporal",IF(ISNUMBER(E76),E76,0)+O76,O76)*(30+P76)*100+O76,0)=AA76,4,IF(IF((M76&gt;=3)*(1-(IF(N76="",-1,N76)&gt;=0)*(IF(N76="",-1,N76)&lt;=1))*(1-(IF(N76="",-1,N76)=0)),IF(C76="peso_corporal",IF(ISNUMBER(E76),E76,0)+L76,L76)*(30+M76)*100+L76,0)=AA76,3,IF(IF((J76&gt;=3)*(1-(IF(K76="",-1,K76)&gt;=0)*(IF(K76="",-1,K76)&lt;=1))*(1-(IF(K76="",-1,K76)=0)),IF(C76="peso_corporal",IF(ISNUMBER(E76),E76,0)+I76,I76)*(30+J76)*100+I76,0)=AA76,2,IF(IF((G76&gt;=3)*(1-(IF(H76="",-1,H76)&gt;=0)*(IF(H76="",-1,H76)&lt;=1))*(1-(IF(H76="",-1,H76)=0)),IF(C76="peso_corporal",IF(ISNUMBER(E76),E76,0)+F76,F76)*(30+G76)*100+F76,0)=AA76,1,0))))))</f>
        <v>0</v>
      </c>
      <c r="AC76" s="69" t="str">
        <f>IF(X76&gt;0,"A"&amp;X76,IF(Z76&gt;0,"B"&amp;Z76,IF(AB76&gt;0,"C"&amp;AB76,"")))</f>
        <v/>
      </c>
    </row>
    <row r="77" spans="1:29" ht="15" customHeight="1">
      <c r="A77" s="90" t="s">
        <v>142</v>
      </c>
      <c r="B77" s="73"/>
      <c r="C77" s="73"/>
      <c r="D77" s="73"/>
      <c r="E77" s="73"/>
      <c r="F77" s="73"/>
      <c r="G77" s="73"/>
      <c r="H77" s="73"/>
      <c r="I77" s="73"/>
      <c r="J77" s="73"/>
      <c r="K77" s="73"/>
      <c r="L77" s="73"/>
      <c r="M77" s="73"/>
      <c r="N77" s="73"/>
      <c r="O77" s="73"/>
      <c r="P77" s="73"/>
      <c r="Q77" s="73"/>
      <c r="R77" s="73"/>
      <c r="S77" s="73"/>
      <c r="T77" s="73"/>
      <c r="U77" s="73"/>
      <c r="V77" s="73"/>
      <c r="W77" s="69"/>
      <c r="X77" s="69"/>
      <c r="Y77" s="69"/>
      <c r="Z77" s="69"/>
      <c r="AA77" s="69"/>
      <c r="AB77" s="69"/>
      <c r="AC77" s="69"/>
    </row>
    <row r="78" spans="1:29" ht="20.100000000000001" customHeight="1">
      <c r="A78" s="14" t="s">
        <v>24</v>
      </c>
      <c r="B78" s="15" t="s">
        <v>143</v>
      </c>
      <c r="C78" s="16" t="str">
        <f>IFERROR(INDEX(EJERCICIOS!$D$3:$D$75,MATCH(A78&amp;"|"&amp;B78,EJERCICIOS!$G$3:$G$75,0)),"--")</f>
        <v>peso_corporal</v>
      </c>
      <c r="D78" s="17">
        <v>3</v>
      </c>
      <c r="E78" s="18">
        <f>IFERROR(LOOKUP(2,1/(MEDIDAS_Y_PESO!$B$3:$B$5&lt;&gt;""),MEDIDAS_Y_PESO!$B$3:$B$5),"--")</f>
        <v>80</v>
      </c>
      <c r="F78" s="19"/>
      <c r="G78" s="20"/>
      <c r="H78" s="21"/>
      <c r="I78" s="19"/>
      <c r="J78" s="20"/>
      <c r="K78" s="21"/>
      <c r="L78" s="19"/>
      <c r="M78" s="20"/>
      <c r="N78" s="21"/>
      <c r="O78" s="19"/>
      <c r="P78" s="20"/>
      <c r="Q78" s="21"/>
      <c r="R78" s="19"/>
      <c r="S78" s="20"/>
      <c r="T78" s="21"/>
      <c r="U78" s="22" t="str">
        <f>IFERROR(IF(IF(X78&gt;0,X78,IF(Z78&gt;0,Z78,IF(AB78&gt;0,AB78,0)))=0,"--",ROUND(CHOOSE(IF(X78&gt;0,X78,IF(Z78&gt;0,Z78,IF(AB78&gt;0,AB78,0))),IF(C78="peso_corporal",IF(ISNUMBER(E78),E78,0)+F78,F78)*(1+G78/30),IF(C78="peso_corporal",IF(ISNUMBER(E78),E78,0)+I78,I78)*(1+J78/30),IF(C78="peso_corporal",IF(ISNUMBER(E78),E78,0)+L78,L78)*(1+M78/30),IF(C78="peso_corporal",IF(ISNUMBER(E78),E78,0)+O78,O78)*(1+P78/30),IF(C78="peso_corporal",IF(ISNUMBER(E78),E78,0)+R78,R78)*(1+S78/30)),1)),"--")</f>
        <v>--</v>
      </c>
      <c r="V78" s="23" t="str">
        <f>IF(SUGERENCIAS!N191="SIN","Sin datos anteriores",IF(SUGERENCIAS!N191="SUBIR_F","^ SUBIR FUERTE | Kg:"&amp;ROUND(SUGERENCIAS!K191,1)&amp;" R:"&amp;ROUND(SUGERENCIAS!L191,0)&amp;" RIR:"&amp;ROUND(SUGERENCIAS!M191,0),IF(SUGERENCIAS!N191="SUBIR_E","^ SUBIR (Est.) | Kg:"&amp;ROUND(SUGERENCIAS!K191,1)&amp;" R:"&amp;ROUND(SUGERENCIAS!L191,0)&amp;" RIR:"&amp;ROUND(SUGERENCIAS!M191,0),IF(SUGERENCIAS!N191="SUBIR","^ SUBIR | Kg:"&amp;ROUND(SUGERENCIAS!K191,1)&amp;" R:"&amp;ROUND(SUGERENCIAS!L191,0)&amp;" RIR:"&amp;ROUND(SUGERENCIAS!M191,0),IF(SUGERENCIAS!N191="BAJAR","v BAJAR | Kg:"&amp;ROUND(SUGERENCIAS!K191,1)&amp;" R:"&amp;ROUND(SUGERENCIAS!L191,0)&amp;" RIR:"&amp;ROUND(SUGERENCIAS!M191,0),"= MANT | Kg:"&amp;ROUND(SUGERENCIAS!K191,1)&amp;" R:"&amp;ROUND(SUGERENCIAS!L191,0)&amp;" RIR:"&amp;ROUND(SUGERENCIAS!M191,0))))))</f>
        <v>Sin datos anteriores</v>
      </c>
      <c r="W78" s="69">
        <f>MAX(IF((G78&gt;0)*(IF(H78="",-1,H78)&gt;=0)*(IF(H78="",-1,H78)&lt;=1),IF(C78="peso_corporal",IF(ISNUMBER(E78),E78,0)+F78,F78)*G78*1000+F78,0),IF((J78&gt;0)*(IF(K78="",-1,K78)&gt;=0)*(IF(K78="",-1,K78)&lt;=1),IF(C78="peso_corporal",IF(ISNUMBER(E78),E78,0)+I78,I78)*J78*1000+I78,0),IF((M78&gt;0)*(IF(N78="",-1,N78)&gt;=0)*(IF(N78="",-1,N78)&lt;=1),IF(C78="peso_corporal",IF(ISNUMBER(E78),E78,0)+L78,L78)*M78*1000+L78,0),IF((P78&gt;0)*(IF(Q78="",-1,Q78)&gt;=0)*(IF(Q78="",-1,Q78)&lt;=1),IF(C78="peso_corporal",IF(ISNUMBER(E78),E78,0)+O78,O78)*P78*1000+O78,0),IF((S78&gt;0)*(IF(T78="",-1,T78)&gt;=0)*(IF(T78="",-1,T78)&lt;=1),IF(C78="peso_corporal",IF(ISNUMBER(E78),E78,0)+R78,R78)*S78*1000+R78,0))</f>
        <v>0</v>
      </c>
      <c r="X78" s="69">
        <f>IF(W78=0,0,IF(IF((S78&gt;0)*(IF(T78="",-1,T78)&gt;=0)*(IF(T78="",-1,T78)&lt;=1),IF(C78="peso_corporal",IF(ISNUMBER(E78),E78,0)+R78,R78)*S78*1000+R78,0)=W78,5,IF(IF((P78&gt;0)*(IF(Q78="",-1,Q78)&gt;=0)*(IF(Q78="",-1,Q78)&lt;=1),IF(C78="peso_corporal",IF(ISNUMBER(E78),E78,0)+O78,O78)*P78*1000+O78,0)=W78,4,IF(IF((M78&gt;0)*(IF(N78="",-1,N78)&gt;=0)*(IF(N78="",-1,N78)&lt;=1),IF(C78="peso_corporal",IF(ISNUMBER(E78),E78,0)+L78,L78)*M78*1000+L78,0)=W78,3,IF(IF((J78&gt;0)*(IF(K78="",-1,K78)&gt;=0)*(IF(K78="",-1,K78)&lt;=1),IF(C78="peso_corporal",IF(ISNUMBER(E78),E78,0)+I78,I78)*J78*1000+I78,0)=W78,2,IF(IF((G78&gt;0)*(IF(H78="",-1,H78)&gt;=0)*(IF(H78="",-1,H78)&lt;=1),IF(C78="peso_corporal",IF(ISNUMBER(E78),E78,0)+F78,F78)*G78*1000+F78,0)=W78,1,0))))))</f>
        <v>0</v>
      </c>
      <c r="Y78" s="69">
        <f>MAX(IF((G78&gt;0)*(IF(H78="",-1,H78)=0)*(1-(IF(H78="",-1,H78)&gt;=0)*(IF(H78="",-1,H78)&lt;=1)),IF(C78="peso_corporal",IF(ISNUMBER(E78),E78,0)+F78,F78)*G78*1000+F78,0),IF((J78&gt;0)*(IF(K78="",-1,K78)=0)*(1-(IF(K78="",-1,K78)&gt;=0)*(IF(K78="",-1,K78)&lt;=1)),IF(C78="peso_corporal",IF(ISNUMBER(E78),E78,0)+I78,I78)*J78*1000+I78,0),IF((M78&gt;0)*(IF(N78="",-1,N78)=0)*(1-(IF(N78="",-1,N78)&gt;=0)*(IF(N78="",-1,N78)&lt;=1)),IF(C78="peso_corporal",IF(ISNUMBER(E78),E78,0)+L78,L78)*M78*1000+L78,0),IF((P78&gt;0)*(IF(Q78="",-1,Q78)=0)*(1-(IF(Q78="",-1,Q78)&gt;=0)*(IF(Q78="",-1,Q78)&lt;=1)),IF(C78="peso_corporal",IF(ISNUMBER(E78),E78,0)+O78,O78)*P78*1000+O78,0),IF((S78&gt;0)*(IF(T78="",-1,T78)=0)*(1-(IF(T78="",-1,T78)&gt;=0)*(IF(T78="",-1,T78)&lt;=1)),IF(C78="peso_corporal",IF(ISNUMBER(E78),E78,0)+R78,R78)*S78*1000+R78,0))</f>
        <v>0</v>
      </c>
      <c r="Z78" s="69">
        <f>IF(Y78=0,0,IF(IF((S78&gt;0)*(IF(T78="",-1,T78)=0)*(1-(IF(T78="",-1,T78)&gt;=0)*(IF(T78="",-1,T78)&lt;=1)),IF(C78="peso_corporal",IF(ISNUMBER(E78),E78,0)+R78,R78)*S78*1000+R78,0)=Y78,5,IF(IF((P78&gt;0)*(IF(Q78="",-1,Q78)=0)*(1-(IF(Q78="",-1,Q78)&gt;=0)*(IF(Q78="",-1,Q78)&lt;=1)),IF(C78="peso_corporal",IF(ISNUMBER(E78),E78,0)+O78,O78)*P78*1000+O78,0)=Y78,4,IF(IF((M78&gt;0)*(IF(N78="",-1,N78)=0)*(1-(IF(N78="",-1,N78)&gt;=0)*(IF(N78="",-1,N78)&lt;=1)),IF(C78="peso_corporal",IF(ISNUMBER(E78),E78,0)+L78,L78)*M78*1000+L78,0)=Y78,3,IF(IF((J78&gt;0)*(IF(K78="",-1,K78)=0)*(1-(IF(K78="",-1,K78)&gt;=0)*(IF(K78="",-1,K78)&lt;=1)),IF(C78="peso_corporal",IF(ISNUMBER(E78),E78,0)+I78,I78)*J78*1000+I78,0)=Y78,2,IF(IF((G78&gt;0)*(IF(H78="",-1,H78)=0)*(1-(IF(H78="",-1,H78)&gt;=0)*(IF(H78="",-1,H78)&lt;=1)),IF(C78="peso_corporal",IF(ISNUMBER(E78),E78,0)+F78,F78)*G78*1000+F78,0)=Y78,1,0))))))</f>
        <v>0</v>
      </c>
      <c r="AA78" s="69">
        <f>MAX(IF((G78&gt;=3)*(1-(IF(H78="",-1,H78)&gt;=0)*(IF(H78="",-1,H78)&lt;=1))*(1-(IF(H78="",-1,H78)=0)),IF(C78="peso_corporal",IF(ISNUMBER(E78),E78,0)+F78,F78)*(30+G78)*100+F78,0),IF((J78&gt;=3)*(1-(IF(K78="",-1,K78)&gt;=0)*(IF(K78="",-1,K78)&lt;=1))*(1-(IF(K78="",-1,K78)=0)),IF(C78="peso_corporal",IF(ISNUMBER(E78),E78,0)+I78,I78)*(30+J78)*100+I78,0),IF((M78&gt;=3)*(1-(IF(N78="",-1,N78)&gt;=0)*(IF(N78="",-1,N78)&lt;=1))*(1-(IF(N78="",-1,N78)=0)),IF(C78="peso_corporal",IF(ISNUMBER(E78),E78,0)+L78,L78)*(30+M78)*100+L78,0),IF((P78&gt;=3)*(1-(IF(Q78="",-1,Q78)&gt;=0)*(IF(Q78="",-1,Q78)&lt;=1))*(1-(IF(Q78="",-1,Q78)=0)),IF(C78="peso_corporal",IF(ISNUMBER(E78),E78,0)+O78,O78)*(30+P78)*100+O78,0),IF((S78&gt;=3)*(1-(IF(T78="",-1,T78)&gt;=0)*(IF(T78="",-1,T78)&lt;=1))*(1-(IF(T78="",-1,T78)=0)),IF(C78="peso_corporal",IF(ISNUMBER(E78),E78,0)+R78,R78)*(30+S78)*100+R78,0))</f>
        <v>0</v>
      </c>
      <c r="AB78" s="69">
        <f>IF(AA78=0,0,IF(IF((S78&gt;=3)*(1-(IF(T78="",-1,T78)&gt;=0)*(IF(T78="",-1,T78)&lt;=1))*(1-(IF(T78="",-1,T78)=0)),IF(C78="peso_corporal",IF(ISNUMBER(E78),E78,0)+R78,R78)*(30+S78)*100+R78,0)=AA78,5,IF(IF((P78&gt;=3)*(1-(IF(Q78="",-1,Q78)&gt;=0)*(IF(Q78="",-1,Q78)&lt;=1))*(1-(IF(Q78="",-1,Q78)=0)),IF(C78="peso_corporal",IF(ISNUMBER(E78),E78,0)+O78,O78)*(30+P78)*100+O78,0)=AA78,4,IF(IF((M78&gt;=3)*(1-(IF(N78="",-1,N78)&gt;=0)*(IF(N78="",-1,N78)&lt;=1))*(1-(IF(N78="",-1,N78)=0)),IF(C78="peso_corporal",IF(ISNUMBER(E78),E78,0)+L78,L78)*(30+M78)*100+L78,0)=AA78,3,IF(IF((J78&gt;=3)*(1-(IF(K78="",-1,K78)&gt;=0)*(IF(K78="",-1,K78)&lt;=1))*(1-(IF(K78="",-1,K78)=0)),IF(C78="peso_corporal",IF(ISNUMBER(E78),E78,0)+I78,I78)*(30+J78)*100+I78,0)=AA78,2,IF(IF((G78&gt;=3)*(1-(IF(H78="",-1,H78)&gt;=0)*(IF(H78="",-1,H78)&lt;=1))*(1-(IF(H78="",-1,H78)=0)),IF(C78="peso_corporal",IF(ISNUMBER(E78),E78,0)+F78,F78)*(30+G78)*100+F78,0)=AA78,1,0))))))</f>
        <v>0</v>
      </c>
      <c r="AC78" s="69" t="str">
        <f>IF(X78&gt;0,"A"&amp;X78,IF(Z78&gt;0,"B"&amp;Z78,IF(AB78&gt;0,"C"&amp;AB78,"")))</f>
        <v/>
      </c>
    </row>
    <row r="79" spans="1:29" ht="15" customHeight="1">
      <c r="A79" s="72" t="s">
        <v>56</v>
      </c>
      <c r="B79" s="73"/>
      <c r="C79" s="73"/>
      <c r="D79" s="73"/>
      <c r="E79" s="73"/>
      <c r="F79" s="73"/>
      <c r="G79" s="73"/>
      <c r="H79" s="73"/>
      <c r="I79" s="73"/>
      <c r="J79" s="73"/>
      <c r="K79" s="73"/>
      <c r="L79" s="73"/>
      <c r="M79" s="73"/>
      <c r="N79" s="73"/>
      <c r="O79" s="73"/>
      <c r="P79" s="73"/>
      <c r="Q79" s="73"/>
      <c r="R79" s="73"/>
      <c r="S79" s="73"/>
      <c r="T79" s="73"/>
      <c r="U79" s="73"/>
      <c r="V79" s="73"/>
      <c r="W79" s="69"/>
      <c r="X79" s="69"/>
      <c r="Y79" s="69"/>
      <c r="Z79" s="69"/>
      <c r="AA79" s="69"/>
      <c r="AB79" s="69"/>
      <c r="AC79" s="69"/>
    </row>
    <row r="80" spans="1:29" ht="20.100000000000001" customHeight="1">
      <c r="A80" s="14" t="s">
        <v>57</v>
      </c>
      <c r="B80" s="15" t="s">
        <v>58</v>
      </c>
      <c r="C80" s="16" t="str">
        <f>IFERROR(INDEX(EJERCICIOS!$D$3:$D$75,MATCH(A80&amp;"|"&amp;B80,EJERCICIOS!$G$3:$G$75,0)),"--")</f>
        <v>polea</v>
      </c>
      <c r="D80" s="17">
        <v>3</v>
      </c>
      <c r="E80" s="18">
        <f>IFERROR(LOOKUP(2,1/(MEDIDAS_Y_PESO!$B$3:$B$5&lt;&gt;""),MEDIDAS_Y_PESO!$B$3:$B$5),"--")</f>
        <v>80</v>
      </c>
      <c r="F80" s="19"/>
      <c r="G80" s="20"/>
      <c r="H80" s="21"/>
      <c r="I80" s="19"/>
      <c r="J80" s="20"/>
      <c r="K80" s="21"/>
      <c r="L80" s="19"/>
      <c r="M80" s="20"/>
      <c r="N80" s="21"/>
      <c r="O80" s="19"/>
      <c r="P80" s="20"/>
      <c r="Q80" s="21"/>
      <c r="R80" s="19"/>
      <c r="S80" s="20"/>
      <c r="T80" s="21"/>
      <c r="U80" s="22" t="str">
        <f>IFERROR(IF(IF(X80&gt;0,X80,IF(Z80&gt;0,Z80,IF(AB80&gt;0,AB80,0)))=0,"--",ROUND(CHOOSE(IF(X80&gt;0,X80,IF(Z80&gt;0,Z80,IF(AB80&gt;0,AB80,0))),IF(C80="peso_corporal",IF(ISNUMBER(E80),E80,0)+F80,F80)*(1+G80/30),IF(C80="peso_corporal",IF(ISNUMBER(E80),E80,0)+I80,I80)*(1+J80/30),IF(C80="peso_corporal",IF(ISNUMBER(E80),E80,0)+L80,L80)*(1+M80/30),IF(C80="peso_corporal",IF(ISNUMBER(E80),E80,0)+O80,O80)*(1+P80/30),IF(C80="peso_corporal",IF(ISNUMBER(E80),E80,0)+R80,R80)*(1+S80/30)),1)),"--")</f>
        <v>--</v>
      </c>
      <c r="V80" s="23" t="str">
        <f>IF(SUGERENCIAS!N192="SIN","Sin datos anteriores",IF(SUGERENCIAS!N192="SUBIR_F","^ SUBIR FUERTE | Kg:"&amp;ROUND(SUGERENCIAS!K192,1)&amp;" R:"&amp;ROUND(SUGERENCIAS!L192,0)&amp;" RIR:"&amp;ROUND(SUGERENCIAS!M192,0),IF(SUGERENCIAS!N192="SUBIR_E","^ SUBIR (Est.) | Kg:"&amp;ROUND(SUGERENCIAS!K192,1)&amp;" R:"&amp;ROUND(SUGERENCIAS!L192,0)&amp;" RIR:"&amp;ROUND(SUGERENCIAS!M192,0),IF(SUGERENCIAS!N192="SUBIR","^ SUBIR | Kg:"&amp;ROUND(SUGERENCIAS!K192,1)&amp;" R:"&amp;ROUND(SUGERENCIAS!L192,0)&amp;" RIR:"&amp;ROUND(SUGERENCIAS!M192,0),IF(SUGERENCIAS!N192="BAJAR","v BAJAR | Kg:"&amp;ROUND(SUGERENCIAS!K192,1)&amp;" R:"&amp;ROUND(SUGERENCIAS!L192,0)&amp;" RIR:"&amp;ROUND(SUGERENCIAS!M192,0),"= MANT | Kg:"&amp;ROUND(SUGERENCIAS!K192,1)&amp;" R:"&amp;ROUND(SUGERENCIAS!L192,0)&amp;" RIR:"&amp;ROUND(SUGERENCIAS!M192,0))))))</f>
        <v>Sin datos anteriores</v>
      </c>
      <c r="W80" s="69">
        <f>MAX(IF((G80&gt;0)*(IF(H80="",-1,H80)&gt;=0)*(IF(H80="",-1,H80)&lt;=1),IF(C80="peso_corporal",IF(ISNUMBER(E80),E80,0)+F80,F80)*G80*1000+F80,0),IF((J80&gt;0)*(IF(K80="",-1,K80)&gt;=0)*(IF(K80="",-1,K80)&lt;=1),IF(C80="peso_corporal",IF(ISNUMBER(E80),E80,0)+I80,I80)*J80*1000+I80,0),IF((M80&gt;0)*(IF(N80="",-1,N80)&gt;=0)*(IF(N80="",-1,N80)&lt;=1),IF(C80="peso_corporal",IF(ISNUMBER(E80),E80,0)+L80,L80)*M80*1000+L80,0),IF((P80&gt;0)*(IF(Q80="",-1,Q80)&gt;=0)*(IF(Q80="",-1,Q80)&lt;=1),IF(C80="peso_corporal",IF(ISNUMBER(E80),E80,0)+O80,O80)*P80*1000+O80,0),IF((S80&gt;0)*(IF(T80="",-1,T80)&gt;=0)*(IF(T80="",-1,T80)&lt;=1),IF(C80="peso_corporal",IF(ISNUMBER(E80),E80,0)+R80,R80)*S80*1000+R80,0))</f>
        <v>0</v>
      </c>
      <c r="X80" s="69">
        <f>IF(W80=0,0,IF(IF((S80&gt;0)*(IF(T80="",-1,T80)&gt;=0)*(IF(T80="",-1,T80)&lt;=1),IF(C80="peso_corporal",IF(ISNUMBER(E80),E80,0)+R80,R80)*S80*1000+R80,0)=W80,5,IF(IF((P80&gt;0)*(IF(Q80="",-1,Q80)&gt;=0)*(IF(Q80="",-1,Q80)&lt;=1),IF(C80="peso_corporal",IF(ISNUMBER(E80),E80,0)+O80,O80)*P80*1000+O80,0)=W80,4,IF(IF((M80&gt;0)*(IF(N80="",-1,N80)&gt;=0)*(IF(N80="",-1,N80)&lt;=1),IF(C80="peso_corporal",IF(ISNUMBER(E80),E80,0)+L80,L80)*M80*1000+L80,0)=W80,3,IF(IF((J80&gt;0)*(IF(K80="",-1,K80)&gt;=0)*(IF(K80="",-1,K80)&lt;=1),IF(C80="peso_corporal",IF(ISNUMBER(E80),E80,0)+I80,I80)*J80*1000+I80,0)=W80,2,IF(IF((G80&gt;0)*(IF(H80="",-1,H80)&gt;=0)*(IF(H80="",-1,H80)&lt;=1),IF(C80="peso_corporal",IF(ISNUMBER(E80),E80,0)+F80,F80)*G80*1000+F80,0)=W80,1,0))))))</f>
        <v>0</v>
      </c>
      <c r="Y80" s="69">
        <f>MAX(IF((G80&gt;0)*(IF(H80="",-1,H80)=0)*(1-(IF(H80="",-1,H80)&gt;=0)*(IF(H80="",-1,H80)&lt;=1)),IF(C80="peso_corporal",IF(ISNUMBER(E80),E80,0)+F80,F80)*G80*1000+F80,0),IF((J80&gt;0)*(IF(K80="",-1,K80)=0)*(1-(IF(K80="",-1,K80)&gt;=0)*(IF(K80="",-1,K80)&lt;=1)),IF(C80="peso_corporal",IF(ISNUMBER(E80),E80,0)+I80,I80)*J80*1000+I80,0),IF((M80&gt;0)*(IF(N80="",-1,N80)=0)*(1-(IF(N80="",-1,N80)&gt;=0)*(IF(N80="",-1,N80)&lt;=1)),IF(C80="peso_corporal",IF(ISNUMBER(E80),E80,0)+L80,L80)*M80*1000+L80,0),IF((P80&gt;0)*(IF(Q80="",-1,Q80)=0)*(1-(IF(Q80="",-1,Q80)&gt;=0)*(IF(Q80="",-1,Q80)&lt;=1)),IF(C80="peso_corporal",IF(ISNUMBER(E80),E80,0)+O80,O80)*P80*1000+O80,0),IF((S80&gt;0)*(IF(T80="",-1,T80)=0)*(1-(IF(T80="",-1,T80)&gt;=0)*(IF(T80="",-1,T80)&lt;=1)),IF(C80="peso_corporal",IF(ISNUMBER(E80),E80,0)+R80,R80)*S80*1000+R80,0))</f>
        <v>0</v>
      </c>
      <c r="Z80" s="69">
        <f>IF(Y80=0,0,IF(IF((S80&gt;0)*(IF(T80="",-1,T80)=0)*(1-(IF(T80="",-1,T80)&gt;=0)*(IF(T80="",-1,T80)&lt;=1)),IF(C80="peso_corporal",IF(ISNUMBER(E80),E80,0)+R80,R80)*S80*1000+R80,0)=Y80,5,IF(IF((P80&gt;0)*(IF(Q80="",-1,Q80)=0)*(1-(IF(Q80="",-1,Q80)&gt;=0)*(IF(Q80="",-1,Q80)&lt;=1)),IF(C80="peso_corporal",IF(ISNUMBER(E80),E80,0)+O80,O80)*P80*1000+O80,0)=Y80,4,IF(IF((M80&gt;0)*(IF(N80="",-1,N80)=0)*(1-(IF(N80="",-1,N80)&gt;=0)*(IF(N80="",-1,N80)&lt;=1)),IF(C80="peso_corporal",IF(ISNUMBER(E80),E80,0)+L80,L80)*M80*1000+L80,0)=Y80,3,IF(IF((J80&gt;0)*(IF(K80="",-1,K80)=0)*(1-(IF(K80="",-1,K80)&gt;=0)*(IF(K80="",-1,K80)&lt;=1)),IF(C80="peso_corporal",IF(ISNUMBER(E80),E80,0)+I80,I80)*J80*1000+I80,0)=Y80,2,IF(IF((G80&gt;0)*(IF(H80="",-1,H80)=0)*(1-(IF(H80="",-1,H80)&gt;=0)*(IF(H80="",-1,H80)&lt;=1)),IF(C80="peso_corporal",IF(ISNUMBER(E80),E80,0)+F80,F80)*G80*1000+F80,0)=Y80,1,0))))))</f>
        <v>0</v>
      </c>
      <c r="AA80" s="69">
        <f>MAX(IF((G80&gt;=3)*(1-(IF(H80="",-1,H80)&gt;=0)*(IF(H80="",-1,H80)&lt;=1))*(1-(IF(H80="",-1,H80)=0)),IF(C80="peso_corporal",IF(ISNUMBER(E80),E80,0)+F80,F80)*(30+G80)*100+F80,0),IF((J80&gt;=3)*(1-(IF(K80="",-1,K80)&gt;=0)*(IF(K80="",-1,K80)&lt;=1))*(1-(IF(K80="",-1,K80)=0)),IF(C80="peso_corporal",IF(ISNUMBER(E80),E80,0)+I80,I80)*(30+J80)*100+I80,0),IF((M80&gt;=3)*(1-(IF(N80="",-1,N80)&gt;=0)*(IF(N80="",-1,N80)&lt;=1))*(1-(IF(N80="",-1,N80)=0)),IF(C80="peso_corporal",IF(ISNUMBER(E80),E80,0)+L80,L80)*(30+M80)*100+L80,0),IF((P80&gt;=3)*(1-(IF(Q80="",-1,Q80)&gt;=0)*(IF(Q80="",-1,Q80)&lt;=1))*(1-(IF(Q80="",-1,Q80)=0)),IF(C80="peso_corporal",IF(ISNUMBER(E80),E80,0)+O80,O80)*(30+P80)*100+O80,0),IF((S80&gt;=3)*(1-(IF(T80="",-1,T80)&gt;=0)*(IF(T80="",-1,T80)&lt;=1))*(1-(IF(T80="",-1,T80)=0)),IF(C80="peso_corporal",IF(ISNUMBER(E80),E80,0)+R80,R80)*(30+S80)*100+R80,0))</f>
        <v>0</v>
      </c>
      <c r="AB80" s="69">
        <f>IF(AA80=0,0,IF(IF((S80&gt;=3)*(1-(IF(T80="",-1,T80)&gt;=0)*(IF(T80="",-1,T80)&lt;=1))*(1-(IF(T80="",-1,T80)=0)),IF(C80="peso_corporal",IF(ISNUMBER(E80),E80,0)+R80,R80)*(30+S80)*100+R80,0)=AA80,5,IF(IF((P80&gt;=3)*(1-(IF(Q80="",-1,Q80)&gt;=0)*(IF(Q80="",-1,Q80)&lt;=1))*(1-(IF(Q80="",-1,Q80)=0)),IF(C80="peso_corporal",IF(ISNUMBER(E80),E80,0)+O80,O80)*(30+P80)*100+O80,0)=AA80,4,IF(IF((M80&gt;=3)*(1-(IF(N80="",-1,N80)&gt;=0)*(IF(N80="",-1,N80)&lt;=1))*(1-(IF(N80="",-1,N80)=0)),IF(C80="peso_corporal",IF(ISNUMBER(E80),E80,0)+L80,L80)*(30+M80)*100+L80,0)=AA80,3,IF(IF((J80&gt;=3)*(1-(IF(K80="",-1,K80)&gt;=0)*(IF(K80="",-1,K80)&lt;=1))*(1-(IF(K80="",-1,K80)=0)),IF(C80="peso_corporal",IF(ISNUMBER(E80),E80,0)+I80,I80)*(30+J80)*100+I80,0)=AA80,2,IF(IF((G80&gt;=3)*(1-(IF(H80="",-1,H80)&gt;=0)*(IF(H80="",-1,H80)&lt;=1))*(1-(IF(H80="",-1,H80)=0)),IF(C80="peso_corporal",IF(ISNUMBER(E80),E80,0)+F80,F80)*(30+G80)*100+F80,0)=AA80,1,0))))))</f>
        <v>0</v>
      </c>
      <c r="AC80" s="69" t="str">
        <f>IF(X80&gt;0,"A"&amp;X80,IF(Z80&gt;0,"B"&amp;Z80,IF(AB80&gt;0,"C"&amp;AB80,"")))</f>
        <v/>
      </c>
    </row>
    <row r="81" spans="1:29" ht="6" customHeight="1">
      <c r="A81" s="13"/>
      <c r="B81" s="13"/>
      <c r="C81" s="13"/>
      <c r="D81" s="13"/>
      <c r="E81" s="13"/>
      <c r="F81" s="13"/>
      <c r="G81" s="13"/>
      <c r="H81" s="13"/>
      <c r="I81" s="13"/>
      <c r="J81" s="13"/>
      <c r="K81" s="13"/>
      <c r="L81" s="13"/>
      <c r="M81" s="13"/>
      <c r="N81" s="13"/>
      <c r="O81" s="13"/>
      <c r="P81" s="13"/>
      <c r="Q81" s="13"/>
      <c r="R81" s="13"/>
      <c r="S81" s="13"/>
      <c r="T81" s="13"/>
      <c r="U81" s="13"/>
      <c r="V81" s="13"/>
      <c r="W81" s="69"/>
      <c r="X81" s="69"/>
      <c r="Y81" s="69"/>
      <c r="Z81" s="69"/>
      <c r="AA81" s="69"/>
      <c r="AB81" s="69"/>
      <c r="AC81" s="69"/>
    </row>
    <row r="82" spans="1:29" ht="18" customHeight="1">
      <c r="A82" s="85" t="s">
        <v>69</v>
      </c>
      <c r="B82" s="73"/>
      <c r="C82" s="73"/>
      <c r="D82" s="73"/>
      <c r="E82" s="73"/>
      <c r="F82" s="73"/>
      <c r="G82" s="73"/>
      <c r="H82" s="73"/>
      <c r="I82" s="73"/>
      <c r="J82" s="73"/>
      <c r="K82" s="73"/>
      <c r="L82" s="73"/>
      <c r="M82" s="73"/>
      <c r="N82" s="73"/>
      <c r="O82" s="73"/>
      <c r="P82" s="73"/>
      <c r="Q82" s="73"/>
      <c r="R82" s="73"/>
      <c r="S82" s="73"/>
      <c r="T82" s="73"/>
      <c r="U82" s="73"/>
      <c r="V82" s="73"/>
      <c r="W82" s="69"/>
      <c r="X82" s="69"/>
      <c r="Y82" s="69"/>
      <c r="Z82" s="69"/>
      <c r="AA82" s="69"/>
      <c r="AB82" s="69"/>
      <c r="AC82" s="69"/>
    </row>
    <row r="83" spans="1:29" ht="15" customHeight="1">
      <c r="A83" s="75" t="s">
        <v>88</v>
      </c>
      <c r="B83" s="73"/>
      <c r="C83" s="73"/>
      <c r="D83" s="73"/>
      <c r="E83" s="73"/>
      <c r="F83" s="73"/>
      <c r="G83" s="73"/>
      <c r="H83" s="73"/>
      <c r="I83" s="73"/>
      <c r="J83" s="73"/>
      <c r="K83" s="73"/>
      <c r="L83" s="73"/>
      <c r="M83" s="73"/>
      <c r="N83" s="73"/>
      <c r="O83" s="73"/>
      <c r="P83" s="73"/>
      <c r="Q83" s="73"/>
      <c r="R83" s="73"/>
      <c r="S83" s="73"/>
      <c r="T83" s="73"/>
      <c r="U83" s="73"/>
      <c r="V83" s="73"/>
      <c r="W83" s="69"/>
      <c r="X83" s="69"/>
      <c r="Y83" s="69"/>
      <c r="Z83" s="69"/>
      <c r="AA83" s="69"/>
      <c r="AB83" s="69"/>
      <c r="AC83" s="69"/>
    </row>
    <row r="84" spans="1:29" ht="11.1" customHeight="1">
      <c r="A84" s="76" t="s">
        <v>89</v>
      </c>
      <c r="B84" s="73"/>
      <c r="C84" s="73"/>
      <c r="D84" s="73"/>
      <c r="E84" s="73"/>
      <c r="F84" s="73"/>
      <c r="G84" s="73"/>
      <c r="H84" s="73"/>
      <c r="I84" s="73"/>
      <c r="J84" s="73"/>
      <c r="K84" s="73"/>
      <c r="L84" s="73"/>
      <c r="M84" s="73"/>
      <c r="N84" s="73"/>
      <c r="O84" s="73"/>
      <c r="P84" s="73"/>
      <c r="Q84" s="73"/>
      <c r="R84" s="73"/>
      <c r="S84" s="73"/>
      <c r="T84" s="73"/>
      <c r="U84" s="73"/>
      <c r="V84" s="73"/>
      <c r="W84" s="69"/>
      <c r="X84" s="69"/>
      <c r="Y84" s="69"/>
      <c r="Z84" s="69"/>
      <c r="AA84" s="69"/>
      <c r="AB84" s="69"/>
      <c r="AC84" s="69"/>
    </row>
    <row r="85" spans="1:29" ht="20.100000000000001" customHeight="1">
      <c r="A85" s="14" t="s">
        <v>92</v>
      </c>
      <c r="B85" s="15" t="s">
        <v>108</v>
      </c>
      <c r="C85" s="16" t="str">
        <f>IFERROR(INDEX(EJERCICIOS!$D$3:$D$75,MATCH(A85&amp;"|"&amp;B85,EJERCICIOS!$G$3:$G$75,0)),"--")</f>
        <v>polea</v>
      </c>
      <c r="D85" s="17">
        <v>3</v>
      </c>
      <c r="E85" s="18">
        <f>IFERROR(LOOKUP(2,1/(MEDIDAS_Y_PESO!$B$3:$B$6&lt;&gt;""),MEDIDAS_Y_PESO!$B$3:$B$6),"--")</f>
        <v>80</v>
      </c>
      <c r="F85" s="19"/>
      <c r="G85" s="20"/>
      <c r="H85" s="21"/>
      <c r="I85" s="19"/>
      <c r="J85" s="20"/>
      <c r="K85" s="21"/>
      <c r="L85" s="19"/>
      <c r="M85" s="20"/>
      <c r="N85" s="21"/>
      <c r="O85" s="19"/>
      <c r="P85" s="20"/>
      <c r="Q85" s="21"/>
      <c r="R85" s="19"/>
      <c r="S85" s="20"/>
      <c r="T85" s="21"/>
      <c r="U85" s="22" t="str">
        <f>IFERROR(IF(IF(X85&gt;0,X85,IF(Z85&gt;0,Z85,IF(AB85&gt;0,AB85,0)))=0,"--",ROUND(CHOOSE(IF(X85&gt;0,X85,IF(Z85&gt;0,Z85,IF(AB85&gt;0,AB85,0))),IF(C85="peso_corporal",IF(ISNUMBER(E85),E85,0)+F85,F85)*(1+G85/30),IF(C85="peso_corporal",IF(ISNUMBER(E85),E85,0)+I85,I85)*(1+J85/30),IF(C85="peso_corporal",IF(ISNUMBER(E85),E85,0)+L85,L85)*(1+M85/30),IF(C85="peso_corporal",IF(ISNUMBER(E85),E85,0)+O85,O85)*(1+P85/30),IF(C85="peso_corporal",IF(ISNUMBER(E85),E85,0)+R85,R85)*(1+S85/30)),1)),"--")</f>
        <v>--</v>
      </c>
      <c r="V85" s="23" t="str">
        <f>IF(SUGERENCIAS!N243="SIN","Sin datos anteriores",IF(SUGERENCIAS!N243="SUBIR_F","^ SUBIR FUERTE | Kg:"&amp;ROUND(SUGERENCIAS!K243,1)&amp;" R:"&amp;ROUND(SUGERENCIAS!L243,0)&amp;" RIR:"&amp;ROUND(SUGERENCIAS!M243,0),IF(SUGERENCIAS!N243="SUBIR_E","^ SUBIR (Est.) | Kg:"&amp;ROUND(SUGERENCIAS!K243,1)&amp;" R:"&amp;ROUND(SUGERENCIAS!L243,0)&amp;" RIR:"&amp;ROUND(SUGERENCIAS!M243,0),IF(SUGERENCIAS!N243="SUBIR","^ SUBIR | Kg:"&amp;ROUND(SUGERENCIAS!K243,1)&amp;" R:"&amp;ROUND(SUGERENCIAS!L243,0)&amp;" RIR:"&amp;ROUND(SUGERENCIAS!M243,0),IF(SUGERENCIAS!N243="BAJAR","v BAJAR | Kg:"&amp;ROUND(SUGERENCIAS!K243,1)&amp;" R:"&amp;ROUND(SUGERENCIAS!L243,0)&amp;" RIR:"&amp;ROUND(SUGERENCIAS!M243,0),"= MANT | Kg:"&amp;ROUND(SUGERENCIAS!K243,1)&amp;" R:"&amp;ROUND(SUGERENCIAS!L243,0)&amp;" RIR:"&amp;ROUND(SUGERENCIAS!M243,0))))))</f>
        <v>Sin datos anteriores</v>
      </c>
      <c r="W85" s="69">
        <f>MAX(IF((G85&gt;0)*(IF(H85="",-1,H85)&gt;=1)*(IF(H85="",-1,H85)&lt;=3),IF(C85="peso_corporal",IF(ISNUMBER(E85),E85,0)+F85,F85)*G85*1000+F85,0),IF((J85&gt;0)*(IF(K85="",-1,K85)&gt;=1)*(IF(K85="",-1,K85)&lt;=3),IF(C85="peso_corporal",IF(ISNUMBER(E85),E85,0)+I85,I85)*J85*1000+I85,0),IF((M85&gt;0)*(IF(N85="",-1,N85)&gt;=1)*(IF(N85="",-1,N85)&lt;=3),IF(C85="peso_corporal",IF(ISNUMBER(E85),E85,0)+L85,L85)*M85*1000+L85,0),IF((P85&gt;0)*(IF(Q85="",-1,Q85)&gt;=1)*(IF(Q85="",-1,Q85)&lt;=3),IF(C85="peso_corporal",IF(ISNUMBER(E85),E85,0)+O85,O85)*P85*1000+O85,0),IF((S85&gt;0)*(IF(T85="",-1,T85)&gt;=1)*(IF(T85="",-1,T85)&lt;=3),IF(C85="peso_corporal",IF(ISNUMBER(E85),E85,0)+R85,R85)*S85*1000+R85,0))</f>
        <v>0</v>
      </c>
      <c r="X85" s="69">
        <f>IF(W85=0,0,IF(IF((S85&gt;0)*(IF(T85="",-1,T85)&gt;=1)*(IF(T85="",-1,T85)&lt;=3),IF(C85="peso_corporal",IF(ISNUMBER(E85),E85,0)+R85,R85)*S85*1000+R85,0)=W85,5,IF(IF((P85&gt;0)*(IF(Q85="",-1,Q85)&gt;=1)*(IF(Q85="",-1,Q85)&lt;=3),IF(C85="peso_corporal",IF(ISNUMBER(E85),E85,0)+O85,O85)*P85*1000+O85,0)=W85,4,IF(IF((M85&gt;0)*(IF(N85="",-1,N85)&gt;=1)*(IF(N85="",-1,N85)&lt;=3),IF(C85="peso_corporal",IF(ISNUMBER(E85),E85,0)+L85,L85)*M85*1000+L85,0)=W85,3,IF(IF((J85&gt;0)*(IF(K85="",-1,K85)&gt;=1)*(IF(K85="",-1,K85)&lt;=3),IF(C85="peso_corporal",IF(ISNUMBER(E85),E85,0)+I85,I85)*J85*1000+I85,0)=W85,2,IF(IF((G85&gt;0)*(IF(H85="",-1,H85)&gt;=1)*(IF(H85="",-1,H85)&lt;=3),IF(C85="peso_corporal",IF(ISNUMBER(E85),E85,0)+F85,F85)*G85*1000+F85,0)=W85,1,0))))))</f>
        <v>0</v>
      </c>
      <c r="Y85" s="69">
        <f>MAX(IF((G85&gt;0)*(IF(H85="",-1,H85)=0)*(1-(IF(H85="",-1,H85)&gt;=1)*(IF(H85="",-1,H85)&lt;=3)),IF(C85="peso_corporal",IF(ISNUMBER(E85),E85,0)+F85,F85)*G85*1000+F85,0),IF((J85&gt;0)*(IF(K85="",-1,K85)=0)*(1-(IF(K85="",-1,K85)&gt;=1)*(IF(K85="",-1,K85)&lt;=3)),IF(C85="peso_corporal",IF(ISNUMBER(E85),E85,0)+I85,I85)*J85*1000+I85,0),IF((M85&gt;0)*(IF(N85="",-1,N85)=0)*(1-(IF(N85="",-1,N85)&gt;=1)*(IF(N85="",-1,N85)&lt;=3)),IF(C85="peso_corporal",IF(ISNUMBER(E85),E85,0)+L85,L85)*M85*1000+L85,0),IF((P85&gt;0)*(IF(Q85="",-1,Q85)=0)*(1-(IF(Q85="",-1,Q85)&gt;=1)*(IF(Q85="",-1,Q85)&lt;=3)),IF(C85="peso_corporal",IF(ISNUMBER(E85),E85,0)+O85,O85)*P85*1000+O85,0),IF((S85&gt;0)*(IF(T85="",-1,T85)=0)*(1-(IF(T85="",-1,T85)&gt;=1)*(IF(T85="",-1,T85)&lt;=3)),IF(C85="peso_corporal",IF(ISNUMBER(E85),E85,0)+R85,R85)*S85*1000+R85,0))</f>
        <v>0</v>
      </c>
      <c r="Z85" s="69">
        <f>IF(Y85=0,0,IF(IF((S85&gt;0)*(IF(T85="",-1,T85)=0)*(1-(IF(T85="",-1,T85)&gt;=1)*(IF(T85="",-1,T85)&lt;=3)),IF(C85="peso_corporal",IF(ISNUMBER(E85),E85,0)+R85,R85)*S85*1000+R85,0)=Y85,5,IF(IF((P85&gt;0)*(IF(Q85="",-1,Q85)=0)*(1-(IF(Q85="",-1,Q85)&gt;=1)*(IF(Q85="",-1,Q85)&lt;=3)),IF(C85="peso_corporal",IF(ISNUMBER(E85),E85,0)+O85,O85)*P85*1000+O85,0)=Y85,4,IF(IF((M85&gt;0)*(IF(N85="",-1,N85)=0)*(1-(IF(N85="",-1,N85)&gt;=1)*(IF(N85="",-1,N85)&lt;=3)),IF(C85="peso_corporal",IF(ISNUMBER(E85),E85,0)+L85,L85)*M85*1000+L85,0)=Y85,3,IF(IF((J85&gt;0)*(IF(K85="",-1,K85)=0)*(1-(IF(K85="",-1,K85)&gt;=1)*(IF(K85="",-1,K85)&lt;=3)),IF(C85="peso_corporal",IF(ISNUMBER(E85),E85,0)+I85,I85)*J85*1000+I85,0)=Y85,2,IF(IF((G85&gt;0)*(IF(H85="",-1,H85)=0)*(1-(IF(H85="",-1,H85)&gt;=1)*(IF(H85="",-1,H85)&lt;=3)),IF(C85="peso_corporal",IF(ISNUMBER(E85),E85,0)+F85,F85)*G85*1000+F85,0)=Y85,1,0))))))</f>
        <v>0</v>
      </c>
      <c r="AA85" s="69">
        <f>MAX(IF((G85&gt;=6)*(1-(IF(H85="",-1,H85)&gt;=1)*(IF(H85="",-1,H85)&lt;=3))*(1-(IF(H85="",-1,H85)=0)),IF(C85="peso_corporal",IF(ISNUMBER(E85),E85,0)+F85,F85)*(30+G85)*100+F85,0),IF((J85&gt;=6)*(1-(IF(K85="",-1,K85)&gt;=1)*(IF(K85="",-1,K85)&lt;=3))*(1-(IF(K85="",-1,K85)=0)),IF(C85="peso_corporal",IF(ISNUMBER(E85),E85,0)+I85,I85)*(30+J85)*100+I85,0),IF((M85&gt;=6)*(1-(IF(N85="",-1,N85)&gt;=1)*(IF(N85="",-1,N85)&lt;=3))*(1-(IF(N85="",-1,N85)=0)),IF(C85="peso_corporal",IF(ISNUMBER(E85),E85,0)+L85,L85)*(30+M85)*100+L85,0),IF((P85&gt;=6)*(1-(IF(Q85="",-1,Q85)&gt;=1)*(IF(Q85="",-1,Q85)&lt;=3))*(1-(IF(Q85="",-1,Q85)=0)),IF(C85="peso_corporal",IF(ISNUMBER(E85),E85,0)+O85,O85)*(30+P85)*100+O85,0),IF((S85&gt;=6)*(1-(IF(T85="",-1,T85)&gt;=1)*(IF(T85="",-1,T85)&lt;=3))*(1-(IF(T85="",-1,T85)=0)),IF(C85="peso_corporal",IF(ISNUMBER(E85),E85,0)+R85,R85)*(30+S85)*100+R85,0))</f>
        <v>0</v>
      </c>
      <c r="AB85" s="69">
        <f>IF(AA85=0,0,IF(IF((S85&gt;=6)*(1-(IF(T85="",-1,T85)&gt;=1)*(IF(T85="",-1,T85)&lt;=3))*(1-(IF(T85="",-1,T85)=0)),IF(C85="peso_corporal",IF(ISNUMBER(E85),E85,0)+R85,R85)*(30+S85)*100+R85,0)=AA85,5,IF(IF((P85&gt;=6)*(1-(IF(Q85="",-1,Q85)&gt;=1)*(IF(Q85="",-1,Q85)&lt;=3))*(1-(IF(Q85="",-1,Q85)=0)),IF(C85="peso_corporal",IF(ISNUMBER(E85),E85,0)+O85,O85)*(30+P85)*100+O85,0)=AA85,4,IF(IF((M85&gt;=6)*(1-(IF(N85="",-1,N85)&gt;=1)*(IF(N85="",-1,N85)&lt;=3))*(1-(IF(N85="",-1,N85)=0)),IF(C85="peso_corporal",IF(ISNUMBER(E85),E85,0)+L85,L85)*(30+M85)*100+L85,0)=AA85,3,IF(IF((J85&gt;=6)*(1-(IF(K85="",-1,K85)&gt;=1)*(IF(K85="",-1,K85)&lt;=3))*(1-(IF(K85="",-1,K85)=0)),IF(C85="peso_corporal",IF(ISNUMBER(E85),E85,0)+I85,I85)*(30+J85)*100+I85,0)=AA85,2,IF(IF((G85&gt;=6)*(1-(IF(H85="",-1,H85)&gt;=1)*(IF(H85="",-1,H85)&lt;=3))*(1-(IF(H85="",-1,H85)=0)),IF(C85="peso_corporal",IF(ISNUMBER(E85),E85,0)+F85,F85)*(30+G85)*100+F85,0)=AA85,1,0))))))</f>
        <v>0</v>
      </c>
      <c r="AC85" s="69" t="str">
        <f>IF(X85&gt;0,"A"&amp;X85,IF(Z85&gt;0,"B"&amp;Z85,IF(AB85&gt;0,"C"&amp;AB85,"")))</f>
        <v/>
      </c>
    </row>
    <row r="86" spans="1:29" ht="11.1" customHeight="1">
      <c r="A86" s="84" t="s">
        <v>94</v>
      </c>
      <c r="B86" s="73"/>
      <c r="C86" s="73"/>
      <c r="D86" s="73"/>
      <c r="E86" s="73"/>
      <c r="F86" s="73"/>
      <c r="G86" s="73"/>
      <c r="H86" s="73"/>
      <c r="I86" s="73"/>
      <c r="J86" s="73"/>
      <c r="K86" s="73"/>
      <c r="L86" s="73"/>
      <c r="M86" s="73"/>
      <c r="N86" s="73"/>
      <c r="O86" s="73"/>
      <c r="P86" s="73"/>
      <c r="Q86" s="73"/>
      <c r="R86" s="73"/>
      <c r="S86" s="73"/>
      <c r="T86" s="73"/>
      <c r="U86" s="73"/>
      <c r="V86" s="73"/>
      <c r="W86" s="69"/>
      <c r="X86" s="69"/>
      <c r="Y86" s="69"/>
      <c r="Z86" s="69"/>
      <c r="AA86" s="69"/>
      <c r="AB86" s="69"/>
      <c r="AC86" s="69"/>
    </row>
    <row r="87" spans="1:29" ht="20.100000000000001" customHeight="1">
      <c r="A87" s="14" t="s">
        <v>95</v>
      </c>
      <c r="B87" s="15" t="s">
        <v>172</v>
      </c>
      <c r="C87" s="16" t="str">
        <f>IFERROR(INDEX(EJERCICIOS!$D$3:$D$75,MATCH(A87&amp;"|"&amp;B87,EJERCICIOS!$G$3:$G$75,0)),"--")</f>
        <v>polea</v>
      </c>
      <c r="D87" s="17">
        <v>3</v>
      </c>
      <c r="E87" s="18">
        <f>IFERROR(LOOKUP(2,1/(MEDIDAS_Y_PESO!$B$3:$B$6&lt;&gt;""),MEDIDAS_Y_PESO!$B$3:$B$6),"--")</f>
        <v>80</v>
      </c>
      <c r="F87" s="19"/>
      <c r="G87" s="20"/>
      <c r="H87" s="21"/>
      <c r="I87" s="19"/>
      <c r="J87" s="20"/>
      <c r="K87" s="21"/>
      <c r="L87" s="19"/>
      <c r="M87" s="20"/>
      <c r="N87" s="21"/>
      <c r="O87" s="19"/>
      <c r="P87" s="20"/>
      <c r="Q87" s="21"/>
      <c r="R87" s="19"/>
      <c r="S87" s="20"/>
      <c r="T87" s="21"/>
      <c r="U87" s="22" t="str">
        <f>IFERROR(IF(IF(X87&gt;0,X87,IF(Z87&gt;0,Z87,IF(AB87&gt;0,AB87,0)))=0,"--",ROUND(CHOOSE(IF(X87&gt;0,X87,IF(Z87&gt;0,Z87,IF(AB87&gt;0,AB87,0))),IF(C87="peso_corporal",IF(ISNUMBER(E87),E87,0)+F87,F87)*(1+G87/30),IF(C87="peso_corporal",IF(ISNUMBER(E87),E87,0)+I87,I87)*(1+J87/30),IF(C87="peso_corporal",IF(ISNUMBER(E87),E87,0)+L87,L87)*(1+M87/30),IF(C87="peso_corporal",IF(ISNUMBER(E87),E87,0)+O87,O87)*(1+P87/30),IF(C87="peso_corporal",IF(ISNUMBER(E87),E87,0)+R87,R87)*(1+S87/30)),1)),"--")</f>
        <v>--</v>
      </c>
      <c r="V87" s="23" t="str">
        <f>IF(SUGERENCIAS!N244="SIN","Sin datos anteriores",IF(SUGERENCIAS!N244="SUBIR_F","^ SUBIR FUERTE | Kg:"&amp;ROUND(SUGERENCIAS!K244,1)&amp;" R:"&amp;ROUND(SUGERENCIAS!L244,0)&amp;" RIR:"&amp;ROUND(SUGERENCIAS!M244,0),IF(SUGERENCIAS!N244="SUBIR_E","^ SUBIR (Est.) | Kg:"&amp;ROUND(SUGERENCIAS!K244,1)&amp;" R:"&amp;ROUND(SUGERENCIAS!L244,0)&amp;" RIR:"&amp;ROUND(SUGERENCIAS!M244,0),IF(SUGERENCIAS!N244="SUBIR","^ SUBIR | Kg:"&amp;ROUND(SUGERENCIAS!K244,1)&amp;" R:"&amp;ROUND(SUGERENCIAS!L244,0)&amp;" RIR:"&amp;ROUND(SUGERENCIAS!M244,0),IF(SUGERENCIAS!N244="BAJAR","v BAJAR | Kg:"&amp;ROUND(SUGERENCIAS!K244,1)&amp;" R:"&amp;ROUND(SUGERENCIAS!L244,0)&amp;" RIR:"&amp;ROUND(SUGERENCIAS!M244,0),"= MANT | Kg:"&amp;ROUND(SUGERENCIAS!K244,1)&amp;" R:"&amp;ROUND(SUGERENCIAS!L244,0)&amp;" RIR:"&amp;ROUND(SUGERENCIAS!M244,0))))))</f>
        <v>Sin datos anteriores</v>
      </c>
      <c r="W87" s="69">
        <f>MAX(IF((G87&gt;0)*(IF(H87="",-1,H87)&gt;=1)*(IF(H87="",-1,H87)&lt;=3),IF(C87="peso_corporal",IF(ISNUMBER(E87),E87,0)+F87,F87)*G87*1000+F87,0),IF((J87&gt;0)*(IF(K87="",-1,K87)&gt;=1)*(IF(K87="",-1,K87)&lt;=3),IF(C87="peso_corporal",IF(ISNUMBER(E87),E87,0)+I87,I87)*J87*1000+I87,0),IF((M87&gt;0)*(IF(N87="",-1,N87)&gt;=1)*(IF(N87="",-1,N87)&lt;=3),IF(C87="peso_corporal",IF(ISNUMBER(E87),E87,0)+L87,L87)*M87*1000+L87,0),IF((P87&gt;0)*(IF(Q87="",-1,Q87)&gt;=1)*(IF(Q87="",-1,Q87)&lt;=3),IF(C87="peso_corporal",IF(ISNUMBER(E87),E87,0)+O87,O87)*P87*1000+O87,0),IF((S87&gt;0)*(IF(T87="",-1,T87)&gt;=1)*(IF(T87="",-1,T87)&lt;=3),IF(C87="peso_corporal",IF(ISNUMBER(E87),E87,0)+R87,R87)*S87*1000+R87,0))</f>
        <v>0</v>
      </c>
      <c r="X87" s="69">
        <f>IF(W87=0,0,IF(IF((S87&gt;0)*(IF(T87="",-1,T87)&gt;=1)*(IF(T87="",-1,T87)&lt;=3),IF(C87="peso_corporal",IF(ISNUMBER(E87),E87,0)+R87,R87)*S87*1000+R87,0)=W87,5,IF(IF((P87&gt;0)*(IF(Q87="",-1,Q87)&gt;=1)*(IF(Q87="",-1,Q87)&lt;=3),IF(C87="peso_corporal",IF(ISNUMBER(E87),E87,0)+O87,O87)*P87*1000+O87,0)=W87,4,IF(IF((M87&gt;0)*(IF(N87="",-1,N87)&gt;=1)*(IF(N87="",-1,N87)&lt;=3),IF(C87="peso_corporal",IF(ISNUMBER(E87),E87,0)+L87,L87)*M87*1000+L87,0)=W87,3,IF(IF((J87&gt;0)*(IF(K87="",-1,K87)&gt;=1)*(IF(K87="",-1,K87)&lt;=3),IF(C87="peso_corporal",IF(ISNUMBER(E87),E87,0)+I87,I87)*J87*1000+I87,0)=W87,2,IF(IF((G87&gt;0)*(IF(H87="",-1,H87)&gt;=1)*(IF(H87="",-1,H87)&lt;=3),IF(C87="peso_corporal",IF(ISNUMBER(E87),E87,0)+F87,F87)*G87*1000+F87,0)=W87,1,0))))))</f>
        <v>0</v>
      </c>
      <c r="Y87" s="69">
        <f>MAX(IF((G87&gt;0)*(IF(H87="",-1,H87)=0)*(1-(IF(H87="",-1,H87)&gt;=1)*(IF(H87="",-1,H87)&lt;=3)),IF(C87="peso_corporal",IF(ISNUMBER(E87),E87,0)+F87,F87)*G87*1000+F87,0),IF((J87&gt;0)*(IF(K87="",-1,K87)=0)*(1-(IF(K87="",-1,K87)&gt;=1)*(IF(K87="",-1,K87)&lt;=3)),IF(C87="peso_corporal",IF(ISNUMBER(E87),E87,0)+I87,I87)*J87*1000+I87,0),IF((M87&gt;0)*(IF(N87="",-1,N87)=0)*(1-(IF(N87="",-1,N87)&gt;=1)*(IF(N87="",-1,N87)&lt;=3)),IF(C87="peso_corporal",IF(ISNUMBER(E87),E87,0)+L87,L87)*M87*1000+L87,0),IF((P87&gt;0)*(IF(Q87="",-1,Q87)=0)*(1-(IF(Q87="",-1,Q87)&gt;=1)*(IF(Q87="",-1,Q87)&lt;=3)),IF(C87="peso_corporal",IF(ISNUMBER(E87),E87,0)+O87,O87)*P87*1000+O87,0),IF((S87&gt;0)*(IF(T87="",-1,T87)=0)*(1-(IF(T87="",-1,T87)&gt;=1)*(IF(T87="",-1,T87)&lt;=3)),IF(C87="peso_corporal",IF(ISNUMBER(E87),E87,0)+R87,R87)*S87*1000+R87,0))</f>
        <v>0</v>
      </c>
      <c r="Z87" s="69">
        <f>IF(Y87=0,0,IF(IF((S87&gt;0)*(IF(T87="",-1,T87)=0)*(1-(IF(T87="",-1,T87)&gt;=1)*(IF(T87="",-1,T87)&lt;=3)),IF(C87="peso_corporal",IF(ISNUMBER(E87),E87,0)+R87,R87)*S87*1000+R87,0)=Y87,5,IF(IF((P87&gt;0)*(IF(Q87="",-1,Q87)=0)*(1-(IF(Q87="",-1,Q87)&gt;=1)*(IF(Q87="",-1,Q87)&lt;=3)),IF(C87="peso_corporal",IF(ISNUMBER(E87),E87,0)+O87,O87)*P87*1000+O87,0)=Y87,4,IF(IF((M87&gt;0)*(IF(N87="",-1,N87)=0)*(1-(IF(N87="",-1,N87)&gt;=1)*(IF(N87="",-1,N87)&lt;=3)),IF(C87="peso_corporal",IF(ISNUMBER(E87),E87,0)+L87,L87)*M87*1000+L87,0)=Y87,3,IF(IF((J87&gt;0)*(IF(K87="",-1,K87)=0)*(1-(IF(K87="",-1,K87)&gt;=1)*(IF(K87="",-1,K87)&lt;=3)),IF(C87="peso_corporal",IF(ISNUMBER(E87),E87,0)+I87,I87)*J87*1000+I87,0)=Y87,2,IF(IF((G87&gt;0)*(IF(H87="",-1,H87)=0)*(1-(IF(H87="",-1,H87)&gt;=1)*(IF(H87="",-1,H87)&lt;=3)),IF(C87="peso_corporal",IF(ISNUMBER(E87),E87,0)+F87,F87)*G87*1000+F87,0)=Y87,1,0))))))</f>
        <v>0</v>
      </c>
      <c r="AA87" s="69">
        <f>MAX(IF((G87&gt;=6)*(1-(IF(H87="",-1,H87)&gt;=1)*(IF(H87="",-1,H87)&lt;=3))*(1-(IF(H87="",-1,H87)=0)),IF(C87="peso_corporal",IF(ISNUMBER(E87),E87,0)+F87,F87)*(30+G87)*100+F87,0),IF((J87&gt;=6)*(1-(IF(K87="",-1,K87)&gt;=1)*(IF(K87="",-1,K87)&lt;=3))*(1-(IF(K87="",-1,K87)=0)),IF(C87="peso_corporal",IF(ISNUMBER(E87),E87,0)+I87,I87)*(30+J87)*100+I87,0),IF((M87&gt;=6)*(1-(IF(N87="",-1,N87)&gt;=1)*(IF(N87="",-1,N87)&lt;=3))*(1-(IF(N87="",-1,N87)=0)),IF(C87="peso_corporal",IF(ISNUMBER(E87),E87,0)+L87,L87)*(30+M87)*100+L87,0),IF((P87&gt;=6)*(1-(IF(Q87="",-1,Q87)&gt;=1)*(IF(Q87="",-1,Q87)&lt;=3))*(1-(IF(Q87="",-1,Q87)=0)),IF(C87="peso_corporal",IF(ISNUMBER(E87),E87,0)+O87,O87)*(30+P87)*100+O87,0),IF((S87&gt;=6)*(1-(IF(T87="",-1,T87)&gt;=1)*(IF(T87="",-1,T87)&lt;=3))*(1-(IF(T87="",-1,T87)=0)),IF(C87="peso_corporal",IF(ISNUMBER(E87),E87,0)+R87,R87)*(30+S87)*100+R87,0))</f>
        <v>0</v>
      </c>
      <c r="AB87" s="69">
        <f>IF(AA87=0,0,IF(IF((S87&gt;=6)*(1-(IF(T87="",-1,T87)&gt;=1)*(IF(T87="",-1,T87)&lt;=3))*(1-(IF(T87="",-1,T87)=0)),IF(C87="peso_corporal",IF(ISNUMBER(E87),E87,0)+R87,R87)*(30+S87)*100+R87,0)=AA87,5,IF(IF((P87&gt;=6)*(1-(IF(Q87="",-1,Q87)&gt;=1)*(IF(Q87="",-1,Q87)&lt;=3))*(1-(IF(Q87="",-1,Q87)=0)),IF(C87="peso_corporal",IF(ISNUMBER(E87),E87,0)+O87,O87)*(30+P87)*100+O87,0)=AA87,4,IF(IF((M87&gt;=6)*(1-(IF(N87="",-1,N87)&gt;=1)*(IF(N87="",-1,N87)&lt;=3))*(1-(IF(N87="",-1,N87)=0)),IF(C87="peso_corporal",IF(ISNUMBER(E87),E87,0)+L87,L87)*(30+M87)*100+L87,0)=AA87,3,IF(IF((J87&gt;=6)*(1-(IF(K87="",-1,K87)&gt;=1)*(IF(K87="",-1,K87)&lt;=3))*(1-(IF(K87="",-1,K87)=0)),IF(C87="peso_corporal",IF(ISNUMBER(E87),E87,0)+I87,I87)*(30+J87)*100+I87,0)=AA87,2,IF(IF((G87&gt;=6)*(1-(IF(H87="",-1,H87)&gt;=1)*(IF(H87="",-1,H87)&lt;=3))*(1-(IF(H87="",-1,H87)=0)),IF(C87="peso_corporal",IF(ISNUMBER(E87),E87,0)+F87,F87)*(30+G87)*100+F87,0)=AA87,1,0))))))</f>
        <v>0</v>
      </c>
      <c r="AC87" s="69" t="str">
        <f>IF(X87&gt;0,"A"&amp;X87,IF(Z87&gt;0,"B"&amp;Z87,IF(AB87&gt;0,"C"&amp;AB87,"")))</f>
        <v/>
      </c>
    </row>
    <row r="88" spans="1:29" ht="20.100000000000001" customHeight="1">
      <c r="A88" s="14" t="s">
        <v>95</v>
      </c>
      <c r="B88" s="15" t="s">
        <v>173</v>
      </c>
      <c r="C88" s="16" t="str">
        <f>IFERROR(INDEX(EJERCICIOS!$D$3:$D$75,MATCH(A88&amp;"|"&amp;B88,EJERCICIOS!$G$3:$G$75,0)),"--")</f>
        <v>polea</v>
      </c>
      <c r="D88" s="17">
        <v>3</v>
      </c>
      <c r="E88" s="18">
        <f>IFERROR(LOOKUP(2,1/(MEDIDAS_Y_PESO!$B$3:$B$6&lt;&gt;""),MEDIDAS_Y_PESO!$B$3:$B$6),"--")</f>
        <v>80</v>
      </c>
      <c r="F88" s="19"/>
      <c r="G88" s="20"/>
      <c r="H88" s="21"/>
      <c r="I88" s="19"/>
      <c r="J88" s="20"/>
      <c r="K88" s="21"/>
      <c r="L88" s="19"/>
      <c r="M88" s="20"/>
      <c r="N88" s="21"/>
      <c r="O88" s="19"/>
      <c r="P88" s="20"/>
      <c r="Q88" s="21"/>
      <c r="R88" s="19"/>
      <c r="S88" s="20"/>
      <c r="T88" s="21"/>
      <c r="U88" s="22" t="str">
        <f>IFERROR(IF(IF(X88&gt;0,X88,IF(Z88&gt;0,Z88,IF(AB88&gt;0,AB88,0)))=0,"--",ROUND(CHOOSE(IF(X88&gt;0,X88,IF(Z88&gt;0,Z88,IF(AB88&gt;0,AB88,0))),IF(C88="peso_corporal",IF(ISNUMBER(E88),E88,0)+F88,F88)*(1+G88/30),IF(C88="peso_corporal",IF(ISNUMBER(E88),E88,0)+I88,I88)*(1+J88/30),IF(C88="peso_corporal",IF(ISNUMBER(E88),E88,0)+L88,L88)*(1+M88/30),IF(C88="peso_corporal",IF(ISNUMBER(E88),E88,0)+O88,O88)*(1+P88/30),IF(C88="peso_corporal",IF(ISNUMBER(E88),E88,0)+R88,R88)*(1+S88/30)),1)),"--")</f>
        <v>--</v>
      </c>
      <c r="V88" s="23" t="str">
        <f>IF(SUGERENCIAS!N245="SIN","Sin datos anteriores",IF(SUGERENCIAS!N245="SUBIR_F","^ SUBIR FUERTE | Kg:"&amp;ROUND(SUGERENCIAS!K245,1)&amp;" R:"&amp;ROUND(SUGERENCIAS!L245,0)&amp;" RIR:"&amp;ROUND(SUGERENCIAS!M245,0),IF(SUGERENCIAS!N245="SUBIR_E","^ SUBIR (Est.) | Kg:"&amp;ROUND(SUGERENCIAS!K245,1)&amp;" R:"&amp;ROUND(SUGERENCIAS!L245,0)&amp;" RIR:"&amp;ROUND(SUGERENCIAS!M245,0),IF(SUGERENCIAS!N245="SUBIR","^ SUBIR | Kg:"&amp;ROUND(SUGERENCIAS!K245,1)&amp;" R:"&amp;ROUND(SUGERENCIAS!L245,0)&amp;" RIR:"&amp;ROUND(SUGERENCIAS!M245,0),IF(SUGERENCIAS!N245="BAJAR","v BAJAR | Kg:"&amp;ROUND(SUGERENCIAS!K245,1)&amp;" R:"&amp;ROUND(SUGERENCIAS!L245,0)&amp;" RIR:"&amp;ROUND(SUGERENCIAS!M245,0),"= MANT | Kg:"&amp;ROUND(SUGERENCIAS!K245,1)&amp;" R:"&amp;ROUND(SUGERENCIAS!L245,0)&amp;" RIR:"&amp;ROUND(SUGERENCIAS!M245,0))))))</f>
        <v>Sin datos anteriores</v>
      </c>
      <c r="W88" s="69">
        <f>MAX(IF((G88&gt;0)*(IF(H88="",-1,H88)&gt;=1)*(IF(H88="",-1,H88)&lt;=3),IF(C88="peso_corporal",IF(ISNUMBER(E88),E88,0)+F88,F88)*G88*1000+F88,0),IF((J88&gt;0)*(IF(K88="",-1,K88)&gt;=1)*(IF(K88="",-1,K88)&lt;=3),IF(C88="peso_corporal",IF(ISNUMBER(E88),E88,0)+I88,I88)*J88*1000+I88,0),IF((M88&gt;0)*(IF(N88="",-1,N88)&gt;=1)*(IF(N88="",-1,N88)&lt;=3),IF(C88="peso_corporal",IF(ISNUMBER(E88),E88,0)+L88,L88)*M88*1000+L88,0),IF((P88&gt;0)*(IF(Q88="",-1,Q88)&gt;=1)*(IF(Q88="",-1,Q88)&lt;=3),IF(C88="peso_corporal",IF(ISNUMBER(E88),E88,0)+O88,O88)*P88*1000+O88,0),IF((S88&gt;0)*(IF(T88="",-1,T88)&gt;=1)*(IF(T88="",-1,T88)&lt;=3),IF(C88="peso_corporal",IF(ISNUMBER(E88),E88,0)+R88,R88)*S88*1000+R88,0))</f>
        <v>0</v>
      </c>
      <c r="X88" s="69">
        <f>IF(W88=0,0,IF(IF((S88&gt;0)*(IF(T88="",-1,T88)&gt;=1)*(IF(T88="",-1,T88)&lt;=3),IF(C88="peso_corporal",IF(ISNUMBER(E88),E88,0)+R88,R88)*S88*1000+R88,0)=W88,5,IF(IF((P88&gt;0)*(IF(Q88="",-1,Q88)&gt;=1)*(IF(Q88="",-1,Q88)&lt;=3),IF(C88="peso_corporal",IF(ISNUMBER(E88),E88,0)+O88,O88)*P88*1000+O88,0)=W88,4,IF(IF((M88&gt;0)*(IF(N88="",-1,N88)&gt;=1)*(IF(N88="",-1,N88)&lt;=3),IF(C88="peso_corporal",IF(ISNUMBER(E88),E88,0)+L88,L88)*M88*1000+L88,0)=W88,3,IF(IF((J88&gt;0)*(IF(K88="",-1,K88)&gt;=1)*(IF(K88="",-1,K88)&lt;=3),IF(C88="peso_corporal",IF(ISNUMBER(E88),E88,0)+I88,I88)*J88*1000+I88,0)=W88,2,IF(IF((G88&gt;0)*(IF(H88="",-1,H88)&gt;=1)*(IF(H88="",-1,H88)&lt;=3),IF(C88="peso_corporal",IF(ISNUMBER(E88),E88,0)+F88,F88)*G88*1000+F88,0)=W88,1,0))))))</f>
        <v>0</v>
      </c>
      <c r="Y88" s="69">
        <f>MAX(IF((G88&gt;0)*(IF(H88="",-1,H88)=0)*(1-(IF(H88="",-1,H88)&gt;=1)*(IF(H88="",-1,H88)&lt;=3)),IF(C88="peso_corporal",IF(ISNUMBER(E88),E88,0)+F88,F88)*G88*1000+F88,0),IF((J88&gt;0)*(IF(K88="",-1,K88)=0)*(1-(IF(K88="",-1,K88)&gt;=1)*(IF(K88="",-1,K88)&lt;=3)),IF(C88="peso_corporal",IF(ISNUMBER(E88),E88,0)+I88,I88)*J88*1000+I88,0),IF((M88&gt;0)*(IF(N88="",-1,N88)=0)*(1-(IF(N88="",-1,N88)&gt;=1)*(IF(N88="",-1,N88)&lt;=3)),IF(C88="peso_corporal",IF(ISNUMBER(E88),E88,0)+L88,L88)*M88*1000+L88,0),IF((P88&gt;0)*(IF(Q88="",-1,Q88)=0)*(1-(IF(Q88="",-1,Q88)&gt;=1)*(IF(Q88="",-1,Q88)&lt;=3)),IF(C88="peso_corporal",IF(ISNUMBER(E88),E88,0)+O88,O88)*P88*1000+O88,0),IF((S88&gt;0)*(IF(T88="",-1,T88)=0)*(1-(IF(T88="",-1,T88)&gt;=1)*(IF(T88="",-1,T88)&lt;=3)),IF(C88="peso_corporal",IF(ISNUMBER(E88),E88,0)+R88,R88)*S88*1000+R88,0))</f>
        <v>0</v>
      </c>
      <c r="Z88" s="69">
        <f>IF(Y88=0,0,IF(IF((S88&gt;0)*(IF(T88="",-1,T88)=0)*(1-(IF(T88="",-1,T88)&gt;=1)*(IF(T88="",-1,T88)&lt;=3)),IF(C88="peso_corporal",IF(ISNUMBER(E88),E88,0)+R88,R88)*S88*1000+R88,0)=Y88,5,IF(IF((P88&gt;0)*(IF(Q88="",-1,Q88)=0)*(1-(IF(Q88="",-1,Q88)&gt;=1)*(IF(Q88="",-1,Q88)&lt;=3)),IF(C88="peso_corporal",IF(ISNUMBER(E88),E88,0)+O88,O88)*P88*1000+O88,0)=Y88,4,IF(IF((M88&gt;0)*(IF(N88="",-1,N88)=0)*(1-(IF(N88="",-1,N88)&gt;=1)*(IF(N88="",-1,N88)&lt;=3)),IF(C88="peso_corporal",IF(ISNUMBER(E88),E88,0)+L88,L88)*M88*1000+L88,0)=Y88,3,IF(IF((J88&gt;0)*(IF(K88="",-1,K88)=0)*(1-(IF(K88="",-1,K88)&gt;=1)*(IF(K88="",-1,K88)&lt;=3)),IF(C88="peso_corporal",IF(ISNUMBER(E88),E88,0)+I88,I88)*J88*1000+I88,0)=Y88,2,IF(IF((G88&gt;0)*(IF(H88="",-1,H88)=0)*(1-(IF(H88="",-1,H88)&gt;=1)*(IF(H88="",-1,H88)&lt;=3)),IF(C88="peso_corporal",IF(ISNUMBER(E88),E88,0)+F88,F88)*G88*1000+F88,0)=Y88,1,0))))))</f>
        <v>0</v>
      </c>
      <c r="AA88" s="69">
        <f>MAX(IF((G88&gt;=6)*(1-(IF(H88="",-1,H88)&gt;=1)*(IF(H88="",-1,H88)&lt;=3))*(1-(IF(H88="",-1,H88)=0)),IF(C88="peso_corporal",IF(ISNUMBER(E88),E88,0)+F88,F88)*(30+G88)*100+F88,0),IF((J88&gt;=6)*(1-(IF(K88="",-1,K88)&gt;=1)*(IF(K88="",-1,K88)&lt;=3))*(1-(IF(K88="",-1,K88)=0)),IF(C88="peso_corporal",IF(ISNUMBER(E88),E88,0)+I88,I88)*(30+J88)*100+I88,0),IF((M88&gt;=6)*(1-(IF(N88="",-1,N88)&gt;=1)*(IF(N88="",-1,N88)&lt;=3))*(1-(IF(N88="",-1,N88)=0)),IF(C88="peso_corporal",IF(ISNUMBER(E88),E88,0)+L88,L88)*(30+M88)*100+L88,0),IF((P88&gt;=6)*(1-(IF(Q88="",-1,Q88)&gt;=1)*(IF(Q88="",-1,Q88)&lt;=3))*(1-(IF(Q88="",-1,Q88)=0)),IF(C88="peso_corporal",IF(ISNUMBER(E88),E88,0)+O88,O88)*(30+P88)*100+O88,0),IF((S88&gt;=6)*(1-(IF(T88="",-1,T88)&gt;=1)*(IF(T88="",-1,T88)&lt;=3))*(1-(IF(T88="",-1,T88)=0)),IF(C88="peso_corporal",IF(ISNUMBER(E88),E88,0)+R88,R88)*(30+S88)*100+R88,0))</f>
        <v>0</v>
      </c>
      <c r="AB88" s="69">
        <f>IF(AA88=0,0,IF(IF((S88&gt;=6)*(1-(IF(T88="",-1,T88)&gt;=1)*(IF(T88="",-1,T88)&lt;=3))*(1-(IF(T88="",-1,T88)=0)),IF(C88="peso_corporal",IF(ISNUMBER(E88),E88,0)+R88,R88)*(30+S88)*100+R88,0)=AA88,5,IF(IF((P88&gt;=6)*(1-(IF(Q88="",-1,Q88)&gt;=1)*(IF(Q88="",-1,Q88)&lt;=3))*(1-(IF(Q88="",-1,Q88)=0)),IF(C88="peso_corporal",IF(ISNUMBER(E88),E88,0)+O88,O88)*(30+P88)*100+O88,0)=AA88,4,IF(IF((M88&gt;=6)*(1-(IF(N88="",-1,N88)&gt;=1)*(IF(N88="",-1,N88)&lt;=3))*(1-(IF(N88="",-1,N88)=0)),IF(C88="peso_corporal",IF(ISNUMBER(E88),E88,0)+L88,L88)*(30+M88)*100+L88,0)=AA88,3,IF(IF((J88&gt;=6)*(1-(IF(K88="",-1,K88)&gt;=1)*(IF(K88="",-1,K88)&lt;=3))*(1-(IF(K88="",-1,K88)=0)),IF(C88="peso_corporal",IF(ISNUMBER(E88),E88,0)+I88,I88)*(30+J88)*100+I88,0)=AA88,2,IF(IF((G88&gt;=6)*(1-(IF(H88="",-1,H88)&gt;=1)*(IF(H88="",-1,H88)&lt;=3))*(1-(IF(H88="",-1,H88)=0)),IF(C88="peso_corporal",IF(ISNUMBER(E88),E88,0)+F88,F88)*(30+G88)*100+F88,0)=AA88,1,0))))))</f>
        <v>0</v>
      </c>
      <c r="AC88" s="69" t="str">
        <f>IF(X88&gt;0,"A"&amp;X88,IF(Z88&gt;0,"B"&amp;Z88,IF(AB88&gt;0,"C"&amp;AB88,"")))</f>
        <v/>
      </c>
    </row>
    <row r="89" spans="1:29" ht="20.100000000000001" customHeight="1">
      <c r="A89" s="14" t="s">
        <v>163</v>
      </c>
      <c r="B89" s="15" t="s">
        <v>52</v>
      </c>
      <c r="C89" s="16" t="str">
        <f>IFERROR(INDEX(EJERCICIOS!$D$3:$D$75,MATCH(A89&amp;"|"&amp;B89,EJERCICIOS!$G$3:$G$75,0)),"--")</f>
        <v>polea</v>
      </c>
      <c r="D89" s="17">
        <v>3</v>
      </c>
      <c r="E89" s="18">
        <f>IFERROR(LOOKUP(2,1/(MEDIDAS_Y_PESO!$B$3:$B$6&lt;&gt;""),MEDIDAS_Y_PESO!$B$3:$B$6),"--")</f>
        <v>80</v>
      </c>
      <c r="F89" s="19"/>
      <c r="G89" s="20"/>
      <c r="H89" s="21"/>
      <c r="I89" s="19"/>
      <c r="J89" s="20"/>
      <c r="K89" s="21"/>
      <c r="L89" s="19"/>
      <c r="M89" s="20"/>
      <c r="N89" s="21"/>
      <c r="O89" s="19"/>
      <c r="P89" s="20"/>
      <c r="Q89" s="21"/>
      <c r="R89" s="19"/>
      <c r="S89" s="20"/>
      <c r="T89" s="21"/>
      <c r="U89" s="22" t="str">
        <f>IFERROR(IF(IF(X89&gt;0,X89,IF(Z89&gt;0,Z89,IF(AB89&gt;0,AB89,0)))=0,"--",ROUND(CHOOSE(IF(X89&gt;0,X89,IF(Z89&gt;0,Z89,IF(AB89&gt;0,AB89,0))),IF(C89="peso_corporal",IF(ISNUMBER(E89),E89,0)+F89,F89)*(1+G89/30),IF(C89="peso_corporal",IF(ISNUMBER(E89),E89,0)+I89,I89)*(1+J89/30),IF(C89="peso_corporal",IF(ISNUMBER(E89),E89,0)+L89,L89)*(1+M89/30),IF(C89="peso_corporal",IF(ISNUMBER(E89),E89,0)+O89,O89)*(1+P89/30),IF(C89="peso_corporal",IF(ISNUMBER(E89),E89,0)+R89,R89)*(1+S89/30)),1)),"--")</f>
        <v>--</v>
      </c>
      <c r="V89" s="23" t="str">
        <f>IF(SUGERENCIAS!N246="SIN","Sin datos anteriores",IF(SUGERENCIAS!N246="SUBIR_F","^ SUBIR FUERTE | Kg:"&amp;ROUND(SUGERENCIAS!K246,1)&amp;" R:"&amp;ROUND(SUGERENCIAS!L246,0)&amp;" RIR:"&amp;ROUND(SUGERENCIAS!M246,0),IF(SUGERENCIAS!N246="SUBIR_E","^ SUBIR (Est.) | Kg:"&amp;ROUND(SUGERENCIAS!K246,1)&amp;" R:"&amp;ROUND(SUGERENCIAS!L246,0)&amp;" RIR:"&amp;ROUND(SUGERENCIAS!M246,0),IF(SUGERENCIAS!N246="SUBIR","^ SUBIR | Kg:"&amp;ROUND(SUGERENCIAS!K246,1)&amp;" R:"&amp;ROUND(SUGERENCIAS!L246,0)&amp;" RIR:"&amp;ROUND(SUGERENCIAS!M246,0),IF(SUGERENCIAS!N246="BAJAR","v BAJAR | Kg:"&amp;ROUND(SUGERENCIAS!K246,1)&amp;" R:"&amp;ROUND(SUGERENCIAS!L246,0)&amp;" RIR:"&amp;ROUND(SUGERENCIAS!M246,0),"= MANT | Kg:"&amp;ROUND(SUGERENCIAS!K246,1)&amp;" R:"&amp;ROUND(SUGERENCIAS!L246,0)&amp;" RIR:"&amp;ROUND(SUGERENCIAS!M246,0))))))</f>
        <v>Sin datos anteriores</v>
      </c>
      <c r="W89" s="69">
        <f>MAX(IF((G89&gt;0)*(IF(H89="",-1,H89)&gt;=1)*(IF(H89="",-1,H89)&lt;=3),IF(C89="peso_corporal",IF(ISNUMBER(E89),E89,0)+F89,F89)*G89*1000+F89,0),IF((J89&gt;0)*(IF(K89="",-1,K89)&gt;=1)*(IF(K89="",-1,K89)&lt;=3),IF(C89="peso_corporal",IF(ISNUMBER(E89),E89,0)+I89,I89)*J89*1000+I89,0),IF((M89&gt;0)*(IF(N89="",-1,N89)&gt;=1)*(IF(N89="",-1,N89)&lt;=3),IF(C89="peso_corporal",IF(ISNUMBER(E89),E89,0)+L89,L89)*M89*1000+L89,0),IF((P89&gt;0)*(IF(Q89="",-1,Q89)&gt;=1)*(IF(Q89="",-1,Q89)&lt;=3),IF(C89="peso_corporal",IF(ISNUMBER(E89),E89,0)+O89,O89)*P89*1000+O89,0),IF((S89&gt;0)*(IF(T89="",-1,T89)&gt;=1)*(IF(T89="",-1,T89)&lt;=3),IF(C89="peso_corporal",IF(ISNUMBER(E89),E89,0)+R89,R89)*S89*1000+R89,0))</f>
        <v>0</v>
      </c>
      <c r="X89" s="69">
        <f>IF(W89=0,0,IF(IF((S89&gt;0)*(IF(T89="",-1,T89)&gt;=1)*(IF(T89="",-1,T89)&lt;=3),IF(C89="peso_corporal",IF(ISNUMBER(E89),E89,0)+R89,R89)*S89*1000+R89,0)=W89,5,IF(IF((P89&gt;0)*(IF(Q89="",-1,Q89)&gt;=1)*(IF(Q89="",-1,Q89)&lt;=3),IF(C89="peso_corporal",IF(ISNUMBER(E89),E89,0)+O89,O89)*P89*1000+O89,0)=W89,4,IF(IF((M89&gt;0)*(IF(N89="",-1,N89)&gt;=1)*(IF(N89="",-1,N89)&lt;=3),IF(C89="peso_corporal",IF(ISNUMBER(E89),E89,0)+L89,L89)*M89*1000+L89,0)=W89,3,IF(IF((J89&gt;0)*(IF(K89="",-1,K89)&gt;=1)*(IF(K89="",-1,K89)&lt;=3),IF(C89="peso_corporal",IF(ISNUMBER(E89),E89,0)+I89,I89)*J89*1000+I89,0)=W89,2,IF(IF((G89&gt;0)*(IF(H89="",-1,H89)&gt;=1)*(IF(H89="",-1,H89)&lt;=3),IF(C89="peso_corporal",IF(ISNUMBER(E89),E89,0)+F89,F89)*G89*1000+F89,0)=W89,1,0))))))</f>
        <v>0</v>
      </c>
      <c r="Y89" s="69">
        <f>MAX(IF((G89&gt;0)*(IF(H89="",-1,H89)=0)*(1-(IF(H89="",-1,H89)&gt;=1)*(IF(H89="",-1,H89)&lt;=3)),IF(C89="peso_corporal",IF(ISNUMBER(E89),E89,0)+F89,F89)*G89*1000+F89,0),IF((J89&gt;0)*(IF(K89="",-1,K89)=0)*(1-(IF(K89="",-1,K89)&gt;=1)*(IF(K89="",-1,K89)&lt;=3)),IF(C89="peso_corporal",IF(ISNUMBER(E89),E89,0)+I89,I89)*J89*1000+I89,0),IF((M89&gt;0)*(IF(N89="",-1,N89)=0)*(1-(IF(N89="",-1,N89)&gt;=1)*(IF(N89="",-1,N89)&lt;=3)),IF(C89="peso_corporal",IF(ISNUMBER(E89),E89,0)+L89,L89)*M89*1000+L89,0),IF((P89&gt;0)*(IF(Q89="",-1,Q89)=0)*(1-(IF(Q89="",-1,Q89)&gt;=1)*(IF(Q89="",-1,Q89)&lt;=3)),IF(C89="peso_corporal",IF(ISNUMBER(E89),E89,0)+O89,O89)*P89*1000+O89,0),IF((S89&gt;0)*(IF(T89="",-1,T89)=0)*(1-(IF(T89="",-1,T89)&gt;=1)*(IF(T89="",-1,T89)&lt;=3)),IF(C89="peso_corporal",IF(ISNUMBER(E89),E89,0)+R89,R89)*S89*1000+R89,0))</f>
        <v>0</v>
      </c>
      <c r="Z89" s="69">
        <f>IF(Y89=0,0,IF(IF((S89&gt;0)*(IF(T89="",-1,T89)=0)*(1-(IF(T89="",-1,T89)&gt;=1)*(IF(T89="",-1,T89)&lt;=3)),IF(C89="peso_corporal",IF(ISNUMBER(E89),E89,0)+R89,R89)*S89*1000+R89,0)=Y89,5,IF(IF((P89&gt;0)*(IF(Q89="",-1,Q89)=0)*(1-(IF(Q89="",-1,Q89)&gt;=1)*(IF(Q89="",-1,Q89)&lt;=3)),IF(C89="peso_corporal",IF(ISNUMBER(E89),E89,0)+O89,O89)*P89*1000+O89,0)=Y89,4,IF(IF((M89&gt;0)*(IF(N89="",-1,N89)=0)*(1-(IF(N89="",-1,N89)&gt;=1)*(IF(N89="",-1,N89)&lt;=3)),IF(C89="peso_corporal",IF(ISNUMBER(E89),E89,0)+L89,L89)*M89*1000+L89,0)=Y89,3,IF(IF((J89&gt;0)*(IF(K89="",-1,K89)=0)*(1-(IF(K89="",-1,K89)&gt;=1)*(IF(K89="",-1,K89)&lt;=3)),IF(C89="peso_corporal",IF(ISNUMBER(E89),E89,0)+I89,I89)*J89*1000+I89,0)=Y89,2,IF(IF((G89&gt;0)*(IF(H89="",-1,H89)=0)*(1-(IF(H89="",-1,H89)&gt;=1)*(IF(H89="",-1,H89)&lt;=3)),IF(C89="peso_corporal",IF(ISNUMBER(E89),E89,0)+F89,F89)*G89*1000+F89,0)=Y89,1,0))))))</f>
        <v>0</v>
      </c>
      <c r="AA89" s="69">
        <f>MAX(IF((G89&gt;=6)*(1-(IF(H89="",-1,H89)&gt;=1)*(IF(H89="",-1,H89)&lt;=3))*(1-(IF(H89="",-1,H89)=0)),IF(C89="peso_corporal",IF(ISNUMBER(E89),E89,0)+F89,F89)*(30+G89)*100+F89,0),IF((J89&gt;=6)*(1-(IF(K89="",-1,K89)&gt;=1)*(IF(K89="",-1,K89)&lt;=3))*(1-(IF(K89="",-1,K89)=0)),IF(C89="peso_corporal",IF(ISNUMBER(E89),E89,0)+I89,I89)*(30+J89)*100+I89,0),IF((M89&gt;=6)*(1-(IF(N89="",-1,N89)&gt;=1)*(IF(N89="",-1,N89)&lt;=3))*(1-(IF(N89="",-1,N89)=0)),IF(C89="peso_corporal",IF(ISNUMBER(E89),E89,0)+L89,L89)*(30+M89)*100+L89,0),IF((P89&gt;=6)*(1-(IF(Q89="",-1,Q89)&gt;=1)*(IF(Q89="",-1,Q89)&lt;=3))*(1-(IF(Q89="",-1,Q89)=0)),IF(C89="peso_corporal",IF(ISNUMBER(E89),E89,0)+O89,O89)*(30+P89)*100+O89,0),IF((S89&gt;=6)*(1-(IF(T89="",-1,T89)&gt;=1)*(IF(T89="",-1,T89)&lt;=3))*(1-(IF(T89="",-1,T89)=0)),IF(C89="peso_corporal",IF(ISNUMBER(E89),E89,0)+R89,R89)*(30+S89)*100+R89,0))</f>
        <v>0</v>
      </c>
      <c r="AB89" s="69">
        <f>IF(AA89=0,0,IF(IF((S89&gt;=6)*(1-(IF(T89="",-1,T89)&gt;=1)*(IF(T89="",-1,T89)&lt;=3))*(1-(IF(T89="",-1,T89)=0)),IF(C89="peso_corporal",IF(ISNUMBER(E89),E89,0)+R89,R89)*(30+S89)*100+R89,0)=AA89,5,IF(IF((P89&gt;=6)*(1-(IF(Q89="",-1,Q89)&gt;=1)*(IF(Q89="",-1,Q89)&lt;=3))*(1-(IF(Q89="",-1,Q89)=0)),IF(C89="peso_corporal",IF(ISNUMBER(E89),E89,0)+O89,O89)*(30+P89)*100+O89,0)=AA89,4,IF(IF((M89&gt;=6)*(1-(IF(N89="",-1,N89)&gt;=1)*(IF(N89="",-1,N89)&lt;=3))*(1-(IF(N89="",-1,N89)=0)),IF(C89="peso_corporal",IF(ISNUMBER(E89),E89,0)+L89,L89)*(30+M89)*100+L89,0)=AA89,3,IF(IF((J89&gt;=6)*(1-(IF(K89="",-1,K89)&gt;=1)*(IF(K89="",-1,K89)&lt;=3))*(1-(IF(K89="",-1,K89)=0)),IF(C89="peso_corporal",IF(ISNUMBER(E89),E89,0)+I89,I89)*(30+J89)*100+I89,0)=AA89,2,IF(IF((G89&gt;=6)*(1-(IF(H89="",-1,H89)&gt;=1)*(IF(H89="",-1,H89)&lt;=3))*(1-(IF(H89="",-1,H89)=0)),IF(C89="peso_corporal",IF(ISNUMBER(E89),E89,0)+F89,F89)*(30+G89)*100+F89,0)=AA89,1,0))))))</f>
        <v>0</v>
      </c>
      <c r="AC89" s="69" t="str">
        <f>IF(X89&gt;0,"A"&amp;X89,IF(Z89&gt;0,"B"&amp;Z89,IF(AB89&gt;0,"C"&amp;AB89,"")))</f>
        <v/>
      </c>
    </row>
    <row r="90" spans="1:29" ht="15" customHeight="1">
      <c r="A90" s="81" t="s">
        <v>53</v>
      </c>
      <c r="B90" s="73"/>
      <c r="C90" s="73"/>
      <c r="D90" s="73"/>
      <c r="E90" s="73"/>
      <c r="F90" s="73"/>
      <c r="G90" s="73"/>
      <c r="H90" s="73"/>
      <c r="I90" s="73"/>
      <c r="J90" s="73"/>
      <c r="K90" s="73"/>
      <c r="L90" s="73"/>
      <c r="M90" s="73"/>
      <c r="N90" s="73"/>
      <c r="O90" s="73"/>
      <c r="P90" s="73"/>
      <c r="Q90" s="73"/>
      <c r="R90" s="73"/>
      <c r="S90" s="73"/>
      <c r="T90" s="73"/>
      <c r="U90" s="73"/>
      <c r="V90" s="73"/>
      <c r="W90" s="69"/>
      <c r="X90" s="69"/>
      <c r="Y90" s="69"/>
      <c r="Z90" s="69"/>
      <c r="AA90" s="69"/>
      <c r="AB90" s="69"/>
      <c r="AC90" s="69"/>
    </row>
    <row r="91" spans="1:29" ht="20.100000000000001" customHeight="1">
      <c r="A91" s="14" t="s">
        <v>54</v>
      </c>
      <c r="B91" s="15" t="s">
        <v>115</v>
      </c>
      <c r="C91" s="16" t="str">
        <f>IFERROR(INDEX(EJERCICIOS!$D$3:$D$75,MATCH(A91&amp;"|"&amp;B91,EJERCICIOS!$G$3:$G$75,0)),"--")</f>
        <v>polea</v>
      </c>
      <c r="D91" s="17">
        <v>3</v>
      </c>
      <c r="E91" s="18">
        <f>IFERROR(LOOKUP(2,1/(MEDIDAS_Y_PESO!$B$3:$B$6&lt;&gt;""),MEDIDAS_Y_PESO!$B$3:$B$6),"--")</f>
        <v>80</v>
      </c>
      <c r="F91" s="19"/>
      <c r="G91" s="20"/>
      <c r="H91" s="21"/>
      <c r="I91" s="19"/>
      <c r="J91" s="20"/>
      <c r="K91" s="21"/>
      <c r="L91" s="19"/>
      <c r="M91" s="20"/>
      <c r="N91" s="21"/>
      <c r="O91" s="19"/>
      <c r="P91" s="20"/>
      <c r="Q91" s="21"/>
      <c r="R91" s="19"/>
      <c r="S91" s="20"/>
      <c r="T91" s="21"/>
      <c r="U91" s="22" t="str">
        <f>IFERROR(IF(IF(X91&gt;0,X91,IF(Z91&gt;0,Z91,IF(AB91&gt;0,AB91,0)))=0,"--",ROUND(CHOOSE(IF(X91&gt;0,X91,IF(Z91&gt;0,Z91,IF(AB91&gt;0,AB91,0))),IF(C91="peso_corporal",IF(ISNUMBER(E91),E91,0)+F91,F91)*(1+G91/30),IF(C91="peso_corporal",IF(ISNUMBER(E91),E91,0)+I91,I91)*(1+J91/30),IF(C91="peso_corporal",IF(ISNUMBER(E91),E91,0)+L91,L91)*(1+M91/30),IF(C91="peso_corporal",IF(ISNUMBER(E91),E91,0)+O91,O91)*(1+P91/30),IF(C91="peso_corporal",IF(ISNUMBER(E91),E91,0)+R91,R91)*(1+S91/30)),1)),"--")</f>
        <v>--</v>
      </c>
      <c r="V91" s="23" t="str">
        <f>IF(SUGERENCIAS!N247="SIN","Sin datos anteriores",IF(SUGERENCIAS!N247="SUBIR_F","^ SUBIR FUERTE | Kg:"&amp;ROUND(SUGERENCIAS!K247,1)&amp;" R:"&amp;ROUND(SUGERENCIAS!L247,0)&amp;" RIR:"&amp;ROUND(SUGERENCIAS!M247,0),IF(SUGERENCIAS!N247="SUBIR_E","^ SUBIR (Est.) | Kg:"&amp;ROUND(SUGERENCIAS!K247,1)&amp;" R:"&amp;ROUND(SUGERENCIAS!L247,0)&amp;" RIR:"&amp;ROUND(SUGERENCIAS!M247,0),IF(SUGERENCIAS!N247="SUBIR","^ SUBIR | Kg:"&amp;ROUND(SUGERENCIAS!K247,1)&amp;" R:"&amp;ROUND(SUGERENCIAS!L247,0)&amp;" RIR:"&amp;ROUND(SUGERENCIAS!M247,0),IF(SUGERENCIAS!N247="BAJAR","v BAJAR | Kg:"&amp;ROUND(SUGERENCIAS!K247,1)&amp;" R:"&amp;ROUND(SUGERENCIAS!L247,0)&amp;" RIR:"&amp;ROUND(SUGERENCIAS!M247,0),"= MANT | Kg:"&amp;ROUND(SUGERENCIAS!K247,1)&amp;" R:"&amp;ROUND(SUGERENCIAS!L247,0)&amp;" RIR:"&amp;ROUND(SUGERENCIAS!M247,0))))))</f>
        <v>= MANT | Kg:40 R:7 RIR:2</v>
      </c>
      <c r="W91" s="69">
        <f>MAX(IF((G91&gt;0)*(IF(H91="",-1,H91)&gt;=1)*(IF(H91="",-1,H91)&lt;=3),IF(C91="peso_corporal",IF(ISNUMBER(E91),E91,0)+F91,F91)*G91*1000+F91,0),IF((J91&gt;0)*(IF(K91="",-1,K91)&gt;=1)*(IF(K91="",-1,K91)&lt;=3),IF(C91="peso_corporal",IF(ISNUMBER(E91),E91,0)+I91,I91)*J91*1000+I91,0),IF((M91&gt;0)*(IF(N91="",-1,N91)&gt;=1)*(IF(N91="",-1,N91)&lt;=3),IF(C91="peso_corporal",IF(ISNUMBER(E91),E91,0)+L91,L91)*M91*1000+L91,0),IF((P91&gt;0)*(IF(Q91="",-1,Q91)&gt;=1)*(IF(Q91="",-1,Q91)&lt;=3),IF(C91="peso_corporal",IF(ISNUMBER(E91),E91,0)+O91,O91)*P91*1000+O91,0),IF((S91&gt;0)*(IF(T91="",-1,T91)&gt;=1)*(IF(T91="",-1,T91)&lt;=3),IF(C91="peso_corporal",IF(ISNUMBER(E91),E91,0)+R91,R91)*S91*1000+R91,0))</f>
        <v>0</v>
      </c>
      <c r="X91" s="69">
        <f>IF(W91=0,0,IF(IF((S91&gt;0)*(IF(T91="",-1,T91)&gt;=1)*(IF(T91="",-1,T91)&lt;=3),IF(C91="peso_corporal",IF(ISNUMBER(E91),E91,0)+R91,R91)*S91*1000+R91,0)=W91,5,IF(IF((P91&gt;0)*(IF(Q91="",-1,Q91)&gt;=1)*(IF(Q91="",-1,Q91)&lt;=3),IF(C91="peso_corporal",IF(ISNUMBER(E91),E91,0)+O91,O91)*P91*1000+O91,0)=W91,4,IF(IF((M91&gt;0)*(IF(N91="",-1,N91)&gt;=1)*(IF(N91="",-1,N91)&lt;=3),IF(C91="peso_corporal",IF(ISNUMBER(E91),E91,0)+L91,L91)*M91*1000+L91,0)=W91,3,IF(IF((J91&gt;0)*(IF(K91="",-1,K91)&gt;=1)*(IF(K91="",-1,K91)&lt;=3),IF(C91="peso_corporal",IF(ISNUMBER(E91),E91,0)+I91,I91)*J91*1000+I91,0)=W91,2,IF(IF((G91&gt;0)*(IF(H91="",-1,H91)&gt;=1)*(IF(H91="",-1,H91)&lt;=3),IF(C91="peso_corporal",IF(ISNUMBER(E91),E91,0)+F91,F91)*G91*1000+F91,0)=W91,1,0))))))</f>
        <v>0</v>
      </c>
      <c r="Y91" s="69">
        <f>MAX(IF((G91&gt;0)*(IF(H91="",-1,H91)=0)*(1-(IF(H91="",-1,H91)&gt;=1)*(IF(H91="",-1,H91)&lt;=3)),IF(C91="peso_corporal",IF(ISNUMBER(E91),E91,0)+F91,F91)*G91*1000+F91,0),IF((J91&gt;0)*(IF(K91="",-1,K91)=0)*(1-(IF(K91="",-1,K91)&gt;=1)*(IF(K91="",-1,K91)&lt;=3)),IF(C91="peso_corporal",IF(ISNUMBER(E91),E91,0)+I91,I91)*J91*1000+I91,0),IF((M91&gt;0)*(IF(N91="",-1,N91)=0)*(1-(IF(N91="",-1,N91)&gt;=1)*(IF(N91="",-1,N91)&lt;=3)),IF(C91="peso_corporal",IF(ISNUMBER(E91),E91,0)+L91,L91)*M91*1000+L91,0),IF((P91&gt;0)*(IF(Q91="",-1,Q91)=0)*(1-(IF(Q91="",-1,Q91)&gt;=1)*(IF(Q91="",-1,Q91)&lt;=3)),IF(C91="peso_corporal",IF(ISNUMBER(E91),E91,0)+O91,O91)*P91*1000+O91,0),IF((S91&gt;0)*(IF(T91="",-1,T91)=0)*(1-(IF(T91="",-1,T91)&gt;=1)*(IF(T91="",-1,T91)&lt;=3)),IF(C91="peso_corporal",IF(ISNUMBER(E91),E91,0)+R91,R91)*S91*1000+R91,0))</f>
        <v>0</v>
      </c>
      <c r="Z91" s="69">
        <f>IF(Y91=0,0,IF(IF((S91&gt;0)*(IF(T91="",-1,T91)=0)*(1-(IF(T91="",-1,T91)&gt;=1)*(IF(T91="",-1,T91)&lt;=3)),IF(C91="peso_corporal",IF(ISNUMBER(E91),E91,0)+R91,R91)*S91*1000+R91,0)=Y91,5,IF(IF((P91&gt;0)*(IF(Q91="",-1,Q91)=0)*(1-(IF(Q91="",-1,Q91)&gt;=1)*(IF(Q91="",-1,Q91)&lt;=3)),IF(C91="peso_corporal",IF(ISNUMBER(E91),E91,0)+O91,O91)*P91*1000+O91,0)=Y91,4,IF(IF((M91&gt;0)*(IF(N91="",-1,N91)=0)*(1-(IF(N91="",-1,N91)&gt;=1)*(IF(N91="",-1,N91)&lt;=3)),IF(C91="peso_corporal",IF(ISNUMBER(E91),E91,0)+L91,L91)*M91*1000+L91,0)=Y91,3,IF(IF((J91&gt;0)*(IF(K91="",-1,K91)=0)*(1-(IF(K91="",-1,K91)&gt;=1)*(IF(K91="",-1,K91)&lt;=3)),IF(C91="peso_corporal",IF(ISNUMBER(E91),E91,0)+I91,I91)*J91*1000+I91,0)=Y91,2,IF(IF((G91&gt;0)*(IF(H91="",-1,H91)=0)*(1-(IF(H91="",-1,H91)&gt;=1)*(IF(H91="",-1,H91)&lt;=3)),IF(C91="peso_corporal",IF(ISNUMBER(E91),E91,0)+F91,F91)*G91*1000+F91,0)=Y91,1,0))))))</f>
        <v>0</v>
      </c>
      <c r="AA91" s="69">
        <f>MAX(IF((G91&gt;=6)*(1-(IF(H91="",-1,H91)&gt;=1)*(IF(H91="",-1,H91)&lt;=3))*(1-(IF(H91="",-1,H91)=0)),IF(C91="peso_corporal",IF(ISNUMBER(E91),E91,0)+F91,F91)*(30+G91)*100+F91,0),IF((J91&gt;=6)*(1-(IF(K91="",-1,K91)&gt;=1)*(IF(K91="",-1,K91)&lt;=3))*(1-(IF(K91="",-1,K91)=0)),IF(C91="peso_corporal",IF(ISNUMBER(E91),E91,0)+I91,I91)*(30+J91)*100+I91,0),IF((M91&gt;=6)*(1-(IF(N91="",-1,N91)&gt;=1)*(IF(N91="",-1,N91)&lt;=3))*(1-(IF(N91="",-1,N91)=0)),IF(C91="peso_corporal",IF(ISNUMBER(E91),E91,0)+L91,L91)*(30+M91)*100+L91,0),IF((P91&gt;=6)*(1-(IF(Q91="",-1,Q91)&gt;=1)*(IF(Q91="",-1,Q91)&lt;=3))*(1-(IF(Q91="",-1,Q91)=0)),IF(C91="peso_corporal",IF(ISNUMBER(E91),E91,0)+O91,O91)*(30+P91)*100+O91,0),IF((S91&gt;=6)*(1-(IF(T91="",-1,T91)&gt;=1)*(IF(T91="",-1,T91)&lt;=3))*(1-(IF(T91="",-1,T91)=0)),IF(C91="peso_corporal",IF(ISNUMBER(E91),E91,0)+R91,R91)*(30+S91)*100+R91,0))</f>
        <v>0</v>
      </c>
      <c r="AB91" s="69">
        <f>IF(AA91=0,0,IF(IF((S91&gt;=6)*(1-(IF(T91="",-1,T91)&gt;=1)*(IF(T91="",-1,T91)&lt;=3))*(1-(IF(T91="",-1,T91)=0)),IF(C91="peso_corporal",IF(ISNUMBER(E91),E91,0)+R91,R91)*(30+S91)*100+R91,0)=AA91,5,IF(IF((P91&gt;=6)*(1-(IF(Q91="",-1,Q91)&gt;=1)*(IF(Q91="",-1,Q91)&lt;=3))*(1-(IF(Q91="",-1,Q91)=0)),IF(C91="peso_corporal",IF(ISNUMBER(E91),E91,0)+O91,O91)*(30+P91)*100+O91,0)=AA91,4,IF(IF((M91&gt;=6)*(1-(IF(N91="",-1,N91)&gt;=1)*(IF(N91="",-1,N91)&lt;=3))*(1-(IF(N91="",-1,N91)=0)),IF(C91="peso_corporal",IF(ISNUMBER(E91),E91,0)+L91,L91)*(30+M91)*100+L91,0)=AA91,3,IF(IF((J91&gt;=6)*(1-(IF(K91="",-1,K91)&gt;=1)*(IF(K91="",-1,K91)&lt;=3))*(1-(IF(K91="",-1,K91)=0)),IF(C91="peso_corporal",IF(ISNUMBER(E91),E91,0)+I91,I91)*(30+J91)*100+I91,0)=AA91,2,IF(IF((G91&gt;=6)*(1-(IF(H91="",-1,H91)&gt;=1)*(IF(H91="",-1,H91)&lt;=3))*(1-(IF(H91="",-1,H91)=0)),IF(C91="peso_corporal",IF(ISNUMBER(E91),E91,0)+F91,F91)*(30+G91)*100+F91,0)=AA91,1,0))))))</f>
        <v>0</v>
      </c>
      <c r="AC91" s="69" t="str">
        <f>IF(X91&gt;0,"A"&amp;X91,IF(Z91&gt;0,"B"&amp;Z91,IF(AB91&gt;0,"C"&amp;AB91,"")))</f>
        <v/>
      </c>
    </row>
    <row r="92" spans="1:29" ht="20.100000000000001" customHeight="1">
      <c r="A92" s="14" t="s">
        <v>116</v>
      </c>
      <c r="B92" s="15" t="s">
        <v>114</v>
      </c>
      <c r="C92" s="16" t="str">
        <f>IFERROR(INDEX(EJERCICIOS!$D$3:$D$75,MATCH(A92&amp;"|"&amp;B92,EJERCICIOS!$G$3:$G$75,0)),"--")</f>
        <v>polea</v>
      </c>
      <c r="D92" s="17">
        <v>3</v>
      </c>
      <c r="E92" s="18">
        <f>IFERROR(LOOKUP(2,1/(MEDIDAS_Y_PESO!$B$3:$B$6&lt;&gt;""),MEDIDAS_Y_PESO!$B$3:$B$6),"--")</f>
        <v>80</v>
      </c>
      <c r="F92" s="19"/>
      <c r="G92" s="20"/>
      <c r="H92" s="21"/>
      <c r="I92" s="19"/>
      <c r="J92" s="20"/>
      <c r="K92" s="21"/>
      <c r="L92" s="19"/>
      <c r="M92" s="20"/>
      <c r="N92" s="21"/>
      <c r="O92" s="19"/>
      <c r="P92" s="20"/>
      <c r="Q92" s="21"/>
      <c r="R92" s="19"/>
      <c r="S92" s="20"/>
      <c r="T92" s="21"/>
      <c r="U92" s="22" t="str">
        <f>IFERROR(IF(IF(X92&gt;0,X92,IF(Z92&gt;0,Z92,IF(AB92&gt;0,AB92,0)))=0,"--",ROUND(CHOOSE(IF(X92&gt;0,X92,IF(Z92&gt;0,Z92,IF(AB92&gt;0,AB92,0))),IF(C92="peso_corporal",IF(ISNUMBER(E92),E92,0)+F92,F92)*(1+G92/30),IF(C92="peso_corporal",IF(ISNUMBER(E92),E92,0)+I92,I92)*(1+J92/30),IF(C92="peso_corporal",IF(ISNUMBER(E92),E92,0)+L92,L92)*(1+M92/30),IF(C92="peso_corporal",IF(ISNUMBER(E92),E92,0)+O92,O92)*(1+P92/30),IF(C92="peso_corporal",IF(ISNUMBER(E92),E92,0)+R92,R92)*(1+S92/30)),1)),"--")</f>
        <v>--</v>
      </c>
      <c r="V92" s="23" t="str">
        <f>IF(SUGERENCIAS!N248="SIN","Sin datos anteriores",IF(SUGERENCIAS!N248="SUBIR_F","^ SUBIR FUERTE | Kg:"&amp;ROUND(SUGERENCIAS!K248,1)&amp;" R:"&amp;ROUND(SUGERENCIAS!L248,0)&amp;" RIR:"&amp;ROUND(SUGERENCIAS!M248,0),IF(SUGERENCIAS!N248="SUBIR_E","^ SUBIR (Est.) | Kg:"&amp;ROUND(SUGERENCIAS!K248,1)&amp;" R:"&amp;ROUND(SUGERENCIAS!L248,0)&amp;" RIR:"&amp;ROUND(SUGERENCIAS!M248,0),IF(SUGERENCIAS!N248="SUBIR","^ SUBIR | Kg:"&amp;ROUND(SUGERENCIAS!K248,1)&amp;" R:"&amp;ROUND(SUGERENCIAS!L248,0)&amp;" RIR:"&amp;ROUND(SUGERENCIAS!M248,0),IF(SUGERENCIAS!N248="BAJAR","v BAJAR | Kg:"&amp;ROUND(SUGERENCIAS!K248,1)&amp;" R:"&amp;ROUND(SUGERENCIAS!L248,0)&amp;" RIR:"&amp;ROUND(SUGERENCIAS!M248,0),"= MANT | Kg:"&amp;ROUND(SUGERENCIAS!K248,1)&amp;" R:"&amp;ROUND(SUGERENCIAS!L248,0)&amp;" RIR:"&amp;ROUND(SUGERENCIAS!M248,0))))))</f>
        <v>^ SUBIR | Kg:20 R:6 RIR:2</v>
      </c>
      <c r="W92" s="69">
        <f>MAX(IF((G92&gt;0)*(IF(H92="",-1,H92)&gt;=1)*(IF(H92="",-1,H92)&lt;=3),IF(C92="peso_corporal",IF(ISNUMBER(E92),E92,0)+F92,F92)*G92*1000+F92,0),IF((J92&gt;0)*(IF(K92="",-1,K92)&gt;=1)*(IF(K92="",-1,K92)&lt;=3),IF(C92="peso_corporal",IF(ISNUMBER(E92),E92,0)+I92,I92)*J92*1000+I92,0),IF((M92&gt;0)*(IF(N92="",-1,N92)&gt;=1)*(IF(N92="",-1,N92)&lt;=3),IF(C92="peso_corporal",IF(ISNUMBER(E92),E92,0)+L92,L92)*M92*1000+L92,0),IF((P92&gt;0)*(IF(Q92="",-1,Q92)&gt;=1)*(IF(Q92="",-1,Q92)&lt;=3),IF(C92="peso_corporal",IF(ISNUMBER(E92),E92,0)+O92,O92)*P92*1000+O92,0),IF((S92&gt;0)*(IF(T92="",-1,T92)&gt;=1)*(IF(T92="",-1,T92)&lt;=3),IF(C92="peso_corporal",IF(ISNUMBER(E92),E92,0)+R92,R92)*S92*1000+R92,0))</f>
        <v>0</v>
      </c>
      <c r="X92" s="69">
        <f>IF(W92=0,0,IF(IF((S92&gt;0)*(IF(T92="",-1,T92)&gt;=1)*(IF(T92="",-1,T92)&lt;=3),IF(C92="peso_corporal",IF(ISNUMBER(E92),E92,0)+R92,R92)*S92*1000+R92,0)=W92,5,IF(IF((P92&gt;0)*(IF(Q92="",-1,Q92)&gt;=1)*(IF(Q92="",-1,Q92)&lt;=3),IF(C92="peso_corporal",IF(ISNUMBER(E92),E92,0)+O92,O92)*P92*1000+O92,0)=W92,4,IF(IF((M92&gt;0)*(IF(N92="",-1,N92)&gt;=1)*(IF(N92="",-1,N92)&lt;=3),IF(C92="peso_corporal",IF(ISNUMBER(E92),E92,0)+L92,L92)*M92*1000+L92,0)=W92,3,IF(IF((J92&gt;0)*(IF(K92="",-1,K92)&gt;=1)*(IF(K92="",-1,K92)&lt;=3),IF(C92="peso_corporal",IF(ISNUMBER(E92),E92,0)+I92,I92)*J92*1000+I92,0)=W92,2,IF(IF((G92&gt;0)*(IF(H92="",-1,H92)&gt;=1)*(IF(H92="",-1,H92)&lt;=3),IF(C92="peso_corporal",IF(ISNUMBER(E92),E92,0)+F92,F92)*G92*1000+F92,0)=W92,1,0))))))</f>
        <v>0</v>
      </c>
      <c r="Y92" s="69">
        <f>MAX(IF((G92&gt;0)*(IF(H92="",-1,H92)=0)*(1-(IF(H92="",-1,H92)&gt;=1)*(IF(H92="",-1,H92)&lt;=3)),IF(C92="peso_corporal",IF(ISNUMBER(E92),E92,0)+F92,F92)*G92*1000+F92,0),IF((J92&gt;0)*(IF(K92="",-1,K92)=0)*(1-(IF(K92="",-1,K92)&gt;=1)*(IF(K92="",-1,K92)&lt;=3)),IF(C92="peso_corporal",IF(ISNUMBER(E92),E92,0)+I92,I92)*J92*1000+I92,0),IF((M92&gt;0)*(IF(N92="",-1,N92)=0)*(1-(IF(N92="",-1,N92)&gt;=1)*(IF(N92="",-1,N92)&lt;=3)),IF(C92="peso_corporal",IF(ISNUMBER(E92),E92,0)+L92,L92)*M92*1000+L92,0),IF((P92&gt;0)*(IF(Q92="",-1,Q92)=0)*(1-(IF(Q92="",-1,Q92)&gt;=1)*(IF(Q92="",-1,Q92)&lt;=3)),IF(C92="peso_corporal",IF(ISNUMBER(E92),E92,0)+O92,O92)*P92*1000+O92,0),IF((S92&gt;0)*(IF(T92="",-1,T92)=0)*(1-(IF(T92="",-1,T92)&gt;=1)*(IF(T92="",-1,T92)&lt;=3)),IF(C92="peso_corporal",IF(ISNUMBER(E92),E92,0)+R92,R92)*S92*1000+R92,0))</f>
        <v>0</v>
      </c>
      <c r="Z92" s="69">
        <f>IF(Y92=0,0,IF(IF((S92&gt;0)*(IF(T92="",-1,T92)=0)*(1-(IF(T92="",-1,T92)&gt;=1)*(IF(T92="",-1,T92)&lt;=3)),IF(C92="peso_corporal",IF(ISNUMBER(E92),E92,0)+R92,R92)*S92*1000+R92,0)=Y92,5,IF(IF((P92&gt;0)*(IF(Q92="",-1,Q92)=0)*(1-(IF(Q92="",-1,Q92)&gt;=1)*(IF(Q92="",-1,Q92)&lt;=3)),IF(C92="peso_corporal",IF(ISNUMBER(E92),E92,0)+O92,O92)*P92*1000+O92,0)=Y92,4,IF(IF((M92&gt;0)*(IF(N92="",-1,N92)=0)*(1-(IF(N92="",-1,N92)&gt;=1)*(IF(N92="",-1,N92)&lt;=3)),IF(C92="peso_corporal",IF(ISNUMBER(E92),E92,0)+L92,L92)*M92*1000+L92,0)=Y92,3,IF(IF((J92&gt;0)*(IF(K92="",-1,K92)=0)*(1-(IF(K92="",-1,K92)&gt;=1)*(IF(K92="",-1,K92)&lt;=3)),IF(C92="peso_corporal",IF(ISNUMBER(E92),E92,0)+I92,I92)*J92*1000+I92,0)=Y92,2,IF(IF((G92&gt;0)*(IF(H92="",-1,H92)=0)*(1-(IF(H92="",-1,H92)&gt;=1)*(IF(H92="",-1,H92)&lt;=3)),IF(C92="peso_corporal",IF(ISNUMBER(E92),E92,0)+F92,F92)*G92*1000+F92,0)=Y92,1,0))))))</f>
        <v>0</v>
      </c>
      <c r="AA92" s="69">
        <f>MAX(IF((G92&gt;=6)*(1-(IF(H92="",-1,H92)&gt;=1)*(IF(H92="",-1,H92)&lt;=3))*(1-(IF(H92="",-1,H92)=0)),IF(C92="peso_corporal",IF(ISNUMBER(E92),E92,0)+F92,F92)*(30+G92)*100+F92,0),IF((J92&gt;=6)*(1-(IF(K92="",-1,K92)&gt;=1)*(IF(K92="",-1,K92)&lt;=3))*(1-(IF(K92="",-1,K92)=0)),IF(C92="peso_corporal",IF(ISNUMBER(E92),E92,0)+I92,I92)*(30+J92)*100+I92,0),IF((M92&gt;=6)*(1-(IF(N92="",-1,N92)&gt;=1)*(IF(N92="",-1,N92)&lt;=3))*(1-(IF(N92="",-1,N92)=0)),IF(C92="peso_corporal",IF(ISNUMBER(E92),E92,0)+L92,L92)*(30+M92)*100+L92,0),IF((P92&gt;=6)*(1-(IF(Q92="",-1,Q92)&gt;=1)*(IF(Q92="",-1,Q92)&lt;=3))*(1-(IF(Q92="",-1,Q92)=0)),IF(C92="peso_corporal",IF(ISNUMBER(E92),E92,0)+O92,O92)*(30+P92)*100+O92,0),IF((S92&gt;=6)*(1-(IF(T92="",-1,T92)&gt;=1)*(IF(T92="",-1,T92)&lt;=3))*(1-(IF(T92="",-1,T92)=0)),IF(C92="peso_corporal",IF(ISNUMBER(E92),E92,0)+R92,R92)*(30+S92)*100+R92,0))</f>
        <v>0</v>
      </c>
      <c r="AB92" s="69">
        <f>IF(AA92=0,0,IF(IF((S92&gt;=6)*(1-(IF(T92="",-1,T92)&gt;=1)*(IF(T92="",-1,T92)&lt;=3))*(1-(IF(T92="",-1,T92)=0)),IF(C92="peso_corporal",IF(ISNUMBER(E92),E92,0)+R92,R92)*(30+S92)*100+R92,0)=AA92,5,IF(IF((P92&gt;=6)*(1-(IF(Q92="",-1,Q92)&gt;=1)*(IF(Q92="",-1,Q92)&lt;=3))*(1-(IF(Q92="",-1,Q92)=0)),IF(C92="peso_corporal",IF(ISNUMBER(E92),E92,0)+O92,O92)*(30+P92)*100+O92,0)=AA92,4,IF(IF((M92&gt;=6)*(1-(IF(N92="",-1,N92)&gt;=1)*(IF(N92="",-1,N92)&lt;=3))*(1-(IF(N92="",-1,N92)=0)),IF(C92="peso_corporal",IF(ISNUMBER(E92),E92,0)+L92,L92)*(30+M92)*100+L92,0)=AA92,3,IF(IF((J92&gt;=6)*(1-(IF(K92="",-1,K92)&gt;=1)*(IF(K92="",-1,K92)&lt;=3))*(1-(IF(K92="",-1,K92)=0)),IF(C92="peso_corporal",IF(ISNUMBER(E92),E92,0)+I92,I92)*(30+J92)*100+I92,0)=AA92,2,IF(IF((G92&gt;=6)*(1-(IF(H92="",-1,H92)&gt;=1)*(IF(H92="",-1,H92)&lt;=3))*(1-(IF(H92="",-1,H92)=0)),IF(C92="peso_corporal",IF(ISNUMBER(E92),E92,0)+F92,F92)*(30+G92)*100+F92,0)=AA92,1,0))))))</f>
        <v>0</v>
      </c>
      <c r="AC92" s="69" t="str">
        <f>IF(X92&gt;0,"A"&amp;X92,IF(Z92&gt;0,"B"&amp;Z92,IF(AB92&gt;0,"C"&amp;AB92,"")))</f>
        <v/>
      </c>
    </row>
    <row r="93" spans="1:29" ht="15" customHeight="1">
      <c r="A93" s="83" t="s">
        <v>99</v>
      </c>
      <c r="B93" s="73"/>
      <c r="C93" s="73"/>
      <c r="D93" s="73"/>
      <c r="E93" s="73"/>
      <c r="F93" s="73"/>
      <c r="G93" s="73"/>
      <c r="H93" s="73"/>
      <c r="I93" s="73"/>
      <c r="J93" s="73"/>
      <c r="K93" s="73"/>
      <c r="L93" s="73"/>
      <c r="M93" s="73"/>
      <c r="N93" s="73"/>
      <c r="O93" s="73"/>
      <c r="P93" s="73"/>
      <c r="Q93" s="73"/>
      <c r="R93" s="73"/>
      <c r="S93" s="73"/>
      <c r="T93" s="73"/>
      <c r="U93" s="73"/>
      <c r="V93" s="73"/>
      <c r="W93" s="69"/>
      <c r="X93" s="69"/>
      <c r="Y93" s="69"/>
      <c r="Z93" s="69"/>
      <c r="AA93" s="69"/>
      <c r="AB93" s="69"/>
      <c r="AC93" s="69"/>
    </row>
    <row r="94" spans="1:29" ht="20.100000000000001" customHeight="1">
      <c r="A94" s="14" t="s">
        <v>100</v>
      </c>
      <c r="B94" s="15" t="s">
        <v>101</v>
      </c>
      <c r="C94" s="16" t="str">
        <f>IFERROR(INDEX(EJERCICIOS!$D$3:$D$75,MATCH(A94&amp;"|"&amp;B94,EJERCICIOS!$G$3:$G$75,0)),"--")</f>
        <v>mancuerna</v>
      </c>
      <c r="D94" s="17">
        <v>3</v>
      </c>
      <c r="E94" s="18">
        <f>IFERROR(LOOKUP(2,1/(MEDIDAS_Y_PESO!$B$3:$B$6&lt;&gt;""),MEDIDAS_Y_PESO!$B$3:$B$6),"--")</f>
        <v>80</v>
      </c>
      <c r="F94" s="19"/>
      <c r="G94" s="20"/>
      <c r="H94" s="21"/>
      <c r="I94" s="19"/>
      <c r="J94" s="20"/>
      <c r="K94" s="21"/>
      <c r="L94" s="19"/>
      <c r="M94" s="20"/>
      <c r="N94" s="21"/>
      <c r="O94" s="19"/>
      <c r="P94" s="20"/>
      <c r="Q94" s="21"/>
      <c r="R94" s="19"/>
      <c r="S94" s="20"/>
      <c r="T94" s="21"/>
      <c r="U94" s="22" t="str">
        <f>IFERROR(IF(IF(X94&gt;0,X94,IF(Z94&gt;0,Z94,IF(AB94&gt;0,AB94,0)))=0,"--",ROUND(CHOOSE(IF(X94&gt;0,X94,IF(Z94&gt;0,Z94,IF(AB94&gt;0,AB94,0))),IF(C94="peso_corporal",IF(ISNUMBER(E94),E94,0)+F94,F94)*(1+G94/30),IF(C94="peso_corporal",IF(ISNUMBER(E94),E94,0)+I94,I94)*(1+J94/30),IF(C94="peso_corporal",IF(ISNUMBER(E94),E94,0)+L94,L94)*(1+M94/30),IF(C94="peso_corporal",IF(ISNUMBER(E94),E94,0)+O94,O94)*(1+P94/30),IF(C94="peso_corporal",IF(ISNUMBER(E94),E94,0)+R94,R94)*(1+S94/30)),1)),"--")</f>
        <v>--</v>
      </c>
      <c r="V94" s="23" t="str">
        <f>IF(SUGERENCIAS!N249="SIN","Sin datos anteriores",IF(SUGERENCIAS!N249="SUBIR_F","^ SUBIR FUERTE | Kg:"&amp;ROUND(SUGERENCIAS!K249,1)&amp;" R:"&amp;ROUND(SUGERENCIAS!L249,0)&amp;" RIR:"&amp;ROUND(SUGERENCIAS!M249,0),IF(SUGERENCIAS!N249="SUBIR_E","^ SUBIR (Est.) | Kg:"&amp;ROUND(SUGERENCIAS!K249,1)&amp;" R:"&amp;ROUND(SUGERENCIAS!L249,0)&amp;" RIR:"&amp;ROUND(SUGERENCIAS!M249,0),IF(SUGERENCIAS!N249="SUBIR","^ SUBIR | Kg:"&amp;ROUND(SUGERENCIAS!K249,1)&amp;" R:"&amp;ROUND(SUGERENCIAS!L249,0)&amp;" RIR:"&amp;ROUND(SUGERENCIAS!M249,0),IF(SUGERENCIAS!N249="BAJAR","v BAJAR | Kg:"&amp;ROUND(SUGERENCIAS!K249,1)&amp;" R:"&amp;ROUND(SUGERENCIAS!L249,0)&amp;" RIR:"&amp;ROUND(SUGERENCIAS!M249,0),"= MANT | Kg:"&amp;ROUND(SUGERENCIAS!K249,1)&amp;" R:"&amp;ROUND(SUGERENCIAS!L249,0)&amp;" RIR:"&amp;ROUND(SUGERENCIAS!M249,0))))))</f>
        <v>Sin datos anteriores</v>
      </c>
      <c r="W94" s="69">
        <f>MAX(IF((G94&gt;0)*(IF(H94="",-1,H94)&gt;=1)*(IF(H94="",-1,H94)&lt;=3),IF(C94="peso_corporal",IF(ISNUMBER(E94),E94,0)+F94,F94)*G94*1000+F94,0),IF((J94&gt;0)*(IF(K94="",-1,K94)&gt;=1)*(IF(K94="",-1,K94)&lt;=3),IF(C94="peso_corporal",IF(ISNUMBER(E94),E94,0)+I94,I94)*J94*1000+I94,0),IF((M94&gt;0)*(IF(N94="",-1,N94)&gt;=1)*(IF(N94="",-1,N94)&lt;=3),IF(C94="peso_corporal",IF(ISNUMBER(E94),E94,0)+L94,L94)*M94*1000+L94,0),IF((P94&gt;0)*(IF(Q94="",-1,Q94)&gt;=1)*(IF(Q94="",-1,Q94)&lt;=3),IF(C94="peso_corporal",IF(ISNUMBER(E94),E94,0)+O94,O94)*P94*1000+O94,0),IF((S94&gt;0)*(IF(T94="",-1,T94)&gt;=1)*(IF(T94="",-1,T94)&lt;=3),IF(C94="peso_corporal",IF(ISNUMBER(E94),E94,0)+R94,R94)*S94*1000+R94,0))</f>
        <v>0</v>
      </c>
      <c r="X94" s="69">
        <f>IF(W94=0,0,IF(IF((S94&gt;0)*(IF(T94="",-1,T94)&gt;=1)*(IF(T94="",-1,T94)&lt;=3),IF(C94="peso_corporal",IF(ISNUMBER(E94),E94,0)+R94,R94)*S94*1000+R94,0)=W94,5,IF(IF((P94&gt;0)*(IF(Q94="",-1,Q94)&gt;=1)*(IF(Q94="",-1,Q94)&lt;=3),IF(C94="peso_corporal",IF(ISNUMBER(E94),E94,0)+O94,O94)*P94*1000+O94,0)=W94,4,IF(IF((M94&gt;0)*(IF(N94="",-1,N94)&gt;=1)*(IF(N94="",-1,N94)&lt;=3),IF(C94="peso_corporal",IF(ISNUMBER(E94),E94,0)+L94,L94)*M94*1000+L94,0)=W94,3,IF(IF((J94&gt;0)*(IF(K94="",-1,K94)&gt;=1)*(IF(K94="",-1,K94)&lt;=3),IF(C94="peso_corporal",IF(ISNUMBER(E94),E94,0)+I94,I94)*J94*1000+I94,0)=W94,2,IF(IF((G94&gt;0)*(IF(H94="",-1,H94)&gt;=1)*(IF(H94="",-1,H94)&lt;=3),IF(C94="peso_corporal",IF(ISNUMBER(E94),E94,0)+F94,F94)*G94*1000+F94,0)=W94,1,0))))))</f>
        <v>0</v>
      </c>
      <c r="Y94" s="69">
        <f>MAX(IF((G94&gt;0)*(IF(H94="",-1,H94)=0)*(1-(IF(H94="",-1,H94)&gt;=1)*(IF(H94="",-1,H94)&lt;=3)),IF(C94="peso_corporal",IF(ISNUMBER(E94),E94,0)+F94,F94)*G94*1000+F94,0),IF((J94&gt;0)*(IF(K94="",-1,K94)=0)*(1-(IF(K94="",-1,K94)&gt;=1)*(IF(K94="",-1,K94)&lt;=3)),IF(C94="peso_corporal",IF(ISNUMBER(E94),E94,0)+I94,I94)*J94*1000+I94,0),IF((M94&gt;0)*(IF(N94="",-1,N94)=0)*(1-(IF(N94="",-1,N94)&gt;=1)*(IF(N94="",-1,N94)&lt;=3)),IF(C94="peso_corporal",IF(ISNUMBER(E94),E94,0)+L94,L94)*M94*1000+L94,0),IF((P94&gt;0)*(IF(Q94="",-1,Q94)=0)*(1-(IF(Q94="",-1,Q94)&gt;=1)*(IF(Q94="",-1,Q94)&lt;=3)),IF(C94="peso_corporal",IF(ISNUMBER(E94),E94,0)+O94,O94)*P94*1000+O94,0),IF((S94&gt;0)*(IF(T94="",-1,T94)=0)*(1-(IF(T94="",-1,T94)&gt;=1)*(IF(T94="",-1,T94)&lt;=3)),IF(C94="peso_corporal",IF(ISNUMBER(E94),E94,0)+R94,R94)*S94*1000+R94,0))</f>
        <v>0</v>
      </c>
      <c r="Z94" s="69">
        <f>IF(Y94=0,0,IF(IF((S94&gt;0)*(IF(T94="",-1,T94)=0)*(1-(IF(T94="",-1,T94)&gt;=1)*(IF(T94="",-1,T94)&lt;=3)),IF(C94="peso_corporal",IF(ISNUMBER(E94),E94,0)+R94,R94)*S94*1000+R94,0)=Y94,5,IF(IF((P94&gt;0)*(IF(Q94="",-1,Q94)=0)*(1-(IF(Q94="",-1,Q94)&gt;=1)*(IF(Q94="",-1,Q94)&lt;=3)),IF(C94="peso_corporal",IF(ISNUMBER(E94),E94,0)+O94,O94)*P94*1000+O94,0)=Y94,4,IF(IF((M94&gt;0)*(IF(N94="",-1,N94)=0)*(1-(IF(N94="",-1,N94)&gt;=1)*(IF(N94="",-1,N94)&lt;=3)),IF(C94="peso_corporal",IF(ISNUMBER(E94),E94,0)+L94,L94)*M94*1000+L94,0)=Y94,3,IF(IF((J94&gt;0)*(IF(K94="",-1,K94)=0)*(1-(IF(K94="",-1,K94)&gt;=1)*(IF(K94="",-1,K94)&lt;=3)),IF(C94="peso_corporal",IF(ISNUMBER(E94),E94,0)+I94,I94)*J94*1000+I94,0)=Y94,2,IF(IF((G94&gt;0)*(IF(H94="",-1,H94)=0)*(1-(IF(H94="",-1,H94)&gt;=1)*(IF(H94="",-1,H94)&lt;=3)),IF(C94="peso_corporal",IF(ISNUMBER(E94),E94,0)+F94,F94)*G94*1000+F94,0)=Y94,1,0))))))</f>
        <v>0</v>
      </c>
      <c r="AA94" s="69">
        <f>MAX(IF((G94&gt;=6)*(1-(IF(H94="",-1,H94)&gt;=1)*(IF(H94="",-1,H94)&lt;=3))*(1-(IF(H94="",-1,H94)=0)),IF(C94="peso_corporal",IF(ISNUMBER(E94),E94,0)+F94,F94)*(30+G94)*100+F94,0),IF((J94&gt;=6)*(1-(IF(K94="",-1,K94)&gt;=1)*(IF(K94="",-1,K94)&lt;=3))*(1-(IF(K94="",-1,K94)=0)),IF(C94="peso_corporal",IF(ISNUMBER(E94),E94,0)+I94,I94)*(30+J94)*100+I94,0),IF((M94&gt;=6)*(1-(IF(N94="",-1,N94)&gt;=1)*(IF(N94="",-1,N94)&lt;=3))*(1-(IF(N94="",-1,N94)=0)),IF(C94="peso_corporal",IF(ISNUMBER(E94),E94,0)+L94,L94)*(30+M94)*100+L94,0),IF((P94&gt;=6)*(1-(IF(Q94="",-1,Q94)&gt;=1)*(IF(Q94="",-1,Q94)&lt;=3))*(1-(IF(Q94="",-1,Q94)=0)),IF(C94="peso_corporal",IF(ISNUMBER(E94),E94,0)+O94,O94)*(30+P94)*100+O94,0),IF((S94&gt;=6)*(1-(IF(T94="",-1,T94)&gt;=1)*(IF(T94="",-1,T94)&lt;=3))*(1-(IF(T94="",-1,T94)=0)),IF(C94="peso_corporal",IF(ISNUMBER(E94),E94,0)+R94,R94)*(30+S94)*100+R94,0))</f>
        <v>0</v>
      </c>
      <c r="AB94" s="69">
        <f>IF(AA94=0,0,IF(IF((S94&gt;=6)*(1-(IF(T94="",-1,T94)&gt;=1)*(IF(T94="",-1,T94)&lt;=3))*(1-(IF(T94="",-1,T94)=0)),IF(C94="peso_corporal",IF(ISNUMBER(E94),E94,0)+R94,R94)*(30+S94)*100+R94,0)=AA94,5,IF(IF((P94&gt;=6)*(1-(IF(Q94="",-1,Q94)&gt;=1)*(IF(Q94="",-1,Q94)&lt;=3))*(1-(IF(Q94="",-1,Q94)=0)),IF(C94="peso_corporal",IF(ISNUMBER(E94),E94,0)+O94,O94)*(30+P94)*100+O94,0)=AA94,4,IF(IF((M94&gt;=6)*(1-(IF(N94="",-1,N94)&gt;=1)*(IF(N94="",-1,N94)&lt;=3))*(1-(IF(N94="",-1,N94)=0)),IF(C94="peso_corporal",IF(ISNUMBER(E94),E94,0)+L94,L94)*(30+M94)*100+L94,0)=AA94,3,IF(IF((J94&gt;=6)*(1-(IF(K94="",-1,K94)&gt;=1)*(IF(K94="",-1,K94)&lt;=3))*(1-(IF(K94="",-1,K94)=0)),IF(C94="peso_corporal",IF(ISNUMBER(E94),E94,0)+I94,I94)*(30+J94)*100+I94,0)=AA94,2,IF(IF((G94&gt;=6)*(1-(IF(H94="",-1,H94)&gt;=1)*(IF(H94="",-1,H94)&lt;=3))*(1-(IF(H94="",-1,H94)=0)),IF(C94="peso_corporal",IF(ISNUMBER(E94),E94,0)+F94,F94)*(30+G94)*100+F94,0)=AA94,1,0))))))</f>
        <v>0</v>
      </c>
      <c r="AC94" s="69" t="str">
        <f>IF(X94&gt;0,"A"&amp;X94,IF(Z94&gt;0,"B"&amp;Z94,IF(AB94&gt;0,"C"&amp;AB94,"")))</f>
        <v/>
      </c>
    </row>
    <row r="95" spans="1:29" ht="20.100000000000001" customHeight="1">
      <c r="A95" s="14" t="s">
        <v>100</v>
      </c>
      <c r="B95" s="15" t="s">
        <v>102</v>
      </c>
      <c r="C95" s="16" t="str">
        <f>IFERROR(INDEX(EJERCICIOS!$D$3:$D$75,MATCH(A95&amp;"|"&amp;B95,EJERCICIOS!$G$3:$G$75,0)),"--")</f>
        <v>mancuerna</v>
      </c>
      <c r="D95" s="17">
        <v>3</v>
      </c>
      <c r="E95" s="18">
        <f>IFERROR(LOOKUP(2,1/(MEDIDAS_Y_PESO!$B$3:$B$6&lt;&gt;""),MEDIDAS_Y_PESO!$B$3:$B$6),"--")</f>
        <v>80</v>
      </c>
      <c r="F95" s="19"/>
      <c r="G95" s="20"/>
      <c r="H95" s="21"/>
      <c r="I95" s="19"/>
      <c r="J95" s="20"/>
      <c r="K95" s="21"/>
      <c r="L95" s="19"/>
      <c r="M95" s="20"/>
      <c r="N95" s="21"/>
      <c r="O95" s="19"/>
      <c r="P95" s="20"/>
      <c r="Q95" s="21"/>
      <c r="R95" s="19"/>
      <c r="S95" s="20"/>
      <c r="T95" s="21"/>
      <c r="U95" s="22" t="str">
        <f>IFERROR(IF(IF(X95&gt;0,X95,IF(Z95&gt;0,Z95,IF(AB95&gt;0,AB95,0)))=0,"--",ROUND(CHOOSE(IF(X95&gt;0,X95,IF(Z95&gt;0,Z95,IF(AB95&gt;0,AB95,0))),IF(C95="peso_corporal",IF(ISNUMBER(E95),E95,0)+F95,F95)*(1+G95/30),IF(C95="peso_corporal",IF(ISNUMBER(E95),E95,0)+I95,I95)*(1+J95/30),IF(C95="peso_corporal",IF(ISNUMBER(E95),E95,0)+L95,L95)*(1+M95/30),IF(C95="peso_corporal",IF(ISNUMBER(E95),E95,0)+O95,O95)*(1+P95/30),IF(C95="peso_corporal",IF(ISNUMBER(E95),E95,0)+R95,R95)*(1+S95/30)),1)),"--")</f>
        <v>--</v>
      </c>
      <c r="V95" s="23" t="str">
        <f>IF(SUGERENCIAS!N250="SIN","Sin datos anteriores",IF(SUGERENCIAS!N250="SUBIR_F","^ SUBIR FUERTE | Kg:"&amp;ROUND(SUGERENCIAS!K250,1)&amp;" R:"&amp;ROUND(SUGERENCIAS!L250,0)&amp;" RIR:"&amp;ROUND(SUGERENCIAS!M250,0),IF(SUGERENCIAS!N250="SUBIR_E","^ SUBIR (Est.) | Kg:"&amp;ROUND(SUGERENCIAS!K250,1)&amp;" R:"&amp;ROUND(SUGERENCIAS!L250,0)&amp;" RIR:"&amp;ROUND(SUGERENCIAS!M250,0),IF(SUGERENCIAS!N250="SUBIR","^ SUBIR | Kg:"&amp;ROUND(SUGERENCIAS!K250,1)&amp;" R:"&amp;ROUND(SUGERENCIAS!L250,0)&amp;" RIR:"&amp;ROUND(SUGERENCIAS!M250,0),IF(SUGERENCIAS!N250="BAJAR","v BAJAR | Kg:"&amp;ROUND(SUGERENCIAS!K250,1)&amp;" R:"&amp;ROUND(SUGERENCIAS!L250,0)&amp;" RIR:"&amp;ROUND(SUGERENCIAS!M250,0),"= MANT | Kg:"&amp;ROUND(SUGERENCIAS!K250,1)&amp;" R:"&amp;ROUND(SUGERENCIAS!L250,0)&amp;" RIR:"&amp;ROUND(SUGERENCIAS!M250,0))))))</f>
        <v>Sin datos anteriores</v>
      </c>
      <c r="W95" s="69">
        <f>MAX(IF((G95&gt;0)*(IF(H95="",-1,H95)&gt;=1)*(IF(H95="",-1,H95)&lt;=3),IF(C95="peso_corporal",IF(ISNUMBER(E95),E95,0)+F95,F95)*G95*1000+F95,0),IF((J95&gt;0)*(IF(K95="",-1,K95)&gt;=1)*(IF(K95="",-1,K95)&lt;=3),IF(C95="peso_corporal",IF(ISNUMBER(E95),E95,0)+I95,I95)*J95*1000+I95,0),IF((M95&gt;0)*(IF(N95="",-1,N95)&gt;=1)*(IF(N95="",-1,N95)&lt;=3),IF(C95="peso_corporal",IF(ISNUMBER(E95),E95,0)+L95,L95)*M95*1000+L95,0),IF((P95&gt;0)*(IF(Q95="",-1,Q95)&gt;=1)*(IF(Q95="",-1,Q95)&lt;=3),IF(C95="peso_corporal",IF(ISNUMBER(E95),E95,0)+O95,O95)*P95*1000+O95,0),IF((S95&gt;0)*(IF(T95="",-1,T95)&gt;=1)*(IF(T95="",-1,T95)&lt;=3),IF(C95="peso_corporal",IF(ISNUMBER(E95),E95,0)+R95,R95)*S95*1000+R95,0))</f>
        <v>0</v>
      </c>
      <c r="X95" s="69">
        <f>IF(W95=0,0,IF(IF((S95&gt;0)*(IF(T95="",-1,T95)&gt;=1)*(IF(T95="",-1,T95)&lt;=3),IF(C95="peso_corporal",IF(ISNUMBER(E95),E95,0)+R95,R95)*S95*1000+R95,0)=W95,5,IF(IF((P95&gt;0)*(IF(Q95="",-1,Q95)&gt;=1)*(IF(Q95="",-1,Q95)&lt;=3),IF(C95="peso_corporal",IF(ISNUMBER(E95),E95,0)+O95,O95)*P95*1000+O95,0)=W95,4,IF(IF((M95&gt;0)*(IF(N95="",-1,N95)&gt;=1)*(IF(N95="",-1,N95)&lt;=3),IF(C95="peso_corporal",IF(ISNUMBER(E95),E95,0)+L95,L95)*M95*1000+L95,0)=W95,3,IF(IF((J95&gt;0)*(IF(K95="",-1,K95)&gt;=1)*(IF(K95="",-1,K95)&lt;=3),IF(C95="peso_corporal",IF(ISNUMBER(E95),E95,0)+I95,I95)*J95*1000+I95,0)=W95,2,IF(IF((G95&gt;0)*(IF(H95="",-1,H95)&gt;=1)*(IF(H95="",-1,H95)&lt;=3),IF(C95="peso_corporal",IF(ISNUMBER(E95),E95,0)+F95,F95)*G95*1000+F95,0)=W95,1,0))))))</f>
        <v>0</v>
      </c>
      <c r="Y95" s="69">
        <f>MAX(IF((G95&gt;0)*(IF(H95="",-1,H95)=0)*(1-(IF(H95="",-1,H95)&gt;=1)*(IF(H95="",-1,H95)&lt;=3)),IF(C95="peso_corporal",IF(ISNUMBER(E95),E95,0)+F95,F95)*G95*1000+F95,0),IF((J95&gt;0)*(IF(K95="",-1,K95)=0)*(1-(IF(K95="",-1,K95)&gt;=1)*(IF(K95="",-1,K95)&lt;=3)),IF(C95="peso_corporal",IF(ISNUMBER(E95),E95,0)+I95,I95)*J95*1000+I95,0),IF((M95&gt;0)*(IF(N95="",-1,N95)=0)*(1-(IF(N95="",-1,N95)&gt;=1)*(IF(N95="",-1,N95)&lt;=3)),IF(C95="peso_corporal",IF(ISNUMBER(E95),E95,0)+L95,L95)*M95*1000+L95,0),IF((P95&gt;0)*(IF(Q95="",-1,Q95)=0)*(1-(IF(Q95="",-1,Q95)&gt;=1)*(IF(Q95="",-1,Q95)&lt;=3)),IF(C95="peso_corporal",IF(ISNUMBER(E95),E95,0)+O95,O95)*P95*1000+O95,0),IF((S95&gt;0)*(IF(T95="",-1,T95)=0)*(1-(IF(T95="",-1,T95)&gt;=1)*(IF(T95="",-1,T95)&lt;=3)),IF(C95="peso_corporal",IF(ISNUMBER(E95),E95,0)+R95,R95)*S95*1000+R95,0))</f>
        <v>0</v>
      </c>
      <c r="Z95" s="69">
        <f>IF(Y95=0,0,IF(IF((S95&gt;0)*(IF(T95="",-1,T95)=0)*(1-(IF(T95="",-1,T95)&gt;=1)*(IF(T95="",-1,T95)&lt;=3)),IF(C95="peso_corporal",IF(ISNUMBER(E95),E95,0)+R95,R95)*S95*1000+R95,0)=Y95,5,IF(IF((P95&gt;0)*(IF(Q95="",-1,Q95)=0)*(1-(IF(Q95="",-1,Q95)&gt;=1)*(IF(Q95="",-1,Q95)&lt;=3)),IF(C95="peso_corporal",IF(ISNUMBER(E95),E95,0)+O95,O95)*P95*1000+O95,0)=Y95,4,IF(IF((M95&gt;0)*(IF(N95="",-1,N95)=0)*(1-(IF(N95="",-1,N95)&gt;=1)*(IF(N95="",-1,N95)&lt;=3)),IF(C95="peso_corporal",IF(ISNUMBER(E95),E95,0)+L95,L95)*M95*1000+L95,0)=Y95,3,IF(IF((J95&gt;0)*(IF(K95="",-1,K95)=0)*(1-(IF(K95="",-1,K95)&gt;=1)*(IF(K95="",-1,K95)&lt;=3)),IF(C95="peso_corporal",IF(ISNUMBER(E95),E95,0)+I95,I95)*J95*1000+I95,0)=Y95,2,IF(IF((G95&gt;0)*(IF(H95="",-1,H95)=0)*(1-(IF(H95="",-1,H95)&gt;=1)*(IF(H95="",-1,H95)&lt;=3)),IF(C95="peso_corporal",IF(ISNUMBER(E95),E95,0)+F95,F95)*G95*1000+F95,0)=Y95,1,0))))))</f>
        <v>0</v>
      </c>
      <c r="AA95" s="69">
        <f>MAX(IF((G95&gt;=6)*(1-(IF(H95="",-1,H95)&gt;=1)*(IF(H95="",-1,H95)&lt;=3))*(1-(IF(H95="",-1,H95)=0)),IF(C95="peso_corporal",IF(ISNUMBER(E95),E95,0)+F95,F95)*(30+G95)*100+F95,0),IF((J95&gt;=6)*(1-(IF(K95="",-1,K95)&gt;=1)*(IF(K95="",-1,K95)&lt;=3))*(1-(IF(K95="",-1,K95)=0)),IF(C95="peso_corporal",IF(ISNUMBER(E95),E95,0)+I95,I95)*(30+J95)*100+I95,0),IF((M95&gt;=6)*(1-(IF(N95="",-1,N95)&gt;=1)*(IF(N95="",-1,N95)&lt;=3))*(1-(IF(N95="",-1,N95)=0)),IF(C95="peso_corporal",IF(ISNUMBER(E95),E95,0)+L95,L95)*(30+M95)*100+L95,0),IF((P95&gt;=6)*(1-(IF(Q95="",-1,Q95)&gt;=1)*(IF(Q95="",-1,Q95)&lt;=3))*(1-(IF(Q95="",-1,Q95)=0)),IF(C95="peso_corporal",IF(ISNUMBER(E95),E95,0)+O95,O95)*(30+P95)*100+O95,0),IF((S95&gt;=6)*(1-(IF(T95="",-1,T95)&gt;=1)*(IF(T95="",-1,T95)&lt;=3))*(1-(IF(T95="",-1,T95)=0)),IF(C95="peso_corporal",IF(ISNUMBER(E95),E95,0)+R95,R95)*(30+S95)*100+R95,0))</f>
        <v>0</v>
      </c>
      <c r="AB95" s="69">
        <f>IF(AA95=0,0,IF(IF((S95&gt;=6)*(1-(IF(T95="",-1,T95)&gt;=1)*(IF(T95="",-1,T95)&lt;=3))*(1-(IF(T95="",-1,T95)=0)),IF(C95="peso_corporal",IF(ISNUMBER(E95),E95,0)+R95,R95)*(30+S95)*100+R95,0)=AA95,5,IF(IF((P95&gt;=6)*(1-(IF(Q95="",-1,Q95)&gt;=1)*(IF(Q95="",-1,Q95)&lt;=3))*(1-(IF(Q95="",-1,Q95)=0)),IF(C95="peso_corporal",IF(ISNUMBER(E95),E95,0)+O95,O95)*(30+P95)*100+O95,0)=AA95,4,IF(IF((M95&gt;=6)*(1-(IF(N95="",-1,N95)&gt;=1)*(IF(N95="",-1,N95)&lt;=3))*(1-(IF(N95="",-1,N95)=0)),IF(C95="peso_corporal",IF(ISNUMBER(E95),E95,0)+L95,L95)*(30+M95)*100+L95,0)=AA95,3,IF(IF((J95&gt;=6)*(1-(IF(K95="",-1,K95)&gt;=1)*(IF(K95="",-1,K95)&lt;=3))*(1-(IF(K95="",-1,K95)=0)),IF(C95="peso_corporal",IF(ISNUMBER(E95),E95,0)+I95,I95)*(30+J95)*100+I95,0)=AA95,2,IF(IF((G95&gt;=6)*(1-(IF(H95="",-1,H95)&gt;=1)*(IF(H95="",-1,H95)&lt;=3))*(1-(IF(H95="",-1,H95)=0)),IF(C95="peso_corporal",IF(ISNUMBER(E95),E95,0)+F95,F95)*(30+G95)*100+F95,0)=AA95,1,0))))))</f>
        <v>0</v>
      </c>
      <c r="AC95" s="69" t="str">
        <f>IF(X95&gt;0,"A"&amp;X95,IF(Z95&gt;0,"B"&amp;Z95,IF(AB95&gt;0,"C"&amp;AB95,"")))</f>
        <v/>
      </c>
    </row>
    <row r="96" spans="1:29" ht="15" customHeight="1">
      <c r="A96" s="81" t="s">
        <v>42</v>
      </c>
      <c r="B96" s="73"/>
      <c r="C96" s="73"/>
      <c r="D96" s="73"/>
      <c r="E96" s="73"/>
      <c r="F96" s="73"/>
      <c r="G96" s="73"/>
      <c r="H96" s="73"/>
      <c r="I96" s="73"/>
      <c r="J96" s="73"/>
      <c r="K96" s="73"/>
      <c r="L96" s="73"/>
      <c r="M96" s="73"/>
      <c r="N96" s="73"/>
      <c r="O96" s="73"/>
      <c r="P96" s="73"/>
      <c r="Q96" s="73"/>
      <c r="R96" s="73"/>
      <c r="S96" s="73"/>
      <c r="T96" s="73"/>
      <c r="U96" s="73"/>
      <c r="V96" s="73"/>
      <c r="W96" s="69"/>
      <c r="X96" s="69"/>
      <c r="Y96" s="69"/>
      <c r="Z96" s="69"/>
      <c r="AA96" s="69"/>
      <c r="AB96" s="69"/>
      <c r="AC96" s="69"/>
    </row>
    <row r="97" spans="1:29" ht="20.100000000000001" customHeight="1">
      <c r="A97" s="14" t="s">
        <v>43</v>
      </c>
      <c r="B97" s="15" t="s">
        <v>44</v>
      </c>
      <c r="C97" s="16" t="str">
        <f>IFERROR(INDEX(EJERCICIOS!$D$3:$D$75,MATCH(A97&amp;"|"&amp;B97,EJERCICIOS!$G$3:$G$75,0)),"--")</f>
        <v>polea</v>
      </c>
      <c r="D97" s="17">
        <v>3</v>
      </c>
      <c r="E97" s="18">
        <f>IFERROR(LOOKUP(2,1/(MEDIDAS_Y_PESO!$B$3:$B$6&lt;&gt;""),MEDIDAS_Y_PESO!$B$3:$B$6),"--")</f>
        <v>80</v>
      </c>
      <c r="F97" s="19"/>
      <c r="G97" s="20"/>
      <c r="H97" s="21"/>
      <c r="I97" s="19"/>
      <c r="J97" s="20"/>
      <c r="K97" s="21"/>
      <c r="L97" s="19"/>
      <c r="M97" s="20"/>
      <c r="N97" s="21"/>
      <c r="O97" s="19"/>
      <c r="P97" s="20"/>
      <c r="Q97" s="21"/>
      <c r="R97" s="19"/>
      <c r="S97" s="20"/>
      <c r="T97" s="21"/>
      <c r="U97" s="22" t="str">
        <f>IFERROR(IF(IF(X97&gt;0,X97,IF(Z97&gt;0,Z97,IF(AB97&gt;0,AB97,0)))=0,"--",ROUND(CHOOSE(IF(X97&gt;0,X97,IF(Z97&gt;0,Z97,IF(AB97&gt;0,AB97,0))),IF(C97="peso_corporal",IF(ISNUMBER(E97),E97,0)+F97,F97)*(1+G97/30),IF(C97="peso_corporal",IF(ISNUMBER(E97),E97,0)+I97,I97)*(1+J97/30),IF(C97="peso_corporal",IF(ISNUMBER(E97),E97,0)+L97,L97)*(1+M97/30),IF(C97="peso_corporal",IF(ISNUMBER(E97),E97,0)+O97,O97)*(1+P97/30),IF(C97="peso_corporal",IF(ISNUMBER(E97),E97,0)+R97,R97)*(1+S97/30)),1)),"--")</f>
        <v>--</v>
      </c>
      <c r="V97" s="23" t="str">
        <f>IF(SUGERENCIAS!N251="SIN","Sin datos anteriores",IF(SUGERENCIAS!N251="SUBIR_F","^ SUBIR FUERTE | Kg:"&amp;ROUND(SUGERENCIAS!K251,1)&amp;" R:"&amp;ROUND(SUGERENCIAS!L251,0)&amp;" RIR:"&amp;ROUND(SUGERENCIAS!M251,0),IF(SUGERENCIAS!N251="SUBIR_E","^ SUBIR (Est.) | Kg:"&amp;ROUND(SUGERENCIAS!K251,1)&amp;" R:"&amp;ROUND(SUGERENCIAS!L251,0)&amp;" RIR:"&amp;ROUND(SUGERENCIAS!M251,0),IF(SUGERENCIAS!N251="SUBIR","^ SUBIR | Kg:"&amp;ROUND(SUGERENCIAS!K251,1)&amp;" R:"&amp;ROUND(SUGERENCIAS!L251,0)&amp;" RIR:"&amp;ROUND(SUGERENCIAS!M251,0),IF(SUGERENCIAS!N251="BAJAR","v BAJAR | Kg:"&amp;ROUND(SUGERENCIAS!K251,1)&amp;" R:"&amp;ROUND(SUGERENCIAS!L251,0)&amp;" RIR:"&amp;ROUND(SUGERENCIAS!M251,0),"= MANT | Kg:"&amp;ROUND(SUGERENCIAS!K251,1)&amp;" R:"&amp;ROUND(SUGERENCIAS!L251,0)&amp;" RIR:"&amp;ROUND(SUGERENCIAS!M251,0))))))</f>
        <v>Sin datos anteriores</v>
      </c>
      <c r="W97" s="69">
        <f>MAX(IF((G97&gt;0)*(IF(H97="",-1,H97)&gt;=1)*(IF(H97="",-1,H97)&lt;=3),IF(C97="peso_corporal",IF(ISNUMBER(E97),E97,0)+F97,F97)*G97*1000+F97,0),IF((J97&gt;0)*(IF(K97="",-1,K97)&gt;=1)*(IF(K97="",-1,K97)&lt;=3),IF(C97="peso_corporal",IF(ISNUMBER(E97),E97,0)+I97,I97)*J97*1000+I97,0),IF((M97&gt;0)*(IF(N97="",-1,N97)&gt;=1)*(IF(N97="",-1,N97)&lt;=3),IF(C97="peso_corporal",IF(ISNUMBER(E97),E97,0)+L97,L97)*M97*1000+L97,0),IF((P97&gt;0)*(IF(Q97="",-1,Q97)&gt;=1)*(IF(Q97="",-1,Q97)&lt;=3),IF(C97="peso_corporal",IF(ISNUMBER(E97),E97,0)+O97,O97)*P97*1000+O97,0),IF((S97&gt;0)*(IF(T97="",-1,T97)&gt;=1)*(IF(T97="",-1,T97)&lt;=3),IF(C97="peso_corporal",IF(ISNUMBER(E97),E97,0)+R97,R97)*S97*1000+R97,0))</f>
        <v>0</v>
      </c>
      <c r="X97" s="69">
        <f>IF(W97=0,0,IF(IF((S97&gt;0)*(IF(T97="",-1,T97)&gt;=1)*(IF(T97="",-1,T97)&lt;=3),IF(C97="peso_corporal",IF(ISNUMBER(E97),E97,0)+R97,R97)*S97*1000+R97,0)=W97,5,IF(IF((P97&gt;0)*(IF(Q97="",-1,Q97)&gt;=1)*(IF(Q97="",-1,Q97)&lt;=3),IF(C97="peso_corporal",IF(ISNUMBER(E97),E97,0)+O97,O97)*P97*1000+O97,0)=W97,4,IF(IF((M97&gt;0)*(IF(N97="",-1,N97)&gt;=1)*(IF(N97="",-1,N97)&lt;=3),IF(C97="peso_corporal",IF(ISNUMBER(E97),E97,0)+L97,L97)*M97*1000+L97,0)=W97,3,IF(IF((J97&gt;0)*(IF(K97="",-1,K97)&gt;=1)*(IF(K97="",-1,K97)&lt;=3),IF(C97="peso_corporal",IF(ISNUMBER(E97),E97,0)+I97,I97)*J97*1000+I97,0)=W97,2,IF(IF((G97&gt;0)*(IF(H97="",-1,H97)&gt;=1)*(IF(H97="",-1,H97)&lt;=3),IF(C97="peso_corporal",IF(ISNUMBER(E97),E97,0)+F97,F97)*G97*1000+F97,0)=W97,1,0))))))</f>
        <v>0</v>
      </c>
      <c r="Y97" s="69">
        <f>MAX(IF((G97&gt;0)*(IF(H97="",-1,H97)=0)*(1-(IF(H97="",-1,H97)&gt;=1)*(IF(H97="",-1,H97)&lt;=3)),IF(C97="peso_corporal",IF(ISNUMBER(E97),E97,0)+F97,F97)*G97*1000+F97,0),IF((J97&gt;0)*(IF(K97="",-1,K97)=0)*(1-(IF(K97="",-1,K97)&gt;=1)*(IF(K97="",-1,K97)&lt;=3)),IF(C97="peso_corporal",IF(ISNUMBER(E97),E97,0)+I97,I97)*J97*1000+I97,0),IF((M97&gt;0)*(IF(N97="",-1,N97)=0)*(1-(IF(N97="",-1,N97)&gt;=1)*(IF(N97="",-1,N97)&lt;=3)),IF(C97="peso_corporal",IF(ISNUMBER(E97),E97,0)+L97,L97)*M97*1000+L97,0),IF((P97&gt;0)*(IF(Q97="",-1,Q97)=0)*(1-(IF(Q97="",-1,Q97)&gt;=1)*(IF(Q97="",-1,Q97)&lt;=3)),IF(C97="peso_corporal",IF(ISNUMBER(E97),E97,0)+O97,O97)*P97*1000+O97,0),IF((S97&gt;0)*(IF(T97="",-1,T97)=0)*(1-(IF(T97="",-1,T97)&gt;=1)*(IF(T97="",-1,T97)&lt;=3)),IF(C97="peso_corporal",IF(ISNUMBER(E97),E97,0)+R97,R97)*S97*1000+R97,0))</f>
        <v>0</v>
      </c>
      <c r="Z97" s="69">
        <f>IF(Y97=0,0,IF(IF((S97&gt;0)*(IF(T97="",-1,T97)=0)*(1-(IF(T97="",-1,T97)&gt;=1)*(IF(T97="",-1,T97)&lt;=3)),IF(C97="peso_corporal",IF(ISNUMBER(E97),E97,0)+R97,R97)*S97*1000+R97,0)=Y97,5,IF(IF((P97&gt;0)*(IF(Q97="",-1,Q97)=0)*(1-(IF(Q97="",-1,Q97)&gt;=1)*(IF(Q97="",-1,Q97)&lt;=3)),IF(C97="peso_corporal",IF(ISNUMBER(E97),E97,0)+O97,O97)*P97*1000+O97,0)=Y97,4,IF(IF((M97&gt;0)*(IF(N97="",-1,N97)=0)*(1-(IF(N97="",-1,N97)&gt;=1)*(IF(N97="",-1,N97)&lt;=3)),IF(C97="peso_corporal",IF(ISNUMBER(E97),E97,0)+L97,L97)*M97*1000+L97,0)=Y97,3,IF(IF((J97&gt;0)*(IF(K97="",-1,K97)=0)*(1-(IF(K97="",-1,K97)&gt;=1)*(IF(K97="",-1,K97)&lt;=3)),IF(C97="peso_corporal",IF(ISNUMBER(E97),E97,0)+I97,I97)*J97*1000+I97,0)=Y97,2,IF(IF((G97&gt;0)*(IF(H97="",-1,H97)=0)*(1-(IF(H97="",-1,H97)&gt;=1)*(IF(H97="",-1,H97)&lt;=3)),IF(C97="peso_corporal",IF(ISNUMBER(E97),E97,0)+F97,F97)*G97*1000+F97,0)=Y97,1,0))))))</f>
        <v>0</v>
      </c>
      <c r="AA97" s="69">
        <f>MAX(IF((G97&gt;=6)*(1-(IF(H97="",-1,H97)&gt;=1)*(IF(H97="",-1,H97)&lt;=3))*(1-(IF(H97="",-1,H97)=0)),IF(C97="peso_corporal",IF(ISNUMBER(E97),E97,0)+F97,F97)*(30+G97)*100+F97,0),IF((J97&gt;=6)*(1-(IF(K97="",-1,K97)&gt;=1)*(IF(K97="",-1,K97)&lt;=3))*(1-(IF(K97="",-1,K97)=0)),IF(C97="peso_corporal",IF(ISNUMBER(E97),E97,0)+I97,I97)*(30+J97)*100+I97,0),IF((M97&gt;=6)*(1-(IF(N97="",-1,N97)&gt;=1)*(IF(N97="",-1,N97)&lt;=3))*(1-(IF(N97="",-1,N97)=0)),IF(C97="peso_corporal",IF(ISNUMBER(E97),E97,0)+L97,L97)*(30+M97)*100+L97,0),IF((P97&gt;=6)*(1-(IF(Q97="",-1,Q97)&gt;=1)*(IF(Q97="",-1,Q97)&lt;=3))*(1-(IF(Q97="",-1,Q97)=0)),IF(C97="peso_corporal",IF(ISNUMBER(E97),E97,0)+O97,O97)*(30+P97)*100+O97,0),IF((S97&gt;=6)*(1-(IF(T97="",-1,T97)&gt;=1)*(IF(T97="",-1,T97)&lt;=3))*(1-(IF(T97="",-1,T97)=0)),IF(C97="peso_corporal",IF(ISNUMBER(E97),E97,0)+R97,R97)*(30+S97)*100+R97,0))</f>
        <v>0</v>
      </c>
      <c r="AB97" s="69">
        <f>IF(AA97=0,0,IF(IF((S97&gt;=6)*(1-(IF(T97="",-1,T97)&gt;=1)*(IF(T97="",-1,T97)&lt;=3))*(1-(IF(T97="",-1,T97)=0)),IF(C97="peso_corporal",IF(ISNUMBER(E97),E97,0)+R97,R97)*(30+S97)*100+R97,0)=AA97,5,IF(IF((P97&gt;=6)*(1-(IF(Q97="",-1,Q97)&gt;=1)*(IF(Q97="",-1,Q97)&lt;=3))*(1-(IF(Q97="",-1,Q97)=0)),IF(C97="peso_corporal",IF(ISNUMBER(E97),E97,0)+O97,O97)*(30+P97)*100+O97,0)=AA97,4,IF(IF((M97&gt;=6)*(1-(IF(N97="",-1,N97)&gt;=1)*(IF(N97="",-1,N97)&lt;=3))*(1-(IF(N97="",-1,N97)=0)),IF(C97="peso_corporal",IF(ISNUMBER(E97),E97,0)+L97,L97)*(30+M97)*100+L97,0)=AA97,3,IF(IF((J97&gt;=6)*(1-(IF(K97="",-1,K97)&gt;=1)*(IF(K97="",-1,K97)&lt;=3))*(1-(IF(K97="",-1,K97)=0)),IF(C97="peso_corporal",IF(ISNUMBER(E97),E97,0)+I97,I97)*(30+J97)*100+I97,0)=AA97,2,IF(IF((G97&gt;=6)*(1-(IF(H97="",-1,H97)&gt;=1)*(IF(H97="",-1,H97)&lt;=3))*(1-(IF(H97="",-1,H97)=0)),IF(C97="peso_corporal",IF(ISNUMBER(E97),E97,0)+F97,F97)*(30+G97)*100+F97,0)=AA97,1,0))))))</f>
        <v>0</v>
      </c>
      <c r="AC97" s="69" t="str">
        <f>IF(X97&gt;0,"A"&amp;X97,IF(Z97&gt;0,"B"&amp;Z97,IF(AB97&gt;0,"C"&amp;AB97,"")))</f>
        <v/>
      </c>
    </row>
    <row r="98" spans="1:29" ht="15" customHeight="1">
      <c r="A98" s="81" t="s">
        <v>174</v>
      </c>
      <c r="B98" s="73"/>
      <c r="C98" s="73"/>
      <c r="D98" s="73"/>
      <c r="E98" s="73"/>
      <c r="F98" s="73"/>
      <c r="G98" s="73"/>
      <c r="H98" s="73"/>
      <c r="I98" s="73"/>
      <c r="J98" s="73"/>
      <c r="K98" s="73"/>
      <c r="L98" s="73"/>
      <c r="M98" s="73"/>
      <c r="N98" s="73"/>
      <c r="O98" s="73"/>
      <c r="P98" s="73"/>
      <c r="Q98" s="73"/>
      <c r="R98" s="73"/>
      <c r="S98" s="73"/>
      <c r="T98" s="73"/>
      <c r="U98" s="73"/>
      <c r="V98" s="73"/>
      <c r="W98" s="69"/>
      <c r="X98" s="69"/>
      <c r="Y98" s="69"/>
      <c r="Z98" s="69"/>
      <c r="AA98" s="69"/>
      <c r="AB98" s="69"/>
      <c r="AC98" s="69"/>
    </row>
    <row r="99" spans="1:29" ht="20.100000000000001" customHeight="1">
      <c r="A99" s="14" t="s">
        <v>175</v>
      </c>
      <c r="B99" s="15" t="s">
        <v>176</v>
      </c>
      <c r="C99" s="16" t="str">
        <f>IFERROR(INDEX(EJERCICIOS!$D$3:$D$75,MATCH(A99&amp;"|"&amp;B99,EJERCICIOS!$G$3:$G$75,0)),"--")</f>
        <v>mancuerna</v>
      </c>
      <c r="D99" s="17">
        <v>3</v>
      </c>
      <c r="E99" s="18">
        <f>IFERROR(LOOKUP(2,1/(MEDIDAS_Y_PESO!$B$3:$B$6&lt;&gt;""),MEDIDAS_Y_PESO!$B$3:$B$6),"--")</f>
        <v>80</v>
      </c>
      <c r="F99" s="19"/>
      <c r="G99" s="20"/>
      <c r="H99" s="21"/>
      <c r="I99" s="19"/>
      <c r="J99" s="20"/>
      <c r="K99" s="21"/>
      <c r="L99" s="19"/>
      <c r="M99" s="20"/>
      <c r="N99" s="21"/>
      <c r="O99" s="19"/>
      <c r="P99" s="20"/>
      <c r="Q99" s="21"/>
      <c r="R99" s="19"/>
      <c r="S99" s="20"/>
      <c r="T99" s="21"/>
      <c r="U99" s="22" t="str">
        <f>IFERROR(IF(IF(X99&gt;0,X99,IF(Z99&gt;0,Z99,IF(AB99&gt;0,AB99,0)))=0,"--",ROUND(CHOOSE(IF(X99&gt;0,X99,IF(Z99&gt;0,Z99,IF(AB99&gt;0,AB99,0))),IF(C99="peso_corporal",IF(ISNUMBER(E99),E99,0)+F99,F99)*(1+G99/30),IF(C99="peso_corporal",IF(ISNUMBER(E99),E99,0)+I99,I99)*(1+J99/30),IF(C99="peso_corporal",IF(ISNUMBER(E99),E99,0)+L99,L99)*(1+M99/30),IF(C99="peso_corporal",IF(ISNUMBER(E99),E99,0)+O99,O99)*(1+P99/30),IF(C99="peso_corporal",IF(ISNUMBER(E99),E99,0)+R99,R99)*(1+S99/30)),1)),"--")</f>
        <v>--</v>
      </c>
      <c r="V99" s="23" t="str">
        <f>IF(SUGERENCIAS!N252="SIN","Sin datos anteriores",IF(SUGERENCIAS!N252="SUBIR_F","^ SUBIR FUERTE | Kg:"&amp;ROUND(SUGERENCIAS!K252,1)&amp;" R:"&amp;ROUND(SUGERENCIAS!L252,0)&amp;" RIR:"&amp;ROUND(SUGERENCIAS!M252,0),IF(SUGERENCIAS!N252="SUBIR_E","^ SUBIR (Est.) | Kg:"&amp;ROUND(SUGERENCIAS!K252,1)&amp;" R:"&amp;ROUND(SUGERENCIAS!L252,0)&amp;" RIR:"&amp;ROUND(SUGERENCIAS!M252,0),IF(SUGERENCIAS!N252="SUBIR","^ SUBIR | Kg:"&amp;ROUND(SUGERENCIAS!K252,1)&amp;" R:"&amp;ROUND(SUGERENCIAS!L252,0)&amp;" RIR:"&amp;ROUND(SUGERENCIAS!M252,0),IF(SUGERENCIAS!N252="BAJAR","v BAJAR | Kg:"&amp;ROUND(SUGERENCIAS!K252,1)&amp;" R:"&amp;ROUND(SUGERENCIAS!L252,0)&amp;" RIR:"&amp;ROUND(SUGERENCIAS!M252,0),"= MANT | Kg:"&amp;ROUND(SUGERENCIAS!K252,1)&amp;" R:"&amp;ROUND(SUGERENCIAS!L252,0)&amp;" RIR:"&amp;ROUND(SUGERENCIAS!M252,0))))))</f>
        <v>Sin datos anteriores</v>
      </c>
      <c r="W99" s="69">
        <f>MAX(IF((G99&gt;0)*(IF(H99="",-1,H99)&gt;=1)*(IF(H99="",-1,H99)&lt;=3),IF(C99="peso_corporal",IF(ISNUMBER(E99),E99,0)+F99,F99)*G99*1000+F99,0),IF((J99&gt;0)*(IF(K99="",-1,K99)&gt;=1)*(IF(K99="",-1,K99)&lt;=3),IF(C99="peso_corporal",IF(ISNUMBER(E99),E99,0)+I99,I99)*J99*1000+I99,0),IF((M99&gt;0)*(IF(N99="",-1,N99)&gt;=1)*(IF(N99="",-1,N99)&lt;=3),IF(C99="peso_corporal",IF(ISNUMBER(E99),E99,0)+L99,L99)*M99*1000+L99,0),IF((P99&gt;0)*(IF(Q99="",-1,Q99)&gt;=1)*(IF(Q99="",-1,Q99)&lt;=3),IF(C99="peso_corporal",IF(ISNUMBER(E99),E99,0)+O99,O99)*P99*1000+O99,0),IF((S99&gt;0)*(IF(T99="",-1,T99)&gt;=1)*(IF(T99="",-1,T99)&lt;=3),IF(C99="peso_corporal",IF(ISNUMBER(E99),E99,0)+R99,R99)*S99*1000+R99,0))</f>
        <v>0</v>
      </c>
      <c r="X99" s="69">
        <f>IF(W99=0,0,IF(IF((S99&gt;0)*(IF(T99="",-1,T99)&gt;=1)*(IF(T99="",-1,T99)&lt;=3),IF(C99="peso_corporal",IF(ISNUMBER(E99),E99,0)+R99,R99)*S99*1000+R99,0)=W99,5,IF(IF((P99&gt;0)*(IF(Q99="",-1,Q99)&gt;=1)*(IF(Q99="",-1,Q99)&lt;=3),IF(C99="peso_corporal",IF(ISNUMBER(E99),E99,0)+O99,O99)*P99*1000+O99,0)=W99,4,IF(IF((M99&gt;0)*(IF(N99="",-1,N99)&gt;=1)*(IF(N99="",-1,N99)&lt;=3),IF(C99="peso_corporal",IF(ISNUMBER(E99),E99,0)+L99,L99)*M99*1000+L99,0)=W99,3,IF(IF((J99&gt;0)*(IF(K99="",-1,K99)&gt;=1)*(IF(K99="",-1,K99)&lt;=3),IF(C99="peso_corporal",IF(ISNUMBER(E99),E99,0)+I99,I99)*J99*1000+I99,0)=W99,2,IF(IF((G99&gt;0)*(IF(H99="",-1,H99)&gt;=1)*(IF(H99="",-1,H99)&lt;=3),IF(C99="peso_corporal",IF(ISNUMBER(E99),E99,0)+F99,F99)*G99*1000+F99,0)=W99,1,0))))))</f>
        <v>0</v>
      </c>
      <c r="Y99" s="69">
        <f>MAX(IF((G99&gt;0)*(IF(H99="",-1,H99)=0)*(1-(IF(H99="",-1,H99)&gt;=1)*(IF(H99="",-1,H99)&lt;=3)),IF(C99="peso_corporal",IF(ISNUMBER(E99),E99,0)+F99,F99)*G99*1000+F99,0),IF((J99&gt;0)*(IF(K99="",-1,K99)=0)*(1-(IF(K99="",-1,K99)&gt;=1)*(IF(K99="",-1,K99)&lt;=3)),IF(C99="peso_corporal",IF(ISNUMBER(E99),E99,0)+I99,I99)*J99*1000+I99,0),IF((M99&gt;0)*(IF(N99="",-1,N99)=0)*(1-(IF(N99="",-1,N99)&gt;=1)*(IF(N99="",-1,N99)&lt;=3)),IF(C99="peso_corporal",IF(ISNUMBER(E99),E99,0)+L99,L99)*M99*1000+L99,0),IF((P99&gt;0)*(IF(Q99="",-1,Q99)=0)*(1-(IF(Q99="",-1,Q99)&gt;=1)*(IF(Q99="",-1,Q99)&lt;=3)),IF(C99="peso_corporal",IF(ISNUMBER(E99),E99,0)+O99,O99)*P99*1000+O99,0),IF((S99&gt;0)*(IF(T99="",-1,T99)=0)*(1-(IF(T99="",-1,T99)&gt;=1)*(IF(T99="",-1,T99)&lt;=3)),IF(C99="peso_corporal",IF(ISNUMBER(E99),E99,0)+R99,R99)*S99*1000+R99,0))</f>
        <v>0</v>
      </c>
      <c r="Z99" s="69">
        <f>IF(Y99=0,0,IF(IF((S99&gt;0)*(IF(T99="",-1,T99)=0)*(1-(IF(T99="",-1,T99)&gt;=1)*(IF(T99="",-1,T99)&lt;=3)),IF(C99="peso_corporal",IF(ISNUMBER(E99),E99,0)+R99,R99)*S99*1000+R99,0)=Y99,5,IF(IF((P99&gt;0)*(IF(Q99="",-1,Q99)=0)*(1-(IF(Q99="",-1,Q99)&gt;=1)*(IF(Q99="",-1,Q99)&lt;=3)),IF(C99="peso_corporal",IF(ISNUMBER(E99),E99,0)+O99,O99)*P99*1000+O99,0)=Y99,4,IF(IF((M99&gt;0)*(IF(N99="",-1,N99)=0)*(1-(IF(N99="",-1,N99)&gt;=1)*(IF(N99="",-1,N99)&lt;=3)),IF(C99="peso_corporal",IF(ISNUMBER(E99),E99,0)+L99,L99)*M99*1000+L99,0)=Y99,3,IF(IF((J99&gt;0)*(IF(K99="",-1,K99)=0)*(1-(IF(K99="",-1,K99)&gt;=1)*(IF(K99="",-1,K99)&lt;=3)),IF(C99="peso_corporal",IF(ISNUMBER(E99),E99,0)+I99,I99)*J99*1000+I99,0)=Y99,2,IF(IF((G99&gt;0)*(IF(H99="",-1,H99)=0)*(1-(IF(H99="",-1,H99)&gt;=1)*(IF(H99="",-1,H99)&lt;=3)),IF(C99="peso_corporal",IF(ISNUMBER(E99),E99,0)+F99,F99)*G99*1000+F99,0)=Y99,1,0))))))</f>
        <v>0</v>
      </c>
      <c r="AA99" s="69">
        <f>MAX(IF((G99&gt;=6)*(1-(IF(H99="",-1,H99)&gt;=1)*(IF(H99="",-1,H99)&lt;=3))*(1-(IF(H99="",-1,H99)=0)),IF(C99="peso_corporal",IF(ISNUMBER(E99),E99,0)+F99,F99)*(30+G99)*100+F99,0),IF((J99&gt;=6)*(1-(IF(K99="",-1,K99)&gt;=1)*(IF(K99="",-1,K99)&lt;=3))*(1-(IF(K99="",-1,K99)=0)),IF(C99="peso_corporal",IF(ISNUMBER(E99),E99,0)+I99,I99)*(30+J99)*100+I99,0),IF((M99&gt;=6)*(1-(IF(N99="",-1,N99)&gt;=1)*(IF(N99="",-1,N99)&lt;=3))*(1-(IF(N99="",-1,N99)=0)),IF(C99="peso_corporal",IF(ISNUMBER(E99),E99,0)+L99,L99)*(30+M99)*100+L99,0),IF((P99&gt;=6)*(1-(IF(Q99="",-1,Q99)&gt;=1)*(IF(Q99="",-1,Q99)&lt;=3))*(1-(IF(Q99="",-1,Q99)=0)),IF(C99="peso_corporal",IF(ISNUMBER(E99),E99,0)+O99,O99)*(30+P99)*100+O99,0),IF((S99&gt;=6)*(1-(IF(T99="",-1,T99)&gt;=1)*(IF(T99="",-1,T99)&lt;=3))*(1-(IF(T99="",-1,T99)=0)),IF(C99="peso_corporal",IF(ISNUMBER(E99),E99,0)+R99,R99)*(30+S99)*100+R99,0))</f>
        <v>0</v>
      </c>
      <c r="AB99" s="69">
        <f>IF(AA99=0,0,IF(IF((S99&gt;=6)*(1-(IF(T99="",-1,T99)&gt;=1)*(IF(T99="",-1,T99)&lt;=3))*(1-(IF(T99="",-1,T99)=0)),IF(C99="peso_corporal",IF(ISNUMBER(E99),E99,0)+R99,R99)*(30+S99)*100+R99,0)=AA99,5,IF(IF((P99&gt;=6)*(1-(IF(Q99="",-1,Q99)&gt;=1)*(IF(Q99="",-1,Q99)&lt;=3))*(1-(IF(Q99="",-1,Q99)=0)),IF(C99="peso_corporal",IF(ISNUMBER(E99),E99,0)+O99,O99)*(30+P99)*100+O99,0)=AA99,4,IF(IF((M99&gt;=6)*(1-(IF(N99="",-1,N99)&gt;=1)*(IF(N99="",-1,N99)&lt;=3))*(1-(IF(N99="",-1,N99)=0)),IF(C99="peso_corporal",IF(ISNUMBER(E99),E99,0)+L99,L99)*(30+M99)*100+L99,0)=AA99,3,IF(IF((J99&gt;=6)*(1-(IF(K99="",-1,K99)&gt;=1)*(IF(K99="",-1,K99)&lt;=3))*(1-(IF(K99="",-1,K99)=0)),IF(C99="peso_corporal",IF(ISNUMBER(E99),E99,0)+I99,I99)*(30+J99)*100+I99,0)=AA99,2,IF(IF((G99&gt;=6)*(1-(IF(H99="",-1,H99)&gt;=1)*(IF(H99="",-1,H99)&lt;=3))*(1-(IF(H99="",-1,H99)=0)),IF(C99="peso_corporal",IF(ISNUMBER(E99),E99,0)+F99,F99)*(30+G99)*100+F99,0)=AA99,1,0))))))</f>
        <v>0</v>
      </c>
      <c r="AC99" s="69" t="str">
        <f>IF(X99&gt;0,"A"&amp;X99,IF(Z99&gt;0,"B"&amp;Z99,IF(AB99&gt;0,"C"&amp;AB99,"")))</f>
        <v/>
      </c>
    </row>
    <row r="100" spans="1:29" ht="20.100000000000001" customHeight="1">
      <c r="A100" s="14" t="s">
        <v>109</v>
      </c>
      <c r="B100" s="15" t="s">
        <v>110</v>
      </c>
      <c r="C100" s="16" t="str">
        <f>IFERROR(INDEX(EJERCICIOS!$D$3:$D$75,MATCH(A100&amp;"|"&amp;B100,EJERCICIOS!$G$3:$G$75,0)),"--")</f>
        <v>polea</v>
      </c>
      <c r="D100" s="17">
        <v>3</v>
      </c>
      <c r="E100" s="18">
        <f>IFERROR(LOOKUP(2,1/(MEDIDAS_Y_PESO!$B$3:$B$6&lt;&gt;""),MEDIDAS_Y_PESO!$B$3:$B$6),"--")</f>
        <v>80</v>
      </c>
      <c r="F100" s="19"/>
      <c r="G100" s="20"/>
      <c r="H100" s="21"/>
      <c r="I100" s="19"/>
      <c r="J100" s="20"/>
      <c r="K100" s="21"/>
      <c r="L100" s="19"/>
      <c r="M100" s="20"/>
      <c r="N100" s="21"/>
      <c r="O100" s="19"/>
      <c r="P100" s="20"/>
      <c r="Q100" s="21"/>
      <c r="R100" s="19"/>
      <c r="S100" s="20"/>
      <c r="T100" s="21"/>
      <c r="U100" s="22" t="str">
        <f>IFERROR(IF(IF(X100&gt;0,X100,IF(Z100&gt;0,Z100,IF(AB100&gt;0,AB100,0)))=0,"--",ROUND(CHOOSE(IF(X100&gt;0,X100,IF(Z100&gt;0,Z100,IF(AB100&gt;0,AB100,0))),IF(C100="peso_corporal",IF(ISNUMBER(E100),E100,0)+F100,F100)*(1+G100/30),IF(C100="peso_corporal",IF(ISNUMBER(E100),E100,0)+I100,I100)*(1+J100/30),IF(C100="peso_corporal",IF(ISNUMBER(E100),E100,0)+L100,L100)*(1+M100/30),IF(C100="peso_corporal",IF(ISNUMBER(E100),E100,0)+O100,O100)*(1+P100/30),IF(C100="peso_corporal",IF(ISNUMBER(E100),E100,0)+R100,R100)*(1+S100/30)),1)),"--")</f>
        <v>--</v>
      </c>
      <c r="V100" s="23" t="str">
        <f>IF(SUGERENCIAS!N253="SIN","Sin datos anteriores",IF(SUGERENCIAS!N253="SUBIR_F","^ SUBIR FUERTE | Kg:"&amp;ROUND(SUGERENCIAS!K253,1)&amp;" R:"&amp;ROUND(SUGERENCIAS!L253,0)&amp;" RIR:"&amp;ROUND(SUGERENCIAS!M253,0),IF(SUGERENCIAS!N253="SUBIR_E","^ SUBIR (Est.) | Kg:"&amp;ROUND(SUGERENCIAS!K253,1)&amp;" R:"&amp;ROUND(SUGERENCIAS!L253,0)&amp;" RIR:"&amp;ROUND(SUGERENCIAS!M253,0),IF(SUGERENCIAS!N253="SUBIR","^ SUBIR | Kg:"&amp;ROUND(SUGERENCIAS!K253,1)&amp;" R:"&amp;ROUND(SUGERENCIAS!L253,0)&amp;" RIR:"&amp;ROUND(SUGERENCIAS!M253,0),IF(SUGERENCIAS!N253="BAJAR","v BAJAR | Kg:"&amp;ROUND(SUGERENCIAS!K253,1)&amp;" R:"&amp;ROUND(SUGERENCIAS!L253,0)&amp;" RIR:"&amp;ROUND(SUGERENCIAS!M253,0),"= MANT | Kg:"&amp;ROUND(SUGERENCIAS!K253,1)&amp;" R:"&amp;ROUND(SUGERENCIAS!L253,0)&amp;" RIR:"&amp;ROUND(SUGERENCIAS!M253,0))))))</f>
        <v>Sin datos anteriores</v>
      </c>
      <c r="W100" s="69">
        <f>MAX(IF((G100&gt;0)*(IF(H100="",-1,H100)&gt;=1)*(IF(H100="",-1,H100)&lt;=3),IF(C100="peso_corporal",IF(ISNUMBER(E100),E100,0)+F100,F100)*G100*1000+F100,0),IF((J100&gt;0)*(IF(K100="",-1,K100)&gt;=1)*(IF(K100="",-1,K100)&lt;=3),IF(C100="peso_corporal",IF(ISNUMBER(E100),E100,0)+I100,I100)*J100*1000+I100,0),IF((M100&gt;0)*(IF(N100="",-1,N100)&gt;=1)*(IF(N100="",-1,N100)&lt;=3),IF(C100="peso_corporal",IF(ISNUMBER(E100),E100,0)+L100,L100)*M100*1000+L100,0),IF((P100&gt;0)*(IF(Q100="",-1,Q100)&gt;=1)*(IF(Q100="",-1,Q100)&lt;=3),IF(C100="peso_corporal",IF(ISNUMBER(E100),E100,0)+O100,O100)*P100*1000+O100,0),IF((S100&gt;0)*(IF(T100="",-1,T100)&gt;=1)*(IF(T100="",-1,T100)&lt;=3),IF(C100="peso_corporal",IF(ISNUMBER(E100),E100,0)+R100,R100)*S100*1000+R100,0))</f>
        <v>0</v>
      </c>
      <c r="X100" s="69">
        <f>IF(W100=0,0,IF(IF((S100&gt;0)*(IF(T100="",-1,T100)&gt;=1)*(IF(T100="",-1,T100)&lt;=3),IF(C100="peso_corporal",IF(ISNUMBER(E100),E100,0)+R100,R100)*S100*1000+R100,0)=W100,5,IF(IF((P100&gt;0)*(IF(Q100="",-1,Q100)&gt;=1)*(IF(Q100="",-1,Q100)&lt;=3),IF(C100="peso_corporal",IF(ISNUMBER(E100),E100,0)+O100,O100)*P100*1000+O100,0)=W100,4,IF(IF((M100&gt;0)*(IF(N100="",-1,N100)&gt;=1)*(IF(N100="",-1,N100)&lt;=3),IF(C100="peso_corporal",IF(ISNUMBER(E100),E100,0)+L100,L100)*M100*1000+L100,0)=W100,3,IF(IF((J100&gt;0)*(IF(K100="",-1,K100)&gt;=1)*(IF(K100="",-1,K100)&lt;=3),IF(C100="peso_corporal",IF(ISNUMBER(E100),E100,0)+I100,I100)*J100*1000+I100,0)=W100,2,IF(IF((G100&gt;0)*(IF(H100="",-1,H100)&gt;=1)*(IF(H100="",-1,H100)&lt;=3),IF(C100="peso_corporal",IF(ISNUMBER(E100),E100,0)+F100,F100)*G100*1000+F100,0)=W100,1,0))))))</f>
        <v>0</v>
      </c>
      <c r="Y100" s="69">
        <f>MAX(IF((G100&gt;0)*(IF(H100="",-1,H100)=0)*(1-(IF(H100="",-1,H100)&gt;=1)*(IF(H100="",-1,H100)&lt;=3)),IF(C100="peso_corporal",IF(ISNUMBER(E100),E100,0)+F100,F100)*G100*1000+F100,0),IF((J100&gt;0)*(IF(K100="",-1,K100)=0)*(1-(IF(K100="",-1,K100)&gt;=1)*(IF(K100="",-1,K100)&lt;=3)),IF(C100="peso_corporal",IF(ISNUMBER(E100),E100,0)+I100,I100)*J100*1000+I100,0),IF((M100&gt;0)*(IF(N100="",-1,N100)=0)*(1-(IF(N100="",-1,N100)&gt;=1)*(IF(N100="",-1,N100)&lt;=3)),IF(C100="peso_corporal",IF(ISNUMBER(E100),E100,0)+L100,L100)*M100*1000+L100,0),IF((P100&gt;0)*(IF(Q100="",-1,Q100)=0)*(1-(IF(Q100="",-1,Q100)&gt;=1)*(IF(Q100="",-1,Q100)&lt;=3)),IF(C100="peso_corporal",IF(ISNUMBER(E100),E100,0)+O100,O100)*P100*1000+O100,0),IF((S100&gt;0)*(IF(T100="",-1,T100)=0)*(1-(IF(T100="",-1,T100)&gt;=1)*(IF(T100="",-1,T100)&lt;=3)),IF(C100="peso_corporal",IF(ISNUMBER(E100),E100,0)+R100,R100)*S100*1000+R100,0))</f>
        <v>0</v>
      </c>
      <c r="Z100" s="69">
        <f>IF(Y100=0,0,IF(IF((S100&gt;0)*(IF(T100="",-1,T100)=0)*(1-(IF(T100="",-1,T100)&gt;=1)*(IF(T100="",-1,T100)&lt;=3)),IF(C100="peso_corporal",IF(ISNUMBER(E100),E100,0)+R100,R100)*S100*1000+R100,0)=Y100,5,IF(IF((P100&gt;0)*(IF(Q100="",-1,Q100)=0)*(1-(IF(Q100="",-1,Q100)&gt;=1)*(IF(Q100="",-1,Q100)&lt;=3)),IF(C100="peso_corporal",IF(ISNUMBER(E100),E100,0)+O100,O100)*P100*1000+O100,0)=Y100,4,IF(IF((M100&gt;0)*(IF(N100="",-1,N100)=0)*(1-(IF(N100="",-1,N100)&gt;=1)*(IF(N100="",-1,N100)&lt;=3)),IF(C100="peso_corporal",IF(ISNUMBER(E100),E100,0)+L100,L100)*M100*1000+L100,0)=Y100,3,IF(IF((J100&gt;0)*(IF(K100="",-1,K100)=0)*(1-(IF(K100="",-1,K100)&gt;=1)*(IF(K100="",-1,K100)&lt;=3)),IF(C100="peso_corporal",IF(ISNUMBER(E100),E100,0)+I100,I100)*J100*1000+I100,0)=Y100,2,IF(IF((G100&gt;0)*(IF(H100="",-1,H100)=0)*(1-(IF(H100="",-1,H100)&gt;=1)*(IF(H100="",-1,H100)&lt;=3)),IF(C100="peso_corporal",IF(ISNUMBER(E100),E100,0)+F100,F100)*G100*1000+F100,0)=Y100,1,0))))))</f>
        <v>0</v>
      </c>
      <c r="AA100" s="69">
        <f>MAX(IF((G100&gt;=6)*(1-(IF(H100="",-1,H100)&gt;=1)*(IF(H100="",-1,H100)&lt;=3))*(1-(IF(H100="",-1,H100)=0)),IF(C100="peso_corporal",IF(ISNUMBER(E100),E100,0)+F100,F100)*(30+G100)*100+F100,0),IF((J100&gt;=6)*(1-(IF(K100="",-1,K100)&gt;=1)*(IF(K100="",-1,K100)&lt;=3))*(1-(IF(K100="",-1,K100)=0)),IF(C100="peso_corporal",IF(ISNUMBER(E100),E100,0)+I100,I100)*(30+J100)*100+I100,0),IF((M100&gt;=6)*(1-(IF(N100="",-1,N100)&gt;=1)*(IF(N100="",-1,N100)&lt;=3))*(1-(IF(N100="",-1,N100)=0)),IF(C100="peso_corporal",IF(ISNUMBER(E100),E100,0)+L100,L100)*(30+M100)*100+L100,0),IF((P100&gt;=6)*(1-(IF(Q100="",-1,Q100)&gt;=1)*(IF(Q100="",-1,Q100)&lt;=3))*(1-(IF(Q100="",-1,Q100)=0)),IF(C100="peso_corporal",IF(ISNUMBER(E100),E100,0)+O100,O100)*(30+P100)*100+O100,0),IF((S100&gt;=6)*(1-(IF(T100="",-1,T100)&gt;=1)*(IF(T100="",-1,T100)&lt;=3))*(1-(IF(T100="",-1,T100)=0)),IF(C100="peso_corporal",IF(ISNUMBER(E100),E100,0)+R100,R100)*(30+S100)*100+R100,0))</f>
        <v>0</v>
      </c>
      <c r="AB100" s="69">
        <f>IF(AA100=0,0,IF(IF((S100&gt;=6)*(1-(IF(T100="",-1,T100)&gt;=1)*(IF(T100="",-1,T100)&lt;=3))*(1-(IF(T100="",-1,T100)=0)),IF(C100="peso_corporal",IF(ISNUMBER(E100),E100,0)+R100,R100)*(30+S100)*100+R100,0)=AA100,5,IF(IF((P100&gt;=6)*(1-(IF(Q100="",-1,Q100)&gt;=1)*(IF(Q100="",-1,Q100)&lt;=3))*(1-(IF(Q100="",-1,Q100)=0)),IF(C100="peso_corporal",IF(ISNUMBER(E100),E100,0)+O100,O100)*(30+P100)*100+O100,0)=AA100,4,IF(IF((M100&gt;=6)*(1-(IF(N100="",-1,N100)&gt;=1)*(IF(N100="",-1,N100)&lt;=3))*(1-(IF(N100="",-1,N100)=0)),IF(C100="peso_corporal",IF(ISNUMBER(E100),E100,0)+L100,L100)*(30+M100)*100+L100,0)=AA100,3,IF(IF((J100&gt;=6)*(1-(IF(K100="",-1,K100)&gt;=1)*(IF(K100="",-1,K100)&lt;=3))*(1-(IF(K100="",-1,K100)=0)),IF(C100="peso_corporal",IF(ISNUMBER(E100),E100,0)+I100,I100)*(30+J100)*100+I100,0)=AA100,2,IF(IF((G100&gt;=6)*(1-(IF(H100="",-1,H100)&gt;=1)*(IF(H100="",-1,H100)&lt;=3))*(1-(IF(H100="",-1,H100)=0)),IF(C100="peso_corporal",IF(ISNUMBER(E100),E100,0)+F100,F100)*(30+G100)*100+F100,0)=AA100,1,0))))))</f>
        <v>0</v>
      </c>
      <c r="AC100" s="69" t="str">
        <f>IF(X100&gt;0,"A"&amp;X100,IF(Z100&gt;0,"B"&amp;Z100,IF(AB100&gt;0,"C"&amp;AB100,"")))</f>
        <v/>
      </c>
    </row>
    <row r="101" spans="1:29" ht="15" customHeight="1">
      <c r="A101" s="90" t="s">
        <v>142</v>
      </c>
      <c r="B101" s="73"/>
      <c r="C101" s="73"/>
      <c r="D101" s="73"/>
      <c r="E101" s="73"/>
      <c r="F101" s="73"/>
      <c r="G101" s="73"/>
      <c r="H101" s="73"/>
      <c r="I101" s="73"/>
      <c r="J101" s="73"/>
      <c r="K101" s="73"/>
      <c r="L101" s="73"/>
      <c r="M101" s="73"/>
      <c r="N101" s="73"/>
      <c r="O101" s="73"/>
      <c r="P101" s="73"/>
      <c r="Q101" s="73"/>
      <c r="R101" s="73"/>
      <c r="S101" s="73"/>
      <c r="T101" s="73"/>
      <c r="U101" s="73"/>
      <c r="V101" s="73"/>
      <c r="W101" s="69"/>
      <c r="X101" s="69"/>
      <c r="Y101" s="69"/>
      <c r="Z101" s="69"/>
      <c r="AA101" s="69"/>
      <c r="AB101" s="69"/>
      <c r="AC101" s="69"/>
    </row>
    <row r="102" spans="1:29" ht="20.100000000000001" customHeight="1">
      <c r="A102" s="14" t="s">
        <v>24</v>
      </c>
      <c r="B102" s="15" t="s">
        <v>143</v>
      </c>
      <c r="C102" s="16" t="str">
        <f>IFERROR(INDEX(EJERCICIOS!$D$3:$D$75,MATCH(A102&amp;"|"&amp;B102,EJERCICIOS!$G$3:$G$75,0)),"--")</f>
        <v>peso_corporal</v>
      </c>
      <c r="D102" s="17">
        <v>3</v>
      </c>
      <c r="E102" s="18">
        <f>IFERROR(LOOKUP(2,1/(MEDIDAS_Y_PESO!$B$3:$B$6&lt;&gt;""),MEDIDAS_Y_PESO!$B$3:$B$6),"--")</f>
        <v>80</v>
      </c>
      <c r="F102" s="19"/>
      <c r="G102" s="20"/>
      <c r="H102" s="21"/>
      <c r="I102" s="19"/>
      <c r="J102" s="20"/>
      <c r="K102" s="21"/>
      <c r="L102" s="19"/>
      <c r="M102" s="20"/>
      <c r="N102" s="21"/>
      <c r="O102" s="19"/>
      <c r="P102" s="20"/>
      <c r="Q102" s="21"/>
      <c r="R102" s="19"/>
      <c r="S102" s="20"/>
      <c r="T102" s="21"/>
      <c r="U102" s="22" t="str">
        <f>IFERROR(IF(IF(X102&gt;0,X102,IF(Z102&gt;0,Z102,IF(AB102&gt;0,AB102,0)))=0,"--",ROUND(CHOOSE(IF(X102&gt;0,X102,IF(Z102&gt;0,Z102,IF(AB102&gt;0,AB102,0))),IF(C102="peso_corporal",IF(ISNUMBER(E102),E102,0)+F102,F102)*(1+G102/30),IF(C102="peso_corporal",IF(ISNUMBER(E102),E102,0)+I102,I102)*(1+J102/30),IF(C102="peso_corporal",IF(ISNUMBER(E102),E102,0)+L102,L102)*(1+M102/30),IF(C102="peso_corporal",IF(ISNUMBER(E102),E102,0)+O102,O102)*(1+P102/30),IF(C102="peso_corporal",IF(ISNUMBER(E102),E102,0)+R102,R102)*(1+S102/30)),1)),"--")</f>
        <v>--</v>
      </c>
      <c r="V102" s="23" t="str">
        <f>IF(SUGERENCIAS!N254="SIN","Sin datos anteriores",IF(SUGERENCIAS!N254="SUBIR_F","^ SUBIR FUERTE | Kg:"&amp;ROUND(SUGERENCIAS!K254,1)&amp;" R:"&amp;ROUND(SUGERENCIAS!L254,0)&amp;" RIR:"&amp;ROUND(SUGERENCIAS!M254,0),IF(SUGERENCIAS!N254="SUBIR_E","^ SUBIR (Est.) | Kg:"&amp;ROUND(SUGERENCIAS!K254,1)&amp;" R:"&amp;ROUND(SUGERENCIAS!L254,0)&amp;" RIR:"&amp;ROUND(SUGERENCIAS!M254,0),IF(SUGERENCIAS!N254="SUBIR","^ SUBIR | Kg:"&amp;ROUND(SUGERENCIAS!K254,1)&amp;" R:"&amp;ROUND(SUGERENCIAS!L254,0)&amp;" RIR:"&amp;ROUND(SUGERENCIAS!M254,0),IF(SUGERENCIAS!N254="BAJAR","v BAJAR | Kg:"&amp;ROUND(SUGERENCIAS!K254,1)&amp;" R:"&amp;ROUND(SUGERENCIAS!L254,0)&amp;" RIR:"&amp;ROUND(SUGERENCIAS!M254,0),"= MANT | Kg:"&amp;ROUND(SUGERENCIAS!K254,1)&amp;" R:"&amp;ROUND(SUGERENCIAS!L254,0)&amp;" RIR:"&amp;ROUND(SUGERENCIAS!M254,0))))))</f>
        <v>Sin datos anteriores</v>
      </c>
      <c r="W102" s="69">
        <f>MAX(IF((G102&gt;0)*(IF(H102="",-1,H102)&gt;=1)*(IF(H102="",-1,H102)&lt;=3),IF(C102="peso_corporal",IF(ISNUMBER(E102),E102,0)+F102,F102)*G102*1000+F102,0),IF((J102&gt;0)*(IF(K102="",-1,K102)&gt;=1)*(IF(K102="",-1,K102)&lt;=3),IF(C102="peso_corporal",IF(ISNUMBER(E102),E102,0)+I102,I102)*J102*1000+I102,0),IF((M102&gt;0)*(IF(N102="",-1,N102)&gt;=1)*(IF(N102="",-1,N102)&lt;=3),IF(C102="peso_corporal",IF(ISNUMBER(E102),E102,0)+L102,L102)*M102*1000+L102,0),IF((P102&gt;0)*(IF(Q102="",-1,Q102)&gt;=1)*(IF(Q102="",-1,Q102)&lt;=3),IF(C102="peso_corporal",IF(ISNUMBER(E102),E102,0)+O102,O102)*P102*1000+O102,0),IF((S102&gt;0)*(IF(T102="",-1,T102)&gt;=1)*(IF(T102="",-1,T102)&lt;=3),IF(C102="peso_corporal",IF(ISNUMBER(E102),E102,0)+R102,R102)*S102*1000+R102,0))</f>
        <v>0</v>
      </c>
      <c r="X102" s="69">
        <f>IF(W102=0,0,IF(IF((S102&gt;0)*(IF(T102="",-1,T102)&gt;=1)*(IF(T102="",-1,T102)&lt;=3),IF(C102="peso_corporal",IF(ISNUMBER(E102),E102,0)+R102,R102)*S102*1000+R102,0)=W102,5,IF(IF((P102&gt;0)*(IF(Q102="",-1,Q102)&gt;=1)*(IF(Q102="",-1,Q102)&lt;=3),IF(C102="peso_corporal",IF(ISNUMBER(E102),E102,0)+O102,O102)*P102*1000+O102,0)=W102,4,IF(IF((M102&gt;0)*(IF(N102="",-1,N102)&gt;=1)*(IF(N102="",-1,N102)&lt;=3),IF(C102="peso_corporal",IF(ISNUMBER(E102),E102,0)+L102,L102)*M102*1000+L102,0)=W102,3,IF(IF((J102&gt;0)*(IF(K102="",-1,K102)&gt;=1)*(IF(K102="",-1,K102)&lt;=3),IF(C102="peso_corporal",IF(ISNUMBER(E102),E102,0)+I102,I102)*J102*1000+I102,0)=W102,2,IF(IF((G102&gt;0)*(IF(H102="",-1,H102)&gt;=1)*(IF(H102="",-1,H102)&lt;=3),IF(C102="peso_corporal",IF(ISNUMBER(E102),E102,0)+F102,F102)*G102*1000+F102,0)=W102,1,0))))))</f>
        <v>0</v>
      </c>
      <c r="Y102" s="69">
        <f>MAX(IF((G102&gt;0)*(IF(H102="",-1,H102)=0)*(1-(IF(H102="",-1,H102)&gt;=1)*(IF(H102="",-1,H102)&lt;=3)),IF(C102="peso_corporal",IF(ISNUMBER(E102),E102,0)+F102,F102)*G102*1000+F102,0),IF((J102&gt;0)*(IF(K102="",-1,K102)=0)*(1-(IF(K102="",-1,K102)&gt;=1)*(IF(K102="",-1,K102)&lt;=3)),IF(C102="peso_corporal",IF(ISNUMBER(E102),E102,0)+I102,I102)*J102*1000+I102,0),IF((M102&gt;0)*(IF(N102="",-1,N102)=0)*(1-(IF(N102="",-1,N102)&gt;=1)*(IF(N102="",-1,N102)&lt;=3)),IF(C102="peso_corporal",IF(ISNUMBER(E102),E102,0)+L102,L102)*M102*1000+L102,0),IF((P102&gt;0)*(IF(Q102="",-1,Q102)=0)*(1-(IF(Q102="",-1,Q102)&gt;=1)*(IF(Q102="",-1,Q102)&lt;=3)),IF(C102="peso_corporal",IF(ISNUMBER(E102),E102,0)+O102,O102)*P102*1000+O102,0),IF((S102&gt;0)*(IF(T102="",-1,T102)=0)*(1-(IF(T102="",-1,T102)&gt;=1)*(IF(T102="",-1,T102)&lt;=3)),IF(C102="peso_corporal",IF(ISNUMBER(E102),E102,0)+R102,R102)*S102*1000+R102,0))</f>
        <v>0</v>
      </c>
      <c r="Z102" s="69">
        <f>IF(Y102=0,0,IF(IF((S102&gt;0)*(IF(T102="",-1,T102)=0)*(1-(IF(T102="",-1,T102)&gt;=1)*(IF(T102="",-1,T102)&lt;=3)),IF(C102="peso_corporal",IF(ISNUMBER(E102),E102,0)+R102,R102)*S102*1000+R102,0)=Y102,5,IF(IF((P102&gt;0)*(IF(Q102="",-1,Q102)=0)*(1-(IF(Q102="",-1,Q102)&gt;=1)*(IF(Q102="",-1,Q102)&lt;=3)),IF(C102="peso_corporal",IF(ISNUMBER(E102),E102,0)+O102,O102)*P102*1000+O102,0)=Y102,4,IF(IF((M102&gt;0)*(IF(N102="",-1,N102)=0)*(1-(IF(N102="",-1,N102)&gt;=1)*(IF(N102="",-1,N102)&lt;=3)),IF(C102="peso_corporal",IF(ISNUMBER(E102),E102,0)+L102,L102)*M102*1000+L102,0)=Y102,3,IF(IF((J102&gt;0)*(IF(K102="",-1,K102)=0)*(1-(IF(K102="",-1,K102)&gt;=1)*(IF(K102="",-1,K102)&lt;=3)),IF(C102="peso_corporal",IF(ISNUMBER(E102),E102,0)+I102,I102)*J102*1000+I102,0)=Y102,2,IF(IF((G102&gt;0)*(IF(H102="",-1,H102)=0)*(1-(IF(H102="",-1,H102)&gt;=1)*(IF(H102="",-1,H102)&lt;=3)),IF(C102="peso_corporal",IF(ISNUMBER(E102),E102,0)+F102,F102)*G102*1000+F102,0)=Y102,1,0))))))</f>
        <v>0</v>
      </c>
      <c r="AA102" s="69">
        <f>MAX(IF((G102&gt;=6)*(1-(IF(H102="",-1,H102)&gt;=1)*(IF(H102="",-1,H102)&lt;=3))*(1-(IF(H102="",-1,H102)=0)),IF(C102="peso_corporal",IF(ISNUMBER(E102),E102,0)+F102,F102)*(30+G102)*100+F102,0),IF((J102&gt;=6)*(1-(IF(K102="",-1,K102)&gt;=1)*(IF(K102="",-1,K102)&lt;=3))*(1-(IF(K102="",-1,K102)=0)),IF(C102="peso_corporal",IF(ISNUMBER(E102),E102,0)+I102,I102)*(30+J102)*100+I102,0),IF((M102&gt;=6)*(1-(IF(N102="",-1,N102)&gt;=1)*(IF(N102="",-1,N102)&lt;=3))*(1-(IF(N102="",-1,N102)=0)),IF(C102="peso_corporal",IF(ISNUMBER(E102),E102,0)+L102,L102)*(30+M102)*100+L102,0),IF((P102&gt;=6)*(1-(IF(Q102="",-1,Q102)&gt;=1)*(IF(Q102="",-1,Q102)&lt;=3))*(1-(IF(Q102="",-1,Q102)=0)),IF(C102="peso_corporal",IF(ISNUMBER(E102),E102,0)+O102,O102)*(30+P102)*100+O102,0),IF((S102&gt;=6)*(1-(IF(T102="",-1,T102)&gt;=1)*(IF(T102="",-1,T102)&lt;=3))*(1-(IF(T102="",-1,T102)=0)),IF(C102="peso_corporal",IF(ISNUMBER(E102),E102,0)+R102,R102)*(30+S102)*100+R102,0))</f>
        <v>0</v>
      </c>
      <c r="AB102" s="69">
        <f>IF(AA102=0,0,IF(IF((S102&gt;=6)*(1-(IF(T102="",-1,T102)&gt;=1)*(IF(T102="",-1,T102)&lt;=3))*(1-(IF(T102="",-1,T102)=0)),IF(C102="peso_corporal",IF(ISNUMBER(E102),E102,0)+R102,R102)*(30+S102)*100+R102,0)=AA102,5,IF(IF((P102&gt;=6)*(1-(IF(Q102="",-1,Q102)&gt;=1)*(IF(Q102="",-1,Q102)&lt;=3))*(1-(IF(Q102="",-1,Q102)=0)),IF(C102="peso_corporal",IF(ISNUMBER(E102),E102,0)+O102,O102)*(30+P102)*100+O102,0)=AA102,4,IF(IF((M102&gt;=6)*(1-(IF(N102="",-1,N102)&gt;=1)*(IF(N102="",-1,N102)&lt;=3))*(1-(IF(N102="",-1,N102)=0)),IF(C102="peso_corporal",IF(ISNUMBER(E102),E102,0)+L102,L102)*(30+M102)*100+L102,0)=AA102,3,IF(IF((J102&gt;=6)*(1-(IF(K102="",-1,K102)&gt;=1)*(IF(K102="",-1,K102)&lt;=3))*(1-(IF(K102="",-1,K102)=0)),IF(C102="peso_corporal",IF(ISNUMBER(E102),E102,0)+I102,I102)*(30+J102)*100+I102,0)=AA102,2,IF(IF((G102&gt;=6)*(1-(IF(H102="",-1,H102)&gt;=1)*(IF(H102="",-1,H102)&lt;=3))*(1-(IF(H102="",-1,H102)=0)),IF(C102="peso_corporal",IF(ISNUMBER(E102),E102,0)+F102,F102)*(30+G102)*100+F102,0)=AA102,1,0))))))</f>
        <v>0</v>
      </c>
      <c r="AC102" s="69" t="str">
        <f>IF(X102&gt;0,"A"&amp;X102,IF(Z102&gt;0,"B"&amp;Z102,IF(AB102&gt;0,"C"&amp;AB102,"")))</f>
        <v/>
      </c>
    </row>
    <row r="103" spans="1:29" ht="15" customHeight="1">
      <c r="A103" s="72" t="s">
        <v>56</v>
      </c>
      <c r="B103" s="73"/>
      <c r="C103" s="73"/>
      <c r="D103" s="73"/>
      <c r="E103" s="73"/>
      <c r="F103" s="73"/>
      <c r="G103" s="73"/>
      <c r="H103" s="73"/>
      <c r="I103" s="73"/>
      <c r="J103" s="73"/>
      <c r="K103" s="73"/>
      <c r="L103" s="73"/>
      <c r="M103" s="73"/>
      <c r="N103" s="73"/>
      <c r="O103" s="73"/>
      <c r="P103" s="73"/>
      <c r="Q103" s="73"/>
      <c r="R103" s="73"/>
      <c r="S103" s="73"/>
      <c r="T103" s="73"/>
      <c r="U103" s="73"/>
      <c r="V103" s="73"/>
      <c r="W103" s="69"/>
      <c r="X103" s="69"/>
      <c r="Y103" s="69"/>
      <c r="Z103" s="69"/>
      <c r="AA103" s="69"/>
      <c r="AB103" s="69"/>
      <c r="AC103" s="69"/>
    </row>
    <row r="104" spans="1:29" ht="20.100000000000001" customHeight="1">
      <c r="A104" s="14" t="s">
        <v>57</v>
      </c>
      <c r="B104" s="15" t="s">
        <v>58</v>
      </c>
      <c r="C104" s="16" t="str">
        <f>IFERROR(INDEX(EJERCICIOS!$D$3:$D$75,MATCH(A104&amp;"|"&amp;B104,EJERCICIOS!$G$3:$G$75,0)),"--")</f>
        <v>polea</v>
      </c>
      <c r="D104" s="17">
        <v>3</v>
      </c>
      <c r="E104" s="18">
        <f>IFERROR(LOOKUP(2,1/(MEDIDAS_Y_PESO!$B$3:$B$6&lt;&gt;""),MEDIDAS_Y_PESO!$B$3:$B$6),"--")</f>
        <v>80</v>
      </c>
      <c r="F104" s="19"/>
      <c r="G104" s="20"/>
      <c r="H104" s="21"/>
      <c r="I104" s="19"/>
      <c r="J104" s="20"/>
      <c r="K104" s="21"/>
      <c r="L104" s="19"/>
      <c r="M104" s="20"/>
      <c r="N104" s="21"/>
      <c r="O104" s="19"/>
      <c r="P104" s="20"/>
      <c r="Q104" s="21"/>
      <c r="R104" s="19"/>
      <c r="S104" s="20"/>
      <c r="T104" s="21"/>
      <c r="U104" s="22" t="str">
        <f>IFERROR(IF(IF(X104&gt;0,X104,IF(Z104&gt;0,Z104,IF(AB104&gt;0,AB104,0)))=0,"--",ROUND(CHOOSE(IF(X104&gt;0,X104,IF(Z104&gt;0,Z104,IF(AB104&gt;0,AB104,0))),IF(C104="peso_corporal",IF(ISNUMBER(E104),E104,0)+F104,F104)*(1+G104/30),IF(C104="peso_corporal",IF(ISNUMBER(E104),E104,0)+I104,I104)*(1+J104/30),IF(C104="peso_corporal",IF(ISNUMBER(E104),E104,0)+L104,L104)*(1+M104/30),IF(C104="peso_corporal",IF(ISNUMBER(E104),E104,0)+O104,O104)*(1+P104/30),IF(C104="peso_corporal",IF(ISNUMBER(E104),E104,0)+R104,R104)*(1+S104/30)),1)),"--")</f>
        <v>--</v>
      </c>
      <c r="V104" s="23" t="str">
        <f>IF(SUGERENCIAS!N255="SIN","Sin datos anteriores",IF(SUGERENCIAS!N255="SUBIR_F","^ SUBIR FUERTE | Kg:"&amp;ROUND(SUGERENCIAS!K255,1)&amp;" R:"&amp;ROUND(SUGERENCIAS!L255,0)&amp;" RIR:"&amp;ROUND(SUGERENCIAS!M255,0),IF(SUGERENCIAS!N255="SUBIR_E","^ SUBIR (Est.) | Kg:"&amp;ROUND(SUGERENCIAS!K255,1)&amp;" R:"&amp;ROUND(SUGERENCIAS!L255,0)&amp;" RIR:"&amp;ROUND(SUGERENCIAS!M255,0),IF(SUGERENCIAS!N255="SUBIR","^ SUBIR | Kg:"&amp;ROUND(SUGERENCIAS!K255,1)&amp;" R:"&amp;ROUND(SUGERENCIAS!L255,0)&amp;" RIR:"&amp;ROUND(SUGERENCIAS!M255,0),IF(SUGERENCIAS!N255="BAJAR","v BAJAR | Kg:"&amp;ROUND(SUGERENCIAS!K255,1)&amp;" R:"&amp;ROUND(SUGERENCIAS!L255,0)&amp;" RIR:"&amp;ROUND(SUGERENCIAS!M255,0),"= MANT | Kg:"&amp;ROUND(SUGERENCIAS!K255,1)&amp;" R:"&amp;ROUND(SUGERENCIAS!L255,0)&amp;" RIR:"&amp;ROUND(SUGERENCIAS!M255,0))))))</f>
        <v>Sin datos anteriores</v>
      </c>
      <c r="W104" s="69">
        <f>MAX(IF((G104&gt;0)*(IF(H104="",-1,H104)&gt;=1)*(IF(H104="",-1,H104)&lt;=3),IF(C104="peso_corporal",IF(ISNUMBER(E104),E104,0)+F104,F104)*G104*1000+F104,0),IF((J104&gt;0)*(IF(K104="",-1,K104)&gt;=1)*(IF(K104="",-1,K104)&lt;=3),IF(C104="peso_corporal",IF(ISNUMBER(E104),E104,0)+I104,I104)*J104*1000+I104,0),IF((M104&gt;0)*(IF(N104="",-1,N104)&gt;=1)*(IF(N104="",-1,N104)&lt;=3),IF(C104="peso_corporal",IF(ISNUMBER(E104),E104,0)+L104,L104)*M104*1000+L104,0),IF((P104&gt;0)*(IF(Q104="",-1,Q104)&gt;=1)*(IF(Q104="",-1,Q104)&lt;=3),IF(C104="peso_corporal",IF(ISNUMBER(E104),E104,0)+O104,O104)*P104*1000+O104,0),IF((S104&gt;0)*(IF(T104="",-1,T104)&gt;=1)*(IF(T104="",-1,T104)&lt;=3),IF(C104="peso_corporal",IF(ISNUMBER(E104),E104,0)+R104,R104)*S104*1000+R104,0))</f>
        <v>0</v>
      </c>
      <c r="X104" s="69">
        <f>IF(W104=0,0,IF(IF((S104&gt;0)*(IF(T104="",-1,T104)&gt;=1)*(IF(T104="",-1,T104)&lt;=3),IF(C104="peso_corporal",IF(ISNUMBER(E104),E104,0)+R104,R104)*S104*1000+R104,0)=W104,5,IF(IF((P104&gt;0)*(IF(Q104="",-1,Q104)&gt;=1)*(IF(Q104="",-1,Q104)&lt;=3),IF(C104="peso_corporal",IF(ISNUMBER(E104),E104,0)+O104,O104)*P104*1000+O104,0)=W104,4,IF(IF((M104&gt;0)*(IF(N104="",-1,N104)&gt;=1)*(IF(N104="",-1,N104)&lt;=3),IF(C104="peso_corporal",IF(ISNUMBER(E104),E104,0)+L104,L104)*M104*1000+L104,0)=W104,3,IF(IF((J104&gt;0)*(IF(K104="",-1,K104)&gt;=1)*(IF(K104="",-1,K104)&lt;=3),IF(C104="peso_corporal",IF(ISNUMBER(E104),E104,0)+I104,I104)*J104*1000+I104,0)=W104,2,IF(IF((G104&gt;0)*(IF(H104="",-1,H104)&gt;=1)*(IF(H104="",-1,H104)&lt;=3),IF(C104="peso_corporal",IF(ISNUMBER(E104),E104,0)+F104,F104)*G104*1000+F104,0)=W104,1,0))))))</f>
        <v>0</v>
      </c>
      <c r="Y104" s="69">
        <f>MAX(IF((G104&gt;0)*(IF(H104="",-1,H104)=0)*(1-(IF(H104="",-1,H104)&gt;=1)*(IF(H104="",-1,H104)&lt;=3)),IF(C104="peso_corporal",IF(ISNUMBER(E104),E104,0)+F104,F104)*G104*1000+F104,0),IF((J104&gt;0)*(IF(K104="",-1,K104)=0)*(1-(IF(K104="",-1,K104)&gt;=1)*(IF(K104="",-1,K104)&lt;=3)),IF(C104="peso_corporal",IF(ISNUMBER(E104),E104,0)+I104,I104)*J104*1000+I104,0),IF((M104&gt;0)*(IF(N104="",-1,N104)=0)*(1-(IF(N104="",-1,N104)&gt;=1)*(IF(N104="",-1,N104)&lt;=3)),IF(C104="peso_corporal",IF(ISNUMBER(E104),E104,0)+L104,L104)*M104*1000+L104,0),IF((P104&gt;0)*(IF(Q104="",-1,Q104)=0)*(1-(IF(Q104="",-1,Q104)&gt;=1)*(IF(Q104="",-1,Q104)&lt;=3)),IF(C104="peso_corporal",IF(ISNUMBER(E104),E104,0)+O104,O104)*P104*1000+O104,0),IF((S104&gt;0)*(IF(T104="",-1,T104)=0)*(1-(IF(T104="",-1,T104)&gt;=1)*(IF(T104="",-1,T104)&lt;=3)),IF(C104="peso_corporal",IF(ISNUMBER(E104),E104,0)+R104,R104)*S104*1000+R104,0))</f>
        <v>0</v>
      </c>
      <c r="Z104" s="69">
        <f>IF(Y104=0,0,IF(IF((S104&gt;0)*(IF(T104="",-1,T104)=0)*(1-(IF(T104="",-1,T104)&gt;=1)*(IF(T104="",-1,T104)&lt;=3)),IF(C104="peso_corporal",IF(ISNUMBER(E104),E104,0)+R104,R104)*S104*1000+R104,0)=Y104,5,IF(IF((P104&gt;0)*(IF(Q104="",-1,Q104)=0)*(1-(IF(Q104="",-1,Q104)&gt;=1)*(IF(Q104="",-1,Q104)&lt;=3)),IF(C104="peso_corporal",IF(ISNUMBER(E104),E104,0)+O104,O104)*P104*1000+O104,0)=Y104,4,IF(IF((M104&gt;0)*(IF(N104="",-1,N104)=0)*(1-(IF(N104="",-1,N104)&gt;=1)*(IF(N104="",-1,N104)&lt;=3)),IF(C104="peso_corporal",IF(ISNUMBER(E104),E104,0)+L104,L104)*M104*1000+L104,0)=Y104,3,IF(IF((J104&gt;0)*(IF(K104="",-1,K104)=0)*(1-(IF(K104="",-1,K104)&gt;=1)*(IF(K104="",-1,K104)&lt;=3)),IF(C104="peso_corporal",IF(ISNUMBER(E104),E104,0)+I104,I104)*J104*1000+I104,0)=Y104,2,IF(IF((G104&gt;0)*(IF(H104="",-1,H104)=0)*(1-(IF(H104="",-1,H104)&gt;=1)*(IF(H104="",-1,H104)&lt;=3)),IF(C104="peso_corporal",IF(ISNUMBER(E104),E104,0)+F104,F104)*G104*1000+F104,0)=Y104,1,0))))))</f>
        <v>0</v>
      </c>
      <c r="AA104" s="69">
        <f>MAX(IF((G104&gt;=6)*(1-(IF(H104="",-1,H104)&gt;=1)*(IF(H104="",-1,H104)&lt;=3))*(1-(IF(H104="",-1,H104)=0)),IF(C104="peso_corporal",IF(ISNUMBER(E104),E104,0)+F104,F104)*(30+G104)*100+F104,0),IF((J104&gt;=6)*(1-(IF(K104="",-1,K104)&gt;=1)*(IF(K104="",-1,K104)&lt;=3))*(1-(IF(K104="",-1,K104)=0)),IF(C104="peso_corporal",IF(ISNUMBER(E104),E104,0)+I104,I104)*(30+J104)*100+I104,0),IF((M104&gt;=6)*(1-(IF(N104="",-1,N104)&gt;=1)*(IF(N104="",-1,N104)&lt;=3))*(1-(IF(N104="",-1,N104)=0)),IF(C104="peso_corporal",IF(ISNUMBER(E104),E104,0)+L104,L104)*(30+M104)*100+L104,0),IF((P104&gt;=6)*(1-(IF(Q104="",-1,Q104)&gt;=1)*(IF(Q104="",-1,Q104)&lt;=3))*(1-(IF(Q104="",-1,Q104)=0)),IF(C104="peso_corporal",IF(ISNUMBER(E104),E104,0)+O104,O104)*(30+P104)*100+O104,0),IF((S104&gt;=6)*(1-(IF(T104="",-1,T104)&gt;=1)*(IF(T104="",-1,T104)&lt;=3))*(1-(IF(T104="",-1,T104)=0)),IF(C104="peso_corporal",IF(ISNUMBER(E104),E104,0)+R104,R104)*(30+S104)*100+R104,0))</f>
        <v>0</v>
      </c>
      <c r="AB104" s="69">
        <f>IF(AA104=0,0,IF(IF((S104&gt;=6)*(1-(IF(T104="",-1,T104)&gt;=1)*(IF(T104="",-1,T104)&lt;=3))*(1-(IF(T104="",-1,T104)=0)),IF(C104="peso_corporal",IF(ISNUMBER(E104),E104,0)+R104,R104)*(30+S104)*100+R104,0)=AA104,5,IF(IF((P104&gt;=6)*(1-(IF(Q104="",-1,Q104)&gt;=1)*(IF(Q104="",-1,Q104)&lt;=3))*(1-(IF(Q104="",-1,Q104)=0)),IF(C104="peso_corporal",IF(ISNUMBER(E104),E104,0)+O104,O104)*(30+P104)*100+O104,0)=AA104,4,IF(IF((M104&gt;=6)*(1-(IF(N104="",-1,N104)&gt;=1)*(IF(N104="",-1,N104)&lt;=3))*(1-(IF(N104="",-1,N104)=0)),IF(C104="peso_corporal",IF(ISNUMBER(E104),E104,0)+L104,L104)*(30+M104)*100+L104,0)=AA104,3,IF(IF((J104&gt;=6)*(1-(IF(K104="",-1,K104)&gt;=1)*(IF(K104="",-1,K104)&lt;=3))*(1-(IF(K104="",-1,K104)=0)),IF(C104="peso_corporal",IF(ISNUMBER(E104),E104,0)+I104,I104)*(30+J104)*100+I104,0)=AA104,2,IF(IF((G104&gt;=6)*(1-(IF(H104="",-1,H104)&gt;=1)*(IF(H104="",-1,H104)&lt;=3))*(1-(IF(H104="",-1,H104)=0)),IF(C104="peso_corporal",IF(ISNUMBER(E104),E104,0)+F104,F104)*(30+G104)*100+F104,0)=AA104,1,0))))))</f>
        <v>0</v>
      </c>
      <c r="AC104" s="69" t="str">
        <f>IF(X104&gt;0,"A"&amp;X104,IF(Z104&gt;0,"B"&amp;Z104,IF(AB104&gt;0,"C"&amp;AB104,"")))</f>
        <v/>
      </c>
    </row>
    <row r="105" spans="1:29" ht="6"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69"/>
      <c r="X105" s="69"/>
      <c r="Y105" s="69"/>
      <c r="Z105" s="69"/>
      <c r="AA105" s="69"/>
      <c r="AB105" s="69"/>
      <c r="AC105" s="69"/>
    </row>
    <row r="106" spans="1:29" ht="18" customHeight="1">
      <c r="A106" s="85" t="s">
        <v>70</v>
      </c>
      <c r="B106" s="73"/>
      <c r="C106" s="73"/>
      <c r="D106" s="73"/>
      <c r="E106" s="73"/>
      <c r="F106" s="73"/>
      <c r="G106" s="73"/>
      <c r="H106" s="73"/>
      <c r="I106" s="73"/>
      <c r="J106" s="73"/>
      <c r="K106" s="73"/>
      <c r="L106" s="73"/>
      <c r="M106" s="73"/>
      <c r="N106" s="73"/>
      <c r="O106" s="73"/>
      <c r="P106" s="73"/>
      <c r="Q106" s="73"/>
      <c r="R106" s="73"/>
      <c r="S106" s="73"/>
      <c r="T106" s="73"/>
      <c r="U106" s="73"/>
      <c r="V106" s="73"/>
      <c r="W106" s="69"/>
      <c r="X106" s="69"/>
      <c r="Y106" s="69"/>
      <c r="Z106" s="69"/>
      <c r="AA106" s="69"/>
      <c r="AB106" s="69"/>
      <c r="AC106" s="69"/>
    </row>
    <row r="107" spans="1:29" ht="15" customHeight="1">
      <c r="A107" s="75" t="s">
        <v>88</v>
      </c>
      <c r="B107" s="73"/>
      <c r="C107" s="73"/>
      <c r="D107" s="73"/>
      <c r="E107" s="73"/>
      <c r="F107" s="73"/>
      <c r="G107" s="73"/>
      <c r="H107" s="73"/>
      <c r="I107" s="73"/>
      <c r="J107" s="73"/>
      <c r="K107" s="73"/>
      <c r="L107" s="73"/>
      <c r="M107" s="73"/>
      <c r="N107" s="73"/>
      <c r="O107" s="73"/>
      <c r="P107" s="73"/>
      <c r="Q107" s="73"/>
      <c r="R107" s="73"/>
      <c r="S107" s="73"/>
      <c r="T107" s="73"/>
      <c r="U107" s="73"/>
      <c r="V107" s="73"/>
      <c r="W107" s="69"/>
      <c r="X107" s="69"/>
      <c r="Y107" s="69"/>
      <c r="Z107" s="69"/>
      <c r="AA107" s="69"/>
      <c r="AB107" s="69"/>
      <c r="AC107" s="69"/>
    </row>
    <row r="108" spans="1:29" ht="11.1" customHeight="1">
      <c r="A108" s="76" t="s">
        <v>89</v>
      </c>
      <c r="B108" s="73"/>
      <c r="C108" s="73"/>
      <c r="D108" s="73"/>
      <c r="E108" s="73"/>
      <c r="F108" s="73"/>
      <c r="G108" s="73"/>
      <c r="H108" s="73"/>
      <c r="I108" s="73"/>
      <c r="J108" s="73"/>
      <c r="K108" s="73"/>
      <c r="L108" s="73"/>
      <c r="M108" s="73"/>
      <c r="N108" s="73"/>
      <c r="O108" s="73"/>
      <c r="P108" s="73"/>
      <c r="Q108" s="73"/>
      <c r="R108" s="73"/>
      <c r="S108" s="73"/>
      <c r="T108" s="73"/>
      <c r="U108" s="73"/>
      <c r="V108" s="73"/>
      <c r="W108" s="69"/>
      <c r="X108" s="69"/>
      <c r="Y108" s="69"/>
      <c r="Z108" s="69"/>
      <c r="AA108" s="69"/>
      <c r="AB108" s="69"/>
      <c r="AC108" s="69"/>
    </row>
    <row r="109" spans="1:29" ht="20.100000000000001" customHeight="1">
      <c r="A109" s="14" t="s">
        <v>92</v>
      </c>
      <c r="B109" s="15" t="s">
        <v>108</v>
      </c>
      <c r="C109" s="16" t="str">
        <f>IFERROR(INDEX(EJERCICIOS!$D$3:$D$75,MATCH(A109&amp;"|"&amp;B109,EJERCICIOS!$G$3:$G$75,0)),"--")</f>
        <v>polea</v>
      </c>
      <c r="D109" s="17">
        <v>3</v>
      </c>
      <c r="E109" s="18">
        <f>IFERROR(LOOKUP(2,1/(MEDIDAS_Y_PESO!$B$3:$B$7&lt;&gt;""),MEDIDAS_Y_PESO!$B$3:$B$7),"--")</f>
        <v>80</v>
      </c>
      <c r="F109" s="19"/>
      <c r="G109" s="20"/>
      <c r="H109" s="21"/>
      <c r="I109" s="19"/>
      <c r="J109" s="20"/>
      <c r="K109" s="21"/>
      <c r="L109" s="19"/>
      <c r="M109" s="20"/>
      <c r="N109" s="21"/>
      <c r="O109" s="19"/>
      <c r="P109" s="20"/>
      <c r="Q109" s="21"/>
      <c r="R109" s="19"/>
      <c r="S109" s="20"/>
      <c r="T109" s="21"/>
      <c r="U109" s="22" t="str">
        <f>IFERROR(IF(IF(X109&gt;0,X109,IF(Z109&gt;0,Z109,IF(AB109&gt;0,AB109,0)))=0,"--",ROUND(CHOOSE(IF(X109&gt;0,X109,IF(Z109&gt;0,Z109,IF(AB109&gt;0,AB109,0))),IF(C109="peso_corporal",IF(ISNUMBER(E109),E109,0)+F109,F109)*(1+G109/30),IF(C109="peso_corporal",IF(ISNUMBER(E109),E109,0)+I109,I109)*(1+J109/30),IF(C109="peso_corporal",IF(ISNUMBER(E109),E109,0)+L109,L109)*(1+M109/30),IF(C109="peso_corporal",IF(ISNUMBER(E109),E109,0)+O109,O109)*(1+P109/30),IF(C109="peso_corporal",IF(ISNUMBER(E109),E109,0)+R109,R109)*(1+S109/30)),1)),"--")</f>
        <v>--</v>
      </c>
      <c r="V109" s="23" t="str">
        <f>IF(SUGERENCIAS!N306="SIN","Sin datos anteriores",IF(SUGERENCIAS!N306="SUBIR_F","^ SUBIR FUERTE | Kg:"&amp;ROUND(SUGERENCIAS!K306,1)&amp;" R:"&amp;ROUND(SUGERENCIAS!L306,0)&amp;" RIR:"&amp;ROUND(SUGERENCIAS!M306,0),IF(SUGERENCIAS!N306="SUBIR_E","^ SUBIR (Est.) | Kg:"&amp;ROUND(SUGERENCIAS!K306,1)&amp;" R:"&amp;ROUND(SUGERENCIAS!L306,0)&amp;" RIR:"&amp;ROUND(SUGERENCIAS!M306,0),IF(SUGERENCIAS!N306="SUBIR","^ SUBIR | Kg:"&amp;ROUND(SUGERENCIAS!K306,1)&amp;" R:"&amp;ROUND(SUGERENCIAS!L306,0)&amp;" RIR:"&amp;ROUND(SUGERENCIAS!M306,0),IF(SUGERENCIAS!N306="BAJAR","v BAJAR | Kg:"&amp;ROUND(SUGERENCIAS!K306,1)&amp;" R:"&amp;ROUND(SUGERENCIAS!L306,0)&amp;" RIR:"&amp;ROUND(SUGERENCIAS!M306,0),"= MANT | Kg:"&amp;ROUND(SUGERENCIAS!K306,1)&amp;" R:"&amp;ROUND(SUGERENCIAS!L306,0)&amp;" RIR:"&amp;ROUND(SUGERENCIAS!M306,0))))))</f>
        <v>Sin datos anteriores</v>
      </c>
      <c r="W109" s="69">
        <f>MAX(IF((G109&gt;0)*(IF(H109="",-1,H109)&gt;=1)*(IF(H109="",-1,H109)&lt;=3),IF(C109="peso_corporal",IF(ISNUMBER(E109),E109,0)+F109,F109)*G109*1000+F109,0),IF((J109&gt;0)*(IF(K109="",-1,K109)&gt;=1)*(IF(K109="",-1,K109)&lt;=3),IF(C109="peso_corporal",IF(ISNUMBER(E109),E109,0)+I109,I109)*J109*1000+I109,0),IF((M109&gt;0)*(IF(N109="",-1,N109)&gt;=1)*(IF(N109="",-1,N109)&lt;=3),IF(C109="peso_corporal",IF(ISNUMBER(E109),E109,0)+L109,L109)*M109*1000+L109,0),IF((P109&gt;0)*(IF(Q109="",-1,Q109)&gt;=1)*(IF(Q109="",-1,Q109)&lt;=3),IF(C109="peso_corporal",IF(ISNUMBER(E109),E109,0)+O109,O109)*P109*1000+O109,0),IF((S109&gt;0)*(IF(T109="",-1,T109)&gt;=1)*(IF(T109="",-1,T109)&lt;=3),IF(C109="peso_corporal",IF(ISNUMBER(E109),E109,0)+R109,R109)*S109*1000+R109,0))</f>
        <v>0</v>
      </c>
      <c r="X109" s="69">
        <f>IF(W109=0,0,IF(IF((S109&gt;0)*(IF(T109="",-1,T109)&gt;=1)*(IF(T109="",-1,T109)&lt;=3),IF(C109="peso_corporal",IF(ISNUMBER(E109),E109,0)+R109,R109)*S109*1000+R109,0)=W109,5,IF(IF((P109&gt;0)*(IF(Q109="",-1,Q109)&gt;=1)*(IF(Q109="",-1,Q109)&lt;=3),IF(C109="peso_corporal",IF(ISNUMBER(E109),E109,0)+O109,O109)*P109*1000+O109,0)=W109,4,IF(IF((M109&gt;0)*(IF(N109="",-1,N109)&gt;=1)*(IF(N109="",-1,N109)&lt;=3),IF(C109="peso_corporal",IF(ISNUMBER(E109),E109,0)+L109,L109)*M109*1000+L109,0)=W109,3,IF(IF((J109&gt;0)*(IF(K109="",-1,K109)&gt;=1)*(IF(K109="",-1,K109)&lt;=3),IF(C109="peso_corporal",IF(ISNUMBER(E109),E109,0)+I109,I109)*J109*1000+I109,0)=W109,2,IF(IF((G109&gt;0)*(IF(H109="",-1,H109)&gt;=1)*(IF(H109="",-1,H109)&lt;=3),IF(C109="peso_corporal",IF(ISNUMBER(E109),E109,0)+F109,F109)*G109*1000+F109,0)=W109,1,0))))))</f>
        <v>0</v>
      </c>
      <c r="Y109" s="69">
        <f>MAX(IF((G109&gt;0)*(IF(H109="",-1,H109)=0)*(1-(IF(H109="",-1,H109)&gt;=1)*(IF(H109="",-1,H109)&lt;=3)),IF(C109="peso_corporal",IF(ISNUMBER(E109),E109,0)+F109,F109)*G109*1000+F109,0),IF((J109&gt;0)*(IF(K109="",-1,K109)=0)*(1-(IF(K109="",-1,K109)&gt;=1)*(IF(K109="",-1,K109)&lt;=3)),IF(C109="peso_corporal",IF(ISNUMBER(E109),E109,0)+I109,I109)*J109*1000+I109,0),IF((M109&gt;0)*(IF(N109="",-1,N109)=0)*(1-(IF(N109="",-1,N109)&gt;=1)*(IF(N109="",-1,N109)&lt;=3)),IF(C109="peso_corporal",IF(ISNUMBER(E109),E109,0)+L109,L109)*M109*1000+L109,0),IF((P109&gt;0)*(IF(Q109="",-1,Q109)=0)*(1-(IF(Q109="",-1,Q109)&gt;=1)*(IF(Q109="",-1,Q109)&lt;=3)),IF(C109="peso_corporal",IF(ISNUMBER(E109),E109,0)+O109,O109)*P109*1000+O109,0),IF((S109&gt;0)*(IF(T109="",-1,T109)=0)*(1-(IF(T109="",-1,T109)&gt;=1)*(IF(T109="",-1,T109)&lt;=3)),IF(C109="peso_corporal",IF(ISNUMBER(E109),E109,0)+R109,R109)*S109*1000+R109,0))</f>
        <v>0</v>
      </c>
      <c r="Z109" s="69">
        <f>IF(Y109=0,0,IF(IF((S109&gt;0)*(IF(T109="",-1,T109)=0)*(1-(IF(T109="",-1,T109)&gt;=1)*(IF(T109="",-1,T109)&lt;=3)),IF(C109="peso_corporal",IF(ISNUMBER(E109),E109,0)+R109,R109)*S109*1000+R109,0)=Y109,5,IF(IF((P109&gt;0)*(IF(Q109="",-1,Q109)=0)*(1-(IF(Q109="",-1,Q109)&gt;=1)*(IF(Q109="",-1,Q109)&lt;=3)),IF(C109="peso_corporal",IF(ISNUMBER(E109),E109,0)+O109,O109)*P109*1000+O109,0)=Y109,4,IF(IF((M109&gt;0)*(IF(N109="",-1,N109)=0)*(1-(IF(N109="",-1,N109)&gt;=1)*(IF(N109="",-1,N109)&lt;=3)),IF(C109="peso_corporal",IF(ISNUMBER(E109),E109,0)+L109,L109)*M109*1000+L109,0)=Y109,3,IF(IF((J109&gt;0)*(IF(K109="",-1,K109)=0)*(1-(IF(K109="",-1,K109)&gt;=1)*(IF(K109="",-1,K109)&lt;=3)),IF(C109="peso_corporal",IF(ISNUMBER(E109),E109,0)+I109,I109)*J109*1000+I109,0)=Y109,2,IF(IF((G109&gt;0)*(IF(H109="",-1,H109)=0)*(1-(IF(H109="",-1,H109)&gt;=1)*(IF(H109="",-1,H109)&lt;=3)),IF(C109="peso_corporal",IF(ISNUMBER(E109),E109,0)+F109,F109)*G109*1000+F109,0)=Y109,1,0))))))</f>
        <v>0</v>
      </c>
      <c r="AA109" s="69">
        <f>MAX(IF((G109&gt;=6)*(1-(IF(H109="",-1,H109)&gt;=1)*(IF(H109="",-1,H109)&lt;=3))*(1-(IF(H109="",-1,H109)=0)),IF(C109="peso_corporal",IF(ISNUMBER(E109),E109,0)+F109,F109)*(30+G109)*100+F109,0),IF((J109&gt;=6)*(1-(IF(K109="",-1,K109)&gt;=1)*(IF(K109="",-1,K109)&lt;=3))*(1-(IF(K109="",-1,K109)=0)),IF(C109="peso_corporal",IF(ISNUMBER(E109),E109,0)+I109,I109)*(30+J109)*100+I109,0),IF((M109&gt;=6)*(1-(IF(N109="",-1,N109)&gt;=1)*(IF(N109="",-1,N109)&lt;=3))*(1-(IF(N109="",-1,N109)=0)),IF(C109="peso_corporal",IF(ISNUMBER(E109),E109,0)+L109,L109)*(30+M109)*100+L109,0),IF((P109&gt;=6)*(1-(IF(Q109="",-1,Q109)&gt;=1)*(IF(Q109="",-1,Q109)&lt;=3))*(1-(IF(Q109="",-1,Q109)=0)),IF(C109="peso_corporal",IF(ISNUMBER(E109),E109,0)+O109,O109)*(30+P109)*100+O109,0),IF((S109&gt;=6)*(1-(IF(T109="",-1,T109)&gt;=1)*(IF(T109="",-1,T109)&lt;=3))*(1-(IF(T109="",-1,T109)=0)),IF(C109="peso_corporal",IF(ISNUMBER(E109),E109,0)+R109,R109)*(30+S109)*100+R109,0))</f>
        <v>0</v>
      </c>
      <c r="AB109" s="69">
        <f>IF(AA109=0,0,IF(IF((S109&gt;=6)*(1-(IF(T109="",-1,T109)&gt;=1)*(IF(T109="",-1,T109)&lt;=3))*(1-(IF(T109="",-1,T109)=0)),IF(C109="peso_corporal",IF(ISNUMBER(E109),E109,0)+R109,R109)*(30+S109)*100+R109,0)=AA109,5,IF(IF((P109&gt;=6)*(1-(IF(Q109="",-1,Q109)&gt;=1)*(IF(Q109="",-1,Q109)&lt;=3))*(1-(IF(Q109="",-1,Q109)=0)),IF(C109="peso_corporal",IF(ISNUMBER(E109),E109,0)+O109,O109)*(30+P109)*100+O109,0)=AA109,4,IF(IF((M109&gt;=6)*(1-(IF(N109="",-1,N109)&gt;=1)*(IF(N109="",-1,N109)&lt;=3))*(1-(IF(N109="",-1,N109)=0)),IF(C109="peso_corporal",IF(ISNUMBER(E109),E109,0)+L109,L109)*(30+M109)*100+L109,0)=AA109,3,IF(IF((J109&gt;=6)*(1-(IF(K109="",-1,K109)&gt;=1)*(IF(K109="",-1,K109)&lt;=3))*(1-(IF(K109="",-1,K109)=0)),IF(C109="peso_corporal",IF(ISNUMBER(E109),E109,0)+I109,I109)*(30+J109)*100+I109,0)=AA109,2,IF(IF((G109&gt;=6)*(1-(IF(H109="",-1,H109)&gt;=1)*(IF(H109="",-1,H109)&lt;=3))*(1-(IF(H109="",-1,H109)=0)),IF(C109="peso_corporal",IF(ISNUMBER(E109),E109,0)+F109,F109)*(30+G109)*100+F109,0)=AA109,1,0))))))</f>
        <v>0</v>
      </c>
      <c r="AC109" s="69" t="str">
        <f>IF(X109&gt;0,"A"&amp;X109,IF(Z109&gt;0,"B"&amp;Z109,IF(AB109&gt;0,"C"&amp;AB109,"")))</f>
        <v/>
      </c>
    </row>
    <row r="110" spans="1:29" ht="11.1" customHeight="1">
      <c r="A110" s="84" t="s">
        <v>94</v>
      </c>
      <c r="B110" s="73"/>
      <c r="C110" s="73"/>
      <c r="D110" s="73"/>
      <c r="E110" s="73"/>
      <c r="F110" s="73"/>
      <c r="G110" s="73"/>
      <c r="H110" s="73"/>
      <c r="I110" s="73"/>
      <c r="J110" s="73"/>
      <c r="K110" s="73"/>
      <c r="L110" s="73"/>
      <c r="M110" s="73"/>
      <c r="N110" s="73"/>
      <c r="O110" s="73"/>
      <c r="P110" s="73"/>
      <c r="Q110" s="73"/>
      <c r="R110" s="73"/>
      <c r="S110" s="73"/>
      <c r="T110" s="73"/>
      <c r="U110" s="73"/>
      <c r="V110" s="73"/>
      <c r="W110" s="69"/>
      <c r="X110" s="69"/>
      <c r="Y110" s="69"/>
      <c r="Z110" s="69"/>
      <c r="AA110" s="69"/>
      <c r="AB110" s="69"/>
      <c r="AC110" s="69"/>
    </row>
    <row r="111" spans="1:29" ht="20.100000000000001" customHeight="1">
      <c r="A111" s="14" t="s">
        <v>95</v>
      </c>
      <c r="B111" s="15" t="s">
        <v>172</v>
      </c>
      <c r="C111" s="16" t="str">
        <f>IFERROR(INDEX(EJERCICIOS!$D$3:$D$75,MATCH(A111&amp;"|"&amp;B111,EJERCICIOS!$G$3:$G$75,0)),"--")</f>
        <v>polea</v>
      </c>
      <c r="D111" s="17">
        <v>3</v>
      </c>
      <c r="E111" s="18">
        <f>IFERROR(LOOKUP(2,1/(MEDIDAS_Y_PESO!$B$3:$B$7&lt;&gt;""),MEDIDAS_Y_PESO!$B$3:$B$7),"--")</f>
        <v>80</v>
      </c>
      <c r="F111" s="19"/>
      <c r="G111" s="20"/>
      <c r="H111" s="21"/>
      <c r="I111" s="19"/>
      <c r="J111" s="20"/>
      <c r="K111" s="21"/>
      <c r="L111" s="19"/>
      <c r="M111" s="20"/>
      <c r="N111" s="21"/>
      <c r="O111" s="19"/>
      <c r="P111" s="20"/>
      <c r="Q111" s="21"/>
      <c r="R111" s="19"/>
      <c r="S111" s="20"/>
      <c r="T111" s="21"/>
      <c r="U111" s="22" t="str">
        <f>IFERROR(IF(IF(X111&gt;0,X111,IF(Z111&gt;0,Z111,IF(AB111&gt;0,AB111,0)))=0,"--",ROUND(CHOOSE(IF(X111&gt;0,X111,IF(Z111&gt;0,Z111,IF(AB111&gt;0,AB111,0))),IF(C111="peso_corporal",IF(ISNUMBER(E111),E111,0)+F111,F111)*(1+G111/30),IF(C111="peso_corporal",IF(ISNUMBER(E111),E111,0)+I111,I111)*(1+J111/30),IF(C111="peso_corporal",IF(ISNUMBER(E111),E111,0)+L111,L111)*(1+M111/30),IF(C111="peso_corporal",IF(ISNUMBER(E111),E111,0)+O111,O111)*(1+P111/30),IF(C111="peso_corporal",IF(ISNUMBER(E111),E111,0)+R111,R111)*(1+S111/30)),1)),"--")</f>
        <v>--</v>
      </c>
      <c r="V111" s="23" t="str">
        <f>IF(SUGERENCIAS!N307="SIN","Sin datos anteriores",IF(SUGERENCIAS!N307="SUBIR_F","^ SUBIR FUERTE | Kg:"&amp;ROUND(SUGERENCIAS!K307,1)&amp;" R:"&amp;ROUND(SUGERENCIAS!L307,0)&amp;" RIR:"&amp;ROUND(SUGERENCIAS!M307,0),IF(SUGERENCIAS!N307="SUBIR_E","^ SUBIR (Est.) | Kg:"&amp;ROUND(SUGERENCIAS!K307,1)&amp;" R:"&amp;ROUND(SUGERENCIAS!L307,0)&amp;" RIR:"&amp;ROUND(SUGERENCIAS!M307,0),IF(SUGERENCIAS!N307="SUBIR","^ SUBIR | Kg:"&amp;ROUND(SUGERENCIAS!K307,1)&amp;" R:"&amp;ROUND(SUGERENCIAS!L307,0)&amp;" RIR:"&amp;ROUND(SUGERENCIAS!M307,0),IF(SUGERENCIAS!N307="BAJAR","v BAJAR | Kg:"&amp;ROUND(SUGERENCIAS!K307,1)&amp;" R:"&amp;ROUND(SUGERENCIAS!L307,0)&amp;" RIR:"&amp;ROUND(SUGERENCIAS!M307,0),"= MANT | Kg:"&amp;ROUND(SUGERENCIAS!K307,1)&amp;" R:"&amp;ROUND(SUGERENCIAS!L307,0)&amp;" RIR:"&amp;ROUND(SUGERENCIAS!M307,0))))))</f>
        <v>Sin datos anteriores</v>
      </c>
      <c r="W111" s="69">
        <f>MAX(IF((G111&gt;0)*(IF(H111="",-1,H111)&gt;=1)*(IF(H111="",-1,H111)&lt;=3),IF(C111="peso_corporal",IF(ISNUMBER(E111),E111,0)+F111,F111)*G111*1000+F111,0),IF((J111&gt;0)*(IF(K111="",-1,K111)&gt;=1)*(IF(K111="",-1,K111)&lt;=3),IF(C111="peso_corporal",IF(ISNUMBER(E111),E111,0)+I111,I111)*J111*1000+I111,0),IF((M111&gt;0)*(IF(N111="",-1,N111)&gt;=1)*(IF(N111="",-1,N111)&lt;=3),IF(C111="peso_corporal",IF(ISNUMBER(E111),E111,0)+L111,L111)*M111*1000+L111,0),IF((P111&gt;0)*(IF(Q111="",-1,Q111)&gt;=1)*(IF(Q111="",-1,Q111)&lt;=3),IF(C111="peso_corporal",IF(ISNUMBER(E111),E111,0)+O111,O111)*P111*1000+O111,0),IF((S111&gt;0)*(IF(T111="",-1,T111)&gt;=1)*(IF(T111="",-1,T111)&lt;=3),IF(C111="peso_corporal",IF(ISNUMBER(E111),E111,0)+R111,R111)*S111*1000+R111,0))</f>
        <v>0</v>
      </c>
      <c r="X111" s="69">
        <f>IF(W111=0,0,IF(IF((S111&gt;0)*(IF(T111="",-1,T111)&gt;=1)*(IF(T111="",-1,T111)&lt;=3),IF(C111="peso_corporal",IF(ISNUMBER(E111),E111,0)+R111,R111)*S111*1000+R111,0)=W111,5,IF(IF((P111&gt;0)*(IF(Q111="",-1,Q111)&gt;=1)*(IF(Q111="",-1,Q111)&lt;=3),IF(C111="peso_corporal",IF(ISNUMBER(E111),E111,0)+O111,O111)*P111*1000+O111,0)=W111,4,IF(IF((M111&gt;0)*(IF(N111="",-1,N111)&gt;=1)*(IF(N111="",-1,N111)&lt;=3),IF(C111="peso_corporal",IF(ISNUMBER(E111),E111,0)+L111,L111)*M111*1000+L111,0)=W111,3,IF(IF((J111&gt;0)*(IF(K111="",-1,K111)&gt;=1)*(IF(K111="",-1,K111)&lt;=3),IF(C111="peso_corporal",IF(ISNUMBER(E111),E111,0)+I111,I111)*J111*1000+I111,0)=W111,2,IF(IF((G111&gt;0)*(IF(H111="",-1,H111)&gt;=1)*(IF(H111="",-1,H111)&lt;=3),IF(C111="peso_corporal",IF(ISNUMBER(E111),E111,0)+F111,F111)*G111*1000+F111,0)=W111,1,0))))))</f>
        <v>0</v>
      </c>
      <c r="Y111" s="69">
        <f>MAX(IF((G111&gt;0)*(IF(H111="",-1,H111)=0)*(1-(IF(H111="",-1,H111)&gt;=1)*(IF(H111="",-1,H111)&lt;=3)),IF(C111="peso_corporal",IF(ISNUMBER(E111),E111,0)+F111,F111)*G111*1000+F111,0),IF((J111&gt;0)*(IF(K111="",-1,K111)=0)*(1-(IF(K111="",-1,K111)&gt;=1)*(IF(K111="",-1,K111)&lt;=3)),IF(C111="peso_corporal",IF(ISNUMBER(E111),E111,0)+I111,I111)*J111*1000+I111,0),IF((M111&gt;0)*(IF(N111="",-1,N111)=0)*(1-(IF(N111="",-1,N111)&gt;=1)*(IF(N111="",-1,N111)&lt;=3)),IF(C111="peso_corporal",IF(ISNUMBER(E111),E111,0)+L111,L111)*M111*1000+L111,0),IF((P111&gt;0)*(IF(Q111="",-1,Q111)=0)*(1-(IF(Q111="",-1,Q111)&gt;=1)*(IF(Q111="",-1,Q111)&lt;=3)),IF(C111="peso_corporal",IF(ISNUMBER(E111),E111,0)+O111,O111)*P111*1000+O111,0),IF((S111&gt;0)*(IF(T111="",-1,T111)=0)*(1-(IF(T111="",-1,T111)&gt;=1)*(IF(T111="",-1,T111)&lt;=3)),IF(C111="peso_corporal",IF(ISNUMBER(E111),E111,0)+R111,R111)*S111*1000+R111,0))</f>
        <v>0</v>
      </c>
      <c r="Z111" s="69">
        <f>IF(Y111=0,0,IF(IF((S111&gt;0)*(IF(T111="",-1,T111)=0)*(1-(IF(T111="",-1,T111)&gt;=1)*(IF(T111="",-1,T111)&lt;=3)),IF(C111="peso_corporal",IF(ISNUMBER(E111),E111,0)+R111,R111)*S111*1000+R111,0)=Y111,5,IF(IF((P111&gt;0)*(IF(Q111="",-1,Q111)=0)*(1-(IF(Q111="",-1,Q111)&gt;=1)*(IF(Q111="",-1,Q111)&lt;=3)),IF(C111="peso_corporal",IF(ISNUMBER(E111),E111,0)+O111,O111)*P111*1000+O111,0)=Y111,4,IF(IF((M111&gt;0)*(IF(N111="",-1,N111)=0)*(1-(IF(N111="",-1,N111)&gt;=1)*(IF(N111="",-1,N111)&lt;=3)),IF(C111="peso_corporal",IF(ISNUMBER(E111),E111,0)+L111,L111)*M111*1000+L111,0)=Y111,3,IF(IF((J111&gt;0)*(IF(K111="",-1,K111)=0)*(1-(IF(K111="",-1,K111)&gt;=1)*(IF(K111="",-1,K111)&lt;=3)),IF(C111="peso_corporal",IF(ISNUMBER(E111),E111,0)+I111,I111)*J111*1000+I111,0)=Y111,2,IF(IF((G111&gt;0)*(IF(H111="",-1,H111)=0)*(1-(IF(H111="",-1,H111)&gt;=1)*(IF(H111="",-1,H111)&lt;=3)),IF(C111="peso_corporal",IF(ISNUMBER(E111),E111,0)+F111,F111)*G111*1000+F111,0)=Y111,1,0))))))</f>
        <v>0</v>
      </c>
      <c r="AA111" s="69">
        <f>MAX(IF((G111&gt;=6)*(1-(IF(H111="",-1,H111)&gt;=1)*(IF(H111="",-1,H111)&lt;=3))*(1-(IF(H111="",-1,H111)=0)),IF(C111="peso_corporal",IF(ISNUMBER(E111),E111,0)+F111,F111)*(30+G111)*100+F111,0),IF((J111&gt;=6)*(1-(IF(K111="",-1,K111)&gt;=1)*(IF(K111="",-1,K111)&lt;=3))*(1-(IF(K111="",-1,K111)=0)),IF(C111="peso_corporal",IF(ISNUMBER(E111),E111,0)+I111,I111)*(30+J111)*100+I111,0),IF((M111&gt;=6)*(1-(IF(N111="",-1,N111)&gt;=1)*(IF(N111="",-1,N111)&lt;=3))*(1-(IF(N111="",-1,N111)=0)),IF(C111="peso_corporal",IF(ISNUMBER(E111),E111,0)+L111,L111)*(30+M111)*100+L111,0),IF((P111&gt;=6)*(1-(IF(Q111="",-1,Q111)&gt;=1)*(IF(Q111="",-1,Q111)&lt;=3))*(1-(IF(Q111="",-1,Q111)=0)),IF(C111="peso_corporal",IF(ISNUMBER(E111),E111,0)+O111,O111)*(30+P111)*100+O111,0),IF((S111&gt;=6)*(1-(IF(T111="",-1,T111)&gt;=1)*(IF(T111="",-1,T111)&lt;=3))*(1-(IF(T111="",-1,T111)=0)),IF(C111="peso_corporal",IF(ISNUMBER(E111),E111,0)+R111,R111)*(30+S111)*100+R111,0))</f>
        <v>0</v>
      </c>
      <c r="AB111" s="69">
        <f>IF(AA111=0,0,IF(IF((S111&gt;=6)*(1-(IF(T111="",-1,T111)&gt;=1)*(IF(T111="",-1,T111)&lt;=3))*(1-(IF(T111="",-1,T111)=0)),IF(C111="peso_corporal",IF(ISNUMBER(E111),E111,0)+R111,R111)*(30+S111)*100+R111,0)=AA111,5,IF(IF((P111&gt;=6)*(1-(IF(Q111="",-1,Q111)&gt;=1)*(IF(Q111="",-1,Q111)&lt;=3))*(1-(IF(Q111="",-1,Q111)=0)),IF(C111="peso_corporal",IF(ISNUMBER(E111),E111,0)+O111,O111)*(30+P111)*100+O111,0)=AA111,4,IF(IF((M111&gt;=6)*(1-(IF(N111="",-1,N111)&gt;=1)*(IF(N111="",-1,N111)&lt;=3))*(1-(IF(N111="",-1,N111)=0)),IF(C111="peso_corporal",IF(ISNUMBER(E111),E111,0)+L111,L111)*(30+M111)*100+L111,0)=AA111,3,IF(IF((J111&gt;=6)*(1-(IF(K111="",-1,K111)&gt;=1)*(IF(K111="",-1,K111)&lt;=3))*(1-(IF(K111="",-1,K111)=0)),IF(C111="peso_corporal",IF(ISNUMBER(E111),E111,0)+I111,I111)*(30+J111)*100+I111,0)=AA111,2,IF(IF((G111&gt;=6)*(1-(IF(H111="",-1,H111)&gt;=1)*(IF(H111="",-1,H111)&lt;=3))*(1-(IF(H111="",-1,H111)=0)),IF(C111="peso_corporal",IF(ISNUMBER(E111),E111,0)+F111,F111)*(30+G111)*100+F111,0)=AA111,1,0))))))</f>
        <v>0</v>
      </c>
      <c r="AC111" s="69" t="str">
        <f>IF(X111&gt;0,"A"&amp;X111,IF(Z111&gt;0,"B"&amp;Z111,IF(AB111&gt;0,"C"&amp;AB111,"")))</f>
        <v/>
      </c>
    </row>
    <row r="112" spans="1:29" ht="20.100000000000001" customHeight="1">
      <c r="A112" s="14" t="s">
        <v>95</v>
      </c>
      <c r="B112" s="15" t="s">
        <v>173</v>
      </c>
      <c r="C112" s="16" t="str">
        <f>IFERROR(INDEX(EJERCICIOS!$D$3:$D$75,MATCH(A112&amp;"|"&amp;B112,EJERCICIOS!$G$3:$G$75,0)),"--")</f>
        <v>polea</v>
      </c>
      <c r="D112" s="17">
        <v>3</v>
      </c>
      <c r="E112" s="18">
        <f>IFERROR(LOOKUP(2,1/(MEDIDAS_Y_PESO!$B$3:$B$7&lt;&gt;""),MEDIDAS_Y_PESO!$B$3:$B$7),"--")</f>
        <v>80</v>
      </c>
      <c r="F112" s="19"/>
      <c r="G112" s="20"/>
      <c r="H112" s="21"/>
      <c r="I112" s="19"/>
      <c r="J112" s="20"/>
      <c r="K112" s="21"/>
      <c r="L112" s="19"/>
      <c r="M112" s="20"/>
      <c r="N112" s="21"/>
      <c r="O112" s="19"/>
      <c r="P112" s="20"/>
      <c r="Q112" s="21"/>
      <c r="R112" s="19"/>
      <c r="S112" s="20"/>
      <c r="T112" s="21"/>
      <c r="U112" s="22" t="str">
        <f>IFERROR(IF(IF(X112&gt;0,X112,IF(Z112&gt;0,Z112,IF(AB112&gt;0,AB112,0)))=0,"--",ROUND(CHOOSE(IF(X112&gt;0,X112,IF(Z112&gt;0,Z112,IF(AB112&gt;0,AB112,0))),IF(C112="peso_corporal",IF(ISNUMBER(E112),E112,0)+F112,F112)*(1+G112/30),IF(C112="peso_corporal",IF(ISNUMBER(E112),E112,0)+I112,I112)*(1+J112/30),IF(C112="peso_corporal",IF(ISNUMBER(E112),E112,0)+L112,L112)*(1+M112/30),IF(C112="peso_corporal",IF(ISNUMBER(E112),E112,0)+O112,O112)*(1+P112/30),IF(C112="peso_corporal",IF(ISNUMBER(E112),E112,0)+R112,R112)*(1+S112/30)),1)),"--")</f>
        <v>--</v>
      </c>
      <c r="V112" s="23" t="str">
        <f>IF(SUGERENCIAS!N308="SIN","Sin datos anteriores",IF(SUGERENCIAS!N308="SUBIR_F","^ SUBIR FUERTE | Kg:"&amp;ROUND(SUGERENCIAS!K308,1)&amp;" R:"&amp;ROUND(SUGERENCIAS!L308,0)&amp;" RIR:"&amp;ROUND(SUGERENCIAS!M308,0),IF(SUGERENCIAS!N308="SUBIR_E","^ SUBIR (Est.) | Kg:"&amp;ROUND(SUGERENCIAS!K308,1)&amp;" R:"&amp;ROUND(SUGERENCIAS!L308,0)&amp;" RIR:"&amp;ROUND(SUGERENCIAS!M308,0),IF(SUGERENCIAS!N308="SUBIR","^ SUBIR | Kg:"&amp;ROUND(SUGERENCIAS!K308,1)&amp;" R:"&amp;ROUND(SUGERENCIAS!L308,0)&amp;" RIR:"&amp;ROUND(SUGERENCIAS!M308,0),IF(SUGERENCIAS!N308="BAJAR","v BAJAR | Kg:"&amp;ROUND(SUGERENCIAS!K308,1)&amp;" R:"&amp;ROUND(SUGERENCIAS!L308,0)&amp;" RIR:"&amp;ROUND(SUGERENCIAS!M308,0),"= MANT | Kg:"&amp;ROUND(SUGERENCIAS!K308,1)&amp;" R:"&amp;ROUND(SUGERENCIAS!L308,0)&amp;" RIR:"&amp;ROUND(SUGERENCIAS!M308,0))))))</f>
        <v>Sin datos anteriores</v>
      </c>
      <c r="W112" s="69">
        <f>MAX(IF((G112&gt;0)*(IF(H112="",-1,H112)&gt;=1)*(IF(H112="",-1,H112)&lt;=3),IF(C112="peso_corporal",IF(ISNUMBER(E112),E112,0)+F112,F112)*G112*1000+F112,0),IF((J112&gt;0)*(IF(K112="",-1,K112)&gt;=1)*(IF(K112="",-1,K112)&lt;=3),IF(C112="peso_corporal",IF(ISNUMBER(E112),E112,0)+I112,I112)*J112*1000+I112,0),IF((M112&gt;0)*(IF(N112="",-1,N112)&gt;=1)*(IF(N112="",-1,N112)&lt;=3),IF(C112="peso_corporal",IF(ISNUMBER(E112),E112,0)+L112,L112)*M112*1000+L112,0),IF((P112&gt;0)*(IF(Q112="",-1,Q112)&gt;=1)*(IF(Q112="",-1,Q112)&lt;=3),IF(C112="peso_corporal",IF(ISNUMBER(E112),E112,0)+O112,O112)*P112*1000+O112,0),IF((S112&gt;0)*(IF(T112="",-1,T112)&gt;=1)*(IF(T112="",-1,T112)&lt;=3),IF(C112="peso_corporal",IF(ISNUMBER(E112),E112,0)+R112,R112)*S112*1000+R112,0))</f>
        <v>0</v>
      </c>
      <c r="X112" s="69">
        <f>IF(W112=0,0,IF(IF((S112&gt;0)*(IF(T112="",-1,T112)&gt;=1)*(IF(T112="",-1,T112)&lt;=3),IF(C112="peso_corporal",IF(ISNUMBER(E112),E112,0)+R112,R112)*S112*1000+R112,0)=W112,5,IF(IF((P112&gt;0)*(IF(Q112="",-1,Q112)&gt;=1)*(IF(Q112="",-1,Q112)&lt;=3),IF(C112="peso_corporal",IF(ISNUMBER(E112),E112,0)+O112,O112)*P112*1000+O112,0)=W112,4,IF(IF((M112&gt;0)*(IF(N112="",-1,N112)&gt;=1)*(IF(N112="",-1,N112)&lt;=3),IF(C112="peso_corporal",IF(ISNUMBER(E112),E112,0)+L112,L112)*M112*1000+L112,0)=W112,3,IF(IF((J112&gt;0)*(IF(K112="",-1,K112)&gt;=1)*(IF(K112="",-1,K112)&lt;=3),IF(C112="peso_corporal",IF(ISNUMBER(E112),E112,0)+I112,I112)*J112*1000+I112,0)=W112,2,IF(IF((G112&gt;0)*(IF(H112="",-1,H112)&gt;=1)*(IF(H112="",-1,H112)&lt;=3),IF(C112="peso_corporal",IF(ISNUMBER(E112),E112,0)+F112,F112)*G112*1000+F112,0)=W112,1,0))))))</f>
        <v>0</v>
      </c>
      <c r="Y112" s="69">
        <f>MAX(IF((G112&gt;0)*(IF(H112="",-1,H112)=0)*(1-(IF(H112="",-1,H112)&gt;=1)*(IF(H112="",-1,H112)&lt;=3)),IF(C112="peso_corporal",IF(ISNUMBER(E112),E112,0)+F112,F112)*G112*1000+F112,0),IF((J112&gt;0)*(IF(K112="",-1,K112)=0)*(1-(IF(K112="",-1,K112)&gt;=1)*(IF(K112="",-1,K112)&lt;=3)),IF(C112="peso_corporal",IF(ISNUMBER(E112),E112,0)+I112,I112)*J112*1000+I112,0),IF((M112&gt;0)*(IF(N112="",-1,N112)=0)*(1-(IF(N112="",-1,N112)&gt;=1)*(IF(N112="",-1,N112)&lt;=3)),IF(C112="peso_corporal",IF(ISNUMBER(E112),E112,0)+L112,L112)*M112*1000+L112,0),IF((P112&gt;0)*(IF(Q112="",-1,Q112)=0)*(1-(IF(Q112="",-1,Q112)&gt;=1)*(IF(Q112="",-1,Q112)&lt;=3)),IF(C112="peso_corporal",IF(ISNUMBER(E112),E112,0)+O112,O112)*P112*1000+O112,0),IF((S112&gt;0)*(IF(T112="",-1,T112)=0)*(1-(IF(T112="",-1,T112)&gt;=1)*(IF(T112="",-1,T112)&lt;=3)),IF(C112="peso_corporal",IF(ISNUMBER(E112),E112,0)+R112,R112)*S112*1000+R112,0))</f>
        <v>0</v>
      </c>
      <c r="Z112" s="69">
        <f>IF(Y112=0,0,IF(IF((S112&gt;0)*(IF(T112="",-1,T112)=0)*(1-(IF(T112="",-1,T112)&gt;=1)*(IF(T112="",-1,T112)&lt;=3)),IF(C112="peso_corporal",IF(ISNUMBER(E112),E112,0)+R112,R112)*S112*1000+R112,0)=Y112,5,IF(IF((P112&gt;0)*(IF(Q112="",-1,Q112)=0)*(1-(IF(Q112="",-1,Q112)&gt;=1)*(IF(Q112="",-1,Q112)&lt;=3)),IF(C112="peso_corporal",IF(ISNUMBER(E112),E112,0)+O112,O112)*P112*1000+O112,0)=Y112,4,IF(IF((M112&gt;0)*(IF(N112="",-1,N112)=0)*(1-(IF(N112="",-1,N112)&gt;=1)*(IF(N112="",-1,N112)&lt;=3)),IF(C112="peso_corporal",IF(ISNUMBER(E112),E112,0)+L112,L112)*M112*1000+L112,0)=Y112,3,IF(IF((J112&gt;0)*(IF(K112="",-1,K112)=0)*(1-(IF(K112="",-1,K112)&gt;=1)*(IF(K112="",-1,K112)&lt;=3)),IF(C112="peso_corporal",IF(ISNUMBER(E112),E112,0)+I112,I112)*J112*1000+I112,0)=Y112,2,IF(IF((G112&gt;0)*(IF(H112="",-1,H112)=0)*(1-(IF(H112="",-1,H112)&gt;=1)*(IF(H112="",-1,H112)&lt;=3)),IF(C112="peso_corporal",IF(ISNUMBER(E112),E112,0)+F112,F112)*G112*1000+F112,0)=Y112,1,0))))))</f>
        <v>0</v>
      </c>
      <c r="AA112" s="69">
        <f>MAX(IF((G112&gt;=6)*(1-(IF(H112="",-1,H112)&gt;=1)*(IF(H112="",-1,H112)&lt;=3))*(1-(IF(H112="",-1,H112)=0)),IF(C112="peso_corporal",IF(ISNUMBER(E112),E112,0)+F112,F112)*(30+G112)*100+F112,0),IF((J112&gt;=6)*(1-(IF(K112="",-1,K112)&gt;=1)*(IF(K112="",-1,K112)&lt;=3))*(1-(IF(K112="",-1,K112)=0)),IF(C112="peso_corporal",IF(ISNUMBER(E112),E112,0)+I112,I112)*(30+J112)*100+I112,0),IF((M112&gt;=6)*(1-(IF(N112="",-1,N112)&gt;=1)*(IF(N112="",-1,N112)&lt;=3))*(1-(IF(N112="",-1,N112)=0)),IF(C112="peso_corporal",IF(ISNUMBER(E112),E112,0)+L112,L112)*(30+M112)*100+L112,0),IF((P112&gt;=6)*(1-(IF(Q112="",-1,Q112)&gt;=1)*(IF(Q112="",-1,Q112)&lt;=3))*(1-(IF(Q112="",-1,Q112)=0)),IF(C112="peso_corporal",IF(ISNUMBER(E112),E112,0)+O112,O112)*(30+P112)*100+O112,0),IF((S112&gt;=6)*(1-(IF(T112="",-1,T112)&gt;=1)*(IF(T112="",-1,T112)&lt;=3))*(1-(IF(T112="",-1,T112)=0)),IF(C112="peso_corporal",IF(ISNUMBER(E112),E112,0)+R112,R112)*(30+S112)*100+R112,0))</f>
        <v>0</v>
      </c>
      <c r="AB112" s="69">
        <f>IF(AA112=0,0,IF(IF((S112&gt;=6)*(1-(IF(T112="",-1,T112)&gt;=1)*(IF(T112="",-1,T112)&lt;=3))*(1-(IF(T112="",-1,T112)=0)),IF(C112="peso_corporal",IF(ISNUMBER(E112),E112,0)+R112,R112)*(30+S112)*100+R112,0)=AA112,5,IF(IF((P112&gt;=6)*(1-(IF(Q112="",-1,Q112)&gt;=1)*(IF(Q112="",-1,Q112)&lt;=3))*(1-(IF(Q112="",-1,Q112)=0)),IF(C112="peso_corporal",IF(ISNUMBER(E112),E112,0)+O112,O112)*(30+P112)*100+O112,0)=AA112,4,IF(IF((M112&gt;=6)*(1-(IF(N112="",-1,N112)&gt;=1)*(IF(N112="",-1,N112)&lt;=3))*(1-(IF(N112="",-1,N112)=0)),IF(C112="peso_corporal",IF(ISNUMBER(E112),E112,0)+L112,L112)*(30+M112)*100+L112,0)=AA112,3,IF(IF((J112&gt;=6)*(1-(IF(K112="",-1,K112)&gt;=1)*(IF(K112="",-1,K112)&lt;=3))*(1-(IF(K112="",-1,K112)=0)),IF(C112="peso_corporal",IF(ISNUMBER(E112),E112,0)+I112,I112)*(30+J112)*100+I112,0)=AA112,2,IF(IF((G112&gt;=6)*(1-(IF(H112="",-1,H112)&gt;=1)*(IF(H112="",-1,H112)&lt;=3))*(1-(IF(H112="",-1,H112)=0)),IF(C112="peso_corporal",IF(ISNUMBER(E112),E112,0)+F112,F112)*(30+G112)*100+F112,0)=AA112,1,0))))))</f>
        <v>0</v>
      </c>
      <c r="AC112" s="69" t="str">
        <f>IF(X112&gt;0,"A"&amp;X112,IF(Z112&gt;0,"B"&amp;Z112,IF(AB112&gt;0,"C"&amp;AB112,"")))</f>
        <v/>
      </c>
    </row>
    <row r="113" spans="1:29" ht="20.100000000000001" customHeight="1">
      <c r="A113" s="14" t="s">
        <v>163</v>
      </c>
      <c r="B113" s="15" t="s">
        <v>52</v>
      </c>
      <c r="C113" s="16" t="str">
        <f>IFERROR(INDEX(EJERCICIOS!$D$3:$D$75,MATCH(A113&amp;"|"&amp;B113,EJERCICIOS!$G$3:$G$75,0)),"--")</f>
        <v>polea</v>
      </c>
      <c r="D113" s="17">
        <v>3</v>
      </c>
      <c r="E113" s="18">
        <f>IFERROR(LOOKUP(2,1/(MEDIDAS_Y_PESO!$B$3:$B$7&lt;&gt;""),MEDIDAS_Y_PESO!$B$3:$B$7),"--")</f>
        <v>80</v>
      </c>
      <c r="F113" s="19"/>
      <c r="G113" s="20"/>
      <c r="H113" s="21"/>
      <c r="I113" s="19"/>
      <c r="J113" s="20"/>
      <c r="K113" s="21"/>
      <c r="L113" s="19"/>
      <c r="M113" s="20"/>
      <c r="N113" s="21"/>
      <c r="O113" s="19"/>
      <c r="P113" s="20"/>
      <c r="Q113" s="21"/>
      <c r="R113" s="19"/>
      <c r="S113" s="20"/>
      <c r="T113" s="21"/>
      <c r="U113" s="22" t="str">
        <f>IFERROR(IF(IF(X113&gt;0,X113,IF(Z113&gt;0,Z113,IF(AB113&gt;0,AB113,0)))=0,"--",ROUND(CHOOSE(IF(X113&gt;0,X113,IF(Z113&gt;0,Z113,IF(AB113&gt;0,AB113,0))),IF(C113="peso_corporal",IF(ISNUMBER(E113),E113,0)+F113,F113)*(1+G113/30),IF(C113="peso_corporal",IF(ISNUMBER(E113),E113,0)+I113,I113)*(1+J113/30),IF(C113="peso_corporal",IF(ISNUMBER(E113),E113,0)+L113,L113)*(1+M113/30),IF(C113="peso_corporal",IF(ISNUMBER(E113),E113,0)+O113,O113)*(1+P113/30),IF(C113="peso_corporal",IF(ISNUMBER(E113),E113,0)+R113,R113)*(1+S113/30)),1)),"--")</f>
        <v>--</v>
      </c>
      <c r="V113" s="23" t="str">
        <f>IF(SUGERENCIAS!N309="SIN","Sin datos anteriores",IF(SUGERENCIAS!N309="SUBIR_F","^ SUBIR FUERTE | Kg:"&amp;ROUND(SUGERENCIAS!K309,1)&amp;" R:"&amp;ROUND(SUGERENCIAS!L309,0)&amp;" RIR:"&amp;ROUND(SUGERENCIAS!M309,0),IF(SUGERENCIAS!N309="SUBIR_E","^ SUBIR (Est.) | Kg:"&amp;ROUND(SUGERENCIAS!K309,1)&amp;" R:"&amp;ROUND(SUGERENCIAS!L309,0)&amp;" RIR:"&amp;ROUND(SUGERENCIAS!M309,0),IF(SUGERENCIAS!N309="SUBIR","^ SUBIR | Kg:"&amp;ROUND(SUGERENCIAS!K309,1)&amp;" R:"&amp;ROUND(SUGERENCIAS!L309,0)&amp;" RIR:"&amp;ROUND(SUGERENCIAS!M309,0),IF(SUGERENCIAS!N309="BAJAR","v BAJAR | Kg:"&amp;ROUND(SUGERENCIAS!K309,1)&amp;" R:"&amp;ROUND(SUGERENCIAS!L309,0)&amp;" RIR:"&amp;ROUND(SUGERENCIAS!M309,0),"= MANT | Kg:"&amp;ROUND(SUGERENCIAS!K309,1)&amp;" R:"&amp;ROUND(SUGERENCIAS!L309,0)&amp;" RIR:"&amp;ROUND(SUGERENCIAS!M309,0))))))</f>
        <v>Sin datos anteriores</v>
      </c>
      <c r="W113" s="69">
        <f>MAX(IF((G113&gt;0)*(IF(H113="",-1,H113)&gt;=1)*(IF(H113="",-1,H113)&lt;=3),IF(C113="peso_corporal",IF(ISNUMBER(E113),E113,0)+F113,F113)*G113*1000+F113,0),IF((J113&gt;0)*(IF(K113="",-1,K113)&gt;=1)*(IF(K113="",-1,K113)&lt;=3),IF(C113="peso_corporal",IF(ISNUMBER(E113),E113,0)+I113,I113)*J113*1000+I113,0),IF((M113&gt;0)*(IF(N113="",-1,N113)&gt;=1)*(IF(N113="",-1,N113)&lt;=3),IF(C113="peso_corporal",IF(ISNUMBER(E113),E113,0)+L113,L113)*M113*1000+L113,0),IF((P113&gt;0)*(IF(Q113="",-1,Q113)&gt;=1)*(IF(Q113="",-1,Q113)&lt;=3),IF(C113="peso_corporal",IF(ISNUMBER(E113),E113,0)+O113,O113)*P113*1000+O113,0),IF((S113&gt;0)*(IF(T113="",-1,T113)&gt;=1)*(IF(T113="",-1,T113)&lt;=3),IF(C113="peso_corporal",IF(ISNUMBER(E113),E113,0)+R113,R113)*S113*1000+R113,0))</f>
        <v>0</v>
      </c>
      <c r="X113" s="69">
        <f>IF(W113=0,0,IF(IF((S113&gt;0)*(IF(T113="",-1,T113)&gt;=1)*(IF(T113="",-1,T113)&lt;=3),IF(C113="peso_corporal",IF(ISNUMBER(E113),E113,0)+R113,R113)*S113*1000+R113,0)=W113,5,IF(IF((P113&gt;0)*(IF(Q113="",-1,Q113)&gt;=1)*(IF(Q113="",-1,Q113)&lt;=3),IF(C113="peso_corporal",IF(ISNUMBER(E113),E113,0)+O113,O113)*P113*1000+O113,0)=W113,4,IF(IF((M113&gt;0)*(IF(N113="",-1,N113)&gt;=1)*(IF(N113="",-1,N113)&lt;=3),IF(C113="peso_corporal",IF(ISNUMBER(E113),E113,0)+L113,L113)*M113*1000+L113,0)=W113,3,IF(IF((J113&gt;0)*(IF(K113="",-1,K113)&gt;=1)*(IF(K113="",-1,K113)&lt;=3),IF(C113="peso_corporal",IF(ISNUMBER(E113),E113,0)+I113,I113)*J113*1000+I113,0)=W113,2,IF(IF((G113&gt;0)*(IF(H113="",-1,H113)&gt;=1)*(IF(H113="",-1,H113)&lt;=3),IF(C113="peso_corporal",IF(ISNUMBER(E113),E113,0)+F113,F113)*G113*1000+F113,0)=W113,1,0))))))</f>
        <v>0</v>
      </c>
      <c r="Y113" s="69">
        <f>MAX(IF((G113&gt;0)*(IF(H113="",-1,H113)=0)*(1-(IF(H113="",-1,H113)&gt;=1)*(IF(H113="",-1,H113)&lt;=3)),IF(C113="peso_corporal",IF(ISNUMBER(E113),E113,0)+F113,F113)*G113*1000+F113,0),IF((J113&gt;0)*(IF(K113="",-1,K113)=0)*(1-(IF(K113="",-1,K113)&gt;=1)*(IF(K113="",-1,K113)&lt;=3)),IF(C113="peso_corporal",IF(ISNUMBER(E113),E113,0)+I113,I113)*J113*1000+I113,0),IF((M113&gt;0)*(IF(N113="",-1,N113)=0)*(1-(IF(N113="",-1,N113)&gt;=1)*(IF(N113="",-1,N113)&lt;=3)),IF(C113="peso_corporal",IF(ISNUMBER(E113),E113,0)+L113,L113)*M113*1000+L113,0),IF((P113&gt;0)*(IF(Q113="",-1,Q113)=0)*(1-(IF(Q113="",-1,Q113)&gt;=1)*(IF(Q113="",-1,Q113)&lt;=3)),IF(C113="peso_corporal",IF(ISNUMBER(E113),E113,0)+O113,O113)*P113*1000+O113,0),IF((S113&gt;0)*(IF(T113="",-1,T113)=0)*(1-(IF(T113="",-1,T113)&gt;=1)*(IF(T113="",-1,T113)&lt;=3)),IF(C113="peso_corporal",IF(ISNUMBER(E113),E113,0)+R113,R113)*S113*1000+R113,0))</f>
        <v>0</v>
      </c>
      <c r="Z113" s="69">
        <f>IF(Y113=0,0,IF(IF((S113&gt;0)*(IF(T113="",-1,T113)=0)*(1-(IF(T113="",-1,T113)&gt;=1)*(IF(T113="",-1,T113)&lt;=3)),IF(C113="peso_corporal",IF(ISNUMBER(E113),E113,0)+R113,R113)*S113*1000+R113,0)=Y113,5,IF(IF((P113&gt;0)*(IF(Q113="",-1,Q113)=0)*(1-(IF(Q113="",-1,Q113)&gt;=1)*(IF(Q113="",-1,Q113)&lt;=3)),IF(C113="peso_corporal",IF(ISNUMBER(E113),E113,0)+O113,O113)*P113*1000+O113,0)=Y113,4,IF(IF((M113&gt;0)*(IF(N113="",-1,N113)=0)*(1-(IF(N113="",-1,N113)&gt;=1)*(IF(N113="",-1,N113)&lt;=3)),IF(C113="peso_corporal",IF(ISNUMBER(E113),E113,0)+L113,L113)*M113*1000+L113,0)=Y113,3,IF(IF((J113&gt;0)*(IF(K113="",-1,K113)=0)*(1-(IF(K113="",-1,K113)&gt;=1)*(IF(K113="",-1,K113)&lt;=3)),IF(C113="peso_corporal",IF(ISNUMBER(E113),E113,0)+I113,I113)*J113*1000+I113,0)=Y113,2,IF(IF((G113&gt;0)*(IF(H113="",-1,H113)=0)*(1-(IF(H113="",-1,H113)&gt;=1)*(IF(H113="",-1,H113)&lt;=3)),IF(C113="peso_corporal",IF(ISNUMBER(E113),E113,0)+F113,F113)*G113*1000+F113,0)=Y113,1,0))))))</f>
        <v>0</v>
      </c>
      <c r="AA113" s="69">
        <f>MAX(IF((G113&gt;=6)*(1-(IF(H113="",-1,H113)&gt;=1)*(IF(H113="",-1,H113)&lt;=3))*(1-(IF(H113="",-1,H113)=0)),IF(C113="peso_corporal",IF(ISNUMBER(E113),E113,0)+F113,F113)*(30+G113)*100+F113,0),IF((J113&gt;=6)*(1-(IF(K113="",-1,K113)&gt;=1)*(IF(K113="",-1,K113)&lt;=3))*(1-(IF(K113="",-1,K113)=0)),IF(C113="peso_corporal",IF(ISNUMBER(E113),E113,0)+I113,I113)*(30+J113)*100+I113,0),IF((M113&gt;=6)*(1-(IF(N113="",-1,N113)&gt;=1)*(IF(N113="",-1,N113)&lt;=3))*(1-(IF(N113="",-1,N113)=0)),IF(C113="peso_corporal",IF(ISNUMBER(E113),E113,0)+L113,L113)*(30+M113)*100+L113,0),IF((P113&gt;=6)*(1-(IF(Q113="",-1,Q113)&gt;=1)*(IF(Q113="",-1,Q113)&lt;=3))*(1-(IF(Q113="",-1,Q113)=0)),IF(C113="peso_corporal",IF(ISNUMBER(E113),E113,0)+O113,O113)*(30+P113)*100+O113,0),IF((S113&gt;=6)*(1-(IF(T113="",-1,T113)&gt;=1)*(IF(T113="",-1,T113)&lt;=3))*(1-(IF(T113="",-1,T113)=0)),IF(C113="peso_corporal",IF(ISNUMBER(E113),E113,0)+R113,R113)*(30+S113)*100+R113,0))</f>
        <v>0</v>
      </c>
      <c r="AB113" s="69">
        <f>IF(AA113=0,0,IF(IF((S113&gt;=6)*(1-(IF(T113="",-1,T113)&gt;=1)*(IF(T113="",-1,T113)&lt;=3))*(1-(IF(T113="",-1,T113)=0)),IF(C113="peso_corporal",IF(ISNUMBER(E113),E113,0)+R113,R113)*(30+S113)*100+R113,0)=AA113,5,IF(IF((P113&gt;=6)*(1-(IF(Q113="",-1,Q113)&gt;=1)*(IF(Q113="",-1,Q113)&lt;=3))*(1-(IF(Q113="",-1,Q113)=0)),IF(C113="peso_corporal",IF(ISNUMBER(E113),E113,0)+O113,O113)*(30+P113)*100+O113,0)=AA113,4,IF(IF((M113&gt;=6)*(1-(IF(N113="",-1,N113)&gt;=1)*(IF(N113="",-1,N113)&lt;=3))*(1-(IF(N113="",-1,N113)=0)),IF(C113="peso_corporal",IF(ISNUMBER(E113),E113,0)+L113,L113)*(30+M113)*100+L113,0)=AA113,3,IF(IF((J113&gt;=6)*(1-(IF(K113="",-1,K113)&gt;=1)*(IF(K113="",-1,K113)&lt;=3))*(1-(IF(K113="",-1,K113)=0)),IF(C113="peso_corporal",IF(ISNUMBER(E113),E113,0)+I113,I113)*(30+J113)*100+I113,0)=AA113,2,IF(IF((G113&gt;=6)*(1-(IF(H113="",-1,H113)&gt;=1)*(IF(H113="",-1,H113)&lt;=3))*(1-(IF(H113="",-1,H113)=0)),IF(C113="peso_corporal",IF(ISNUMBER(E113),E113,0)+F113,F113)*(30+G113)*100+F113,0)=AA113,1,0))))))</f>
        <v>0</v>
      </c>
      <c r="AC113" s="69" t="str">
        <f>IF(X113&gt;0,"A"&amp;X113,IF(Z113&gt;0,"B"&amp;Z113,IF(AB113&gt;0,"C"&amp;AB113,"")))</f>
        <v/>
      </c>
    </row>
    <row r="114" spans="1:29" ht="15" customHeight="1">
      <c r="A114" s="81" t="s">
        <v>53</v>
      </c>
      <c r="B114" s="73"/>
      <c r="C114" s="73"/>
      <c r="D114" s="73"/>
      <c r="E114" s="73"/>
      <c r="F114" s="73"/>
      <c r="G114" s="73"/>
      <c r="H114" s="73"/>
      <c r="I114" s="73"/>
      <c r="J114" s="73"/>
      <c r="K114" s="73"/>
      <c r="L114" s="73"/>
      <c r="M114" s="73"/>
      <c r="N114" s="73"/>
      <c r="O114" s="73"/>
      <c r="P114" s="73"/>
      <c r="Q114" s="73"/>
      <c r="R114" s="73"/>
      <c r="S114" s="73"/>
      <c r="T114" s="73"/>
      <c r="U114" s="73"/>
      <c r="V114" s="73"/>
      <c r="W114" s="69"/>
      <c r="X114" s="69"/>
      <c r="Y114" s="69"/>
      <c r="Z114" s="69"/>
      <c r="AA114" s="69"/>
      <c r="AB114" s="69"/>
      <c r="AC114" s="69"/>
    </row>
    <row r="115" spans="1:29" ht="20.100000000000001" customHeight="1">
      <c r="A115" s="14" t="s">
        <v>54</v>
      </c>
      <c r="B115" s="15" t="s">
        <v>115</v>
      </c>
      <c r="C115" s="16" t="str">
        <f>IFERROR(INDEX(EJERCICIOS!$D$3:$D$75,MATCH(A115&amp;"|"&amp;B115,EJERCICIOS!$G$3:$G$75,0)),"--")</f>
        <v>polea</v>
      </c>
      <c r="D115" s="17">
        <v>3</v>
      </c>
      <c r="E115" s="18">
        <f>IFERROR(LOOKUP(2,1/(MEDIDAS_Y_PESO!$B$3:$B$7&lt;&gt;""),MEDIDAS_Y_PESO!$B$3:$B$7),"--")</f>
        <v>80</v>
      </c>
      <c r="F115" s="19"/>
      <c r="G115" s="20"/>
      <c r="H115" s="21"/>
      <c r="I115" s="19"/>
      <c r="J115" s="20"/>
      <c r="K115" s="21"/>
      <c r="L115" s="19"/>
      <c r="M115" s="20"/>
      <c r="N115" s="21"/>
      <c r="O115" s="19"/>
      <c r="P115" s="20"/>
      <c r="Q115" s="21"/>
      <c r="R115" s="19"/>
      <c r="S115" s="20"/>
      <c r="T115" s="21"/>
      <c r="U115" s="22" t="str">
        <f>IFERROR(IF(IF(X115&gt;0,X115,IF(Z115&gt;0,Z115,IF(AB115&gt;0,AB115,0)))=0,"--",ROUND(CHOOSE(IF(X115&gt;0,X115,IF(Z115&gt;0,Z115,IF(AB115&gt;0,AB115,0))),IF(C115="peso_corporal",IF(ISNUMBER(E115),E115,0)+F115,F115)*(1+G115/30),IF(C115="peso_corporal",IF(ISNUMBER(E115),E115,0)+I115,I115)*(1+J115/30),IF(C115="peso_corporal",IF(ISNUMBER(E115),E115,0)+L115,L115)*(1+M115/30),IF(C115="peso_corporal",IF(ISNUMBER(E115),E115,0)+O115,O115)*(1+P115/30),IF(C115="peso_corporal",IF(ISNUMBER(E115),E115,0)+R115,R115)*(1+S115/30)),1)),"--")</f>
        <v>--</v>
      </c>
      <c r="V115" s="23" t="str">
        <f>IF(SUGERENCIAS!N310="SIN","Sin datos anteriores",IF(SUGERENCIAS!N310="SUBIR_F","^ SUBIR FUERTE | Kg:"&amp;ROUND(SUGERENCIAS!K310,1)&amp;" R:"&amp;ROUND(SUGERENCIAS!L310,0)&amp;" RIR:"&amp;ROUND(SUGERENCIAS!M310,0),IF(SUGERENCIAS!N310="SUBIR_E","^ SUBIR (Est.) | Kg:"&amp;ROUND(SUGERENCIAS!K310,1)&amp;" R:"&amp;ROUND(SUGERENCIAS!L310,0)&amp;" RIR:"&amp;ROUND(SUGERENCIAS!M310,0),IF(SUGERENCIAS!N310="SUBIR","^ SUBIR | Kg:"&amp;ROUND(SUGERENCIAS!K310,1)&amp;" R:"&amp;ROUND(SUGERENCIAS!L310,0)&amp;" RIR:"&amp;ROUND(SUGERENCIAS!M310,0),IF(SUGERENCIAS!N310="BAJAR","v BAJAR | Kg:"&amp;ROUND(SUGERENCIAS!K310,1)&amp;" R:"&amp;ROUND(SUGERENCIAS!L310,0)&amp;" RIR:"&amp;ROUND(SUGERENCIAS!M310,0),"= MANT | Kg:"&amp;ROUND(SUGERENCIAS!K310,1)&amp;" R:"&amp;ROUND(SUGERENCIAS!L310,0)&amp;" RIR:"&amp;ROUND(SUGERENCIAS!M310,0))))))</f>
        <v>= MANT | Kg:40 R:7 RIR:2</v>
      </c>
      <c r="W115" s="69">
        <f>MAX(IF((G115&gt;0)*(IF(H115="",-1,H115)&gt;=1)*(IF(H115="",-1,H115)&lt;=3),IF(C115="peso_corporal",IF(ISNUMBER(E115),E115,0)+F115,F115)*G115*1000+F115,0),IF((J115&gt;0)*(IF(K115="",-1,K115)&gt;=1)*(IF(K115="",-1,K115)&lt;=3),IF(C115="peso_corporal",IF(ISNUMBER(E115),E115,0)+I115,I115)*J115*1000+I115,0),IF((M115&gt;0)*(IF(N115="",-1,N115)&gt;=1)*(IF(N115="",-1,N115)&lt;=3),IF(C115="peso_corporal",IF(ISNUMBER(E115),E115,0)+L115,L115)*M115*1000+L115,0),IF((P115&gt;0)*(IF(Q115="",-1,Q115)&gt;=1)*(IF(Q115="",-1,Q115)&lt;=3),IF(C115="peso_corporal",IF(ISNUMBER(E115),E115,0)+O115,O115)*P115*1000+O115,0),IF((S115&gt;0)*(IF(T115="",-1,T115)&gt;=1)*(IF(T115="",-1,T115)&lt;=3),IF(C115="peso_corporal",IF(ISNUMBER(E115),E115,0)+R115,R115)*S115*1000+R115,0))</f>
        <v>0</v>
      </c>
      <c r="X115" s="69">
        <f>IF(W115=0,0,IF(IF((S115&gt;0)*(IF(T115="",-1,T115)&gt;=1)*(IF(T115="",-1,T115)&lt;=3),IF(C115="peso_corporal",IF(ISNUMBER(E115),E115,0)+R115,R115)*S115*1000+R115,0)=W115,5,IF(IF((P115&gt;0)*(IF(Q115="",-1,Q115)&gt;=1)*(IF(Q115="",-1,Q115)&lt;=3),IF(C115="peso_corporal",IF(ISNUMBER(E115),E115,0)+O115,O115)*P115*1000+O115,0)=W115,4,IF(IF((M115&gt;0)*(IF(N115="",-1,N115)&gt;=1)*(IF(N115="",-1,N115)&lt;=3),IF(C115="peso_corporal",IF(ISNUMBER(E115),E115,0)+L115,L115)*M115*1000+L115,0)=W115,3,IF(IF((J115&gt;0)*(IF(K115="",-1,K115)&gt;=1)*(IF(K115="",-1,K115)&lt;=3),IF(C115="peso_corporal",IF(ISNUMBER(E115),E115,0)+I115,I115)*J115*1000+I115,0)=W115,2,IF(IF((G115&gt;0)*(IF(H115="",-1,H115)&gt;=1)*(IF(H115="",-1,H115)&lt;=3),IF(C115="peso_corporal",IF(ISNUMBER(E115),E115,0)+F115,F115)*G115*1000+F115,0)=W115,1,0))))))</f>
        <v>0</v>
      </c>
      <c r="Y115" s="69">
        <f>MAX(IF((G115&gt;0)*(IF(H115="",-1,H115)=0)*(1-(IF(H115="",-1,H115)&gt;=1)*(IF(H115="",-1,H115)&lt;=3)),IF(C115="peso_corporal",IF(ISNUMBER(E115),E115,0)+F115,F115)*G115*1000+F115,0),IF((J115&gt;0)*(IF(K115="",-1,K115)=0)*(1-(IF(K115="",-1,K115)&gt;=1)*(IF(K115="",-1,K115)&lt;=3)),IF(C115="peso_corporal",IF(ISNUMBER(E115),E115,0)+I115,I115)*J115*1000+I115,0),IF((M115&gt;0)*(IF(N115="",-1,N115)=0)*(1-(IF(N115="",-1,N115)&gt;=1)*(IF(N115="",-1,N115)&lt;=3)),IF(C115="peso_corporal",IF(ISNUMBER(E115),E115,0)+L115,L115)*M115*1000+L115,0),IF((P115&gt;0)*(IF(Q115="",-1,Q115)=0)*(1-(IF(Q115="",-1,Q115)&gt;=1)*(IF(Q115="",-1,Q115)&lt;=3)),IF(C115="peso_corporal",IF(ISNUMBER(E115),E115,0)+O115,O115)*P115*1000+O115,0),IF((S115&gt;0)*(IF(T115="",-1,T115)=0)*(1-(IF(T115="",-1,T115)&gt;=1)*(IF(T115="",-1,T115)&lt;=3)),IF(C115="peso_corporal",IF(ISNUMBER(E115),E115,0)+R115,R115)*S115*1000+R115,0))</f>
        <v>0</v>
      </c>
      <c r="Z115" s="69">
        <f>IF(Y115=0,0,IF(IF((S115&gt;0)*(IF(T115="",-1,T115)=0)*(1-(IF(T115="",-1,T115)&gt;=1)*(IF(T115="",-1,T115)&lt;=3)),IF(C115="peso_corporal",IF(ISNUMBER(E115),E115,0)+R115,R115)*S115*1000+R115,0)=Y115,5,IF(IF((P115&gt;0)*(IF(Q115="",-1,Q115)=0)*(1-(IF(Q115="",-1,Q115)&gt;=1)*(IF(Q115="",-1,Q115)&lt;=3)),IF(C115="peso_corporal",IF(ISNUMBER(E115),E115,0)+O115,O115)*P115*1000+O115,0)=Y115,4,IF(IF((M115&gt;0)*(IF(N115="",-1,N115)=0)*(1-(IF(N115="",-1,N115)&gt;=1)*(IF(N115="",-1,N115)&lt;=3)),IF(C115="peso_corporal",IF(ISNUMBER(E115),E115,0)+L115,L115)*M115*1000+L115,0)=Y115,3,IF(IF((J115&gt;0)*(IF(K115="",-1,K115)=0)*(1-(IF(K115="",-1,K115)&gt;=1)*(IF(K115="",-1,K115)&lt;=3)),IF(C115="peso_corporal",IF(ISNUMBER(E115),E115,0)+I115,I115)*J115*1000+I115,0)=Y115,2,IF(IF((G115&gt;0)*(IF(H115="",-1,H115)=0)*(1-(IF(H115="",-1,H115)&gt;=1)*(IF(H115="",-1,H115)&lt;=3)),IF(C115="peso_corporal",IF(ISNUMBER(E115),E115,0)+F115,F115)*G115*1000+F115,0)=Y115,1,0))))))</f>
        <v>0</v>
      </c>
      <c r="AA115" s="69">
        <f>MAX(IF((G115&gt;=6)*(1-(IF(H115="",-1,H115)&gt;=1)*(IF(H115="",-1,H115)&lt;=3))*(1-(IF(H115="",-1,H115)=0)),IF(C115="peso_corporal",IF(ISNUMBER(E115),E115,0)+F115,F115)*(30+G115)*100+F115,0),IF((J115&gt;=6)*(1-(IF(K115="",-1,K115)&gt;=1)*(IF(K115="",-1,K115)&lt;=3))*(1-(IF(K115="",-1,K115)=0)),IF(C115="peso_corporal",IF(ISNUMBER(E115),E115,0)+I115,I115)*(30+J115)*100+I115,0),IF((M115&gt;=6)*(1-(IF(N115="",-1,N115)&gt;=1)*(IF(N115="",-1,N115)&lt;=3))*(1-(IF(N115="",-1,N115)=0)),IF(C115="peso_corporal",IF(ISNUMBER(E115),E115,0)+L115,L115)*(30+M115)*100+L115,0),IF((P115&gt;=6)*(1-(IF(Q115="",-1,Q115)&gt;=1)*(IF(Q115="",-1,Q115)&lt;=3))*(1-(IF(Q115="",-1,Q115)=0)),IF(C115="peso_corporal",IF(ISNUMBER(E115),E115,0)+O115,O115)*(30+P115)*100+O115,0),IF((S115&gt;=6)*(1-(IF(T115="",-1,T115)&gt;=1)*(IF(T115="",-1,T115)&lt;=3))*(1-(IF(T115="",-1,T115)=0)),IF(C115="peso_corporal",IF(ISNUMBER(E115),E115,0)+R115,R115)*(30+S115)*100+R115,0))</f>
        <v>0</v>
      </c>
      <c r="AB115" s="69">
        <f>IF(AA115=0,0,IF(IF((S115&gt;=6)*(1-(IF(T115="",-1,T115)&gt;=1)*(IF(T115="",-1,T115)&lt;=3))*(1-(IF(T115="",-1,T115)=0)),IF(C115="peso_corporal",IF(ISNUMBER(E115),E115,0)+R115,R115)*(30+S115)*100+R115,0)=AA115,5,IF(IF((P115&gt;=6)*(1-(IF(Q115="",-1,Q115)&gt;=1)*(IF(Q115="",-1,Q115)&lt;=3))*(1-(IF(Q115="",-1,Q115)=0)),IF(C115="peso_corporal",IF(ISNUMBER(E115),E115,0)+O115,O115)*(30+P115)*100+O115,0)=AA115,4,IF(IF((M115&gt;=6)*(1-(IF(N115="",-1,N115)&gt;=1)*(IF(N115="",-1,N115)&lt;=3))*(1-(IF(N115="",-1,N115)=0)),IF(C115="peso_corporal",IF(ISNUMBER(E115),E115,0)+L115,L115)*(30+M115)*100+L115,0)=AA115,3,IF(IF((J115&gt;=6)*(1-(IF(K115="",-1,K115)&gt;=1)*(IF(K115="",-1,K115)&lt;=3))*(1-(IF(K115="",-1,K115)=0)),IF(C115="peso_corporal",IF(ISNUMBER(E115),E115,0)+I115,I115)*(30+J115)*100+I115,0)=AA115,2,IF(IF((G115&gt;=6)*(1-(IF(H115="",-1,H115)&gt;=1)*(IF(H115="",-1,H115)&lt;=3))*(1-(IF(H115="",-1,H115)=0)),IF(C115="peso_corporal",IF(ISNUMBER(E115),E115,0)+F115,F115)*(30+G115)*100+F115,0)=AA115,1,0))))))</f>
        <v>0</v>
      </c>
      <c r="AC115" s="69" t="str">
        <f>IF(X115&gt;0,"A"&amp;X115,IF(Z115&gt;0,"B"&amp;Z115,IF(AB115&gt;0,"C"&amp;AB115,"")))</f>
        <v/>
      </c>
    </row>
    <row r="116" spans="1:29" ht="20.100000000000001" customHeight="1">
      <c r="A116" s="14" t="s">
        <v>116</v>
      </c>
      <c r="B116" s="15" t="s">
        <v>114</v>
      </c>
      <c r="C116" s="16" t="str">
        <f>IFERROR(INDEX(EJERCICIOS!$D$3:$D$75,MATCH(A116&amp;"|"&amp;B116,EJERCICIOS!$G$3:$G$75,0)),"--")</f>
        <v>polea</v>
      </c>
      <c r="D116" s="17">
        <v>3</v>
      </c>
      <c r="E116" s="18">
        <f>IFERROR(LOOKUP(2,1/(MEDIDAS_Y_PESO!$B$3:$B$7&lt;&gt;""),MEDIDAS_Y_PESO!$B$3:$B$7),"--")</f>
        <v>80</v>
      </c>
      <c r="F116" s="19"/>
      <c r="G116" s="20"/>
      <c r="H116" s="21"/>
      <c r="I116" s="19"/>
      <c r="J116" s="20"/>
      <c r="K116" s="21"/>
      <c r="L116" s="19"/>
      <c r="M116" s="20"/>
      <c r="N116" s="21"/>
      <c r="O116" s="19"/>
      <c r="P116" s="20"/>
      <c r="Q116" s="21"/>
      <c r="R116" s="19"/>
      <c r="S116" s="20"/>
      <c r="T116" s="21"/>
      <c r="U116" s="22" t="str">
        <f>IFERROR(IF(IF(X116&gt;0,X116,IF(Z116&gt;0,Z116,IF(AB116&gt;0,AB116,0)))=0,"--",ROUND(CHOOSE(IF(X116&gt;0,X116,IF(Z116&gt;0,Z116,IF(AB116&gt;0,AB116,0))),IF(C116="peso_corporal",IF(ISNUMBER(E116),E116,0)+F116,F116)*(1+G116/30),IF(C116="peso_corporal",IF(ISNUMBER(E116),E116,0)+I116,I116)*(1+J116/30),IF(C116="peso_corporal",IF(ISNUMBER(E116),E116,0)+L116,L116)*(1+M116/30),IF(C116="peso_corporal",IF(ISNUMBER(E116),E116,0)+O116,O116)*(1+P116/30),IF(C116="peso_corporal",IF(ISNUMBER(E116),E116,0)+R116,R116)*(1+S116/30)),1)),"--")</f>
        <v>--</v>
      </c>
      <c r="V116" s="23" t="str">
        <f>IF(SUGERENCIAS!N311="SIN","Sin datos anteriores",IF(SUGERENCIAS!N311="SUBIR_F","^ SUBIR FUERTE | Kg:"&amp;ROUND(SUGERENCIAS!K311,1)&amp;" R:"&amp;ROUND(SUGERENCIAS!L311,0)&amp;" RIR:"&amp;ROUND(SUGERENCIAS!M311,0),IF(SUGERENCIAS!N311="SUBIR_E","^ SUBIR (Est.) | Kg:"&amp;ROUND(SUGERENCIAS!K311,1)&amp;" R:"&amp;ROUND(SUGERENCIAS!L311,0)&amp;" RIR:"&amp;ROUND(SUGERENCIAS!M311,0),IF(SUGERENCIAS!N311="SUBIR","^ SUBIR | Kg:"&amp;ROUND(SUGERENCIAS!K311,1)&amp;" R:"&amp;ROUND(SUGERENCIAS!L311,0)&amp;" RIR:"&amp;ROUND(SUGERENCIAS!M311,0),IF(SUGERENCIAS!N311="BAJAR","v BAJAR | Kg:"&amp;ROUND(SUGERENCIAS!K311,1)&amp;" R:"&amp;ROUND(SUGERENCIAS!L311,0)&amp;" RIR:"&amp;ROUND(SUGERENCIAS!M311,0),"= MANT | Kg:"&amp;ROUND(SUGERENCIAS!K311,1)&amp;" R:"&amp;ROUND(SUGERENCIAS!L311,0)&amp;" RIR:"&amp;ROUND(SUGERENCIAS!M311,0))))))</f>
        <v>^ SUBIR | Kg:20 R:6 RIR:2</v>
      </c>
      <c r="W116" s="69">
        <f>MAX(IF((G116&gt;0)*(IF(H116="",-1,H116)&gt;=1)*(IF(H116="",-1,H116)&lt;=3),IF(C116="peso_corporal",IF(ISNUMBER(E116),E116,0)+F116,F116)*G116*1000+F116,0),IF((J116&gt;0)*(IF(K116="",-1,K116)&gt;=1)*(IF(K116="",-1,K116)&lt;=3),IF(C116="peso_corporal",IF(ISNUMBER(E116),E116,0)+I116,I116)*J116*1000+I116,0),IF((M116&gt;0)*(IF(N116="",-1,N116)&gt;=1)*(IF(N116="",-1,N116)&lt;=3),IF(C116="peso_corporal",IF(ISNUMBER(E116),E116,0)+L116,L116)*M116*1000+L116,0),IF((P116&gt;0)*(IF(Q116="",-1,Q116)&gt;=1)*(IF(Q116="",-1,Q116)&lt;=3),IF(C116="peso_corporal",IF(ISNUMBER(E116),E116,0)+O116,O116)*P116*1000+O116,0),IF((S116&gt;0)*(IF(T116="",-1,T116)&gt;=1)*(IF(T116="",-1,T116)&lt;=3),IF(C116="peso_corporal",IF(ISNUMBER(E116),E116,0)+R116,R116)*S116*1000+R116,0))</f>
        <v>0</v>
      </c>
      <c r="X116" s="69">
        <f>IF(W116=0,0,IF(IF((S116&gt;0)*(IF(T116="",-1,T116)&gt;=1)*(IF(T116="",-1,T116)&lt;=3),IF(C116="peso_corporal",IF(ISNUMBER(E116),E116,0)+R116,R116)*S116*1000+R116,0)=W116,5,IF(IF((P116&gt;0)*(IF(Q116="",-1,Q116)&gt;=1)*(IF(Q116="",-1,Q116)&lt;=3),IF(C116="peso_corporal",IF(ISNUMBER(E116),E116,0)+O116,O116)*P116*1000+O116,0)=W116,4,IF(IF((M116&gt;0)*(IF(N116="",-1,N116)&gt;=1)*(IF(N116="",-1,N116)&lt;=3),IF(C116="peso_corporal",IF(ISNUMBER(E116),E116,0)+L116,L116)*M116*1000+L116,0)=W116,3,IF(IF((J116&gt;0)*(IF(K116="",-1,K116)&gt;=1)*(IF(K116="",-1,K116)&lt;=3),IF(C116="peso_corporal",IF(ISNUMBER(E116),E116,0)+I116,I116)*J116*1000+I116,0)=W116,2,IF(IF((G116&gt;0)*(IF(H116="",-1,H116)&gt;=1)*(IF(H116="",-1,H116)&lt;=3),IF(C116="peso_corporal",IF(ISNUMBER(E116),E116,0)+F116,F116)*G116*1000+F116,0)=W116,1,0))))))</f>
        <v>0</v>
      </c>
      <c r="Y116" s="69">
        <f>MAX(IF((G116&gt;0)*(IF(H116="",-1,H116)=0)*(1-(IF(H116="",-1,H116)&gt;=1)*(IF(H116="",-1,H116)&lt;=3)),IF(C116="peso_corporal",IF(ISNUMBER(E116),E116,0)+F116,F116)*G116*1000+F116,0),IF((J116&gt;0)*(IF(K116="",-1,K116)=0)*(1-(IF(K116="",-1,K116)&gt;=1)*(IF(K116="",-1,K116)&lt;=3)),IF(C116="peso_corporal",IF(ISNUMBER(E116),E116,0)+I116,I116)*J116*1000+I116,0),IF((M116&gt;0)*(IF(N116="",-1,N116)=0)*(1-(IF(N116="",-1,N116)&gt;=1)*(IF(N116="",-1,N116)&lt;=3)),IF(C116="peso_corporal",IF(ISNUMBER(E116),E116,0)+L116,L116)*M116*1000+L116,0),IF((P116&gt;0)*(IF(Q116="",-1,Q116)=0)*(1-(IF(Q116="",-1,Q116)&gt;=1)*(IF(Q116="",-1,Q116)&lt;=3)),IF(C116="peso_corporal",IF(ISNUMBER(E116),E116,0)+O116,O116)*P116*1000+O116,0),IF((S116&gt;0)*(IF(T116="",-1,T116)=0)*(1-(IF(T116="",-1,T116)&gt;=1)*(IF(T116="",-1,T116)&lt;=3)),IF(C116="peso_corporal",IF(ISNUMBER(E116),E116,0)+R116,R116)*S116*1000+R116,0))</f>
        <v>0</v>
      </c>
      <c r="Z116" s="69">
        <f>IF(Y116=0,0,IF(IF((S116&gt;0)*(IF(T116="",-1,T116)=0)*(1-(IF(T116="",-1,T116)&gt;=1)*(IF(T116="",-1,T116)&lt;=3)),IF(C116="peso_corporal",IF(ISNUMBER(E116),E116,0)+R116,R116)*S116*1000+R116,0)=Y116,5,IF(IF((P116&gt;0)*(IF(Q116="",-1,Q116)=0)*(1-(IF(Q116="",-1,Q116)&gt;=1)*(IF(Q116="",-1,Q116)&lt;=3)),IF(C116="peso_corporal",IF(ISNUMBER(E116),E116,0)+O116,O116)*P116*1000+O116,0)=Y116,4,IF(IF((M116&gt;0)*(IF(N116="",-1,N116)=0)*(1-(IF(N116="",-1,N116)&gt;=1)*(IF(N116="",-1,N116)&lt;=3)),IF(C116="peso_corporal",IF(ISNUMBER(E116),E116,0)+L116,L116)*M116*1000+L116,0)=Y116,3,IF(IF((J116&gt;0)*(IF(K116="",-1,K116)=0)*(1-(IF(K116="",-1,K116)&gt;=1)*(IF(K116="",-1,K116)&lt;=3)),IF(C116="peso_corporal",IF(ISNUMBER(E116),E116,0)+I116,I116)*J116*1000+I116,0)=Y116,2,IF(IF((G116&gt;0)*(IF(H116="",-1,H116)=0)*(1-(IF(H116="",-1,H116)&gt;=1)*(IF(H116="",-1,H116)&lt;=3)),IF(C116="peso_corporal",IF(ISNUMBER(E116),E116,0)+F116,F116)*G116*1000+F116,0)=Y116,1,0))))))</f>
        <v>0</v>
      </c>
      <c r="AA116" s="69">
        <f>MAX(IF((G116&gt;=6)*(1-(IF(H116="",-1,H116)&gt;=1)*(IF(H116="",-1,H116)&lt;=3))*(1-(IF(H116="",-1,H116)=0)),IF(C116="peso_corporal",IF(ISNUMBER(E116),E116,0)+F116,F116)*(30+G116)*100+F116,0),IF((J116&gt;=6)*(1-(IF(K116="",-1,K116)&gt;=1)*(IF(K116="",-1,K116)&lt;=3))*(1-(IF(K116="",-1,K116)=0)),IF(C116="peso_corporal",IF(ISNUMBER(E116),E116,0)+I116,I116)*(30+J116)*100+I116,0),IF((M116&gt;=6)*(1-(IF(N116="",-1,N116)&gt;=1)*(IF(N116="",-1,N116)&lt;=3))*(1-(IF(N116="",-1,N116)=0)),IF(C116="peso_corporal",IF(ISNUMBER(E116),E116,0)+L116,L116)*(30+M116)*100+L116,0),IF((P116&gt;=6)*(1-(IF(Q116="",-1,Q116)&gt;=1)*(IF(Q116="",-1,Q116)&lt;=3))*(1-(IF(Q116="",-1,Q116)=0)),IF(C116="peso_corporal",IF(ISNUMBER(E116),E116,0)+O116,O116)*(30+P116)*100+O116,0),IF((S116&gt;=6)*(1-(IF(T116="",-1,T116)&gt;=1)*(IF(T116="",-1,T116)&lt;=3))*(1-(IF(T116="",-1,T116)=0)),IF(C116="peso_corporal",IF(ISNUMBER(E116),E116,0)+R116,R116)*(30+S116)*100+R116,0))</f>
        <v>0</v>
      </c>
      <c r="AB116" s="69">
        <f>IF(AA116=0,0,IF(IF((S116&gt;=6)*(1-(IF(T116="",-1,T116)&gt;=1)*(IF(T116="",-1,T116)&lt;=3))*(1-(IF(T116="",-1,T116)=0)),IF(C116="peso_corporal",IF(ISNUMBER(E116),E116,0)+R116,R116)*(30+S116)*100+R116,0)=AA116,5,IF(IF((P116&gt;=6)*(1-(IF(Q116="",-1,Q116)&gt;=1)*(IF(Q116="",-1,Q116)&lt;=3))*(1-(IF(Q116="",-1,Q116)=0)),IF(C116="peso_corporal",IF(ISNUMBER(E116),E116,0)+O116,O116)*(30+P116)*100+O116,0)=AA116,4,IF(IF((M116&gt;=6)*(1-(IF(N116="",-1,N116)&gt;=1)*(IF(N116="",-1,N116)&lt;=3))*(1-(IF(N116="",-1,N116)=0)),IF(C116="peso_corporal",IF(ISNUMBER(E116),E116,0)+L116,L116)*(30+M116)*100+L116,0)=AA116,3,IF(IF((J116&gt;=6)*(1-(IF(K116="",-1,K116)&gt;=1)*(IF(K116="",-1,K116)&lt;=3))*(1-(IF(K116="",-1,K116)=0)),IF(C116="peso_corporal",IF(ISNUMBER(E116),E116,0)+I116,I116)*(30+J116)*100+I116,0)=AA116,2,IF(IF((G116&gt;=6)*(1-(IF(H116="",-1,H116)&gt;=1)*(IF(H116="",-1,H116)&lt;=3))*(1-(IF(H116="",-1,H116)=0)),IF(C116="peso_corporal",IF(ISNUMBER(E116),E116,0)+F116,F116)*(30+G116)*100+F116,0)=AA116,1,0))))))</f>
        <v>0</v>
      </c>
      <c r="AC116" s="69" t="str">
        <f>IF(X116&gt;0,"A"&amp;X116,IF(Z116&gt;0,"B"&amp;Z116,IF(AB116&gt;0,"C"&amp;AB116,"")))</f>
        <v/>
      </c>
    </row>
    <row r="117" spans="1:29" ht="15" customHeight="1">
      <c r="A117" s="83" t="s">
        <v>99</v>
      </c>
      <c r="B117" s="73"/>
      <c r="C117" s="73"/>
      <c r="D117" s="73"/>
      <c r="E117" s="73"/>
      <c r="F117" s="73"/>
      <c r="G117" s="73"/>
      <c r="H117" s="73"/>
      <c r="I117" s="73"/>
      <c r="J117" s="73"/>
      <c r="K117" s="73"/>
      <c r="L117" s="73"/>
      <c r="M117" s="73"/>
      <c r="N117" s="73"/>
      <c r="O117" s="73"/>
      <c r="P117" s="73"/>
      <c r="Q117" s="73"/>
      <c r="R117" s="73"/>
      <c r="S117" s="73"/>
      <c r="T117" s="73"/>
      <c r="U117" s="73"/>
      <c r="V117" s="73"/>
      <c r="W117" s="69"/>
      <c r="X117" s="69"/>
      <c r="Y117" s="69"/>
      <c r="Z117" s="69"/>
      <c r="AA117" s="69"/>
      <c r="AB117" s="69"/>
      <c r="AC117" s="69"/>
    </row>
    <row r="118" spans="1:29" ht="20.100000000000001" customHeight="1">
      <c r="A118" s="14" t="s">
        <v>100</v>
      </c>
      <c r="B118" s="15" t="s">
        <v>101</v>
      </c>
      <c r="C118" s="16" t="str">
        <f>IFERROR(INDEX(EJERCICIOS!$D$3:$D$75,MATCH(A118&amp;"|"&amp;B118,EJERCICIOS!$G$3:$G$75,0)),"--")</f>
        <v>mancuerna</v>
      </c>
      <c r="D118" s="17">
        <v>3</v>
      </c>
      <c r="E118" s="18">
        <f>IFERROR(LOOKUP(2,1/(MEDIDAS_Y_PESO!$B$3:$B$7&lt;&gt;""),MEDIDAS_Y_PESO!$B$3:$B$7),"--")</f>
        <v>80</v>
      </c>
      <c r="F118" s="19"/>
      <c r="G118" s="20"/>
      <c r="H118" s="21"/>
      <c r="I118" s="19"/>
      <c r="J118" s="20"/>
      <c r="K118" s="21"/>
      <c r="L118" s="19"/>
      <c r="M118" s="20"/>
      <c r="N118" s="21"/>
      <c r="O118" s="19"/>
      <c r="P118" s="20"/>
      <c r="Q118" s="21"/>
      <c r="R118" s="19"/>
      <c r="S118" s="20"/>
      <c r="T118" s="21"/>
      <c r="U118" s="22" t="str">
        <f>IFERROR(IF(IF(X118&gt;0,X118,IF(Z118&gt;0,Z118,IF(AB118&gt;0,AB118,0)))=0,"--",ROUND(CHOOSE(IF(X118&gt;0,X118,IF(Z118&gt;0,Z118,IF(AB118&gt;0,AB118,0))),IF(C118="peso_corporal",IF(ISNUMBER(E118),E118,0)+F118,F118)*(1+G118/30),IF(C118="peso_corporal",IF(ISNUMBER(E118),E118,0)+I118,I118)*(1+J118/30),IF(C118="peso_corporal",IF(ISNUMBER(E118),E118,0)+L118,L118)*(1+M118/30),IF(C118="peso_corporal",IF(ISNUMBER(E118),E118,0)+O118,O118)*(1+P118/30),IF(C118="peso_corporal",IF(ISNUMBER(E118),E118,0)+R118,R118)*(1+S118/30)),1)),"--")</f>
        <v>--</v>
      </c>
      <c r="V118" s="23" t="str">
        <f>IF(SUGERENCIAS!N312="SIN","Sin datos anteriores",IF(SUGERENCIAS!N312="SUBIR_F","^ SUBIR FUERTE | Kg:"&amp;ROUND(SUGERENCIAS!K312,1)&amp;" R:"&amp;ROUND(SUGERENCIAS!L312,0)&amp;" RIR:"&amp;ROUND(SUGERENCIAS!M312,0),IF(SUGERENCIAS!N312="SUBIR_E","^ SUBIR (Est.) | Kg:"&amp;ROUND(SUGERENCIAS!K312,1)&amp;" R:"&amp;ROUND(SUGERENCIAS!L312,0)&amp;" RIR:"&amp;ROUND(SUGERENCIAS!M312,0),IF(SUGERENCIAS!N312="SUBIR","^ SUBIR | Kg:"&amp;ROUND(SUGERENCIAS!K312,1)&amp;" R:"&amp;ROUND(SUGERENCIAS!L312,0)&amp;" RIR:"&amp;ROUND(SUGERENCIAS!M312,0),IF(SUGERENCIAS!N312="BAJAR","v BAJAR | Kg:"&amp;ROUND(SUGERENCIAS!K312,1)&amp;" R:"&amp;ROUND(SUGERENCIAS!L312,0)&amp;" RIR:"&amp;ROUND(SUGERENCIAS!M312,0),"= MANT | Kg:"&amp;ROUND(SUGERENCIAS!K312,1)&amp;" R:"&amp;ROUND(SUGERENCIAS!L312,0)&amp;" RIR:"&amp;ROUND(SUGERENCIAS!M312,0))))))</f>
        <v>Sin datos anteriores</v>
      </c>
      <c r="W118" s="69">
        <f>MAX(IF((G118&gt;0)*(IF(H118="",-1,H118)&gt;=1)*(IF(H118="",-1,H118)&lt;=3),IF(C118="peso_corporal",IF(ISNUMBER(E118),E118,0)+F118,F118)*G118*1000+F118,0),IF((J118&gt;0)*(IF(K118="",-1,K118)&gt;=1)*(IF(K118="",-1,K118)&lt;=3),IF(C118="peso_corporal",IF(ISNUMBER(E118),E118,0)+I118,I118)*J118*1000+I118,0),IF((M118&gt;0)*(IF(N118="",-1,N118)&gt;=1)*(IF(N118="",-1,N118)&lt;=3),IF(C118="peso_corporal",IF(ISNUMBER(E118),E118,0)+L118,L118)*M118*1000+L118,0),IF((P118&gt;0)*(IF(Q118="",-1,Q118)&gt;=1)*(IF(Q118="",-1,Q118)&lt;=3),IF(C118="peso_corporal",IF(ISNUMBER(E118),E118,0)+O118,O118)*P118*1000+O118,0),IF((S118&gt;0)*(IF(T118="",-1,T118)&gt;=1)*(IF(T118="",-1,T118)&lt;=3),IF(C118="peso_corporal",IF(ISNUMBER(E118),E118,0)+R118,R118)*S118*1000+R118,0))</f>
        <v>0</v>
      </c>
      <c r="X118" s="69">
        <f>IF(W118=0,0,IF(IF((S118&gt;0)*(IF(T118="",-1,T118)&gt;=1)*(IF(T118="",-1,T118)&lt;=3),IF(C118="peso_corporal",IF(ISNUMBER(E118),E118,0)+R118,R118)*S118*1000+R118,0)=W118,5,IF(IF((P118&gt;0)*(IF(Q118="",-1,Q118)&gt;=1)*(IF(Q118="",-1,Q118)&lt;=3),IF(C118="peso_corporal",IF(ISNUMBER(E118),E118,0)+O118,O118)*P118*1000+O118,0)=W118,4,IF(IF((M118&gt;0)*(IF(N118="",-1,N118)&gt;=1)*(IF(N118="",-1,N118)&lt;=3),IF(C118="peso_corporal",IF(ISNUMBER(E118),E118,0)+L118,L118)*M118*1000+L118,0)=W118,3,IF(IF((J118&gt;0)*(IF(K118="",-1,K118)&gt;=1)*(IF(K118="",-1,K118)&lt;=3),IF(C118="peso_corporal",IF(ISNUMBER(E118),E118,0)+I118,I118)*J118*1000+I118,0)=W118,2,IF(IF((G118&gt;0)*(IF(H118="",-1,H118)&gt;=1)*(IF(H118="",-1,H118)&lt;=3),IF(C118="peso_corporal",IF(ISNUMBER(E118),E118,0)+F118,F118)*G118*1000+F118,0)=W118,1,0))))))</f>
        <v>0</v>
      </c>
      <c r="Y118" s="69">
        <f>MAX(IF((G118&gt;0)*(IF(H118="",-1,H118)=0)*(1-(IF(H118="",-1,H118)&gt;=1)*(IF(H118="",-1,H118)&lt;=3)),IF(C118="peso_corporal",IF(ISNUMBER(E118),E118,0)+F118,F118)*G118*1000+F118,0),IF((J118&gt;0)*(IF(K118="",-1,K118)=0)*(1-(IF(K118="",-1,K118)&gt;=1)*(IF(K118="",-1,K118)&lt;=3)),IF(C118="peso_corporal",IF(ISNUMBER(E118),E118,0)+I118,I118)*J118*1000+I118,0),IF((M118&gt;0)*(IF(N118="",-1,N118)=0)*(1-(IF(N118="",-1,N118)&gt;=1)*(IF(N118="",-1,N118)&lt;=3)),IF(C118="peso_corporal",IF(ISNUMBER(E118),E118,0)+L118,L118)*M118*1000+L118,0),IF((P118&gt;0)*(IF(Q118="",-1,Q118)=0)*(1-(IF(Q118="",-1,Q118)&gt;=1)*(IF(Q118="",-1,Q118)&lt;=3)),IF(C118="peso_corporal",IF(ISNUMBER(E118),E118,0)+O118,O118)*P118*1000+O118,0),IF((S118&gt;0)*(IF(T118="",-1,T118)=0)*(1-(IF(T118="",-1,T118)&gt;=1)*(IF(T118="",-1,T118)&lt;=3)),IF(C118="peso_corporal",IF(ISNUMBER(E118),E118,0)+R118,R118)*S118*1000+R118,0))</f>
        <v>0</v>
      </c>
      <c r="Z118" s="69">
        <f>IF(Y118=0,0,IF(IF((S118&gt;0)*(IF(T118="",-1,T118)=0)*(1-(IF(T118="",-1,T118)&gt;=1)*(IF(T118="",-1,T118)&lt;=3)),IF(C118="peso_corporal",IF(ISNUMBER(E118),E118,0)+R118,R118)*S118*1000+R118,0)=Y118,5,IF(IF((P118&gt;0)*(IF(Q118="",-1,Q118)=0)*(1-(IF(Q118="",-1,Q118)&gt;=1)*(IF(Q118="",-1,Q118)&lt;=3)),IF(C118="peso_corporal",IF(ISNUMBER(E118),E118,0)+O118,O118)*P118*1000+O118,0)=Y118,4,IF(IF((M118&gt;0)*(IF(N118="",-1,N118)=0)*(1-(IF(N118="",-1,N118)&gt;=1)*(IF(N118="",-1,N118)&lt;=3)),IF(C118="peso_corporal",IF(ISNUMBER(E118),E118,0)+L118,L118)*M118*1000+L118,0)=Y118,3,IF(IF((J118&gt;0)*(IF(K118="",-1,K118)=0)*(1-(IF(K118="",-1,K118)&gt;=1)*(IF(K118="",-1,K118)&lt;=3)),IF(C118="peso_corporal",IF(ISNUMBER(E118),E118,0)+I118,I118)*J118*1000+I118,0)=Y118,2,IF(IF((G118&gt;0)*(IF(H118="",-1,H118)=0)*(1-(IF(H118="",-1,H118)&gt;=1)*(IF(H118="",-1,H118)&lt;=3)),IF(C118="peso_corporal",IF(ISNUMBER(E118),E118,0)+F118,F118)*G118*1000+F118,0)=Y118,1,0))))))</f>
        <v>0</v>
      </c>
      <c r="AA118" s="69">
        <f>MAX(IF((G118&gt;=6)*(1-(IF(H118="",-1,H118)&gt;=1)*(IF(H118="",-1,H118)&lt;=3))*(1-(IF(H118="",-1,H118)=0)),IF(C118="peso_corporal",IF(ISNUMBER(E118),E118,0)+F118,F118)*(30+G118)*100+F118,0),IF((J118&gt;=6)*(1-(IF(K118="",-1,K118)&gt;=1)*(IF(K118="",-1,K118)&lt;=3))*(1-(IF(K118="",-1,K118)=0)),IF(C118="peso_corporal",IF(ISNUMBER(E118),E118,0)+I118,I118)*(30+J118)*100+I118,0),IF((M118&gt;=6)*(1-(IF(N118="",-1,N118)&gt;=1)*(IF(N118="",-1,N118)&lt;=3))*(1-(IF(N118="",-1,N118)=0)),IF(C118="peso_corporal",IF(ISNUMBER(E118),E118,0)+L118,L118)*(30+M118)*100+L118,0),IF((P118&gt;=6)*(1-(IF(Q118="",-1,Q118)&gt;=1)*(IF(Q118="",-1,Q118)&lt;=3))*(1-(IF(Q118="",-1,Q118)=0)),IF(C118="peso_corporal",IF(ISNUMBER(E118),E118,0)+O118,O118)*(30+P118)*100+O118,0),IF((S118&gt;=6)*(1-(IF(T118="",-1,T118)&gt;=1)*(IF(T118="",-1,T118)&lt;=3))*(1-(IF(T118="",-1,T118)=0)),IF(C118="peso_corporal",IF(ISNUMBER(E118),E118,0)+R118,R118)*(30+S118)*100+R118,0))</f>
        <v>0</v>
      </c>
      <c r="AB118" s="69">
        <f>IF(AA118=0,0,IF(IF((S118&gt;=6)*(1-(IF(T118="",-1,T118)&gt;=1)*(IF(T118="",-1,T118)&lt;=3))*(1-(IF(T118="",-1,T118)=0)),IF(C118="peso_corporal",IF(ISNUMBER(E118),E118,0)+R118,R118)*(30+S118)*100+R118,0)=AA118,5,IF(IF((P118&gt;=6)*(1-(IF(Q118="",-1,Q118)&gt;=1)*(IF(Q118="",-1,Q118)&lt;=3))*(1-(IF(Q118="",-1,Q118)=0)),IF(C118="peso_corporal",IF(ISNUMBER(E118),E118,0)+O118,O118)*(30+P118)*100+O118,0)=AA118,4,IF(IF((M118&gt;=6)*(1-(IF(N118="",-1,N118)&gt;=1)*(IF(N118="",-1,N118)&lt;=3))*(1-(IF(N118="",-1,N118)=0)),IF(C118="peso_corporal",IF(ISNUMBER(E118),E118,0)+L118,L118)*(30+M118)*100+L118,0)=AA118,3,IF(IF((J118&gt;=6)*(1-(IF(K118="",-1,K118)&gt;=1)*(IF(K118="",-1,K118)&lt;=3))*(1-(IF(K118="",-1,K118)=0)),IF(C118="peso_corporal",IF(ISNUMBER(E118),E118,0)+I118,I118)*(30+J118)*100+I118,0)=AA118,2,IF(IF((G118&gt;=6)*(1-(IF(H118="",-1,H118)&gt;=1)*(IF(H118="",-1,H118)&lt;=3))*(1-(IF(H118="",-1,H118)=0)),IF(C118="peso_corporal",IF(ISNUMBER(E118),E118,0)+F118,F118)*(30+G118)*100+F118,0)=AA118,1,0))))))</f>
        <v>0</v>
      </c>
      <c r="AC118" s="69" t="str">
        <f>IF(X118&gt;0,"A"&amp;X118,IF(Z118&gt;0,"B"&amp;Z118,IF(AB118&gt;0,"C"&amp;AB118,"")))</f>
        <v/>
      </c>
    </row>
    <row r="119" spans="1:29" ht="20.100000000000001" customHeight="1">
      <c r="A119" s="14" t="s">
        <v>100</v>
      </c>
      <c r="B119" s="15" t="s">
        <v>102</v>
      </c>
      <c r="C119" s="16" t="str">
        <f>IFERROR(INDEX(EJERCICIOS!$D$3:$D$75,MATCH(A119&amp;"|"&amp;B119,EJERCICIOS!$G$3:$G$75,0)),"--")</f>
        <v>mancuerna</v>
      </c>
      <c r="D119" s="17">
        <v>3</v>
      </c>
      <c r="E119" s="18">
        <f>IFERROR(LOOKUP(2,1/(MEDIDAS_Y_PESO!$B$3:$B$7&lt;&gt;""),MEDIDAS_Y_PESO!$B$3:$B$7),"--")</f>
        <v>80</v>
      </c>
      <c r="F119" s="19"/>
      <c r="G119" s="20"/>
      <c r="H119" s="21"/>
      <c r="I119" s="19"/>
      <c r="J119" s="20"/>
      <c r="K119" s="21"/>
      <c r="L119" s="19"/>
      <c r="M119" s="20"/>
      <c r="N119" s="21"/>
      <c r="O119" s="19"/>
      <c r="P119" s="20"/>
      <c r="Q119" s="21"/>
      <c r="R119" s="19"/>
      <c r="S119" s="20"/>
      <c r="T119" s="21"/>
      <c r="U119" s="22" t="str">
        <f>IFERROR(IF(IF(X119&gt;0,X119,IF(Z119&gt;0,Z119,IF(AB119&gt;0,AB119,0)))=0,"--",ROUND(CHOOSE(IF(X119&gt;0,X119,IF(Z119&gt;0,Z119,IF(AB119&gt;0,AB119,0))),IF(C119="peso_corporal",IF(ISNUMBER(E119),E119,0)+F119,F119)*(1+G119/30),IF(C119="peso_corporal",IF(ISNUMBER(E119),E119,0)+I119,I119)*(1+J119/30),IF(C119="peso_corporal",IF(ISNUMBER(E119),E119,0)+L119,L119)*(1+M119/30),IF(C119="peso_corporal",IF(ISNUMBER(E119),E119,0)+O119,O119)*(1+P119/30),IF(C119="peso_corporal",IF(ISNUMBER(E119),E119,0)+R119,R119)*(1+S119/30)),1)),"--")</f>
        <v>--</v>
      </c>
      <c r="V119" s="23" t="str">
        <f>IF(SUGERENCIAS!N313="SIN","Sin datos anteriores",IF(SUGERENCIAS!N313="SUBIR_F","^ SUBIR FUERTE | Kg:"&amp;ROUND(SUGERENCIAS!K313,1)&amp;" R:"&amp;ROUND(SUGERENCIAS!L313,0)&amp;" RIR:"&amp;ROUND(SUGERENCIAS!M313,0),IF(SUGERENCIAS!N313="SUBIR_E","^ SUBIR (Est.) | Kg:"&amp;ROUND(SUGERENCIAS!K313,1)&amp;" R:"&amp;ROUND(SUGERENCIAS!L313,0)&amp;" RIR:"&amp;ROUND(SUGERENCIAS!M313,0),IF(SUGERENCIAS!N313="SUBIR","^ SUBIR | Kg:"&amp;ROUND(SUGERENCIAS!K313,1)&amp;" R:"&amp;ROUND(SUGERENCIAS!L313,0)&amp;" RIR:"&amp;ROUND(SUGERENCIAS!M313,0),IF(SUGERENCIAS!N313="BAJAR","v BAJAR | Kg:"&amp;ROUND(SUGERENCIAS!K313,1)&amp;" R:"&amp;ROUND(SUGERENCIAS!L313,0)&amp;" RIR:"&amp;ROUND(SUGERENCIAS!M313,0),"= MANT | Kg:"&amp;ROUND(SUGERENCIAS!K313,1)&amp;" R:"&amp;ROUND(SUGERENCIAS!L313,0)&amp;" RIR:"&amp;ROUND(SUGERENCIAS!M313,0))))))</f>
        <v>Sin datos anteriores</v>
      </c>
      <c r="W119" s="69">
        <f>MAX(IF((G119&gt;0)*(IF(H119="",-1,H119)&gt;=1)*(IF(H119="",-1,H119)&lt;=3),IF(C119="peso_corporal",IF(ISNUMBER(E119),E119,0)+F119,F119)*G119*1000+F119,0),IF((J119&gt;0)*(IF(K119="",-1,K119)&gt;=1)*(IF(K119="",-1,K119)&lt;=3),IF(C119="peso_corporal",IF(ISNUMBER(E119),E119,0)+I119,I119)*J119*1000+I119,0),IF((M119&gt;0)*(IF(N119="",-1,N119)&gt;=1)*(IF(N119="",-1,N119)&lt;=3),IF(C119="peso_corporal",IF(ISNUMBER(E119),E119,0)+L119,L119)*M119*1000+L119,0),IF((P119&gt;0)*(IF(Q119="",-1,Q119)&gt;=1)*(IF(Q119="",-1,Q119)&lt;=3),IF(C119="peso_corporal",IF(ISNUMBER(E119),E119,0)+O119,O119)*P119*1000+O119,0),IF((S119&gt;0)*(IF(T119="",-1,T119)&gt;=1)*(IF(T119="",-1,T119)&lt;=3),IF(C119="peso_corporal",IF(ISNUMBER(E119),E119,0)+R119,R119)*S119*1000+R119,0))</f>
        <v>0</v>
      </c>
      <c r="X119" s="69">
        <f>IF(W119=0,0,IF(IF((S119&gt;0)*(IF(T119="",-1,T119)&gt;=1)*(IF(T119="",-1,T119)&lt;=3),IF(C119="peso_corporal",IF(ISNUMBER(E119),E119,0)+R119,R119)*S119*1000+R119,0)=W119,5,IF(IF((P119&gt;0)*(IF(Q119="",-1,Q119)&gt;=1)*(IF(Q119="",-1,Q119)&lt;=3),IF(C119="peso_corporal",IF(ISNUMBER(E119),E119,0)+O119,O119)*P119*1000+O119,0)=W119,4,IF(IF((M119&gt;0)*(IF(N119="",-1,N119)&gt;=1)*(IF(N119="",-1,N119)&lt;=3),IF(C119="peso_corporal",IF(ISNUMBER(E119),E119,0)+L119,L119)*M119*1000+L119,0)=W119,3,IF(IF((J119&gt;0)*(IF(K119="",-1,K119)&gt;=1)*(IF(K119="",-1,K119)&lt;=3),IF(C119="peso_corporal",IF(ISNUMBER(E119),E119,0)+I119,I119)*J119*1000+I119,0)=W119,2,IF(IF((G119&gt;0)*(IF(H119="",-1,H119)&gt;=1)*(IF(H119="",-1,H119)&lt;=3),IF(C119="peso_corporal",IF(ISNUMBER(E119),E119,0)+F119,F119)*G119*1000+F119,0)=W119,1,0))))))</f>
        <v>0</v>
      </c>
      <c r="Y119" s="69">
        <f>MAX(IF((G119&gt;0)*(IF(H119="",-1,H119)=0)*(1-(IF(H119="",-1,H119)&gt;=1)*(IF(H119="",-1,H119)&lt;=3)),IF(C119="peso_corporal",IF(ISNUMBER(E119),E119,0)+F119,F119)*G119*1000+F119,0),IF((J119&gt;0)*(IF(K119="",-1,K119)=0)*(1-(IF(K119="",-1,K119)&gt;=1)*(IF(K119="",-1,K119)&lt;=3)),IF(C119="peso_corporal",IF(ISNUMBER(E119),E119,0)+I119,I119)*J119*1000+I119,0),IF((M119&gt;0)*(IF(N119="",-1,N119)=0)*(1-(IF(N119="",-1,N119)&gt;=1)*(IF(N119="",-1,N119)&lt;=3)),IF(C119="peso_corporal",IF(ISNUMBER(E119),E119,0)+L119,L119)*M119*1000+L119,0),IF((P119&gt;0)*(IF(Q119="",-1,Q119)=0)*(1-(IF(Q119="",-1,Q119)&gt;=1)*(IF(Q119="",-1,Q119)&lt;=3)),IF(C119="peso_corporal",IF(ISNUMBER(E119),E119,0)+O119,O119)*P119*1000+O119,0),IF((S119&gt;0)*(IF(T119="",-1,T119)=0)*(1-(IF(T119="",-1,T119)&gt;=1)*(IF(T119="",-1,T119)&lt;=3)),IF(C119="peso_corporal",IF(ISNUMBER(E119),E119,0)+R119,R119)*S119*1000+R119,0))</f>
        <v>0</v>
      </c>
      <c r="Z119" s="69">
        <f>IF(Y119=0,0,IF(IF((S119&gt;0)*(IF(T119="",-1,T119)=0)*(1-(IF(T119="",-1,T119)&gt;=1)*(IF(T119="",-1,T119)&lt;=3)),IF(C119="peso_corporal",IF(ISNUMBER(E119),E119,0)+R119,R119)*S119*1000+R119,0)=Y119,5,IF(IF((P119&gt;0)*(IF(Q119="",-1,Q119)=0)*(1-(IF(Q119="",-1,Q119)&gt;=1)*(IF(Q119="",-1,Q119)&lt;=3)),IF(C119="peso_corporal",IF(ISNUMBER(E119),E119,0)+O119,O119)*P119*1000+O119,0)=Y119,4,IF(IF((M119&gt;0)*(IF(N119="",-1,N119)=0)*(1-(IF(N119="",-1,N119)&gt;=1)*(IF(N119="",-1,N119)&lt;=3)),IF(C119="peso_corporal",IF(ISNUMBER(E119),E119,0)+L119,L119)*M119*1000+L119,0)=Y119,3,IF(IF((J119&gt;0)*(IF(K119="",-1,K119)=0)*(1-(IF(K119="",-1,K119)&gt;=1)*(IF(K119="",-1,K119)&lt;=3)),IF(C119="peso_corporal",IF(ISNUMBER(E119),E119,0)+I119,I119)*J119*1000+I119,0)=Y119,2,IF(IF((G119&gt;0)*(IF(H119="",-1,H119)=0)*(1-(IF(H119="",-1,H119)&gt;=1)*(IF(H119="",-1,H119)&lt;=3)),IF(C119="peso_corporal",IF(ISNUMBER(E119),E119,0)+F119,F119)*G119*1000+F119,0)=Y119,1,0))))))</f>
        <v>0</v>
      </c>
      <c r="AA119" s="69">
        <f>MAX(IF((G119&gt;=6)*(1-(IF(H119="",-1,H119)&gt;=1)*(IF(H119="",-1,H119)&lt;=3))*(1-(IF(H119="",-1,H119)=0)),IF(C119="peso_corporal",IF(ISNUMBER(E119),E119,0)+F119,F119)*(30+G119)*100+F119,0),IF((J119&gt;=6)*(1-(IF(K119="",-1,K119)&gt;=1)*(IF(K119="",-1,K119)&lt;=3))*(1-(IF(K119="",-1,K119)=0)),IF(C119="peso_corporal",IF(ISNUMBER(E119),E119,0)+I119,I119)*(30+J119)*100+I119,0),IF((M119&gt;=6)*(1-(IF(N119="",-1,N119)&gt;=1)*(IF(N119="",-1,N119)&lt;=3))*(1-(IF(N119="",-1,N119)=0)),IF(C119="peso_corporal",IF(ISNUMBER(E119),E119,0)+L119,L119)*(30+M119)*100+L119,0),IF((P119&gt;=6)*(1-(IF(Q119="",-1,Q119)&gt;=1)*(IF(Q119="",-1,Q119)&lt;=3))*(1-(IF(Q119="",-1,Q119)=0)),IF(C119="peso_corporal",IF(ISNUMBER(E119),E119,0)+O119,O119)*(30+P119)*100+O119,0),IF((S119&gt;=6)*(1-(IF(T119="",-1,T119)&gt;=1)*(IF(T119="",-1,T119)&lt;=3))*(1-(IF(T119="",-1,T119)=0)),IF(C119="peso_corporal",IF(ISNUMBER(E119),E119,0)+R119,R119)*(30+S119)*100+R119,0))</f>
        <v>0</v>
      </c>
      <c r="AB119" s="69">
        <f>IF(AA119=0,0,IF(IF((S119&gt;=6)*(1-(IF(T119="",-1,T119)&gt;=1)*(IF(T119="",-1,T119)&lt;=3))*(1-(IF(T119="",-1,T119)=0)),IF(C119="peso_corporal",IF(ISNUMBER(E119),E119,0)+R119,R119)*(30+S119)*100+R119,0)=AA119,5,IF(IF((P119&gt;=6)*(1-(IF(Q119="",-1,Q119)&gt;=1)*(IF(Q119="",-1,Q119)&lt;=3))*(1-(IF(Q119="",-1,Q119)=0)),IF(C119="peso_corporal",IF(ISNUMBER(E119),E119,0)+O119,O119)*(30+P119)*100+O119,0)=AA119,4,IF(IF((M119&gt;=6)*(1-(IF(N119="",-1,N119)&gt;=1)*(IF(N119="",-1,N119)&lt;=3))*(1-(IF(N119="",-1,N119)=0)),IF(C119="peso_corporal",IF(ISNUMBER(E119),E119,0)+L119,L119)*(30+M119)*100+L119,0)=AA119,3,IF(IF((J119&gt;=6)*(1-(IF(K119="",-1,K119)&gt;=1)*(IF(K119="",-1,K119)&lt;=3))*(1-(IF(K119="",-1,K119)=0)),IF(C119="peso_corporal",IF(ISNUMBER(E119),E119,0)+I119,I119)*(30+J119)*100+I119,0)=AA119,2,IF(IF((G119&gt;=6)*(1-(IF(H119="",-1,H119)&gt;=1)*(IF(H119="",-1,H119)&lt;=3))*(1-(IF(H119="",-1,H119)=0)),IF(C119="peso_corporal",IF(ISNUMBER(E119),E119,0)+F119,F119)*(30+G119)*100+F119,0)=AA119,1,0))))))</f>
        <v>0</v>
      </c>
      <c r="AC119" s="69" t="str">
        <f>IF(X119&gt;0,"A"&amp;X119,IF(Z119&gt;0,"B"&amp;Z119,IF(AB119&gt;0,"C"&amp;AB119,"")))</f>
        <v/>
      </c>
    </row>
    <row r="120" spans="1:29" ht="15" customHeight="1">
      <c r="A120" s="81" t="s">
        <v>42</v>
      </c>
      <c r="B120" s="73"/>
      <c r="C120" s="73"/>
      <c r="D120" s="73"/>
      <c r="E120" s="73"/>
      <c r="F120" s="73"/>
      <c r="G120" s="73"/>
      <c r="H120" s="73"/>
      <c r="I120" s="73"/>
      <c r="J120" s="73"/>
      <c r="K120" s="73"/>
      <c r="L120" s="73"/>
      <c r="M120" s="73"/>
      <c r="N120" s="73"/>
      <c r="O120" s="73"/>
      <c r="P120" s="73"/>
      <c r="Q120" s="73"/>
      <c r="R120" s="73"/>
      <c r="S120" s="73"/>
      <c r="T120" s="73"/>
      <c r="U120" s="73"/>
      <c r="V120" s="73"/>
      <c r="W120" s="69"/>
      <c r="X120" s="69"/>
      <c r="Y120" s="69"/>
      <c r="Z120" s="69"/>
      <c r="AA120" s="69"/>
      <c r="AB120" s="69"/>
      <c r="AC120" s="69"/>
    </row>
    <row r="121" spans="1:29" ht="20.100000000000001" customHeight="1">
      <c r="A121" s="14" t="s">
        <v>43</v>
      </c>
      <c r="B121" s="15" t="s">
        <v>44</v>
      </c>
      <c r="C121" s="16" t="str">
        <f>IFERROR(INDEX(EJERCICIOS!$D$3:$D$75,MATCH(A121&amp;"|"&amp;B121,EJERCICIOS!$G$3:$G$75,0)),"--")</f>
        <v>polea</v>
      </c>
      <c r="D121" s="17">
        <v>3</v>
      </c>
      <c r="E121" s="18">
        <f>IFERROR(LOOKUP(2,1/(MEDIDAS_Y_PESO!$B$3:$B$7&lt;&gt;""),MEDIDAS_Y_PESO!$B$3:$B$7),"--")</f>
        <v>80</v>
      </c>
      <c r="F121" s="19"/>
      <c r="G121" s="20"/>
      <c r="H121" s="21"/>
      <c r="I121" s="19"/>
      <c r="J121" s="20"/>
      <c r="K121" s="21"/>
      <c r="L121" s="19"/>
      <c r="M121" s="20"/>
      <c r="N121" s="21"/>
      <c r="O121" s="19"/>
      <c r="P121" s="20"/>
      <c r="Q121" s="21"/>
      <c r="R121" s="19"/>
      <c r="S121" s="20"/>
      <c r="T121" s="21"/>
      <c r="U121" s="22" t="str">
        <f>IFERROR(IF(IF(X121&gt;0,X121,IF(Z121&gt;0,Z121,IF(AB121&gt;0,AB121,0)))=0,"--",ROUND(CHOOSE(IF(X121&gt;0,X121,IF(Z121&gt;0,Z121,IF(AB121&gt;0,AB121,0))),IF(C121="peso_corporal",IF(ISNUMBER(E121),E121,0)+F121,F121)*(1+G121/30),IF(C121="peso_corporal",IF(ISNUMBER(E121),E121,0)+I121,I121)*(1+J121/30),IF(C121="peso_corporal",IF(ISNUMBER(E121),E121,0)+L121,L121)*(1+M121/30),IF(C121="peso_corporal",IF(ISNUMBER(E121),E121,0)+O121,O121)*(1+P121/30),IF(C121="peso_corporal",IF(ISNUMBER(E121),E121,0)+R121,R121)*(1+S121/30)),1)),"--")</f>
        <v>--</v>
      </c>
      <c r="V121" s="23" t="str">
        <f>IF(SUGERENCIAS!N314="SIN","Sin datos anteriores",IF(SUGERENCIAS!N314="SUBIR_F","^ SUBIR FUERTE | Kg:"&amp;ROUND(SUGERENCIAS!K314,1)&amp;" R:"&amp;ROUND(SUGERENCIAS!L314,0)&amp;" RIR:"&amp;ROUND(SUGERENCIAS!M314,0),IF(SUGERENCIAS!N314="SUBIR_E","^ SUBIR (Est.) | Kg:"&amp;ROUND(SUGERENCIAS!K314,1)&amp;" R:"&amp;ROUND(SUGERENCIAS!L314,0)&amp;" RIR:"&amp;ROUND(SUGERENCIAS!M314,0),IF(SUGERENCIAS!N314="SUBIR","^ SUBIR | Kg:"&amp;ROUND(SUGERENCIAS!K314,1)&amp;" R:"&amp;ROUND(SUGERENCIAS!L314,0)&amp;" RIR:"&amp;ROUND(SUGERENCIAS!M314,0),IF(SUGERENCIAS!N314="BAJAR","v BAJAR | Kg:"&amp;ROUND(SUGERENCIAS!K314,1)&amp;" R:"&amp;ROUND(SUGERENCIAS!L314,0)&amp;" RIR:"&amp;ROUND(SUGERENCIAS!M314,0),"= MANT | Kg:"&amp;ROUND(SUGERENCIAS!K314,1)&amp;" R:"&amp;ROUND(SUGERENCIAS!L314,0)&amp;" RIR:"&amp;ROUND(SUGERENCIAS!M314,0))))))</f>
        <v>Sin datos anteriores</v>
      </c>
      <c r="W121" s="69">
        <f>MAX(IF((G121&gt;0)*(IF(H121="",-1,H121)&gt;=1)*(IF(H121="",-1,H121)&lt;=3),IF(C121="peso_corporal",IF(ISNUMBER(E121),E121,0)+F121,F121)*G121*1000+F121,0),IF((J121&gt;0)*(IF(K121="",-1,K121)&gt;=1)*(IF(K121="",-1,K121)&lt;=3),IF(C121="peso_corporal",IF(ISNUMBER(E121),E121,0)+I121,I121)*J121*1000+I121,0),IF((M121&gt;0)*(IF(N121="",-1,N121)&gt;=1)*(IF(N121="",-1,N121)&lt;=3),IF(C121="peso_corporal",IF(ISNUMBER(E121),E121,0)+L121,L121)*M121*1000+L121,0),IF((P121&gt;0)*(IF(Q121="",-1,Q121)&gt;=1)*(IF(Q121="",-1,Q121)&lt;=3),IF(C121="peso_corporal",IF(ISNUMBER(E121),E121,0)+O121,O121)*P121*1000+O121,0),IF((S121&gt;0)*(IF(T121="",-1,T121)&gt;=1)*(IF(T121="",-1,T121)&lt;=3),IF(C121="peso_corporal",IF(ISNUMBER(E121),E121,0)+R121,R121)*S121*1000+R121,0))</f>
        <v>0</v>
      </c>
      <c r="X121" s="69">
        <f>IF(W121=0,0,IF(IF((S121&gt;0)*(IF(T121="",-1,T121)&gt;=1)*(IF(T121="",-1,T121)&lt;=3),IF(C121="peso_corporal",IF(ISNUMBER(E121),E121,0)+R121,R121)*S121*1000+R121,0)=W121,5,IF(IF((P121&gt;0)*(IF(Q121="",-1,Q121)&gt;=1)*(IF(Q121="",-1,Q121)&lt;=3),IF(C121="peso_corporal",IF(ISNUMBER(E121),E121,0)+O121,O121)*P121*1000+O121,0)=W121,4,IF(IF((M121&gt;0)*(IF(N121="",-1,N121)&gt;=1)*(IF(N121="",-1,N121)&lt;=3),IF(C121="peso_corporal",IF(ISNUMBER(E121),E121,0)+L121,L121)*M121*1000+L121,0)=W121,3,IF(IF((J121&gt;0)*(IF(K121="",-1,K121)&gt;=1)*(IF(K121="",-1,K121)&lt;=3),IF(C121="peso_corporal",IF(ISNUMBER(E121),E121,0)+I121,I121)*J121*1000+I121,0)=W121,2,IF(IF((G121&gt;0)*(IF(H121="",-1,H121)&gt;=1)*(IF(H121="",-1,H121)&lt;=3),IF(C121="peso_corporal",IF(ISNUMBER(E121),E121,0)+F121,F121)*G121*1000+F121,0)=W121,1,0))))))</f>
        <v>0</v>
      </c>
      <c r="Y121" s="69">
        <f>MAX(IF((G121&gt;0)*(IF(H121="",-1,H121)=0)*(1-(IF(H121="",-1,H121)&gt;=1)*(IF(H121="",-1,H121)&lt;=3)),IF(C121="peso_corporal",IF(ISNUMBER(E121),E121,0)+F121,F121)*G121*1000+F121,0),IF((J121&gt;0)*(IF(K121="",-1,K121)=0)*(1-(IF(K121="",-1,K121)&gt;=1)*(IF(K121="",-1,K121)&lt;=3)),IF(C121="peso_corporal",IF(ISNUMBER(E121),E121,0)+I121,I121)*J121*1000+I121,0),IF((M121&gt;0)*(IF(N121="",-1,N121)=0)*(1-(IF(N121="",-1,N121)&gt;=1)*(IF(N121="",-1,N121)&lt;=3)),IF(C121="peso_corporal",IF(ISNUMBER(E121),E121,0)+L121,L121)*M121*1000+L121,0),IF((P121&gt;0)*(IF(Q121="",-1,Q121)=0)*(1-(IF(Q121="",-1,Q121)&gt;=1)*(IF(Q121="",-1,Q121)&lt;=3)),IF(C121="peso_corporal",IF(ISNUMBER(E121),E121,0)+O121,O121)*P121*1000+O121,0),IF((S121&gt;0)*(IF(T121="",-1,T121)=0)*(1-(IF(T121="",-1,T121)&gt;=1)*(IF(T121="",-1,T121)&lt;=3)),IF(C121="peso_corporal",IF(ISNUMBER(E121),E121,0)+R121,R121)*S121*1000+R121,0))</f>
        <v>0</v>
      </c>
      <c r="Z121" s="69">
        <f>IF(Y121=0,0,IF(IF((S121&gt;0)*(IF(T121="",-1,T121)=0)*(1-(IF(T121="",-1,T121)&gt;=1)*(IF(T121="",-1,T121)&lt;=3)),IF(C121="peso_corporal",IF(ISNUMBER(E121),E121,0)+R121,R121)*S121*1000+R121,0)=Y121,5,IF(IF((P121&gt;0)*(IF(Q121="",-1,Q121)=0)*(1-(IF(Q121="",-1,Q121)&gt;=1)*(IF(Q121="",-1,Q121)&lt;=3)),IF(C121="peso_corporal",IF(ISNUMBER(E121),E121,0)+O121,O121)*P121*1000+O121,0)=Y121,4,IF(IF((M121&gt;0)*(IF(N121="",-1,N121)=0)*(1-(IF(N121="",-1,N121)&gt;=1)*(IF(N121="",-1,N121)&lt;=3)),IF(C121="peso_corporal",IF(ISNUMBER(E121),E121,0)+L121,L121)*M121*1000+L121,0)=Y121,3,IF(IF((J121&gt;0)*(IF(K121="",-1,K121)=0)*(1-(IF(K121="",-1,K121)&gt;=1)*(IF(K121="",-1,K121)&lt;=3)),IF(C121="peso_corporal",IF(ISNUMBER(E121),E121,0)+I121,I121)*J121*1000+I121,0)=Y121,2,IF(IF((G121&gt;0)*(IF(H121="",-1,H121)=0)*(1-(IF(H121="",-1,H121)&gt;=1)*(IF(H121="",-1,H121)&lt;=3)),IF(C121="peso_corporal",IF(ISNUMBER(E121),E121,0)+F121,F121)*G121*1000+F121,0)=Y121,1,0))))))</f>
        <v>0</v>
      </c>
      <c r="AA121" s="69">
        <f>MAX(IF((G121&gt;=6)*(1-(IF(H121="",-1,H121)&gt;=1)*(IF(H121="",-1,H121)&lt;=3))*(1-(IF(H121="",-1,H121)=0)),IF(C121="peso_corporal",IF(ISNUMBER(E121),E121,0)+F121,F121)*(30+G121)*100+F121,0),IF((J121&gt;=6)*(1-(IF(K121="",-1,K121)&gt;=1)*(IF(K121="",-1,K121)&lt;=3))*(1-(IF(K121="",-1,K121)=0)),IF(C121="peso_corporal",IF(ISNUMBER(E121),E121,0)+I121,I121)*(30+J121)*100+I121,0),IF((M121&gt;=6)*(1-(IF(N121="",-1,N121)&gt;=1)*(IF(N121="",-1,N121)&lt;=3))*(1-(IF(N121="",-1,N121)=0)),IF(C121="peso_corporal",IF(ISNUMBER(E121),E121,0)+L121,L121)*(30+M121)*100+L121,0),IF((P121&gt;=6)*(1-(IF(Q121="",-1,Q121)&gt;=1)*(IF(Q121="",-1,Q121)&lt;=3))*(1-(IF(Q121="",-1,Q121)=0)),IF(C121="peso_corporal",IF(ISNUMBER(E121),E121,0)+O121,O121)*(30+P121)*100+O121,0),IF((S121&gt;=6)*(1-(IF(T121="",-1,T121)&gt;=1)*(IF(T121="",-1,T121)&lt;=3))*(1-(IF(T121="",-1,T121)=0)),IF(C121="peso_corporal",IF(ISNUMBER(E121),E121,0)+R121,R121)*(30+S121)*100+R121,0))</f>
        <v>0</v>
      </c>
      <c r="AB121" s="69">
        <f>IF(AA121=0,0,IF(IF((S121&gt;=6)*(1-(IF(T121="",-1,T121)&gt;=1)*(IF(T121="",-1,T121)&lt;=3))*(1-(IF(T121="",-1,T121)=0)),IF(C121="peso_corporal",IF(ISNUMBER(E121),E121,0)+R121,R121)*(30+S121)*100+R121,0)=AA121,5,IF(IF((P121&gt;=6)*(1-(IF(Q121="",-1,Q121)&gt;=1)*(IF(Q121="",-1,Q121)&lt;=3))*(1-(IF(Q121="",-1,Q121)=0)),IF(C121="peso_corporal",IF(ISNUMBER(E121),E121,0)+O121,O121)*(30+P121)*100+O121,0)=AA121,4,IF(IF((M121&gt;=6)*(1-(IF(N121="",-1,N121)&gt;=1)*(IF(N121="",-1,N121)&lt;=3))*(1-(IF(N121="",-1,N121)=0)),IF(C121="peso_corporal",IF(ISNUMBER(E121),E121,0)+L121,L121)*(30+M121)*100+L121,0)=AA121,3,IF(IF((J121&gt;=6)*(1-(IF(K121="",-1,K121)&gt;=1)*(IF(K121="",-1,K121)&lt;=3))*(1-(IF(K121="",-1,K121)=0)),IF(C121="peso_corporal",IF(ISNUMBER(E121),E121,0)+I121,I121)*(30+J121)*100+I121,0)=AA121,2,IF(IF((G121&gt;=6)*(1-(IF(H121="",-1,H121)&gt;=1)*(IF(H121="",-1,H121)&lt;=3))*(1-(IF(H121="",-1,H121)=0)),IF(C121="peso_corporal",IF(ISNUMBER(E121),E121,0)+F121,F121)*(30+G121)*100+F121,0)=AA121,1,0))))))</f>
        <v>0</v>
      </c>
      <c r="AC121" s="69" t="str">
        <f>IF(X121&gt;0,"A"&amp;X121,IF(Z121&gt;0,"B"&amp;Z121,IF(AB121&gt;0,"C"&amp;AB121,"")))</f>
        <v/>
      </c>
    </row>
    <row r="122" spans="1:29" ht="15" customHeight="1">
      <c r="A122" s="81" t="s">
        <v>174</v>
      </c>
      <c r="B122" s="73"/>
      <c r="C122" s="73"/>
      <c r="D122" s="73"/>
      <c r="E122" s="73"/>
      <c r="F122" s="73"/>
      <c r="G122" s="73"/>
      <c r="H122" s="73"/>
      <c r="I122" s="73"/>
      <c r="J122" s="73"/>
      <c r="K122" s="73"/>
      <c r="L122" s="73"/>
      <c r="M122" s="73"/>
      <c r="N122" s="73"/>
      <c r="O122" s="73"/>
      <c r="P122" s="73"/>
      <c r="Q122" s="73"/>
      <c r="R122" s="73"/>
      <c r="S122" s="73"/>
      <c r="T122" s="73"/>
      <c r="U122" s="73"/>
      <c r="V122" s="73"/>
      <c r="W122" s="69"/>
      <c r="X122" s="69"/>
      <c r="Y122" s="69"/>
      <c r="Z122" s="69"/>
      <c r="AA122" s="69"/>
      <c r="AB122" s="69"/>
      <c r="AC122" s="69"/>
    </row>
    <row r="123" spans="1:29" ht="20.100000000000001" customHeight="1">
      <c r="A123" s="14" t="s">
        <v>175</v>
      </c>
      <c r="B123" s="15" t="s">
        <v>176</v>
      </c>
      <c r="C123" s="16" t="str">
        <f>IFERROR(INDEX(EJERCICIOS!$D$3:$D$75,MATCH(A123&amp;"|"&amp;B123,EJERCICIOS!$G$3:$G$75,0)),"--")</f>
        <v>mancuerna</v>
      </c>
      <c r="D123" s="17">
        <v>3</v>
      </c>
      <c r="E123" s="18">
        <f>IFERROR(LOOKUP(2,1/(MEDIDAS_Y_PESO!$B$3:$B$7&lt;&gt;""),MEDIDAS_Y_PESO!$B$3:$B$7),"--")</f>
        <v>80</v>
      </c>
      <c r="F123" s="19"/>
      <c r="G123" s="20"/>
      <c r="H123" s="21"/>
      <c r="I123" s="19"/>
      <c r="J123" s="20"/>
      <c r="K123" s="21"/>
      <c r="L123" s="19"/>
      <c r="M123" s="20"/>
      <c r="N123" s="21"/>
      <c r="O123" s="19"/>
      <c r="P123" s="20"/>
      <c r="Q123" s="21"/>
      <c r="R123" s="19"/>
      <c r="S123" s="20"/>
      <c r="T123" s="21"/>
      <c r="U123" s="22" t="str">
        <f>IFERROR(IF(IF(X123&gt;0,X123,IF(Z123&gt;0,Z123,IF(AB123&gt;0,AB123,0)))=0,"--",ROUND(CHOOSE(IF(X123&gt;0,X123,IF(Z123&gt;0,Z123,IF(AB123&gt;0,AB123,0))),IF(C123="peso_corporal",IF(ISNUMBER(E123),E123,0)+F123,F123)*(1+G123/30),IF(C123="peso_corporal",IF(ISNUMBER(E123),E123,0)+I123,I123)*(1+J123/30),IF(C123="peso_corporal",IF(ISNUMBER(E123),E123,0)+L123,L123)*(1+M123/30),IF(C123="peso_corporal",IF(ISNUMBER(E123),E123,0)+O123,O123)*(1+P123/30),IF(C123="peso_corporal",IF(ISNUMBER(E123),E123,0)+R123,R123)*(1+S123/30)),1)),"--")</f>
        <v>--</v>
      </c>
      <c r="V123" s="23" t="str">
        <f>IF(SUGERENCIAS!N315="SIN","Sin datos anteriores",IF(SUGERENCIAS!N315="SUBIR_F","^ SUBIR FUERTE | Kg:"&amp;ROUND(SUGERENCIAS!K315,1)&amp;" R:"&amp;ROUND(SUGERENCIAS!L315,0)&amp;" RIR:"&amp;ROUND(SUGERENCIAS!M315,0),IF(SUGERENCIAS!N315="SUBIR_E","^ SUBIR (Est.) | Kg:"&amp;ROUND(SUGERENCIAS!K315,1)&amp;" R:"&amp;ROUND(SUGERENCIAS!L315,0)&amp;" RIR:"&amp;ROUND(SUGERENCIAS!M315,0),IF(SUGERENCIAS!N315="SUBIR","^ SUBIR | Kg:"&amp;ROUND(SUGERENCIAS!K315,1)&amp;" R:"&amp;ROUND(SUGERENCIAS!L315,0)&amp;" RIR:"&amp;ROUND(SUGERENCIAS!M315,0),IF(SUGERENCIAS!N315="BAJAR","v BAJAR | Kg:"&amp;ROUND(SUGERENCIAS!K315,1)&amp;" R:"&amp;ROUND(SUGERENCIAS!L315,0)&amp;" RIR:"&amp;ROUND(SUGERENCIAS!M315,0),"= MANT | Kg:"&amp;ROUND(SUGERENCIAS!K315,1)&amp;" R:"&amp;ROUND(SUGERENCIAS!L315,0)&amp;" RIR:"&amp;ROUND(SUGERENCIAS!M315,0))))))</f>
        <v>Sin datos anteriores</v>
      </c>
      <c r="W123" s="69">
        <f>MAX(IF((G123&gt;0)*(IF(H123="",-1,H123)&gt;=1)*(IF(H123="",-1,H123)&lt;=3),IF(C123="peso_corporal",IF(ISNUMBER(E123),E123,0)+F123,F123)*G123*1000+F123,0),IF((J123&gt;0)*(IF(K123="",-1,K123)&gt;=1)*(IF(K123="",-1,K123)&lt;=3),IF(C123="peso_corporal",IF(ISNUMBER(E123),E123,0)+I123,I123)*J123*1000+I123,0),IF((M123&gt;0)*(IF(N123="",-1,N123)&gt;=1)*(IF(N123="",-1,N123)&lt;=3),IF(C123="peso_corporal",IF(ISNUMBER(E123),E123,0)+L123,L123)*M123*1000+L123,0),IF((P123&gt;0)*(IF(Q123="",-1,Q123)&gt;=1)*(IF(Q123="",-1,Q123)&lt;=3),IF(C123="peso_corporal",IF(ISNUMBER(E123),E123,0)+O123,O123)*P123*1000+O123,0),IF((S123&gt;0)*(IF(T123="",-1,T123)&gt;=1)*(IF(T123="",-1,T123)&lt;=3),IF(C123="peso_corporal",IF(ISNUMBER(E123),E123,0)+R123,R123)*S123*1000+R123,0))</f>
        <v>0</v>
      </c>
      <c r="X123" s="69">
        <f>IF(W123=0,0,IF(IF((S123&gt;0)*(IF(T123="",-1,T123)&gt;=1)*(IF(T123="",-1,T123)&lt;=3),IF(C123="peso_corporal",IF(ISNUMBER(E123),E123,0)+R123,R123)*S123*1000+R123,0)=W123,5,IF(IF((P123&gt;0)*(IF(Q123="",-1,Q123)&gt;=1)*(IF(Q123="",-1,Q123)&lt;=3),IF(C123="peso_corporal",IF(ISNUMBER(E123),E123,0)+O123,O123)*P123*1000+O123,0)=W123,4,IF(IF((M123&gt;0)*(IF(N123="",-1,N123)&gt;=1)*(IF(N123="",-1,N123)&lt;=3),IF(C123="peso_corporal",IF(ISNUMBER(E123),E123,0)+L123,L123)*M123*1000+L123,0)=W123,3,IF(IF((J123&gt;0)*(IF(K123="",-1,K123)&gt;=1)*(IF(K123="",-1,K123)&lt;=3),IF(C123="peso_corporal",IF(ISNUMBER(E123),E123,0)+I123,I123)*J123*1000+I123,0)=W123,2,IF(IF((G123&gt;0)*(IF(H123="",-1,H123)&gt;=1)*(IF(H123="",-1,H123)&lt;=3),IF(C123="peso_corporal",IF(ISNUMBER(E123),E123,0)+F123,F123)*G123*1000+F123,0)=W123,1,0))))))</f>
        <v>0</v>
      </c>
      <c r="Y123" s="69">
        <f>MAX(IF((G123&gt;0)*(IF(H123="",-1,H123)=0)*(1-(IF(H123="",-1,H123)&gt;=1)*(IF(H123="",-1,H123)&lt;=3)),IF(C123="peso_corporal",IF(ISNUMBER(E123),E123,0)+F123,F123)*G123*1000+F123,0),IF((J123&gt;0)*(IF(K123="",-1,K123)=0)*(1-(IF(K123="",-1,K123)&gt;=1)*(IF(K123="",-1,K123)&lt;=3)),IF(C123="peso_corporal",IF(ISNUMBER(E123),E123,0)+I123,I123)*J123*1000+I123,0),IF((M123&gt;0)*(IF(N123="",-1,N123)=0)*(1-(IF(N123="",-1,N123)&gt;=1)*(IF(N123="",-1,N123)&lt;=3)),IF(C123="peso_corporal",IF(ISNUMBER(E123),E123,0)+L123,L123)*M123*1000+L123,0),IF((P123&gt;0)*(IF(Q123="",-1,Q123)=0)*(1-(IF(Q123="",-1,Q123)&gt;=1)*(IF(Q123="",-1,Q123)&lt;=3)),IF(C123="peso_corporal",IF(ISNUMBER(E123),E123,0)+O123,O123)*P123*1000+O123,0),IF((S123&gt;0)*(IF(T123="",-1,T123)=0)*(1-(IF(T123="",-1,T123)&gt;=1)*(IF(T123="",-1,T123)&lt;=3)),IF(C123="peso_corporal",IF(ISNUMBER(E123),E123,0)+R123,R123)*S123*1000+R123,0))</f>
        <v>0</v>
      </c>
      <c r="Z123" s="69">
        <f>IF(Y123=0,0,IF(IF((S123&gt;0)*(IF(T123="",-1,T123)=0)*(1-(IF(T123="",-1,T123)&gt;=1)*(IF(T123="",-1,T123)&lt;=3)),IF(C123="peso_corporal",IF(ISNUMBER(E123),E123,0)+R123,R123)*S123*1000+R123,0)=Y123,5,IF(IF((P123&gt;0)*(IF(Q123="",-1,Q123)=0)*(1-(IF(Q123="",-1,Q123)&gt;=1)*(IF(Q123="",-1,Q123)&lt;=3)),IF(C123="peso_corporal",IF(ISNUMBER(E123),E123,0)+O123,O123)*P123*1000+O123,0)=Y123,4,IF(IF((M123&gt;0)*(IF(N123="",-1,N123)=0)*(1-(IF(N123="",-1,N123)&gt;=1)*(IF(N123="",-1,N123)&lt;=3)),IF(C123="peso_corporal",IF(ISNUMBER(E123),E123,0)+L123,L123)*M123*1000+L123,0)=Y123,3,IF(IF((J123&gt;0)*(IF(K123="",-1,K123)=0)*(1-(IF(K123="",-1,K123)&gt;=1)*(IF(K123="",-1,K123)&lt;=3)),IF(C123="peso_corporal",IF(ISNUMBER(E123),E123,0)+I123,I123)*J123*1000+I123,0)=Y123,2,IF(IF((G123&gt;0)*(IF(H123="",-1,H123)=0)*(1-(IF(H123="",-1,H123)&gt;=1)*(IF(H123="",-1,H123)&lt;=3)),IF(C123="peso_corporal",IF(ISNUMBER(E123),E123,0)+F123,F123)*G123*1000+F123,0)=Y123,1,0))))))</f>
        <v>0</v>
      </c>
      <c r="AA123" s="69">
        <f>MAX(IF((G123&gt;=6)*(1-(IF(H123="",-1,H123)&gt;=1)*(IF(H123="",-1,H123)&lt;=3))*(1-(IF(H123="",-1,H123)=0)),IF(C123="peso_corporal",IF(ISNUMBER(E123),E123,0)+F123,F123)*(30+G123)*100+F123,0),IF((J123&gt;=6)*(1-(IF(K123="",-1,K123)&gt;=1)*(IF(K123="",-1,K123)&lt;=3))*(1-(IF(K123="",-1,K123)=0)),IF(C123="peso_corporal",IF(ISNUMBER(E123),E123,0)+I123,I123)*(30+J123)*100+I123,0),IF((M123&gt;=6)*(1-(IF(N123="",-1,N123)&gt;=1)*(IF(N123="",-1,N123)&lt;=3))*(1-(IF(N123="",-1,N123)=0)),IF(C123="peso_corporal",IF(ISNUMBER(E123),E123,0)+L123,L123)*(30+M123)*100+L123,0),IF((P123&gt;=6)*(1-(IF(Q123="",-1,Q123)&gt;=1)*(IF(Q123="",-1,Q123)&lt;=3))*(1-(IF(Q123="",-1,Q123)=0)),IF(C123="peso_corporal",IF(ISNUMBER(E123),E123,0)+O123,O123)*(30+P123)*100+O123,0),IF((S123&gt;=6)*(1-(IF(T123="",-1,T123)&gt;=1)*(IF(T123="",-1,T123)&lt;=3))*(1-(IF(T123="",-1,T123)=0)),IF(C123="peso_corporal",IF(ISNUMBER(E123),E123,0)+R123,R123)*(30+S123)*100+R123,0))</f>
        <v>0</v>
      </c>
      <c r="AB123" s="69">
        <f>IF(AA123=0,0,IF(IF((S123&gt;=6)*(1-(IF(T123="",-1,T123)&gt;=1)*(IF(T123="",-1,T123)&lt;=3))*(1-(IF(T123="",-1,T123)=0)),IF(C123="peso_corporal",IF(ISNUMBER(E123),E123,0)+R123,R123)*(30+S123)*100+R123,0)=AA123,5,IF(IF((P123&gt;=6)*(1-(IF(Q123="",-1,Q123)&gt;=1)*(IF(Q123="",-1,Q123)&lt;=3))*(1-(IF(Q123="",-1,Q123)=0)),IF(C123="peso_corporal",IF(ISNUMBER(E123),E123,0)+O123,O123)*(30+P123)*100+O123,0)=AA123,4,IF(IF((M123&gt;=6)*(1-(IF(N123="",-1,N123)&gt;=1)*(IF(N123="",-1,N123)&lt;=3))*(1-(IF(N123="",-1,N123)=0)),IF(C123="peso_corporal",IF(ISNUMBER(E123),E123,0)+L123,L123)*(30+M123)*100+L123,0)=AA123,3,IF(IF((J123&gt;=6)*(1-(IF(K123="",-1,K123)&gt;=1)*(IF(K123="",-1,K123)&lt;=3))*(1-(IF(K123="",-1,K123)=0)),IF(C123="peso_corporal",IF(ISNUMBER(E123),E123,0)+I123,I123)*(30+J123)*100+I123,0)=AA123,2,IF(IF((G123&gt;=6)*(1-(IF(H123="",-1,H123)&gt;=1)*(IF(H123="",-1,H123)&lt;=3))*(1-(IF(H123="",-1,H123)=0)),IF(C123="peso_corporal",IF(ISNUMBER(E123),E123,0)+F123,F123)*(30+G123)*100+F123,0)=AA123,1,0))))))</f>
        <v>0</v>
      </c>
      <c r="AC123" s="69" t="str">
        <f>IF(X123&gt;0,"A"&amp;X123,IF(Z123&gt;0,"B"&amp;Z123,IF(AB123&gt;0,"C"&amp;AB123,"")))</f>
        <v/>
      </c>
    </row>
    <row r="124" spans="1:29" ht="20.100000000000001" customHeight="1">
      <c r="A124" s="14" t="s">
        <v>109</v>
      </c>
      <c r="B124" s="15" t="s">
        <v>110</v>
      </c>
      <c r="C124" s="16" t="str">
        <f>IFERROR(INDEX(EJERCICIOS!$D$3:$D$75,MATCH(A124&amp;"|"&amp;B124,EJERCICIOS!$G$3:$G$75,0)),"--")</f>
        <v>polea</v>
      </c>
      <c r="D124" s="17">
        <v>3</v>
      </c>
      <c r="E124" s="18">
        <f>IFERROR(LOOKUP(2,1/(MEDIDAS_Y_PESO!$B$3:$B$7&lt;&gt;""),MEDIDAS_Y_PESO!$B$3:$B$7),"--")</f>
        <v>80</v>
      </c>
      <c r="F124" s="19"/>
      <c r="G124" s="20"/>
      <c r="H124" s="21"/>
      <c r="I124" s="19"/>
      <c r="J124" s="20"/>
      <c r="K124" s="21"/>
      <c r="L124" s="19"/>
      <c r="M124" s="20"/>
      <c r="N124" s="21"/>
      <c r="O124" s="19"/>
      <c r="P124" s="20"/>
      <c r="Q124" s="21"/>
      <c r="R124" s="19"/>
      <c r="S124" s="20"/>
      <c r="T124" s="21"/>
      <c r="U124" s="22" t="str">
        <f>IFERROR(IF(IF(X124&gt;0,X124,IF(Z124&gt;0,Z124,IF(AB124&gt;0,AB124,0)))=0,"--",ROUND(CHOOSE(IF(X124&gt;0,X124,IF(Z124&gt;0,Z124,IF(AB124&gt;0,AB124,0))),IF(C124="peso_corporal",IF(ISNUMBER(E124),E124,0)+F124,F124)*(1+G124/30),IF(C124="peso_corporal",IF(ISNUMBER(E124),E124,0)+I124,I124)*(1+J124/30),IF(C124="peso_corporal",IF(ISNUMBER(E124),E124,0)+L124,L124)*(1+M124/30),IF(C124="peso_corporal",IF(ISNUMBER(E124),E124,0)+O124,O124)*(1+P124/30),IF(C124="peso_corporal",IF(ISNUMBER(E124),E124,0)+R124,R124)*(1+S124/30)),1)),"--")</f>
        <v>--</v>
      </c>
      <c r="V124" s="23" t="str">
        <f>IF(SUGERENCIAS!N316="SIN","Sin datos anteriores",IF(SUGERENCIAS!N316="SUBIR_F","^ SUBIR FUERTE | Kg:"&amp;ROUND(SUGERENCIAS!K316,1)&amp;" R:"&amp;ROUND(SUGERENCIAS!L316,0)&amp;" RIR:"&amp;ROUND(SUGERENCIAS!M316,0),IF(SUGERENCIAS!N316="SUBIR_E","^ SUBIR (Est.) | Kg:"&amp;ROUND(SUGERENCIAS!K316,1)&amp;" R:"&amp;ROUND(SUGERENCIAS!L316,0)&amp;" RIR:"&amp;ROUND(SUGERENCIAS!M316,0),IF(SUGERENCIAS!N316="SUBIR","^ SUBIR | Kg:"&amp;ROUND(SUGERENCIAS!K316,1)&amp;" R:"&amp;ROUND(SUGERENCIAS!L316,0)&amp;" RIR:"&amp;ROUND(SUGERENCIAS!M316,0),IF(SUGERENCIAS!N316="BAJAR","v BAJAR | Kg:"&amp;ROUND(SUGERENCIAS!K316,1)&amp;" R:"&amp;ROUND(SUGERENCIAS!L316,0)&amp;" RIR:"&amp;ROUND(SUGERENCIAS!M316,0),"= MANT | Kg:"&amp;ROUND(SUGERENCIAS!K316,1)&amp;" R:"&amp;ROUND(SUGERENCIAS!L316,0)&amp;" RIR:"&amp;ROUND(SUGERENCIAS!M316,0))))))</f>
        <v>Sin datos anteriores</v>
      </c>
      <c r="W124" s="69">
        <f>MAX(IF((G124&gt;0)*(IF(H124="",-1,H124)&gt;=1)*(IF(H124="",-1,H124)&lt;=3),IF(C124="peso_corporal",IF(ISNUMBER(E124),E124,0)+F124,F124)*G124*1000+F124,0),IF((J124&gt;0)*(IF(K124="",-1,K124)&gt;=1)*(IF(K124="",-1,K124)&lt;=3),IF(C124="peso_corporal",IF(ISNUMBER(E124),E124,0)+I124,I124)*J124*1000+I124,0),IF((M124&gt;0)*(IF(N124="",-1,N124)&gt;=1)*(IF(N124="",-1,N124)&lt;=3),IF(C124="peso_corporal",IF(ISNUMBER(E124),E124,0)+L124,L124)*M124*1000+L124,0),IF((P124&gt;0)*(IF(Q124="",-1,Q124)&gt;=1)*(IF(Q124="",-1,Q124)&lt;=3),IF(C124="peso_corporal",IF(ISNUMBER(E124),E124,0)+O124,O124)*P124*1000+O124,0),IF((S124&gt;0)*(IF(T124="",-1,T124)&gt;=1)*(IF(T124="",-1,T124)&lt;=3),IF(C124="peso_corporal",IF(ISNUMBER(E124),E124,0)+R124,R124)*S124*1000+R124,0))</f>
        <v>0</v>
      </c>
      <c r="X124" s="69">
        <f>IF(W124=0,0,IF(IF((S124&gt;0)*(IF(T124="",-1,T124)&gt;=1)*(IF(T124="",-1,T124)&lt;=3),IF(C124="peso_corporal",IF(ISNUMBER(E124),E124,0)+R124,R124)*S124*1000+R124,0)=W124,5,IF(IF((P124&gt;0)*(IF(Q124="",-1,Q124)&gt;=1)*(IF(Q124="",-1,Q124)&lt;=3),IF(C124="peso_corporal",IF(ISNUMBER(E124),E124,0)+O124,O124)*P124*1000+O124,0)=W124,4,IF(IF((M124&gt;0)*(IF(N124="",-1,N124)&gt;=1)*(IF(N124="",-1,N124)&lt;=3),IF(C124="peso_corporal",IF(ISNUMBER(E124),E124,0)+L124,L124)*M124*1000+L124,0)=W124,3,IF(IF((J124&gt;0)*(IF(K124="",-1,K124)&gt;=1)*(IF(K124="",-1,K124)&lt;=3),IF(C124="peso_corporal",IF(ISNUMBER(E124),E124,0)+I124,I124)*J124*1000+I124,0)=W124,2,IF(IF((G124&gt;0)*(IF(H124="",-1,H124)&gt;=1)*(IF(H124="",-1,H124)&lt;=3),IF(C124="peso_corporal",IF(ISNUMBER(E124),E124,0)+F124,F124)*G124*1000+F124,0)=W124,1,0))))))</f>
        <v>0</v>
      </c>
      <c r="Y124" s="69">
        <f>MAX(IF((G124&gt;0)*(IF(H124="",-1,H124)=0)*(1-(IF(H124="",-1,H124)&gt;=1)*(IF(H124="",-1,H124)&lt;=3)),IF(C124="peso_corporal",IF(ISNUMBER(E124),E124,0)+F124,F124)*G124*1000+F124,0),IF((J124&gt;0)*(IF(K124="",-1,K124)=0)*(1-(IF(K124="",-1,K124)&gt;=1)*(IF(K124="",-1,K124)&lt;=3)),IF(C124="peso_corporal",IF(ISNUMBER(E124),E124,0)+I124,I124)*J124*1000+I124,0),IF((M124&gt;0)*(IF(N124="",-1,N124)=0)*(1-(IF(N124="",-1,N124)&gt;=1)*(IF(N124="",-1,N124)&lt;=3)),IF(C124="peso_corporal",IF(ISNUMBER(E124),E124,0)+L124,L124)*M124*1000+L124,0),IF((P124&gt;0)*(IF(Q124="",-1,Q124)=0)*(1-(IF(Q124="",-1,Q124)&gt;=1)*(IF(Q124="",-1,Q124)&lt;=3)),IF(C124="peso_corporal",IF(ISNUMBER(E124),E124,0)+O124,O124)*P124*1000+O124,0),IF((S124&gt;0)*(IF(T124="",-1,T124)=0)*(1-(IF(T124="",-1,T124)&gt;=1)*(IF(T124="",-1,T124)&lt;=3)),IF(C124="peso_corporal",IF(ISNUMBER(E124),E124,0)+R124,R124)*S124*1000+R124,0))</f>
        <v>0</v>
      </c>
      <c r="Z124" s="69">
        <f>IF(Y124=0,0,IF(IF((S124&gt;0)*(IF(T124="",-1,T124)=0)*(1-(IF(T124="",-1,T124)&gt;=1)*(IF(T124="",-1,T124)&lt;=3)),IF(C124="peso_corporal",IF(ISNUMBER(E124),E124,0)+R124,R124)*S124*1000+R124,0)=Y124,5,IF(IF((P124&gt;0)*(IF(Q124="",-1,Q124)=0)*(1-(IF(Q124="",-1,Q124)&gt;=1)*(IF(Q124="",-1,Q124)&lt;=3)),IF(C124="peso_corporal",IF(ISNUMBER(E124),E124,0)+O124,O124)*P124*1000+O124,0)=Y124,4,IF(IF((M124&gt;0)*(IF(N124="",-1,N124)=0)*(1-(IF(N124="",-1,N124)&gt;=1)*(IF(N124="",-1,N124)&lt;=3)),IF(C124="peso_corporal",IF(ISNUMBER(E124),E124,0)+L124,L124)*M124*1000+L124,0)=Y124,3,IF(IF((J124&gt;0)*(IF(K124="",-1,K124)=0)*(1-(IF(K124="",-1,K124)&gt;=1)*(IF(K124="",-1,K124)&lt;=3)),IF(C124="peso_corporal",IF(ISNUMBER(E124),E124,0)+I124,I124)*J124*1000+I124,0)=Y124,2,IF(IF((G124&gt;0)*(IF(H124="",-1,H124)=0)*(1-(IF(H124="",-1,H124)&gt;=1)*(IF(H124="",-1,H124)&lt;=3)),IF(C124="peso_corporal",IF(ISNUMBER(E124),E124,0)+F124,F124)*G124*1000+F124,0)=Y124,1,0))))))</f>
        <v>0</v>
      </c>
      <c r="AA124" s="69">
        <f>MAX(IF((G124&gt;=6)*(1-(IF(H124="",-1,H124)&gt;=1)*(IF(H124="",-1,H124)&lt;=3))*(1-(IF(H124="",-1,H124)=0)),IF(C124="peso_corporal",IF(ISNUMBER(E124),E124,0)+F124,F124)*(30+G124)*100+F124,0),IF((J124&gt;=6)*(1-(IF(K124="",-1,K124)&gt;=1)*(IF(K124="",-1,K124)&lt;=3))*(1-(IF(K124="",-1,K124)=0)),IF(C124="peso_corporal",IF(ISNUMBER(E124),E124,0)+I124,I124)*(30+J124)*100+I124,0),IF((M124&gt;=6)*(1-(IF(N124="",-1,N124)&gt;=1)*(IF(N124="",-1,N124)&lt;=3))*(1-(IF(N124="",-1,N124)=0)),IF(C124="peso_corporal",IF(ISNUMBER(E124),E124,0)+L124,L124)*(30+M124)*100+L124,0),IF((P124&gt;=6)*(1-(IF(Q124="",-1,Q124)&gt;=1)*(IF(Q124="",-1,Q124)&lt;=3))*(1-(IF(Q124="",-1,Q124)=0)),IF(C124="peso_corporal",IF(ISNUMBER(E124),E124,0)+O124,O124)*(30+P124)*100+O124,0),IF((S124&gt;=6)*(1-(IF(T124="",-1,T124)&gt;=1)*(IF(T124="",-1,T124)&lt;=3))*(1-(IF(T124="",-1,T124)=0)),IF(C124="peso_corporal",IF(ISNUMBER(E124),E124,0)+R124,R124)*(30+S124)*100+R124,0))</f>
        <v>0</v>
      </c>
      <c r="AB124" s="69">
        <f>IF(AA124=0,0,IF(IF((S124&gt;=6)*(1-(IF(T124="",-1,T124)&gt;=1)*(IF(T124="",-1,T124)&lt;=3))*(1-(IF(T124="",-1,T124)=0)),IF(C124="peso_corporal",IF(ISNUMBER(E124),E124,0)+R124,R124)*(30+S124)*100+R124,0)=AA124,5,IF(IF((P124&gt;=6)*(1-(IF(Q124="",-1,Q124)&gt;=1)*(IF(Q124="",-1,Q124)&lt;=3))*(1-(IF(Q124="",-1,Q124)=0)),IF(C124="peso_corporal",IF(ISNUMBER(E124),E124,0)+O124,O124)*(30+P124)*100+O124,0)=AA124,4,IF(IF((M124&gt;=6)*(1-(IF(N124="",-1,N124)&gt;=1)*(IF(N124="",-1,N124)&lt;=3))*(1-(IF(N124="",-1,N124)=0)),IF(C124="peso_corporal",IF(ISNUMBER(E124),E124,0)+L124,L124)*(30+M124)*100+L124,0)=AA124,3,IF(IF((J124&gt;=6)*(1-(IF(K124="",-1,K124)&gt;=1)*(IF(K124="",-1,K124)&lt;=3))*(1-(IF(K124="",-1,K124)=0)),IF(C124="peso_corporal",IF(ISNUMBER(E124),E124,0)+I124,I124)*(30+J124)*100+I124,0)=AA124,2,IF(IF((G124&gt;=6)*(1-(IF(H124="",-1,H124)&gt;=1)*(IF(H124="",-1,H124)&lt;=3))*(1-(IF(H124="",-1,H124)=0)),IF(C124="peso_corporal",IF(ISNUMBER(E124),E124,0)+F124,F124)*(30+G124)*100+F124,0)=AA124,1,0))))))</f>
        <v>0</v>
      </c>
      <c r="AC124" s="69" t="str">
        <f>IF(X124&gt;0,"A"&amp;X124,IF(Z124&gt;0,"B"&amp;Z124,IF(AB124&gt;0,"C"&amp;AB124,"")))</f>
        <v/>
      </c>
    </row>
    <row r="125" spans="1:29" ht="15" customHeight="1">
      <c r="A125" s="90" t="s">
        <v>142</v>
      </c>
      <c r="B125" s="73"/>
      <c r="C125" s="73"/>
      <c r="D125" s="73"/>
      <c r="E125" s="73"/>
      <c r="F125" s="73"/>
      <c r="G125" s="73"/>
      <c r="H125" s="73"/>
      <c r="I125" s="73"/>
      <c r="J125" s="73"/>
      <c r="K125" s="73"/>
      <c r="L125" s="73"/>
      <c r="M125" s="73"/>
      <c r="N125" s="73"/>
      <c r="O125" s="73"/>
      <c r="P125" s="73"/>
      <c r="Q125" s="73"/>
      <c r="R125" s="73"/>
      <c r="S125" s="73"/>
      <c r="T125" s="73"/>
      <c r="U125" s="73"/>
      <c r="V125" s="73"/>
      <c r="W125" s="69"/>
      <c r="X125" s="69"/>
      <c r="Y125" s="69"/>
      <c r="Z125" s="69"/>
      <c r="AA125" s="69"/>
      <c r="AB125" s="69"/>
      <c r="AC125" s="69"/>
    </row>
    <row r="126" spans="1:29" ht="20.100000000000001" customHeight="1">
      <c r="A126" s="14" t="s">
        <v>24</v>
      </c>
      <c r="B126" s="15" t="s">
        <v>143</v>
      </c>
      <c r="C126" s="16" t="str">
        <f>IFERROR(INDEX(EJERCICIOS!$D$3:$D$75,MATCH(A126&amp;"|"&amp;B126,EJERCICIOS!$G$3:$G$75,0)),"--")</f>
        <v>peso_corporal</v>
      </c>
      <c r="D126" s="17">
        <v>3</v>
      </c>
      <c r="E126" s="18">
        <f>IFERROR(LOOKUP(2,1/(MEDIDAS_Y_PESO!$B$3:$B$7&lt;&gt;""),MEDIDAS_Y_PESO!$B$3:$B$7),"--")</f>
        <v>80</v>
      </c>
      <c r="F126" s="19"/>
      <c r="G126" s="20"/>
      <c r="H126" s="21"/>
      <c r="I126" s="19"/>
      <c r="J126" s="20"/>
      <c r="K126" s="21"/>
      <c r="L126" s="19"/>
      <c r="M126" s="20"/>
      <c r="N126" s="21"/>
      <c r="O126" s="19"/>
      <c r="P126" s="20"/>
      <c r="Q126" s="21"/>
      <c r="R126" s="19"/>
      <c r="S126" s="20"/>
      <c r="T126" s="21"/>
      <c r="U126" s="22" t="str">
        <f>IFERROR(IF(IF(X126&gt;0,X126,IF(Z126&gt;0,Z126,IF(AB126&gt;0,AB126,0)))=0,"--",ROUND(CHOOSE(IF(X126&gt;0,X126,IF(Z126&gt;0,Z126,IF(AB126&gt;0,AB126,0))),IF(C126="peso_corporal",IF(ISNUMBER(E126),E126,0)+F126,F126)*(1+G126/30),IF(C126="peso_corporal",IF(ISNUMBER(E126),E126,0)+I126,I126)*(1+J126/30),IF(C126="peso_corporal",IF(ISNUMBER(E126),E126,0)+L126,L126)*(1+M126/30),IF(C126="peso_corporal",IF(ISNUMBER(E126),E126,0)+O126,O126)*(1+P126/30),IF(C126="peso_corporal",IF(ISNUMBER(E126),E126,0)+R126,R126)*(1+S126/30)),1)),"--")</f>
        <v>--</v>
      </c>
      <c r="V126" s="23" t="str">
        <f>IF(SUGERENCIAS!N317="SIN","Sin datos anteriores",IF(SUGERENCIAS!N317="SUBIR_F","^ SUBIR FUERTE | Kg:"&amp;ROUND(SUGERENCIAS!K317,1)&amp;" R:"&amp;ROUND(SUGERENCIAS!L317,0)&amp;" RIR:"&amp;ROUND(SUGERENCIAS!M317,0),IF(SUGERENCIAS!N317="SUBIR_E","^ SUBIR (Est.) | Kg:"&amp;ROUND(SUGERENCIAS!K317,1)&amp;" R:"&amp;ROUND(SUGERENCIAS!L317,0)&amp;" RIR:"&amp;ROUND(SUGERENCIAS!M317,0),IF(SUGERENCIAS!N317="SUBIR","^ SUBIR | Kg:"&amp;ROUND(SUGERENCIAS!K317,1)&amp;" R:"&amp;ROUND(SUGERENCIAS!L317,0)&amp;" RIR:"&amp;ROUND(SUGERENCIAS!M317,0),IF(SUGERENCIAS!N317="BAJAR","v BAJAR | Kg:"&amp;ROUND(SUGERENCIAS!K317,1)&amp;" R:"&amp;ROUND(SUGERENCIAS!L317,0)&amp;" RIR:"&amp;ROUND(SUGERENCIAS!M317,0),"= MANT | Kg:"&amp;ROUND(SUGERENCIAS!K317,1)&amp;" R:"&amp;ROUND(SUGERENCIAS!L317,0)&amp;" RIR:"&amp;ROUND(SUGERENCIAS!M317,0))))))</f>
        <v>Sin datos anteriores</v>
      </c>
      <c r="W126" s="69">
        <f>MAX(IF((G126&gt;0)*(IF(H126="",-1,H126)&gt;=1)*(IF(H126="",-1,H126)&lt;=3),IF(C126="peso_corporal",IF(ISNUMBER(E126),E126,0)+F126,F126)*G126*1000+F126,0),IF((J126&gt;0)*(IF(K126="",-1,K126)&gt;=1)*(IF(K126="",-1,K126)&lt;=3),IF(C126="peso_corporal",IF(ISNUMBER(E126),E126,0)+I126,I126)*J126*1000+I126,0),IF((M126&gt;0)*(IF(N126="",-1,N126)&gt;=1)*(IF(N126="",-1,N126)&lt;=3),IF(C126="peso_corporal",IF(ISNUMBER(E126),E126,0)+L126,L126)*M126*1000+L126,0),IF((P126&gt;0)*(IF(Q126="",-1,Q126)&gt;=1)*(IF(Q126="",-1,Q126)&lt;=3),IF(C126="peso_corporal",IF(ISNUMBER(E126),E126,0)+O126,O126)*P126*1000+O126,0),IF((S126&gt;0)*(IF(T126="",-1,T126)&gt;=1)*(IF(T126="",-1,T126)&lt;=3),IF(C126="peso_corporal",IF(ISNUMBER(E126),E126,0)+R126,R126)*S126*1000+R126,0))</f>
        <v>0</v>
      </c>
      <c r="X126" s="69">
        <f>IF(W126=0,0,IF(IF((S126&gt;0)*(IF(T126="",-1,T126)&gt;=1)*(IF(T126="",-1,T126)&lt;=3),IF(C126="peso_corporal",IF(ISNUMBER(E126),E126,0)+R126,R126)*S126*1000+R126,0)=W126,5,IF(IF((P126&gt;0)*(IF(Q126="",-1,Q126)&gt;=1)*(IF(Q126="",-1,Q126)&lt;=3),IF(C126="peso_corporal",IF(ISNUMBER(E126),E126,0)+O126,O126)*P126*1000+O126,0)=W126,4,IF(IF((M126&gt;0)*(IF(N126="",-1,N126)&gt;=1)*(IF(N126="",-1,N126)&lt;=3),IF(C126="peso_corporal",IF(ISNUMBER(E126),E126,0)+L126,L126)*M126*1000+L126,0)=W126,3,IF(IF((J126&gt;0)*(IF(K126="",-1,K126)&gt;=1)*(IF(K126="",-1,K126)&lt;=3),IF(C126="peso_corporal",IF(ISNUMBER(E126),E126,0)+I126,I126)*J126*1000+I126,0)=W126,2,IF(IF((G126&gt;0)*(IF(H126="",-1,H126)&gt;=1)*(IF(H126="",-1,H126)&lt;=3),IF(C126="peso_corporal",IF(ISNUMBER(E126),E126,0)+F126,F126)*G126*1000+F126,0)=W126,1,0))))))</f>
        <v>0</v>
      </c>
      <c r="Y126" s="69">
        <f>MAX(IF((G126&gt;0)*(IF(H126="",-1,H126)=0)*(1-(IF(H126="",-1,H126)&gt;=1)*(IF(H126="",-1,H126)&lt;=3)),IF(C126="peso_corporal",IF(ISNUMBER(E126),E126,0)+F126,F126)*G126*1000+F126,0),IF((J126&gt;0)*(IF(K126="",-1,K126)=0)*(1-(IF(K126="",-1,K126)&gt;=1)*(IF(K126="",-1,K126)&lt;=3)),IF(C126="peso_corporal",IF(ISNUMBER(E126),E126,0)+I126,I126)*J126*1000+I126,0),IF((M126&gt;0)*(IF(N126="",-1,N126)=0)*(1-(IF(N126="",-1,N126)&gt;=1)*(IF(N126="",-1,N126)&lt;=3)),IF(C126="peso_corporal",IF(ISNUMBER(E126),E126,0)+L126,L126)*M126*1000+L126,0),IF((P126&gt;0)*(IF(Q126="",-1,Q126)=0)*(1-(IF(Q126="",-1,Q126)&gt;=1)*(IF(Q126="",-1,Q126)&lt;=3)),IF(C126="peso_corporal",IF(ISNUMBER(E126),E126,0)+O126,O126)*P126*1000+O126,0),IF((S126&gt;0)*(IF(T126="",-1,T126)=0)*(1-(IF(T126="",-1,T126)&gt;=1)*(IF(T126="",-1,T126)&lt;=3)),IF(C126="peso_corporal",IF(ISNUMBER(E126),E126,0)+R126,R126)*S126*1000+R126,0))</f>
        <v>0</v>
      </c>
      <c r="Z126" s="69">
        <f>IF(Y126=0,0,IF(IF((S126&gt;0)*(IF(T126="",-1,T126)=0)*(1-(IF(T126="",-1,T126)&gt;=1)*(IF(T126="",-1,T126)&lt;=3)),IF(C126="peso_corporal",IF(ISNUMBER(E126),E126,0)+R126,R126)*S126*1000+R126,0)=Y126,5,IF(IF((P126&gt;0)*(IF(Q126="",-1,Q126)=0)*(1-(IF(Q126="",-1,Q126)&gt;=1)*(IF(Q126="",-1,Q126)&lt;=3)),IF(C126="peso_corporal",IF(ISNUMBER(E126),E126,0)+O126,O126)*P126*1000+O126,0)=Y126,4,IF(IF((M126&gt;0)*(IF(N126="",-1,N126)=0)*(1-(IF(N126="",-1,N126)&gt;=1)*(IF(N126="",-1,N126)&lt;=3)),IF(C126="peso_corporal",IF(ISNUMBER(E126),E126,0)+L126,L126)*M126*1000+L126,0)=Y126,3,IF(IF((J126&gt;0)*(IF(K126="",-1,K126)=0)*(1-(IF(K126="",-1,K126)&gt;=1)*(IF(K126="",-1,K126)&lt;=3)),IF(C126="peso_corporal",IF(ISNUMBER(E126),E126,0)+I126,I126)*J126*1000+I126,0)=Y126,2,IF(IF((G126&gt;0)*(IF(H126="",-1,H126)=0)*(1-(IF(H126="",-1,H126)&gt;=1)*(IF(H126="",-1,H126)&lt;=3)),IF(C126="peso_corporal",IF(ISNUMBER(E126),E126,0)+F126,F126)*G126*1000+F126,0)=Y126,1,0))))))</f>
        <v>0</v>
      </c>
      <c r="AA126" s="69">
        <f>MAX(IF((G126&gt;=6)*(1-(IF(H126="",-1,H126)&gt;=1)*(IF(H126="",-1,H126)&lt;=3))*(1-(IF(H126="",-1,H126)=0)),IF(C126="peso_corporal",IF(ISNUMBER(E126),E126,0)+F126,F126)*(30+G126)*100+F126,0),IF((J126&gt;=6)*(1-(IF(K126="",-1,K126)&gt;=1)*(IF(K126="",-1,K126)&lt;=3))*(1-(IF(K126="",-1,K126)=0)),IF(C126="peso_corporal",IF(ISNUMBER(E126),E126,0)+I126,I126)*(30+J126)*100+I126,0),IF((M126&gt;=6)*(1-(IF(N126="",-1,N126)&gt;=1)*(IF(N126="",-1,N126)&lt;=3))*(1-(IF(N126="",-1,N126)=0)),IF(C126="peso_corporal",IF(ISNUMBER(E126),E126,0)+L126,L126)*(30+M126)*100+L126,0),IF((P126&gt;=6)*(1-(IF(Q126="",-1,Q126)&gt;=1)*(IF(Q126="",-1,Q126)&lt;=3))*(1-(IF(Q126="",-1,Q126)=0)),IF(C126="peso_corporal",IF(ISNUMBER(E126),E126,0)+O126,O126)*(30+P126)*100+O126,0),IF((S126&gt;=6)*(1-(IF(T126="",-1,T126)&gt;=1)*(IF(T126="",-1,T126)&lt;=3))*(1-(IF(T126="",-1,T126)=0)),IF(C126="peso_corporal",IF(ISNUMBER(E126),E126,0)+R126,R126)*(30+S126)*100+R126,0))</f>
        <v>0</v>
      </c>
      <c r="AB126" s="69">
        <f>IF(AA126=0,0,IF(IF((S126&gt;=6)*(1-(IF(T126="",-1,T126)&gt;=1)*(IF(T126="",-1,T126)&lt;=3))*(1-(IF(T126="",-1,T126)=0)),IF(C126="peso_corporal",IF(ISNUMBER(E126),E126,0)+R126,R126)*(30+S126)*100+R126,0)=AA126,5,IF(IF((P126&gt;=6)*(1-(IF(Q126="",-1,Q126)&gt;=1)*(IF(Q126="",-1,Q126)&lt;=3))*(1-(IF(Q126="",-1,Q126)=0)),IF(C126="peso_corporal",IF(ISNUMBER(E126),E126,0)+O126,O126)*(30+P126)*100+O126,0)=AA126,4,IF(IF((M126&gt;=6)*(1-(IF(N126="",-1,N126)&gt;=1)*(IF(N126="",-1,N126)&lt;=3))*(1-(IF(N126="",-1,N126)=0)),IF(C126="peso_corporal",IF(ISNUMBER(E126),E126,0)+L126,L126)*(30+M126)*100+L126,0)=AA126,3,IF(IF((J126&gt;=6)*(1-(IF(K126="",-1,K126)&gt;=1)*(IF(K126="",-1,K126)&lt;=3))*(1-(IF(K126="",-1,K126)=0)),IF(C126="peso_corporal",IF(ISNUMBER(E126),E126,0)+I126,I126)*(30+J126)*100+I126,0)=AA126,2,IF(IF((G126&gt;=6)*(1-(IF(H126="",-1,H126)&gt;=1)*(IF(H126="",-1,H126)&lt;=3))*(1-(IF(H126="",-1,H126)=0)),IF(C126="peso_corporal",IF(ISNUMBER(E126),E126,0)+F126,F126)*(30+G126)*100+F126,0)=AA126,1,0))))))</f>
        <v>0</v>
      </c>
      <c r="AC126" s="69" t="str">
        <f>IF(X126&gt;0,"A"&amp;X126,IF(Z126&gt;0,"B"&amp;Z126,IF(AB126&gt;0,"C"&amp;AB126,"")))</f>
        <v/>
      </c>
    </row>
    <row r="127" spans="1:29" ht="15" customHeight="1">
      <c r="A127" s="72" t="s">
        <v>56</v>
      </c>
      <c r="B127" s="73"/>
      <c r="C127" s="73"/>
      <c r="D127" s="73"/>
      <c r="E127" s="73"/>
      <c r="F127" s="73"/>
      <c r="G127" s="73"/>
      <c r="H127" s="73"/>
      <c r="I127" s="73"/>
      <c r="J127" s="73"/>
      <c r="K127" s="73"/>
      <c r="L127" s="73"/>
      <c r="M127" s="73"/>
      <c r="N127" s="73"/>
      <c r="O127" s="73"/>
      <c r="P127" s="73"/>
      <c r="Q127" s="73"/>
      <c r="R127" s="73"/>
      <c r="S127" s="73"/>
      <c r="T127" s="73"/>
      <c r="U127" s="73"/>
      <c r="V127" s="73"/>
      <c r="W127" s="69"/>
      <c r="X127" s="69"/>
      <c r="Y127" s="69"/>
      <c r="Z127" s="69"/>
      <c r="AA127" s="69"/>
      <c r="AB127" s="69"/>
      <c r="AC127" s="69"/>
    </row>
    <row r="128" spans="1:29" ht="20.100000000000001" customHeight="1">
      <c r="A128" s="14" t="s">
        <v>57</v>
      </c>
      <c r="B128" s="15" t="s">
        <v>58</v>
      </c>
      <c r="C128" s="16" t="str">
        <f>IFERROR(INDEX(EJERCICIOS!$D$3:$D$75,MATCH(A128&amp;"|"&amp;B128,EJERCICIOS!$G$3:$G$75,0)),"--")</f>
        <v>polea</v>
      </c>
      <c r="D128" s="17">
        <v>3</v>
      </c>
      <c r="E128" s="18">
        <f>IFERROR(LOOKUP(2,1/(MEDIDAS_Y_PESO!$B$3:$B$7&lt;&gt;""),MEDIDAS_Y_PESO!$B$3:$B$7),"--")</f>
        <v>80</v>
      </c>
      <c r="F128" s="19"/>
      <c r="G128" s="20"/>
      <c r="H128" s="21"/>
      <c r="I128" s="19"/>
      <c r="J128" s="20"/>
      <c r="K128" s="21"/>
      <c r="L128" s="19"/>
      <c r="M128" s="20"/>
      <c r="N128" s="21"/>
      <c r="O128" s="19"/>
      <c r="P128" s="20"/>
      <c r="Q128" s="21"/>
      <c r="R128" s="19"/>
      <c r="S128" s="20"/>
      <c r="T128" s="21"/>
      <c r="U128" s="22" t="str">
        <f>IFERROR(IF(IF(X128&gt;0,X128,IF(Z128&gt;0,Z128,IF(AB128&gt;0,AB128,0)))=0,"--",ROUND(CHOOSE(IF(X128&gt;0,X128,IF(Z128&gt;0,Z128,IF(AB128&gt;0,AB128,0))),IF(C128="peso_corporal",IF(ISNUMBER(E128),E128,0)+F128,F128)*(1+G128/30),IF(C128="peso_corporal",IF(ISNUMBER(E128),E128,0)+I128,I128)*(1+J128/30),IF(C128="peso_corporal",IF(ISNUMBER(E128),E128,0)+L128,L128)*(1+M128/30),IF(C128="peso_corporal",IF(ISNUMBER(E128),E128,0)+O128,O128)*(1+P128/30),IF(C128="peso_corporal",IF(ISNUMBER(E128),E128,0)+R128,R128)*(1+S128/30)),1)),"--")</f>
        <v>--</v>
      </c>
      <c r="V128" s="23" t="str">
        <f>IF(SUGERENCIAS!N318="SIN","Sin datos anteriores",IF(SUGERENCIAS!N318="SUBIR_F","^ SUBIR FUERTE | Kg:"&amp;ROUND(SUGERENCIAS!K318,1)&amp;" R:"&amp;ROUND(SUGERENCIAS!L318,0)&amp;" RIR:"&amp;ROUND(SUGERENCIAS!M318,0),IF(SUGERENCIAS!N318="SUBIR_E","^ SUBIR (Est.) | Kg:"&amp;ROUND(SUGERENCIAS!K318,1)&amp;" R:"&amp;ROUND(SUGERENCIAS!L318,0)&amp;" RIR:"&amp;ROUND(SUGERENCIAS!M318,0),IF(SUGERENCIAS!N318="SUBIR","^ SUBIR | Kg:"&amp;ROUND(SUGERENCIAS!K318,1)&amp;" R:"&amp;ROUND(SUGERENCIAS!L318,0)&amp;" RIR:"&amp;ROUND(SUGERENCIAS!M318,0),IF(SUGERENCIAS!N318="BAJAR","v BAJAR | Kg:"&amp;ROUND(SUGERENCIAS!K318,1)&amp;" R:"&amp;ROUND(SUGERENCIAS!L318,0)&amp;" RIR:"&amp;ROUND(SUGERENCIAS!M318,0),"= MANT | Kg:"&amp;ROUND(SUGERENCIAS!K318,1)&amp;" R:"&amp;ROUND(SUGERENCIAS!L318,0)&amp;" RIR:"&amp;ROUND(SUGERENCIAS!M318,0))))))</f>
        <v>Sin datos anteriores</v>
      </c>
      <c r="W128" s="69">
        <f>MAX(IF((G128&gt;0)*(IF(H128="",-1,H128)&gt;=1)*(IF(H128="",-1,H128)&lt;=3),IF(C128="peso_corporal",IF(ISNUMBER(E128),E128,0)+F128,F128)*G128*1000+F128,0),IF((J128&gt;0)*(IF(K128="",-1,K128)&gt;=1)*(IF(K128="",-1,K128)&lt;=3),IF(C128="peso_corporal",IF(ISNUMBER(E128),E128,0)+I128,I128)*J128*1000+I128,0),IF((M128&gt;0)*(IF(N128="",-1,N128)&gt;=1)*(IF(N128="",-1,N128)&lt;=3),IF(C128="peso_corporal",IF(ISNUMBER(E128),E128,0)+L128,L128)*M128*1000+L128,0),IF((P128&gt;0)*(IF(Q128="",-1,Q128)&gt;=1)*(IF(Q128="",-1,Q128)&lt;=3),IF(C128="peso_corporal",IF(ISNUMBER(E128),E128,0)+O128,O128)*P128*1000+O128,0),IF((S128&gt;0)*(IF(T128="",-1,T128)&gt;=1)*(IF(T128="",-1,T128)&lt;=3),IF(C128="peso_corporal",IF(ISNUMBER(E128),E128,0)+R128,R128)*S128*1000+R128,0))</f>
        <v>0</v>
      </c>
      <c r="X128" s="69">
        <f>IF(W128=0,0,IF(IF((S128&gt;0)*(IF(T128="",-1,T128)&gt;=1)*(IF(T128="",-1,T128)&lt;=3),IF(C128="peso_corporal",IF(ISNUMBER(E128),E128,0)+R128,R128)*S128*1000+R128,0)=W128,5,IF(IF((P128&gt;0)*(IF(Q128="",-1,Q128)&gt;=1)*(IF(Q128="",-1,Q128)&lt;=3),IF(C128="peso_corporal",IF(ISNUMBER(E128),E128,0)+O128,O128)*P128*1000+O128,0)=W128,4,IF(IF((M128&gt;0)*(IF(N128="",-1,N128)&gt;=1)*(IF(N128="",-1,N128)&lt;=3),IF(C128="peso_corporal",IF(ISNUMBER(E128),E128,0)+L128,L128)*M128*1000+L128,0)=W128,3,IF(IF((J128&gt;0)*(IF(K128="",-1,K128)&gt;=1)*(IF(K128="",-1,K128)&lt;=3),IF(C128="peso_corporal",IF(ISNUMBER(E128),E128,0)+I128,I128)*J128*1000+I128,0)=W128,2,IF(IF((G128&gt;0)*(IF(H128="",-1,H128)&gt;=1)*(IF(H128="",-1,H128)&lt;=3),IF(C128="peso_corporal",IF(ISNUMBER(E128),E128,0)+F128,F128)*G128*1000+F128,0)=W128,1,0))))))</f>
        <v>0</v>
      </c>
      <c r="Y128" s="69">
        <f>MAX(IF((G128&gt;0)*(IF(H128="",-1,H128)=0)*(1-(IF(H128="",-1,H128)&gt;=1)*(IF(H128="",-1,H128)&lt;=3)),IF(C128="peso_corporal",IF(ISNUMBER(E128),E128,0)+F128,F128)*G128*1000+F128,0),IF((J128&gt;0)*(IF(K128="",-1,K128)=0)*(1-(IF(K128="",-1,K128)&gt;=1)*(IF(K128="",-1,K128)&lt;=3)),IF(C128="peso_corporal",IF(ISNUMBER(E128),E128,0)+I128,I128)*J128*1000+I128,0),IF((M128&gt;0)*(IF(N128="",-1,N128)=0)*(1-(IF(N128="",-1,N128)&gt;=1)*(IF(N128="",-1,N128)&lt;=3)),IF(C128="peso_corporal",IF(ISNUMBER(E128),E128,0)+L128,L128)*M128*1000+L128,0),IF((P128&gt;0)*(IF(Q128="",-1,Q128)=0)*(1-(IF(Q128="",-1,Q128)&gt;=1)*(IF(Q128="",-1,Q128)&lt;=3)),IF(C128="peso_corporal",IF(ISNUMBER(E128),E128,0)+O128,O128)*P128*1000+O128,0),IF((S128&gt;0)*(IF(T128="",-1,T128)=0)*(1-(IF(T128="",-1,T128)&gt;=1)*(IF(T128="",-1,T128)&lt;=3)),IF(C128="peso_corporal",IF(ISNUMBER(E128),E128,0)+R128,R128)*S128*1000+R128,0))</f>
        <v>0</v>
      </c>
      <c r="Z128" s="69">
        <f>IF(Y128=0,0,IF(IF((S128&gt;0)*(IF(T128="",-1,T128)=0)*(1-(IF(T128="",-1,T128)&gt;=1)*(IF(T128="",-1,T128)&lt;=3)),IF(C128="peso_corporal",IF(ISNUMBER(E128),E128,0)+R128,R128)*S128*1000+R128,0)=Y128,5,IF(IF((P128&gt;0)*(IF(Q128="",-1,Q128)=0)*(1-(IF(Q128="",-1,Q128)&gt;=1)*(IF(Q128="",-1,Q128)&lt;=3)),IF(C128="peso_corporal",IF(ISNUMBER(E128),E128,0)+O128,O128)*P128*1000+O128,0)=Y128,4,IF(IF((M128&gt;0)*(IF(N128="",-1,N128)=0)*(1-(IF(N128="",-1,N128)&gt;=1)*(IF(N128="",-1,N128)&lt;=3)),IF(C128="peso_corporal",IF(ISNUMBER(E128),E128,0)+L128,L128)*M128*1000+L128,0)=Y128,3,IF(IF((J128&gt;0)*(IF(K128="",-1,K128)=0)*(1-(IF(K128="",-1,K128)&gt;=1)*(IF(K128="",-1,K128)&lt;=3)),IF(C128="peso_corporal",IF(ISNUMBER(E128),E128,0)+I128,I128)*J128*1000+I128,0)=Y128,2,IF(IF((G128&gt;0)*(IF(H128="",-1,H128)=0)*(1-(IF(H128="",-1,H128)&gt;=1)*(IF(H128="",-1,H128)&lt;=3)),IF(C128="peso_corporal",IF(ISNUMBER(E128),E128,0)+F128,F128)*G128*1000+F128,0)=Y128,1,0))))))</f>
        <v>0</v>
      </c>
      <c r="AA128" s="69">
        <f>MAX(IF((G128&gt;=6)*(1-(IF(H128="",-1,H128)&gt;=1)*(IF(H128="",-1,H128)&lt;=3))*(1-(IF(H128="",-1,H128)=0)),IF(C128="peso_corporal",IF(ISNUMBER(E128),E128,0)+F128,F128)*(30+G128)*100+F128,0),IF((J128&gt;=6)*(1-(IF(K128="",-1,K128)&gt;=1)*(IF(K128="",-1,K128)&lt;=3))*(1-(IF(K128="",-1,K128)=0)),IF(C128="peso_corporal",IF(ISNUMBER(E128),E128,0)+I128,I128)*(30+J128)*100+I128,0),IF((M128&gt;=6)*(1-(IF(N128="",-1,N128)&gt;=1)*(IF(N128="",-1,N128)&lt;=3))*(1-(IF(N128="",-1,N128)=0)),IF(C128="peso_corporal",IF(ISNUMBER(E128),E128,0)+L128,L128)*(30+M128)*100+L128,0),IF((P128&gt;=6)*(1-(IF(Q128="",-1,Q128)&gt;=1)*(IF(Q128="",-1,Q128)&lt;=3))*(1-(IF(Q128="",-1,Q128)=0)),IF(C128="peso_corporal",IF(ISNUMBER(E128),E128,0)+O128,O128)*(30+P128)*100+O128,0),IF((S128&gt;=6)*(1-(IF(T128="",-1,T128)&gt;=1)*(IF(T128="",-1,T128)&lt;=3))*(1-(IF(T128="",-1,T128)=0)),IF(C128="peso_corporal",IF(ISNUMBER(E128),E128,0)+R128,R128)*(30+S128)*100+R128,0))</f>
        <v>0</v>
      </c>
      <c r="AB128" s="69">
        <f>IF(AA128=0,0,IF(IF((S128&gt;=6)*(1-(IF(T128="",-1,T128)&gt;=1)*(IF(T128="",-1,T128)&lt;=3))*(1-(IF(T128="",-1,T128)=0)),IF(C128="peso_corporal",IF(ISNUMBER(E128),E128,0)+R128,R128)*(30+S128)*100+R128,0)=AA128,5,IF(IF((P128&gt;=6)*(1-(IF(Q128="",-1,Q128)&gt;=1)*(IF(Q128="",-1,Q128)&lt;=3))*(1-(IF(Q128="",-1,Q128)=0)),IF(C128="peso_corporal",IF(ISNUMBER(E128),E128,0)+O128,O128)*(30+P128)*100+O128,0)=AA128,4,IF(IF((M128&gt;=6)*(1-(IF(N128="",-1,N128)&gt;=1)*(IF(N128="",-1,N128)&lt;=3))*(1-(IF(N128="",-1,N128)=0)),IF(C128="peso_corporal",IF(ISNUMBER(E128),E128,0)+L128,L128)*(30+M128)*100+L128,0)=AA128,3,IF(IF((J128&gt;=6)*(1-(IF(K128="",-1,K128)&gt;=1)*(IF(K128="",-1,K128)&lt;=3))*(1-(IF(K128="",-1,K128)=0)),IF(C128="peso_corporal",IF(ISNUMBER(E128),E128,0)+I128,I128)*(30+J128)*100+I128,0)=AA128,2,IF(IF((G128&gt;=6)*(1-(IF(H128="",-1,H128)&gt;=1)*(IF(H128="",-1,H128)&lt;=3))*(1-(IF(H128="",-1,H128)=0)),IF(C128="peso_corporal",IF(ISNUMBER(E128),E128,0)+F128,F128)*(30+G128)*100+F128,0)=AA128,1,0))))))</f>
        <v>0</v>
      </c>
      <c r="AC128" s="69" t="str">
        <f>IF(X128&gt;0,"A"&amp;X128,IF(Z128&gt;0,"B"&amp;Z128,IF(AB128&gt;0,"C"&amp;AB128,"")))</f>
        <v/>
      </c>
    </row>
    <row r="129" spans="1:29" ht="6"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69"/>
      <c r="X129" s="69"/>
      <c r="Y129" s="69"/>
      <c r="Z129" s="69"/>
      <c r="AA129" s="69"/>
      <c r="AB129" s="69"/>
      <c r="AC129" s="69"/>
    </row>
    <row r="130" spans="1:29" ht="18" customHeight="1">
      <c r="A130" s="85" t="s">
        <v>71</v>
      </c>
      <c r="B130" s="73"/>
      <c r="C130" s="73"/>
      <c r="D130" s="73"/>
      <c r="E130" s="73"/>
      <c r="F130" s="73"/>
      <c r="G130" s="73"/>
      <c r="H130" s="73"/>
      <c r="I130" s="73"/>
      <c r="J130" s="73"/>
      <c r="K130" s="73"/>
      <c r="L130" s="73"/>
      <c r="M130" s="73"/>
      <c r="N130" s="73"/>
      <c r="O130" s="73"/>
      <c r="P130" s="73"/>
      <c r="Q130" s="73"/>
      <c r="R130" s="73"/>
      <c r="S130" s="73"/>
      <c r="T130" s="73"/>
      <c r="U130" s="73"/>
      <c r="V130" s="73"/>
      <c r="W130" s="69"/>
      <c r="X130" s="69"/>
      <c r="Y130" s="69"/>
      <c r="Z130" s="69"/>
      <c r="AA130" s="69"/>
      <c r="AB130" s="69"/>
      <c r="AC130" s="69"/>
    </row>
    <row r="131" spans="1:29" ht="15" customHeight="1">
      <c r="A131" s="75" t="s">
        <v>88</v>
      </c>
      <c r="B131" s="73"/>
      <c r="C131" s="73"/>
      <c r="D131" s="73"/>
      <c r="E131" s="73"/>
      <c r="F131" s="73"/>
      <c r="G131" s="73"/>
      <c r="H131" s="73"/>
      <c r="I131" s="73"/>
      <c r="J131" s="73"/>
      <c r="K131" s="73"/>
      <c r="L131" s="73"/>
      <c r="M131" s="73"/>
      <c r="N131" s="73"/>
      <c r="O131" s="73"/>
      <c r="P131" s="73"/>
      <c r="Q131" s="73"/>
      <c r="R131" s="73"/>
      <c r="S131" s="73"/>
      <c r="T131" s="73"/>
      <c r="U131" s="73"/>
      <c r="V131" s="73"/>
      <c r="W131" s="69"/>
      <c r="X131" s="69"/>
      <c r="Y131" s="69"/>
      <c r="Z131" s="69"/>
      <c r="AA131" s="69"/>
      <c r="AB131" s="69"/>
      <c r="AC131" s="69"/>
    </row>
    <row r="132" spans="1:29" ht="11.1" customHeight="1">
      <c r="A132" s="76" t="s">
        <v>89</v>
      </c>
      <c r="B132" s="73"/>
      <c r="C132" s="73"/>
      <c r="D132" s="73"/>
      <c r="E132" s="73"/>
      <c r="F132" s="73"/>
      <c r="G132" s="73"/>
      <c r="H132" s="73"/>
      <c r="I132" s="73"/>
      <c r="J132" s="73"/>
      <c r="K132" s="73"/>
      <c r="L132" s="73"/>
      <c r="M132" s="73"/>
      <c r="N132" s="73"/>
      <c r="O132" s="73"/>
      <c r="P132" s="73"/>
      <c r="Q132" s="73"/>
      <c r="R132" s="73"/>
      <c r="S132" s="73"/>
      <c r="T132" s="73"/>
      <c r="U132" s="73"/>
      <c r="V132" s="73"/>
      <c r="W132" s="69"/>
      <c r="X132" s="69"/>
      <c r="Y132" s="69"/>
      <c r="Z132" s="69"/>
      <c r="AA132" s="69"/>
      <c r="AB132" s="69"/>
      <c r="AC132" s="69"/>
    </row>
    <row r="133" spans="1:29" ht="20.100000000000001" customHeight="1">
      <c r="A133" s="14" t="s">
        <v>92</v>
      </c>
      <c r="B133" s="15" t="s">
        <v>108</v>
      </c>
      <c r="C133" s="16" t="str">
        <f>IFERROR(INDEX(EJERCICIOS!$D$3:$D$75,MATCH(A133&amp;"|"&amp;B133,EJERCICIOS!$G$3:$G$75,0)),"--")</f>
        <v>polea</v>
      </c>
      <c r="D133" s="17">
        <v>3</v>
      </c>
      <c r="E133" s="18">
        <f>IFERROR(LOOKUP(2,1/(MEDIDAS_Y_PESO!$B$3:$B$8&lt;&gt;""),MEDIDAS_Y_PESO!$B$3:$B$8),"--")</f>
        <v>80</v>
      </c>
      <c r="F133" s="19"/>
      <c r="G133" s="20"/>
      <c r="H133" s="21"/>
      <c r="I133" s="19"/>
      <c r="J133" s="20"/>
      <c r="K133" s="21"/>
      <c r="L133" s="19"/>
      <c r="M133" s="20"/>
      <c r="N133" s="21"/>
      <c r="O133" s="19"/>
      <c r="P133" s="20"/>
      <c r="Q133" s="21"/>
      <c r="R133" s="19"/>
      <c r="S133" s="20"/>
      <c r="T133" s="21"/>
      <c r="U133" s="22" t="str">
        <f>IFERROR(IF(IF(X133&gt;0,X133,IF(Z133&gt;0,Z133,IF(AB133&gt;0,AB133,0)))=0,"--",ROUND(CHOOSE(IF(X133&gt;0,X133,IF(Z133&gt;0,Z133,IF(AB133&gt;0,AB133,0))),IF(C133="peso_corporal",IF(ISNUMBER(E133),E133,0)+F133,F133)*(1+G133/30),IF(C133="peso_corporal",IF(ISNUMBER(E133),E133,0)+I133,I133)*(1+J133/30),IF(C133="peso_corporal",IF(ISNUMBER(E133),E133,0)+L133,L133)*(1+M133/30),IF(C133="peso_corporal",IF(ISNUMBER(E133),E133,0)+O133,O133)*(1+P133/30),IF(C133="peso_corporal",IF(ISNUMBER(E133),E133,0)+R133,R133)*(1+S133/30)),1)),"--")</f>
        <v>--</v>
      </c>
      <c r="V133" s="23" t="str">
        <f>IF(SUGERENCIAS!N369="SIN","Sin datos anteriores",IF(SUGERENCIAS!N369="SUBIR_F","^ SUBIR FUERTE | Kg:"&amp;ROUND(SUGERENCIAS!K369,1)&amp;" R:"&amp;ROUND(SUGERENCIAS!L369,0)&amp;" RIR:"&amp;ROUND(SUGERENCIAS!M369,0),IF(SUGERENCIAS!N369="SUBIR_E","^ SUBIR (Est.) | Kg:"&amp;ROUND(SUGERENCIAS!K369,1)&amp;" R:"&amp;ROUND(SUGERENCIAS!L369,0)&amp;" RIR:"&amp;ROUND(SUGERENCIAS!M369,0),IF(SUGERENCIAS!N369="SUBIR","^ SUBIR | Kg:"&amp;ROUND(SUGERENCIAS!K369,1)&amp;" R:"&amp;ROUND(SUGERENCIAS!L369,0)&amp;" RIR:"&amp;ROUND(SUGERENCIAS!M369,0),IF(SUGERENCIAS!N369="BAJAR","v BAJAR | Kg:"&amp;ROUND(SUGERENCIAS!K369,1)&amp;" R:"&amp;ROUND(SUGERENCIAS!L369,0)&amp;" RIR:"&amp;ROUND(SUGERENCIAS!M369,0),"= MANT | Kg:"&amp;ROUND(SUGERENCIAS!K369,1)&amp;" R:"&amp;ROUND(SUGERENCIAS!L369,0)&amp;" RIR:"&amp;ROUND(SUGERENCIAS!M369,0))))))</f>
        <v>Sin datos anteriores</v>
      </c>
      <c r="W133" s="69">
        <f>MAX(IF((G133&gt;0)*(IF(H133="",-1,H133)&gt;=0)*(IF(H133="",-1,H133)&lt;=1),IF(C133="peso_corporal",IF(ISNUMBER(E133),E133,0)+F133,F133)*G133*1000+F133,0),IF((J133&gt;0)*(IF(K133="",-1,K133)&gt;=0)*(IF(K133="",-1,K133)&lt;=1),IF(C133="peso_corporal",IF(ISNUMBER(E133),E133,0)+I133,I133)*J133*1000+I133,0),IF((M133&gt;0)*(IF(N133="",-1,N133)&gt;=0)*(IF(N133="",-1,N133)&lt;=1),IF(C133="peso_corporal",IF(ISNUMBER(E133),E133,0)+L133,L133)*M133*1000+L133,0),IF((P133&gt;0)*(IF(Q133="",-1,Q133)&gt;=0)*(IF(Q133="",-1,Q133)&lt;=1),IF(C133="peso_corporal",IF(ISNUMBER(E133),E133,0)+O133,O133)*P133*1000+O133,0),IF((S133&gt;0)*(IF(T133="",-1,T133)&gt;=0)*(IF(T133="",-1,T133)&lt;=1),IF(C133="peso_corporal",IF(ISNUMBER(E133),E133,0)+R133,R133)*S133*1000+R133,0))</f>
        <v>0</v>
      </c>
      <c r="X133" s="69">
        <f>IF(W133=0,0,IF(IF((S133&gt;0)*(IF(T133="",-1,T133)&gt;=0)*(IF(T133="",-1,T133)&lt;=1),IF(C133="peso_corporal",IF(ISNUMBER(E133),E133,0)+R133,R133)*S133*1000+R133,0)=W133,5,IF(IF((P133&gt;0)*(IF(Q133="",-1,Q133)&gt;=0)*(IF(Q133="",-1,Q133)&lt;=1),IF(C133="peso_corporal",IF(ISNUMBER(E133),E133,0)+O133,O133)*P133*1000+O133,0)=W133,4,IF(IF((M133&gt;0)*(IF(N133="",-1,N133)&gt;=0)*(IF(N133="",-1,N133)&lt;=1),IF(C133="peso_corporal",IF(ISNUMBER(E133),E133,0)+L133,L133)*M133*1000+L133,0)=W133,3,IF(IF((J133&gt;0)*(IF(K133="",-1,K133)&gt;=0)*(IF(K133="",-1,K133)&lt;=1),IF(C133="peso_corporal",IF(ISNUMBER(E133),E133,0)+I133,I133)*J133*1000+I133,0)=W133,2,IF(IF((G133&gt;0)*(IF(H133="",-1,H133)&gt;=0)*(IF(H133="",-1,H133)&lt;=1),IF(C133="peso_corporal",IF(ISNUMBER(E133),E133,0)+F133,F133)*G133*1000+F133,0)=W133,1,0))))))</f>
        <v>0</v>
      </c>
      <c r="Y133" s="69">
        <f>MAX(IF((G133&gt;0)*(IF(H133="",-1,H133)=0)*(1-(IF(H133="",-1,H133)&gt;=0)*(IF(H133="",-1,H133)&lt;=1)),IF(C133="peso_corporal",IF(ISNUMBER(E133),E133,0)+F133,F133)*G133*1000+F133,0),IF((J133&gt;0)*(IF(K133="",-1,K133)=0)*(1-(IF(K133="",-1,K133)&gt;=0)*(IF(K133="",-1,K133)&lt;=1)),IF(C133="peso_corporal",IF(ISNUMBER(E133),E133,0)+I133,I133)*J133*1000+I133,0),IF((M133&gt;0)*(IF(N133="",-1,N133)=0)*(1-(IF(N133="",-1,N133)&gt;=0)*(IF(N133="",-1,N133)&lt;=1)),IF(C133="peso_corporal",IF(ISNUMBER(E133),E133,0)+L133,L133)*M133*1000+L133,0),IF((P133&gt;0)*(IF(Q133="",-1,Q133)=0)*(1-(IF(Q133="",-1,Q133)&gt;=0)*(IF(Q133="",-1,Q133)&lt;=1)),IF(C133="peso_corporal",IF(ISNUMBER(E133),E133,0)+O133,O133)*P133*1000+O133,0),IF((S133&gt;0)*(IF(T133="",-1,T133)=0)*(1-(IF(T133="",-1,T133)&gt;=0)*(IF(T133="",-1,T133)&lt;=1)),IF(C133="peso_corporal",IF(ISNUMBER(E133),E133,0)+R133,R133)*S133*1000+R133,0))</f>
        <v>0</v>
      </c>
      <c r="Z133" s="69">
        <f>IF(Y133=0,0,IF(IF((S133&gt;0)*(IF(T133="",-1,T133)=0)*(1-(IF(T133="",-1,T133)&gt;=0)*(IF(T133="",-1,T133)&lt;=1)),IF(C133="peso_corporal",IF(ISNUMBER(E133),E133,0)+R133,R133)*S133*1000+R133,0)=Y133,5,IF(IF((P133&gt;0)*(IF(Q133="",-1,Q133)=0)*(1-(IF(Q133="",-1,Q133)&gt;=0)*(IF(Q133="",-1,Q133)&lt;=1)),IF(C133="peso_corporal",IF(ISNUMBER(E133),E133,0)+O133,O133)*P133*1000+O133,0)=Y133,4,IF(IF((M133&gt;0)*(IF(N133="",-1,N133)=0)*(1-(IF(N133="",-1,N133)&gt;=0)*(IF(N133="",-1,N133)&lt;=1)),IF(C133="peso_corporal",IF(ISNUMBER(E133),E133,0)+L133,L133)*M133*1000+L133,0)=Y133,3,IF(IF((J133&gt;0)*(IF(K133="",-1,K133)=0)*(1-(IF(K133="",-1,K133)&gt;=0)*(IF(K133="",-1,K133)&lt;=1)),IF(C133="peso_corporal",IF(ISNUMBER(E133),E133,0)+I133,I133)*J133*1000+I133,0)=Y133,2,IF(IF((G133&gt;0)*(IF(H133="",-1,H133)=0)*(1-(IF(H133="",-1,H133)&gt;=0)*(IF(H133="",-1,H133)&lt;=1)),IF(C133="peso_corporal",IF(ISNUMBER(E133),E133,0)+F133,F133)*G133*1000+F133,0)=Y133,1,0))))))</f>
        <v>0</v>
      </c>
      <c r="AA133" s="69">
        <f>MAX(IF((G133&gt;=3)*(1-(IF(H133="",-1,H133)&gt;=0)*(IF(H133="",-1,H133)&lt;=1))*(1-(IF(H133="",-1,H133)=0)),IF(C133="peso_corporal",IF(ISNUMBER(E133),E133,0)+F133,F133)*(30+G133)*100+F133,0),IF((J133&gt;=3)*(1-(IF(K133="",-1,K133)&gt;=0)*(IF(K133="",-1,K133)&lt;=1))*(1-(IF(K133="",-1,K133)=0)),IF(C133="peso_corporal",IF(ISNUMBER(E133),E133,0)+I133,I133)*(30+J133)*100+I133,0),IF((M133&gt;=3)*(1-(IF(N133="",-1,N133)&gt;=0)*(IF(N133="",-1,N133)&lt;=1))*(1-(IF(N133="",-1,N133)=0)),IF(C133="peso_corporal",IF(ISNUMBER(E133),E133,0)+L133,L133)*(30+M133)*100+L133,0),IF((P133&gt;=3)*(1-(IF(Q133="",-1,Q133)&gt;=0)*(IF(Q133="",-1,Q133)&lt;=1))*(1-(IF(Q133="",-1,Q133)=0)),IF(C133="peso_corporal",IF(ISNUMBER(E133),E133,0)+O133,O133)*(30+P133)*100+O133,0),IF((S133&gt;=3)*(1-(IF(T133="",-1,T133)&gt;=0)*(IF(T133="",-1,T133)&lt;=1))*(1-(IF(T133="",-1,T133)=0)),IF(C133="peso_corporal",IF(ISNUMBER(E133),E133,0)+R133,R133)*(30+S133)*100+R133,0))</f>
        <v>0</v>
      </c>
      <c r="AB133" s="69">
        <f>IF(AA133=0,0,IF(IF((S133&gt;=3)*(1-(IF(T133="",-1,T133)&gt;=0)*(IF(T133="",-1,T133)&lt;=1))*(1-(IF(T133="",-1,T133)=0)),IF(C133="peso_corporal",IF(ISNUMBER(E133),E133,0)+R133,R133)*(30+S133)*100+R133,0)=AA133,5,IF(IF((P133&gt;=3)*(1-(IF(Q133="",-1,Q133)&gt;=0)*(IF(Q133="",-1,Q133)&lt;=1))*(1-(IF(Q133="",-1,Q133)=0)),IF(C133="peso_corporal",IF(ISNUMBER(E133),E133,0)+O133,O133)*(30+P133)*100+O133,0)=AA133,4,IF(IF((M133&gt;=3)*(1-(IF(N133="",-1,N133)&gt;=0)*(IF(N133="",-1,N133)&lt;=1))*(1-(IF(N133="",-1,N133)=0)),IF(C133="peso_corporal",IF(ISNUMBER(E133),E133,0)+L133,L133)*(30+M133)*100+L133,0)=AA133,3,IF(IF((J133&gt;=3)*(1-(IF(K133="",-1,K133)&gt;=0)*(IF(K133="",-1,K133)&lt;=1))*(1-(IF(K133="",-1,K133)=0)),IF(C133="peso_corporal",IF(ISNUMBER(E133),E133,0)+I133,I133)*(30+J133)*100+I133,0)=AA133,2,IF(IF((G133&gt;=3)*(1-(IF(H133="",-1,H133)&gt;=0)*(IF(H133="",-1,H133)&lt;=1))*(1-(IF(H133="",-1,H133)=0)),IF(C133="peso_corporal",IF(ISNUMBER(E133),E133,0)+F133,F133)*(30+G133)*100+F133,0)=AA133,1,0))))))</f>
        <v>0</v>
      </c>
      <c r="AC133" s="69" t="str">
        <f>IF(X133&gt;0,"A"&amp;X133,IF(Z133&gt;0,"B"&amp;Z133,IF(AB133&gt;0,"C"&amp;AB133,"")))</f>
        <v/>
      </c>
    </row>
    <row r="134" spans="1:29" ht="11.1" customHeight="1">
      <c r="A134" s="84" t="s">
        <v>94</v>
      </c>
      <c r="B134" s="73"/>
      <c r="C134" s="73"/>
      <c r="D134" s="73"/>
      <c r="E134" s="73"/>
      <c r="F134" s="73"/>
      <c r="G134" s="73"/>
      <c r="H134" s="73"/>
      <c r="I134" s="73"/>
      <c r="J134" s="73"/>
      <c r="K134" s="73"/>
      <c r="L134" s="73"/>
      <c r="M134" s="73"/>
      <c r="N134" s="73"/>
      <c r="O134" s="73"/>
      <c r="P134" s="73"/>
      <c r="Q134" s="73"/>
      <c r="R134" s="73"/>
      <c r="S134" s="73"/>
      <c r="T134" s="73"/>
      <c r="U134" s="73"/>
      <c r="V134" s="73"/>
      <c r="W134" s="69"/>
      <c r="X134" s="69"/>
      <c r="Y134" s="69"/>
      <c r="Z134" s="69"/>
      <c r="AA134" s="69"/>
      <c r="AB134" s="69"/>
      <c r="AC134" s="69"/>
    </row>
    <row r="135" spans="1:29" ht="20.100000000000001" customHeight="1">
      <c r="A135" s="14" t="s">
        <v>95</v>
      </c>
      <c r="B135" s="15" t="s">
        <v>172</v>
      </c>
      <c r="C135" s="16" t="str">
        <f>IFERROR(INDEX(EJERCICIOS!$D$3:$D$75,MATCH(A135&amp;"|"&amp;B135,EJERCICIOS!$G$3:$G$75,0)),"--")</f>
        <v>polea</v>
      </c>
      <c r="D135" s="17">
        <v>3</v>
      </c>
      <c r="E135" s="18">
        <f>IFERROR(LOOKUP(2,1/(MEDIDAS_Y_PESO!$B$3:$B$8&lt;&gt;""),MEDIDAS_Y_PESO!$B$3:$B$8),"--")</f>
        <v>80</v>
      </c>
      <c r="F135" s="19"/>
      <c r="G135" s="20"/>
      <c r="H135" s="21"/>
      <c r="I135" s="19"/>
      <c r="J135" s="20"/>
      <c r="K135" s="21"/>
      <c r="L135" s="19"/>
      <c r="M135" s="20"/>
      <c r="N135" s="21"/>
      <c r="O135" s="19"/>
      <c r="P135" s="20"/>
      <c r="Q135" s="21"/>
      <c r="R135" s="19"/>
      <c r="S135" s="20"/>
      <c r="T135" s="21"/>
      <c r="U135" s="22" t="str">
        <f>IFERROR(IF(IF(X135&gt;0,X135,IF(Z135&gt;0,Z135,IF(AB135&gt;0,AB135,0)))=0,"--",ROUND(CHOOSE(IF(X135&gt;0,X135,IF(Z135&gt;0,Z135,IF(AB135&gt;0,AB135,0))),IF(C135="peso_corporal",IF(ISNUMBER(E135),E135,0)+F135,F135)*(1+G135/30),IF(C135="peso_corporal",IF(ISNUMBER(E135),E135,0)+I135,I135)*(1+J135/30),IF(C135="peso_corporal",IF(ISNUMBER(E135),E135,0)+L135,L135)*(1+M135/30),IF(C135="peso_corporal",IF(ISNUMBER(E135),E135,0)+O135,O135)*(1+P135/30),IF(C135="peso_corporal",IF(ISNUMBER(E135),E135,0)+R135,R135)*(1+S135/30)),1)),"--")</f>
        <v>--</v>
      </c>
      <c r="V135" s="23" t="str">
        <f>IF(SUGERENCIAS!N370="SIN","Sin datos anteriores",IF(SUGERENCIAS!N370="SUBIR_F","^ SUBIR FUERTE | Kg:"&amp;ROUND(SUGERENCIAS!K370,1)&amp;" R:"&amp;ROUND(SUGERENCIAS!L370,0)&amp;" RIR:"&amp;ROUND(SUGERENCIAS!M370,0),IF(SUGERENCIAS!N370="SUBIR_E","^ SUBIR (Est.) | Kg:"&amp;ROUND(SUGERENCIAS!K370,1)&amp;" R:"&amp;ROUND(SUGERENCIAS!L370,0)&amp;" RIR:"&amp;ROUND(SUGERENCIAS!M370,0),IF(SUGERENCIAS!N370="SUBIR","^ SUBIR | Kg:"&amp;ROUND(SUGERENCIAS!K370,1)&amp;" R:"&amp;ROUND(SUGERENCIAS!L370,0)&amp;" RIR:"&amp;ROUND(SUGERENCIAS!M370,0),IF(SUGERENCIAS!N370="BAJAR","v BAJAR | Kg:"&amp;ROUND(SUGERENCIAS!K370,1)&amp;" R:"&amp;ROUND(SUGERENCIAS!L370,0)&amp;" RIR:"&amp;ROUND(SUGERENCIAS!M370,0),"= MANT | Kg:"&amp;ROUND(SUGERENCIAS!K370,1)&amp;" R:"&amp;ROUND(SUGERENCIAS!L370,0)&amp;" RIR:"&amp;ROUND(SUGERENCIAS!M370,0))))))</f>
        <v>Sin datos anteriores</v>
      </c>
      <c r="W135" s="69">
        <f>MAX(IF((G135&gt;0)*(IF(H135="",-1,H135)&gt;=0)*(IF(H135="",-1,H135)&lt;=1),IF(C135="peso_corporal",IF(ISNUMBER(E135),E135,0)+F135,F135)*G135*1000+F135,0),IF((J135&gt;0)*(IF(K135="",-1,K135)&gt;=0)*(IF(K135="",-1,K135)&lt;=1),IF(C135="peso_corporal",IF(ISNUMBER(E135),E135,0)+I135,I135)*J135*1000+I135,0),IF((M135&gt;0)*(IF(N135="",-1,N135)&gt;=0)*(IF(N135="",-1,N135)&lt;=1),IF(C135="peso_corporal",IF(ISNUMBER(E135),E135,0)+L135,L135)*M135*1000+L135,0),IF((P135&gt;0)*(IF(Q135="",-1,Q135)&gt;=0)*(IF(Q135="",-1,Q135)&lt;=1),IF(C135="peso_corporal",IF(ISNUMBER(E135),E135,0)+O135,O135)*P135*1000+O135,0),IF((S135&gt;0)*(IF(T135="",-1,T135)&gt;=0)*(IF(T135="",-1,T135)&lt;=1),IF(C135="peso_corporal",IF(ISNUMBER(E135),E135,0)+R135,R135)*S135*1000+R135,0))</f>
        <v>0</v>
      </c>
      <c r="X135" s="69">
        <f>IF(W135=0,0,IF(IF((S135&gt;0)*(IF(T135="",-1,T135)&gt;=0)*(IF(T135="",-1,T135)&lt;=1),IF(C135="peso_corporal",IF(ISNUMBER(E135),E135,0)+R135,R135)*S135*1000+R135,0)=W135,5,IF(IF((P135&gt;0)*(IF(Q135="",-1,Q135)&gt;=0)*(IF(Q135="",-1,Q135)&lt;=1),IF(C135="peso_corporal",IF(ISNUMBER(E135),E135,0)+O135,O135)*P135*1000+O135,0)=W135,4,IF(IF((M135&gt;0)*(IF(N135="",-1,N135)&gt;=0)*(IF(N135="",-1,N135)&lt;=1),IF(C135="peso_corporal",IF(ISNUMBER(E135),E135,0)+L135,L135)*M135*1000+L135,0)=W135,3,IF(IF((J135&gt;0)*(IF(K135="",-1,K135)&gt;=0)*(IF(K135="",-1,K135)&lt;=1),IF(C135="peso_corporal",IF(ISNUMBER(E135),E135,0)+I135,I135)*J135*1000+I135,0)=W135,2,IF(IF((G135&gt;0)*(IF(H135="",-1,H135)&gt;=0)*(IF(H135="",-1,H135)&lt;=1),IF(C135="peso_corporal",IF(ISNUMBER(E135),E135,0)+F135,F135)*G135*1000+F135,0)=W135,1,0))))))</f>
        <v>0</v>
      </c>
      <c r="Y135" s="69">
        <f>MAX(IF((G135&gt;0)*(IF(H135="",-1,H135)=0)*(1-(IF(H135="",-1,H135)&gt;=0)*(IF(H135="",-1,H135)&lt;=1)),IF(C135="peso_corporal",IF(ISNUMBER(E135),E135,0)+F135,F135)*G135*1000+F135,0),IF((J135&gt;0)*(IF(K135="",-1,K135)=0)*(1-(IF(K135="",-1,K135)&gt;=0)*(IF(K135="",-1,K135)&lt;=1)),IF(C135="peso_corporal",IF(ISNUMBER(E135),E135,0)+I135,I135)*J135*1000+I135,0),IF((M135&gt;0)*(IF(N135="",-1,N135)=0)*(1-(IF(N135="",-1,N135)&gt;=0)*(IF(N135="",-1,N135)&lt;=1)),IF(C135="peso_corporal",IF(ISNUMBER(E135),E135,0)+L135,L135)*M135*1000+L135,0),IF((P135&gt;0)*(IF(Q135="",-1,Q135)=0)*(1-(IF(Q135="",-1,Q135)&gt;=0)*(IF(Q135="",-1,Q135)&lt;=1)),IF(C135="peso_corporal",IF(ISNUMBER(E135),E135,0)+O135,O135)*P135*1000+O135,0),IF((S135&gt;0)*(IF(T135="",-1,T135)=0)*(1-(IF(T135="",-1,T135)&gt;=0)*(IF(T135="",-1,T135)&lt;=1)),IF(C135="peso_corporal",IF(ISNUMBER(E135),E135,0)+R135,R135)*S135*1000+R135,0))</f>
        <v>0</v>
      </c>
      <c r="Z135" s="69">
        <f>IF(Y135=0,0,IF(IF((S135&gt;0)*(IF(T135="",-1,T135)=0)*(1-(IF(T135="",-1,T135)&gt;=0)*(IF(T135="",-1,T135)&lt;=1)),IF(C135="peso_corporal",IF(ISNUMBER(E135),E135,0)+R135,R135)*S135*1000+R135,0)=Y135,5,IF(IF((P135&gt;0)*(IF(Q135="",-1,Q135)=0)*(1-(IF(Q135="",-1,Q135)&gt;=0)*(IF(Q135="",-1,Q135)&lt;=1)),IF(C135="peso_corporal",IF(ISNUMBER(E135),E135,0)+O135,O135)*P135*1000+O135,0)=Y135,4,IF(IF((M135&gt;0)*(IF(N135="",-1,N135)=0)*(1-(IF(N135="",-1,N135)&gt;=0)*(IF(N135="",-1,N135)&lt;=1)),IF(C135="peso_corporal",IF(ISNUMBER(E135),E135,0)+L135,L135)*M135*1000+L135,0)=Y135,3,IF(IF((J135&gt;0)*(IF(K135="",-1,K135)=0)*(1-(IF(K135="",-1,K135)&gt;=0)*(IF(K135="",-1,K135)&lt;=1)),IF(C135="peso_corporal",IF(ISNUMBER(E135),E135,0)+I135,I135)*J135*1000+I135,0)=Y135,2,IF(IF((G135&gt;0)*(IF(H135="",-1,H135)=0)*(1-(IF(H135="",-1,H135)&gt;=0)*(IF(H135="",-1,H135)&lt;=1)),IF(C135="peso_corporal",IF(ISNUMBER(E135),E135,0)+F135,F135)*G135*1000+F135,0)=Y135,1,0))))))</f>
        <v>0</v>
      </c>
      <c r="AA135" s="69">
        <f>MAX(IF((G135&gt;=3)*(1-(IF(H135="",-1,H135)&gt;=0)*(IF(H135="",-1,H135)&lt;=1))*(1-(IF(H135="",-1,H135)=0)),IF(C135="peso_corporal",IF(ISNUMBER(E135),E135,0)+F135,F135)*(30+G135)*100+F135,0),IF((J135&gt;=3)*(1-(IF(K135="",-1,K135)&gt;=0)*(IF(K135="",-1,K135)&lt;=1))*(1-(IF(K135="",-1,K135)=0)),IF(C135="peso_corporal",IF(ISNUMBER(E135),E135,0)+I135,I135)*(30+J135)*100+I135,0),IF((M135&gt;=3)*(1-(IF(N135="",-1,N135)&gt;=0)*(IF(N135="",-1,N135)&lt;=1))*(1-(IF(N135="",-1,N135)=0)),IF(C135="peso_corporal",IF(ISNUMBER(E135),E135,0)+L135,L135)*(30+M135)*100+L135,0),IF((P135&gt;=3)*(1-(IF(Q135="",-1,Q135)&gt;=0)*(IF(Q135="",-1,Q135)&lt;=1))*(1-(IF(Q135="",-1,Q135)=0)),IF(C135="peso_corporal",IF(ISNUMBER(E135),E135,0)+O135,O135)*(30+P135)*100+O135,0),IF((S135&gt;=3)*(1-(IF(T135="",-1,T135)&gt;=0)*(IF(T135="",-1,T135)&lt;=1))*(1-(IF(T135="",-1,T135)=0)),IF(C135="peso_corporal",IF(ISNUMBER(E135),E135,0)+R135,R135)*(30+S135)*100+R135,0))</f>
        <v>0</v>
      </c>
      <c r="AB135" s="69">
        <f>IF(AA135=0,0,IF(IF((S135&gt;=3)*(1-(IF(T135="",-1,T135)&gt;=0)*(IF(T135="",-1,T135)&lt;=1))*(1-(IF(T135="",-1,T135)=0)),IF(C135="peso_corporal",IF(ISNUMBER(E135),E135,0)+R135,R135)*(30+S135)*100+R135,0)=AA135,5,IF(IF((P135&gt;=3)*(1-(IF(Q135="",-1,Q135)&gt;=0)*(IF(Q135="",-1,Q135)&lt;=1))*(1-(IF(Q135="",-1,Q135)=0)),IF(C135="peso_corporal",IF(ISNUMBER(E135),E135,0)+O135,O135)*(30+P135)*100+O135,0)=AA135,4,IF(IF((M135&gt;=3)*(1-(IF(N135="",-1,N135)&gt;=0)*(IF(N135="",-1,N135)&lt;=1))*(1-(IF(N135="",-1,N135)=0)),IF(C135="peso_corporal",IF(ISNUMBER(E135),E135,0)+L135,L135)*(30+M135)*100+L135,0)=AA135,3,IF(IF((J135&gt;=3)*(1-(IF(K135="",-1,K135)&gt;=0)*(IF(K135="",-1,K135)&lt;=1))*(1-(IF(K135="",-1,K135)=0)),IF(C135="peso_corporal",IF(ISNUMBER(E135),E135,0)+I135,I135)*(30+J135)*100+I135,0)=AA135,2,IF(IF((G135&gt;=3)*(1-(IF(H135="",-1,H135)&gt;=0)*(IF(H135="",-1,H135)&lt;=1))*(1-(IF(H135="",-1,H135)=0)),IF(C135="peso_corporal",IF(ISNUMBER(E135),E135,0)+F135,F135)*(30+G135)*100+F135,0)=AA135,1,0))))))</f>
        <v>0</v>
      </c>
      <c r="AC135" s="69" t="str">
        <f>IF(X135&gt;0,"A"&amp;X135,IF(Z135&gt;0,"B"&amp;Z135,IF(AB135&gt;0,"C"&amp;AB135,"")))</f>
        <v/>
      </c>
    </row>
    <row r="136" spans="1:29" ht="20.100000000000001" customHeight="1">
      <c r="A136" s="14" t="s">
        <v>95</v>
      </c>
      <c r="B136" s="15" t="s">
        <v>173</v>
      </c>
      <c r="C136" s="16" t="str">
        <f>IFERROR(INDEX(EJERCICIOS!$D$3:$D$75,MATCH(A136&amp;"|"&amp;B136,EJERCICIOS!$G$3:$G$75,0)),"--")</f>
        <v>polea</v>
      </c>
      <c r="D136" s="17">
        <v>3</v>
      </c>
      <c r="E136" s="18">
        <f>IFERROR(LOOKUP(2,1/(MEDIDAS_Y_PESO!$B$3:$B$8&lt;&gt;""),MEDIDAS_Y_PESO!$B$3:$B$8),"--")</f>
        <v>80</v>
      </c>
      <c r="F136" s="19"/>
      <c r="G136" s="20"/>
      <c r="H136" s="21"/>
      <c r="I136" s="19"/>
      <c r="J136" s="20"/>
      <c r="K136" s="21"/>
      <c r="L136" s="19"/>
      <c r="M136" s="20"/>
      <c r="N136" s="21"/>
      <c r="O136" s="19"/>
      <c r="P136" s="20"/>
      <c r="Q136" s="21"/>
      <c r="R136" s="19"/>
      <c r="S136" s="20"/>
      <c r="T136" s="21"/>
      <c r="U136" s="22" t="str">
        <f>IFERROR(IF(IF(X136&gt;0,X136,IF(Z136&gt;0,Z136,IF(AB136&gt;0,AB136,0)))=0,"--",ROUND(CHOOSE(IF(X136&gt;0,X136,IF(Z136&gt;0,Z136,IF(AB136&gt;0,AB136,0))),IF(C136="peso_corporal",IF(ISNUMBER(E136),E136,0)+F136,F136)*(1+G136/30),IF(C136="peso_corporal",IF(ISNUMBER(E136),E136,0)+I136,I136)*(1+J136/30),IF(C136="peso_corporal",IF(ISNUMBER(E136),E136,0)+L136,L136)*(1+M136/30),IF(C136="peso_corporal",IF(ISNUMBER(E136),E136,0)+O136,O136)*(1+P136/30),IF(C136="peso_corporal",IF(ISNUMBER(E136),E136,0)+R136,R136)*(1+S136/30)),1)),"--")</f>
        <v>--</v>
      </c>
      <c r="V136" s="23" t="str">
        <f>IF(SUGERENCIAS!N371="SIN","Sin datos anteriores",IF(SUGERENCIAS!N371="SUBIR_F","^ SUBIR FUERTE | Kg:"&amp;ROUND(SUGERENCIAS!K371,1)&amp;" R:"&amp;ROUND(SUGERENCIAS!L371,0)&amp;" RIR:"&amp;ROUND(SUGERENCIAS!M371,0),IF(SUGERENCIAS!N371="SUBIR_E","^ SUBIR (Est.) | Kg:"&amp;ROUND(SUGERENCIAS!K371,1)&amp;" R:"&amp;ROUND(SUGERENCIAS!L371,0)&amp;" RIR:"&amp;ROUND(SUGERENCIAS!M371,0),IF(SUGERENCIAS!N371="SUBIR","^ SUBIR | Kg:"&amp;ROUND(SUGERENCIAS!K371,1)&amp;" R:"&amp;ROUND(SUGERENCIAS!L371,0)&amp;" RIR:"&amp;ROUND(SUGERENCIAS!M371,0),IF(SUGERENCIAS!N371="BAJAR","v BAJAR | Kg:"&amp;ROUND(SUGERENCIAS!K371,1)&amp;" R:"&amp;ROUND(SUGERENCIAS!L371,0)&amp;" RIR:"&amp;ROUND(SUGERENCIAS!M371,0),"= MANT | Kg:"&amp;ROUND(SUGERENCIAS!K371,1)&amp;" R:"&amp;ROUND(SUGERENCIAS!L371,0)&amp;" RIR:"&amp;ROUND(SUGERENCIAS!M371,0))))))</f>
        <v>Sin datos anteriores</v>
      </c>
      <c r="W136" s="69">
        <f>MAX(IF((G136&gt;0)*(IF(H136="",-1,H136)&gt;=0)*(IF(H136="",-1,H136)&lt;=1),IF(C136="peso_corporal",IF(ISNUMBER(E136),E136,0)+F136,F136)*G136*1000+F136,0),IF((J136&gt;0)*(IF(K136="",-1,K136)&gt;=0)*(IF(K136="",-1,K136)&lt;=1),IF(C136="peso_corporal",IF(ISNUMBER(E136),E136,0)+I136,I136)*J136*1000+I136,0),IF((M136&gt;0)*(IF(N136="",-1,N136)&gt;=0)*(IF(N136="",-1,N136)&lt;=1),IF(C136="peso_corporal",IF(ISNUMBER(E136),E136,0)+L136,L136)*M136*1000+L136,0),IF((P136&gt;0)*(IF(Q136="",-1,Q136)&gt;=0)*(IF(Q136="",-1,Q136)&lt;=1),IF(C136="peso_corporal",IF(ISNUMBER(E136),E136,0)+O136,O136)*P136*1000+O136,0),IF((S136&gt;0)*(IF(T136="",-1,T136)&gt;=0)*(IF(T136="",-1,T136)&lt;=1),IF(C136="peso_corporal",IF(ISNUMBER(E136),E136,0)+R136,R136)*S136*1000+R136,0))</f>
        <v>0</v>
      </c>
      <c r="X136" s="69">
        <f>IF(W136=0,0,IF(IF((S136&gt;0)*(IF(T136="",-1,T136)&gt;=0)*(IF(T136="",-1,T136)&lt;=1),IF(C136="peso_corporal",IF(ISNUMBER(E136),E136,0)+R136,R136)*S136*1000+R136,0)=W136,5,IF(IF((P136&gt;0)*(IF(Q136="",-1,Q136)&gt;=0)*(IF(Q136="",-1,Q136)&lt;=1),IF(C136="peso_corporal",IF(ISNUMBER(E136),E136,0)+O136,O136)*P136*1000+O136,0)=W136,4,IF(IF((M136&gt;0)*(IF(N136="",-1,N136)&gt;=0)*(IF(N136="",-1,N136)&lt;=1),IF(C136="peso_corporal",IF(ISNUMBER(E136),E136,0)+L136,L136)*M136*1000+L136,0)=W136,3,IF(IF((J136&gt;0)*(IF(K136="",-1,K136)&gt;=0)*(IF(K136="",-1,K136)&lt;=1),IF(C136="peso_corporal",IF(ISNUMBER(E136),E136,0)+I136,I136)*J136*1000+I136,0)=W136,2,IF(IF((G136&gt;0)*(IF(H136="",-1,H136)&gt;=0)*(IF(H136="",-1,H136)&lt;=1),IF(C136="peso_corporal",IF(ISNUMBER(E136),E136,0)+F136,F136)*G136*1000+F136,0)=W136,1,0))))))</f>
        <v>0</v>
      </c>
      <c r="Y136" s="69">
        <f>MAX(IF((G136&gt;0)*(IF(H136="",-1,H136)=0)*(1-(IF(H136="",-1,H136)&gt;=0)*(IF(H136="",-1,H136)&lt;=1)),IF(C136="peso_corporal",IF(ISNUMBER(E136),E136,0)+F136,F136)*G136*1000+F136,0),IF((J136&gt;0)*(IF(K136="",-1,K136)=0)*(1-(IF(K136="",-1,K136)&gt;=0)*(IF(K136="",-1,K136)&lt;=1)),IF(C136="peso_corporal",IF(ISNUMBER(E136),E136,0)+I136,I136)*J136*1000+I136,0),IF((M136&gt;0)*(IF(N136="",-1,N136)=0)*(1-(IF(N136="",-1,N136)&gt;=0)*(IF(N136="",-1,N136)&lt;=1)),IF(C136="peso_corporal",IF(ISNUMBER(E136),E136,0)+L136,L136)*M136*1000+L136,0),IF((P136&gt;0)*(IF(Q136="",-1,Q136)=0)*(1-(IF(Q136="",-1,Q136)&gt;=0)*(IF(Q136="",-1,Q136)&lt;=1)),IF(C136="peso_corporal",IF(ISNUMBER(E136),E136,0)+O136,O136)*P136*1000+O136,0),IF((S136&gt;0)*(IF(T136="",-1,T136)=0)*(1-(IF(T136="",-1,T136)&gt;=0)*(IF(T136="",-1,T136)&lt;=1)),IF(C136="peso_corporal",IF(ISNUMBER(E136),E136,0)+R136,R136)*S136*1000+R136,0))</f>
        <v>0</v>
      </c>
      <c r="Z136" s="69">
        <f>IF(Y136=0,0,IF(IF((S136&gt;0)*(IF(T136="",-1,T136)=0)*(1-(IF(T136="",-1,T136)&gt;=0)*(IF(T136="",-1,T136)&lt;=1)),IF(C136="peso_corporal",IF(ISNUMBER(E136),E136,0)+R136,R136)*S136*1000+R136,0)=Y136,5,IF(IF((P136&gt;0)*(IF(Q136="",-1,Q136)=0)*(1-(IF(Q136="",-1,Q136)&gt;=0)*(IF(Q136="",-1,Q136)&lt;=1)),IF(C136="peso_corporal",IF(ISNUMBER(E136),E136,0)+O136,O136)*P136*1000+O136,0)=Y136,4,IF(IF((M136&gt;0)*(IF(N136="",-1,N136)=0)*(1-(IF(N136="",-1,N136)&gt;=0)*(IF(N136="",-1,N136)&lt;=1)),IF(C136="peso_corporal",IF(ISNUMBER(E136),E136,0)+L136,L136)*M136*1000+L136,0)=Y136,3,IF(IF((J136&gt;0)*(IF(K136="",-1,K136)=0)*(1-(IF(K136="",-1,K136)&gt;=0)*(IF(K136="",-1,K136)&lt;=1)),IF(C136="peso_corporal",IF(ISNUMBER(E136),E136,0)+I136,I136)*J136*1000+I136,0)=Y136,2,IF(IF((G136&gt;0)*(IF(H136="",-1,H136)=0)*(1-(IF(H136="",-1,H136)&gt;=0)*(IF(H136="",-1,H136)&lt;=1)),IF(C136="peso_corporal",IF(ISNUMBER(E136),E136,0)+F136,F136)*G136*1000+F136,0)=Y136,1,0))))))</f>
        <v>0</v>
      </c>
      <c r="AA136" s="69">
        <f>MAX(IF((G136&gt;=3)*(1-(IF(H136="",-1,H136)&gt;=0)*(IF(H136="",-1,H136)&lt;=1))*(1-(IF(H136="",-1,H136)=0)),IF(C136="peso_corporal",IF(ISNUMBER(E136),E136,0)+F136,F136)*(30+G136)*100+F136,0),IF((J136&gt;=3)*(1-(IF(K136="",-1,K136)&gt;=0)*(IF(K136="",-1,K136)&lt;=1))*(1-(IF(K136="",-1,K136)=0)),IF(C136="peso_corporal",IF(ISNUMBER(E136),E136,0)+I136,I136)*(30+J136)*100+I136,0),IF((M136&gt;=3)*(1-(IF(N136="",-1,N136)&gt;=0)*(IF(N136="",-1,N136)&lt;=1))*(1-(IF(N136="",-1,N136)=0)),IF(C136="peso_corporal",IF(ISNUMBER(E136),E136,0)+L136,L136)*(30+M136)*100+L136,0),IF((P136&gt;=3)*(1-(IF(Q136="",-1,Q136)&gt;=0)*(IF(Q136="",-1,Q136)&lt;=1))*(1-(IF(Q136="",-1,Q136)=0)),IF(C136="peso_corporal",IF(ISNUMBER(E136),E136,0)+O136,O136)*(30+P136)*100+O136,0),IF((S136&gt;=3)*(1-(IF(T136="",-1,T136)&gt;=0)*(IF(T136="",-1,T136)&lt;=1))*(1-(IF(T136="",-1,T136)=0)),IF(C136="peso_corporal",IF(ISNUMBER(E136),E136,0)+R136,R136)*(30+S136)*100+R136,0))</f>
        <v>0</v>
      </c>
      <c r="AB136" s="69">
        <f>IF(AA136=0,0,IF(IF((S136&gt;=3)*(1-(IF(T136="",-1,T136)&gt;=0)*(IF(T136="",-1,T136)&lt;=1))*(1-(IF(T136="",-1,T136)=0)),IF(C136="peso_corporal",IF(ISNUMBER(E136),E136,0)+R136,R136)*(30+S136)*100+R136,0)=AA136,5,IF(IF((P136&gt;=3)*(1-(IF(Q136="",-1,Q136)&gt;=0)*(IF(Q136="",-1,Q136)&lt;=1))*(1-(IF(Q136="",-1,Q136)=0)),IF(C136="peso_corporal",IF(ISNUMBER(E136),E136,0)+O136,O136)*(30+P136)*100+O136,0)=AA136,4,IF(IF((M136&gt;=3)*(1-(IF(N136="",-1,N136)&gt;=0)*(IF(N136="",-1,N136)&lt;=1))*(1-(IF(N136="",-1,N136)=0)),IF(C136="peso_corporal",IF(ISNUMBER(E136),E136,0)+L136,L136)*(30+M136)*100+L136,0)=AA136,3,IF(IF((J136&gt;=3)*(1-(IF(K136="",-1,K136)&gt;=0)*(IF(K136="",-1,K136)&lt;=1))*(1-(IF(K136="",-1,K136)=0)),IF(C136="peso_corporal",IF(ISNUMBER(E136),E136,0)+I136,I136)*(30+J136)*100+I136,0)=AA136,2,IF(IF((G136&gt;=3)*(1-(IF(H136="",-1,H136)&gt;=0)*(IF(H136="",-1,H136)&lt;=1))*(1-(IF(H136="",-1,H136)=0)),IF(C136="peso_corporal",IF(ISNUMBER(E136),E136,0)+F136,F136)*(30+G136)*100+F136,0)=AA136,1,0))))))</f>
        <v>0</v>
      </c>
      <c r="AC136" s="69" t="str">
        <f>IF(X136&gt;0,"A"&amp;X136,IF(Z136&gt;0,"B"&amp;Z136,IF(AB136&gt;0,"C"&amp;AB136,"")))</f>
        <v/>
      </c>
    </row>
    <row r="137" spans="1:29" ht="20.100000000000001" customHeight="1">
      <c r="A137" s="14" t="s">
        <v>163</v>
      </c>
      <c r="B137" s="15" t="s">
        <v>52</v>
      </c>
      <c r="C137" s="16" t="str">
        <f>IFERROR(INDEX(EJERCICIOS!$D$3:$D$75,MATCH(A137&amp;"|"&amp;B137,EJERCICIOS!$G$3:$G$75,0)),"--")</f>
        <v>polea</v>
      </c>
      <c r="D137" s="17">
        <v>3</v>
      </c>
      <c r="E137" s="18">
        <f>IFERROR(LOOKUP(2,1/(MEDIDAS_Y_PESO!$B$3:$B$8&lt;&gt;""),MEDIDAS_Y_PESO!$B$3:$B$8),"--")</f>
        <v>80</v>
      </c>
      <c r="F137" s="19"/>
      <c r="G137" s="20"/>
      <c r="H137" s="21"/>
      <c r="I137" s="19"/>
      <c r="J137" s="20"/>
      <c r="K137" s="21"/>
      <c r="L137" s="19"/>
      <c r="M137" s="20"/>
      <c r="N137" s="21"/>
      <c r="O137" s="19"/>
      <c r="P137" s="20"/>
      <c r="Q137" s="21"/>
      <c r="R137" s="19"/>
      <c r="S137" s="20"/>
      <c r="T137" s="21"/>
      <c r="U137" s="22" t="str">
        <f>IFERROR(IF(IF(X137&gt;0,X137,IF(Z137&gt;0,Z137,IF(AB137&gt;0,AB137,0)))=0,"--",ROUND(CHOOSE(IF(X137&gt;0,X137,IF(Z137&gt;0,Z137,IF(AB137&gt;0,AB137,0))),IF(C137="peso_corporal",IF(ISNUMBER(E137),E137,0)+F137,F137)*(1+G137/30),IF(C137="peso_corporal",IF(ISNUMBER(E137),E137,0)+I137,I137)*(1+J137/30),IF(C137="peso_corporal",IF(ISNUMBER(E137),E137,0)+L137,L137)*(1+M137/30),IF(C137="peso_corporal",IF(ISNUMBER(E137),E137,0)+O137,O137)*(1+P137/30),IF(C137="peso_corporal",IF(ISNUMBER(E137),E137,0)+R137,R137)*(1+S137/30)),1)),"--")</f>
        <v>--</v>
      </c>
      <c r="V137" s="23" t="str">
        <f>IF(SUGERENCIAS!N372="SIN","Sin datos anteriores",IF(SUGERENCIAS!N372="SUBIR_F","^ SUBIR FUERTE | Kg:"&amp;ROUND(SUGERENCIAS!K372,1)&amp;" R:"&amp;ROUND(SUGERENCIAS!L372,0)&amp;" RIR:"&amp;ROUND(SUGERENCIAS!M372,0),IF(SUGERENCIAS!N372="SUBIR_E","^ SUBIR (Est.) | Kg:"&amp;ROUND(SUGERENCIAS!K372,1)&amp;" R:"&amp;ROUND(SUGERENCIAS!L372,0)&amp;" RIR:"&amp;ROUND(SUGERENCIAS!M372,0),IF(SUGERENCIAS!N372="SUBIR","^ SUBIR | Kg:"&amp;ROUND(SUGERENCIAS!K372,1)&amp;" R:"&amp;ROUND(SUGERENCIAS!L372,0)&amp;" RIR:"&amp;ROUND(SUGERENCIAS!M372,0),IF(SUGERENCIAS!N372="BAJAR","v BAJAR | Kg:"&amp;ROUND(SUGERENCIAS!K372,1)&amp;" R:"&amp;ROUND(SUGERENCIAS!L372,0)&amp;" RIR:"&amp;ROUND(SUGERENCIAS!M372,0),"= MANT | Kg:"&amp;ROUND(SUGERENCIAS!K372,1)&amp;" R:"&amp;ROUND(SUGERENCIAS!L372,0)&amp;" RIR:"&amp;ROUND(SUGERENCIAS!M372,0))))))</f>
        <v>Sin datos anteriores</v>
      </c>
      <c r="W137" s="69">
        <f>MAX(IF((G137&gt;0)*(IF(H137="",-1,H137)&gt;=0)*(IF(H137="",-1,H137)&lt;=1),IF(C137="peso_corporal",IF(ISNUMBER(E137),E137,0)+F137,F137)*G137*1000+F137,0),IF((J137&gt;0)*(IF(K137="",-1,K137)&gt;=0)*(IF(K137="",-1,K137)&lt;=1),IF(C137="peso_corporal",IF(ISNUMBER(E137),E137,0)+I137,I137)*J137*1000+I137,0),IF((M137&gt;0)*(IF(N137="",-1,N137)&gt;=0)*(IF(N137="",-1,N137)&lt;=1),IF(C137="peso_corporal",IF(ISNUMBER(E137),E137,0)+L137,L137)*M137*1000+L137,0),IF((P137&gt;0)*(IF(Q137="",-1,Q137)&gt;=0)*(IF(Q137="",-1,Q137)&lt;=1),IF(C137="peso_corporal",IF(ISNUMBER(E137),E137,0)+O137,O137)*P137*1000+O137,0),IF((S137&gt;0)*(IF(T137="",-1,T137)&gt;=0)*(IF(T137="",-1,T137)&lt;=1),IF(C137="peso_corporal",IF(ISNUMBER(E137),E137,0)+R137,R137)*S137*1000+R137,0))</f>
        <v>0</v>
      </c>
      <c r="X137" s="69">
        <f>IF(W137=0,0,IF(IF((S137&gt;0)*(IF(T137="",-1,T137)&gt;=0)*(IF(T137="",-1,T137)&lt;=1),IF(C137="peso_corporal",IF(ISNUMBER(E137),E137,0)+R137,R137)*S137*1000+R137,0)=W137,5,IF(IF((P137&gt;0)*(IF(Q137="",-1,Q137)&gt;=0)*(IF(Q137="",-1,Q137)&lt;=1),IF(C137="peso_corporal",IF(ISNUMBER(E137),E137,0)+O137,O137)*P137*1000+O137,0)=W137,4,IF(IF((M137&gt;0)*(IF(N137="",-1,N137)&gt;=0)*(IF(N137="",-1,N137)&lt;=1),IF(C137="peso_corporal",IF(ISNUMBER(E137),E137,0)+L137,L137)*M137*1000+L137,0)=W137,3,IF(IF((J137&gt;0)*(IF(K137="",-1,K137)&gt;=0)*(IF(K137="",-1,K137)&lt;=1),IF(C137="peso_corporal",IF(ISNUMBER(E137),E137,0)+I137,I137)*J137*1000+I137,0)=W137,2,IF(IF((G137&gt;0)*(IF(H137="",-1,H137)&gt;=0)*(IF(H137="",-1,H137)&lt;=1),IF(C137="peso_corporal",IF(ISNUMBER(E137),E137,0)+F137,F137)*G137*1000+F137,0)=W137,1,0))))))</f>
        <v>0</v>
      </c>
      <c r="Y137" s="69">
        <f>MAX(IF((G137&gt;0)*(IF(H137="",-1,H137)=0)*(1-(IF(H137="",-1,H137)&gt;=0)*(IF(H137="",-1,H137)&lt;=1)),IF(C137="peso_corporal",IF(ISNUMBER(E137),E137,0)+F137,F137)*G137*1000+F137,0),IF((J137&gt;0)*(IF(K137="",-1,K137)=0)*(1-(IF(K137="",-1,K137)&gt;=0)*(IF(K137="",-1,K137)&lt;=1)),IF(C137="peso_corporal",IF(ISNUMBER(E137),E137,0)+I137,I137)*J137*1000+I137,0),IF((M137&gt;0)*(IF(N137="",-1,N137)=0)*(1-(IF(N137="",-1,N137)&gt;=0)*(IF(N137="",-1,N137)&lt;=1)),IF(C137="peso_corporal",IF(ISNUMBER(E137),E137,0)+L137,L137)*M137*1000+L137,0),IF((P137&gt;0)*(IF(Q137="",-1,Q137)=0)*(1-(IF(Q137="",-1,Q137)&gt;=0)*(IF(Q137="",-1,Q137)&lt;=1)),IF(C137="peso_corporal",IF(ISNUMBER(E137),E137,0)+O137,O137)*P137*1000+O137,0),IF((S137&gt;0)*(IF(T137="",-1,T137)=0)*(1-(IF(T137="",-1,T137)&gt;=0)*(IF(T137="",-1,T137)&lt;=1)),IF(C137="peso_corporal",IF(ISNUMBER(E137),E137,0)+R137,R137)*S137*1000+R137,0))</f>
        <v>0</v>
      </c>
      <c r="Z137" s="69">
        <f>IF(Y137=0,0,IF(IF((S137&gt;0)*(IF(T137="",-1,T137)=0)*(1-(IF(T137="",-1,T137)&gt;=0)*(IF(T137="",-1,T137)&lt;=1)),IF(C137="peso_corporal",IF(ISNUMBER(E137),E137,0)+R137,R137)*S137*1000+R137,0)=Y137,5,IF(IF((P137&gt;0)*(IF(Q137="",-1,Q137)=0)*(1-(IF(Q137="",-1,Q137)&gt;=0)*(IF(Q137="",-1,Q137)&lt;=1)),IF(C137="peso_corporal",IF(ISNUMBER(E137),E137,0)+O137,O137)*P137*1000+O137,0)=Y137,4,IF(IF((M137&gt;0)*(IF(N137="",-1,N137)=0)*(1-(IF(N137="",-1,N137)&gt;=0)*(IF(N137="",-1,N137)&lt;=1)),IF(C137="peso_corporal",IF(ISNUMBER(E137),E137,0)+L137,L137)*M137*1000+L137,0)=Y137,3,IF(IF((J137&gt;0)*(IF(K137="",-1,K137)=0)*(1-(IF(K137="",-1,K137)&gt;=0)*(IF(K137="",-1,K137)&lt;=1)),IF(C137="peso_corporal",IF(ISNUMBER(E137),E137,0)+I137,I137)*J137*1000+I137,0)=Y137,2,IF(IF((G137&gt;0)*(IF(H137="",-1,H137)=0)*(1-(IF(H137="",-1,H137)&gt;=0)*(IF(H137="",-1,H137)&lt;=1)),IF(C137="peso_corporal",IF(ISNUMBER(E137),E137,0)+F137,F137)*G137*1000+F137,0)=Y137,1,0))))))</f>
        <v>0</v>
      </c>
      <c r="AA137" s="69">
        <f>MAX(IF((G137&gt;=3)*(1-(IF(H137="",-1,H137)&gt;=0)*(IF(H137="",-1,H137)&lt;=1))*(1-(IF(H137="",-1,H137)=0)),IF(C137="peso_corporal",IF(ISNUMBER(E137),E137,0)+F137,F137)*(30+G137)*100+F137,0),IF((J137&gt;=3)*(1-(IF(K137="",-1,K137)&gt;=0)*(IF(K137="",-1,K137)&lt;=1))*(1-(IF(K137="",-1,K137)=0)),IF(C137="peso_corporal",IF(ISNUMBER(E137),E137,0)+I137,I137)*(30+J137)*100+I137,0),IF((M137&gt;=3)*(1-(IF(N137="",-1,N137)&gt;=0)*(IF(N137="",-1,N137)&lt;=1))*(1-(IF(N137="",-1,N137)=0)),IF(C137="peso_corporal",IF(ISNUMBER(E137),E137,0)+L137,L137)*(30+M137)*100+L137,0),IF((P137&gt;=3)*(1-(IF(Q137="",-1,Q137)&gt;=0)*(IF(Q137="",-1,Q137)&lt;=1))*(1-(IF(Q137="",-1,Q137)=0)),IF(C137="peso_corporal",IF(ISNUMBER(E137),E137,0)+O137,O137)*(30+P137)*100+O137,0),IF((S137&gt;=3)*(1-(IF(T137="",-1,T137)&gt;=0)*(IF(T137="",-1,T137)&lt;=1))*(1-(IF(T137="",-1,T137)=0)),IF(C137="peso_corporal",IF(ISNUMBER(E137),E137,0)+R137,R137)*(30+S137)*100+R137,0))</f>
        <v>0</v>
      </c>
      <c r="AB137" s="69">
        <f>IF(AA137=0,0,IF(IF((S137&gt;=3)*(1-(IF(T137="",-1,T137)&gt;=0)*(IF(T137="",-1,T137)&lt;=1))*(1-(IF(T137="",-1,T137)=0)),IF(C137="peso_corporal",IF(ISNUMBER(E137),E137,0)+R137,R137)*(30+S137)*100+R137,0)=AA137,5,IF(IF((P137&gt;=3)*(1-(IF(Q137="",-1,Q137)&gt;=0)*(IF(Q137="",-1,Q137)&lt;=1))*(1-(IF(Q137="",-1,Q137)=0)),IF(C137="peso_corporal",IF(ISNUMBER(E137),E137,0)+O137,O137)*(30+P137)*100+O137,0)=AA137,4,IF(IF((M137&gt;=3)*(1-(IF(N137="",-1,N137)&gt;=0)*(IF(N137="",-1,N137)&lt;=1))*(1-(IF(N137="",-1,N137)=0)),IF(C137="peso_corporal",IF(ISNUMBER(E137),E137,0)+L137,L137)*(30+M137)*100+L137,0)=AA137,3,IF(IF((J137&gt;=3)*(1-(IF(K137="",-1,K137)&gt;=0)*(IF(K137="",-1,K137)&lt;=1))*(1-(IF(K137="",-1,K137)=0)),IF(C137="peso_corporal",IF(ISNUMBER(E137),E137,0)+I137,I137)*(30+J137)*100+I137,0)=AA137,2,IF(IF((G137&gt;=3)*(1-(IF(H137="",-1,H137)&gt;=0)*(IF(H137="",-1,H137)&lt;=1))*(1-(IF(H137="",-1,H137)=0)),IF(C137="peso_corporal",IF(ISNUMBER(E137),E137,0)+F137,F137)*(30+G137)*100+F137,0)=AA137,1,0))))))</f>
        <v>0</v>
      </c>
      <c r="AC137" s="69" t="str">
        <f>IF(X137&gt;0,"A"&amp;X137,IF(Z137&gt;0,"B"&amp;Z137,IF(AB137&gt;0,"C"&amp;AB137,"")))</f>
        <v/>
      </c>
    </row>
    <row r="138" spans="1:29" ht="15" customHeight="1">
      <c r="A138" s="81" t="s">
        <v>53</v>
      </c>
      <c r="B138" s="73"/>
      <c r="C138" s="73"/>
      <c r="D138" s="73"/>
      <c r="E138" s="73"/>
      <c r="F138" s="73"/>
      <c r="G138" s="73"/>
      <c r="H138" s="73"/>
      <c r="I138" s="73"/>
      <c r="J138" s="73"/>
      <c r="K138" s="73"/>
      <c r="L138" s="73"/>
      <c r="M138" s="73"/>
      <c r="N138" s="73"/>
      <c r="O138" s="73"/>
      <c r="P138" s="73"/>
      <c r="Q138" s="73"/>
      <c r="R138" s="73"/>
      <c r="S138" s="73"/>
      <c r="T138" s="73"/>
      <c r="U138" s="73"/>
      <c r="V138" s="73"/>
      <c r="W138" s="69"/>
      <c r="X138" s="69"/>
      <c r="Y138" s="69"/>
      <c r="Z138" s="69"/>
      <c r="AA138" s="69"/>
      <c r="AB138" s="69"/>
      <c r="AC138" s="69"/>
    </row>
    <row r="139" spans="1:29" ht="20.100000000000001" customHeight="1">
      <c r="A139" s="14" t="s">
        <v>54</v>
      </c>
      <c r="B139" s="15" t="s">
        <v>115</v>
      </c>
      <c r="C139" s="16" t="str">
        <f>IFERROR(INDEX(EJERCICIOS!$D$3:$D$75,MATCH(A139&amp;"|"&amp;B139,EJERCICIOS!$G$3:$G$75,0)),"--")</f>
        <v>polea</v>
      </c>
      <c r="D139" s="17">
        <v>3</v>
      </c>
      <c r="E139" s="18">
        <f>IFERROR(LOOKUP(2,1/(MEDIDAS_Y_PESO!$B$3:$B$8&lt;&gt;""),MEDIDAS_Y_PESO!$B$3:$B$8),"--")</f>
        <v>80</v>
      </c>
      <c r="F139" s="19"/>
      <c r="G139" s="20"/>
      <c r="H139" s="21"/>
      <c r="I139" s="19"/>
      <c r="J139" s="20"/>
      <c r="K139" s="21"/>
      <c r="L139" s="19"/>
      <c r="M139" s="20"/>
      <c r="N139" s="21"/>
      <c r="O139" s="19"/>
      <c r="P139" s="20"/>
      <c r="Q139" s="21"/>
      <c r="R139" s="19"/>
      <c r="S139" s="20"/>
      <c r="T139" s="21"/>
      <c r="U139" s="22" t="str">
        <f>IFERROR(IF(IF(X139&gt;0,X139,IF(Z139&gt;0,Z139,IF(AB139&gt;0,AB139,0)))=0,"--",ROUND(CHOOSE(IF(X139&gt;0,X139,IF(Z139&gt;0,Z139,IF(AB139&gt;0,AB139,0))),IF(C139="peso_corporal",IF(ISNUMBER(E139),E139,0)+F139,F139)*(1+G139/30),IF(C139="peso_corporal",IF(ISNUMBER(E139),E139,0)+I139,I139)*(1+J139/30),IF(C139="peso_corporal",IF(ISNUMBER(E139),E139,0)+L139,L139)*(1+M139/30),IF(C139="peso_corporal",IF(ISNUMBER(E139),E139,0)+O139,O139)*(1+P139/30),IF(C139="peso_corporal",IF(ISNUMBER(E139),E139,0)+R139,R139)*(1+S139/30)),1)),"--")</f>
        <v>--</v>
      </c>
      <c r="V139" s="23" t="str">
        <f>IF(SUGERENCIAS!N373="SIN","Sin datos anteriores",IF(SUGERENCIAS!N373="SUBIR_F","^ SUBIR FUERTE | Kg:"&amp;ROUND(SUGERENCIAS!K373,1)&amp;" R:"&amp;ROUND(SUGERENCIAS!L373,0)&amp;" RIR:"&amp;ROUND(SUGERENCIAS!M373,0),IF(SUGERENCIAS!N373="SUBIR_E","^ SUBIR (Est.) | Kg:"&amp;ROUND(SUGERENCIAS!K373,1)&amp;" R:"&amp;ROUND(SUGERENCIAS!L373,0)&amp;" RIR:"&amp;ROUND(SUGERENCIAS!M373,0),IF(SUGERENCIAS!N373="SUBIR","^ SUBIR | Kg:"&amp;ROUND(SUGERENCIAS!K373,1)&amp;" R:"&amp;ROUND(SUGERENCIAS!L373,0)&amp;" RIR:"&amp;ROUND(SUGERENCIAS!M373,0),IF(SUGERENCIAS!N373="BAJAR","v BAJAR | Kg:"&amp;ROUND(SUGERENCIAS!K373,1)&amp;" R:"&amp;ROUND(SUGERENCIAS!L373,0)&amp;" RIR:"&amp;ROUND(SUGERENCIAS!M373,0),"= MANT | Kg:"&amp;ROUND(SUGERENCIAS!K373,1)&amp;" R:"&amp;ROUND(SUGERENCIAS!L373,0)&amp;" RIR:"&amp;ROUND(SUGERENCIAS!M373,0))))))</f>
        <v>= MANT | Kg:40 R:7 RIR:2</v>
      </c>
      <c r="W139" s="69">
        <f>MAX(IF((G139&gt;0)*(IF(H139="",-1,H139)&gt;=0)*(IF(H139="",-1,H139)&lt;=1),IF(C139="peso_corporal",IF(ISNUMBER(E139),E139,0)+F139,F139)*G139*1000+F139,0),IF((J139&gt;0)*(IF(K139="",-1,K139)&gt;=0)*(IF(K139="",-1,K139)&lt;=1),IF(C139="peso_corporal",IF(ISNUMBER(E139),E139,0)+I139,I139)*J139*1000+I139,0),IF((M139&gt;0)*(IF(N139="",-1,N139)&gt;=0)*(IF(N139="",-1,N139)&lt;=1),IF(C139="peso_corporal",IF(ISNUMBER(E139),E139,0)+L139,L139)*M139*1000+L139,0),IF((P139&gt;0)*(IF(Q139="",-1,Q139)&gt;=0)*(IF(Q139="",-1,Q139)&lt;=1),IF(C139="peso_corporal",IF(ISNUMBER(E139),E139,0)+O139,O139)*P139*1000+O139,0),IF((S139&gt;0)*(IF(T139="",-1,T139)&gt;=0)*(IF(T139="",-1,T139)&lt;=1),IF(C139="peso_corporal",IF(ISNUMBER(E139),E139,0)+R139,R139)*S139*1000+R139,0))</f>
        <v>0</v>
      </c>
      <c r="X139" s="69">
        <f>IF(W139=0,0,IF(IF((S139&gt;0)*(IF(T139="",-1,T139)&gt;=0)*(IF(T139="",-1,T139)&lt;=1),IF(C139="peso_corporal",IF(ISNUMBER(E139),E139,0)+R139,R139)*S139*1000+R139,0)=W139,5,IF(IF((P139&gt;0)*(IF(Q139="",-1,Q139)&gt;=0)*(IF(Q139="",-1,Q139)&lt;=1),IF(C139="peso_corporal",IF(ISNUMBER(E139),E139,0)+O139,O139)*P139*1000+O139,0)=W139,4,IF(IF((M139&gt;0)*(IF(N139="",-1,N139)&gt;=0)*(IF(N139="",-1,N139)&lt;=1),IF(C139="peso_corporal",IF(ISNUMBER(E139),E139,0)+L139,L139)*M139*1000+L139,0)=W139,3,IF(IF((J139&gt;0)*(IF(K139="",-1,K139)&gt;=0)*(IF(K139="",-1,K139)&lt;=1),IF(C139="peso_corporal",IF(ISNUMBER(E139),E139,0)+I139,I139)*J139*1000+I139,0)=W139,2,IF(IF((G139&gt;0)*(IF(H139="",-1,H139)&gt;=0)*(IF(H139="",-1,H139)&lt;=1),IF(C139="peso_corporal",IF(ISNUMBER(E139),E139,0)+F139,F139)*G139*1000+F139,0)=W139,1,0))))))</f>
        <v>0</v>
      </c>
      <c r="Y139" s="69">
        <f>MAX(IF((G139&gt;0)*(IF(H139="",-1,H139)=0)*(1-(IF(H139="",-1,H139)&gt;=0)*(IF(H139="",-1,H139)&lt;=1)),IF(C139="peso_corporal",IF(ISNUMBER(E139),E139,0)+F139,F139)*G139*1000+F139,0),IF((J139&gt;0)*(IF(K139="",-1,K139)=0)*(1-(IF(K139="",-1,K139)&gt;=0)*(IF(K139="",-1,K139)&lt;=1)),IF(C139="peso_corporal",IF(ISNUMBER(E139),E139,0)+I139,I139)*J139*1000+I139,0),IF((M139&gt;0)*(IF(N139="",-1,N139)=0)*(1-(IF(N139="",-1,N139)&gt;=0)*(IF(N139="",-1,N139)&lt;=1)),IF(C139="peso_corporal",IF(ISNUMBER(E139),E139,0)+L139,L139)*M139*1000+L139,0),IF((P139&gt;0)*(IF(Q139="",-1,Q139)=0)*(1-(IF(Q139="",-1,Q139)&gt;=0)*(IF(Q139="",-1,Q139)&lt;=1)),IF(C139="peso_corporal",IF(ISNUMBER(E139),E139,0)+O139,O139)*P139*1000+O139,0),IF((S139&gt;0)*(IF(T139="",-1,T139)=0)*(1-(IF(T139="",-1,T139)&gt;=0)*(IF(T139="",-1,T139)&lt;=1)),IF(C139="peso_corporal",IF(ISNUMBER(E139),E139,0)+R139,R139)*S139*1000+R139,0))</f>
        <v>0</v>
      </c>
      <c r="Z139" s="69">
        <f>IF(Y139=0,0,IF(IF((S139&gt;0)*(IF(T139="",-1,T139)=0)*(1-(IF(T139="",-1,T139)&gt;=0)*(IF(T139="",-1,T139)&lt;=1)),IF(C139="peso_corporal",IF(ISNUMBER(E139),E139,0)+R139,R139)*S139*1000+R139,0)=Y139,5,IF(IF((P139&gt;0)*(IF(Q139="",-1,Q139)=0)*(1-(IF(Q139="",-1,Q139)&gt;=0)*(IF(Q139="",-1,Q139)&lt;=1)),IF(C139="peso_corporal",IF(ISNUMBER(E139),E139,0)+O139,O139)*P139*1000+O139,0)=Y139,4,IF(IF((M139&gt;0)*(IF(N139="",-1,N139)=0)*(1-(IF(N139="",-1,N139)&gt;=0)*(IF(N139="",-1,N139)&lt;=1)),IF(C139="peso_corporal",IF(ISNUMBER(E139),E139,0)+L139,L139)*M139*1000+L139,0)=Y139,3,IF(IF((J139&gt;0)*(IF(K139="",-1,K139)=0)*(1-(IF(K139="",-1,K139)&gt;=0)*(IF(K139="",-1,K139)&lt;=1)),IF(C139="peso_corporal",IF(ISNUMBER(E139),E139,0)+I139,I139)*J139*1000+I139,0)=Y139,2,IF(IF((G139&gt;0)*(IF(H139="",-1,H139)=0)*(1-(IF(H139="",-1,H139)&gt;=0)*(IF(H139="",-1,H139)&lt;=1)),IF(C139="peso_corporal",IF(ISNUMBER(E139),E139,0)+F139,F139)*G139*1000+F139,0)=Y139,1,0))))))</f>
        <v>0</v>
      </c>
      <c r="AA139" s="69">
        <f>MAX(IF((G139&gt;=3)*(1-(IF(H139="",-1,H139)&gt;=0)*(IF(H139="",-1,H139)&lt;=1))*(1-(IF(H139="",-1,H139)=0)),IF(C139="peso_corporal",IF(ISNUMBER(E139),E139,0)+F139,F139)*(30+G139)*100+F139,0),IF((J139&gt;=3)*(1-(IF(K139="",-1,K139)&gt;=0)*(IF(K139="",-1,K139)&lt;=1))*(1-(IF(K139="",-1,K139)=0)),IF(C139="peso_corporal",IF(ISNUMBER(E139),E139,0)+I139,I139)*(30+J139)*100+I139,0),IF((M139&gt;=3)*(1-(IF(N139="",-1,N139)&gt;=0)*(IF(N139="",-1,N139)&lt;=1))*(1-(IF(N139="",-1,N139)=0)),IF(C139="peso_corporal",IF(ISNUMBER(E139),E139,0)+L139,L139)*(30+M139)*100+L139,0),IF((P139&gt;=3)*(1-(IF(Q139="",-1,Q139)&gt;=0)*(IF(Q139="",-1,Q139)&lt;=1))*(1-(IF(Q139="",-1,Q139)=0)),IF(C139="peso_corporal",IF(ISNUMBER(E139),E139,0)+O139,O139)*(30+P139)*100+O139,0),IF((S139&gt;=3)*(1-(IF(T139="",-1,T139)&gt;=0)*(IF(T139="",-1,T139)&lt;=1))*(1-(IF(T139="",-1,T139)=0)),IF(C139="peso_corporal",IF(ISNUMBER(E139),E139,0)+R139,R139)*(30+S139)*100+R139,0))</f>
        <v>0</v>
      </c>
      <c r="AB139" s="69">
        <f>IF(AA139=0,0,IF(IF((S139&gt;=3)*(1-(IF(T139="",-1,T139)&gt;=0)*(IF(T139="",-1,T139)&lt;=1))*(1-(IF(T139="",-1,T139)=0)),IF(C139="peso_corporal",IF(ISNUMBER(E139),E139,0)+R139,R139)*(30+S139)*100+R139,0)=AA139,5,IF(IF((P139&gt;=3)*(1-(IF(Q139="",-1,Q139)&gt;=0)*(IF(Q139="",-1,Q139)&lt;=1))*(1-(IF(Q139="",-1,Q139)=0)),IF(C139="peso_corporal",IF(ISNUMBER(E139),E139,0)+O139,O139)*(30+P139)*100+O139,0)=AA139,4,IF(IF((M139&gt;=3)*(1-(IF(N139="",-1,N139)&gt;=0)*(IF(N139="",-1,N139)&lt;=1))*(1-(IF(N139="",-1,N139)=0)),IF(C139="peso_corporal",IF(ISNUMBER(E139),E139,0)+L139,L139)*(30+M139)*100+L139,0)=AA139,3,IF(IF((J139&gt;=3)*(1-(IF(K139="",-1,K139)&gt;=0)*(IF(K139="",-1,K139)&lt;=1))*(1-(IF(K139="",-1,K139)=0)),IF(C139="peso_corporal",IF(ISNUMBER(E139),E139,0)+I139,I139)*(30+J139)*100+I139,0)=AA139,2,IF(IF((G139&gt;=3)*(1-(IF(H139="",-1,H139)&gt;=0)*(IF(H139="",-1,H139)&lt;=1))*(1-(IF(H139="",-1,H139)=0)),IF(C139="peso_corporal",IF(ISNUMBER(E139),E139,0)+F139,F139)*(30+G139)*100+F139,0)=AA139,1,0))))))</f>
        <v>0</v>
      </c>
      <c r="AC139" s="69" t="str">
        <f>IF(X139&gt;0,"A"&amp;X139,IF(Z139&gt;0,"B"&amp;Z139,IF(AB139&gt;0,"C"&amp;AB139,"")))</f>
        <v/>
      </c>
    </row>
    <row r="140" spans="1:29" ht="20.100000000000001" customHeight="1">
      <c r="A140" s="14" t="s">
        <v>116</v>
      </c>
      <c r="B140" s="15" t="s">
        <v>114</v>
      </c>
      <c r="C140" s="16" t="str">
        <f>IFERROR(INDEX(EJERCICIOS!$D$3:$D$75,MATCH(A140&amp;"|"&amp;B140,EJERCICIOS!$G$3:$G$75,0)),"--")</f>
        <v>polea</v>
      </c>
      <c r="D140" s="17">
        <v>3</v>
      </c>
      <c r="E140" s="18">
        <f>IFERROR(LOOKUP(2,1/(MEDIDAS_Y_PESO!$B$3:$B$8&lt;&gt;""),MEDIDAS_Y_PESO!$B$3:$B$8),"--")</f>
        <v>80</v>
      </c>
      <c r="F140" s="19"/>
      <c r="G140" s="20"/>
      <c r="H140" s="21"/>
      <c r="I140" s="19"/>
      <c r="J140" s="20"/>
      <c r="K140" s="21"/>
      <c r="L140" s="19"/>
      <c r="M140" s="20"/>
      <c r="N140" s="21"/>
      <c r="O140" s="19"/>
      <c r="P140" s="20"/>
      <c r="Q140" s="21"/>
      <c r="R140" s="19"/>
      <c r="S140" s="20"/>
      <c r="T140" s="21"/>
      <c r="U140" s="22" t="str">
        <f>IFERROR(IF(IF(X140&gt;0,X140,IF(Z140&gt;0,Z140,IF(AB140&gt;0,AB140,0)))=0,"--",ROUND(CHOOSE(IF(X140&gt;0,X140,IF(Z140&gt;0,Z140,IF(AB140&gt;0,AB140,0))),IF(C140="peso_corporal",IF(ISNUMBER(E140),E140,0)+F140,F140)*(1+G140/30),IF(C140="peso_corporal",IF(ISNUMBER(E140),E140,0)+I140,I140)*(1+J140/30),IF(C140="peso_corporal",IF(ISNUMBER(E140),E140,0)+L140,L140)*(1+M140/30),IF(C140="peso_corporal",IF(ISNUMBER(E140),E140,0)+O140,O140)*(1+P140/30),IF(C140="peso_corporal",IF(ISNUMBER(E140),E140,0)+R140,R140)*(1+S140/30)),1)),"--")</f>
        <v>--</v>
      </c>
      <c r="V140" s="23" t="str">
        <f>IF(SUGERENCIAS!N374="SIN","Sin datos anteriores",IF(SUGERENCIAS!N374="SUBIR_F","^ SUBIR FUERTE | Kg:"&amp;ROUND(SUGERENCIAS!K374,1)&amp;" R:"&amp;ROUND(SUGERENCIAS!L374,0)&amp;" RIR:"&amp;ROUND(SUGERENCIAS!M374,0),IF(SUGERENCIAS!N374="SUBIR_E","^ SUBIR (Est.) | Kg:"&amp;ROUND(SUGERENCIAS!K374,1)&amp;" R:"&amp;ROUND(SUGERENCIAS!L374,0)&amp;" RIR:"&amp;ROUND(SUGERENCIAS!M374,0),IF(SUGERENCIAS!N374="SUBIR","^ SUBIR | Kg:"&amp;ROUND(SUGERENCIAS!K374,1)&amp;" R:"&amp;ROUND(SUGERENCIAS!L374,0)&amp;" RIR:"&amp;ROUND(SUGERENCIAS!M374,0),IF(SUGERENCIAS!N374="BAJAR","v BAJAR | Kg:"&amp;ROUND(SUGERENCIAS!K374,1)&amp;" R:"&amp;ROUND(SUGERENCIAS!L374,0)&amp;" RIR:"&amp;ROUND(SUGERENCIAS!M374,0),"= MANT | Kg:"&amp;ROUND(SUGERENCIAS!K374,1)&amp;" R:"&amp;ROUND(SUGERENCIAS!L374,0)&amp;" RIR:"&amp;ROUND(SUGERENCIAS!M374,0))))))</f>
        <v>^ SUBIR | Kg:20 R:6 RIR:2</v>
      </c>
      <c r="W140" s="69">
        <f>MAX(IF((G140&gt;0)*(IF(H140="",-1,H140)&gt;=0)*(IF(H140="",-1,H140)&lt;=1),IF(C140="peso_corporal",IF(ISNUMBER(E140),E140,0)+F140,F140)*G140*1000+F140,0),IF((J140&gt;0)*(IF(K140="",-1,K140)&gt;=0)*(IF(K140="",-1,K140)&lt;=1),IF(C140="peso_corporal",IF(ISNUMBER(E140),E140,0)+I140,I140)*J140*1000+I140,0),IF((M140&gt;0)*(IF(N140="",-1,N140)&gt;=0)*(IF(N140="",-1,N140)&lt;=1),IF(C140="peso_corporal",IF(ISNUMBER(E140),E140,0)+L140,L140)*M140*1000+L140,0),IF((P140&gt;0)*(IF(Q140="",-1,Q140)&gt;=0)*(IF(Q140="",-1,Q140)&lt;=1),IF(C140="peso_corporal",IF(ISNUMBER(E140),E140,0)+O140,O140)*P140*1000+O140,0),IF((S140&gt;0)*(IF(T140="",-1,T140)&gt;=0)*(IF(T140="",-1,T140)&lt;=1),IF(C140="peso_corporal",IF(ISNUMBER(E140),E140,0)+R140,R140)*S140*1000+R140,0))</f>
        <v>0</v>
      </c>
      <c r="X140" s="69">
        <f>IF(W140=0,0,IF(IF((S140&gt;0)*(IF(T140="",-1,T140)&gt;=0)*(IF(T140="",-1,T140)&lt;=1),IF(C140="peso_corporal",IF(ISNUMBER(E140),E140,0)+R140,R140)*S140*1000+R140,0)=W140,5,IF(IF((P140&gt;0)*(IF(Q140="",-1,Q140)&gt;=0)*(IF(Q140="",-1,Q140)&lt;=1),IF(C140="peso_corporal",IF(ISNUMBER(E140),E140,0)+O140,O140)*P140*1000+O140,0)=W140,4,IF(IF((M140&gt;0)*(IF(N140="",-1,N140)&gt;=0)*(IF(N140="",-1,N140)&lt;=1),IF(C140="peso_corporal",IF(ISNUMBER(E140),E140,0)+L140,L140)*M140*1000+L140,0)=W140,3,IF(IF((J140&gt;0)*(IF(K140="",-1,K140)&gt;=0)*(IF(K140="",-1,K140)&lt;=1),IF(C140="peso_corporal",IF(ISNUMBER(E140),E140,0)+I140,I140)*J140*1000+I140,0)=W140,2,IF(IF((G140&gt;0)*(IF(H140="",-1,H140)&gt;=0)*(IF(H140="",-1,H140)&lt;=1),IF(C140="peso_corporal",IF(ISNUMBER(E140),E140,0)+F140,F140)*G140*1000+F140,0)=W140,1,0))))))</f>
        <v>0</v>
      </c>
      <c r="Y140" s="69">
        <f>MAX(IF((G140&gt;0)*(IF(H140="",-1,H140)=0)*(1-(IF(H140="",-1,H140)&gt;=0)*(IF(H140="",-1,H140)&lt;=1)),IF(C140="peso_corporal",IF(ISNUMBER(E140),E140,0)+F140,F140)*G140*1000+F140,0),IF((J140&gt;0)*(IF(K140="",-1,K140)=0)*(1-(IF(K140="",-1,K140)&gt;=0)*(IF(K140="",-1,K140)&lt;=1)),IF(C140="peso_corporal",IF(ISNUMBER(E140),E140,0)+I140,I140)*J140*1000+I140,0),IF((M140&gt;0)*(IF(N140="",-1,N140)=0)*(1-(IF(N140="",-1,N140)&gt;=0)*(IF(N140="",-1,N140)&lt;=1)),IF(C140="peso_corporal",IF(ISNUMBER(E140),E140,0)+L140,L140)*M140*1000+L140,0),IF((P140&gt;0)*(IF(Q140="",-1,Q140)=0)*(1-(IF(Q140="",-1,Q140)&gt;=0)*(IF(Q140="",-1,Q140)&lt;=1)),IF(C140="peso_corporal",IF(ISNUMBER(E140),E140,0)+O140,O140)*P140*1000+O140,0),IF((S140&gt;0)*(IF(T140="",-1,T140)=0)*(1-(IF(T140="",-1,T140)&gt;=0)*(IF(T140="",-1,T140)&lt;=1)),IF(C140="peso_corporal",IF(ISNUMBER(E140),E140,0)+R140,R140)*S140*1000+R140,0))</f>
        <v>0</v>
      </c>
      <c r="Z140" s="69">
        <f>IF(Y140=0,0,IF(IF((S140&gt;0)*(IF(T140="",-1,T140)=0)*(1-(IF(T140="",-1,T140)&gt;=0)*(IF(T140="",-1,T140)&lt;=1)),IF(C140="peso_corporal",IF(ISNUMBER(E140),E140,0)+R140,R140)*S140*1000+R140,0)=Y140,5,IF(IF((P140&gt;0)*(IF(Q140="",-1,Q140)=0)*(1-(IF(Q140="",-1,Q140)&gt;=0)*(IF(Q140="",-1,Q140)&lt;=1)),IF(C140="peso_corporal",IF(ISNUMBER(E140),E140,0)+O140,O140)*P140*1000+O140,0)=Y140,4,IF(IF((M140&gt;0)*(IF(N140="",-1,N140)=0)*(1-(IF(N140="",-1,N140)&gt;=0)*(IF(N140="",-1,N140)&lt;=1)),IF(C140="peso_corporal",IF(ISNUMBER(E140),E140,0)+L140,L140)*M140*1000+L140,0)=Y140,3,IF(IF((J140&gt;0)*(IF(K140="",-1,K140)=0)*(1-(IF(K140="",-1,K140)&gt;=0)*(IF(K140="",-1,K140)&lt;=1)),IF(C140="peso_corporal",IF(ISNUMBER(E140),E140,0)+I140,I140)*J140*1000+I140,0)=Y140,2,IF(IF((G140&gt;0)*(IF(H140="",-1,H140)=0)*(1-(IF(H140="",-1,H140)&gt;=0)*(IF(H140="",-1,H140)&lt;=1)),IF(C140="peso_corporal",IF(ISNUMBER(E140),E140,0)+F140,F140)*G140*1000+F140,0)=Y140,1,0))))))</f>
        <v>0</v>
      </c>
      <c r="AA140" s="69">
        <f>MAX(IF((G140&gt;=3)*(1-(IF(H140="",-1,H140)&gt;=0)*(IF(H140="",-1,H140)&lt;=1))*(1-(IF(H140="",-1,H140)=0)),IF(C140="peso_corporal",IF(ISNUMBER(E140),E140,0)+F140,F140)*(30+G140)*100+F140,0),IF((J140&gt;=3)*(1-(IF(K140="",-1,K140)&gt;=0)*(IF(K140="",-1,K140)&lt;=1))*(1-(IF(K140="",-1,K140)=0)),IF(C140="peso_corporal",IF(ISNUMBER(E140),E140,0)+I140,I140)*(30+J140)*100+I140,0),IF((M140&gt;=3)*(1-(IF(N140="",-1,N140)&gt;=0)*(IF(N140="",-1,N140)&lt;=1))*(1-(IF(N140="",-1,N140)=0)),IF(C140="peso_corporal",IF(ISNUMBER(E140),E140,0)+L140,L140)*(30+M140)*100+L140,0),IF((P140&gt;=3)*(1-(IF(Q140="",-1,Q140)&gt;=0)*(IF(Q140="",-1,Q140)&lt;=1))*(1-(IF(Q140="",-1,Q140)=0)),IF(C140="peso_corporal",IF(ISNUMBER(E140),E140,0)+O140,O140)*(30+P140)*100+O140,0),IF((S140&gt;=3)*(1-(IF(T140="",-1,T140)&gt;=0)*(IF(T140="",-1,T140)&lt;=1))*(1-(IF(T140="",-1,T140)=0)),IF(C140="peso_corporal",IF(ISNUMBER(E140),E140,0)+R140,R140)*(30+S140)*100+R140,0))</f>
        <v>0</v>
      </c>
      <c r="AB140" s="69">
        <f>IF(AA140=0,0,IF(IF((S140&gt;=3)*(1-(IF(T140="",-1,T140)&gt;=0)*(IF(T140="",-1,T140)&lt;=1))*(1-(IF(T140="",-1,T140)=0)),IF(C140="peso_corporal",IF(ISNUMBER(E140),E140,0)+R140,R140)*(30+S140)*100+R140,0)=AA140,5,IF(IF((P140&gt;=3)*(1-(IF(Q140="",-1,Q140)&gt;=0)*(IF(Q140="",-1,Q140)&lt;=1))*(1-(IF(Q140="",-1,Q140)=0)),IF(C140="peso_corporal",IF(ISNUMBER(E140),E140,0)+O140,O140)*(30+P140)*100+O140,0)=AA140,4,IF(IF((M140&gt;=3)*(1-(IF(N140="",-1,N140)&gt;=0)*(IF(N140="",-1,N140)&lt;=1))*(1-(IF(N140="",-1,N140)=0)),IF(C140="peso_corporal",IF(ISNUMBER(E140),E140,0)+L140,L140)*(30+M140)*100+L140,0)=AA140,3,IF(IF((J140&gt;=3)*(1-(IF(K140="",-1,K140)&gt;=0)*(IF(K140="",-1,K140)&lt;=1))*(1-(IF(K140="",-1,K140)=0)),IF(C140="peso_corporal",IF(ISNUMBER(E140),E140,0)+I140,I140)*(30+J140)*100+I140,0)=AA140,2,IF(IF((G140&gt;=3)*(1-(IF(H140="",-1,H140)&gt;=0)*(IF(H140="",-1,H140)&lt;=1))*(1-(IF(H140="",-1,H140)=0)),IF(C140="peso_corporal",IF(ISNUMBER(E140),E140,0)+F140,F140)*(30+G140)*100+F140,0)=AA140,1,0))))))</f>
        <v>0</v>
      </c>
      <c r="AC140" s="69" t="str">
        <f>IF(X140&gt;0,"A"&amp;X140,IF(Z140&gt;0,"B"&amp;Z140,IF(AB140&gt;0,"C"&amp;AB140,"")))</f>
        <v/>
      </c>
    </row>
    <row r="141" spans="1:29" ht="15" customHeight="1">
      <c r="A141" s="83" t="s">
        <v>99</v>
      </c>
      <c r="B141" s="73"/>
      <c r="C141" s="73"/>
      <c r="D141" s="73"/>
      <c r="E141" s="73"/>
      <c r="F141" s="73"/>
      <c r="G141" s="73"/>
      <c r="H141" s="73"/>
      <c r="I141" s="73"/>
      <c r="J141" s="73"/>
      <c r="K141" s="73"/>
      <c r="L141" s="73"/>
      <c r="M141" s="73"/>
      <c r="N141" s="73"/>
      <c r="O141" s="73"/>
      <c r="P141" s="73"/>
      <c r="Q141" s="73"/>
      <c r="R141" s="73"/>
      <c r="S141" s="73"/>
      <c r="T141" s="73"/>
      <c r="U141" s="73"/>
      <c r="V141" s="73"/>
      <c r="W141" s="69"/>
      <c r="X141" s="69"/>
      <c r="Y141" s="69"/>
      <c r="Z141" s="69"/>
      <c r="AA141" s="69"/>
      <c r="AB141" s="69"/>
      <c r="AC141" s="69"/>
    </row>
    <row r="142" spans="1:29" ht="20.100000000000001" customHeight="1">
      <c r="A142" s="14" t="s">
        <v>100</v>
      </c>
      <c r="B142" s="15" t="s">
        <v>101</v>
      </c>
      <c r="C142" s="16" t="str">
        <f>IFERROR(INDEX(EJERCICIOS!$D$3:$D$75,MATCH(A142&amp;"|"&amp;B142,EJERCICIOS!$G$3:$G$75,0)),"--")</f>
        <v>mancuerna</v>
      </c>
      <c r="D142" s="17">
        <v>3</v>
      </c>
      <c r="E142" s="18">
        <f>IFERROR(LOOKUP(2,1/(MEDIDAS_Y_PESO!$B$3:$B$8&lt;&gt;""),MEDIDAS_Y_PESO!$B$3:$B$8),"--")</f>
        <v>80</v>
      </c>
      <c r="F142" s="19"/>
      <c r="G142" s="20"/>
      <c r="H142" s="21"/>
      <c r="I142" s="19"/>
      <c r="J142" s="20"/>
      <c r="K142" s="21"/>
      <c r="L142" s="19"/>
      <c r="M142" s="20"/>
      <c r="N142" s="21"/>
      <c r="O142" s="19"/>
      <c r="P142" s="20"/>
      <c r="Q142" s="21"/>
      <c r="R142" s="19"/>
      <c r="S142" s="20"/>
      <c r="T142" s="21"/>
      <c r="U142" s="22" t="str">
        <f>IFERROR(IF(IF(X142&gt;0,X142,IF(Z142&gt;0,Z142,IF(AB142&gt;0,AB142,0)))=0,"--",ROUND(CHOOSE(IF(X142&gt;0,X142,IF(Z142&gt;0,Z142,IF(AB142&gt;0,AB142,0))),IF(C142="peso_corporal",IF(ISNUMBER(E142),E142,0)+F142,F142)*(1+G142/30),IF(C142="peso_corporal",IF(ISNUMBER(E142),E142,0)+I142,I142)*(1+J142/30),IF(C142="peso_corporal",IF(ISNUMBER(E142),E142,0)+L142,L142)*(1+M142/30),IF(C142="peso_corporal",IF(ISNUMBER(E142),E142,0)+O142,O142)*(1+P142/30),IF(C142="peso_corporal",IF(ISNUMBER(E142),E142,0)+R142,R142)*(1+S142/30)),1)),"--")</f>
        <v>--</v>
      </c>
      <c r="V142" s="23" t="str">
        <f>IF(SUGERENCIAS!N375="SIN","Sin datos anteriores",IF(SUGERENCIAS!N375="SUBIR_F","^ SUBIR FUERTE | Kg:"&amp;ROUND(SUGERENCIAS!K375,1)&amp;" R:"&amp;ROUND(SUGERENCIAS!L375,0)&amp;" RIR:"&amp;ROUND(SUGERENCIAS!M375,0),IF(SUGERENCIAS!N375="SUBIR_E","^ SUBIR (Est.) | Kg:"&amp;ROUND(SUGERENCIAS!K375,1)&amp;" R:"&amp;ROUND(SUGERENCIAS!L375,0)&amp;" RIR:"&amp;ROUND(SUGERENCIAS!M375,0),IF(SUGERENCIAS!N375="SUBIR","^ SUBIR | Kg:"&amp;ROUND(SUGERENCIAS!K375,1)&amp;" R:"&amp;ROUND(SUGERENCIAS!L375,0)&amp;" RIR:"&amp;ROUND(SUGERENCIAS!M375,0),IF(SUGERENCIAS!N375="BAJAR","v BAJAR | Kg:"&amp;ROUND(SUGERENCIAS!K375,1)&amp;" R:"&amp;ROUND(SUGERENCIAS!L375,0)&amp;" RIR:"&amp;ROUND(SUGERENCIAS!M375,0),"= MANT | Kg:"&amp;ROUND(SUGERENCIAS!K375,1)&amp;" R:"&amp;ROUND(SUGERENCIAS!L375,0)&amp;" RIR:"&amp;ROUND(SUGERENCIAS!M375,0))))))</f>
        <v>Sin datos anteriores</v>
      </c>
      <c r="W142" s="69">
        <f>MAX(IF((G142&gt;0)*(IF(H142="",-1,H142)&gt;=0)*(IF(H142="",-1,H142)&lt;=1),IF(C142="peso_corporal",IF(ISNUMBER(E142),E142,0)+F142,F142)*G142*1000+F142,0),IF((J142&gt;0)*(IF(K142="",-1,K142)&gt;=0)*(IF(K142="",-1,K142)&lt;=1),IF(C142="peso_corporal",IF(ISNUMBER(E142),E142,0)+I142,I142)*J142*1000+I142,0),IF((M142&gt;0)*(IF(N142="",-1,N142)&gt;=0)*(IF(N142="",-1,N142)&lt;=1),IF(C142="peso_corporal",IF(ISNUMBER(E142),E142,0)+L142,L142)*M142*1000+L142,0),IF((P142&gt;0)*(IF(Q142="",-1,Q142)&gt;=0)*(IF(Q142="",-1,Q142)&lt;=1),IF(C142="peso_corporal",IF(ISNUMBER(E142),E142,0)+O142,O142)*P142*1000+O142,0),IF((S142&gt;0)*(IF(T142="",-1,T142)&gt;=0)*(IF(T142="",-1,T142)&lt;=1),IF(C142="peso_corporal",IF(ISNUMBER(E142),E142,0)+R142,R142)*S142*1000+R142,0))</f>
        <v>0</v>
      </c>
      <c r="X142" s="69">
        <f>IF(W142=0,0,IF(IF((S142&gt;0)*(IF(T142="",-1,T142)&gt;=0)*(IF(T142="",-1,T142)&lt;=1),IF(C142="peso_corporal",IF(ISNUMBER(E142),E142,0)+R142,R142)*S142*1000+R142,0)=W142,5,IF(IF((P142&gt;0)*(IF(Q142="",-1,Q142)&gt;=0)*(IF(Q142="",-1,Q142)&lt;=1),IF(C142="peso_corporal",IF(ISNUMBER(E142),E142,0)+O142,O142)*P142*1000+O142,0)=W142,4,IF(IF((M142&gt;0)*(IF(N142="",-1,N142)&gt;=0)*(IF(N142="",-1,N142)&lt;=1),IF(C142="peso_corporal",IF(ISNUMBER(E142),E142,0)+L142,L142)*M142*1000+L142,0)=W142,3,IF(IF((J142&gt;0)*(IF(K142="",-1,K142)&gt;=0)*(IF(K142="",-1,K142)&lt;=1),IF(C142="peso_corporal",IF(ISNUMBER(E142),E142,0)+I142,I142)*J142*1000+I142,0)=W142,2,IF(IF((G142&gt;0)*(IF(H142="",-1,H142)&gt;=0)*(IF(H142="",-1,H142)&lt;=1),IF(C142="peso_corporal",IF(ISNUMBER(E142),E142,0)+F142,F142)*G142*1000+F142,0)=W142,1,0))))))</f>
        <v>0</v>
      </c>
      <c r="Y142" s="69">
        <f>MAX(IF((G142&gt;0)*(IF(H142="",-1,H142)=0)*(1-(IF(H142="",-1,H142)&gt;=0)*(IF(H142="",-1,H142)&lt;=1)),IF(C142="peso_corporal",IF(ISNUMBER(E142),E142,0)+F142,F142)*G142*1000+F142,0),IF((J142&gt;0)*(IF(K142="",-1,K142)=0)*(1-(IF(K142="",-1,K142)&gt;=0)*(IF(K142="",-1,K142)&lt;=1)),IF(C142="peso_corporal",IF(ISNUMBER(E142),E142,0)+I142,I142)*J142*1000+I142,0),IF((M142&gt;0)*(IF(N142="",-1,N142)=0)*(1-(IF(N142="",-1,N142)&gt;=0)*(IF(N142="",-1,N142)&lt;=1)),IF(C142="peso_corporal",IF(ISNUMBER(E142),E142,0)+L142,L142)*M142*1000+L142,0),IF((P142&gt;0)*(IF(Q142="",-1,Q142)=0)*(1-(IF(Q142="",-1,Q142)&gt;=0)*(IF(Q142="",-1,Q142)&lt;=1)),IF(C142="peso_corporal",IF(ISNUMBER(E142),E142,0)+O142,O142)*P142*1000+O142,0),IF((S142&gt;0)*(IF(T142="",-1,T142)=0)*(1-(IF(T142="",-1,T142)&gt;=0)*(IF(T142="",-1,T142)&lt;=1)),IF(C142="peso_corporal",IF(ISNUMBER(E142),E142,0)+R142,R142)*S142*1000+R142,0))</f>
        <v>0</v>
      </c>
      <c r="Z142" s="69">
        <f>IF(Y142=0,0,IF(IF((S142&gt;0)*(IF(T142="",-1,T142)=0)*(1-(IF(T142="",-1,T142)&gt;=0)*(IF(T142="",-1,T142)&lt;=1)),IF(C142="peso_corporal",IF(ISNUMBER(E142),E142,0)+R142,R142)*S142*1000+R142,0)=Y142,5,IF(IF((P142&gt;0)*(IF(Q142="",-1,Q142)=0)*(1-(IF(Q142="",-1,Q142)&gt;=0)*(IF(Q142="",-1,Q142)&lt;=1)),IF(C142="peso_corporal",IF(ISNUMBER(E142),E142,0)+O142,O142)*P142*1000+O142,0)=Y142,4,IF(IF((M142&gt;0)*(IF(N142="",-1,N142)=0)*(1-(IF(N142="",-1,N142)&gt;=0)*(IF(N142="",-1,N142)&lt;=1)),IF(C142="peso_corporal",IF(ISNUMBER(E142),E142,0)+L142,L142)*M142*1000+L142,0)=Y142,3,IF(IF((J142&gt;0)*(IF(K142="",-1,K142)=0)*(1-(IF(K142="",-1,K142)&gt;=0)*(IF(K142="",-1,K142)&lt;=1)),IF(C142="peso_corporal",IF(ISNUMBER(E142),E142,0)+I142,I142)*J142*1000+I142,0)=Y142,2,IF(IF((G142&gt;0)*(IF(H142="",-1,H142)=0)*(1-(IF(H142="",-1,H142)&gt;=0)*(IF(H142="",-1,H142)&lt;=1)),IF(C142="peso_corporal",IF(ISNUMBER(E142),E142,0)+F142,F142)*G142*1000+F142,0)=Y142,1,0))))))</f>
        <v>0</v>
      </c>
      <c r="AA142" s="69">
        <f>MAX(IF((G142&gt;=3)*(1-(IF(H142="",-1,H142)&gt;=0)*(IF(H142="",-1,H142)&lt;=1))*(1-(IF(H142="",-1,H142)=0)),IF(C142="peso_corporal",IF(ISNUMBER(E142),E142,0)+F142,F142)*(30+G142)*100+F142,0),IF((J142&gt;=3)*(1-(IF(K142="",-1,K142)&gt;=0)*(IF(K142="",-1,K142)&lt;=1))*(1-(IF(K142="",-1,K142)=0)),IF(C142="peso_corporal",IF(ISNUMBER(E142),E142,0)+I142,I142)*(30+J142)*100+I142,0),IF((M142&gt;=3)*(1-(IF(N142="",-1,N142)&gt;=0)*(IF(N142="",-1,N142)&lt;=1))*(1-(IF(N142="",-1,N142)=0)),IF(C142="peso_corporal",IF(ISNUMBER(E142),E142,0)+L142,L142)*(30+M142)*100+L142,0),IF((P142&gt;=3)*(1-(IF(Q142="",-1,Q142)&gt;=0)*(IF(Q142="",-1,Q142)&lt;=1))*(1-(IF(Q142="",-1,Q142)=0)),IF(C142="peso_corporal",IF(ISNUMBER(E142),E142,0)+O142,O142)*(30+P142)*100+O142,0),IF((S142&gt;=3)*(1-(IF(T142="",-1,T142)&gt;=0)*(IF(T142="",-1,T142)&lt;=1))*(1-(IF(T142="",-1,T142)=0)),IF(C142="peso_corporal",IF(ISNUMBER(E142),E142,0)+R142,R142)*(30+S142)*100+R142,0))</f>
        <v>0</v>
      </c>
      <c r="AB142" s="69">
        <f>IF(AA142=0,0,IF(IF((S142&gt;=3)*(1-(IF(T142="",-1,T142)&gt;=0)*(IF(T142="",-1,T142)&lt;=1))*(1-(IF(T142="",-1,T142)=0)),IF(C142="peso_corporal",IF(ISNUMBER(E142),E142,0)+R142,R142)*(30+S142)*100+R142,0)=AA142,5,IF(IF((P142&gt;=3)*(1-(IF(Q142="",-1,Q142)&gt;=0)*(IF(Q142="",-1,Q142)&lt;=1))*(1-(IF(Q142="",-1,Q142)=0)),IF(C142="peso_corporal",IF(ISNUMBER(E142),E142,0)+O142,O142)*(30+P142)*100+O142,0)=AA142,4,IF(IF((M142&gt;=3)*(1-(IF(N142="",-1,N142)&gt;=0)*(IF(N142="",-1,N142)&lt;=1))*(1-(IF(N142="",-1,N142)=0)),IF(C142="peso_corporal",IF(ISNUMBER(E142),E142,0)+L142,L142)*(30+M142)*100+L142,0)=AA142,3,IF(IF((J142&gt;=3)*(1-(IF(K142="",-1,K142)&gt;=0)*(IF(K142="",-1,K142)&lt;=1))*(1-(IF(K142="",-1,K142)=0)),IF(C142="peso_corporal",IF(ISNUMBER(E142),E142,0)+I142,I142)*(30+J142)*100+I142,0)=AA142,2,IF(IF((G142&gt;=3)*(1-(IF(H142="",-1,H142)&gt;=0)*(IF(H142="",-1,H142)&lt;=1))*(1-(IF(H142="",-1,H142)=0)),IF(C142="peso_corporal",IF(ISNUMBER(E142),E142,0)+F142,F142)*(30+G142)*100+F142,0)=AA142,1,0))))))</f>
        <v>0</v>
      </c>
      <c r="AC142" s="69" t="str">
        <f>IF(X142&gt;0,"A"&amp;X142,IF(Z142&gt;0,"B"&amp;Z142,IF(AB142&gt;0,"C"&amp;AB142,"")))</f>
        <v/>
      </c>
    </row>
    <row r="143" spans="1:29" ht="20.100000000000001" customHeight="1">
      <c r="A143" s="14" t="s">
        <v>100</v>
      </c>
      <c r="B143" s="15" t="s">
        <v>102</v>
      </c>
      <c r="C143" s="16" t="str">
        <f>IFERROR(INDEX(EJERCICIOS!$D$3:$D$75,MATCH(A143&amp;"|"&amp;B143,EJERCICIOS!$G$3:$G$75,0)),"--")</f>
        <v>mancuerna</v>
      </c>
      <c r="D143" s="17">
        <v>3</v>
      </c>
      <c r="E143" s="18">
        <f>IFERROR(LOOKUP(2,1/(MEDIDAS_Y_PESO!$B$3:$B$8&lt;&gt;""),MEDIDAS_Y_PESO!$B$3:$B$8),"--")</f>
        <v>80</v>
      </c>
      <c r="F143" s="19"/>
      <c r="G143" s="20"/>
      <c r="H143" s="21"/>
      <c r="I143" s="19"/>
      <c r="J143" s="20"/>
      <c r="K143" s="21"/>
      <c r="L143" s="19"/>
      <c r="M143" s="20"/>
      <c r="N143" s="21"/>
      <c r="O143" s="19"/>
      <c r="P143" s="20"/>
      <c r="Q143" s="21"/>
      <c r="R143" s="19"/>
      <c r="S143" s="20"/>
      <c r="T143" s="21"/>
      <c r="U143" s="22" t="str">
        <f>IFERROR(IF(IF(X143&gt;0,X143,IF(Z143&gt;0,Z143,IF(AB143&gt;0,AB143,0)))=0,"--",ROUND(CHOOSE(IF(X143&gt;0,X143,IF(Z143&gt;0,Z143,IF(AB143&gt;0,AB143,0))),IF(C143="peso_corporal",IF(ISNUMBER(E143),E143,0)+F143,F143)*(1+G143/30),IF(C143="peso_corporal",IF(ISNUMBER(E143),E143,0)+I143,I143)*(1+J143/30),IF(C143="peso_corporal",IF(ISNUMBER(E143),E143,0)+L143,L143)*(1+M143/30),IF(C143="peso_corporal",IF(ISNUMBER(E143),E143,0)+O143,O143)*(1+P143/30),IF(C143="peso_corporal",IF(ISNUMBER(E143),E143,0)+R143,R143)*(1+S143/30)),1)),"--")</f>
        <v>--</v>
      </c>
      <c r="V143" s="23" t="str">
        <f>IF(SUGERENCIAS!N376="SIN","Sin datos anteriores",IF(SUGERENCIAS!N376="SUBIR_F","^ SUBIR FUERTE | Kg:"&amp;ROUND(SUGERENCIAS!K376,1)&amp;" R:"&amp;ROUND(SUGERENCIAS!L376,0)&amp;" RIR:"&amp;ROUND(SUGERENCIAS!M376,0),IF(SUGERENCIAS!N376="SUBIR_E","^ SUBIR (Est.) | Kg:"&amp;ROUND(SUGERENCIAS!K376,1)&amp;" R:"&amp;ROUND(SUGERENCIAS!L376,0)&amp;" RIR:"&amp;ROUND(SUGERENCIAS!M376,0),IF(SUGERENCIAS!N376="SUBIR","^ SUBIR | Kg:"&amp;ROUND(SUGERENCIAS!K376,1)&amp;" R:"&amp;ROUND(SUGERENCIAS!L376,0)&amp;" RIR:"&amp;ROUND(SUGERENCIAS!M376,0),IF(SUGERENCIAS!N376="BAJAR","v BAJAR | Kg:"&amp;ROUND(SUGERENCIAS!K376,1)&amp;" R:"&amp;ROUND(SUGERENCIAS!L376,0)&amp;" RIR:"&amp;ROUND(SUGERENCIAS!M376,0),"= MANT | Kg:"&amp;ROUND(SUGERENCIAS!K376,1)&amp;" R:"&amp;ROUND(SUGERENCIAS!L376,0)&amp;" RIR:"&amp;ROUND(SUGERENCIAS!M376,0))))))</f>
        <v>Sin datos anteriores</v>
      </c>
      <c r="W143" s="69">
        <f>MAX(IF((G143&gt;0)*(IF(H143="",-1,H143)&gt;=0)*(IF(H143="",-1,H143)&lt;=1),IF(C143="peso_corporal",IF(ISNUMBER(E143),E143,0)+F143,F143)*G143*1000+F143,0),IF((J143&gt;0)*(IF(K143="",-1,K143)&gt;=0)*(IF(K143="",-1,K143)&lt;=1),IF(C143="peso_corporal",IF(ISNUMBER(E143),E143,0)+I143,I143)*J143*1000+I143,0),IF((M143&gt;0)*(IF(N143="",-1,N143)&gt;=0)*(IF(N143="",-1,N143)&lt;=1),IF(C143="peso_corporal",IF(ISNUMBER(E143),E143,0)+L143,L143)*M143*1000+L143,0),IF((P143&gt;0)*(IF(Q143="",-1,Q143)&gt;=0)*(IF(Q143="",-1,Q143)&lt;=1),IF(C143="peso_corporal",IF(ISNUMBER(E143),E143,0)+O143,O143)*P143*1000+O143,0),IF((S143&gt;0)*(IF(T143="",-1,T143)&gt;=0)*(IF(T143="",-1,T143)&lt;=1),IF(C143="peso_corporal",IF(ISNUMBER(E143),E143,0)+R143,R143)*S143*1000+R143,0))</f>
        <v>0</v>
      </c>
      <c r="X143" s="69">
        <f>IF(W143=0,0,IF(IF((S143&gt;0)*(IF(T143="",-1,T143)&gt;=0)*(IF(T143="",-1,T143)&lt;=1),IF(C143="peso_corporal",IF(ISNUMBER(E143),E143,0)+R143,R143)*S143*1000+R143,0)=W143,5,IF(IF((P143&gt;0)*(IF(Q143="",-1,Q143)&gt;=0)*(IF(Q143="",-1,Q143)&lt;=1),IF(C143="peso_corporal",IF(ISNUMBER(E143),E143,0)+O143,O143)*P143*1000+O143,0)=W143,4,IF(IF((M143&gt;0)*(IF(N143="",-1,N143)&gt;=0)*(IF(N143="",-1,N143)&lt;=1),IF(C143="peso_corporal",IF(ISNUMBER(E143),E143,0)+L143,L143)*M143*1000+L143,0)=W143,3,IF(IF((J143&gt;0)*(IF(K143="",-1,K143)&gt;=0)*(IF(K143="",-1,K143)&lt;=1),IF(C143="peso_corporal",IF(ISNUMBER(E143),E143,0)+I143,I143)*J143*1000+I143,0)=W143,2,IF(IF((G143&gt;0)*(IF(H143="",-1,H143)&gt;=0)*(IF(H143="",-1,H143)&lt;=1),IF(C143="peso_corporal",IF(ISNUMBER(E143),E143,0)+F143,F143)*G143*1000+F143,0)=W143,1,0))))))</f>
        <v>0</v>
      </c>
      <c r="Y143" s="69">
        <f>MAX(IF((G143&gt;0)*(IF(H143="",-1,H143)=0)*(1-(IF(H143="",-1,H143)&gt;=0)*(IF(H143="",-1,H143)&lt;=1)),IF(C143="peso_corporal",IF(ISNUMBER(E143),E143,0)+F143,F143)*G143*1000+F143,0),IF((J143&gt;0)*(IF(K143="",-1,K143)=0)*(1-(IF(K143="",-1,K143)&gt;=0)*(IF(K143="",-1,K143)&lt;=1)),IF(C143="peso_corporal",IF(ISNUMBER(E143),E143,0)+I143,I143)*J143*1000+I143,0),IF((M143&gt;0)*(IF(N143="",-1,N143)=0)*(1-(IF(N143="",-1,N143)&gt;=0)*(IF(N143="",-1,N143)&lt;=1)),IF(C143="peso_corporal",IF(ISNUMBER(E143),E143,0)+L143,L143)*M143*1000+L143,0),IF((P143&gt;0)*(IF(Q143="",-1,Q143)=0)*(1-(IF(Q143="",-1,Q143)&gt;=0)*(IF(Q143="",-1,Q143)&lt;=1)),IF(C143="peso_corporal",IF(ISNUMBER(E143),E143,0)+O143,O143)*P143*1000+O143,0),IF((S143&gt;0)*(IF(T143="",-1,T143)=0)*(1-(IF(T143="",-1,T143)&gt;=0)*(IF(T143="",-1,T143)&lt;=1)),IF(C143="peso_corporal",IF(ISNUMBER(E143),E143,0)+R143,R143)*S143*1000+R143,0))</f>
        <v>0</v>
      </c>
      <c r="Z143" s="69">
        <f>IF(Y143=0,0,IF(IF((S143&gt;0)*(IF(T143="",-1,T143)=0)*(1-(IF(T143="",-1,T143)&gt;=0)*(IF(T143="",-1,T143)&lt;=1)),IF(C143="peso_corporal",IF(ISNUMBER(E143),E143,0)+R143,R143)*S143*1000+R143,0)=Y143,5,IF(IF((P143&gt;0)*(IF(Q143="",-1,Q143)=0)*(1-(IF(Q143="",-1,Q143)&gt;=0)*(IF(Q143="",-1,Q143)&lt;=1)),IF(C143="peso_corporal",IF(ISNUMBER(E143),E143,0)+O143,O143)*P143*1000+O143,0)=Y143,4,IF(IF((M143&gt;0)*(IF(N143="",-1,N143)=0)*(1-(IF(N143="",-1,N143)&gt;=0)*(IF(N143="",-1,N143)&lt;=1)),IF(C143="peso_corporal",IF(ISNUMBER(E143),E143,0)+L143,L143)*M143*1000+L143,0)=Y143,3,IF(IF((J143&gt;0)*(IF(K143="",-1,K143)=0)*(1-(IF(K143="",-1,K143)&gt;=0)*(IF(K143="",-1,K143)&lt;=1)),IF(C143="peso_corporal",IF(ISNUMBER(E143),E143,0)+I143,I143)*J143*1000+I143,0)=Y143,2,IF(IF((G143&gt;0)*(IF(H143="",-1,H143)=0)*(1-(IF(H143="",-1,H143)&gt;=0)*(IF(H143="",-1,H143)&lt;=1)),IF(C143="peso_corporal",IF(ISNUMBER(E143),E143,0)+F143,F143)*G143*1000+F143,0)=Y143,1,0))))))</f>
        <v>0</v>
      </c>
      <c r="AA143" s="69">
        <f>MAX(IF((G143&gt;=3)*(1-(IF(H143="",-1,H143)&gt;=0)*(IF(H143="",-1,H143)&lt;=1))*(1-(IF(H143="",-1,H143)=0)),IF(C143="peso_corporal",IF(ISNUMBER(E143),E143,0)+F143,F143)*(30+G143)*100+F143,0),IF((J143&gt;=3)*(1-(IF(K143="",-1,K143)&gt;=0)*(IF(K143="",-1,K143)&lt;=1))*(1-(IF(K143="",-1,K143)=0)),IF(C143="peso_corporal",IF(ISNUMBER(E143),E143,0)+I143,I143)*(30+J143)*100+I143,0),IF((M143&gt;=3)*(1-(IF(N143="",-1,N143)&gt;=0)*(IF(N143="",-1,N143)&lt;=1))*(1-(IF(N143="",-1,N143)=0)),IF(C143="peso_corporal",IF(ISNUMBER(E143),E143,0)+L143,L143)*(30+M143)*100+L143,0),IF((P143&gt;=3)*(1-(IF(Q143="",-1,Q143)&gt;=0)*(IF(Q143="",-1,Q143)&lt;=1))*(1-(IF(Q143="",-1,Q143)=0)),IF(C143="peso_corporal",IF(ISNUMBER(E143),E143,0)+O143,O143)*(30+P143)*100+O143,0),IF((S143&gt;=3)*(1-(IF(T143="",-1,T143)&gt;=0)*(IF(T143="",-1,T143)&lt;=1))*(1-(IF(T143="",-1,T143)=0)),IF(C143="peso_corporal",IF(ISNUMBER(E143),E143,0)+R143,R143)*(30+S143)*100+R143,0))</f>
        <v>0</v>
      </c>
      <c r="AB143" s="69">
        <f>IF(AA143=0,0,IF(IF((S143&gt;=3)*(1-(IF(T143="",-1,T143)&gt;=0)*(IF(T143="",-1,T143)&lt;=1))*(1-(IF(T143="",-1,T143)=0)),IF(C143="peso_corporal",IF(ISNUMBER(E143),E143,0)+R143,R143)*(30+S143)*100+R143,0)=AA143,5,IF(IF((P143&gt;=3)*(1-(IF(Q143="",-1,Q143)&gt;=0)*(IF(Q143="",-1,Q143)&lt;=1))*(1-(IF(Q143="",-1,Q143)=0)),IF(C143="peso_corporal",IF(ISNUMBER(E143),E143,0)+O143,O143)*(30+P143)*100+O143,0)=AA143,4,IF(IF((M143&gt;=3)*(1-(IF(N143="",-1,N143)&gt;=0)*(IF(N143="",-1,N143)&lt;=1))*(1-(IF(N143="",-1,N143)=0)),IF(C143="peso_corporal",IF(ISNUMBER(E143),E143,0)+L143,L143)*(30+M143)*100+L143,0)=AA143,3,IF(IF((J143&gt;=3)*(1-(IF(K143="",-1,K143)&gt;=0)*(IF(K143="",-1,K143)&lt;=1))*(1-(IF(K143="",-1,K143)=0)),IF(C143="peso_corporal",IF(ISNUMBER(E143),E143,0)+I143,I143)*(30+J143)*100+I143,0)=AA143,2,IF(IF((G143&gt;=3)*(1-(IF(H143="",-1,H143)&gt;=0)*(IF(H143="",-1,H143)&lt;=1))*(1-(IF(H143="",-1,H143)=0)),IF(C143="peso_corporal",IF(ISNUMBER(E143),E143,0)+F143,F143)*(30+G143)*100+F143,0)=AA143,1,0))))))</f>
        <v>0</v>
      </c>
      <c r="AC143" s="69" t="str">
        <f>IF(X143&gt;0,"A"&amp;X143,IF(Z143&gt;0,"B"&amp;Z143,IF(AB143&gt;0,"C"&amp;AB143,"")))</f>
        <v/>
      </c>
    </row>
    <row r="144" spans="1:29" ht="15" customHeight="1">
      <c r="A144" s="81" t="s">
        <v>42</v>
      </c>
      <c r="B144" s="73"/>
      <c r="C144" s="73"/>
      <c r="D144" s="73"/>
      <c r="E144" s="73"/>
      <c r="F144" s="73"/>
      <c r="G144" s="73"/>
      <c r="H144" s="73"/>
      <c r="I144" s="73"/>
      <c r="J144" s="73"/>
      <c r="K144" s="73"/>
      <c r="L144" s="73"/>
      <c r="M144" s="73"/>
      <c r="N144" s="73"/>
      <c r="O144" s="73"/>
      <c r="P144" s="73"/>
      <c r="Q144" s="73"/>
      <c r="R144" s="73"/>
      <c r="S144" s="73"/>
      <c r="T144" s="73"/>
      <c r="U144" s="73"/>
      <c r="V144" s="73"/>
      <c r="W144" s="69"/>
      <c r="X144" s="69"/>
      <c r="Y144" s="69"/>
      <c r="Z144" s="69"/>
      <c r="AA144" s="69"/>
      <c r="AB144" s="69"/>
      <c r="AC144" s="69"/>
    </row>
    <row r="145" spans="1:29" ht="20.100000000000001" customHeight="1">
      <c r="A145" s="14" t="s">
        <v>43</v>
      </c>
      <c r="B145" s="15" t="s">
        <v>44</v>
      </c>
      <c r="C145" s="16" t="str">
        <f>IFERROR(INDEX(EJERCICIOS!$D$3:$D$75,MATCH(A145&amp;"|"&amp;B145,EJERCICIOS!$G$3:$G$75,0)),"--")</f>
        <v>polea</v>
      </c>
      <c r="D145" s="17">
        <v>3</v>
      </c>
      <c r="E145" s="18">
        <f>IFERROR(LOOKUP(2,1/(MEDIDAS_Y_PESO!$B$3:$B$8&lt;&gt;""),MEDIDAS_Y_PESO!$B$3:$B$8),"--")</f>
        <v>80</v>
      </c>
      <c r="F145" s="19"/>
      <c r="G145" s="20"/>
      <c r="H145" s="21"/>
      <c r="I145" s="19"/>
      <c r="J145" s="20"/>
      <c r="K145" s="21"/>
      <c r="L145" s="19"/>
      <c r="M145" s="20"/>
      <c r="N145" s="21"/>
      <c r="O145" s="19"/>
      <c r="P145" s="20"/>
      <c r="Q145" s="21"/>
      <c r="R145" s="19"/>
      <c r="S145" s="20"/>
      <c r="T145" s="21"/>
      <c r="U145" s="22" t="str">
        <f>IFERROR(IF(IF(X145&gt;0,X145,IF(Z145&gt;0,Z145,IF(AB145&gt;0,AB145,0)))=0,"--",ROUND(CHOOSE(IF(X145&gt;0,X145,IF(Z145&gt;0,Z145,IF(AB145&gt;0,AB145,0))),IF(C145="peso_corporal",IF(ISNUMBER(E145),E145,0)+F145,F145)*(1+G145/30),IF(C145="peso_corporal",IF(ISNUMBER(E145),E145,0)+I145,I145)*(1+J145/30),IF(C145="peso_corporal",IF(ISNUMBER(E145),E145,0)+L145,L145)*(1+M145/30),IF(C145="peso_corporal",IF(ISNUMBER(E145),E145,0)+O145,O145)*(1+P145/30),IF(C145="peso_corporal",IF(ISNUMBER(E145),E145,0)+R145,R145)*(1+S145/30)),1)),"--")</f>
        <v>--</v>
      </c>
      <c r="V145" s="23" t="str">
        <f>IF(SUGERENCIAS!N377="SIN","Sin datos anteriores",IF(SUGERENCIAS!N377="SUBIR_F","^ SUBIR FUERTE | Kg:"&amp;ROUND(SUGERENCIAS!K377,1)&amp;" R:"&amp;ROUND(SUGERENCIAS!L377,0)&amp;" RIR:"&amp;ROUND(SUGERENCIAS!M377,0),IF(SUGERENCIAS!N377="SUBIR_E","^ SUBIR (Est.) | Kg:"&amp;ROUND(SUGERENCIAS!K377,1)&amp;" R:"&amp;ROUND(SUGERENCIAS!L377,0)&amp;" RIR:"&amp;ROUND(SUGERENCIAS!M377,0),IF(SUGERENCIAS!N377="SUBIR","^ SUBIR | Kg:"&amp;ROUND(SUGERENCIAS!K377,1)&amp;" R:"&amp;ROUND(SUGERENCIAS!L377,0)&amp;" RIR:"&amp;ROUND(SUGERENCIAS!M377,0),IF(SUGERENCIAS!N377="BAJAR","v BAJAR | Kg:"&amp;ROUND(SUGERENCIAS!K377,1)&amp;" R:"&amp;ROUND(SUGERENCIAS!L377,0)&amp;" RIR:"&amp;ROUND(SUGERENCIAS!M377,0),"= MANT | Kg:"&amp;ROUND(SUGERENCIAS!K377,1)&amp;" R:"&amp;ROUND(SUGERENCIAS!L377,0)&amp;" RIR:"&amp;ROUND(SUGERENCIAS!M377,0))))))</f>
        <v>Sin datos anteriores</v>
      </c>
      <c r="W145" s="69">
        <f>MAX(IF((G145&gt;0)*(IF(H145="",-1,H145)&gt;=0)*(IF(H145="",-1,H145)&lt;=1),IF(C145="peso_corporal",IF(ISNUMBER(E145),E145,0)+F145,F145)*G145*1000+F145,0),IF((J145&gt;0)*(IF(K145="",-1,K145)&gt;=0)*(IF(K145="",-1,K145)&lt;=1),IF(C145="peso_corporal",IF(ISNUMBER(E145),E145,0)+I145,I145)*J145*1000+I145,0),IF((M145&gt;0)*(IF(N145="",-1,N145)&gt;=0)*(IF(N145="",-1,N145)&lt;=1),IF(C145="peso_corporal",IF(ISNUMBER(E145),E145,0)+L145,L145)*M145*1000+L145,0),IF((P145&gt;0)*(IF(Q145="",-1,Q145)&gt;=0)*(IF(Q145="",-1,Q145)&lt;=1),IF(C145="peso_corporal",IF(ISNUMBER(E145),E145,0)+O145,O145)*P145*1000+O145,0),IF((S145&gt;0)*(IF(T145="",-1,T145)&gt;=0)*(IF(T145="",-1,T145)&lt;=1),IF(C145="peso_corporal",IF(ISNUMBER(E145),E145,0)+R145,R145)*S145*1000+R145,0))</f>
        <v>0</v>
      </c>
      <c r="X145" s="69">
        <f>IF(W145=0,0,IF(IF((S145&gt;0)*(IF(T145="",-1,T145)&gt;=0)*(IF(T145="",-1,T145)&lt;=1),IF(C145="peso_corporal",IF(ISNUMBER(E145),E145,0)+R145,R145)*S145*1000+R145,0)=W145,5,IF(IF((P145&gt;0)*(IF(Q145="",-1,Q145)&gt;=0)*(IF(Q145="",-1,Q145)&lt;=1),IF(C145="peso_corporal",IF(ISNUMBER(E145),E145,0)+O145,O145)*P145*1000+O145,0)=W145,4,IF(IF((M145&gt;0)*(IF(N145="",-1,N145)&gt;=0)*(IF(N145="",-1,N145)&lt;=1),IF(C145="peso_corporal",IF(ISNUMBER(E145),E145,0)+L145,L145)*M145*1000+L145,0)=W145,3,IF(IF((J145&gt;0)*(IF(K145="",-1,K145)&gt;=0)*(IF(K145="",-1,K145)&lt;=1),IF(C145="peso_corporal",IF(ISNUMBER(E145),E145,0)+I145,I145)*J145*1000+I145,0)=W145,2,IF(IF((G145&gt;0)*(IF(H145="",-1,H145)&gt;=0)*(IF(H145="",-1,H145)&lt;=1),IF(C145="peso_corporal",IF(ISNUMBER(E145),E145,0)+F145,F145)*G145*1000+F145,0)=W145,1,0))))))</f>
        <v>0</v>
      </c>
      <c r="Y145" s="69">
        <f>MAX(IF((G145&gt;0)*(IF(H145="",-1,H145)=0)*(1-(IF(H145="",-1,H145)&gt;=0)*(IF(H145="",-1,H145)&lt;=1)),IF(C145="peso_corporal",IF(ISNUMBER(E145),E145,0)+F145,F145)*G145*1000+F145,0),IF((J145&gt;0)*(IF(K145="",-1,K145)=0)*(1-(IF(K145="",-1,K145)&gt;=0)*(IF(K145="",-1,K145)&lt;=1)),IF(C145="peso_corporal",IF(ISNUMBER(E145),E145,0)+I145,I145)*J145*1000+I145,0),IF((M145&gt;0)*(IF(N145="",-1,N145)=0)*(1-(IF(N145="",-1,N145)&gt;=0)*(IF(N145="",-1,N145)&lt;=1)),IF(C145="peso_corporal",IF(ISNUMBER(E145),E145,0)+L145,L145)*M145*1000+L145,0),IF((P145&gt;0)*(IF(Q145="",-1,Q145)=0)*(1-(IF(Q145="",-1,Q145)&gt;=0)*(IF(Q145="",-1,Q145)&lt;=1)),IF(C145="peso_corporal",IF(ISNUMBER(E145),E145,0)+O145,O145)*P145*1000+O145,0),IF((S145&gt;0)*(IF(T145="",-1,T145)=0)*(1-(IF(T145="",-1,T145)&gt;=0)*(IF(T145="",-1,T145)&lt;=1)),IF(C145="peso_corporal",IF(ISNUMBER(E145),E145,0)+R145,R145)*S145*1000+R145,0))</f>
        <v>0</v>
      </c>
      <c r="Z145" s="69">
        <f>IF(Y145=0,0,IF(IF((S145&gt;0)*(IF(T145="",-1,T145)=0)*(1-(IF(T145="",-1,T145)&gt;=0)*(IF(T145="",-1,T145)&lt;=1)),IF(C145="peso_corporal",IF(ISNUMBER(E145),E145,0)+R145,R145)*S145*1000+R145,0)=Y145,5,IF(IF((P145&gt;0)*(IF(Q145="",-1,Q145)=0)*(1-(IF(Q145="",-1,Q145)&gt;=0)*(IF(Q145="",-1,Q145)&lt;=1)),IF(C145="peso_corporal",IF(ISNUMBER(E145),E145,0)+O145,O145)*P145*1000+O145,0)=Y145,4,IF(IF((M145&gt;0)*(IF(N145="",-1,N145)=0)*(1-(IF(N145="",-1,N145)&gt;=0)*(IF(N145="",-1,N145)&lt;=1)),IF(C145="peso_corporal",IF(ISNUMBER(E145),E145,0)+L145,L145)*M145*1000+L145,0)=Y145,3,IF(IF((J145&gt;0)*(IF(K145="",-1,K145)=0)*(1-(IF(K145="",-1,K145)&gt;=0)*(IF(K145="",-1,K145)&lt;=1)),IF(C145="peso_corporal",IF(ISNUMBER(E145),E145,0)+I145,I145)*J145*1000+I145,0)=Y145,2,IF(IF((G145&gt;0)*(IF(H145="",-1,H145)=0)*(1-(IF(H145="",-1,H145)&gt;=0)*(IF(H145="",-1,H145)&lt;=1)),IF(C145="peso_corporal",IF(ISNUMBER(E145),E145,0)+F145,F145)*G145*1000+F145,0)=Y145,1,0))))))</f>
        <v>0</v>
      </c>
      <c r="AA145" s="69">
        <f>MAX(IF((G145&gt;=3)*(1-(IF(H145="",-1,H145)&gt;=0)*(IF(H145="",-1,H145)&lt;=1))*(1-(IF(H145="",-1,H145)=0)),IF(C145="peso_corporal",IF(ISNUMBER(E145),E145,0)+F145,F145)*(30+G145)*100+F145,0),IF((J145&gt;=3)*(1-(IF(K145="",-1,K145)&gt;=0)*(IF(K145="",-1,K145)&lt;=1))*(1-(IF(K145="",-1,K145)=0)),IF(C145="peso_corporal",IF(ISNUMBER(E145),E145,0)+I145,I145)*(30+J145)*100+I145,0),IF((M145&gt;=3)*(1-(IF(N145="",-1,N145)&gt;=0)*(IF(N145="",-1,N145)&lt;=1))*(1-(IF(N145="",-1,N145)=0)),IF(C145="peso_corporal",IF(ISNUMBER(E145),E145,0)+L145,L145)*(30+M145)*100+L145,0),IF((P145&gt;=3)*(1-(IF(Q145="",-1,Q145)&gt;=0)*(IF(Q145="",-1,Q145)&lt;=1))*(1-(IF(Q145="",-1,Q145)=0)),IF(C145="peso_corporal",IF(ISNUMBER(E145),E145,0)+O145,O145)*(30+P145)*100+O145,0),IF((S145&gt;=3)*(1-(IF(T145="",-1,T145)&gt;=0)*(IF(T145="",-1,T145)&lt;=1))*(1-(IF(T145="",-1,T145)=0)),IF(C145="peso_corporal",IF(ISNUMBER(E145),E145,0)+R145,R145)*(30+S145)*100+R145,0))</f>
        <v>0</v>
      </c>
      <c r="AB145" s="69">
        <f>IF(AA145=0,0,IF(IF((S145&gt;=3)*(1-(IF(T145="",-1,T145)&gt;=0)*(IF(T145="",-1,T145)&lt;=1))*(1-(IF(T145="",-1,T145)=0)),IF(C145="peso_corporal",IF(ISNUMBER(E145),E145,0)+R145,R145)*(30+S145)*100+R145,0)=AA145,5,IF(IF((P145&gt;=3)*(1-(IF(Q145="",-1,Q145)&gt;=0)*(IF(Q145="",-1,Q145)&lt;=1))*(1-(IF(Q145="",-1,Q145)=0)),IF(C145="peso_corporal",IF(ISNUMBER(E145),E145,0)+O145,O145)*(30+P145)*100+O145,0)=AA145,4,IF(IF((M145&gt;=3)*(1-(IF(N145="",-1,N145)&gt;=0)*(IF(N145="",-1,N145)&lt;=1))*(1-(IF(N145="",-1,N145)=0)),IF(C145="peso_corporal",IF(ISNUMBER(E145),E145,0)+L145,L145)*(30+M145)*100+L145,0)=AA145,3,IF(IF((J145&gt;=3)*(1-(IF(K145="",-1,K145)&gt;=0)*(IF(K145="",-1,K145)&lt;=1))*(1-(IF(K145="",-1,K145)=0)),IF(C145="peso_corporal",IF(ISNUMBER(E145),E145,0)+I145,I145)*(30+J145)*100+I145,0)=AA145,2,IF(IF((G145&gt;=3)*(1-(IF(H145="",-1,H145)&gt;=0)*(IF(H145="",-1,H145)&lt;=1))*(1-(IF(H145="",-1,H145)=0)),IF(C145="peso_corporal",IF(ISNUMBER(E145),E145,0)+F145,F145)*(30+G145)*100+F145,0)=AA145,1,0))))))</f>
        <v>0</v>
      </c>
      <c r="AC145" s="69" t="str">
        <f>IF(X145&gt;0,"A"&amp;X145,IF(Z145&gt;0,"B"&amp;Z145,IF(AB145&gt;0,"C"&amp;AB145,"")))</f>
        <v/>
      </c>
    </row>
    <row r="146" spans="1:29" ht="15" customHeight="1">
      <c r="A146" s="81" t="s">
        <v>174</v>
      </c>
      <c r="B146" s="73"/>
      <c r="C146" s="73"/>
      <c r="D146" s="73"/>
      <c r="E146" s="73"/>
      <c r="F146" s="73"/>
      <c r="G146" s="73"/>
      <c r="H146" s="73"/>
      <c r="I146" s="73"/>
      <c r="J146" s="73"/>
      <c r="K146" s="73"/>
      <c r="L146" s="73"/>
      <c r="M146" s="73"/>
      <c r="N146" s="73"/>
      <c r="O146" s="73"/>
      <c r="P146" s="73"/>
      <c r="Q146" s="73"/>
      <c r="R146" s="73"/>
      <c r="S146" s="73"/>
      <c r="T146" s="73"/>
      <c r="U146" s="73"/>
      <c r="V146" s="73"/>
      <c r="W146" s="69"/>
      <c r="X146" s="69"/>
      <c r="Y146" s="69"/>
      <c r="Z146" s="69"/>
      <c r="AA146" s="69"/>
      <c r="AB146" s="69"/>
      <c r="AC146" s="69"/>
    </row>
    <row r="147" spans="1:29" ht="20.100000000000001" customHeight="1">
      <c r="A147" s="14" t="s">
        <v>175</v>
      </c>
      <c r="B147" s="15" t="s">
        <v>176</v>
      </c>
      <c r="C147" s="16" t="str">
        <f>IFERROR(INDEX(EJERCICIOS!$D$3:$D$75,MATCH(A147&amp;"|"&amp;B147,EJERCICIOS!$G$3:$G$75,0)),"--")</f>
        <v>mancuerna</v>
      </c>
      <c r="D147" s="17">
        <v>3</v>
      </c>
      <c r="E147" s="18">
        <f>IFERROR(LOOKUP(2,1/(MEDIDAS_Y_PESO!$B$3:$B$8&lt;&gt;""),MEDIDAS_Y_PESO!$B$3:$B$8),"--")</f>
        <v>80</v>
      </c>
      <c r="F147" s="19"/>
      <c r="G147" s="20"/>
      <c r="H147" s="21"/>
      <c r="I147" s="19"/>
      <c r="J147" s="20"/>
      <c r="K147" s="21"/>
      <c r="L147" s="19"/>
      <c r="M147" s="20"/>
      <c r="N147" s="21"/>
      <c r="O147" s="19"/>
      <c r="P147" s="20"/>
      <c r="Q147" s="21"/>
      <c r="R147" s="19"/>
      <c r="S147" s="20"/>
      <c r="T147" s="21"/>
      <c r="U147" s="22" t="str">
        <f>IFERROR(IF(IF(X147&gt;0,X147,IF(Z147&gt;0,Z147,IF(AB147&gt;0,AB147,0)))=0,"--",ROUND(CHOOSE(IF(X147&gt;0,X147,IF(Z147&gt;0,Z147,IF(AB147&gt;0,AB147,0))),IF(C147="peso_corporal",IF(ISNUMBER(E147),E147,0)+F147,F147)*(1+G147/30),IF(C147="peso_corporal",IF(ISNUMBER(E147),E147,0)+I147,I147)*(1+J147/30),IF(C147="peso_corporal",IF(ISNUMBER(E147),E147,0)+L147,L147)*(1+M147/30),IF(C147="peso_corporal",IF(ISNUMBER(E147),E147,0)+O147,O147)*(1+P147/30),IF(C147="peso_corporal",IF(ISNUMBER(E147),E147,0)+R147,R147)*(1+S147/30)),1)),"--")</f>
        <v>--</v>
      </c>
      <c r="V147" s="23" t="str">
        <f>IF(SUGERENCIAS!N378="SIN","Sin datos anteriores",IF(SUGERENCIAS!N378="SUBIR_F","^ SUBIR FUERTE | Kg:"&amp;ROUND(SUGERENCIAS!K378,1)&amp;" R:"&amp;ROUND(SUGERENCIAS!L378,0)&amp;" RIR:"&amp;ROUND(SUGERENCIAS!M378,0),IF(SUGERENCIAS!N378="SUBIR_E","^ SUBIR (Est.) | Kg:"&amp;ROUND(SUGERENCIAS!K378,1)&amp;" R:"&amp;ROUND(SUGERENCIAS!L378,0)&amp;" RIR:"&amp;ROUND(SUGERENCIAS!M378,0),IF(SUGERENCIAS!N378="SUBIR","^ SUBIR | Kg:"&amp;ROUND(SUGERENCIAS!K378,1)&amp;" R:"&amp;ROUND(SUGERENCIAS!L378,0)&amp;" RIR:"&amp;ROUND(SUGERENCIAS!M378,0),IF(SUGERENCIAS!N378="BAJAR","v BAJAR | Kg:"&amp;ROUND(SUGERENCIAS!K378,1)&amp;" R:"&amp;ROUND(SUGERENCIAS!L378,0)&amp;" RIR:"&amp;ROUND(SUGERENCIAS!M378,0),"= MANT | Kg:"&amp;ROUND(SUGERENCIAS!K378,1)&amp;" R:"&amp;ROUND(SUGERENCIAS!L378,0)&amp;" RIR:"&amp;ROUND(SUGERENCIAS!M378,0))))))</f>
        <v>Sin datos anteriores</v>
      </c>
      <c r="W147" s="69">
        <f>MAX(IF((G147&gt;0)*(IF(H147="",-1,H147)&gt;=0)*(IF(H147="",-1,H147)&lt;=1),IF(C147="peso_corporal",IF(ISNUMBER(E147),E147,0)+F147,F147)*G147*1000+F147,0),IF((J147&gt;0)*(IF(K147="",-1,K147)&gt;=0)*(IF(K147="",-1,K147)&lt;=1),IF(C147="peso_corporal",IF(ISNUMBER(E147),E147,0)+I147,I147)*J147*1000+I147,0),IF((M147&gt;0)*(IF(N147="",-1,N147)&gt;=0)*(IF(N147="",-1,N147)&lt;=1),IF(C147="peso_corporal",IF(ISNUMBER(E147),E147,0)+L147,L147)*M147*1000+L147,0),IF((P147&gt;0)*(IF(Q147="",-1,Q147)&gt;=0)*(IF(Q147="",-1,Q147)&lt;=1),IF(C147="peso_corporal",IF(ISNUMBER(E147),E147,0)+O147,O147)*P147*1000+O147,0),IF((S147&gt;0)*(IF(T147="",-1,T147)&gt;=0)*(IF(T147="",-1,T147)&lt;=1),IF(C147="peso_corporal",IF(ISNUMBER(E147),E147,0)+R147,R147)*S147*1000+R147,0))</f>
        <v>0</v>
      </c>
      <c r="X147" s="69">
        <f>IF(W147=0,0,IF(IF((S147&gt;0)*(IF(T147="",-1,T147)&gt;=0)*(IF(T147="",-1,T147)&lt;=1),IF(C147="peso_corporal",IF(ISNUMBER(E147),E147,0)+R147,R147)*S147*1000+R147,0)=W147,5,IF(IF((P147&gt;0)*(IF(Q147="",-1,Q147)&gt;=0)*(IF(Q147="",-1,Q147)&lt;=1),IF(C147="peso_corporal",IF(ISNUMBER(E147),E147,0)+O147,O147)*P147*1000+O147,0)=W147,4,IF(IF((M147&gt;0)*(IF(N147="",-1,N147)&gt;=0)*(IF(N147="",-1,N147)&lt;=1),IF(C147="peso_corporal",IF(ISNUMBER(E147),E147,0)+L147,L147)*M147*1000+L147,0)=W147,3,IF(IF((J147&gt;0)*(IF(K147="",-1,K147)&gt;=0)*(IF(K147="",-1,K147)&lt;=1),IF(C147="peso_corporal",IF(ISNUMBER(E147),E147,0)+I147,I147)*J147*1000+I147,0)=W147,2,IF(IF((G147&gt;0)*(IF(H147="",-1,H147)&gt;=0)*(IF(H147="",-1,H147)&lt;=1),IF(C147="peso_corporal",IF(ISNUMBER(E147),E147,0)+F147,F147)*G147*1000+F147,0)=W147,1,0))))))</f>
        <v>0</v>
      </c>
      <c r="Y147" s="69">
        <f>MAX(IF((G147&gt;0)*(IF(H147="",-1,H147)=0)*(1-(IF(H147="",-1,H147)&gt;=0)*(IF(H147="",-1,H147)&lt;=1)),IF(C147="peso_corporal",IF(ISNUMBER(E147),E147,0)+F147,F147)*G147*1000+F147,0),IF((J147&gt;0)*(IF(K147="",-1,K147)=0)*(1-(IF(K147="",-1,K147)&gt;=0)*(IF(K147="",-1,K147)&lt;=1)),IF(C147="peso_corporal",IF(ISNUMBER(E147),E147,0)+I147,I147)*J147*1000+I147,0),IF((M147&gt;0)*(IF(N147="",-1,N147)=0)*(1-(IF(N147="",-1,N147)&gt;=0)*(IF(N147="",-1,N147)&lt;=1)),IF(C147="peso_corporal",IF(ISNUMBER(E147),E147,0)+L147,L147)*M147*1000+L147,0),IF((P147&gt;0)*(IF(Q147="",-1,Q147)=0)*(1-(IF(Q147="",-1,Q147)&gt;=0)*(IF(Q147="",-1,Q147)&lt;=1)),IF(C147="peso_corporal",IF(ISNUMBER(E147),E147,0)+O147,O147)*P147*1000+O147,0),IF((S147&gt;0)*(IF(T147="",-1,T147)=0)*(1-(IF(T147="",-1,T147)&gt;=0)*(IF(T147="",-1,T147)&lt;=1)),IF(C147="peso_corporal",IF(ISNUMBER(E147),E147,0)+R147,R147)*S147*1000+R147,0))</f>
        <v>0</v>
      </c>
      <c r="Z147" s="69">
        <f>IF(Y147=0,0,IF(IF((S147&gt;0)*(IF(T147="",-1,T147)=0)*(1-(IF(T147="",-1,T147)&gt;=0)*(IF(T147="",-1,T147)&lt;=1)),IF(C147="peso_corporal",IF(ISNUMBER(E147),E147,0)+R147,R147)*S147*1000+R147,0)=Y147,5,IF(IF((P147&gt;0)*(IF(Q147="",-1,Q147)=0)*(1-(IF(Q147="",-1,Q147)&gt;=0)*(IF(Q147="",-1,Q147)&lt;=1)),IF(C147="peso_corporal",IF(ISNUMBER(E147),E147,0)+O147,O147)*P147*1000+O147,0)=Y147,4,IF(IF((M147&gt;0)*(IF(N147="",-1,N147)=0)*(1-(IF(N147="",-1,N147)&gt;=0)*(IF(N147="",-1,N147)&lt;=1)),IF(C147="peso_corporal",IF(ISNUMBER(E147),E147,0)+L147,L147)*M147*1000+L147,0)=Y147,3,IF(IF((J147&gt;0)*(IF(K147="",-1,K147)=0)*(1-(IF(K147="",-1,K147)&gt;=0)*(IF(K147="",-1,K147)&lt;=1)),IF(C147="peso_corporal",IF(ISNUMBER(E147),E147,0)+I147,I147)*J147*1000+I147,0)=Y147,2,IF(IF((G147&gt;0)*(IF(H147="",-1,H147)=0)*(1-(IF(H147="",-1,H147)&gt;=0)*(IF(H147="",-1,H147)&lt;=1)),IF(C147="peso_corporal",IF(ISNUMBER(E147),E147,0)+F147,F147)*G147*1000+F147,0)=Y147,1,0))))))</f>
        <v>0</v>
      </c>
      <c r="AA147" s="69">
        <f>MAX(IF((G147&gt;=3)*(1-(IF(H147="",-1,H147)&gt;=0)*(IF(H147="",-1,H147)&lt;=1))*(1-(IF(H147="",-1,H147)=0)),IF(C147="peso_corporal",IF(ISNUMBER(E147),E147,0)+F147,F147)*(30+G147)*100+F147,0),IF((J147&gt;=3)*(1-(IF(K147="",-1,K147)&gt;=0)*(IF(K147="",-1,K147)&lt;=1))*(1-(IF(K147="",-1,K147)=0)),IF(C147="peso_corporal",IF(ISNUMBER(E147),E147,0)+I147,I147)*(30+J147)*100+I147,0),IF((M147&gt;=3)*(1-(IF(N147="",-1,N147)&gt;=0)*(IF(N147="",-1,N147)&lt;=1))*(1-(IF(N147="",-1,N147)=0)),IF(C147="peso_corporal",IF(ISNUMBER(E147),E147,0)+L147,L147)*(30+M147)*100+L147,0),IF((P147&gt;=3)*(1-(IF(Q147="",-1,Q147)&gt;=0)*(IF(Q147="",-1,Q147)&lt;=1))*(1-(IF(Q147="",-1,Q147)=0)),IF(C147="peso_corporal",IF(ISNUMBER(E147),E147,0)+O147,O147)*(30+P147)*100+O147,0),IF((S147&gt;=3)*(1-(IF(T147="",-1,T147)&gt;=0)*(IF(T147="",-1,T147)&lt;=1))*(1-(IF(T147="",-1,T147)=0)),IF(C147="peso_corporal",IF(ISNUMBER(E147),E147,0)+R147,R147)*(30+S147)*100+R147,0))</f>
        <v>0</v>
      </c>
      <c r="AB147" s="69">
        <f>IF(AA147=0,0,IF(IF((S147&gt;=3)*(1-(IF(T147="",-1,T147)&gt;=0)*(IF(T147="",-1,T147)&lt;=1))*(1-(IF(T147="",-1,T147)=0)),IF(C147="peso_corporal",IF(ISNUMBER(E147),E147,0)+R147,R147)*(30+S147)*100+R147,0)=AA147,5,IF(IF((P147&gt;=3)*(1-(IF(Q147="",-1,Q147)&gt;=0)*(IF(Q147="",-1,Q147)&lt;=1))*(1-(IF(Q147="",-1,Q147)=0)),IF(C147="peso_corporal",IF(ISNUMBER(E147),E147,0)+O147,O147)*(30+P147)*100+O147,0)=AA147,4,IF(IF((M147&gt;=3)*(1-(IF(N147="",-1,N147)&gt;=0)*(IF(N147="",-1,N147)&lt;=1))*(1-(IF(N147="",-1,N147)=0)),IF(C147="peso_corporal",IF(ISNUMBER(E147),E147,0)+L147,L147)*(30+M147)*100+L147,0)=AA147,3,IF(IF((J147&gt;=3)*(1-(IF(K147="",-1,K147)&gt;=0)*(IF(K147="",-1,K147)&lt;=1))*(1-(IF(K147="",-1,K147)=0)),IF(C147="peso_corporal",IF(ISNUMBER(E147),E147,0)+I147,I147)*(30+J147)*100+I147,0)=AA147,2,IF(IF((G147&gt;=3)*(1-(IF(H147="",-1,H147)&gt;=0)*(IF(H147="",-1,H147)&lt;=1))*(1-(IF(H147="",-1,H147)=0)),IF(C147="peso_corporal",IF(ISNUMBER(E147),E147,0)+F147,F147)*(30+G147)*100+F147,0)=AA147,1,0))))))</f>
        <v>0</v>
      </c>
      <c r="AC147" s="69" t="str">
        <f>IF(X147&gt;0,"A"&amp;X147,IF(Z147&gt;0,"B"&amp;Z147,IF(AB147&gt;0,"C"&amp;AB147,"")))</f>
        <v/>
      </c>
    </row>
    <row r="148" spans="1:29" ht="20.100000000000001" customHeight="1">
      <c r="A148" s="14" t="s">
        <v>109</v>
      </c>
      <c r="B148" s="15" t="s">
        <v>110</v>
      </c>
      <c r="C148" s="16" t="str">
        <f>IFERROR(INDEX(EJERCICIOS!$D$3:$D$75,MATCH(A148&amp;"|"&amp;B148,EJERCICIOS!$G$3:$G$75,0)),"--")</f>
        <v>polea</v>
      </c>
      <c r="D148" s="17">
        <v>3</v>
      </c>
      <c r="E148" s="18">
        <f>IFERROR(LOOKUP(2,1/(MEDIDAS_Y_PESO!$B$3:$B$8&lt;&gt;""),MEDIDAS_Y_PESO!$B$3:$B$8),"--")</f>
        <v>80</v>
      </c>
      <c r="F148" s="19"/>
      <c r="G148" s="20"/>
      <c r="H148" s="21"/>
      <c r="I148" s="19"/>
      <c r="J148" s="20"/>
      <c r="K148" s="21"/>
      <c r="L148" s="19"/>
      <c r="M148" s="20"/>
      <c r="N148" s="21"/>
      <c r="O148" s="19"/>
      <c r="P148" s="20"/>
      <c r="Q148" s="21"/>
      <c r="R148" s="19"/>
      <c r="S148" s="20"/>
      <c r="T148" s="21"/>
      <c r="U148" s="22" t="str">
        <f>IFERROR(IF(IF(X148&gt;0,X148,IF(Z148&gt;0,Z148,IF(AB148&gt;0,AB148,0)))=0,"--",ROUND(CHOOSE(IF(X148&gt;0,X148,IF(Z148&gt;0,Z148,IF(AB148&gt;0,AB148,0))),IF(C148="peso_corporal",IF(ISNUMBER(E148),E148,0)+F148,F148)*(1+G148/30),IF(C148="peso_corporal",IF(ISNUMBER(E148),E148,0)+I148,I148)*(1+J148/30),IF(C148="peso_corporal",IF(ISNUMBER(E148),E148,0)+L148,L148)*(1+M148/30),IF(C148="peso_corporal",IF(ISNUMBER(E148),E148,0)+O148,O148)*(1+P148/30),IF(C148="peso_corporal",IF(ISNUMBER(E148),E148,0)+R148,R148)*(1+S148/30)),1)),"--")</f>
        <v>--</v>
      </c>
      <c r="V148" s="23" t="str">
        <f>IF(SUGERENCIAS!N379="SIN","Sin datos anteriores",IF(SUGERENCIAS!N379="SUBIR_F","^ SUBIR FUERTE | Kg:"&amp;ROUND(SUGERENCIAS!K379,1)&amp;" R:"&amp;ROUND(SUGERENCIAS!L379,0)&amp;" RIR:"&amp;ROUND(SUGERENCIAS!M379,0),IF(SUGERENCIAS!N379="SUBIR_E","^ SUBIR (Est.) | Kg:"&amp;ROUND(SUGERENCIAS!K379,1)&amp;" R:"&amp;ROUND(SUGERENCIAS!L379,0)&amp;" RIR:"&amp;ROUND(SUGERENCIAS!M379,0),IF(SUGERENCIAS!N379="SUBIR","^ SUBIR | Kg:"&amp;ROUND(SUGERENCIAS!K379,1)&amp;" R:"&amp;ROUND(SUGERENCIAS!L379,0)&amp;" RIR:"&amp;ROUND(SUGERENCIAS!M379,0),IF(SUGERENCIAS!N379="BAJAR","v BAJAR | Kg:"&amp;ROUND(SUGERENCIAS!K379,1)&amp;" R:"&amp;ROUND(SUGERENCIAS!L379,0)&amp;" RIR:"&amp;ROUND(SUGERENCIAS!M379,0),"= MANT | Kg:"&amp;ROUND(SUGERENCIAS!K379,1)&amp;" R:"&amp;ROUND(SUGERENCIAS!L379,0)&amp;" RIR:"&amp;ROUND(SUGERENCIAS!M379,0))))))</f>
        <v>Sin datos anteriores</v>
      </c>
      <c r="W148" s="69">
        <f>MAX(IF((G148&gt;0)*(IF(H148="",-1,H148)&gt;=0)*(IF(H148="",-1,H148)&lt;=1),IF(C148="peso_corporal",IF(ISNUMBER(E148),E148,0)+F148,F148)*G148*1000+F148,0),IF((J148&gt;0)*(IF(K148="",-1,K148)&gt;=0)*(IF(K148="",-1,K148)&lt;=1),IF(C148="peso_corporal",IF(ISNUMBER(E148),E148,0)+I148,I148)*J148*1000+I148,0),IF((M148&gt;0)*(IF(N148="",-1,N148)&gt;=0)*(IF(N148="",-1,N148)&lt;=1),IF(C148="peso_corporal",IF(ISNUMBER(E148),E148,0)+L148,L148)*M148*1000+L148,0),IF((P148&gt;0)*(IF(Q148="",-1,Q148)&gt;=0)*(IF(Q148="",-1,Q148)&lt;=1),IF(C148="peso_corporal",IF(ISNUMBER(E148),E148,0)+O148,O148)*P148*1000+O148,0),IF((S148&gt;0)*(IF(T148="",-1,T148)&gt;=0)*(IF(T148="",-1,T148)&lt;=1),IF(C148="peso_corporal",IF(ISNUMBER(E148),E148,0)+R148,R148)*S148*1000+R148,0))</f>
        <v>0</v>
      </c>
      <c r="X148" s="69">
        <f>IF(W148=0,0,IF(IF((S148&gt;0)*(IF(T148="",-1,T148)&gt;=0)*(IF(T148="",-1,T148)&lt;=1),IF(C148="peso_corporal",IF(ISNUMBER(E148),E148,0)+R148,R148)*S148*1000+R148,0)=W148,5,IF(IF((P148&gt;0)*(IF(Q148="",-1,Q148)&gt;=0)*(IF(Q148="",-1,Q148)&lt;=1),IF(C148="peso_corporal",IF(ISNUMBER(E148),E148,0)+O148,O148)*P148*1000+O148,0)=W148,4,IF(IF((M148&gt;0)*(IF(N148="",-1,N148)&gt;=0)*(IF(N148="",-1,N148)&lt;=1),IF(C148="peso_corporal",IF(ISNUMBER(E148),E148,0)+L148,L148)*M148*1000+L148,0)=W148,3,IF(IF((J148&gt;0)*(IF(K148="",-1,K148)&gt;=0)*(IF(K148="",-1,K148)&lt;=1),IF(C148="peso_corporal",IF(ISNUMBER(E148),E148,0)+I148,I148)*J148*1000+I148,0)=W148,2,IF(IF((G148&gt;0)*(IF(H148="",-1,H148)&gt;=0)*(IF(H148="",-1,H148)&lt;=1),IF(C148="peso_corporal",IF(ISNUMBER(E148),E148,0)+F148,F148)*G148*1000+F148,0)=W148,1,0))))))</f>
        <v>0</v>
      </c>
      <c r="Y148" s="69">
        <f>MAX(IF((G148&gt;0)*(IF(H148="",-1,H148)=0)*(1-(IF(H148="",-1,H148)&gt;=0)*(IF(H148="",-1,H148)&lt;=1)),IF(C148="peso_corporal",IF(ISNUMBER(E148),E148,0)+F148,F148)*G148*1000+F148,0),IF((J148&gt;0)*(IF(K148="",-1,K148)=0)*(1-(IF(K148="",-1,K148)&gt;=0)*(IF(K148="",-1,K148)&lt;=1)),IF(C148="peso_corporal",IF(ISNUMBER(E148),E148,0)+I148,I148)*J148*1000+I148,0),IF((M148&gt;0)*(IF(N148="",-1,N148)=0)*(1-(IF(N148="",-1,N148)&gt;=0)*(IF(N148="",-1,N148)&lt;=1)),IF(C148="peso_corporal",IF(ISNUMBER(E148),E148,0)+L148,L148)*M148*1000+L148,0),IF((P148&gt;0)*(IF(Q148="",-1,Q148)=0)*(1-(IF(Q148="",-1,Q148)&gt;=0)*(IF(Q148="",-1,Q148)&lt;=1)),IF(C148="peso_corporal",IF(ISNUMBER(E148),E148,0)+O148,O148)*P148*1000+O148,0),IF((S148&gt;0)*(IF(T148="",-1,T148)=0)*(1-(IF(T148="",-1,T148)&gt;=0)*(IF(T148="",-1,T148)&lt;=1)),IF(C148="peso_corporal",IF(ISNUMBER(E148),E148,0)+R148,R148)*S148*1000+R148,0))</f>
        <v>0</v>
      </c>
      <c r="Z148" s="69">
        <f>IF(Y148=0,0,IF(IF((S148&gt;0)*(IF(T148="",-1,T148)=0)*(1-(IF(T148="",-1,T148)&gt;=0)*(IF(T148="",-1,T148)&lt;=1)),IF(C148="peso_corporal",IF(ISNUMBER(E148),E148,0)+R148,R148)*S148*1000+R148,0)=Y148,5,IF(IF((P148&gt;0)*(IF(Q148="",-1,Q148)=0)*(1-(IF(Q148="",-1,Q148)&gt;=0)*(IF(Q148="",-1,Q148)&lt;=1)),IF(C148="peso_corporal",IF(ISNUMBER(E148),E148,0)+O148,O148)*P148*1000+O148,0)=Y148,4,IF(IF((M148&gt;0)*(IF(N148="",-1,N148)=0)*(1-(IF(N148="",-1,N148)&gt;=0)*(IF(N148="",-1,N148)&lt;=1)),IF(C148="peso_corporal",IF(ISNUMBER(E148),E148,0)+L148,L148)*M148*1000+L148,0)=Y148,3,IF(IF((J148&gt;0)*(IF(K148="",-1,K148)=0)*(1-(IF(K148="",-1,K148)&gt;=0)*(IF(K148="",-1,K148)&lt;=1)),IF(C148="peso_corporal",IF(ISNUMBER(E148),E148,0)+I148,I148)*J148*1000+I148,0)=Y148,2,IF(IF((G148&gt;0)*(IF(H148="",-1,H148)=0)*(1-(IF(H148="",-1,H148)&gt;=0)*(IF(H148="",-1,H148)&lt;=1)),IF(C148="peso_corporal",IF(ISNUMBER(E148),E148,0)+F148,F148)*G148*1000+F148,0)=Y148,1,0))))))</f>
        <v>0</v>
      </c>
      <c r="AA148" s="69">
        <f>MAX(IF((G148&gt;=3)*(1-(IF(H148="",-1,H148)&gt;=0)*(IF(H148="",-1,H148)&lt;=1))*(1-(IF(H148="",-1,H148)=0)),IF(C148="peso_corporal",IF(ISNUMBER(E148),E148,0)+F148,F148)*(30+G148)*100+F148,0),IF((J148&gt;=3)*(1-(IF(K148="",-1,K148)&gt;=0)*(IF(K148="",-1,K148)&lt;=1))*(1-(IF(K148="",-1,K148)=0)),IF(C148="peso_corporal",IF(ISNUMBER(E148),E148,0)+I148,I148)*(30+J148)*100+I148,0),IF((M148&gt;=3)*(1-(IF(N148="",-1,N148)&gt;=0)*(IF(N148="",-1,N148)&lt;=1))*(1-(IF(N148="",-1,N148)=0)),IF(C148="peso_corporal",IF(ISNUMBER(E148),E148,0)+L148,L148)*(30+M148)*100+L148,0),IF((P148&gt;=3)*(1-(IF(Q148="",-1,Q148)&gt;=0)*(IF(Q148="",-1,Q148)&lt;=1))*(1-(IF(Q148="",-1,Q148)=0)),IF(C148="peso_corporal",IF(ISNUMBER(E148),E148,0)+O148,O148)*(30+P148)*100+O148,0),IF((S148&gt;=3)*(1-(IF(T148="",-1,T148)&gt;=0)*(IF(T148="",-1,T148)&lt;=1))*(1-(IF(T148="",-1,T148)=0)),IF(C148="peso_corporal",IF(ISNUMBER(E148),E148,0)+R148,R148)*(30+S148)*100+R148,0))</f>
        <v>0</v>
      </c>
      <c r="AB148" s="69">
        <f>IF(AA148=0,0,IF(IF((S148&gt;=3)*(1-(IF(T148="",-1,T148)&gt;=0)*(IF(T148="",-1,T148)&lt;=1))*(1-(IF(T148="",-1,T148)=0)),IF(C148="peso_corporal",IF(ISNUMBER(E148),E148,0)+R148,R148)*(30+S148)*100+R148,0)=AA148,5,IF(IF((P148&gt;=3)*(1-(IF(Q148="",-1,Q148)&gt;=0)*(IF(Q148="",-1,Q148)&lt;=1))*(1-(IF(Q148="",-1,Q148)=0)),IF(C148="peso_corporal",IF(ISNUMBER(E148),E148,0)+O148,O148)*(30+P148)*100+O148,0)=AA148,4,IF(IF((M148&gt;=3)*(1-(IF(N148="",-1,N148)&gt;=0)*(IF(N148="",-1,N148)&lt;=1))*(1-(IF(N148="",-1,N148)=0)),IF(C148="peso_corporal",IF(ISNUMBER(E148),E148,0)+L148,L148)*(30+M148)*100+L148,0)=AA148,3,IF(IF((J148&gt;=3)*(1-(IF(K148="",-1,K148)&gt;=0)*(IF(K148="",-1,K148)&lt;=1))*(1-(IF(K148="",-1,K148)=0)),IF(C148="peso_corporal",IF(ISNUMBER(E148),E148,0)+I148,I148)*(30+J148)*100+I148,0)=AA148,2,IF(IF((G148&gt;=3)*(1-(IF(H148="",-1,H148)&gt;=0)*(IF(H148="",-1,H148)&lt;=1))*(1-(IF(H148="",-1,H148)=0)),IF(C148="peso_corporal",IF(ISNUMBER(E148),E148,0)+F148,F148)*(30+G148)*100+F148,0)=AA148,1,0))))))</f>
        <v>0</v>
      </c>
      <c r="AC148" s="69" t="str">
        <f>IF(X148&gt;0,"A"&amp;X148,IF(Z148&gt;0,"B"&amp;Z148,IF(AB148&gt;0,"C"&amp;AB148,"")))</f>
        <v/>
      </c>
    </row>
    <row r="149" spans="1:29" ht="15" customHeight="1">
      <c r="A149" s="90" t="s">
        <v>142</v>
      </c>
      <c r="B149" s="73"/>
      <c r="C149" s="73"/>
      <c r="D149" s="73"/>
      <c r="E149" s="73"/>
      <c r="F149" s="73"/>
      <c r="G149" s="73"/>
      <c r="H149" s="73"/>
      <c r="I149" s="73"/>
      <c r="J149" s="73"/>
      <c r="K149" s="73"/>
      <c r="L149" s="73"/>
      <c r="M149" s="73"/>
      <c r="N149" s="73"/>
      <c r="O149" s="73"/>
      <c r="P149" s="73"/>
      <c r="Q149" s="73"/>
      <c r="R149" s="73"/>
      <c r="S149" s="73"/>
      <c r="T149" s="73"/>
      <c r="U149" s="73"/>
      <c r="V149" s="73"/>
      <c r="W149" s="69"/>
      <c r="X149" s="69"/>
      <c r="Y149" s="69"/>
      <c r="Z149" s="69"/>
      <c r="AA149" s="69"/>
      <c r="AB149" s="69"/>
      <c r="AC149" s="69"/>
    </row>
    <row r="150" spans="1:29" ht="20.100000000000001" customHeight="1">
      <c r="A150" s="14" t="s">
        <v>24</v>
      </c>
      <c r="B150" s="15" t="s">
        <v>143</v>
      </c>
      <c r="C150" s="16" t="str">
        <f>IFERROR(INDEX(EJERCICIOS!$D$3:$D$75,MATCH(A150&amp;"|"&amp;B150,EJERCICIOS!$G$3:$G$75,0)),"--")</f>
        <v>peso_corporal</v>
      </c>
      <c r="D150" s="17">
        <v>3</v>
      </c>
      <c r="E150" s="18">
        <f>IFERROR(LOOKUP(2,1/(MEDIDAS_Y_PESO!$B$3:$B$8&lt;&gt;""),MEDIDAS_Y_PESO!$B$3:$B$8),"--")</f>
        <v>80</v>
      </c>
      <c r="F150" s="19"/>
      <c r="G150" s="20"/>
      <c r="H150" s="21"/>
      <c r="I150" s="19"/>
      <c r="J150" s="20"/>
      <c r="K150" s="21"/>
      <c r="L150" s="19"/>
      <c r="M150" s="20"/>
      <c r="N150" s="21"/>
      <c r="O150" s="19"/>
      <c r="P150" s="20"/>
      <c r="Q150" s="21"/>
      <c r="R150" s="19"/>
      <c r="S150" s="20"/>
      <c r="T150" s="21"/>
      <c r="U150" s="22" t="str">
        <f>IFERROR(IF(IF(X150&gt;0,X150,IF(Z150&gt;0,Z150,IF(AB150&gt;0,AB150,0)))=0,"--",ROUND(CHOOSE(IF(X150&gt;0,X150,IF(Z150&gt;0,Z150,IF(AB150&gt;0,AB150,0))),IF(C150="peso_corporal",IF(ISNUMBER(E150),E150,0)+F150,F150)*(1+G150/30),IF(C150="peso_corporal",IF(ISNUMBER(E150),E150,0)+I150,I150)*(1+J150/30),IF(C150="peso_corporal",IF(ISNUMBER(E150),E150,0)+L150,L150)*(1+M150/30),IF(C150="peso_corporal",IF(ISNUMBER(E150),E150,0)+O150,O150)*(1+P150/30),IF(C150="peso_corporal",IF(ISNUMBER(E150),E150,0)+R150,R150)*(1+S150/30)),1)),"--")</f>
        <v>--</v>
      </c>
      <c r="V150" s="23" t="str">
        <f>IF(SUGERENCIAS!N380="SIN","Sin datos anteriores",IF(SUGERENCIAS!N380="SUBIR_F","^ SUBIR FUERTE | Kg:"&amp;ROUND(SUGERENCIAS!K380,1)&amp;" R:"&amp;ROUND(SUGERENCIAS!L380,0)&amp;" RIR:"&amp;ROUND(SUGERENCIAS!M380,0),IF(SUGERENCIAS!N380="SUBIR_E","^ SUBIR (Est.) | Kg:"&amp;ROUND(SUGERENCIAS!K380,1)&amp;" R:"&amp;ROUND(SUGERENCIAS!L380,0)&amp;" RIR:"&amp;ROUND(SUGERENCIAS!M380,0),IF(SUGERENCIAS!N380="SUBIR","^ SUBIR | Kg:"&amp;ROUND(SUGERENCIAS!K380,1)&amp;" R:"&amp;ROUND(SUGERENCIAS!L380,0)&amp;" RIR:"&amp;ROUND(SUGERENCIAS!M380,0),IF(SUGERENCIAS!N380="BAJAR","v BAJAR | Kg:"&amp;ROUND(SUGERENCIAS!K380,1)&amp;" R:"&amp;ROUND(SUGERENCIAS!L380,0)&amp;" RIR:"&amp;ROUND(SUGERENCIAS!M380,0),"= MANT | Kg:"&amp;ROUND(SUGERENCIAS!K380,1)&amp;" R:"&amp;ROUND(SUGERENCIAS!L380,0)&amp;" RIR:"&amp;ROUND(SUGERENCIAS!M380,0))))))</f>
        <v>Sin datos anteriores</v>
      </c>
      <c r="W150" s="69">
        <f>MAX(IF((G150&gt;0)*(IF(H150="",-1,H150)&gt;=0)*(IF(H150="",-1,H150)&lt;=1),IF(C150="peso_corporal",IF(ISNUMBER(E150),E150,0)+F150,F150)*G150*1000+F150,0),IF((J150&gt;0)*(IF(K150="",-1,K150)&gt;=0)*(IF(K150="",-1,K150)&lt;=1),IF(C150="peso_corporal",IF(ISNUMBER(E150),E150,0)+I150,I150)*J150*1000+I150,0),IF((M150&gt;0)*(IF(N150="",-1,N150)&gt;=0)*(IF(N150="",-1,N150)&lt;=1),IF(C150="peso_corporal",IF(ISNUMBER(E150),E150,0)+L150,L150)*M150*1000+L150,0),IF((P150&gt;0)*(IF(Q150="",-1,Q150)&gt;=0)*(IF(Q150="",-1,Q150)&lt;=1),IF(C150="peso_corporal",IF(ISNUMBER(E150),E150,0)+O150,O150)*P150*1000+O150,0),IF((S150&gt;0)*(IF(T150="",-1,T150)&gt;=0)*(IF(T150="",-1,T150)&lt;=1),IF(C150="peso_corporal",IF(ISNUMBER(E150),E150,0)+R150,R150)*S150*1000+R150,0))</f>
        <v>0</v>
      </c>
      <c r="X150" s="69">
        <f>IF(W150=0,0,IF(IF((S150&gt;0)*(IF(T150="",-1,T150)&gt;=0)*(IF(T150="",-1,T150)&lt;=1),IF(C150="peso_corporal",IF(ISNUMBER(E150),E150,0)+R150,R150)*S150*1000+R150,0)=W150,5,IF(IF((P150&gt;0)*(IF(Q150="",-1,Q150)&gt;=0)*(IF(Q150="",-1,Q150)&lt;=1),IF(C150="peso_corporal",IF(ISNUMBER(E150),E150,0)+O150,O150)*P150*1000+O150,0)=W150,4,IF(IF((M150&gt;0)*(IF(N150="",-1,N150)&gt;=0)*(IF(N150="",-1,N150)&lt;=1),IF(C150="peso_corporal",IF(ISNUMBER(E150),E150,0)+L150,L150)*M150*1000+L150,0)=W150,3,IF(IF((J150&gt;0)*(IF(K150="",-1,K150)&gt;=0)*(IF(K150="",-1,K150)&lt;=1),IF(C150="peso_corporal",IF(ISNUMBER(E150),E150,0)+I150,I150)*J150*1000+I150,0)=W150,2,IF(IF((G150&gt;0)*(IF(H150="",-1,H150)&gt;=0)*(IF(H150="",-1,H150)&lt;=1),IF(C150="peso_corporal",IF(ISNUMBER(E150),E150,0)+F150,F150)*G150*1000+F150,0)=W150,1,0))))))</f>
        <v>0</v>
      </c>
      <c r="Y150" s="69">
        <f>MAX(IF((G150&gt;0)*(IF(H150="",-1,H150)=0)*(1-(IF(H150="",-1,H150)&gt;=0)*(IF(H150="",-1,H150)&lt;=1)),IF(C150="peso_corporal",IF(ISNUMBER(E150),E150,0)+F150,F150)*G150*1000+F150,0),IF((J150&gt;0)*(IF(K150="",-1,K150)=0)*(1-(IF(K150="",-1,K150)&gt;=0)*(IF(K150="",-1,K150)&lt;=1)),IF(C150="peso_corporal",IF(ISNUMBER(E150),E150,0)+I150,I150)*J150*1000+I150,0),IF((M150&gt;0)*(IF(N150="",-1,N150)=0)*(1-(IF(N150="",-1,N150)&gt;=0)*(IF(N150="",-1,N150)&lt;=1)),IF(C150="peso_corporal",IF(ISNUMBER(E150),E150,0)+L150,L150)*M150*1000+L150,0),IF((P150&gt;0)*(IF(Q150="",-1,Q150)=0)*(1-(IF(Q150="",-1,Q150)&gt;=0)*(IF(Q150="",-1,Q150)&lt;=1)),IF(C150="peso_corporal",IF(ISNUMBER(E150),E150,0)+O150,O150)*P150*1000+O150,0),IF((S150&gt;0)*(IF(T150="",-1,T150)=0)*(1-(IF(T150="",-1,T150)&gt;=0)*(IF(T150="",-1,T150)&lt;=1)),IF(C150="peso_corporal",IF(ISNUMBER(E150),E150,0)+R150,R150)*S150*1000+R150,0))</f>
        <v>0</v>
      </c>
      <c r="Z150" s="69">
        <f>IF(Y150=0,0,IF(IF((S150&gt;0)*(IF(T150="",-1,T150)=0)*(1-(IF(T150="",-1,T150)&gt;=0)*(IF(T150="",-1,T150)&lt;=1)),IF(C150="peso_corporal",IF(ISNUMBER(E150),E150,0)+R150,R150)*S150*1000+R150,0)=Y150,5,IF(IF((P150&gt;0)*(IF(Q150="",-1,Q150)=0)*(1-(IF(Q150="",-1,Q150)&gt;=0)*(IF(Q150="",-1,Q150)&lt;=1)),IF(C150="peso_corporal",IF(ISNUMBER(E150),E150,0)+O150,O150)*P150*1000+O150,0)=Y150,4,IF(IF((M150&gt;0)*(IF(N150="",-1,N150)=0)*(1-(IF(N150="",-1,N150)&gt;=0)*(IF(N150="",-1,N150)&lt;=1)),IF(C150="peso_corporal",IF(ISNUMBER(E150),E150,0)+L150,L150)*M150*1000+L150,0)=Y150,3,IF(IF((J150&gt;0)*(IF(K150="",-1,K150)=0)*(1-(IF(K150="",-1,K150)&gt;=0)*(IF(K150="",-1,K150)&lt;=1)),IF(C150="peso_corporal",IF(ISNUMBER(E150),E150,0)+I150,I150)*J150*1000+I150,0)=Y150,2,IF(IF((G150&gt;0)*(IF(H150="",-1,H150)=0)*(1-(IF(H150="",-1,H150)&gt;=0)*(IF(H150="",-1,H150)&lt;=1)),IF(C150="peso_corporal",IF(ISNUMBER(E150),E150,0)+F150,F150)*G150*1000+F150,0)=Y150,1,0))))))</f>
        <v>0</v>
      </c>
      <c r="AA150" s="69">
        <f>MAX(IF((G150&gt;=3)*(1-(IF(H150="",-1,H150)&gt;=0)*(IF(H150="",-1,H150)&lt;=1))*(1-(IF(H150="",-1,H150)=0)),IF(C150="peso_corporal",IF(ISNUMBER(E150),E150,0)+F150,F150)*(30+G150)*100+F150,0),IF((J150&gt;=3)*(1-(IF(K150="",-1,K150)&gt;=0)*(IF(K150="",-1,K150)&lt;=1))*(1-(IF(K150="",-1,K150)=0)),IF(C150="peso_corporal",IF(ISNUMBER(E150),E150,0)+I150,I150)*(30+J150)*100+I150,0),IF((M150&gt;=3)*(1-(IF(N150="",-1,N150)&gt;=0)*(IF(N150="",-1,N150)&lt;=1))*(1-(IF(N150="",-1,N150)=0)),IF(C150="peso_corporal",IF(ISNUMBER(E150),E150,0)+L150,L150)*(30+M150)*100+L150,0),IF((P150&gt;=3)*(1-(IF(Q150="",-1,Q150)&gt;=0)*(IF(Q150="",-1,Q150)&lt;=1))*(1-(IF(Q150="",-1,Q150)=0)),IF(C150="peso_corporal",IF(ISNUMBER(E150),E150,0)+O150,O150)*(30+P150)*100+O150,0),IF((S150&gt;=3)*(1-(IF(T150="",-1,T150)&gt;=0)*(IF(T150="",-1,T150)&lt;=1))*(1-(IF(T150="",-1,T150)=0)),IF(C150="peso_corporal",IF(ISNUMBER(E150),E150,0)+R150,R150)*(30+S150)*100+R150,0))</f>
        <v>0</v>
      </c>
      <c r="AB150" s="69">
        <f>IF(AA150=0,0,IF(IF((S150&gt;=3)*(1-(IF(T150="",-1,T150)&gt;=0)*(IF(T150="",-1,T150)&lt;=1))*(1-(IF(T150="",-1,T150)=0)),IF(C150="peso_corporal",IF(ISNUMBER(E150),E150,0)+R150,R150)*(30+S150)*100+R150,0)=AA150,5,IF(IF((P150&gt;=3)*(1-(IF(Q150="",-1,Q150)&gt;=0)*(IF(Q150="",-1,Q150)&lt;=1))*(1-(IF(Q150="",-1,Q150)=0)),IF(C150="peso_corporal",IF(ISNUMBER(E150),E150,0)+O150,O150)*(30+P150)*100+O150,0)=AA150,4,IF(IF((M150&gt;=3)*(1-(IF(N150="",-1,N150)&gt;=0)*(IF(N150="",-1,N150)&lt;=1))*(1-(IF(N150="",-1,N150)=0)),IF(C150="peso_corporal",IF(ISNUMBER(E150),E150,0)+L150,L150)*(30+M150)*100+L150,0)=AA150,3,IF(IF((J150&gt;=3)*(1-(IF(K150="",-1,K150)&gt;=0)*(IF(K150="",-1,K150)&lt;=1))*(1-(IF(K150="",-1,K150)=0)),IF(C150="peso_corporal",IF(ISNUMBER(E150),E150,0)+I150,I150)*(30+J150)*100+I150,0)=AA150,2,IF(IF((G150&gt;=3)*(1-(IF(H150="",-1,H150)&gt;=0)*(IF(H150="",-1,H150)&lt;=1))*(1-(IF(H150="",-1,H150)=0)),IF(C150="peso_corporal",IF(ISNUMBER(E150),E150,0)+F150,F150)*(30+G150)*100+F150,0)=AA150,1,0))))))</f>
        <v>0</v>
      </c>
      <c r="AC150" s="69" t="str">
        <f>IF(X150&gt;0,"A"&amp;X150,IF(Z150&gt;0,"B"&amp;Z150,IF(AB150&gt;0,"C"&amp;AB150,"")))</f>
        <v/>
      </c>
    </row>
    <row r="151" spans="1:29" ht="15" customHeight="1">
      <c r="A151" s="72" t="s">
        <v>56</v>
      </c>
      <c r="B151" s="73"/>
      <c r="C151" s="73"/>
      <c r="D151" s="73"/>
      <c r="E151" s="73"/>
      <c r="F151" s="73"/>
      <c r="G151" s="73"/>
      <c r="H151" s="73"/>
      <c r="I151" s="73"/>
      <c r="J151" s="73"/>
      <c r="K151" s="73"/>
      <c r="L151" s="73"/>
      <c r="M151" s="73"/>
      <c r="N151" s="73"/>
      <c r="O151" s="73"/>
      <c r="P151" s="73"/>
      <c r="Q151" s="73"/>
      <c r="R151" s="73"/>
      <c r="S151" s="73"/>
      <c r="T151" s="73"/>
      <c r="U151" s="73"/>
      <c r="V151" s="73"/>
      <c r="W151" s="69"/>
      <c r="X151" s="69"/>
      <c r="Y151" s="69"/>
      <c r="Z151" s="69"/>
      <c r="AA151" s="69"/>
      <c r="AB151" s="69"/>
      <c r="AC151" s="69"/>
    </row>
    <row r="152" spans="1:29" ht="20.100000000000001" customHeight="1">
      <c r="A152" s="14" t="s">
        <v>57</v>
      </c>
      <c r="B152" s="15" t="s">
        <v>58</v>
      </c>
      <c r="C152" s="16" t="str">
        <f>IFERROR(INDEX(EJERCICIOS!$D$3:$D$75,MATCH(A152&amp;"|"&amp;B152,EJERCICIOS!$G$3:$G$75,0)),"--")</f>
        <v>polea</v>
      </c>
      <c r="D152" s="17">
        <v>3</v>
      </c>
      <c r="E152" s="18">
        <f>IFERROR(LOOKUP(2,1/(MEDIDAS_Y_PESO!$B$3:$B$8&lt;&gt;""),MEDIDAS_Y_PESO!$B$3:$B$8),"--")</f>
        <v>80</v>
      </c>
      <c r="F152" s="19"/>
      <c r="G152" s="20"/>
      <c r="H152" s="21"/>
      <c r="I152" s="19"/>
      <c r="J152" s="20"/>
      <c r="K152" s="21"/>
      <c r="L152" s="19"/>
      <c r="M152" s="20"/>
      <c r="N152" s="21"/>
      <c r="O152" s="19"/>
      <c r="P152" s="20"/>
      <c r="Q152" s="21"/>
      <c r="R152" s="19"/>
      <c r="S152" s="20"/>
      <c r="T152" s="21"/>
      <c r="U152" s="22" t="str">
        <f>IFERROR(IF(IF(X152&gt;0,X152,IF(Z152&gt;0,Z152,IF(AB152&gt;0,AB152,0)))=0,"--",ROUND(CHOOSE(IF(X152&gt;0,X152,IF(Z152&gt;0,Z152,IF(AB152&gt;0,AB152,0))),IF(C152="peso_corporal",IF(ISNUMBER(E152),E152,0)+F152,F152)*(1+G152/30),IF(C152="peso_corporal",IF(ISNUMBER(E152),E152,0)+I152,I152)*(1+J152/30),IF(C152="peso_corporal",IF(ISNUMBER(E152),E152,0)+L152,L152)*(1+M152/30),IF(C152="peso_corporal",IF(ISNUMBER(E152),E152,0)+O152,O152)*(1+P152/30),IF(C152="peso_corporal",IF(ISNUMBER(E152),E152,0)+R152,R152)*(1+S152/30)),1)),"--")</f>
        <v>--</v>
      </c>
      <c r="V152" s="23" t="str">
        <f>IF(SUGERENCIAS!N381="SIN","Sin datos anteriores",IF(SUGERENCIAS!N381="SUBIR_F","^ SUBIR FUERTE | Kg:"&amp;ROUND(SUGERENCIAS!K381,1)&amp;" R:"&amp;ROUND(SUGERENCIAS!L381,0)&amp;" RIR:"&amp;ROUND(SUGERENCIAS!M381,0),IF(SUGERENCIAS!N381="SUBIR_E","^ SUBIR (Est.) | Kg:"&amp;ROUND(SUGERENCIAS!K381,1)&amp;" R:"&amp;ROUND(SUGERENCIAS!L381,0)&amp;" RIR:"&amp;ROUND(SUGERENCIAS!M381,0),IF(SUGERENCIAS!N381="SUBIR","^ SUBIR | Kg:"&amp;ROUND(SUGERENCIAS!K381,1)&amp;" R:"&amp;ROUND(SUGERENCIAS!L381,0)&amp;" RIR:"&amp;ROUND(SUGERENCIAS!M381,0),IF(SUGERENCIAS!N381="BAJAR","v BAJAR | Kg:"&amp;ROUND(SUGERENCIAS!K381,1)&amp;" R:"&amp;ROUND(SUGERENCIAS!L381,0)&amp;" RIR:"&amp;ROUND(SUGERENCIAS!M381,0),"= MANT | Kg:"&amp;ROUND(SUGERENCIAS!K381,1)&amp;" R:"&amp;ROUND(SUGERENCIAS!L381,0)&amp;" RIR:"&amp;ROUND(SUGERENCIAS!M381,0))))))</f>
        <v>Sin datos anteriores</v>
      </c>
      <c r="W152" s="69">
        <f>MAX(IF((G152&gt;0)*(IF(H152="",-1,H152)&gt;=0)*(IF(H152="",-1,H152)&lt;=1),IF(C152="peso_corporal",IF(ISNUMBER(E152),E152,0)+F152,F152)*G152*1000+F152,0),IF((J152&gt;0)*(IF(K152="",-1,K152)&gt;=0)*(IF(K152="",-1,K152)&lt;=1),IF(C152="peso_corporal",IF(ISNUMBER(E152),E152,0)+I152,I152)*J152*1000+I152,0),IF((M152&gt;0)*(IF(N152="",-1,N152)&gt;=0)*(IF(N152="",-1,N152)&lt;=1),IF(C152="peso_corporal",IF(ISNUMBER(E152),E152,0)+L152,L152)*M152*1000+L152,0),IF((P152&gt;0)*(IF(Q152="",-1,Q152)&gt;=0)*(IF(Q152="",-1,Q152)&lt;=1),IF(C152="peso_corporal",IF(ISNUMBER(E152),E152,0)+O152,O152)*P152*1000+O152,0),IF((S152&gt;0)*(IF(T152="",-1,T152)&gt;=0)*(IF(T152="",-1,T152)&lt;=1),IF(C152="peso_corporal",IF(ISNUMBER(E152),E152,0)+R152,R152)*S152*1000+R152,0))</f>
        <v>0</v>
      </c>
      <c r="X152" s="69">
        <f>IF(W152=0,0,IF(IF((S152&gt;0)*(IF(T152="",-1,T152)&gt;=0)*(IF(T152="",-1,T152)&lt;=1),IF(C152="peso_corporal",IF(ISNUMBER(E152),E152,0)+R152,R152)*S152*1000+R152,0)=W152,5,IF(IF((P152&gt;0)*(IF(Q152="",-1,Q152)&gt;=0)*(IF(Q152="",-1,Q152)&lt;=1),IF(C152="peso_corporal",IF(ISNUMBER(E152),E152,0)+O152,O152)*P152*1000+O152,0)=W152,4,IF(IF((M152&gt;0)*(IF(N152="",-1,N152)&gt;=0)*(IF(N152="",-1,N152)&lt;=1),IF(C152="peso_corporal",IF(ISNUMBER(E152),E152,0)+L152,L152)*M152*1000+L152,0)=W152,3,IF(IF((J152&gt;0)*(IF(K152="",-1,K152)&gt;=0)*(IF(K152="",-1,K152)&lt;=1),IF(C152="peso_corporal",IF(ISNUMBER(E152),E152,0)+I152,I152)*J152*1000+I152,0)=W152,2,IF(IF((G152&gt;0)*(IF(H152="",-1,H152)&gt;=0)*(IF(H152="",-1,H152)&lt;=1),IF(C152="peso_corporal",IF(ISNUMBER(E152),E152,0)+F152,F152)*G152*1000+F152,0)=W152,1,0))))))</f>
        <v>0</v>
      </c>
      <c r="Y152" s="69">
        <f>MAX(IF((G152&gt;0)*(IF(H152="",-1,H152)=0)*(1-(IF(H152="",-1,H152)&gt;=0)*(IF(H152="",-1,H152)&lt;=1)),IF(C152="peso_corporal",IF(ISNUMBER(E152),E152,0)+F152,F152)*G152*1000+F152,0),IF((J152&gt;0)*(IF(K152="",-1,K152)=0)*(1-(IF(K152="",-1,K152)&gt;=0)*(IF(K152="",-1,K152)&lt;=1)),IF(C152="peso_corporal",IF(ISNUMBER(E152),E152,0)+I152,I152)*J152*1000+I152,0),IF((M152&gt;0)*(IF(N152="",-1,N152)=0)*(1-(IF(N152="",-1,N152)&gt;=0)*(IF(N152="",-1,N152)&lt;=1)),IF(C152="peso_corporal",IF(ISNUMBER(E152),E152,0)+L152,L152)*M152*1000+L152,0),IF((P152&gt;0)*(IF(Q152="",-1,Q152)=0)*(1-(IF(Q152="",-1,Q152)&gt;=0)*(IF(Q152="",-1,Q152)&lt;=1)),IF(C152="peso_corporal",IF(ISNUMBER(E152),E152,0)+O152,O152)*P152*1000+O152,0),IF((S152&gt;0)*(IF(T152="",-1,T152)=0)*(1-(IF(T152="",-1,T152)&gt;=0)*(IF(T152="",-1,T152)&lt;=1)),IF(C152="peso_corporal",IF(ISNUMBER(E152),E152,0)+R152,R152)*S152*1000+R152,0))</f>
        <v>0</v>
      </c>
      <c r="Z152" s="69">
        <f>IF(Y152=0,0,IF(IF((S152&gt;0)*(IF(T152="",-1,T152)=0)*(1-(IF(T152="",-1,T152)&gt;=0)*(IF(T152="",-1,T152)&lt;=1)),IF(C152="peso_corporal",IF(ISNUMBER(E152),E152,0)+R152,R152)*S152*1000+R152,0)=Y152,5,IF(IF((P152&gt;0)*(IF(Q152="",-1,Q152)=0)*(1-(IF(Q152="",-1,Q152)&gt;=0)*(IF(Q152="",-1,Q152)&lt;=1)),IF(C152="peso_corporal",IF(ISNUMBER(E152),E152,0)+O152,O152)*P152*1000+O152,0)=Y152,4,IF(IF((M152&gt;0)*(IF(N152="",-1,N152)=0)*(1-(IF(N152="",-1,N152)&gt;=0)*(IF(N152="",-1,N152)&lt;=1)),IF(C152="peso_corporal",IF(ISNUMBER(E152),E152,0)+L152,L152)*M152*1000+L152,0)=Y152,3,IF(IF((J152&gt;0)*(IF(K152="",-1,K152)=0)*(1-(IF(K152="",-1,K152)&gt;=0)*(IF(K152="",-1,K152)&lt;=1)),IF(C152="peso_corporal",IF(ISNUMBER(E152),E152,0)+I152,I152)*J152*1000+I152,0)=Y152,2,IF(IF((G152&gt;0)*(IF(H152="",-1,H152)=0)*(1-(IF(H152="",-1,H152)&gt;=0)*(IF(H152="",-1,H152)&lt;=1)),IF(C152="peso_corporal",IF(ISNUMBER(E152),E152,0)+F152,F152)*G152*1000+F152,0)=Y152,1,0))))))</f>
        <v>0</v>
      </c>
      <c r="AA152" s="69">
        <f>MAX(IF((G152&gt;=3)*(1-(IF(H152="",-1,H152)&gt;=0)*(IF(H152="",-1,H152)&lt;=1))*(1-(IF(H152="",-1,H152)=0)),IF(C152="peso_corporal",IF(ISNUMBER(E152),E152,0)+F152,F152)*(30+G152)*100+F152,0),IF((J152&gt;=3)*(1-(IF(K152="",-1,K152)&gt;=0)*(IF(K152="",-1,K152)&lt;=1))*(1-(IF(K152="",-1,K152)=0)),IF(C152="peso_corporal",IF(ISNUMBER(E152),E152,0)+I152,I152)*(30+J152)*100+I152,0),IF((M152&gt;=3)*(1-(IF(N152="",-1,N152)&gt;=0)*(IF(N152="",-1,N152)&lt;=1))*(1-(IF(N152="",-1,N152)=0)),IF(C152="peso_corporal",IF(ISNUMBER(E152),E152,0)+L152,L152)*(30+M152)*100+L152,0),IF((P152&gt;=3)*(1-(IF(Q152="",-1,Q152)&gt;=0)*(IF(Q152="",-1,Q152)&lt;=1))*(1-(IF(Q152="",-1,Q152)=0)),IF(C152="peso_corporal",IF(ISNUMBER(E152),E152,0)+O152,O152)*(30+P152)*100+O152,0),IF((S152&gt;=3)*(1-(IF(T152="",-1,T152)&gt;=0)*(IF(T152="",-1,T152)&lt;=1))*(1-(IF(T152="",-1,T152)=0)),IF(C152="peso_corporal",IF(ISNUMBER(E152),E152,0)+R152,R152)*(30+S152)*100+R152,0))</f>
        <v>0</v>
      </c>
      <c r="AB152" s="69">
        <f>IF(AA152=0,0,IF(IF((S152&gt;=3)*(1-(IF(T152="",-1,T152)&gt;=0)*(IF(T152="",-1,T152)&lt;=1))*(1-(IF(T152="",-1,T152)=0)),IF(C152="peso_corporal",IF(ISNUMBER(E152),E152,0)+R152,R152)*(30+S152)*100+R152,0)=AA152,5,IF(IF((P152&gt;=3)*(1-(IF(Q152="",-1,Q152)&gt;=0)*(IF(Q152="",-1,Q152)&lt;=1))*(1-(IF(Q152="",-1,Q152)=0)),IF(C152="peso_corporal",IF(ISNUMBER(E152),E152,0)+O152,O152)*(30+P152)*100+O152,0)=AA152,4,IF(IF((M152&gt;=3)*(1-(IF(N152="",-1,N152)&gt;=0)*(IF(N152="",-1,N152)&lt;=1))*(1-(IF(N152="",-1,N152)=0)),IF(C152="peso_corporal",IF(ISNUMBER(E152),E152,0)+L152,L152)*(30+M152)*100+L152,0)=AA152,3,IF(IF((J152&gt;=3)*(1-(IF(K152="",-1,K152)&gt;=0)*(IF(K152="",-1,K152)&lt;=1))*(1-(IF(K152="",-1,K152)=0)),IF(C152="peso_corporal",IF(ISNUMBER(E152),E152,0)+I152,I152)*(30+J152)*100+I152,0)=AA152,2,IF(IF((G152&gt;=3)*(1-(IF(H152="",-1,H152)&gt;=0)*(IF(H152="",-1,H152)&lt;=1))*(1-(IF(H152="",-1,H152)=0)),IF(C152="peso_corporal",IF(ISNUMBER(E152),E152,0)+F152,F152)*(30+G152)*100+F152,0)=AA152,1,0))))))</f>
        <v>0</v>
      </c>
      <c r="AC152" s="69" t="str">
        <f>IF(X152&gt;0,"A"&amp;X152,IF(Z152&gt;0,"B"&amp;Z152,IF(AB152&gt;0,"C"&amp;AB152,"")))</f>
        <v/>
      </c>
    </row>
    <row r="153" spans="1:29" ht="6"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69"/>
      <c r="X153" s="69"/>
      <c r="Y153" s="69"/>
      <c r="Z153" s="69"/>
      <c r="AA153" s="69"/>
      <c r="AB153" s="69"/>
      <c r="AC153" s="69"/>
    </row>
    <row r="154" spans="1:29" ht="18" customHeight="1">
      <c r="A154" s="85" t="s">
        <v>72</v>
      </c>
      <c r="B154" s="73"/>
      <c r="C154" s="73"/>
      <c r="D154" s="73"/>
      <c r="E154" s="73"/>
      <c r="F154" s="73"/>
      <c r="G154" s="73"/>
      <c r="H154" s="73"/>
      <c r="I154" s="73"/>
      <c r="J154" s="73"/>
      <c r="K154" s="73"/>
      <c r="L154" s="73"/>
      <c r="M154" s="73"/>
      <c r="N154" s="73"/>
      <c r="O154" s="73"/>
      <c r="P154" s="73"/>
      <c r="Q154" s="73"/>
      <c r="R154" s="73"/>
      <c r="S154" s="73"/>
      <c r="T154" s="73"/>
      <c r="U154" s="73"/>
      <c r="V154" s="73"/>
      <c r="W154" s="69"/>
      <c r="X154" s="69"/>
      <c r="Y154" s="69"/>
      <c r="Z154" s="69"/>
      <c r="AA154" s="69"/>
      <c r="AB154" s="69"/>
      <c r="AC154" s="69"/>
    </row>
    <row r="155" spans="1:29" ht="15" customHeight="1">
      <c r="A155" s="75" t="s">
        <v>88</v>
      </c>
      <c r="B155" s="73"/>
      <c r="C155" s="73"/>
      <c r="D155" s="73"/>
      <c r="E155" s="73"/>
      <c r="F155" s="73"/>
      <c r="G155" s="73"/>
      <c r="H155" s="73"/>
      <c r="I155" s="73"/>
      <c r="J155" s="73"/>
      <c r="K155" s="73"/>
      <c r="L155" s="73"/>
      <c r="M155" s="73"/>
      <c r="N155" s="73"/>
      <c r="O155" s="73"/>
      <c r="P155" s="73"/>
      <c r="Q155" s="73"/>
      <c r="R155" s="73"/>
      <c r="S155" s="73"/>
      <c r="T155" s="73"/>
      <c r="U155" s="73"/>
      <c r="V155" s="73"/>
      <c r="W155" s="69"/>
      <c r="X155" s="69"/>
      <c r="Y155" s="69"/>
      <c r="Z155" s="69"/>
      <c r="AA155" s="69"/>
      <c r="AB155" s="69"/>
      <c r="AC155" s="69"/>
    </row>
    <row r="156" spans="1:29" ht="11.1" customHeight="1">
      <c r="A156" s="76" t="s">
        <v>89</v>
      </c>
      <c r="B156" s="73"/>
      <c r="C156" s="73"/>
      <c r="D156" s="73"/>
      <c r="E156" s="73"/>
      <c r="F156" s="73"/>
      <c r="G156" s="73"/>
      <c r="H156" s="73"/>
      <c r="I156" s="73"/>
      <c r="J156" s="73"/>
      <c r="K156" s="73"/>
      <c r="L156" s="73"/>
      <c r="M156" s="73"/>
      <c r="N156" s="73"/>
      <c r="O156" s="73"/>
      <c r="P156" s="73"/>
      <c r="Q156" s="73"/>
      <c r="R156" s="73"/>
      <c r="S156" s="73"/>
      <c r="T156" s="73"/>
      <c r="U156" s="73"/>
      <c r="V156" s="73"/>
      <c r="W156" s="69"/>
      <c r="X156" s="69"/>
      <c r="Y156" s="69"/>
      <c r="Z156" s="69"/>
      <c r="AA156" s="69"/>
      <c r="AB156" s="69"/>
      <c r="AC156" s="69"/>
    </row>
    <row r="157" spans="1:29" ht="20.100000000000001" customHeight="1">
      <c r="A157" s="14" t="s">
        <v>92</v>
      </c>
      <c r="B157" s="15" t="s">
        <v>108</v>
      </c>
      <c r="C157" s="16" t="str">
        <f>IFERROR(INDEX(EJERCICIOS!$D$3:$D$75,MATCH(A157&amp;"|"&amp;B157,EJERCICIOS!$G$3:$G$75,0)),"--")</f>
        <v>polea</v>
      </c>
      <c r="D157" s="17">
        <v>3</v>
      </c>
      <c r="E157" s="18">
        <f>IFERROR(LOOKUP(2,1/(MEDIDAS_Y_PESO!$B$3:$B$9&lt;&gt;""),MEDIDAS_Y_PESO!$B$3:$B$9),"--")</f>
        <v>80</v>
      </c>
      <c r="F157" s="19"/>
      <c r="G157" s="20"/>
      <c r="H157" s="21"/>
      <c r="I157" s="19"/>
      <c r="J157" s="20"/>
      <c r="K157" s="21"/>
      <c r="L157" s="19"/>
      <c r="M157" s="20"/>
      <c r="N157" s="21"/>
      <c r="O157" s="19"/>
      <c r="P157" s="20"/>
      <c r="Q157" s="21"/>
      <c r="R157" s="19"/>
      <c r="S157" s="20"/>
      <c r="T157" s="21"/>
      <c r="U157" s="22" t="str">
        <f>IFERROR(IF(IF(X157&gt;0,X157,IF(Z157&gt;0,Z157,IF(AB157&gt;0,AB157,0)))=0,"--",ROUND(CHOOSE(IF(X157&gt;0,X157,IF(Z157&gt;0,Z157,IF(AB157&gt;0,AB157,0))),IF(C157="peso_corporal",IF(ISNUMBER(E157),E157,0)+F157,F157)*(1+G157/30),IF(C157="peso_corporal",IF(ISNUMBER(E157),E157,0)+I157,I157)*(1+J157/30),IF(C157="peso_corporal",IF(ISNUMBER(E157),E157,0)+L157,L157)*(1+M157/30),IF(C157="peso_corporal",IF(ISNUMBER(E157),E157,0)+O157,O157)*(1+P157/30),IF(C157="peso_corporal",IF(ISNUMBER(E157),E157,0)+R157,R157)*(1+S157/30)),1)),"--")</f>
        <v>--</v>
      </c>
      <c r="V157" s="23" t="str">
        <f>IF(SUGERENCIAS!N432="SIN","Sin datos anteriores",IF(SUGERENCIAS!N432="SUBIR_F","^ SUBIR FUERTE | Kg:"&amp;ROUND(SUGERENCIAS!K432,1)&amp;" R:"&amp;ROUND(SUGERENCIAS!L432,0)&amp;" RIR:"&amp;ROUND(SUGERENCIAS!M432,0),IF(SUGERENCIAS!N432="SUBIR_E","^ SUBIR (Est.) | Kg:"&amp;ROUND(SUGERENCIAS!K432,1)&amp;" R:"&amp;ROUND(SUGERENCIAS!L432,0)&amp;" RIR:"&amp;ROUND(SUGERENCIAS!M432,0),IF(SUGERENCIAS!N432="SUBIR","^ SUBIR | Kg:"&amp;ROUND(SUGERENCIAS!K432,1)&amp;" R:"&amp;ROUND(SUGERENCIAS!L432,0)&amp;" RIR:"&amp;ROUND(SUGERENCIAS!M432,0),IF(SUGERENCIAS!N432="BAJAR","v BAJAR | Kg:"&amp;ROUND(SUGERENCIAS!K432,1)&amp;" R:"&amp;ROUND(SUGERENCIAS!L432,0)&amp;" RIR:"&amp;ROUND(SUGERENCIAS!M432,0),"= MANT | Kg:"&amp;ROUND(SUGERENCIAS!K432,1)&amp;" R:"&amp;ROUND(SUGERENCIAS!L432,0)&amp;" RIR:"&amp;ROUND(SUGERENCIAS!M432,0))))))</f>
        <v>Sin datos anteriores</v>
      </c>
      <c r="W157" s="69">
        <f>MAX(IF((G157&gt;0)*(IF(H157="",-1,H157)&gt;=1)*(IF(H157="",-1,H157)&lt;=3),IF(C157="peso_corporal",IF(ISNUMBER(E157),E157,0)+F157,F157)*G157*1000+F157,0),IF((J157&gt;0)*(IF(K157="",-1,K157)&gt;=1)*(IF(K157="",-1,K157)&lt;=3),IF(C157="peso_corporal",IF(ISNUMBER(E157),E157,0)+I157,I157)*J157*1000+I157,0),IF((M157&gt;0)*(IF(N157="",-1,N157)&gt;=1)*(IF(N157="",-1,N157)&lt;=3),IF(C157="peso_corporal",IF(ISNUMBER(E157),E157,0)+L157,L157)*M157*1000+L157,0),IF((P157&gt;0)*(IF(Q157="",-1,Q157)&gt;=1)*(IF(Q157="",-1,Q157)&lt;=3),IF(C157="peso_corporal",IF(ISNUMBER(E157),E157,0)+O157,O157)*P157*1000+O157,0),IF((S157&gt;0)*(IF(T157="",-1,T157)&gt;=1)*(IF(T157="",-1,T157)&lt;=3),IF(C157="peso_corporal",IF(ISNUMBER(E157),E157,0)+R157,R157)*S157*1000+R157,0))</f>
        <v>0</v>
      </c>
      <c r="X157" s="69">
        <f>IF(W157=0,0,IF(IF((S157&gt;0)*(IF(T157="",-1,T157)&gt;=1)*(IF(T157="",-1,T157)&lt;=3),IF(C157="peso_corporal",IF(ISNUMBER(E157),E157,0)+R157,R157)*S157*1000+R157,0)=W157,5,IF(IF((P157&gt;0)*(IF(Q157="",-1,Q157)&gt;=1)*(IF(Q157="",-1,Q157)&lt;=3),IF(C157="peso_corporal",IF(ISNUMBER(E157),E157,0)+O157,O157)*P157*1000+O157,0)=W157,4,IF(IF((M157&gt;0)*(IF(N157="",-1,N157)&gt;=1)*(IF(N157="",-1,N157)&lt;=3),IF(C157="peso_corporal",IF(ISNUMBER(E157),E157,0)+L157,L157)*M157*1000+L157,0)=W157,3,IF(IF((J157&gt;0)*(IF(K157="",-1,K157)&gt;=1)*(IF(K157="",-1,K157)&lt;=3),IF(C157="peso_corporal",IF(ISNUMBER(E157),E157,0)+I157,I157)*J157*1000+I157,0)=W157,2,IF(IF((G157&gt;0)*(IF(H157="",-1,H157)&gt;=1)*(IF(H157="",-1,H157)&lt;=3),IF(C157="peso_corporal",IF(ISNUMBER(E157),E157,0)+F157,F157)*G157*1000+F157,0)=W157,1,0))))))</f>
        <v>0</v>
      </c>
      <c r="Y157" s="69">
        <f>MAX(IF((G157&gt;0)*(IF(H157="",-1,H157)=0)*(1-(IF(H157="",-1,H157)&gt;=1)*(IF(H157="",-1,H157)&lt;=3)),IF(C157="peso_corporal",IF(ISNUMBER(E157),E157,0)+F157,F157)*G157*1000+F157,0),IF((J157&gt;0)*(IF(K157="",-1,K157)=0)*(1-(IF(K157="",-1,K157)&gt;=1)*(IF(K157="",-1,K157)&lt;=3)),IF(C157="peso_corporal",IF(ISNUMBER(E157),E157,0)+I157,I157)*J157*1000+I157,0),IF((M157&gt;0)*(IF(N157="",-1,N157)=0)*(1-(IF(N157="",-1,N157)&gt;=1)*(IF(N157="",-1,N157)&lt;=3)),IF(C157="peso_corporal",IF(ISNUMBER(E157),E157,0)+L157,L157)*M157*1000+L157,0),IF((P157&gt;0)*(IF(Q157="",-1,Q157)=0)*(1-(IF(Q157="",-1,Q157)&gt;=1)*(IF(Q157="",-1,Q157)&lt;=3)),IF(C157="peso_corporal",IF(ISNUMBER(E157),E157,0)+O157,O157)*P157*1000+O157,0),IF((S157&gt;0)*(IF(T157="",-1,T157)=0)*(1-(IF(T157="",-1,T157)&gt;=1)*(IF(T157="",-1,T157)&lt;=3)),IF(C157="peso_corporal",IF(ISNUMBER(E157),E157,0)+R157,R157)*S157*1000+R157,0))</f>
        <v>0</v>
      </c>
      <c r="Z157" s="69">
        <f>IF(Y157=0,0,IF(IF((S157&gt;0)*(IF(T157="",-1,T157)=0)*(1-(IF(T157="",-1,T157)&gt;=1)*(IF(T157="",-1,T157)&lt;=3)),IF(C157="peso_corporal",IF(ISNUMBER(E157),E157,0)+R157,R157)*S157*1000+R157,0)=Y157,5,IF(IF((P157&gt;0)*(IF(Q157="",-1,Q157)=0)*(1-(IF(Q157="",-1,Q157)&gt;=1)*(IF(Q157="",-1,Q157)&lt;=3)),IF(C157="peso_corporal",IF(ISNUMBER(E157),E157,0)+O157,O157)*P157*1000+O157,0)=Y157,4,IF(IF((M157&gt;0)*(IF(N157="",-1,N157)=0)*(1-(IF(N157="",-1,N157)&gt;=1)*(IF(N157="",-1,N157)&lt;=3)),IF(C157="peso_corporal",IF(ISNUMBER(E157),E157,0)+L157,L157)*M157*1000+L157,0)=Y157,3,IF(IF((J157&gt;0)*(IF(K157="",-1,K157)=0)*(1-(IF(K157="",-1,K157)&gt;=1)*(IF(K157="",-1,K157)&lt;=3)),IF(C157="peso_corporal",IF(ISNUMBER(E157),E157,0)+I157,I157)*J157*1000+I157,0)=Y157,2,IF(IF((G157&gt;0)*(IF(H157="",-1,H157)=0)*(1-(IF(H157="",-1,H157)&gt;=1)*(IF(H157="",-1,H157)&lt;=3)),IF(C157="peso_corporal",IF(ISNUMBER(E157),E157,0)+F157,F157)*G157*1000+F157,0)=Y157,1,0))))))</f>
        <v>0</v>
      </c>
      <c r="AA157" s="69">
        <f>MAX(IF((G157&gt;=6)*(1-(IF(H157="",-1,H157)&gt;=1)*(IF(H157="",-1,H157)&lt;=3))*(1-(IF(H157="",-1,H157)=0)),IF(C157="peso_corporal",IF(ISNUMBER(E157),E157,0)+F157,F157)*(30+G157)*100+F157,0),IF((J157&gt;=6)*(1-(IF(K157="",-1,K157)&gt;=1)*(IF(K157="",-1,K157)&lt;=3))*(1-(IF(K157="",-1,K157)=0)),IF(C157="peso_corporal",IF(ISNUMBER(E157),E157,0)+I157,I157)*(30+J157)*100+I157,0),IF((M157&gt;=6)*(1-(IF(N157="",-1,N157)&gt;=1)*(IF(N157="",-1,N157)&lt;=3))*(1-(IF(N157="",-1,N157)=0)),IF(C157="peso_corporal",IF(ISNUMBER(E157),E157,0)+L157,L157)*(30+M157)*100+L157,0),IF((P157&gt;=6)*(1-(IF(Q157="",-1,Q157)&gt;=1)*(IF(Q157="",-1,Q157)&lt;=3))*(1-(IF(Q157="",-1,Q157)=0)),IF(C157="peso_corporal",IF(ISNUMBER(E157),E157,0)+O157,O157)*(30+P157)*100+O157,0),IF((S157&gt;=6)*(1-(IF(T157="",-1,T157)&gt;=1)*(IF(T157="",-1,T157)&lt;=3))*(1-(IF(T157="",-1,T157)=0)),IF(C157="peso_corporal",IF(ISNUMBER(E157),E157,0)+R157,R157)*(30+S157)*100+R157,0))</f>
        <v>0</v>
      </c>
      <c r="AB157" s="69">
        <f>IF(AA157=0,0,IF(IF((S157&gt;=6)*(1-(IF(T157="",-1,T157)&gt;=1)*(IF(T157="",-1,T157)&lt;=3))*(1-(IF(T157="",-1,T157)=0)),IF(C157="peso_corporal",IF(ISNUMBER(E157),E157,0)+R157,R157)*(30+S157)*100+R157,0)=AA157,5,IF(IF((P157&gt;=6)*(1-(IF(Q157="",-1,Q157)&gt;=1)*(IF(Q157="",-1,Q157)&lt;=3))*(1-(IF(Q157="",-1,Q157)=0)),IF(C157="peso_corporal",IF(ISNUMBER(E157),E157,0)+O157,O157)*(30+P157)*100+O157,0)=AA157,4,IF(IF((M157&gt;=6)*(1-(IF(N157="",-1,N157)&gt;=1)*(IF(N157="",-1,N157)&lt;=3))*(1-(IF(N157="",-1,N157)=0)),IF(C157="peso_corporal",IF(ISNUMBER(E157),E157,0)+L157,L157)*(30+M157)*100+L157,0)=AA157,3,IF(IF((J157&gt;=6)*(1-(IF(K157="",-1,K157)&gt;=1)*(IF(K157="",-1,K157)&lt;=3))*(1-(IF(K157="",-1,K157)=0)),IF(C157="peso_corporal",IF(ISNUMBER(E157),E157,0)+I157,I157)*(30+J157)*100+I157,0)=AA157,2,IF(IF((G157&gt;=6)*(1-(IF(H157="",-1,H157)&gt;=1)*(IF(H157="",-1,H157)&lt;=3))*(1-(IF(H157="",-1,H157)=0)),IF(C157="peso_corporal",IF(ISNUMBER(E157),E157,0)+F157,F157)*(30+G157)*100+F157,0)=AA157,1,0))))))</f>
        <v>0</v>
      </c>
      <c r="AC157" s="69" t="str">
        <f>IF(X157&gt;0,"A"&amp;X157,IF(Z157&gt;0,"B"&amp;Z157,IF(AB157&gt;0,"C"&amp;AB157,"")))</f>
        <v/>
      </c>
    </row>
    <row r="158" spans="1:29" ht="11.1" customHeight="1">
      <c r="A158" s="84" t="s">
        <v>94</v>
      </c>
      <c r="B158" s="73"/>
      <c r="C158" s="73"/>
      <c r="D158" s="73"/>
      <c r="E158" s="73"/>
      <c r="F158" s="73"/>
      <c r="G158" s="73"/>
      <c r="H158" s="73"/>
      <c r="I158" s="73"/>
      <c r="J158" s="73"/>
      <c r="K158" s="73"/>
      <c r="L158" s="73"/>
      <c r="M158" s="73"/>
      <c r="N158" s="73"/>
      <c r="O158" s="73"/>
      <c r="P158" s="73"/>
      <c r="Q158" s="73"/>
      <c r="R158" s="73"/>
      <c r="S158" s="73"/>
      <c r="T158" s="73"/>
      <c r="U158" s="73"/>
      <c r="V158" s="73"/>
      <c r="W158" s="69"/>
      <c r="X158" s="69"/>
      <c r="Y158" s="69"/>
      <c r="Z158" s="69"/>
      <c r="AA158" s="69"/>
      <c r="AB158" s="69"/>
      <c r="AC158" s="69"/>
    </row>
    <row r="159" spans="1:29" ht="20.100000000000001" customHeight="1">
      <c r="A159" s="14" t="s">
        <v>95</v>
      </c>
      <c r="B159" s="15" t="s">
        <v>172</v>
      </c>
      <c r="C159" s="16" t="str">
        <f>IFERROR(INDEX(EJERCICIOS!$D$3:$D$75,MATCH(A159&amp;"|"&amp;B159,EJERCICIOS!$G$3:$G$75,0)),"--")</f>
        <v>polea</v>
      </c>
      <c r="D159" s="17">
        <v>3</v>
      </c>
      <c r="E159" s="18">
        <f>IFERROR(LOOKUP(2,1/(MEDIDAS_Y_PESO!$B$3:$B$9&lt;&gt;""),MEDIDAS_Y_PESO!$B$3:$B$9),"--")</f>
        <v>80</v>
      </c>
      <c r="F159" s="19"/>
      <c r="G159" s="20"/>
      <c r="H159" s="21"/>
      <c r="I159" s="19"/>
      <c r="J159" s="20"/>
      <c r="K159" s="21"/>
      <c r="L159" s="19"/>
      <c r="M159" s="20"/>
      <c r="N159" s="21"/>
      <c r="O159" s="19"/>
      <c r="P159" s="20"/>
      <c r="Q159" s="21"/>
      <c r="R159" s="19"/>
      <c r="S159" s="20"/>
      <c r="T159" s="21"/>
      <c r="U159" s="22" t="str">
        <f>IFERROR(IF(IF(X159&gt;0,X159,IF(Z159&gt;0,Z159,IF(AB159&gt;0,AB159,0)))=0,"--",ROUND(CHOOSE(IF(X159&gt;0,X159,IF(Z159&gt;0,Z159,IF(AB159&gt;0,AB159,0))),IF(C159="peso_corporal",IF(ISNUMBER(E159),E159,0)+F159,F159)*(1+G159/30),IF(C159="peso_corporal",IF(ISNUMBER(E159),E159,0)+I159,I159)*(1+J159/30),IF(C159="peso_corporal",IF(ISNUMBER(E159),E159,0)+L159,L159)*(1+M159/30),IF(C159="peso_corporal",IF(ISNUMBER(E159),E159,0)+O159,O159)*(1+P159/30),IF(C159="peso_corporal",IF(ISNUMBER(E159),E159,0)+R159,R159)*(1+S159/30)),1)),"--")</f>
        <v>--</v>
      </c>
      <c r="V159" s="23" t="str">
        <f>IF(SUGERENCIAS!N433="SIN","Sin datos anteriores",IF(SUGERENCIAS!N433="SUBIR_F","^ SUBIR FUERTE | Kg:"&amp;ROUND(SUGERENCIAS!K433,1)&amp;" R:"&amp;ROUND(SUGERENCIAS!L433,0)&amp;" RIR:"&amp;ROUND(SUGERENCIAS!M433,0),IF(SUGERENCIAS!N433="SUBIR_E","^ SUBIR (Est.) | Kg:"&amp;ROUND(SUGERENCIAS!K433,1)&amp;" R:"&amp;ROUND(SUGERENCIAS!L433,0)&amp;" RIR:"&amp;ROUND(SUGERENCIAS!M433,0),IF(SUGERENCIAS!N433="SUBIR","^ SUBIR | Kg:"&amp;ROUND(SUGERENCIAS!K433,1)&amp;" R:"&amp;ROUND(SUGERENCIAS!L433,0)&amp;" RIR:"&amp;ROUND(SUGERENCIAS!M433,0),IF(SUGERENCIAS!N433="BAJAR","v BAJAR | Kg:"&amp;ROUND(SUGERENCIAS!K433,1)&amp;" R:"&amp;ROUND(SUGERENCIAS!L433,0)&amp;" RIR:"&amp;ROUND(SUGERENCIAS!M433,0),"= MANT | Kg:"&amp;ROUND(SUGERENCIAS!K433,1)&amp;" R:"&amp;ROUND(SUGERENCIAS!L433,0)&amp;" RIR:"&amp;ROUND(SUGERENCIAS!M433,0))))))</f>
        <v>Sin datos anteriores</v>
      </c>
      <c r="W159" s="69">
        <f>MAX(IF((G159&gt;0)*(IF(H159="",-1,H159)&gt;=1)*(IF(H159="",-1,H159)&lt;=3),IF(C159="peso_corporal",IF(ISNUMBER(E159),E159,0)+F159,F159)*G159*1000+F159,0),IF((J159&gt;0)*(IF(K159="",-1,K159)&gt;=1)*(IF(K159="",-1,K159)&lt;=3),IF(C159="peso_corporal",IF(ISNUMBER(E159),E159,0)+I159,I159)*J159*1000+I159,0),IF((M159&gt;0)*(IF(N159="",-1,N159)&gt;=1)*(IF(N159="",-1,N159)&lt;=3),IF(C159="peso_corporal",IF(ISNUMBER(E159),E159,0)+L159,L159)*M159*1000+L159,0),IF((P159&gt;0)*(IF(Q159="",-1,Q159)&gt;=1)*(IF(Q159="",-1,Q159)&lt;=3),IF(C159="peso_corporal",IF(ISNUMBER(E159),E159,0)+O159,O159)*P159*1000+O159,0),IF((S159&gt;0)*(IF(T159="",-1,T159)&gt;=1)*(IF(T159="",-1,T159)&lt;=3),IF(C159="peso_corporal",IF(ISNUMBER(E159),E159,0)+R159,R159)*S159*1000+R159,0))</f>
        <v>0</v>
      </c>
      <c r="X159" s="69">
        <f>IF(W159=0,0,IF(IF((S159&gt;0)*(IF(T159="",-1,T159)&gt;=1)*(IF(T159="",-1,T159)&lt;=3),IF(C159="peso_corporal",IF(ISNUMBER(E159),E159,0)+R159,R159)*S159*1000+R159,0)=W159,5,IF(IF((P159&gt;0)*(IF(Q159="",-1,Q159)&gt;=1)*(IF(Q159="",-1,Q159)&lt;=3),IF(C159="peso_corporal",IF(ISNUMBER(E159),E159,0)+O159,O159)*P159*1000+O159,0)=W159,4,IF(IF((M159&gt;0)*(IF(N159="",-1,N159)&gt;=1)*(IF(N159="",-1,N159)&lt;=3),IF(C159="peso_corporal",IF(ISNUMBER(E159),E159,0)+L159,L159)*M159*1000+L159,0)=W159,3,IF(IF((J159&gt;0)*(IF(K159="",-1,K159)&gt;=1)*(IF(K159="",-1,K159)&lt;=3),IF(C159="peso_corporal",IF(ISNUMBER(E159),E159,0)+I159,I159)*J159*1000+I159,0)=W159,2,IF(IF((G159&gt;0)*(IF(H159="",-1,H159)&gt;=1)*(IF(H159="",-1,H159)&lt;=3),IF(C159="peso_corporal",IF(ISNUMBER(E159),E159,0)+F159,F159)*G159*1000+F159,0)=W159,1,0))))))</f>
        <v>0</v>
      </c>
      <c r="Y159" s="69">
        <f>MAX(IF((G159&gt;0)*(IF(H159="",-1,H159)=0)*(1-(IF(H159="",-1,H159)&gt;=1)*(IF(H159="",-1,H159)&lt;=3)),IF(C159="peso_corporal",IF(ISNUMBER(E159),E159,0)+F159,F159)*G159*1000+F159,0),IF((J159&gt;0)*(IF(K159="",-1,K159)=0)*(1-(IF(K159="",-1,K159)&gt;=1)*(IF(K159="",-1,K159)&lt;=3)),IF(C159="peso_corporal",IF(ISNUMBER(E159),E159,0)+I159,I159)*J159*1000+I159,0),IF((M159&gt;0)*(IF(N159="",-1,N159)=0)*(1-(IF(N159="",-1,N159)&gt;=1)*(IF(N159="",-1,N159)&lt;=3)),IF(C159="peso_corporal",IF(ISNUMBER(E159),E159,0)+L159,L159)*M159*1000+L159,0),IF((P159&gt;0)*(IF(Q159="",-1,Q159)=0)*(1-(IF(Q159="",-1,Q159)&gt;=1)*(IF(Q159="",-1,Q159)&lt;=3)),IF(C159="peso_corporal",IF(ISNUMBER(E159),E159,0)+O159,O159)*P159*1000+O159,0),IF((S159&gt;0)*(IF(T159="",-1,T159)=0)*(1-(IF(T159="",-1,T159)&gt;=1)*(IF(T159="",-1,T159)&lt;=3)),IF(C159="peso_corporal",IF(ISNUMBER(E159),E159,0)+R159,R159)*S159*1000+R159,0))</f>
        <v>0</v>
      </c>
      <c r="Z159" s="69">
        <f>IF(Y159=0,0,IF(IF((S159&gt;0)*(IF(T159="",-1,T159)=0)*(1-(IF(T159="",-1,T159)&gt;=1)*(IF(T159="",-1,T159)&lt;=3)),IF(C159="peso_corporal",IF(ISNUMBER(E159),E159,0)+R159,R159)*S159*1000+R159,0)=Y159,5,IF(IF((P159&gt;0)*(IF(Q159="",-1,Q159)=0)*(1-(IF(Q159="",-1,Q159)&gt;=1)*(IF(Q159="",-1,Q159)&lt;=3)),IF(C159="peso_corporal",IF(ISNUMBER(E159),E159,0)+O159,O159)*P159*1000+O159,0)=Y159,4,IF(IF((M159&gt;0)*(IF(N159="",-1,N159)=0)*(1-(IF(N159="",-1,N159)&gt;=1)*(IF(N159="",-1,N159)&lt;=3)),IF(C159="peso_corporal",IF(ISNUMBER(E159),E159,0)+L159,L159)*M159*1000+L159,0)=Y159,3,IF(IF((J159&gt;0)*(IF(K159="",-1,K159)=0)*(1-(IF(K159="",-1,K159)&gt;=1)*(IF(K159="",-1,K159)&lt;=3)),IF(C159="peso_corporal",IF(ISNUMBER(E159),E159,0)+I159,I159)*J159*1000+I159,0)=Y159,2,IF(IF((G159&gt;0)*(IF(H159="",-1,H159)=0)*(1-(IF(H159="",-1,H159)&gt;=1)*(IF(H159="",-1,H159)&lt;=3)),IF(C159="peso_corporal",IF(ISNUMBER(E159),E159,0)+F159,F159)*G159*1000+F159,0)=Y159,1,0))))))</f>
        <v>0</v>
      </c>
      <c r="AA159" s="69">
        <f>MAX(IF((G159&gt;=6)*(1-(IF(H159="",-1,H159)&gt;=1)*(IF(H159="",-1,H159)&lt;=3))*(1-(IF(H159="",-1,H159)=0)),IF(C159="peso_corporal",IF(ISNUMBER(E159),E159,0)+F159,F159)*(30+G159)*100+F159,0),IF((J159&gt;=6)*(1-(IF(K159="",-1,K159)&gt;=1)*(IF(K159="",-1,K159)&lt;=3))*(1-(IF(K159="",-1,K159)=0)),IF(C159="peso_corporal",IF(ISNUMBER(E159),E159,0)+I159,I159)*(30+J159)*100+I159,0),IF((M159&gt;=6)*(1-(IF(N159="",-1,N159)&gt;=1)*(IF(N159="",-1,N159)&lt;=3))*(1-(IF(N159="",-1,N159)=0)),IF(C159="peso_corporal",IF(ISNUMBER(E159),E159,0)+L159,L159)*(30+M159)*100+L159,0),IF((P159&gt;=6)*(1-(IF(Q159="",-1,Q159)&gt;=1)*(IF(Q159="",-1,Q159)&lt;=3))*(1-(IF(Q159="",-1,Q159)=0)),IF(C159="peso_corporal",IF(ISNUMBER(E159),E159,0)+O159,O159)*(30+P159)*100+O159,0),IF((S159&gt;=6)*(1-(IF(T159="",-1,T159)&gt;=1)*(IF(T159="",-1,T159)&lt;=3))*(1-(IF(T159="",-1,T159)=0)),IF(C159="peso_corporal",IF(ISNUMBER(E159),E159,0)+R159,R159)*(30+S159)*100+R159,0))</f>
        <v>0</v>
      </c>
      <c r="AB159" s="69">
        <f>IF(AA159=0,0,IF(IF((S159&gt;=6)*(1-(IF(T159="",-1,T159)&gt;=1)*(IF(T159="",-1,T159)&lt;=3))*(1-(IF(T159="",-1,T159)=0)),IF(C159="peso_corporal",IF(ISNUMBER(E159),E159,0)+R159,R159)*(30+S159)*100+R159,0)=AA159,5,IF(IF((P159&gt;=6)*(1-(IF(Q159="",-1,Q159)&gt;=1)*(IF(Q159="",-1,Q159)&lt;=3))*(1-(IF(Q159="",-1,Q159)=0)),IF(C159="peso_corporal",IF(ISNUMBER(E159),E159,0)+O159,O159)*(30+P159)*100+O159,0)=AA159,4,IF(IF((M159&gt;=6)*(1-(IF(N159="",-1,N159)&gt;=1)*(IF(N159="",-1,N159)&lt;=3))*(1-(IF(N159="",-1,N159)=0)),IF(C159="peso_corporal",IF(ISNUMBER(E159),E159,0)+L159,L159)*(30+M159)*100+L159,0)=AA159,3,IF(IF((J159&gt;=6)*(1-(IF(K159="",-1,K159)&gt;=1)*(IF(K159="",-1,K159)&lt;=3))*(1-(IF(K159="",-1,K159)=0)),IF(C159="peso_corporal",IF(ISNUMBER(E159),E159,0)+I159,I159)*(30+J159)*100+I159,0)=AA159,2,IF(IF((G159&gt;=6)*(1-(IF(H159="",-1,H159)&gt;=1)*(IF(H159="",-1,H159)&lt;=3))*(1-(IF(H159="",-1,H159)=0)),IF(C159="peso_corporal",IF(ISNUMBER(E159),E159,0)+F159,F159)*(30+G159)*100+F159,0)=AA159,1,0))))))</f>
        <v>0</v>
      </c>
      <c r="AC159" s="69" t="str">
        <f>IF(X159&gt;0,"A"&amp;X159,IF(Z159&gt;0,"B"&amp;Z159,IF(AB159&gt;0,"C"&amp;AB159,"")))</f>
        <v/>
      </c>
    </row>
    <row r="160" spans="1:29" ht="20.100000000000001" customHeight="1">
      <c r="A160" s="14" t="s">
        <v>95</v>
      </c>
      <c r="B160" s="15" t="s">
        <v>173</v>
      </c>
      <c r="C160" s="16" t="str">
        <f>IFERROR(INDEX(EJERCICIOS!$D$3:$D$75,MATCH(A160&amp;"|"&amp;B160,EJERCICIOS!$G$3:$G$75,0)),"--")</f>
        <v>polea</v>
      </c>
      <c r="D160" s="17">
        <v>3</v>
      </c>
      <c r="E160" s="18">
        <f>IFERROR(LOOKUP(2,1/(MEDIDAS_Y_PESO!$B$3:$B$9&lt;&gt;""),MEDIDAS_Y_PESO!$B$3:$B$9),"--")</f>
        <v>80</v>
      </c>
      <c r="F160" s="19"/>
      <c r="G160" s="20"/>
      <c r="H160" s="21"/>
      <c r="I160" s="19"/>
      <c r="J160" s="20"/>
      <c r="K160" s="21"/>
      <c r="L160" s="19"/>
      <c r="M160" s="20"/>
      <c r="N160" s="21"/>
      <c r="O160" s="19"/>
      <c r="P160" s="20"/>
      <c r="Q160" s="21"/>
      <c r="R160" s="19"/>
      <c r="S160" s="20"/>
      <c r="T160" s="21"/>
      <c r="U160" s="22" t="str">
        <f>IFERROR(IF(IF(X160&gt;0,X160,IF(Z160&gt;0,Z160,IF(AB160&gt;0,AB160,0)))=0,"--",ROUND(CHOOSE(IF(X160&gt;0,X160,IF(Z160&gt;0,Z160,IF(AB160&gt;0,AB160,0))),IF(C160="peso_corporal",IF(ISNUMBER(E160),E160,0)+F160,F160)*(1+G160/30),IF(C160="peso_corporal",IF(ISNUMBER(E160),E160,0)+I160,I160)*(1+J160/30),IF(C160="peso_corporal",IF(ISNUMBER(E160),E160,0)+L160,L160)*(1+M160/30),IF(C160="peso_corporal",IF(ISNUMBER(E160),E160,0)+O160,O160)*(1+P160/30),IF(C160="peso_corporal",IF(ISNUMBER(E160),E160,0)+R160,R160)*(1+S160/30)),1)),"--")</f>
        <v>--</v>
      </c>
      <c r="V160" s="23" t="str">
        <f>IF(SUGERENCIAS!N434="SIN","Sin datos anteriores",IF(SUGERENCIAS!N434="SUBIR_F","^ SUBIR FUERTE | Kg:"&amp;ROUND(SUGERENCIAS!K434,1)&amp;" R:"&amp;ROUND(SUGERENCIAS!L434,0)&amp;" RIR:"&amp;ROUND(SUGERENCIAS!M434,0),IF(SUGERENCIAS!N434="SUBIR_E","^ SUBIR (Est.) | Kg:"&amp;ROUND(SUGERENCIAS!K434,1)&amp;" R:"&amp;ROUND(SUGERENCIAS!L434,0)&amp;" RIR:"&amp;ROUND(SUGERENCIAS!M434,0),IF(SUGERENCIAS!N434="SUBIR","^ SUBIR | Kg:"&amp;ROUND(SUGERENCIAS!K434,1)&amp;" R:"&amp;ROUND(SUGERENCIAS!L434,0)&amp;" RIR:"&amp;ROUND(SUGERENCIAS!M434,0),IF(SUGERENCIAS!N434="BAJAR","v BAJAR | Kg:"&amp;ROUND(SUGERENCIAS!K434,1)&amp;" R:"&amp;ROUND(SUGERENCIAS!L434,0)&amp;" RIR:"&amp;ROUND(SUGERENCIAS!M434,0),"= MANT | Kg:"&amp;ROUND(SUGERENCIAS!K434,1)&amp;" R:"&amp;ROUND(SUGERENCIAS!L434,0)&amp;" RIR:"&amp;ROUND(SUGERENCIAS!M434,0))))))</f>
        <v>Sin datos anteriores</v>
      </c>
      <c r="W160" s="69">
        <f>MAX(IF((G160&gt;0)*(IF(H160="",-1,H160)&gt;=1)*(IF(H160="",-1,H160)&lt;=3),IF(C160="peso_corporal",IF(ISNUMBER(E160),E160,0)+F160,F160)*G160*1000+F160,0),IF((J160&gt;0)*(IF(K160="",-1,K160)&gt;=1)*(IF(K160="",-1,K160)&lt;=3),IF(C160="peso_corporal",IF(ISNUMBER(E160),E160,0)+I160,I160)*J160*1000+I160,0),IF((M160&gt;0)*(IF(N160="",-1,N160)&gt;=1)*(IF(N160="",-1,N160)&lt;=3),IF(C160="peso_corporal",IF(ISNUMBER(E160),E160,0)+L160,L160)*M160*1000+L160,0),IF((P160&gt;0)*(IF(Q160="",-1,Q160)&gt;=1)*(IF(Q160="",-1,Q160)&lt;=3),IF(C160="peso_corporal",IF(ISNUMBER(E160),E160,0)+O160,O160)*P160*1000+O160,0),IF((S160&gt;0)*(IF(T160="",-1,T160)&gt;=1)*(IF(T160="",-1,T160)&lt;=3),IF(C160="peso_corporal",IF(ISNUMBER(E160),E160,0)+R160,R160)*S160*1000+R160,0))</f>
        <v>0</v>
      </c>
      <c r="X160" s="69">
        <f>IF(W160=0,0,IF(IF((S160&gt;0)*(IF(T160="",-1,T160)&gt;=1)*(IF(T160="",-1,T160)&lt;=3),IF(C160="peso_corporal",IF(ISNUMBER(E160),E160,0)+R160,R160)*S160*1000+R160,0)=W160,5,IF(IF((P160&gt;0)*(IF(Q160="",-1,Q160)&gt;=1)*(IF(Q160="",-1,Q160)&lt;=3),IF(C160="peso_corporal",IF(ISNUMBER(E160),E160,0)+O160,O160)*P160*1000+O160,0)=W160,4,IF(IF((M160&gt;0)*(IF(N160="",-1,N160)&gt;=1)*(IF(N160="",-1,N160)&lt;=3),IF(C160="peso_corporal",IF(ISNUMBER(E160),E160,0)+L160,L160)*M160*1000+L160,0)=W160,3,IF(IF((J160&gt;0)*(IF(K160="",-1,K160)&gt;=1)*(IF(K160="",-1,K160)&lt;=3),IF(C160="peso_corporal",IF(ISNUMBER(E160),E160,0)+I160,I160)*J160*1000+I160,0)=W160,2,IF(IF((G160&gt;0)*(IF(H160="",-1,H160)&gt;=1)*(IF(H160="",-1,H160)&lt;=3),IF(C160="peso_corporal",IF(ISNUMBER(E160),E160,0)+F160,F160)*G160*1000+F160,0)=W160,1,0))))))</f>
        <v>0</v>
      </c>
      <c r="Y160" s="69">
        <f>MAX(IF((G160&gt;0)*(IF(H160="",-1,H160)=0)*(1-(IF(H160="",-1,H160)&gt;=1)*(IF(H160="",-1,H160)&lt;=3)),IF(C160="peso_corporal",IF(ISNUMBER(E160),E160,0)+F160,F160)*G160*1000+F160,0),IF((J160&gt;0)*(IF(K160="",-1,K160)=0)*(1-(IF(K160="",-1,K160)&gt;=1)*(IF(K160="",-1,K160)&lt;=3)),IF(C160="peso_corporal",IF(ISNUMBER(E160),E160,0)+I160,I160)*J160*1000+I160,0),IF((M160&gt;0)*(IF(N160="",-1,N160)=0)*(1-(IF(N160="",-1,N160)&gt;=1)*(IF(N160="",-1,N160)&lt;=3)),IF(C160="peso_corporal",IF(ISNUMBER(E160),E160,0)+L160,L160)*M160*1000+L160,0),IF((P160&gt;0)*(IF(Q160="",-1,Q160)=0)*(1-(IF(Q160="",-1,Q160)&gt;=1)*(IF(Q160="",-1,Q160)&lt;=3)),IF(C160="peso_corporal",IF(ISNUMBER(E160),E160,0)+O160,O160)*P160*1000+O160,0),IF((S160&gt;0)*(IF(T160="",-1,T160)=0)*(1-(IF(T160="",-1,T160)&gt;=1)*(IF(T160="",-1,T160)&lt;=3)),IF(C160="peso_corporal",IF(ISNUMBER(E160),E160,0)+R160,R160)*S160*1000+R160,0))</f>
        <v>0</v>
      </c>
      <c r="Z160" s="69">
        <f>IF(Y160=0,0,IF(IF((S160&gt;0)*(IF(T160="",-1,T160)=0)*(1-(IF(T160="",-1,T160)&gt;=1)*(IF(T160="",-1,T160)&lt;=3)),IF(C160="peso_corporal",IF(ISNUMBER(E160),E160,0)+R160,R160)*S160*1000+R160,0)=Y160,5,IF(IF((P160&gt;0)*(IF(Q160="",-1,Q160)=0)*(1-(IF(Q160="",-1,Q160)&gt;=1)*(IF(Q160="",-1,Q160)&lt;=3)),IF(C160="peso_corporal",IF(ISNUMBER(E160),E160,0)+O160,O160)*P160*1000+O160,0)=Y160,4,IF(IF((M160&gt;0)*(IF(N160="",-1,N160)=0)*(1-(IF(N160="",-1,N160)&gt;=1)*(IF(N160="",-1,N160)&lt;=3)),IF(C160="peso_corporal",IF(ISNUMBER(E160),E160,0)+L160,L160)*M160*1000+L160,0)=Y160,3,IF(IF((J160&gt;0)*(IF(K160="",-1,K160)=0)*(1-(IF(K160="",-1,K160)&gt;=1)*(IF(K160="",-1,K160)&lt;=3)),IF(C160="peso_corporal",IF(ISNUMBER(E160),E160,0)+I160,I160)*J160*1000+I160,0)=Y160,2,IF(IF((G160&gt;0)*(IF(H160="",-1,H160)=0)*(1-(IF(H160="",-1,H160)&gt;=1)*(IF(H160="",-1,H160)&lt;=3)),IF(C160="peso_corporal",IF(ISNUMBER(E160),E160,0)+F160,F160)*G160*1000+F160,0)=Y160,1,0))))))</f>
        <v>0</v>
      </c>
      <c r="AA160" s="69">
        <f>MAX(IF((G160&gt;=6)*(1-(IF(H160="",-1,H160)&gt;=1)*(IF(H160="",-1,H160)&lt;=3))*(1-(IF(H160="",-1,H160)=0)),IF(C160="peso_corporal",IF(ISNUMBER(E160),E160,0)+F160,F160)*(30+G160)*100+F160,0),IF((J160&gt;=6)*(1-(IF(K160="",-1,K160)&gt;=1)*(IF(K160="",-1,K160)&lt;=3))*(1-(IF(K160="",-1,K160)=0)),IF(C160="peso_corporal",IF(ISNUMBER(E160),E160,0)+I160,I160)*(30+J160)*100+I160,0),IF((M160&gt;=6)*(1-(IF(N160="",-1,N160)&gt;=1)*(IF(N160="",-1,N160)&lt;=3))*(1-(IF(N160="",-1,N160)=0)),IF(C160="peso_corporal",IF(ISNUMBER(E160),E160,0)+L160,L160)*(30+M160)*100+L160,0),IF((P160&gt;=6)*(1-(IF(Q160="",-1,Q160)&gt;=1)*(IF(Q160="",-1,Q160)&lt;=3))*(1-(IF(Q160="",-1,Q160)=0)),IF(C160="peso_corporal",IF(ISNUMBER(E160),E160,0)+O160,O160)*(30+P160)*100+O160,0),IF((S160&gt;=6)*(1-(IF(T160="",-1,T160)&gt;=1)*(IF(T160="",-1,T160)&lt;=3))*(1-(IF(T160="",-1,T160)=0)),IF(C160="peso_corporal",IF(ISNUMBER(E160),E160,0)+R160,R160)*(30+S160)*100+R160,0))</f>
        <v>0</v>
      </c>
      <c r="AB160" s="69">
        <f>IF(AA160=0,0,IF(IF((S160&gt;=6)*(1-(IF(T160="",-1,T160)&gt;=1)*(IF(T160="",-1,T160)&lt;=3))*(1-(IF(T160="",-1,T160)=0)),IF(C160="peso_corporal",IF(ISNUMBER(E160),E160,0)+R160,R160)*(30+S160)*100+R160,0)=AA160,5,IF(IF((P160&gt;=6)*(1-(IF(Q160="",-1,Q160)&gt;=1)*(IF(Q160="",-1,Q160)&lt;=3))*(1-(IF(Q160="",-1,Q160)=0)),IF(C160="peso_corporal",IF(ISNUMBER(E160),E160,0)+O160,O160)*(30+P160)*100+O160,0)=AA160,4,IF(IF((M160&gt;=6)*(1-(IF(N160="",-1,N160)&gt;=1)*(IF(N160="",-1,N160)&lt;=3))*(1-(IF(N160="",-1,N160)=0)),IF(C160="peso_corporal",IF(ISNUMBER(E160),E160,0)+L160,L160)*(30+M160)*100+L160,0)=AA160,3,IF(IF((J160&gt;=6)*(1-(IF(K160="",-1,K160)&gt;=1)*(IF(K160="",-1,K160)&lt;=3))*(1-(IF(K160="",-1,K160)=0)),IF(C160="peso_corporal",IF(ISNUMBER(E160),E160,0)+I160,I160)*(30+J160)*100+I160,0)=AA160,2,IF(IF((G160&gt;=6)*(1-(IF(H160="",-1,H160)&gt;=1)*(IF(H160="",-1,H160)&lt;=3))*(1-(IF(H160="",-1,H160)=0)),IF(C160="peso_corporal",IF(ISNUMBER(E160),E160,0)+F160,F160)*(30+G160)*100+F160,0)=AA160,1,0))))))</f>
        <v>0</v>
      </c>
      <c r="AC160" s="69" t="str">
        <f>IF(X160&gt;0,"A"&amp;X160,IF(Z160&gt;0,"B"&amp;Z160,IF(AB160&gt;0,"C"&amp;AB160,"")))</f>
        <v/>
      </c>
    </row>
    <row r="161" spans="1:29" ht="20.100000000000001" customHeight="1">
      <c r="A161" s="14" t="s">
        <v>163</v>
      </c>
      <c r="B161" s="15" t="s">
        <v>52</v>
      </c>
      <c r="C161" s="16" t="str">
        <f>IFERROR(INDEX(EJERCICIOS!$D$3:$D$75,MATCH(A161&amp;"|"&amp;B161,EJERCICIOS!$G$3:$G$75,0)),"--")</f>
        <v>polea</v>
      </c>
      <c r="D161" s="17">
        <v>3</v>
      </c>
      <c r="E161" s="18">
        <f>IFERROR(LOOKUP(2,1/(MEDIDAS_Y_PESO!$B$3:$B$9&lt;&gt;""),MEDIDAS_Y_PESO!$B$3:$B$9),"--")</f>
        <v>80</v>
      </c>
      <c r="F161" s="19"/>
      <c r="G161" s="20"/>
      <c r="H161" s="21"/>
      <c r="I161" s="19"/>
      <c r="J161" s="20"/>
      <c r="K161" s="21"/>
      <c r="L161" s="19"/>
      <c r="M161" s="20"/>
      <c r="N161" s="21"/>
      <c r="O161" s="19"/>
      <c r="P161" s="20"/>
      <c r="Q161" s="21"/>
      <c r="R161" s="19"/>
      <c r="S161" s="20"/>
      <c r="T161" s="21"/>
      <c r="U161" s="22" t="str">
        <f>IFERROR(IF(IF(X161&gt;0,X161,IF(Z161&gt;0,Z161,IF(AB161&gt;0,AB161,0)))=0,"--",ROUND(CHOOSE(IF(X161&gt;0,X161,IF(Z161&gt;0,Z161,IF(AB161&gt;0,AB161,0))),IF(C161="peso_corporal",IF(ISNUMBER(E161),E161,0)+F161,F161)*(1+G161/30),IF(C161="peso_corporal",IF(ISNUMBER(E161),E161,0)+I161,I161)*(1+J161/30),IF(C161="peso_corporal",IF(ISNUMBER(E161),E161,0)+L161,L161)*(1+M161/30),IF(C161="peso_corporal",IF(ISNUMBER(E161),E161,0)+O161,O161)*(1+P161/30),IF(C161="peso_corporal",IF(ISNUMBER(E161),E161,0)+R161,R161)*(1+S161/30)),1)),"--")</f>
        <v>--</v>
      </c>
      <c r="V161" s="23" t="str">
        <f>IF(SUGERENCIAS!N435="SIN","Sin datos anteriores",IF(SUGERENCIAS!N435="SUBIR_F","^ SUBIR FUERTE | Kg:"&amp;ROUND(SUGERENCIAS!K435,1)&amp;" R:"&amp;ROUND(SUGERENCIAS!L435,0)&amp;" RIR:"&amp;ROUND(SUGERENCIAS!M435,0),IF(SUGERENCIAS!N435="SUBIR_E","^ SUBIR (Est.) | Kg:"&amp;ROUND(SUGERENCIAS!K435,1)&amp;" R:"&amp;ROUND(SUGERENCIAS!L435,0)&amp;" RIR:"&amp;ROUND(SUGERENCIAS!M435,0),IF(SUGERENCIAS!N435="SUBIR","^ SUBIR | Kg:"&amp;ROUND(SUGERENCIAS!K435,1)&amp;" R:"&amp;ROUND(SUGERENCIAS!L435,0)&amp;" RIR:"&amp;ROUND(SUGERENCIAS!M435,0),IF(SUGERENCIAS!N435="BAJAR","v BAJAR | Kg:"&amp;ROUND(SUGERENCIAS!K435,1)&amp;" R:"&amp;ROUND(SUGERENCIAS!L435,0)&amp;" RIR:"&amp;ROUND(SUGERENCIAS!M435,0),"= MANT | Kg:"&amp;ROUND(SUGERENCIAS!K435,1)&amp;" R:"&amp;ROUND(SUGERENCIAS!L435,0)&amp;" RIR:"&amp;ROUND(SUGERENCIAS!M435,0))))))</f>
        <v>Sin datos anteriores</v>
      </c>
      <c r="W161" s="69">
        <f>MAX(IF((G161&gt;0)*(IF(H161="",-1,H161)&gt;=1)*(IF(H161="",-1,H161)&lt;=3),IF(C161="peso_corporal",IF(ISNUMBER(E161),E161,0)+F161,F161)*G161*1000+F161,0),IF((J161&gt;0)*(IF(K161="",-1,K161)&gt;=1)*(IF(K161="",-1,K161)&lt;=3),IF(C161="peso_corporal",IF(ISNUMBER(E161),E161,0)+I161,I161)*J161*1000+I161,0),IF((M161&gt;0)*(IF(N161="",-1,N161)&gt;=1)*(IF(N161="",-1,N161)&lt;=3),IF(C161="peso_corporal",IF(ISNUMBER(E161),E161,0)+L161,L161)*M161*1000+L161,0),IF((P161&gt;0)*(IF(Q161="",-1,Q161)&gt;=1)*(IF(Q161="",-1,Q161)&lt;=3),IF(C161="peso_corporal",IF(ISNUMBER(E161),E161,0)+O161,O161)*P161*1000+O161,0),IF((S161&gt;0)*(IF(T161="",-1,T161)&gt;=1)*(IF(T161="",-1,T161)&lt;=3),IF(C161="peso_corporal",IF(ISNUMBER(E161),E161,0)+R161,R161)*S161*1000+R161,0))</f>
        <v>0</v>
      </c>
      <c r="X161" s="69">
        <f>IF(W161=0,0,IF(IF((S161&gt;0)*(IF(T161="",-1,T161)&gt;=1)*(IF(T161="",-1,T161)&lt;=3),IF(C161="peso_corporal",IF(ISNUMBER(E161),E161,0)+R161,R161)*S161*1000+R161,0)=W161,5,IF(IF((P161&gt;0)*(IF(Q161="",-1,Q161)&gt;=1)*(IF(Q161="",-1,Q161)&lt;=3),IF(C161="peso_corporal",IF(ISNUMBER(E161),E161,0)+O161,O161)*P161*1000+O161,0)=W161,4,IF(IF((M161&gt;0)*(IF(N161="",-1,N161)&gt;=1)*(IF(N161="",-1,N161)&lt;=3),IF(C161="peso_corporal",IF(ISNUMBER(E161),E161,0)+L161,L161)*M161*1000+L161,0)=W161,3,IF(IF((J161&gt;0)*(IF(K161="",-1,K161)&gt;=1)*(IF(K161="",-1,K161)&lt;=3),IF(C161="peso_corporal",IF(ISNUMBER(E161),E161,0)+I161,I161)*J161*1000+I161,0)=W161,2,IF(IF((G161&gt;0)*(IF(H161="",-1,H161)&gt;=1)*(IF(H161="",-1,H161)&lt;=3),IF(C161="peso_corporal",IF(ISNUMBER(E161),E161,0)+F161,F161)*G161*1000+F161,0)=W161,1,0))))))</f>
        <v>0</v>
      </c>
      <c r="Y161" s="69">
        <f>MAX(IF((G161&gt;0)*(IF(H161="",-1,H161)=0)*(1-(IF(H161="",-1,H161)&gt;=1)*(IF(H161="",-1,H161)&lt;=3)),IF(C161="peso_corporal",IF(ISNUMBER(E161),E161,0)+F161,F161)*G161*1000+F161,0),IF((J161&gt;0)*(IF(K161="",-1,K161)=0)*(1-(IF(K161="",-1,K161)&gt;=1)*(IF(K161="",-1,K161)&lt;=3)),IF(C161="peso_corporal",IF(ISNUMBER(E161),E161,0)+I161,I161)*J161*1000+I161,0),IF((M161&gt;0)*(IF(N161="",-1,N161)=0)*(1-(IF(N161="",-1,N161)&gt;=1)*(IF(N161="",-1,N161)&lt;=3)),IF(C161="peso_corporal",IF(ISNUMBER(E161),E161,0)+L161,L161)*M161*1000+L161,0),IF((P161&gt;0)*(IF(Q161="",-1,Q161)=0)*(1-(IF(Q161="",-1,Q161)&gt;=1)*(IF(Q161="",-1,Q161)&lt;=3)),IF(C161="peso_corporal",IF(ISNUMBER(E161),E161,0)+O161,O161)*P161*1000+O161,0),IF((S161&gt;0)*(IF(T161="",-1,T161)=0)*(1-(IF(T161="",-1,T161)&gt;=1)*(IF(T161="",-1,T161)&lt;=3)),IF(C161="peso_corporal",IF(ISNUMBER(E161),E161,0)+R161,R161)*S161*1000+R161,0))</f>
        <v>0</v>
      </c>
      <c r="Z161" s="69">
        <f>IF(Y161=0,0,IF(IF((S161&gt;0)*(IF(T161="",-1,T161)=0)*(1-(IF(T161="",-1,T161)&gt;=1)*(IF(T161="",-1,T161)&lt;=3)),IF(C161="peso_corporal",IF(ISNUMBER(E161),E161,0)+R161,R161)*S161*1000+R161,0)=Y161,5,IF(IF((P161&gt;0)*(IF(Q161="",-1,Q161)=0)*(1-(IF(Q161="",-1,Q161)&gt;=1)*(IF(Q161="",-1,Q161)&lt;=3)),IF(C161="peso_corporal",IF(ISNUMBER(E161),E161,0)+O161,O161)*P161*1000+O161,0)=Y161,4,IF(IF((M161&gt;0)*(IF(N161="",-1,N161)=0)*(1-(IF(N161="",-1,N161)&gt;=1)*(IF(N161="",-1,N161)&lt;=3)),IF(C161="peso_corporal",IF(ISNUMBER(E161),E161,0)+L161,L161)*M161*1000+L161,0)=Y161,3,IF(IF((J161&gt;0)*(IF(K161="",-1,K161)=0)*(1-(IF(K161="",-1,K161)&gt;=1)*(IF(K161="",-1,K161)&lt;=3)),IF(C161="peso_corporal",IF(ISNUMBER(E161),E161,0)+I161,I161)*J161*1000+I161,0)=Y161,2,IF(IF((G161&gt;0)*(IF(H161="",-1,H161)=0)*(1-(IF(H161="",-1,H161)&gt;=1)*(IF(H161="",-1,H161)&lt;=3)),IF(C161="peso_corporal",IF(ISNUMBER(E161),E161,0)+F161,F161)*G161*1000+F161,0)=Y161,1,0))))))</f>
        <v>0</v>
      </c>
      <c r="AA161" s="69">
        <f>MAX(IF((G161&gt;=6)*(1-(IF(H161="",-1,H161)&gt;=1)*(IF(H161="",-1,H161)&lt;=3))*(1-(IF(H161="",-1,H161)=0)),IF(C161="peso_corporal",IF(ISNUMBER(E161),E161,0)+F161,F161)*(30+G161)*100+F161,0),IF((J161&gt;=6)*(1-(IF(K161="",-1,K161)&gt;=1)*(IF(K161="",-1,K161)&lt;=3))*(1-(IF(K161="",-1,K161)=0)),IF(C161="peso_corporal",IF(ISNUMBER(E161),E161,0)+I161,I161)*(30+J161)*100+I161,0),IF((M161&gt;=6)*(1-(IF(N161="",-1,N161)&gt;=1)*(IF(N161="",-1,N161)&lt;=3))*(1-(IF(N161="",-1,N161)=0)),IF(C161="peso_corporal",IF(ISNUMBER(E161),E161,0)+L161,L161)*(30+M161)*100+L161,0),IF((P161&gt;=6)*(1-(IF(Q161="",-1,Q161)&gt;=1)*(IF(Q161="",-1,Q161)&lt;=3))*(1-(IF(Q161="",-1,Q161)=0)),IF(C161="peso_corporal",IF(ISNUMBER(E161),E161,0)+O161,O161)*(30+P161)*100+O161,0),IF((S161&gt;=6)*(1-(IF(T161="",-1,T161)&gt;=1)*(IF(T161="",-1,T161)&lt;=3))*(1-(IF(T161="",-1,T161)=0)),IF(C161="peso_corporal",IF(ISNUMBER(E161),E161,0)+R161,R161)*(30+S161)*100+R161,0))</f>
        <v>0</v>
      </c>
      <c r="AB161" s="69">
        <f>IF(AA161=0,0,IF(IF((S161&gt;=6)*(1-(IF(T161="",-1,T161)&gt;=1)*(IF(T161="",-1,T161)&lt;=3))*(1-(IF(T161="",-1,T161)=0)),IF(C161="peso_corporal",IF(ISNUMBER(E161),E161,0)+R161,R161)*(30+S161)*100+R161,0)=AA161,5,IF(IF((P161&gt;=6)*(1-(IF(Q161="",-1,Q161)&gt;=1)*(IF(Q161="",-1,Q161)&lt;=3))*(1-(IF(Q161="",-1,Q161)=0)),IF(C161="peso_corporal",IF(ISNUMBER(E161),E161,0)+O161,O161)*(30+P161)*100+O161,0)=AA161,4,IF(IF((M161&gt;=6)*(1-(IF(N161="",-1,N161)&gt;=1)*(IF(N161="",-1,N161)&lt;=3))*(1-(IF(N161="",-1,N161)=0)),IF(C161="peso_corporal",IF(ISNUMBER(E161),E161,0)+L161,L161)*(30+M161)*100+L161,0)=AA161,3,IF(IF((J161&gt;=6)*(1-(IF(K161="",-1,K161)&gt;=1)*(IF(K161="",-1,K161)&lt;=3))*(1-(IF(K161="",-1,K161)=0)),IF(C161="peso_corporal",IF(ISNUMBER(E161),E161,0)+I161,I161)*(30+J161)*100+I161,0)=AA161,2,IF(IF((G161&gt;=6)*(1-(IF(H161="",-1,H161)&gt;=1)*(IF(H161="",-1,H161)&lt;=3))*(1-(IF(H161="",-1,H161)=0)),IF(C161="peso_corporal",IF(ISNUMBER(E161),E161,0)+F161,F161)*(30+G161)*100+F161,0)=AA161,1,0))))))</f>
        <v>0</v>
      </c>
      <c r="AC161" s="69" t="str">
        <f>IF(X161&gt;0,"A"&amp;X161,IF(Z161&gt;0,"B"&amp;Z161,IF(AB161&gt;0,"C"&amp;AB161,"")))</f>
        <v/>
      </c>
    </row>
    <row r="162" spans="1:29" ht="15" customHeight="1">
      <c r="A162" s="81" t="s">
        <v>53</v>
      </c>
      <c r="B162" s="73"/>
      <c r="C162" s="73"/>
      <c r="D162" s="73"/>
      <c r="E162" s="73"/>
      <c r="F162" s="73"/>
      <c r="G162" s="73"/>
      <c r="H162" s="73"/>
      <c r="I162" s="73"/>
      <c r="J162" s="73"/>
      <c r="K162" s="73"/>
      <c r="L162" s="73"/>
      <c r="M162" s="73"/>
      <c r="N162" s="73"/>
      <c r="O162" s="73"/>
      <c r="P162" s="73"/>
      <c r="Q162" s="73"/>
      <c r="R162" s="73"/>
      <c r="S162" s="73"/>
      <c r="T162" s="73"/>
      <c r="U162" s="73"/>
      <c r="V162" s="73"/>
      <c r="W162" s="69"/>
      <c r="X162" s="69"/>
      <c r="Y162" s="69"/>
      <c r="Z162" s="69"/>
      <c r="AA162" s="69"/>
      <c r="AB162" s="69"/>
      <c r="AC162" s="69"/>
    </row>
    <row r="163" spans="1:29" ht="20.100000000000001" customHeight="1">
      <c r="A163" s="14" t="s">
        <v>54</v>
      </c>
      <c r="B163" s="15" t="s">
        <v>115</v>
      </c>
      <c r="C163" s="16" t="str">
        <f>IFERROR(INDEX(EJERCICIOS!$D$3:$D$75,MATCH(A163&amp;"|"&amp;B163,EJERCICIOS!$G$3:$G$75,0)),"--")</f>
        <v>polea</v>
      </c>
      <c r="D163" s="17">
        <v>3</v>
      </c>
      <c r="E163" s="18">
        <f>IFERROR(LOOKUP(2,1/(MEDIDAS_Y_PESO!$B$3:$B$9&lt;&gt;""),MEDIDAS_Y_PESO!$B$3:$B$9),"--")</f>
        <v>80</v>
      </c>
      <c r="F163" s="19"/>
      <c r="G163" s="20"/>
      <c r="H163" s="21"/>
      <c r="I163" s="19"/>
      <c r="J163" s="20"/>
      <c r="K163" s="21"/>
      <c r="L163" s="19"/>
      <c r="M163" s="20"/>
      <c r="N163" s="21"/>
      <c r="O163" s="19"/>
      <c r="P163" s="20"/>
      <c r="Q163" s="21"/>
      <c r="R163" s="19"/>
      <c r="S163" s="20"/>
      <c r="T163" s="21"/>
      <c r="U163" s="22" t="str">
        <f>IFERROR(IF(IF(X163&gt;0,X163,IF(Z163&gt;0,Z163,IF(AB163&gt;0,AB163,0)))=0,"--",ROUND(CHOOSE(IF(X163&gt;0,X163,IF(Z163&gt;0,Z163,IF(AB163&gt;0,AB163,0))),IF(C163="peso_corporal",IF(ISNUMBER(E163),E163,0)+F163,F163)*(1+G163/30),IF(C163="peso_corporal",IF(ISNUMBER(E163),E163,0)+I163,I163)*(1+J163/30),IF(C163="peso_corporal",IF(ISNUMBER(E163),E163,0)+L163,L163)*(1+M163/30),IF(C163="peso_corporal",IF(ISNUMBER(E163),E163,0)+O163,O163)*(1+P163/30),IF(C163="peso_corporal",IF(ISNUMBER(E163),E163,0)+R163,R163)*(1+S163/30)),1)),"--")</f>
        <v>--</v>
      </c>
      <c r="V163" s="23" t="str">
        <f>IF(SUGERENCIAS!N436="SIN","Sin datos anteriores",IF(SUGERENCIAS!N436="SUBIR_F","^ SUBIR FUERTE | Kg:"&amp;ROUND(SUGERENCIAS!K436,1)&amp;" R:"&amp;ROUND(SUGERENCIAS!L436,0)&amp;" RIR:"&amp;ROUND(SUGERENCIAS!M436,0),IF(SUGERENCIAS!N436="SUBIR_E","^ SUBIR (Est.) | Kg:"&amp;ROUND(SUGERENCIAS!K436,1)&amp;" R:"&amp;ROUND(SUGERENCIAS!L436,0)&amp;" RIR:"&amp;ROUND(SUGERENCIAS!M436,0),IF(SUGERENCIAS!N436="SUBIR","^ SUBIR | Kg:"&amp;ROUND(SUGERENCIAS!K436,1)&amp;" R:"&amp;ROUND(SUGERENCIAS!L436,0)&amp;" RIR:"&amp;ROUND(SUGERENCIAS!M436,0),IF(SUGERENCIAS!N436="BAJAR","v BAJAR | Kg:"&amp;ROUND(SUGERENCIAS!K436,1)&amp;" R:"&amp;ROUND(SUGERENCIAS!L436,0)&amp;" RIR:"&amp;ROUND(SUGERENCIAS!M436,0),"= MANT | Kg:"&amp;ROUND(SUGERENCIAS!K436,1)&amp;" R:"&amp;ROUND(SUGERENCIAS!L436,0)&amp;" RIR:"&amp;ROUND(SUGERENCIAS!M436,0))))))</f>
        <v>= MANT | Kg:40 R:7 RIR:2</v>
      </c>
      <c r="W163" s="69">
        <f>MAX(IF((G163&gt;0)*(IF(H163="",-1,H163)&gt;=1)*(IF(H163="",-1,H163)&lt;=3),IF(C163="peso_corporal",IF(ISNUMBER(E163),E163,0)+F163,F163)*G163*1000+F163,0),IF((J163&gt;0)*(IF(K163="",-1,K163)&gt;=1)*(IF(K163="",-1,K163)&lt;=3),IF(C163="peso_corporal",IF(ISNUMBER(E163),E163,0)+I163,I163)*J163*1000+I163,0),IF((M163&gt;0)*(IF(N163="",-1,N163)&gt;=1)*(IF(N163="",-1,N163)&lt;=3),IF(C163="peso_corporal",IF(ISNUMBER(E163),E163,0)+L163,L163)*M163*1000+L163,0),IF((P163&gt;0)*(IF(Q163="",-1,Q163)&gt;=1)*(IF(Q163="",-1,Q163)&lt;=3),IF(C163="peso_corporal",IF(ISNUMBER(E163),E163,0)+O163,O163)*P163*1000+O163,0),IF((S163&gt;0)*(IF(T163="",-1,T163)&gt;=1)*(IF(T163="",-1,T163)&lt;=3),IF(C163="peso_corporal",IF(ISNUMBER(E163),E163,0)+R163,R163)*S163*1000+R163,0))</f>
        <v>0</v>
      </c>
      <c r="X163" s="69">
        <f>IF(W163=0,0,IF(IF((S163&gt;0)*(IF(T163="",-1,T163)&gt;=1)*(IF(T163="",-1,T163)&lt;=3),IF(C163="peso_corporal",IF(ISNUMBER(E163),E163,0)+R163,R163)*S163*1000+R163,0)=W163,5,IF(IF((P163&gt;0)*(IF(Q163="",-1,Q163)&gt;=1)*(IF(Q163="",-1,Q163)&lt;=3),IF(C163="peso_corporal",IF(ISNUMBER(E163),E163,0)+O163,O163)*P163*1000+O163,0)=W163,4,IF(IF((M163&gt;0)*(IF(N163="",-1,N163)&gt;=1)*(IF(N163="",-1,N163)&lt;=3),IF(C163="peso_corporal",IF(ISNUMBER(E163),E163,0)+L163,L163)*M163*1000+L163,0)=W163,3,IF(IF((J163&gt;0)*(IF(K163="",-1,K163)&gt;=1)*(IF(K163="",-1,K163)&lt;=3),IF(C163="peso_corporal",IF(ISNUMBER(E163),E163,0)+I163,I163)*J163*1000+I163,0)=W163,2,IF(IF((G163&gt;0)*(IF(H163="",-1,H163)&gt;=1)*(IF(H163="",-1,H163)&lt;=3),IF(C163="peso_corporal",IF(ISNUMBER(E163),E163,0)+F163,F163)*G163*1000+F163,0)=W163,1,0))))))</f>
        <v>0</v>
      </c>
      <c r="Y163" s="69">
        <f>MAX(IF((G163&gt;0)*(IF(H163="",-1,H163)=0)*(1-(IF(H163="",-1,H163)&gt;=1)*(IF(H163="",-1,H163)&lt;=3)),IF(C163="peso_corporal",IF(ISNUMBER(E163),E163,0)+F163,F163)*G163*1000+F163,0),IF((J163&gt;0)*(IF(K163="",-1,K163)=0)*(1-(IF(K163="",-1,K163)&gt;=1)*(IF(K163="",-1,K163)&lt;=3)),IF(C163="peso_corporal",IF(ISNUMBER(E163),E163,0)+I163,I163)*J163*1000+I163,0),IF((M163&gt;0)*(IF(N163="",-1,N163)=0)*(1-(IF(N163="",-1,N163)&gt;=1)*(IF(N163="",-1,N163)&lt;=3)),IF(C163="peso_corporal",IF(ISNUMBER(E163),E163,0)+L163,L163)*M163*1000+L163,0),IF((P163&gt;0)*(IF(Q163="",-1,Q163)=0)*(1-(IF(Q163="",-1,Q163)&gt;=1)*(IF(Q163="",-1,Q163)&lt;=3)),IF(C163="peso_corporal",IF(ISNUMBER(E163),E163,0)+O163,O163)*P163*1000+O163,0),IF((S163&gt;0)*(IF(T163="",-1,T163)=0)*(1-(IF(T163="",-1,T163)&gt;=1)*(IF(T163="",-1,T163)&lt;=3)),IF(C163="peso_corporal",IF(ISNUMBER(E163),E163,0)+R163,R163)*S163*1000+R163,0))</f>
        <v>0</v>
      </c>
      <c r="Z163" s="69">
        <f>IF(Y163=0,0,IF(IF((S163&gt;0)*(IF(T163="",-1,T163)=0)*(1-(IF(T163="",-1,T163)&gt;=1)*(IF(T163="",-1,T163)&lt;=3)),IF(C163="peso_corporal",IF(ISNUMBER(E163),E163,0)+R163,R163)*S163*1000+R163,0)=Y163,5,IF(IF((P163&gt;0)*(IF(Q163="",-1,Q163)=0)*(1-(IF(Q163="",-1,Q163)&gt;=1)*(IF(Q163="",-1,Q163)&lt;=3)),IF(C163="peso_corporal",IF(ISNUMBER(E163),E163,0)+O163,O163)*P163*1000+O163,0)=Y163,4,IF(IF((M163&gt;0)*(IF(N163="",-1,N163)=0)*(1-(IF(N163="",-1,N163)&gt;=1)*(IF(N163="",-1,N163)&lt;=3)),IF(C163="peso_corporal",IF(ISNUMBER(E163),E163,0)+L163,L163)*M163*1000+L163,0)=Y163,3,IF(IF((J163&gt;0)*(IF(K163="",-1,K163)=0)*(1-(IF(K163="",-1,K163)&gt;=1)*(IF(K163="",-1,K163)&lt;=3)),IF(C163="peso_corporal",IF(ISNUMBER(E163),E163,0)+I163,I163)*J163*1000+I163,0)=Y163,2,IF(IF((G163&gt;0)*(IF(H163="",-1,H163)=0)*(1-(IF(H163="",-1,H163)&gt;=1)*(IF(H163="",-1,H163)&lt;=3)),IF(C163="peso_corporal",IF(ISNUMBER(E163),E163,0)+F163,F163)*G163*1000+F163,0)=Y163,1,0))))))</f>
        <v>0</v>
      </c>
      <c r="AA163" s="69">
        <f>MAX(IF((G163&gt;=6)*(1-(IF(H163="",-1,H163)&gt;=1)*(IF(H163="",-1,H163)&lt;=3))*(1-(IF(H163="",-1,H163)=0)),IF(C163="peso_corporal",IF(ISNUMBER(E163),E163,0)+F163,F163)*(30+G163)*100+F163,0),IF((J163&gt;=6)*(1-(IF(K163="",-1,K163)&gt;=1)*(IF(K163="",-1,K163)&lt;=3))*(1-(IF(K163="",-1,K163)=0)),IF(C163="peso_corporal",IF(ISNUMBER(E163),E163,0)+I163,I163)*(30+J163)*100+I163,0),IF((M163&gt;=6)*(1-(IF(N163="",-1,N163)&gt;=1)*(IF(N163="",-1,N163)&lt;=3))*(1-(IF(N163="",-1,N163)=0)),IF(C163="peso_corporal",IF(ISNUMBER(E163),E163,0)+L163,L163)*(30+M163)*100+L163,0),IF((P163&gt;=6)*(1-(IF(Q163="",-1,Q163)&gt;=1)*(IF(Q163="",-1,Q163)&lt;=3))*(1-(IF(Q163="",-1,Q163)=0)),IF(C163="peso_corporal",IF(ISNUMBER(E163),E163,0)+O163,O163)*(30+P163)*100+O163,0),IF((S163&gt;=6)*(1-(IF(T163="",-1,T163)&gt;=1)*(IF(T163="",-1,T163)&lt;=3))*(1-(IF(T163="",-1,T163)=0)),IF(C163="peso_corporal",IF(ISNUMBER(E163),E163,0)+R163,R163)*(30+S163)*100+R163,0))</f>
        <v>0</v>
      </c>
      <c r="AB163" s="69">
        <f>IF(AA163=0,0,IF(IF((S163&gt;=6)*(1-(IF(T163="",-1,T163)&gt;=1)*(IF(T163="",-1,T163)&lt;=3))*(1-(IF(T163="",-1,T163)=0)),IF(C163="peso_corporal",IF(ISNUMBER(E163),E163,0)+R163,R163)*(30+S163)*100+R163,0)=AA163,5,IF(IF((P163&gt;=6)*(1-(IF(Q163="",-1,Q163)&gt;=1)*(IF(Q163="",-1,Q163)&lt;=3))*(1-(IF(Q163="",-1,Q163)=0)),IF(C163="peso_corporal",IF(ISNUMBER(E163),E163,0)+O163,O163)*(30+P163)*100+O163,0)=AA163,4,IF(IF((M163&gt;=6)*(1-(IF(N163="",-1,N163)&gt;=1)*(IF(N163="",-1,N163)&lt;=3))*(1-(IF(N163="",-1,N163)=0)),IF(C163="peso_corporal",IF(ISNUMBER(E163),E163,0)+L163,L163)*(30+M163)*100+L163,0)=AA163,3,IF(IF((J163&gt;=6)*(1-(IF(K163="",-1,K163)&gt;=1)*(IF(K163="",-1,K163)&lt;=3))*(1-(IF(K163="",-1,K163)=0)),IF(C163="peso_corporal",IF(ISNUMBER(E163),E163,0)+I163,I163)*(30+J163)*100+I163,0)=AA163,2,IF(IF((G163&gt;=6)*(1-(IF(H163="",-1,H163)&gt;=1)*(IF(H163="",-1,H163)&lt;=3))*(1-(IF(H163="",-1,H163)=0)),IF(C163="peso_corporal",IF(ISNUMBER(E163),E163,0)+F163,F163)*(30+G163)*100+F163,0)=AA163,1,0))))))</f>
        <v>0</v>
      </c>
      <c r="AC163" s="69" t="str">
        <f>IF(X163&gt;0,"A"&amp;X163,IF(Z163&gt;0,"B"&amp;Z163,IF(AB163&gt;0,"C"&amp;AB163,"")))</f>
        <v/>
      </c>
    </row>
    <row r="164" spans="1:29" ht="20.100000000000001" customHeight="1">
      <c r="A164" s="14" t="s">
        <v>116</v>
      </c>
      <c r="B164" s="15" t="s">
        <v>114</v>
      </c>
      <c r="C164" s="16" t="str">
        <f>IFERROR(INDEX(EJERCICIOS!$D$3:$D$75,MATCH(A164&amp;"|"&amp;B164,EJERCICIOS!$G$3:$G$75,0)),"--")</f>
        <v>polea</v>
      </c>
      <c r="D164" s="17">
        <v>3</v>
      </c>
      <c r="E164" s="18">
        <f>IFERROR(LOOKUP(2,1/(MEDIDAS_Y_PESO!$B$3:$B$9&lt;&gt;""),MEDIDAS_Y_PESO!$B$3:$B$9),"--")</f>
        <v>80</v>
      </c>
      <c r="F164" s="19"/>
      <c r="G164" s="20"/>
      <c r="H164" s="21"/>
      <c r="I164" s="19"/>
      <c r="J164" s="20"/>
      <c r="K164" s="21"/>
      <c r="L164" s="19"/>
      <c r="M164" s="20"/>
      <c r="N164" s="21"/>
      <c r="O164" s="19"/>
      <c r="P164" s="20"/>
      <c r="Q164" s="21"/>
      <c r="R164" s="19"/>
      <c r="S164" s="20"/>
      <c r="T164" s="21"/>
      <c r="U164" s="22" t="str">
        <f>IFERROR(IF(IF(X164&gt;0,X164,IF(Z164&gt;0,Z164,IF(AB164&gt;0,AB164,0)))=0,"--",ROUND(CHOOSE(IF(X164&gt;0,X164,IF(Z164&gt;0,Z164,IF(AB164&gt;0,AB164,0))),IF(C164="peso_corporal",IF(ISNUMBER(E164),E164,0)+F164,F164)*(1+G164/30),IF(C164="peso_corporal",IF(ISNUMBER(E164),E164,0)+I164,I164)*(1+J164/30),IF(C164="peso_corporal",IF(ISNUMBER(E164),E164,0)+L164,L164)*(1+M164/30),IF(C164="peso_corporal",IF(ISNUMBER(E164),E164,0)+O164,O164)*(1+P164/30),IF(C164="peso_corporal",IF(ISNUMBER(E164),E164,0)+R164,R164)*(1+S164/30)),1)),"--")</f>
        <v>--</v>
      </c>
      <c r="V164" s="23" t="str">
        <f>IF(SUGERENCIAS!N437="SIN","Sin datos anteriores",IF(SUGERENCIAS!N437="SUBIR_F","^ SUBIR FUERTE | Kg:"&amp;ROUND(SUGERENCIAS!K437,1)&amp;" R:"&amp;ROUND(SUGERENCIAS!L437,0)&amp;" RIR:"&amp;ROUND(SUGERENCIAS!M437,0),IF(SUGERENCIAS!N437="SUBIR_E","^ SUBIR (Est.) | Kg:"&amp;ROUND(SUGERENCIAS!K437,1)&amp;" R:"&amp;ROUND(SUGERENCIAS!L437,0)&amp;" RIR:"&amp;ROUND(SUGERENCIAS!M437,0),IF(SUGERENCIAS!N437="SUBIR","^ SUBIR | Kg:"&amp;ROUND(SUGERENCIAS!K437,1)&amp;" R:"&amp;ROUND(SUGERENCIAS!L437,0)&amp;" RIR:"&amp;ROUND(SUGERENCIAS!M437,0),IF(SUGERENCIAS!N437="BAJAR","v BAJAR | Kg:"&amp;ROUND(SUGERENCIAS!K437,1)&amp;" R:"&amp;ROUND(SUGERENCIAS!L437,0)&amp;" RIR:"&amp;ROUND(SUGERENCIAS!M437,0),"= MANT | Kg:"&amp;ROUND(SUGERENCIAS!K437,1)&amp;" R:"&amp;ROUND(SUGERENCIAS!L437,0)&amp;" RIR:"&amp;ROUND(SUGERENCIAS!M437,0))))))</f>
        <v>^ SUBIR | Kg:20 R:6 RIR:2</v>
      </c>
      <c r="W164" s="69">
        <f>MAX(IF((G164&gt;0)*(IF(H164="",-1,H164)&gt;=1)*(IF(H164="",-1,H164)&lt;=3),IF(C164="peso_corporal",IF(ISNUMBER(E164),E164,0)+F164,F164)*G164*1000+F164,0),IF((J164&gt;0)*(IF(K164="",-1,K164)&gt;=1)*(IF(K164="",-1,K164)&lt;=3),IF(C164="peso_corporal",IF(ISNUMBER(E164),E164,0)+I164,I164)*J164*1000+I164,0),IF((M164&gt;0)*(IF(N164="",-1,N164)&gt;=1)*(IF(N164="",-1,N164)&lt;=3),IF(C164="peso_corporal",IF(ISNUMBER(E164),E164,0)+L164,L164)*M164*1000+L164,0),IF((P164&gt;0)*(IF(Q164="",-1,Q164)&gt;=1)*(IF(Q164="",-1,Q164)&lt;=3),IF(C164="peso_corporal",IF(ISNUMBER(E164),E164,0)+O164,O164)*P164*1000+O164,0),IF((S164&gt;0)*(IF(T164="",-1,T164)&gt;=1)*(IF(T164="",-1,T164)&lt;=3),IF(C164="peso_corporal",IF(ISNUMBER(E164),E164,0)+R164,R164)*S164*1000+R164,0))</f>
        <v>0</v>
      </c>
      <c r="X164" s="69">
        <f>IF(W164=0,0,IF(IF((S164&gt;0)*(IF(T164="",-1,T164)&gt;=1)*(IF(T164="",-1,T164)&lt;=3),IF(C164="peso_corporal",IF(ISNUMBER(E164),E164,0)+R164,R164)*S164*1000+R164,0)=W164,5,IF(IF((P164&gt;0)*(IF(Q164="",-1,Q164)&gt;=1)*(IF(Q164="",-1,Q164)&lt;=3),IF(C164="peso_corporal",IF(ISNUMBER(E164),E164,0)+O164,O164)*P164*1000+O164,0)=W164,4,IF(IF((M164&gt;0)*(IF(N164="",-1,N164)&gt;=1)*(IF(N164="",-1,N164)&lt;=3),IF(C164="peso_corporal",IF(ISNUMBER(E164),E164,0)+L164,L164)*M164*1000+L164,0)=W164,3,IF(IF((J164&gt;0)*(IF(K164="",-1,K164)&gt;=1)*(IF(K164="",-1,K164)&lt;=3),IF(C164="peso_corporal",IF(ISNUMBER(E164),E164,0)+I164,I164)*J164*1000+I164,0)=W164,2,IF(IF((G164&gt;0)*(IF(H164="",-1,H164)&gt;=1)*(IF(H164="",-1,H164)&lt;=3),IF(C164="peso_corporal",IF(ISNUMBER(E164),E164,0)+F164,F164)*G164*1000+F164,0)=W164,1,0))))))</f>
        <v>0</v>
      </c>
      <c r="Y164" s="69">
        <f>MAX(IF((G164&gt;0)*(IF(H164="",-1,H164)=0)*(1-(IF(H164="",-1,H164)&gt;=1)*(IF(H164="",-1,H164)&lt;=3)),IF(C164="peso_corporal",IF(ISNUMBER(E164),E164,0)+F164,F164)*G164*1000+F164,0),IF((J164&gt;0)*(IF(K164="",-1,K164)=0)*(1-(IF(K164="",-1,K164)&gt;=1)*(IF(K164="",-1,K164)&lt;=3)),IF(C164="peso_corporal",IF(ISNUMBER(E164),E164,0)+I164,I164)*J164*1000+I164,0),IF((M164&gt;0)*(IF(N164="",-1,N164)=0)*(1-(IF(N164="",-1,N164)&gt;=1)*(IF(N164="",-1,N164)&lt;=3)),IF(C164="peso_corporal",IF(ISNUMBER(E164),E164,0)+L164,L164)*M164*1000+L164,0),IF((P164&gt;0)*(IF(Q164="",-1,Q164)=0)*(1-(IF(Q164="",-1,Q164)&gt;=1)*(IF(Q164="",-1,Q164)&lt;=3)),IF(C164="peso_corporal",IF(ISNUMBER(E164),E164,0)+O164,O164)*P164*1000+O164,0),IF((S164&gt;0)*(IF(T164="",-1,T164)=0)*(1-(IF(T164="",-1,T164)&gt;=1)*(IF(T164="",-1,T164)&lt;=3)),IF(C164="peso_corporal",IF(ISNUMBER(E164),E164,0)+R164,R164)*S164*1000+R164,0))</f>
        <v>0</v>
      </c>
      <c r="Z164" s="69">
        <f>IF(Y164=0,0,IF(IF((S164&gt;0)*(IF(T164="",-1,T164)=0)*(1-(IF(T164="",-1,T164)&gt;=1)*(IF(T164="",-1,T164)&lt;=3)),IF(C164="peso_corporal",IF(ISNUMBER(E164),E164,0)+R164,R164)*S164*1000+R164,0)=Y164,5,IF(IF((P164&gt;0)*(IF(Q164="",-1,Q164)=0)*(1-(IF(Q164="",-1,Q164)&gt;=1)*(IF(Q164="",-1,Q164)&lt;=3)),IF(C164="peso_corporal",IF(ISNUMBER(E164),E164,0)+O164,O164)*P164*1000+O164,0)=Y164,4,IF(IF((M164&gt;0)*(IF(N164="",-1,N164)=0)*(1-(IF(N164="",-1,N164)&gt;=1)*(IF(N164="",-1,N164)&lt;=3)),IF(C164="peso_corporal",IF(ISNUMBER(E164),E164,0)+L164,L164)*M164*1000+L164,0)=Y164,3,IF(IF((J164&gt;0)*(IF(K164="",-1,K164)=0)*(1-(IF(K164="",-1,K164)&gt;=1)*(IF(K164="",-1,K164)&lt;=3)),IF(C164="peso_corporal",IF(ISNUMBER(E164),E164,0)+I164,I164)*J164*1000+I164,0)=Y164,2,IF(IF((G164&gt;0)*(IF(H164="",-1,H164)=0)*(1-(IF(H164="",-1,H164)&gt;=1)*(IF(H164="",-1,H164)&lt;=3)),IF(C164="peso_corporal",IF(ISNUMBER(E164),E164,0)+F164,F164)*G164*1000+F164,0)=Y164,1,0))))))</f>
        <v>0</v>
      </c>
      <c r="AA164" s="69">
        <f>MAX(IF((G164&gt;=6)*(1-(IF(H164="",-1,H164)&gt;=1)*(IF(H164="",-1,H164)&lt;=3))*(1-(IF(H164="",-1,H164)=0)),IF(C164="peso_corporal",IF(ISNUMBER(E164),E164,0)+F164,F164)*(30+G164)*100+F164,0),IF((J164&gt;=6)*(1-(IF(K164="",-1,K164)&gt;=1)*(IF(K164="",-1,K164)&lt;=3))*(1-(IF(K164="",-1,K164)=0)),IF(C164="peso_corporal",IF(ISNUMBER(E164),E164,0)+I164,I164)*(30+J164)*100+I164,0),IF((M164&gt;=6)*(1-(IF(N164="",-1,N164)&gt;=1)*(IF(N164="",-1,N164)&lt;=3))*(1-(IF(N164="",-1,N164)=0)),IF(C164="peso_corporal",IF(ISNUMBER(E164),E164,0)+L164,L164)*(30+M164)*100+L164,0),IF((P164&gt;=6)*(1-(IF(Q164="",-1,Q164)&gt;=1)*(IF(Q164="",-1,Q164)&lt;=3))*(1-(IF(Q164="",-1,Q164)=0)),IF(C164="peso_corporal",IF(ISNUMBER(E164),E164,0)+O164,O164)*(30+P164)*100+O164,0),IF((S164&gt;=6)*(1-(IF(T164="",-1,T164)&gt;=1)*(IF(T164="",-1,T164)&lt;=3))*(1-(IF(T164="",-1,T164)=0)),IF(C164="peso_corporal",IF(ISNUMBER(E164),E164,0)+R164,R164)*(30+S164)*100+R164,0))</f>
        <v>0</v>
      </c>
      <c r="AB164" s="69">
        <f>IF(AA164=0,0,IF(IF((S164&gt;=6)*(1-(IF(T164="",-1,T164)&gt;=1)*(IF(T164="",-1,T164)&lt;=3))*(1-(IF(T164="",-1,T164)=0)),IF(C164="peso_corporal",IF(ISNUMBER(E164),E164,0)+R164,R164)*(30+S164)*100+R164,0)=AA164,5,IF(IF((P164&gt;=6)*(1-(IF(Q164="",-1,Q164)&gt;=1)*(IF(Q164="",-1,Q164)&lt;=3))*(1-(IF(Q164="",-1,Q164)=0)),IF(C164="peso_corporal",IF(ISNUMBER(E164),E164,0)+O164,O164)*(30+P164)*100+O164,0)=AA164,4,IF(IF((M164&gt;=6)*(1-(IF(N164="",-1,N164)&gt;=1)*(IF(N164="",-1,N164)&lt;=3))*(1-(IF(N164="",-1,N164)=0)),IF(C164="peso_corporal",IF(ISNUMBER(E164),E164,0)+L164,L164)*(30+M164)*100+L164,0)=AA164,3,IF(IF((J164&gt;=6)*(1-(IF(K164="",-1,K164)&gt;=1)*(IF(K164="",-1,K164)&lt;=3))*(1-(IF(K164="",-1,K164)=0)),IF(C164="peso_corporal",IF(ISNUMBER(E164),E164,0)+I164,I164)*(30+J164)*100+I164,0)=AA164,2,IF(IF((G164&gt;=6)*(1-(IF(H164="",-1,H164)&gt;=1)*(IF(H164="",-1,H164)&lt;=3))*(1-(IF(H164="",-1,H164)=0)),IF(C164="peso_corporal",IF(ISNUMBER(E164),E164,0)+F164,F164)*(30+G164)*100+F164,0)=AA164,1,0))))))</f>
        <v>0</v>
      </c>
      <c r="AC164" s="69" t="str">
        <f>IF(X164&gt;0,"A"&amp;X164,IF(Z164&gt;0,"B"&amp;Z164,IF(AB164&gt;0,"C"&amp;AB164,"")))</f>
        <v/>
      </c>
    </row>
    <row r="165" spans="1:29" ht="15" customHeight="1">
      <c r="A165" s="83" t="s">
        <v>99</v>
      </c>
      <c r="B165" s="73"/>
      <c r="C165" s="73"/>
      <c r="D165" s="73"/>
      <c r="E165" s="73"/>
      <c r="F165" s="73"/>
      <c r="G165" s="73"/>
      <c r="H165" s="73"/>
      <c r="I165" s="73"/>
      <c r="J165" s="73"/>
      <c r="K165" s="73"/>
      <c r="L165" s="73"/>
      <c r="M165" s="73"/>
      <c r="N165" s="73"/>
      <c r="O165" s="73"/>
      <c r="P165" s="73"/>
      <c r="Q165" s="73"/>
      <c r="R165" s="73"/>
      <c r="S165" s="73"/>
      <c r="T165" s="73"/>
      <c r="U165" s="73"/>
      <c r="V165" s="73"/>
      <c r="W165" s="69"/>
      <c r="X165" s="69"/>
      <c r="Y165" s="69"/>
      <c r="Z165" s="69"/>
      <c r="AA165" s="69"/>
      <c r="AB165" s="69"/>
      <c r="AC165" s="69"/>
    </row>
    <row r="166" spans="1:29" ht="20.100000000000001" customHeight="1">
      <c r="A166" s="14" t="s">
        <v>100</v>
      </c>
      <c r="B166" s="15" t="s">
        <v>101</v>
      </c>
      <c r="C166" s="16" t="str">
        <f>IFERROR(INDEX(EJERCICIOS!$D$3:$D$75,MATCH(A166&amp;"|"&amp;B166,EJERCICIOS!$G$3:$G$75,0)),"--")</f>
        <v>mancuerna</v>
      </c>
      <c r="D166" s="17">
        <v>3</v>
      </c>
      <c r="E166" s="18">
        <f>IFERROR(LOOKUP(2,1/(MEDIDAS_Y_PESO!$B$3:$B$9&lt;&gt;""),MEDIDAS_Y_PESO!$B$3:$B$9),"--")</f>
        <v>80</v>
      </c>
      <c r="F166" s="19"/>
      <c r="G166" s="20"/>
      <c r="H166" s="21"/>
      <c r="I166" s="19"/>
      <c r="J166" s="20"/>
      <c r="K166" s="21"/>
      <c r="L166" s="19"/>
      <c r="M166" s="20"/>
      <c r="N166" s="21"/>
      <c r="O166" s="19"/>
      <c r="P166" s="20"/>
      <c r="Q166" s="21"/>
      <c r="R166" s="19"/>
      <c r="S166" s="20"/>
      <c r="T166" s="21"/>
      <c r="U166" s="22" t="str">
        <f>IFERROR(IF(IF(X166&gt;0,X166,IF(Z166&gt;0,Z166,IF(AB166&gt;0,AB166,0)))=0,"--",ROUND(CHOOSE(IF(X166&gt;0,X166,IF(Z166&gt;0,Z166,IF(AB166&gt;0,AB166,0))),IF(C166="peso_corporal",IF(ISNUMBER(E166),E166,0)+F166,F166)*(1+G166/30),IF(C166="peso_corporal",IF(ISNUMBER(E166),E166,0)+I166,I166)*(1+J166/30),IF(C166="peso_corporal",IF(ISNUMBER(E166),E166,0)+L166,L166)*(1+M166/30),IF(C166="peso_corporal",IF(ISNUMBER(E166),E166,0)+O166,O166)*(1+P166/30),IF(C166="peso_corporal",IF(ISNUMBER(E166),E166,0)+R166,R166)*(1+S166/30)),1)),"--")</f>
        <v>--</v>
      </c>
      <c r="V166" s="23" t="str">
        <f>IF(SUGERENCIAS!N438="SIN","Sin datos anteriores",IF(SUGERENCIAS!N438="SUBIR_F","^ SUBIR FUERTE | Kg:"&amp;ROUND(SUGERENCIAS!K438,1)&amp;" R:"&amp;ROUND(SUGERENCIAS!L438,0)&amp;" RIR:"&amp;ROUND(SUGERENCIAS!M438,0),IF(SUGERENCIAS!N438="SUBIR_E","^ SUBIR (Est.) | Kg:"&amp;ROUND(SUGERENCIAS!K438,1)&amp;" R:"&amp;ROUND(SUGERENCIAS!L438,0)&amp;" RIR:"&amp;ROUND(SUGERENCIAS!M438,0),IF(SUGERENCIAS!N438="SUBIR","^ SUBIR | Kg:"&amp;ROUND(SUGERENCIAS!K438,1)&amp;" R:"&amp;ROUND(SUGERENCIAS!L438,0)&amp;" RIR:"&amp;ROUND(SUGERENCIAS!M438,0),IF(SUGERENCIAS!N438="BAJAR","v BAJAR | Kg:"&amp;ROUND(SUGERENCIAS!K438,1)&amp;" R:"&amp;ROUND(SUGERENCIAS!L438,0)&amp;" RIR:"&amp;ROUND(SUGERENCIAS!M438,0),"= MANT | Kg:"&amp;ROUND(SUGERENCIAS!K438,1)&amp;" R:"&amp;ROUND(SUGERENCIAS!L438,0)&amp;" RIR:"&amp;ROUND(SUGERENCIAS!M438,0))))))</f>
        <v>Sin datos anteriores</v>
      </c>
      <c r="W166" s="69">
        <f>MAX(IF((G166&gt;0)*(IF(H166="",-1,H166)&gt;=1)*(IF(H166="",-1,H166)&lt;=3),IF(C166="peso_corporal",IF(ISNUMBER(E166),E166,0)+F166,F166)*G166*1000+F166,0),IF((J166&gt;0)*(IF(K166="",-1,K166)&gt;=1)*(IF(K166="",-1,K166)&lt;=3),IF(C166="peso_corporal",IF(ISNUMBER(E166),E166,0)+I166,I166)*J166*1000+I166,0),IF((M166&gt;0)*(IF(N166="",-1,N166)&gt;=1)*(IF(N166="",-1,N166)&lt;=3),IF(C166="peso_corporal",IF(ISNUMBER(E166),E166,0)+L166,L166)*M166*1000+L166,0),IF((P166&gt;0)*(IF(Q166="",-1,Q166)&gt;=1)*(IF(Q166="",-1,Q166)&lt;=3),IF(C166="peso_corporal",IF(ISNUMBER(E166),E166,0)+O166,O166)*P166*1000+O166,0),IF((S166&gt;0)*(IF(T166="",-1,T166)&gt;=1)*(IF(T166="",-1,T166)&lt;=3),IF(C166="peso_corporal",IF(ISNUMBER(E166),E166,0)+R166,R166)*S166*1000+R166,0))</f>
        <v>0</v>
      </c>
      <c r="X166" s="69">
        <f>IF(W166=0,0,IF(IF((S166&gt;0)*(IF(T166="",-1,T166)&gt;=1)*(IF(T166="",-1,T166)&lt;=3),IF(C166="peso_corporal",IF(ISNUMBER(E166),E166,0)+R166,R166)*S166*1000+R166,0)=W166,5,IF(IF((P166&gt;0)*(IF(Q166="",-1,Q166)&gt;=1)*(IF(Q166="",-1,Q166)&lt;=3),IF(C166="peso_corporal",IF(ISNUMBER(E166),E166,0)+O166,O166)*P166*1000+O166,0)=W166,4,IF(IF((M166&gt;0)*(IF(N166="",-1,N166)&gt;=1)*(IF(N166="",-1,N166)&lt;=3),IF(C166="peso_corporal",IF(ISNUMBER(E166),E166,0)+L166,L166)*M166*1000+L166,0)=W166,3,IF(IF((J166&gt;0)*(IF(K166="",-1,K166)&gt;=1)*(IF(K166="",-1,K166)&lt;=3),IF(C166="peso_corporal",IF(ISNUMBER(E166),E166,0)+I166,I166)*J166*1000+I166,0)=W166,2,IF(IF((G166&gt;0)*(IF(H166="",-1,H166)&gt;=1)*(IF(H166="",-1,H166)&lt;=3),IF(C166="peso_corporal",IF(ISNUMBER(E166),E166,0)+F166,F166)*G166*1000+F166,0)=W166,1,0))))))</f>
        <v>0</v>
      </c>
      <c r="Y166" s="69">
        <f>MAX(IF((G166&gt;0)*(IF(H166="",-1,H166)=0)*(1-(IF(H166="",-1,H166)&gt;=1)*(IF(H166="",-1,H166)&lt;=3)),IF(C166="peso_corporal",IF(ISNUMBER(E166),E166,0)+F166,F166)*G166*1000+F166,0),IF((J166&gt;0)*(IF(K166="",-1,K166)=0)*(1-(IF(K166="",-1,K166)&gt;=1)*(IF(K166="",-1,K166)&lt;=3)),IF(C166="peso_corporal",IF(ISNUMBER(E166),E166,0)+I166,I166)*J166*1000+I166,0),IF((M166&gt;0)*(IF(N166="",-1,N166)=0)*(1-(IF(N166="",-1,N166)&gt;=1)*(IF(N166="",-1,N166)&lt;=3)),IF(C166="peso_corporal",IF(ISNUMBER(E166),E166,0)+L166,L166)*M166*1000+L166,0),IF((P166&gt;0)*(IF(Q166="",-1,Q166)=0)*(1-(IF(Q166="",-1,Q166)&gt;=1)*(IF(Q166="",-1,Q166)&lt;=3)),IF(C166="peso_corporal",IF(ISNUMBER(E166),E166,0)+O166,O166)*P166*1000+O166,0),IF((S166&gt;0)*(IF(T166="",-1,T166)=0)*(1-(IF(T166="",-1,T166)&gt;=1)*(IF(T166="",-1,T166)&lt;=3)),IF(C166="peso_corporal",IF(ISNUMBER(E166),E166,0)+R166,R166)*S166*1000+R166,0))</f>
        <v>0</v>
      </c>
      <c r="Z166" s="69">
        <f>IF(Y166=0,0,IF(IF((S166&gt;0)*(IF(T166="",-1,T166)=0)*(1-(IF(T166="",-1,T166)&gt;=1)*(IF(T166="",-1,T166)&lt;=3)),IF(C166="peso_corporal",IF(ISNUMBER(E166),E166,0)+R166,R166)*S166*1000+R166,0)=Y166,5,IF(IF((P166&gt;0)*(IF(Q166="",-1,Q166)=0)*(1-(IF(Q166="",-1,Q166)&gt;=1)*(IF(Q166="",-1,Q166)&lt;=3)),IF(C166="peso_corporal",IF(ISNUMBER(E166),E166,0)+O166,O166)*P166*1000+O166,0)=Y166,4,IF(IF((M166&gt;0)*(IF(N166="",-1,N166)=0)*(1-(IF(N166="",-1,N166)&gt;=1)*(IF(N166="",-1,N166)&lt;=3)),IF(C166="peso_corporal",IF(ISNUMBER(E166),E166,0)+L166,L166)*M166*1000+L166,0)=Y166,3,IF(IF((J166&gt;0)*(IF(K166="",-1,K166)=0)*(1-(IF(K166="",-1,K166)&gt;=1)*(IF(K166="",-1,K166)&lt;=3)),IF(C166="peso_corporal",IF(ISNUMBER(E166),E166,0)+I166,I166)*J166*1000+I166,0)=Y166,2,IF(IF((G166&gt;0)*(IF(H166="",-1,H166)=0)*(1-(IF(H166="",-1,H166)&gt;=1)*(IF(H166="",-1,H166)&lt;=3)),IF(C166="peso_corporal",IF(ISNUMBER(E166),E166,0)+F166,F166)*G166*1000+F166,0)=Y166,1,0))))))</f>
        <v>0</v>
      </c>
      <c r="AA166" s="69">
        <f>MAX(IF((G166&gt;=6)*(1-(IF(H166="",-1,H166)&gt;=1)*(IF(H166="",-1,H166)&lt;=3))*(1-(IF(H166="",-1,H166)=0)),IF(C166="peso_corporal",IF(ISNUMBER(E166),E166,0)+F166,F166)*(30+G166)*100+F166,0),IF((J166&gt;=6)*(1-(IF(K166="",-1,K166)&gt;=1)*(IF(K166="",-1,K166)&lt;=3))*(1-(IF(K166="",-1,K166)=0)),IF(C166="peso_corporal",IF(ISNUMBER(E166),E166,0)+I166,I166)*(30+J166)*100+I166,0),IF((M166&gt;=6)*(1-(IF(N166="",-1,N166)&gt;=1)*(IF(N166="",-1,N166)&lt;=3))*(1-(IF(N166="",-1,N166)=0)),IF(C166="peso_corporal",IF(ISNUMBER(E166),E166,0)+L166,L166)*(30+M166)*100+L166,0),IF((P166&gt;=6)*(1-(IF(Q166="",-1,Q166)&gt;=1)*(IF(Q166="",-1,Q166)&lt;=3))*(1-(IF(Q166="",-1,Q166)=0)),IF(C166="peso_corporal",IF(ISNUMBER(E166),E166,0)+O166,O166)*(30+P166)*100+O166,0),IF((S166&gt;=6)*(1-(IF(T166="",-1,T166)&gt;=1)*(IF(T166="",-1,T166)&lt;=3))*(1-(IF(T166="",-1,T166)=0)),IF(C166="peso_corporal",IF(ISNUMBER(E166),E166,0)+R166,R166)*(30+S166)*100+R166,0))</f>
        <v>0</v>
      </c>
      <c r="AB166" s="69">
        <f>IF(AA166=0,0,IF(IF((S166&gt;=6)*(1-(IF(T166="",-1,T166)&gt;=1)*(IF(T166="",-1,T166)&lt;=3))*(1-(IF(T166="",-1,T166)=0)),IF(C166="peso_corporal",IF(ISNUMBER(E166),E166,0)+R166,R166)*(30+S166)*100+R166,0)=AA166,5,IF(IF((P166&gt;=6)*(1-(IF(Q166="",-1,Q166)&gt;=1)*(IF(Q166="",-1,Q166)&lt;=3))*(1-(IF(Q166="",-1,Q166)=0)),IF(C166="peso_corporal",IF(ISNUMBER(E166),E166,0)+O166,O166)*(30+P166)*100+O166,0)=AA166,4,IF(IF((M166&gt;=6)*(1-(IF(N166="",-1,N166)&gt;=1)*(IF(N166="",-1,N166)&lt;=3))*(1-(IF(N166="",-1,N166)=0)),IF(C166="peso_corporal",IF(ISNUMBER(E166),E166,0)+L166,L166)*(30+M166)*100+L166,0)=AA166,3,IF(IF((J166&gt;=6)*(1-(IF(K166="",-1,K166)&gt;=1)*(IF(K166="",-1,K166)&lt;=3))*(1-(IF(K166="",-1,K166)=0)),IF(C166="peso_corporal",IF(ISNUMBER(E166),E166,0)+I166,I166)*(30+J166)*100+I166,0)=AA166,2,IF(IF((G166&gt;=6)*(1-(IF(H166="",-1,H166)&gt;=1)*(IF(H166="",-1,H166)&lt;=3))*(1-(IF(H166="",-1,H166)=0)),IF(C166="peso_corporal",IF(ISNUMBER(E166),E166,0)+F166,F166)*(30+G166)*100+F166,0)=AA166,1,0))))))</f>
        <v>0</v>
      </c>
      <c r="AC166" s="69" t="str">
        <f>IF(X166&gt;0,"A"&amp;X166,IF(Z166&gt;0,"B"&amp;Z166,IF(AB166&gt;0,"C"&amp;AB166,"")))</f>
        <v/>
      </c>
    </row>
    <row r="167" spans="1:29" ht="20.100000000000001" customHeight="1">
      <c r="A167" s="14" t="s">
        <v>100</v>
      </c>
      <c r="B167" s="15" t="s">
        <v>102</v>
      </c>
      <c r="C167" s="16" t="str">
        <f>IFERROR(INDEX(EJERCICIOS!$D$3:$D$75,MATCH(A167&amp;"|"&amp;B167,EJERCICIOS!$G$3:$G$75,0)),"--")</f>
        <v>mancuerna</v>
      </c>
      <c r="D167" s="17">
        <v>3</v>
      </c>
      <c r="E167" s="18">
        <f>IFERROR(LOOKUP(2,1/(MEDIDAS_Y_PESO!$B$3:$B$9&lt;&gt;""),MEDIDAS_Y_PESO!$B$3:$B$9),"--")</f>
        <v>80</v>
      </c>
      <c r="F167" s="19"/>
      <c r="G167" s="20"/>
      <c r="H167" s="21"/>
      <c r="I167" s="19"/>
      <c r="J167" s="20"/>
      <c r="K167" s="21"/>
      <c r="L167" s="19"/>
      <c r="M167" s="20"/>
      <c r="N167" s="21"/>
      <c r="O167" s="19"/>
      <c r="P167" s="20"/>
      <c r="Q167" s="21"/>
      <c r="R167" s="19"/>
      <c r="S167" s="20"/>
      <c r="T167" s="21"/>
      <c r="U167" s="22" t="str">
        <f>IFERROR(IF(IF(X167&gt;0,X167,IF(Z167&gt;0,Z167,IF(AB167&gt;0,AB167,0)))=0,"--",ROUND(CHOOSE(IF(X167&gt;0,X167,IF(Z167&gt;0,Z167,IF(AB167&gt;0,AB167,0))),IF(C167="peso_corporal",IF(ISNUMBER(E167),E167,0)+F167,F167)*(1+G167/30),IF(C167="peso_corporal",IF(ISNUMBER(E167),E167,0)+I167,I167)*(1+J167/30),IF(C167="peso_corporal",IF(ISNUMBER(E167),E167,0)+L167,L167)*(1+M167/30),IF(C167="peso_corporal",IF(ISNUMBER(E167),E167,0)+O167,O167)*(1+P167/30),IF(C167="peso_corporal",IF(ISNUMBER(E167),E167,0)+R167,R167)*(1+S167/30)),1)),"--")</f>
        <v>--</v>
      </c>
      <c r="V167" s="23" t="str">
        <f>IF(SUGERENCIAS!N439="SIN","Sin datos anteriores",IF(SUGERENCIAS!N439="SUBIR_F","^ SUBIR FUERTE | Kg:"&amp;ROUND(SUGERENCIAS!K439,1)&amp;" R:"&amp;ROUND(SUGERENCIAS!L439,0)&amp;" RIR:"&amp;ROUND(SUGERENCIAS!M439,0),IF(SUGERENCIAS!N439="SUBIR_E","^ SUBIR (Est.) | Kg:"&amp;ROUND(SUGERENCIAS!K439,1)&amp;" R:"&amp;ROUND(SUGERENCIAS!L439,0)&amp;" RIR:"&amp;ROUND(SUGERENCIAS!M439,0),IF(SUGERENCIAS!N439="SUBIR","^ SUBIR | Kg:"&amp;ROUND(SUGERENCIAS!K439,1)&amp;" R:"&amp;ROUND(SUGERENCIAS!L439,0)&amp;" RIR:"&amp;ROUND(SUGERENCIAS!M439,0),IF(SUGERENCIAS!N439="BAJAR","v BAJAR | Kg:"&amp;ROUND(SUGERENCIAS!K439,1)&amp;" R:"&amp;ROUND(SUGERENCIAS!L439,0)&amp;" RIR:"&amp;ROUND(SUGERENCIAS!M439,0),"= MANT | Kg:"&amp;ROUND(SUGERENCIAS!K439,1)&amp;" R:"&amp;ROUND(SUGERENCIAS!L439,0)&amp;" RIR:"&amp;ROUND(SUGERENCIAS!M439,0))))))</f>
        <v>Sin datos anteriores</v>
      </c>
      <c r="W167" s="69">
        <f>MAX(IF((G167&gt;0)*(IF(H167="",-1,H167)&gt;=1)*(IF(H167="",-1,H167)&lt;=3),IF(C167="peso_corporal",IF(ISNUMBER(E167),E167,0)+F167,F167)*G167*1000+F167,0),IF((J167&gt;0)*(IF(K167="",-1,K167)&gt;=1)*(IF(K167="",-1,K167)&lt;=3),IF(C167="peso_corporal",IF(ISNUMBER(E167),E167,0)+I167,I167)*J167*1000+I167,0),IF((M167&gt;0)*(IF(N167="",-1,N167)&gt;=1)*(IF(N167="",-1,N167)&lt;=3),IF(C167="peso_corporal",IF(ISNUMBER(E167),E167,0)+L167,L167)*M167*1000+L167,0),IF((P167&gt;0)*(IF(Q167="",-1,Q167)&gt;=1)*(IF(Q167="",-1,Q167)&lt;=3),IF(C167="peso_corporal",IF(ISNUMBER(E167),E167,0)+O167,O167)*P167*1000+O167,0),IF((S167&gt;0)*(IF(T167="",-1,T167)&gt;=1)*(IF(T167="",-1,T167)&lt;=3),IF(C167="peso_corporal",IF(ISNUMBER(E167),E167,0)+R167,R167)*S167*1000+R167,0))</f>
        <v>0</v>
      </c>
      <c r="X167" s="69">
        <f>IF(W167=0,0,IF(IF((S167&gt;0)*(IF(T167="",-1,T167)&gt;=1)*(IF(T167="",-1,T167)&lt;=3),IF(C167="peso_corporal",IF(ISNUMBER(E167),E167,0)+R167,R167)*S167*1000+R167,0)=W167,5,IF(IF((P167&gt;0)*(IF(Q167="",-1,Q167)&gt;=1)*(IF(Q167="",-1,Q167)&lt;=3),IF(C167="peso_corporal",IF(ISNUMBER(E167),E167,0)+O167,O167)*P167*1000+O167,0)=W167,4,IF(IF((M167&gt;0)*(IF(N167="",-1,N167)&gt;=1)*(IF(N167="",-1,N167)&lt;=3),IF(C167="peso_corporal",IF(ISNUMBER(E167),E167,0)+L167,L167)*M167*1000+L167,0)=W167,3,IF(IF((J167&gt;0)*(IF(K167="",-1,K167)&gt;=1)*(IF(K167="",-1,K167)&lt;=3),IF(C167="peso_corporal",IF(ISNUMBER(E167),E167,0)+I167,I167)*J167*1000+I167,0)=W167,2,IF(IF((G167&gt;0)*(IF(H167="",-1,H167)&gt;=1)*(IF(H167="",-1,H167)&lt;=3),IF(C167="peso_corporal",IF(ISNUMBER(E167),E167,0)+F167,F167)*G167*1000+F167,0)=W167,1,0))))))</f>
        <v>0</v>
      </c>
      <c r="Y167" s="69">
        <f>MAX(IF((G167&gt;0)*(IF(H167="",-1,H167)=0)*(1-(IF(H167="",-1,H167)&gt;=1)*(IF(H167="",-1,H167)&lt;=3)),IF(C167="peso_corporal",IF(ISNUMBER(E167),E167,0)+F167,F167)*G167*1000+F167,0),IF((J167&gt;0)*(IF(K167="",-1,K167)=0)*(1-(IF(K167="",-1,K167)&gt;=1)*(IF(K167="",-1,K167)&lt;=3)),IF(C167="peso_corporal",IF(ISNUMBER(E167),E167,0)+I167,I167)*J167*1000+I167,0),IF((M167&gt;0)*(IF(N167="",-1,N167)=0)*(1-(IF(N167="",-1,N167)&gt;=1)*(IF(N167="",-1,N167)&lt;=3)),IF(C167="peso_corporal",IF(ISNUMBER(E167),E167,0)+L167,L167)*M167*1000+L167,0),IF((P167&gt;0)*(IF(Q167="",-1,Q167)=0)*(1-(IF(Q167="",-1,Q167)&gt;=1)*(IF(Q167="",-1,Q167)&lt;=3)),IF(C167="peso_corporal",IF(ISNUMBER(E167),E167,0)+O167,O167)*P167*1000+O167,0),IF((S167&gt;0)*(IF(T167="",-1,T167)=0)*(1-(IF(T167="",-1,T167)&gt;=1)*(IF(T167="",-1,T167)&lt;=3)),IF(C167="peso_corporal",IF(ISNUMBER(E167),E167,0)+R167,R167)*S167*1000+R167,0))</f>
        <v>0</v>
      </c>
      <c r="Z167" s="69">
        <f>IF(Y167=0,0,IF(IF((S167&gt;0)*(IF(T167="",-1,T167)=0)*(1-(IF(T167="",-1,T167)&gt;=1)*(IF(T167="",-1,T167)&lt;=3)),IF(C167="peso_corporal",IF(ISNUMBER(E167),E167,0)+R167,R167)*S167*1000+R167,0)=Y167,5,IF(IF((P167&gt;0)*(IF(Q167="",-1,Q167)=0)*(1-(IF(Q167="",-1,Q167)&gt;=1)*(IF(Q167="",-1,Q167)&lt;=3)),IF(C167="peso_corporal",IF(ISNUMBER(E167),E167,0)+O167,O167)*P167*1000+O167,0)=Y167,4,IF(IF((M167&gt;0)*(IF(N167="",-1,N167)=0)*(1-(IF(N167="",-1,N167)&gt;=1)*(IF(N167="",-1,N167)&lt;=3)),IF(C167="peso_corporal",IF(ISNUMBER(E167),E167,0)+L167,L167)*M167*1000+L167,0)=Y167,3,IF(IF((J167&gt;0)*(IF(K167="",-1,K167)=0)*(1-(IF(K167="",-1,K167)&gt;=1)*(IF(K167="",-1,K167)&lt;=3)),IF(C167="peso_corporal",IF(ISNUMBER(E167),E167,0)+I167,I167)*J167*1000+I167,0)=Y167,2,IF(IF((G167&gt;0)*(IF(H167="",-1,H167)=0)*(1-(IF(H167="",-1,H167)&gt;=1)*(IF(H167="",-1,H167)&lt;=3)),IF(C167="peso_corporal",IF(ISNUMBER(E167),E167,0)+F167,F167)*G167*1000+F167,0)=Y167,1,0))))))</f>
        <v>0</v>
      </c>
      <c r="AA167" s="69">
        <f>MAX(IF((G167&gt;=6)*(1-(IF(H167="",-1,H167)&gt;=1)*(IF(H167="",-1,H167)&lt;=3))*(1-(IF(H167="",-1,H167)=0)),IF(C167="peso_corporal",IF(ISNUMBER(E167),E167,0)+F167,F167)*(30+G167)*100+F167,0),IF((J167&gt;=6)*(1-(IF(K167="",-1,K167)&gt;=1)*(IF(K167="",-1,K167)&lt;=3))*(1-(IF(K167="",-1,K167)=0)),IF(C167="peso_corporal",IF(ISNUMBER(E167),E167,0)+I167,I167)*(30+J167)*100+I167,0),IF((M167&gt;=6)*(1-(IF(N167="",-1,N167)&gt;=1)*(IF(N167="",-1,N167)&lt;=3))*(1-(IF(N167="",-1,N167)=0)),IF(C167="peso_corporal",IF(ISNUMBER(E167),E167,0)+L167,L167)*(30+M167)*100+L167,0),IF((P167&gt;=6)*(1-(IF(Q167="",-1,Q167)&gt;=1)*(IF(Q167="",-1,Q167)&lt;=3))*(1-(IF(Q167="",-1,Q167)=0)),IF(C167="peso_corporal",IF(ISNUMBER(E167),E167,0)+O167,O167)*(30+P167)*100+O167,0),IF((S167&gt;=6)*(1-(IF(T167="",-1,T167)&gt;=1)*(IF(T167="",-1,T167)&lt;=3))*(1-(IF(T167="",-1,T167)=0)),IF(C167="peso_corporal",IF(ISNUMBER(E167),E167,0)+R167,R167)*(30+S167)*100+R167,0))</f>
        <v>0</v>
      </c>
      <c r="AB167" s="69">
        <f>IF(AA167=0,0,IF(IF((S167&gt;=6)*(1-(IF(T167="",-1,T167)&gt;=1)*(IF(T167="",-1,T167)&lt;=3))*(1-(IF(T167="",-1,T167)=0)),IF(C167="peso_corporal",IF(ISNUMBER(E167),E167,0)+R167,R167)*(30+S167)*100+R167,0)=AA167,5,IF(IF((P167&gt;=6)*(1-(IF(Q167="",-1,Q167)&gt;=1)*(IF(Q167="",-1,Q167)&lt;=3))*(1-(IF(Q167="",-1,Q167)=0)),IF(C167="peso_corporal",IF(ISNUMBER(E167),E167,0)+O167,O167)*(30+P167)*100+O167,0)=AA167,4,IF(IF((M167&gt;=6)*(1-(IF(N167="",-1,N167)&gt;=1)*(IF(N167="",-1,N167)&lt;=3))*(1-(IF(N167="",-1,N167)=0)),IF(C167="peso_corporal",IF(ISNUMBER(E167),E167,0)+L167,L167)*(30+M167)*100+L167,0)=AA167,3,IF(IF((J167&gt;=6)*(1-(IF(K167="",-1,K167)&gt;=1)*(IF(K167="",-1,K167)&lt;=3))*(1-(IF(K167="",-1,K167)=0)),IF(C167="peso_corporal",IF(ISNUMBER(E167),E167,0)+I167,I167)*(30+J167)*100+I167,0)=AA167,2,IF(IF((G167&gt;=6)*(1-(IF(H167="",-1,H167)&gt;=1)*(IF(H167="",-1,H167)&lt;=3))*(1-(IF(H167="",-1,H167)=0)),IF(C167="peso_corporal",IF(ISNUMBER(E167),E167,0)+F167,F167)*(30+G167)*100+F167,0)=AA167,1,0))))))</f>
        <v>0</v>
      </c>
      <c r="AC167" s="69" t="str">
        <f>IF(X167&gt;0,"A"&amp;X167,IF(Z167&gt;0,"B"&amp;Z167,IF(AB167&gt;0,"C"&amp;AB167,"")))</f>
        <v/>
      </c>
    </row>
    <row r="168" spans="1:29" ht="15" customHeight="1">
      <c r="A168" s="81" t="s">
        <v>42</v>
      </c>
      <c r="B168" s="73"/>
      <c r="C168" s="73"/>
      <c r="D168" s="73"/>
      <c r="E168" s="73"/>
      <c r="F168" s="73"/>
      <c r="G168" s="73"/>
      <c r="H168" s="73"/>
      <c r="I168" s="73"/>
      <c r="J168" s="73"/>
      <c r="K168" s="73"/>
      <c r="L168" s="73"/>
      <c r="M168" s="73"/>
      <c r="N168" s="73"/>
      <c r="O168" s="73"/>
      <c r="P168" s="73"/>
      <c r="Q168" s="73"/>
      <c r="R168" s="73"/>
      <c r="S168" s="73"/>
      <c r="T168" s="73"/>
      <c r="U168" s="73"/>
      <c r="V168" s="73"/>
      <c r="W168" s="69"/>
      <c r="X168" s="69"/>
      <c r="Y168" s="69"/>
      <c r="Z168" s="69"/>
      <c r="AA168" s="69"/>
      <c r="AB168" s="69"/>
      <c r="AC168" s="69"/>
    </row>
    <row r="169" spans="1:29" ht="20.100000000000001" customHeight="1">
      <c r="A169" s="14" t="s">
        <v>43</v>
      </c>
      <c r="B169" s="15" t="s">
        <v>44</v>
      </c>
      <c r="C169" s="16" t="str">
        <f>IFERROR(INDEX(EJERCICIOS!$D$3:$D$75,MATCH(A169&amp;"|"&amp;B169,EJERCICIOS!$G$3:$G$75,0)),"--")</f>
        <v>polea</v>
      </c>
      <c r="D169" s="17">
        <v>3</v>
      </c>
      <c r="E169" s="18">
        <f>IFERROR(LOOKUP(2,1/(MEDIDAS_Y_PESO!$B$3:$B$9&lt;&gt;""),MEDIDAS_Y_PESO!$B$3:$B$9),"--")</f>
        <v>80</v>
      </c>
      <c r="F169" s="19"/>
      <c r="G169" s="20"/>
      <c r="H169" s="21"/>
      <c r="I169" s="19"/>
      <c r="J169" s="20"/>
      <c r="K169" s="21"/>
      <c r="L169" s="19"/>
      <c r="M169" s="20"/>
      <c r="N169" s="21"/>
      <c r="O169" s="19"/>
      <c r="P169" s="20"/>
      <c r="Q169" s="21"/>
      <c r="R169" s="19"/>
      <c r="S169" s="20"/>
      <c r="T169" s="21"/>
      <c r="U169" s="22" t="str">
        <f>IFERROR(IF(IF(X169&gt;0,X169,IF(Z169&gt;0,Z169,IF(AB169&gt;0,AB169,0)))=0,"--",ROUND(CHOOSE(IF(X169&gt;0,X169,IF(Z169&gt;0,Z169,IF(AB169&gt;0,AB169,0))),IF(C169="peso_corporal",IF(ISNUMBER(E169),E169,0)+F169,F169)*(1+G169/30),IF(C169="peso_corporal",IF(ISNUMBER(E169),E169,0)+I169,I169)*(1+J169/30),IF(C169="peso_corporal",IF(ISNUMBER(E169),E169,0)+L169,L169)*(1+M169/30),IF(C169="peso_corporal",IF(ISNUMBER(E169),E169,0)+O169,O169)*(1+P169/30),IF(C169="peso_corporal",IF(ISNUMBER(E169),E169,0)+R169,R169)*(1+S169/30)),1)),"--")</f>
        <v>--</v>
      </c>
      <c r="V169" s="23" t="str">
        <f>IF(SUGERENCIAS!N440="SIN","Sin datos anteriores",IF(SUGERENCIAS!N440="SUBIR_F","^ SUBIR FUERTE | Kg:"&amp;ROUND(SUGERENCIAS!K440,1)&amp;" R:"&amp;ROUND(SUGERENCIAS!L440,0)&amp;" RIR:"&amp;ROUND(SUGERENCIAS!M440,0),IF(SUGERENCIAS!N440="SUBIR_E","^ SUBIR (Est.) | Kg:"&amp;ROUND(SUGERENCIAS!K440,1)&amp;" R:"&amp;ROUND(SUGERENCIAS!L440,0)&amp;" RIR:"&amp;ROUND(SUGERENCIAS!M440,0),IF(SUGERENCIAS!N440="SUBIR","^ SUBIR | Kg:"&amp;ROUND(SUGERENCIAS!K440,1)&amp;" R:"&amp;ROUND(SUGERENCIAS!L440,0)&amp;" RIR:"&amp;ROUND(SUGERENCIAS!M440,0),IF(SUGERENCIAS!N440="BAJAR","v BAJAR | Kg:"&amp;ROUND(SUGERENCIAS!K440,1)&amp;" R:"&amp;ROUND(SUGERENCIAS!L440,0)&amp;" RIR:"&amp;ROUND(SUGERENCIAS!M440,0),"= MANT | Kg:"&amp;ROUND(SUGERENCIAS!K440,1)&amp;" R:"&amp;ROUND(SUGERENCIAS!L440,0)&amp;" RIR:"&amp;ROUND(SUGERENCIAS!M440,0))))))</f>
        <v>Sin datos anteriores</v>
      </c>
      <c r="W169" s="69">
        <f>MAX(IF((G169&gt;0)*(IF(H169="",-1,H169)&gt;=1)*(IF(H169="",-1,H169)&lt;=3),IF(C169="peso_corporal",IF(ISNUMBER(E169),E169,0)+F169,F169)*G169*1000+F169,0),IF((J169&gt;0)*(IF(K169="",-1,K169)&gt;=1)*(IF(K169="",-1,K169)&lt;=3),IF(C169="peso_corporal",IF(ISNUMBER(E169),E169,0)+I169,I169)*J169*1000+I169,0),IF((M169&gt;0)*(IF(N169="",-1,N169)&gt;=1)*(IF(N169="",-1,N169)&lt;=3),IF(C169="peso_corporal",IF(ISNUMBER(E169),E169,0)+L169,L169)*M169*1000+L169,0),IF((P169&gt;0)*(IF(Q169="",-1,Q169)&gt;=1)*(IF(Q169="",-1,Q169)&lt;=3),IF(C169="peso_corporal",IF(ISNUMBER(E169),E169,0)+O169,O169)*P169*1000+O169,0),IF((S169&gt;0)*(IF(T169="",-1,T169)&gt;=1)*(IF(T169="",-1,T169)&lt;=3),IF(C169="peso_corporal",IF(ISNUMBER(E169),E169,0)+R169,R169)*S169*1000+R169,0))</f>
        <v>0</v>
      </c>
      <c r="X169" s="69">
        <f>IF(W169=0,0,IF(IF((S169&gt;0)*(IF(T169="",-1,T169)&gt;=1)*(IF(T169="",-1,T169)&lt;=3),IF(C169="peso_corporal",IF(ISNUMBER(E169),E169,0)+R169,R169)*S169*1000+R169,0)=W169,5,IF(IF((P169&gt;0)*(IF(Q169="",-1,Q169)&gt;=1)*(IF(Q169="",-1,Q169)&lt;=3),IF(C169="peso_corporal",IF(ISNUMBER(E169),E169,0)+O169,O169)*P169*1000+O169,0)=W169,4,IF(IF((M169&gt;0)*(IF(N169="",-1,N169)&gt;=1)*(IF(N169="",-1,N169)&lt;=3),IF(C169="peso_corporal",IF(ISNUMBER(E169),E169,0)+L169,L169)*M169*1000+L169,0)=W169,3,IF(IF((J169&gt;0)*(IF(K169="",-1,K169)&gt;=1)*(IF(K169="",-1,K169)&lt;=3),IF(C169="peso_corporal",IF(ISNUMBER(E169),E169,0)+I169,I169)*J169*1000+I169,0)=W169,2,IF(IF((G169&gt;0)*(IF(H169="",-1,H169)&gt;=1)*(IF(H169="",-1,H169)&lt;=3),IF(C169="peso_corporal",IF(ISNUMBER(E169),E169,0)+F169,F169)*G169*1000+F169,0)=W169,1,0))))))</f>
        <v>0</v>
      </c>
      <c r="Y169" s="69">
        <f>MAX(IF((G169&gt;0)*(IF(H169="",-1,H169)=0)*(1-(IF(H169="",-1,H169)&gt;=1)*(IF(H169="",-1,H169)&lt;=3)),IF(C169="peso_corporal",IF(ISNUMBER(E169),E169,0)+F169,F169)*G169*1000+F169,0),IF((J169&gt;0)*(IF(K169="",-1,K169)=0)*(1-(IF(K169="",-1,K169)&gt;=1)*(IF(K169="",-1,K169)&lt;=3)),IF(C169="peso_corporal",IF(ISNUMBER(E169),E169,0)+I169,I169)*J169*1000+I169,0),IF((M169&gt;0)*(IF(N169="",-1,N169)=0)*(1-(IF(N169="",-1,N169)&gt;=1)*(IF(N169="",-1,N169)&lt;=3)),IF(C169="peso_corporal",IF(ISNUMBER(E169),E169,0)+L169,L169)*M169*1000+L169,0),IF((P169&gt;0)*(IF(Q169="",-1,Q169)=0)*(1-(IF(Q169="",-1,Q169)&gt;=1)*(IF(Q169="",-1,Q169)&lt;=3)),IF(C169="peso_corporal",IF(ISNUMBER(E169),E169,0)+O169,O169)*P169*1000+O169,0),IF((S169&gt;0)*(IF(T169="",-1,T169)=0)*(1-(IF(T169="",-1,T169)&gt;=1)*(IF(T169="",-1,T169)&lt;=3)),IF(C169="peso_corporal",IF(ISNUMBER(E169),E169,0)+R169,R169)*S169*1000+R169,0))</f>
        <v>0</v>
      </c>
      <c r="Z169" s="69">
        <f>IF(Y169=0,0,IF(IF((S169&gt;0)*(IF(T169="",-1,T169)=0)*(1-(IF(T169="",-1,T169)&gt;=1)*(IF(T169="",-1,T169)&lt;=3)),IF(C169="peso_corporal",IF(ISNUMBER(E169),E169,0)+R169,R169)*S169*1000+R169,0)=Y169,5,IF(IF((P169&gt;0)*(IF(Q169="",-1,Q169)=0)*(1-(IF(Q169="",-1,Q169)&gt;=1)*(IF(Q169="",-1,Q169)&lt;=3)),IF(C169="peso_corporal",IF(ISNUMBER(E169),E169,0)+O169,O169)*P169*1000+O169,0)=Y169,4,IF(IF((M169&gt;0)*(IF(N169="",-1,N169)=0)*(1-(IF(N169="",-1,N169)&gt;=1)*(IF(N169="",-1,N169)&lt;=3)),IF(C169="peso_corporal",IF(ISNUMBER(E169),E169,0)+L169,L169)*M169*1000+L169,0)=Y169,3,IF(IF((J169&gt;0)*(IF(K169="",-1,K169)=0)*(1-(IF(K169="",-1,K169)&gt;=1)*(IF(K169="",-1,K169)&lt;=3)),IF(C169="peso_corporal",IF(ISNUMBER(E169),E169,0)+I169,I169)*J169*1000+I169,0)=Y169,2,IF(IF((G169&gt;0)*(IF(H169="",-1,H169)=0)*(1-(IF(H169="",-1,H169)&gt;=1)*(IF(H169="",-1,H169)&lt;=3)),IF(C169="peso_corporal",IF(ISNUMBER(E169),E169,0)+F169,F169)*G169*1000+F169,0)=Y169,1,0))))))</f>
        <v>0</v>
      </c>
      <c r="AA169" s="69">
        <f>MAX(IF((G169&gt;=6)*(1-(IF(H169="",-1,H169)&gt;=1)*(IF(H169="",-1,H169)&lt;=3))*(1-(IF(H169="",-1,H169)=0)),IF(C169="peso_corporal",IF(ISNUMBER(E169),E169,0)+F169,F169)*(30+G169)*100+F169,0),IF((J169&gt;=6)*(1-(IF(K169="",-1,K169)&gt;=1)*(IF(K169="",-1,K169)&lt;=3))*(1-(IF(K169="",-1,K169)=0)),IF(C169="peso_corporal",IF(ISNUMBER(E169),E169,0)+I169,I169)*(30+J169)*100+I169,0),IF((M169&gt;=6)*(1-(IF(N169="",-1,N169)&gt;=1)*(IF(N169="",-1,N169)&lt;=3))*(1-(IF(N169="",-1,N169)=0)),IF(C169="peso_corporal",IF(ISNUMBER(E169),E169,0)+L169,L169)*(30+M169)*100+L169,0),IF((P169&gt;=6)*(1-(IF(Q169="",-1,Q169)&gt;=1)*(IF(Q169="",-1,Q169)&lt;=3))*(1-(IF(Q169="",-1,Q169)=0)),IF(C169="peso_corporal",IF(ISNUMBER(E169),E169,0)+O169,O169)*(30+P169)*100+O169,0),IF((S169&gt;=6)*(1-(IF(T169="",-1,T169)&gt;=1)*(IF(T169="",-1,T169)&lt;=3))*(1-(IF(T169="",-1,T169)=0)),IF(C169="peso_corporal",IF(ISNUMBER(E169),E169,0)+R169,R169)*(30+S169)*100+R169,0))</f>
        <v>0</v>
      </c>
      <c r="AB169" s="69">
        <f>IF(AA169=0,0,IF(IF((S169&gt;=6)*(1-(IF(T169="",-1,T169)&gt;=1)*(IF(T169="",-1,T169)&lt;=3))*(1-(IF(T169="",-1,T169)=0)),IF(C169="peso_corporal",IF(ISNUMBER(E169),E169,0)+R169,R169)*(30+S169)*100+R169,0)=AA169,5,IF(IF((P169&gt;=6)*(1-(IF(Q169="",-1,Q169)&gt;=1)*(IF(Q169="",-1,Q169)&lt;=3))*(1-(IF(Q169="",-1,Q169)=0)),IF(C169="peso_corporal",IF(ISNUMBER(E169),E169,0)+O169,O169)*(30+P169)*100+O169,0)=AA169,4,IF(IF((M169&gt;=6)*(1-(IF(N169="",-1,N169)&gt;=1)*(IF(N169="",-1,N169)&lt;=3))*(1-(IF(N169="",-1,N169)=0)),IF(C169="peso_corporal",IF(ISNUMBER(E169),E169,0)+L169,L169)*(30+M169)*100+L169,0)=AA169,3,IF(IF((J169&gt;=6)*(1-(IF(K169="",-1,K169)&gt;=1)*(IF(K169="",-1,K169)&lt;=3))*(1-(IF(K169="",-1,K169)=0)),IF(C169="peso_corporal",IF(ISNUMBER(E169),E169,0)+I169,I169)*(30+J169)*100+I169,0)=AA169,2,IF(IF((G169&gt;=6)*(1-(IF(H169="",-1,H169)&gt;=1)*(IF(H169="",-1,H169)&lt;=3))*(1-(IF(H169="",-1,H169)=0)),IF(C169="peso_corporal",IF(ISNUMBER(E169),E169,0)+F169,F169)*(30+G169)*100+F169,0)=AA169,1,0))))))</f>
        <v>0</v>
      </c>
      <c r="AC169" s="69" t="str">
        <f>IF(X169&gt;0,"A"&amp;X169,IF(Z169&gt;0,"B"&amp;Z169,IF(AB169&gt;0,"C"&amp;AB169,"")))</f>
        <v/>
      </c>
    </row>
    <row r="170" spans="1:29" ht="15" customHeight="1">
      <c r="A170" s="81" t="s">
        <v>174</v>
      </c>
      <c r="B170" s="73"/>
      <c r="C170" s="73"/>
      <c r="D170" s="73"/>
      <c r="E170" s="73"/>
      <c r="F170" s="73"/>
      <c r="G170" s="73"/>
      <c r="H170" s="73"/>
      <c r="I170" s="73"/>
      <c r="J170" s="73"/>
      <c r="K170" s="73"/>
      <c r="L170" s="73"/>
      <c r="M170" s="73"/>
      <c r="N170" s="73"/>
      <c r="O170" s="73"/>
      <c r="P170" s="73"/>
      <c r="Q170" s="73"/>
      <c r="R170" s="73"/>
      <c r="S170" s="73"/>
      <c r="T170" s="73"/>
      <c r="U170" s="73"/>
      <c r="V170" s="73"/>
      <c r="W170" s="69"/>
      <c r="X170" s="69"/>
      <c r="Y170" s="69"/>
      <c r="Z170" s="69"/>
      <c r="AA170" s="69"/>
      <c r="AB170" s="69"/>
      <c r="AC170" s="69"/>
    </row>
    <row r="171" spans="1:29" ht="20.100000000000001" customHeight="1">
      <c r="A171" s="14" t="s">
        <v>175</v>
      </c>
      <c r="B171" s="15" t="s">
        <v>176</v>
      </c>
      <c r="C171" s="16" t="str">
        <f>IFERROR(INDEX(EJERCICIOS!$D$3:$D$75,MATCH(A171&amp;"|"&amp;B171,EJERCICIOS!$G$3:$G$75,0)),"--")</f>
        <v>mancuerna</v>
      </c>
      <c r="D171" s="17">
        <v>3</v>
      </c>
      <c r="E171" s="18">
        <f>IFERROR(LOOKUP(2,1/(MEDIDAS_Y_PESO!$B$3:$B$9&lt;&gt;""),MEDIDAS_Y_PESO!$B$3:$B$9),"--")</f>
        <v>80</v>
      </c>
      <c r="F171" s="19"/>
      <c r="G171" s="20"/>
      <c r="H171" s="21"/>
      <c r="I171" s="19"/>
      <c r="J171" s="20"/>
      <c r="K171" s="21"/>
      <c r="L171" s="19"/>
      <c r="M171" s="20"/>
      <c r="N171" s="21"/>
      <c r="O171" s="19"/>
      <c r="P171" s="20"/>
      <c r="Q171" s="21"/>
      <c r="R171" s="19"/>
      <c r="S171" s="20"/>
      <c r="T171" s="21"/>
      <c r="U171" s="22" t="str">
        <f>IFERROR(IF(IF(X171&gt;0,X171,IF(Z171&gt;0,Z171,IF(AB171&gt;0,AB171,0)))=0,"--",ROUND(CHOOSE(IF(X171&gt;0,X171,IF(Z171&gt;0,Z171,IF(AB171&gt;0,AB171,0))),IF(C171="peso_corporal",IF(ISNUMBER(E171),E171,0)+F171,F171)*(1+G171/30),IF(C171="peso_corporal",IF(ISNUMBER(E171),E171,0)+I171,I171)*(1+J171/30),IF(C171="peso_corporal",IF(ISNUMBER(E171),E171,0)+L171,L171)*(1+M171/30),IF(C171="peso_corporal",IF(ISNUMBER(E171),E171,0)+O171,O171)*(1+P171/30),IF(C171="peso_corporal",IF(ISNUMBER(E171),E171,0)+R171,R171)*(1+S171/30)),1)),"--")</f>
        <v>--</v>
      </c>
      <c r="V171" s="23" t="str">
        <f>IF(SUGERENCIAS!N441="SIN","Sin datos anteriores",IF(SUGERENCIAS!N441="SUBIR_F","^ SUBIR FUERTE | Kg:"&amp;ROUND(SUGERENCIAS!K441,1)&amp;" R:"&amp;ROUND(SUGERENCIAS!L441,0)&amp;" RIR:"&amp;ROUND(SUGERENCIAS!M441,0),IF(SUGERENCIAS!N441="SUBIR_E","^ SUBIR (Est.) | Kg:"&amp;ROUND(SUGERENCIAS!K441,1)&amp;" R:"&amp;ROUND(SUGERENCIAS!L441,0)&amp;" RIR:"&amp;ROUND(SUGERENCIAS!M441,0),IF(SUGERENCIAS!N441="SUBIR","^ SUBIR | Kg:"&amp;ROUND(SUGERENCIAS!K441,1)&amp;" R:"&amp;ROUND(SUGERENCIAS!L441,0)&amp;" RIR:"&amp;ROUND(SUGERENCIAS!M441,0),IF(SUGERENCIAS!N441="BAJAR","v BAJAR | Kg:"&amp;ROUND(SUGERENCIAS!K441,1)&amp;" R:"&amp;ROUND(SUGERENCIAS!L441,0)&amp;" RIR:"&amp;ROUND(SUGERENCIAS!M441,0),"= MANT | Kg:"&amp;ROUND(SUGERENCIAS!K441,1)&amp;" R:"&amp;ROUND(SUGERENCIAS!L441,0)&amp;" RIR:"&amp;ROUND(SUGERENCIAS!M441,0))))))</f>
        <v>Sin datos anteriores</v>
      </c>
      <c r="W171" s="69">
        <f>MAX(IF((G171&gt;0)*(IF(H171="",-1,H171)&gt;=1)*(IF(H171="",-1,H171)&lt;=3),IF(C171="peso_corporal",IF(ISNUMBER(E171),E171,0)+F171,F171)*G171*1000+F171,0),IF((J171&gt;0)*(IF(K171="",-1,K171)&gt;=1)*(IF(K171="",-1,K171)&lt;=3),IF(C171="peso_corporal",IF(ISNUMBER(E171),E171,0)+I171,I171)*J171*1000+I171,0),IF((M171&gt;0)*(IF(N171="",-1,N171)&gt;=1)*(IF(N171="",-1,N171)&lt;=3),IF(C171="peso_corporal",IF(ISNUMBER(E171),E171,0)+L171,L171)*M171*1000+L171,0),IF((P171&gt;0)*(IF(Q171="",-1,Q171)&gt;=1)*(IF(Q171="",-1,Q171)&lt;=3),IF(C171="peso_corporal",IF(ISNUMBER(E171),E171,0)+O171,O171)*P171*1000+O171,0),IF((S171&gt;0)*(IF(T171="",-1,T171)&gt;=1)*(IF(T171="",-1,T171)&lt;=3),IF(C171="peso_corporal",IF(ISNUMBER(E171),E171,0)+R171,R171)*S171*1000+R171,0))</f>
        <v>0</v>
      </c>
      <c r="X171" s="69">
        <f>IF(W171=0,0,IF(IF((S171&gt;0)*(IF(T171="",-1,T171)&gt;=1)*(IF(T171="",-1,T171)&lt;=3),IF(C171="peso_corporal",IF(ISNUMBER(E171),E171,0)+R171,R171)*S171*1000+R171,0)=W171,5,IF(IF((P171&gt;0)*(IF(Q171="",-1,Q171)&gt;=1)*(IF(Q171="",-1,Q171)&lt;=3),IF(C171="peso_corporal",IF(ISNUMBER(E171),E171,0)+O171,O171)*P171*1000+O171,0)=W171,4,IF(IF((M171&gt;0)*(IF(N171="",-1,N171)&gt;=1)*(IF(N171="",-1,N171)&lt;=3),IF(C171="peso_corporal",IF(ISNUMBER(E171),E171,0)+L171,L171)*M171*1000+L171,0)=W171,3,IF(IF((J171&gt;0)*(IF(K171="",-1,K171)&gt;=1)*(IF(K171="",-1,K171)&lt;=3),IF(C171="peso_corporal",IF(ISNUMBER(E171),E171,0)+I171,I171)*J171*1000+I171,0)=W171,2,IF(IF((G171&gt;0)*(IF(H171="",-1,H171)&gt;=1)*(IF(H171="",-1,H171)&lt;=3),IF(C171="peso_corporal",IF(ISNUMBER(E171),E171,0)+F171,F171)*G171*1000+F171,0)=W171,1,0))))))</f>
        <v>0</v>
      </c>
      <c r="Y171" s="69">
        <f>MAX(IF((G171&gt;0)*(IF(H171="",-1,H171)=0)*(1-(IF(H171="",-1,H171)&gt;=1)*(IF(H171="",-1,H171)&lt;=3)),IF(C171="peso_corporal",IF(ISNUMBER(E171),E171,0)+F171,F171)*G171*1000+F171,0),IF((J171&gt;0)*(IF(K171="",-1,K171)=0)*(1-(IF(K171="",-1,K171)&gt;=1)*(IF(K171="",-1,K171)&lt;=3)),IF(C171="peso_corporal",IF(ISNUMBER(E171),E171,0)+I171,I171)*J171*1000+I171,0),IF((M171&gt;0)*(IF(N171="",-1,N171)=0)*(1-(IF(N171="",-1,N171)&gt;=1)*(IF(N171="",-1,N171)&lt;=3)),IF(C171="peso_corporal",IF(ISNUMBER(E171),E171,0)+L171,L171)*M171*1000+L171,0),IF((P171&gt;0)*(IF(Q171="",-1,Q171)=0)*(1-(IF(Q171="",-1,Q171)&gt;=1)*(IF(Q171="",-1,Q171)&lt;=3)),IF(C171="peso_corporal",IF(ISNUMBER(E171),E171,0)+O171,O171)*P171*1000+O171,0),IF((S171&gt;0)*(IF(T171="",-1,T171)=0)*(1-(IF(T171="",-1,T171)&gt;=1)*(IF(T171="",-1,T171)&lt;=3)),IF(C171="peso_corporal",IF(ISNUMBER(E171),E171,0)+R171,R171)*S171*1000+R171,0))</f>
        <v>0</v>
      </c>
      <c r="Z171" s="69">
        <f>IF(Y171=0,0,IF(IF((S171&gt;0)*(IF(T171="",-1,T171)=0)*(1-(IF(T171="",-1,T171)&gt;=1)*(IF(T171="",-1,T171)&lt;=3)),IF(C171="peso_corporal",IF(ISNUMBER(E171),E171,0)+R171,R171)*S171*1000+R171,0)=Y171,5,IF(IF((P171&gt;0)*(IF(Q171="",-1,Q171)=0)*(1-(IF(Q171="",-1,Q171)&gt;=1)*(IF(Q171="",-1,Q171)&lt;=3)),IF(C171="peso_corporal",IF(ISNUMBER(E171),E171,0)+O171,O171)*P171*1000+O171,0)=Y171,4,IF(IF((M171&gt;0)*(IF(N171="",-1,N171)=0)*(1-(IF(N171="",-1,N171)&gt;=1)*(IF(N171="",-1,N171)&lt;=3)),IF(C171="peso_corporal",IF(ISNUMBER(E171),E171,0)+L171,L171)*M171*1000+L171,0)=Y171,3,IF(IF((J171&gt;0)*(IF(K171="",-1,K171)=0)*(1-(IF(K171="",-1,K171)&gt;=1)*(IF(K171="",-1,K171)&lt;=3)),IF(C171="peso_corporal",IF(ISNUMBER(E171),E171,0)+I171,I171)*J171*1000+I171,0)=Y171,2,IF(IF((G171&gt;0)*(IF(H171="",-1,H171)=0)*(1-(IF(H171="",-1,H171)&gt;=1)*(IF(H171="",-1,H171)&lt;=3)),IF(C171="peso_corporal",IF(ISNUMBER(E171),E171,0)+F171,F171)*G171*1000+F171,0)=Y171,1,0))))))</f>
        <v>0</v>
      </c>
      <c r="AA171" s="69">
        <f>MAX(IF((G171&gt;=6)*(1-(IF(H171="",-1,H171)&gt;=1)*(IF(H171="",-1,H171)&lt;=3))*(1-(IF(H171="",-1,H171)=0)),IF(C171="peso_corporal",IF(ISNUMBER(E171),E171,0)+F171,F171)*(30+G171)*100+F171,0),IF((J171&gt;=6)*(1-(IF(K171="",-1,K171)&gt;=1)*(IF(K171="",-1,K171)&lt;=3))*(1-(IF(K171="",-1,K171)=0)),IF(C171="peso_corporal",IF(ISNUMBER(E171),E171,0)+I171,I171)*(30+J171)*100+I171,0),IF((M171&gt;=6)*(1-(IF(N171="",-1,N171)&gt;=1)*(IF(N171="",-1,N171)&lt;=3))*(1-(IF(N171="",-1,N171)=0)),IF(C171="peso_corporal",IF(ISNUMBER(E171),E171,0)+L171,L171)*(30+M171)*100+L171,0),IF((P171&gt;=6)*(1-(IF(Q171="",-1,Q171)&gt;=1)*(IF(Q171="",-1,Q171)&lt;=3))*(1-(IF(Q171="",-1,Q171)=0)),IF(C171="peso_corporal",IF(ISNUMBER(E171),E171,0)+O171,O171)*(30+P171)*100+O171,0),IF((S171&gt;=6)*(1-(IF(T171="",-1,T171)&gt;=1)*(IF(T171="",-1,T171)&lt;=3))*(1-(IF(T171="",-1,T171)=0)),IF(C171="peso_corporal",IF(ISNUMBER(E171),E171,0)+R171,R171)*(30+S171)*100+R171,0))</f>
        <v>0</v>
      </c>
      <c r="AB171" s="69">
        <f>IF(AA171=0,0,IF(IF((S171&gt;=6)*(1-(IF(T171="",-1,T171)&gt;=1)*(IF(T171="",-1,T171)&lt;=3))*(1-(IF(T171="",-1,T171)=0)),IF(C171="peso_corporal",IF(ISNUMBER(E171),E171,0)+R171,R171)*(30+S171)*100+R171,0)=AA171,5,IF(IF((P171&gt;=6)*(1-(IF(Q171="",-1,Q171)&gt;=1)*(IF(Q171="",-1,Q171)&lt;=3))*(1-(IF(Q171="",-1,Q171)=0)),IF(C171="peso_corporal",IF(ISNUMBER(E171),E171,0)+O171,O171)*(30+P171)*100+O171,0)=AA171,4,IF(IF((M171&gt;=6)*(1-(IF(N171="",-1,N171)&gt;=1)*(IF(N171="",-1,N171)&lt;=3))*(1-(IF(N171="",-1,N171)=0)),IF(C171="peso_corporal",IF(ISNUMBER(E171),E171,0)+L171,L171)*(30+M171)*100+L171,0)=AA171,3,IF(IF((J171&gt;=6)*(1-(IF(K171="",-1,K171)&gt;=1)*(IF(K171="",-1,K171)&lt;=3))*(1-(IF(K171="",-1,K171)=0)),IF(C171="peso_corporal",IF(ISNUMBER(E171),E171,0)+I171,I171)*(30+J171)*100+I171,0)=AA171,2,IF(IF((G171&gt;=6)*(1-(IF(H171="",-1,H171)&gt;=1)*(IF(H171="",-1,H171)&lt;=3))*(1-(IF(H171="",-1,H171)=0)),IF(C171="peso_corporal",IF(ISNUMBER(E171),E171,0)+F171,F171)*(30+G171)*100+F171,0)=AA171,1,0))))))</f>
        <v>0</v>
      </c>
      <c r="AC171" s="69" t="str">
        <f>IF(X171&gt;0,"A"&amp;X171,IF(Z171&gt;0,"B"&amp;Z171,IF(AB171&gt;0,"C"&amp;AB171,"")))</f>
        <v/>
      </c>
    </row>
    <row r="172" spans="1:29" ht="20.100000000000001" customHeight="1">
      <c r="A172" s="14" t="s">
        <v>109</v>
      </c>
      <c r="B172" s="15" t="s">
        <v>110</v>
      </c>
      <c r="C172" s="16" t="str">
        <f>IFERROR(INDEX(EJERCICIOS!$D$3:$D$75,MATCH(A172&amp;"|"&amp;B172,EJERCICIOS!$G$3:$G$75,0)),"--")</f>
        <v>polea</v>
      </c>
      <c r="D172" s="17">
        <v>3</v>
      </c>
      <c r="E172" s="18">
        <f>IFERROR(LOOKUP(2,1/(MEDIDAS_Y_PESO!$B$3:$B$9&lt;&gt;""),MEDIDAS_Y_PESO!$B$3:$B$9),"--")</f>
        <v>80</v>
      </c>
      <c r="F172" s="19"/>
      <c r="G172" s="20"/>
      <c r="H172" s="21"/>
      <c r="I172" s="19"/>
      <c r="J172" s="20"/>
      <c r="K172" s="21"/>
      <c r="L172" s="19"/>
      <c r="M172" s="20"/>
      <c r="N172" s="21"/>
      <c r="O172" s="19"/>
      <c r="P172" s="20"/>
      <c r="Q172" s="21"/>
      <c r="R172" s="19"/>
      <c r="S172" s="20"/>
      <c r="T172" s="21"/>
      <c r="U172" s="22" t="str">
        <f>IFERROR(IF(IF(X172&gt;0,X172,IF(Z172&gt;0,Z172,IF(AB172&gt;0,AB172,0)))=0,"--",ROUND(CHOOSE(IF(X172&gt;0,X172,IF(Z172&gt;0,Z172,IF(AB172&gt;0,AB172,0))),IF(C172="peso_corporal",IF(ISNUMBER(E172),E172,0)+F172,F172)*(1+G172/30),IF(C172="peso_corporal",IF(ISNUMBER(E172),E172,0)+I172,I172)*(1+J172/30),IF(C172="peso_corporal",IF(ISNUMBER(E172),E172,0)+L172,L172)*(1+M172/30),IF(C172="peso_corporal",IF(ISNUMBER(E172),E172,0)+O172,O172)*(1+P172/30),IF(C172="peso_corporal",IF(ISNUMBER(E172),E172,0)+R172,R172)*(1+S172/30)),1)),"--")</f>
        <v>--</v>
      </c>
      <c r="V172" s="23" t="str">
        <f>IF(SUGERENCIAS!N442="SIN","Sin datos anteriores",IF(SUGERENCIAS!N442="SUBIR_F","^ SUBIR FUERTE | Kg:"&amp;ROUND(SUGERENCIAS!K442,1)&amp;" R:"&amp;ROUND(SUGERENCIAS!L442,0)&amp;" RIR:"&amp;ROUND(SUGERENCIAS!M442,0),IF(SUGERENCIAS!N442="SUBIR_E","^ SUBIR (Est.) | Kg:"&amp;ROUND(SUGERENCIAS!K442,1)&amp;" R:"&amp;ROUND(SUGERENCIAS!L442,0)&amp;" RIR:"&amp;ROUND(SUGERENCIAS!M442,0),IF(SUGERENCIAS!N442="SUBIR","^ SUBIR | Kg:"&amp;ROUND(SUGERENCIAS!K442,1)&amp;" R:"&amp;ROUND(SUGERENCIAS!L442,0)&amp;" RIR:"&amp;ROUND(SUGERENCIAS!M442,0),IF(SUGERENCIAS!N442="BAJAR","v BAJAR | Kg:"&amp;ROUND(SUGERENCIAS!K442,1)&amp;" R:"&amp;ROUND(SUGERENCIAS!L442,0)&amp;" RIR:"&amp;ROUND(SUGERENCIAS!M442,0),"= MANT | Kg:"&amp;ROUND(SUGERENCIAS!K442,1)&amp;" R:"&amp;ROUND(SUGERENCIAS!L442,0)&amp;" RIR:"&amp;ROUND(SUGERENCIAS!M442,0))))))</f>
        <v>Sin datos anteriores</v>
      </c>
      <c r="W172" s="69">
        <f>MAX(IF((G172&gt;0)*(IF(H172="",-1,H172)&gt;=1)*(IF(H172="",-1,H172)&lt;=3),IF(C172="peso_corporal",IF(ISNUMBER(E172),E172,0)+F172,F172)*G172*1000+F172,0),IF((J172&gt;0)*(IF(K172="",-1,K172)&gt;=1)*(IF(K172="",-1,K172)&lt;=3),IF(C172="peso_corporal",IF(ISNUMBER(E172),E172,0)+I172,I172)*J172*1000+I172,0),IF((M172&gt;0)*(IF(N172="",-1,N172)&gt;=1)*(IF(N172="",-1,N172)&lt;=3),IF(C172="peso_corporal",IF(ISNUMBER(E172),E172,0)+L172,L172)*M172*1000+L172,0),IF((P172&gt;0)*(IF(Q172="",-1,Q172)&gt;=1)*(IF(Q172="",-1,Q172)&lt;=3),IF(C172="peso_corporal",IF(ISNUMBER(E172),E172,0)+O172,O172)*P172*1000+O172,0),IF((S172&gt;0)*(IF(T172="",-1,T172)&gt;=1)*(IF(T172="",-1,T172)&lt;=3),IF(C172="peso_corporal",IF(ISNUMBER(E172),E172,0)+R172,R172)*S172*1000+R172,0))</f>
        <v>0</v>
      </c>
      <c r="X172" s="69">
        <f>IF(W172=0,0,IF(IF((S172&gt;0)*(IF(T172="",-1,T172)&gt;=1)*(IF(T172="",-1,T172)&lt;=3),IF(C172="peso_corporal",IF(ISNUMBER(E172),E172,0)+R172,R172)*S172*1000+R172,0)=W172,5,IF(IF((P172&gt;0)*(IF(Q172="",-1,Q172)&gt;=1)*(IF(Q172="",-1,Q172)&lt;=3),IF(C172="peso_corporal",IF(ISNUMBER(E172),E172,0)+O172,O172)*P172*1000+O172,0)=W172,4,IF(IF((M172&gt;0)*(IF(N172="",-1,N172)&gt;=1)*(IF(N172="",-1,N172)&lt;=3),IF(C172="peso_corporal",IF(ISNUMBER(E172),E172,0)+L172,L172)*M172*1000+L172,0)=W172,3,IF(IF((J172&gt;0)*(IF(K172="",-1,K172)&gt;=1)*(IF(K172="",-1,K172)&lt;=3),IF(C172="peso_corporal",IF(ISNUMBER(E172),E172,0)+I172,I172)*J172*1000+I172,0)=W172,2,IF(IF((G172&gt;0)*(IF(H172="",-1,H172)&gt;=1)*(IF(H172="",-1,H172)&lt;=3),IF(C172="peso_corporal",IF(ISNUMBER(E172),E172,0)+F172,F172)*G172*1000+F172,0)=W172,1,0))))))</f>
        <v>0</v>
      </c>
      <c r="Y172" s="69">
        <f>MAX(IF((G172&gt;0)*(IF(H172="",-1,H172)=0)*(1-(IF(H172="",-1,H172)&gt;=1)*(IF(H172="",-1,H172)&lt;=3)),IF(C172="peso_corporal",IF(ISNUMBER(E172),E172,0)+F172,F172)*G172*1000+F172,0),IF((J172&gt;0)*(IF(K172="",-1,K172)=0)*(1-(IF(K172="",-1,K172)&gt;=1)*(IF(K172="",-1,K172)&lt;=3)),IF(C172="peso_corporal",IF(ISNUMBER(E172),E172,0)+I172,I172)*J172*1000+I172,0),IF((M172&gt;0)*(IF(N172="",-1,N172)=0)*(1-(IF(N172="",-1,N172)&gt;=1)*(IF(N172="",-1,N172)&lt;=3)),IF(C172="peso_corporal",IF(ISNUMBER(E172),E172,0)+L172,L172)*M172*1000+L172,0),IF((P172&gt;0)*(IF(Q172="",-1,Q172)=0)*(1-(IF(Q172="",-1,Q172)&gt;=1)*(IF(Q172="",-1,Q172)&lt;=3)),IF(C172="peso_corporal",IF(ISNUMBER(E172),E172,0)+O172,O172)*P172*1000+O172,0),IF((S172&gt;0)*(IF(T172="",-1,T172)=0)*(1-(IF(T172="",-1,T172)&gt;=1)*(IF(T172="",-1,T172)&lt;=3)),IF(C172="peso_corporal",IF(ISNUMBER(E172),E172,0)+R172,R172)*S172*1000+R172,0))</f>
        <v>0</v>
      </c>
      <c r="Z172" s="69">
        <f>IF(Y172=0,0,IF(IF((S172&gt;0)*(IF(T172="",-1,T172)=0)*(1-(IF(T172="",-1,T172)&gt;=1)*(IF(T172="",-1,T172)&lt;=3)),IF(C172="peso_corporal",IF(ISNUMBER(E172),E172,0)+R172,R172)*S172*1000+R172,0)=Y172,5,IF(IF((P172&gt;0)*(IF(Q172="",-1,Q172)=0)*(1-(IF(Q172="",-1,Q172)&gt;=1)*(IF(Q172="",-1,Q172)&lt;=3)),IF(C172="peso_corporal",IF(ISNUMBER(E172),E172,0)+O172,O172)*P172*1000+O172,0)=Y172,4,IF(IF((M172&gt;0)*(IF(N172="",-1,N172)=0)*(1-(IF(N172="",-1,N172)&gt;=1)*(IF(N172="",-1,N172)&lt;=3)),IF(C172="peso_corporal",IF(ISNUMBER(E172),E172,0)+L172,L172)*M172*1000+L172,0)=Y172,3,IF(IF((J172&gt;0)*(IF(K172="",-1,K172)=0)*(1-(IF(K172="",-1,K172)&gt;=1)*(IF(K172="",-1,K172)&lt;=3)),IF(C172="peso_corporal",IF(ISNUMBER(E172),E172,0)+I172,I172)*J172*1000+I172,0)=Y172,2,IF(IF((G172&gt;0)*(IF(H172="",-1,H172)=0)*(1-(IF(H172="",-1,H172)&gt;=1)*(IF(H172="",-1,H172)&lt;=3)),IF(C172="peso_corporal",IF(ISNUMBER(E172),E172,0)+F172,F172)*G172*1000+F172,0)=Y172,1,0))))))</f>
        <v>0</v>
      </c>
      <c r="AA172" s="69">
        <f>MAX(IF((G172&gt;=6)*(1-(IF(H172="",-1,H172)&gt;=1)*(IF(H172="",-1,H172)&lt;=3))*(1-(IF(H172="",-1,H172)=0)),IF(C172="peso_corporal",IF(ISNUMBER(E172),E172,0)+F172,F172)*(30+G172)*100+F172,0),IF((J172&gt;=6)*(1-(IF(K172="",-1,K172)&gt;=1)*(IF(K172="",-1,K172)&lt;=3))*(1-(IF(K172="",-1,K172)=0)),IF(C172="peso_corporal",IF(ISNUMBER(E172),E172,0)+I172,I172)*(30+J172)*100+I172,0),IF((M172&gt;=6)*(1-(IF(N172="",-1,N172)&gt;=1)*(IF(N172="",-1,N172)&lt;=3))*(1-(IF(N172="",-1,N172)=0)),IF(C172="peso_corporal",IF(ISNUMBER(E172),E172,0)+L172,L172)*(30+M172)*100+L172,0),IF((P172&gt;=6)*(1-(IF(Q172="",-1,Q172)&gt;=1)*(IF(Q172="",-1,Q172)&lt;=3))*(1-(IF(Q172="",-1,Q172)=0)),IF(C172="peso_corporal",IF(ISNUMBER(E172),E172,0)+O172,O172)*(30+P172)*100+O172,0),IF((S172&gt;=6)*(1-(IF(T172="",-1,T172)&gt;=1)*(IF(T172="",-1,T172)&lt;=3))*(1-(IF(T172="",-1,T172)=0)),IF(C172="peso_corporal",IF(ISNUMBER(E172),E172,0)+R172,R172)*(30+S172)*100+R172,0))</f>
        <v>0</v>
      </c>
      <c r="AB172" s="69">
        <f>IF(AA172=0,0,IF(IF((S172&gt;=6)*(1-(IF(T172="",-1,T172)&gt;=1)*(IF(T172="",-1,T172)&lt;=3))*(1-(IF(T172="",-1,T172)=0)),IF(C172="peso_corporal",IF(ISNUMBER(E172),E172,0)+R172,R172)*(30+S172)*100+R172,0)=AA172,5,IF(IF((P172&gt;=6)*(1-(IF(Q172="",-1,Q172)&gt;=1)*(IF(Q172="",-1,Q172)&lt;=3))*(1-(IF(Q172="",-1,Q172)=0)),IF(C172="peso_corporal",IF(ISNUMBER(E172),E172,0)+O172,O172)*(30+P172)*100+O172,0)=AA172,4,IF(IF((M172&gt;=6)*(1-(IF(N172="",-1,N172)&gt;=1)*(IF(N172="",-1,N172)&lt;=3))*(1-(IF(N172="",-1,N172)=0)),IF(C172="peso_corporal",IF(ISNUMBER(E172),E172,0)+L172,L172)*(30+M172)*100+L172,0)=AA172,3,IF(IF((J172&gt;=6)*(1-(IF(K172="",-1,K172)&gt;=1)*(IF(K172="",-1,K172)&lt;=3))*(1-(IF(K172="",-1,K172)=0)),IF(C172="peso_corporal",IF(ISNUMBER(E172),E172,0)+I172,I172)*(30+J172)*100+I172,0)=AA172,2,IF(IF((G172&gt;=6)*(1-(IF(H172="",-1,H172)&gt;=1)*(IF(H172="",-1,H172)&lt;=3))*(1-(IF(H172="",-1,H172)=0)),IF(C172="peso_corporal",IF(ISNUMBER(E172),E172,0)+F172,F172)*(30+G172)*100+F172,0)=AA172,1,0))))))</f>
        <v>0</v>
      </c>
      <c r="AC172" s="69" t="str">
        <f>IF(X172&gt;0,"A"&amp;X172,IF(Z172&gt;0,"B"&amp;Z172,IF(AB172&gt;0,"C"&amp;AB172,"")))</f>
        <v/>
      </c>
    </row>
    <row r="173" spans="1:29" ht="15" customHeight="1">
      <c r="A173" s="90" t="s">
        <v>142</v>
      </c>
      <c r="B173" s="73"/>
      <c r="C173" s="73"/>
      <c r="D173" s="73"/>
      <c r="E173" s="73"/>
      <c r="F173" s="73"/>
      <c r="G173" s="73"/>
      <c r="H173" s="73"/>
      <c r="I173" s="73"/>
      <c r="J173" s="73"/>
      <c r="K173" s="73"/>
      <c r="L173" s="73"/>
      <c r="M173" s="73"/>
      <c r="N173" s="73"/>
      <c r="O173" s="73"/>
      <c r="P173" s="73"/>
      <c r="Q173" s="73"/>
      <c r="R173" s="73"/>
      <c r="S173" s="73"/>
      <c r="T173" s="73"/>
      <c r="U173" s="73"/>
      <c r="V173" s="73"/>
      <c r="W173" s="69"/>
      <c r="X173" s="69"/>
      <c r="Y173" s="69"/>
      <c r="Z173" s="69"/>
      <c r="AA173" s="69"/>
      <c r="AB173" s="69"/>
      <c r="AC173" s="69"/>
    </row>
    <row r="174" spans="1:29" ht="20.100000000000001" customHeight="1">
      <c r="A174" s="14" t="s">
        <v>24</v>
      </c>
      <c r="B174" s="15" t="s">
        <v>143</v>
      </c>
      <c r="C174" s="16" t="str">
        <f>IFERROR(INDEX(EJERCICIOS!$D$3:$D$75,MATCH(A174&amp;"|"&amp;B174,EJERCICIOS!$G$3:$G$75,0)),"--")</f>
        <v>peso_corporal</v>
      </c>
      <c r="D174" s="17">
        <v>3</v>
      </c>
      <c r="E174" s="18">
        <f>IFERROR(LOOKUP(2,1/(MEDIDAS_Y_PESO!$B$3:$B$9&lt;&gt;""),MEDIDAS_Y_PESO!$B$3:$B$9),"--")</f>
        <v>80</v>
      </c>
      <c r="F174" s="19"/>
      <c r="G174" s="20"/>
      <c r="H174" s="21"/>
      <c r="I174" s="19"/>
      <c r="J174" s="20"/>
      <c r="K174" s="21"/>
      <c r="L174" s="19"/>
      <c r="M174" s="20"/>
      <c r="N174" s="21"/>
      <c r="O174" s="19"/>
      <c r="P174" s="20"/>
      <c r="Q174" s="21"/>
      <c r="R174" s="19"/>
      <c r="S174" s="20"/>
      <c r="T174" s="21"/>
      <c r="U174" s="22" t="str">
        <f>IFERROR(IF(IF(X174&gt;0,X174,IF(Z174&gt;0,Z174,IF(AB174&gt;0,AB174,0)))=0,"--",ROUND(CHOOSE(IF(X174&gt;0,X174,IF(Z174&gt;0,Z174,IF(AB174&gt;0,AB174,0))),IF(C174="peso_corporal",IF(ISNUMBER(E174),E174,0)+F174,F174)*(1+G174/30),IF(C174="peso_corporal",IF(ISNUMBER(E174),E174,0)+I174,I174)*(1+J174/30),IF(C174="peso_corporal",IF(ISNUMBER(E174),E174,0)+L174,L174)*(1+M174/30),IF(C174="peso_corporal",IF(ISNUMBER(E174),E174,0)+O174,O174)*(1+P174/30),IF(C174="peso_corporal",IF(ISNUMBER(E174),E174,0)+R174,R174)*(1+S174/30)),1)),"--")</f>
        <v>--</v>
      </c>
      <c r="V174" s="23" t="str">
        <f>IF(SUGERENCIAS!N443="SIN","Sin datos anteriores",IF(SUGERENCIAS!N443="SUBIR_F","^ SUBIR FUERTE | Kg:"&amp;ROUND(SUGERENCIAS!K443,1)&amp;" R:"&amp;ROUND(SUGERENCIAS!L443,0)&amp;" RIR:"&amp;ROUND(SUGERENCIAS!M443,0),IF(SUGERENCIAS!N443="SUBIR_E","^ SUBIR (Est.) | Kg:"&amp;ROUND(SUGERENCIAS!K443,1)&amp;" R:"&amp;ROUND(SUGERENCIAS!L443,0)&amp;" RIR:"&amp;ROUND(SUGERENCIAS!M443,0),IF(SUGERENCIAS!N443="SUBIR","^ SUBIR | Kg:"&amp;ROUND(SUGERENCIAS!K443,1)&amp;" R:"&amp;ROUND(SUGERENCIAS!L443,0)&amp;" RIR:"&amp;ROUND(SUGERENCIAS!M443,0),IF(SUGERENCIAS!N443="BAJAR","v BAJAR | Kg:"&amp;ROUND(SUGERENCIAS!K443,1)&amp;" R:"&amp;ROUND(SUGERENCIAS!L443,0)&amp;" RIR:"&amp;ROUND(SUGERENCIAS!M443,0),"= MANT | Kg:"&amp;ROUND(SUGERENCIAS!K443,1)&amp;" R:"&amp;ROUND(SUGERENCIAS!L443,0)&amp;" RIR:"&amp;ROUND(SUGERENCIAS!M443,0))))))</f>
        <v>Sin datos anteriores</v>
      </c>
      <c r="W174" s="69">
        <f>MAX(IF((G174&gt;0)*(IF(H174="",-1,H174)&gt;=1)*(IF(H174="",-1,H174)&lt;=3),IF(C174="peso_corporal",IF(ISNUMBER(E174),E174,0)+F174,F174)*G174*1000+F174,0),IF((J174&gt;0)*(IF(K174="",-1,K174)&gt;=1)*(IF(K174="",-1,K174)&lt;=3),IF(C174="peso_corporal",IF(ISNUMBER(E174),E174,0)+I174,I174)*J174*1000+I174,0),IF((M174&gt;0)*(IF(N174="",-1,N174)&gt;=1)*(IF(N174="",-1,N174)&lt;=3),IF(C174="peso_corporal",IF(ISNUMBER(E174),E174,0)+L174,L174)*M174*1000+L174,0),IF((P174&gt;0)*(IF(Q174="",-1,Q174)&gt;=1)*(IF(Q174="",-1,Q174)&lt;=3),IF(C174="peso_corporal",IF(ISNUMBER(E174),E174,0)+O174,O174)*P174*1000+O174,0),IF((S174&gt;0)*(IF(T174="",-1,T174)&gt;=1)*(IF(T174="",-1,T174)&lt;=3),IF(C174="peso_corporal",IF(ISNUMBER(E174),E174,0)+R174,R174)*S174*1000+R174,0))</f>
        <v>0</v>
      </c>
      <c r="X174" s="69">
        <f>IF(W174=0,0,IF(IF((S174&gt;0)*(IF(T174="",-1,T174)&gt;=1)*(IF(T174="",-1,T174)&lt;=3),IF(C174="peso_corporal",IF(ISNUMBER(E174),E174,0)+R174,R174)*S174*1000+R174,0)=W174,5,IF(IF((P174&gt;0)*(IF(Q174="",-1,Q174)&gt;=1)*(IF(Q174="",-1,Q174)&lt;=3),IF(C174="peso_corporal",IF(ISNUMBER(E174),E174,0)+O174,O174)*P174*1000+O174,0)=W174,4,IF(IF((M174&gt;0)*(IF(N174="",-1,N174)&gt;=1)*(IF(N174="",-1,N174)&lt;=3),IF(C174="peso_corporal",IF(ISNUMBER(E174),E174,0)+L174,L174)*M174*1000+L174,0)=W174,3,IF(IF((J174&gt;0)*(IF(K174="",-1,K174)&gt;=1)*(IF(K174="",-1,K174)&lt;=3),IF(C174="peso_corporal",IF(ISNUMBER(E174),E174,0)+I174,I174)*J174*1000+I174,0)=W174,2,IF(IF((G174&gt;0)*(IF(H174="",-1,H174)&gt;=1)*(IF(H174="",-1,H174)&lt;=3),IF(C174="peso_corporal",IF(ISNUMBER(E174),E174,0)+F174,F174)*G174*1000+F174,0)=W174,1,0))))))</f>
        <v>0</v>
      </c>
      <c r="Y174" s="69">
        <f>MAX(IF((G174&gt;0)*(IF(H174="",-1,H174)=0)*(1-(IF(H174="",-1,H174)&gt;=1)*(IF(H174="",-1,H174)&lt;=3)),IF(C174="peso_corporal",IF(ISNUMBER(E174),E174,0)+F174,F174)*G174*1000+F174,0),IF((J174&gt;0)*(IF(K174="",-1,K174)=0)*(1-(IF(K174="",-1,K174)&gt;=1)*(IF(K174="",-1,K174)&lt;=3)),IF(C174="peso_corporal",IF(ISNUMBER(E174),E174,0)+I174,I174)*J174*1000+I174,0),IF((M174&gt;0)*(IF(N174="",-1,N174)=0)*(1-(IF(N174="",-1,N174)&gt;=1)*(IF(N174="",-1,N174)&lt;=3)),IF(C174="peso_corporal",IF(ISNUMBER(E174),E174,0)+L174,L174)*M174*1000+L174,0),IF((P174&gt;0)*(IF(Q174="",-1,Q174)=0)*(1-(IF(Q174="",-1,Q174)&gt;=1)*(IF(Q174="",-1,Q174)&lt;=3)),IF(C174="peso_corporal",IF(ISNUMBER(E174),E174,0)+O174,O174)*P174*1000+O174,0),IF((S174&gt;0)*(IF(T174="",-1,T174)=0)*(1-(IF(T174="",-1,T174)&gt;=1)*(IF(T174="",-1,T174)&lt;=3)),IF(C174="peso_corporal",IF(ISNUMBER(E174),E174,0)+R174,R174)*S174*1000+R174,0))</f>
        <v>0</v>
      </c>
      <c r="Z174" s="69">
        <f>IF(Y174=0,0,IF(IF((S174&gt;0)*(IF(T174="",-1,T174)=0)*(1-(IF(T174="",-1,T174)&gt;=1)*(IF(T174="",-1,T174)&lt;=3)),IF(C174="peso_corporal",IF(ISNUMBER(E174),E174,0)+R174,R174)*S174*1000+R174,0)=Y174,5,IF(IF((P174&gt;0)*(IF(Q174="",-1,Q174)=0)*(1-(IF(Q174="",-1,Q174)&gt;=1)*(IF(Q174="",-1,Q174)&lt;=3)),IF(C174="peso_corporal",IF(ISNUMBER(E174),E174,0)+O174,O174)*P174*1000+O174,0)=Y174,4,IF(IF((M174&gt;0)*(IF(N174="",-1,N174)=0)*(1-(IF(N174="",-1,N174)&gt;=1)*(IF(N174="",-1,N174)&lt;=3)),IF(C174="peso_corporal",IF(ISNUMBER(E174),E174,0)+L174,L174)*M174*1000+L174,0)=Y174,3,IF(IF((J174&gt;0)*(IF(K174="",-1,K174)=0)*(1-(IF(K174="",-1,K174)&gt;=1)*(IF(K174="",-1,K174)&lt;=3)),IF(C174="peso_corporal",IF(ISNUMBER(E174),E174,0)+I174,I174)*J174*1000+I174,0)=Y174,2,IF(IF((G174&gt;0)*(IF(H174="",-1,H174)=0)*(1-(IF(H174="",-1,H174)&gt;=1)*(IF(H174="",-1,H174)&lt;=3)),IF(C174="peso_corporal",IF(ISNUMBER(E174),E174,0)+F174,F174)*G174*1000+F174,0)=Y174,1,0))))))</f>
        <v>0</v>
      </c>
      <c r="AA174" s="69">
        <f>MAX(IF((G174&gt;=6)*(1-(IF(H174="",-1,H174)&gt;=1)*(IF(H174="",-1,H174)&lt;=3))*(1-(IF(H174="",-1,H174)=0)),IF(C174="peso_corporal",IF(ISNUMBER(E174),E174,0)+F174,F174)*(30+G174)*100+F174,0),IF((J174&gt;=6)*(1-(IF(K174="",-1,K174)&gt;=1)*(IF(K174="",-1,K174)&lt;=3))*(1-(IF(K174="",-1,K174)=0)),IF(C174="peso_corporal",IF(ISNUMBER(E174),E174,0)+I174,I174)*(30+J174)*100+I174,0),IF((M174&gt;=6)*(1-(IF(N174="",-1,N174)&gt;=1)*(IF(N174="",-1,N174)&lt;=3))*(1-(IF(N174="",-1,N174)=0)),IF(C174="peso_corporal",IF(ISNUMBER(E174),E174,0)+L174,L174)*(30+M174)*100+L174,0),IF((P174&gt;=6)*(1-(IF(Q174="",-1,Q174)&gt;=1)*(IF(Q174="",-1,Q174)&lt;=3))*(1-(IF(Q174="",-1,Q174)=0)),IF(C174="peso_corporal",IF(ISNUMBER(E174),E174,0)+O174,O174)*(30+P174)*100+O174,0),IF((S174&gt;=6)*(1-(IF(T174="",-1,T174)&gt;=1)*(IF(T174="",-1,T174)&lt;=3))*(1-(IF(T174="",-1,T174)=0)),IF(C174="peso_corporal",IF(ISNUMBER(E174),E174,0)+R174,R174)*(30+S174)*100+R174,0))</f>
        <v>0</v>
      </c>
      <c r="AB174" s="69">
        <f>IF(AA174=0,0,IF(IF((S174&gt;=6)*(1-(IF(T174="",-1,T174)&gt;=1)*(IF(T174="",-1,T174)&lt;=3))*(1-(IF(T174="",-1,T174)=0)),IF(C174="peso_corporal",IF(ISNUMBER(E174),E174,0)+R174,R174)*(30+S174)*100+R174,0)=AA174,5,IF(IF((P174&gt;=6)*(1-(IF(Q174="",-1,Q174)&gt;=1)*(IF(Q174="",-1,Q174)&lt;=3))*(1-(IF(Q174="",-1,Q174)=0)),IF(C174="peso_corporal",IF(ISNUMBER(E174),E174,0)+O174,O174)*(30+P174)*100+O174,0)=AA174,4,IF(IF((M174&gt;=6)*(1-(IF(N174="",-1,N174)&gt;=1)*(IF(N174="",-1,N174)&lt;=3))*(1-(IF(N174="",-1,N174)=0)),IF(C174="peso_corporal",IF(ISNUMBER(E174),E174,0)+L174,L174)*(30+M174)*100+L174,0)=AA174,3,IF(IF((J174&gt;=6)*(1-(IF(K174="",-1,K174)&gt;=1)*(IF(K174="",-1,K174)&lt;=3))*(1-(IF(K174="",-1,K174)=0)),IF(C174="peso_corporal",IF(ISNUMBER(E174),E174,0)+I174,I174)*(30+J174)*100+I174,0)=AA174,2,IF(IF((G174&gt;=6)*(1-(IF(H174="",-1,H174)&gt;=1)*(IF(H174="",-1,H174)&lt;=3))*(1-(IF(H174="",-1,H174)=0)),IF(C174="peso_corporal",IF(ISNUMBER(E174),E174,0)+F174,F174)*(30+G174)*100+F174,0)=AA174,1,0))))))</f>
        <v>0</v>
      </c>
      <c r="AC174" s="69" t="str">
        <f>IF(X174&gt;0,"A"&amp;X174,IF(Z174&gt;0,"B"&amp;Z174,IF(AB174&gt;0,"C"&amp;AB174,"")))</f>
        <v/>
      </c>
    </row>
    <row r="175" spans="1:29" ht="15" customHeight="1">
      <c r="A175" s="72" t="s">
        <v>56</v>
      </c>
      <c r="B175" s="73"/>
      <c r="C175" s="73"/>
      <c r="D175" s="73"/>
      <c r="E175" s="73"/>
      <c r="F175" s="73"/>
      <c r="G175" s="73"/>
      <c r="H175" s="73"/>
      <c r="I175" s="73"/>
      <c r="J175" s="73"/>
      <c r="K175" s="73"/>
      <c r="L175" s="73"/>
      <c r="M175" s="73"/>
      <c r="N175" s="73"/>
      <c r="O175" s="73"/>
      <c r="P175" s="73"/>
      <c r="Q175" s="73"/>
      <c r="R175" s="73"/>
      <c r="S175" s="73"/>
      <c r="T175" s="73"/>
      <c r="U175" s="73"/>
      <c r="V175" s="73"/>
      <c r="W175" s="69"/>
      <c r="X175" s="69"/>
      <c r="Y175" s="69"/>
      <c r="Z175" s="69"/>
      <c r="AA175" s="69"/>
      <c r="AB175" s="69"/>
      <c r="AC175" s="69"/>
    </row>
    <row r="176" spans="1:29" ht="20.100000000000001" customHeight="1">
      <c r="A176" s="14" t="s">
        <v>57</v>
      </c>
      <c r="B176" s="15" t="s">
        <v>58</v>
      </c>
      <c r="C176" s="16" t="str">
        <f>IFERROR(INDEX(EJERCICIOS!$D$3:$D$75,MATCH(A176&amp;"|"&amp;B176,EJERCICIOS!$G$3:$G$75,0)),"--")</f>
        <v>polea</v>
      </c>
      <c r="D176" s="17">
        <v>3</v>
      </c>
      <c r="E176" s="18">
        <f>IFERROR(LOOKUP(2,1/(MEDIDAS_Y_PESO!$B$3:$B$9&lt;&gt;""),MEDIDAS_Y_PESO!$B$3:$B$9),"--")</f>
        <v>80</v>
      </c>
      <c r="F176" s="19"/>
      <c r="G176" s="20"/>
      <c r="H176" s="21"/>
      <c r="I176" s="19"/>
      <c r="J176" s="20"/>
      <c r="K176" s="21"/>
      <c r="L176" s="19"/>
      <c r="M176" s="20"/>
      <c r="N176" s="21"/>
      <c r="O176" s="19"/>
      <c r="P176" s="20"/>
      <c r="Q176" s="21"/>
      <c r="R176" s="19"/>
      <c r="S176" s="20"/>
      <c r="T176" s="21"/>
      <c r="U176" s="22" t="str">
        <f>IFERROR(IF(IF(X176&gt;0,X176,IF(Z176&gt;0,Z176,IF(AB176&gt;0,AB176,0)))=0,"--",ROUND(CHOOSE(IF(X176&gt;0,X176,IF(Z176&gt;0,Z176,IF(AB176&gt;0,AB176,0))),IF(C176="peso_corporal",IF(ISNUMBER(E176),E176,0)+F176,F176)*(1+G176/30),IF(C176="peso_corporal",IF(ISNUMBER(E176),E176,0)+I176,I176)*(1+J176/30),IF(C176="peso_corporal",IF(ISNUMBER(E176),E176,0)+L176,L176)*(1+M176/30),IF(C176="peso_corporal",IF(ISNUMBER(E176),E176,0)+O176,O176)*(1+P176/30),IF(C176="peso_corporal",IF(ISNUMBER(E176),E176,0)+R176,R176)*(1+S176/30)),1)),"--")</f>
        <v>--</v>
      </c>
      <c r="V176" s="23" t="str">
        <f>IF(SUGERENCIAS!N444="SIN","Sin datos anteriores",IF(SUGERENCIAS!N444="SUBIR_F","^ SUBIR FUERTE | Kg:"&amp;ROUND(SUGERENCIAS!K444,1)&amp;" R:"&amp;ROUND(SUGERENCIAS!L444,0)&amp;" RIR:"&amp;ROUND(SUGERENCIAS!M444,0),IF(SUGERENCIAS!N444="SUBIR_E","^ SUBIR (Est.) | Kg:"&amp;ROUND(SUGERENCIAS!K444,1)&amp;" R:"&amp;ROUND(SUGERENCIAS!L444,0)&amp;" RIR:"&amp;ROUND(SUGERENCIAS!M444,0),IF(SUGERENCIAS!N444="SUBIR","^ SUBIR | Kg:"&amp;ROUND(SUGERENCIAS!K444,1)&amp;" R:"&amp;ROUND(SUGERENCIAS!L444,0)&amp;" RIR:"&amp;ROUND(SUGERENCIAS!M444,0),IF(SUGERENCIAS!N444="BAJAR","v BAJAR | Kg:"&amp;ROUND(SUGERENCIAS!K444,1)&amp;" R:"&amp;ROUND(SUGERENCIAS!L444,0)&amp;" RIR:"&amp;ROUND(SUGERENCIAS!M444,0),"= MANT | Kg:"&amp;ROUND(SUGERENCIAS!K444,1)&amp;" R:"&amp;ROUND(SUGERENCIAS!L444,0)&amp;" RIR:"&amp;ROUND(SUGERENCIAS!M444,0))))))</f>
        <v>Sin datos anteriores</v>
      </c>
      <c r="W176" s="69">
        <f>MAX(IF((G176&gt;0)*(IF(H176="",-1,H176)&gt;=1)*(IF(H176="",-1,H176)&lt;=3),IF(C176="peso_corporal",IF(ISNUMBER(E176),E176,0)+F176,F176)*G176*1000+F176,0),IF((J176&gt;0)*(IF(K176="",-1,K176)&gt;=1)*(IF(K176="",-1,K176)&lt;=3),IF(C176="peso_corporal",IF(ISNUMBER(E176),E176,0)+I176,I176)*J176*1000+I176,0),IF((M176&gt;0)*(IF(N176="",-1,N176)&gt;=1)*(IF(N176="",-1,N176)&lt;=3),IF(C176="peso_corporal",IF(ISNUMBER(E176),E176,0)+L176,L176)*M176*1000+L176,0),IF((P176&gt;0)*(IF(Q176="",-1,Q176)&gt;=1)*(IF(Q176="",-1,Q176)&lt;=3),IF(C176="peso_corporal",IF(ISNUMBER(E176),E176,0)+O176,O176)*P176*1000+O176,0),IF((S176&gt;0)*(IF(T176="",-1,T176)&gt;=1)*(IF(T176="",-1,T176)&lt;=3),IF(C176="peso_corporal",IF(ISNUMBER(E176),E176,0)+R176,R176)*S176*1000+R176,0))</f>
        <v>0</v>
      </c>
      <c r="X176" s="69">
        <f>IF(W176=0,0,IF(IF((S176&gt;0)*(IF(T176="",-1,T176)&gt;=1)*(IF(T176="",-1,T176)&lt;=3),IF(C176="peso_corporal",IF(ISNUMBER(E176),E176,0)+R176,R176)*S176*1000+R176,0)=W176,5,IF(IF((P176&gt;0)*(IF(Q176="",-1,Q176)&gt;=1)*(IF(Q176="",-1,Q176)&lt;=3),IF(C176="peso_corporal",IF(ISNUMBER(E176),E176,0)+O176,O176)*P176*1000+O176,0)=W176,4,IF(IF((M176&gt;0)*(IF(N176="",-1,N176)&gt;=1)*(IF(N176="",-1,N176)&lt;=3),IF(C176="peso_corporal",IF(ISNUMBER(E176),E176,0)+L176,L176)*M176*1000+L176,0)=W176,3,IF(IF((J176&gt;0)*(IF(K176="",-1,K176)&gt;=1)*(IF(K176="",-1,K176)&lt;=3),IF(C176="peso_corporal",IF(ISNUMBER(E176),E176,0)+I176,I176)*J176*1000+I176,0)=W176,2,IF(IF((G176&gt;0)*(IF(H176="",-1,H176)&gt;=1)*(IF(H176="",-1,H176)&lt;=3),IF(C176="peso_corporal",IF(ISNUMBER(E176),E176,0)+F176,F176)*G176*1000+F176,0)=W176,1,0))))))</f>
        <v>0</v>
      </c>
      <c r="Y176" s="69">
        <f>MAX(IF((G176&gt;0)*(IF(H176="",-1,H176)=0)*(1-(IF(H176="",-1,H176)&gt;=1)*(IF(H176="",-1,H176)&lt;=3)),IF(C176="peso_corporal",IF(ISNUMBER(E176),E176,0)+F176,F176)*G176*1000+F176,0),IF((J176&gt;0)*(IF(K176="",-1,K176)=0)*(1-(IF(K176="",-1,K176)&gt;=1)*(IF(K176="",-1,K176)&lt;=3)),IF(C176="peso_corporal",IF(ISNUMBER(E176),E176,0)+I176,I176)*J176*1000+I176,0),IF((M176&gt;0)*(IF(N176="",-1,N176)=0)*(1-(IF(N176="",-1,N176)&gt;=1)*(IF(N176="",-1,N176)&lt;=3)),IF(C176="peso_corporal",IF(ISNUMBER(E176),E176,0)+L176,L176)*M176*1000+L176,0),IF((P176&gt;0)*(IF(Q176="",-1,Q176)=0)*(1-(IF(Q176="",-1,Q176)&gt;=1)*(IF(Q176="",-1,Q176)&lt;=3)),IF(C176="peso_corporal",IF(ISNUMBER(E176),E176,0)+O176,O176)*P176*1000+O176,0),IF((S176&gt;0)*(IF(T176="",-1,T176)=0)*(1-(IF(T176="",-1,T176)&gt;=1)*(IF(T176="",-1,T176)&lt;=3)),IF(C176="peso_corporal",IF(ISNUMBER(E176),E176,0)+R176,R176)*S176*1000+R176,0))</f>
        <v>0</v>
      </c>
      <c r="Z176" s="69">
        <f>IF(Y176=0,0,IF(IF((S176&gt;0)*(IF(T176="",-1,T176)=0)*(1-(IF(T176="",-1,T176)&gt;=1)*(IF(T176="",-1,T176)&lt;=3)),IF(C176="peso_corporal",IF(ISNUMBER(E176),E176,0)+R176,R176)*S176*1000+R176,0)=Y176,5,IF(IF((P176&gt;0)*(IF(Q176="",-1,Q176)=0)*(1-(IF(Q176="",-1,Q176)&gt;=1)*(IF(Q176="",-1,Q176)&lt;=3)),IF(C176="peso_corporal",IF(ISNUMBER(E176),E176,0)+O176,O176)*P176*1000+O176,0)=Y176,4,IF(IF((M176&gt;0)*(IF(N176="",-1,N176)=0)*(1-(IF(N176="",-1,N176)&gt;=1)*(IF(N176="",-1,N176)&lt;=3)),IF(C176="peso_corporal",IF(ISNUMBER(E176),E176,0)+L176,L176)*M176*1000+L176,0)=Y176,3,IF(IF((J176&gt;0)*(IF(K176="",-1,K176)=0)*(1-(IF(K176="",-1,K176)&gt;=1)*(IF(K176="",-1,K176)&lt;=3)),IF(C176="peso_corporal",IF(ISNUMBER(E176),E176,0)+I176,I176)*J176*1000+I176,0)=Y176,2,IF(IF((G176&gt;0)*(IF(H176="",-1,H176)=0)*(1-(IF(H176="",-1,H176)&gt;=1)*(IF(H176="",-1,H176)&lt;=3)),IF(C176="peso_corporal",IF(ISNUMBER(E176),E176,0)+F176,F176)*G176*1000+F176,0)=Y176,1,0))))))</f>
        <v>0</v>
      </c>
      <c r="AA176" s="69">
        <f>MAX(IF((G176&gt;=6)*(1-(IF(H176="",-1,H176)&gt;=1)*(IF(H176="",-1,H176)&lt;=3))*(1-(IF(H176="",-1,H176)=0)),IF(C176="peso_corporal",IF(ISNUMBER(E176),E176,0)+F176,F176)*(30+G176)*100+F176,0),IF((J176&gt;=6)*(1-(IF(K176="",-1,K176)&gt;=1)*(IF(K176="",-1,K176)&lt;=3))*(1-(IF(K176="",-1,K176)=0)),IF(C176="peso_corporal",IF(ISNUMBER(E176),E176,0)+I176,I176)*(30+J176)*100+I176,0),IF((M176&gt;=6)*(1-(IF(N176="",-1,N176)&gt;=1)*(IF(N176="",-1,N176)&lt;=3))*(1-(IF(N176="",-1,N176)=0)),IF(C176="peso_corporal",IF(ISNUMBER(E176),E176,0)+L176,L176)*(30+M176)*100+L176,0),IF((P176&gt;=6)*(1-(IF(Q176="",-1,Q176)&gt;=1)*(IF(Q176="",-1,Q176)&lt;=3))*(1-(IF(Q176="",-1,Q176)=0)),IF(C176="peso_corporal",IF(ISNUMBER(E176),E176,0)+O176,O176)*(30+P176)*100+O176,0),IF((S176&gt;=6)*(1-(IF(T176="",-1,T176)&gt;=1)*(IF(T176="",-1,T176)&lt;=3))*(1-(IF(T176="",-1,T176)=0)),IF(C176="peso_corporal",IF(ISNUMBER(E176),E176,0)+R176,R176)*(30+S176)*100+R176,0))</f>
        <v>0</v>
      </c>
      <c r="AB176" s="69">
        <f>IF(AA176=0,0,IF(IF((S176&gt;=6)*(1-(IF(T176="",-1,T176)&gt;=1)*(IF(T176="",-1,T176)&lt;=3))*(1-(IF(T176="",-1,T176)=0)),IF(C176="peso_corporal",IF(ISNUMBER(E176),E176,0)+R176,R176)*(30+S176)*100+R176,0)=AA176,5,IF(IF((P176&gt;=6)*(1-(IF(Q176="",-1,Q176)&gt;=1)*(IF(Q176="",-1,Q176)&lt;=3))*(1-(IF(Q176="",-1,Q176)=0)),IF(C176="peso_corporal",IF(ISNUMBER(E176),E176,0)+O176,O176)*(30+P176)*100+O176,0)=AA176,4,IF(IF((M176&gt;=6)*(1-(IF(N176="",-1,N176)&gt;=1)*(IF(N176="",-1,N176)&lt;=3))*(1-(IF(N176="",-1,N176)=0)),IF(C176="peso_corporal",IF(ISNUMBER(E176),E176,0)+L176,L176)*(30+M176)*100+L176,0)=AA176,3,IF(IF((J176&gt;=6)*(1-(IF(K176="",-1,K176)&gt;=1)*(IF(K176="",-1,K176)&lt;=3))*(1-(IF(K176="",-1,K176)=0)),IF(C176="peso_corporal",IF(ISNUMBER(E176),E176,0)+I176,I176)*(30+J176)*100+I176,0)=AA176,2,IF(IF((G176&gt;=6)*(1-(IF(H176="",-1,H176)&gt;=1)*(IF(H176="",-1,H176)&lt;=3))*(1-(IF(H176="",-1,H176)=0)),IF(C176="peso_corporal",IF(ISNUMBER(E176),E176,0)+F176,F176)*(30+G176)*100+F176,0)=AA176,1,0))))))</f>
        <v>0</v>
      </c>
      <c r="AC176" s="69" t="str">
        <f>IF(X176&gt;0,"A"&amp;X176,IF(Z176&gt;0,"B"&amp;Z176,IF(AB176&gt;0,"C"&amp;AB176,"")))</f>
        <v/>
      </c>
    </row>
    <row r="177" spans="1:29" ht="6"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69"/>
      <c r="X177" s="69"/>
      <c r="Y177" s="69"/>
      <c r="Z177" s="69"/>
      <c r="AA177" s="69"/>
      <c r="AB177" s="69"/>
      <c r="AC177" s="69"/>
    </row>
    <row r="178" spans="1:29" ht="18" customHeight="1">
      <c r="A178" s="85" t="s">
        <v>73</v>
      </c>
      <c r="B178" s="73"/>
      <c r="C178" s="73"/>
      <c r="D178" s="73"/>
      <c r="E178" s="73"/>
      <c r="F178" s="73"/>
      <c r="G178" s="73"/>
      <c r="H178" s="73"/>
      <c r="I178" s="73"/>
      <c r="J178" s="73"/>
      <c r="K178" s="73"/>
      <c r="L178" s="73"/>
      <c r="M178" s="73"/>
      <c r="N178" s="73"/>
      <c r="O178" s="73"/>
      <c r="P178" s="73"/>
      <c r="Q178" s="73"/>
      <c r="R178" s="73"/>
      <c r="S178" s="73"/>
      <c r="T178" s="73"/>
      <c r="U178" s="73"/>
      <c r="V178" s="73"/>
      <c r="W178" s="69"/>
      <c r="X178" s="69"/>
      <c r="Y178" s="69"/>
      <c r="Z178" s="69"/>
      <c r="AA178" s="69"/>
      <c r="AB178" s="69"/>
      <c r="AC178" s="69"/>
    </row>
    <row r="179" spans="1:29" ht="15" customHeight="1">
      <c r="A179" s="75" t="s">
        <v>88</v>
      </c>
      <c r="B179" s="73"/>
      <c r="C179" s="73"/>
      <c r="D179" s="73"/>
      <c r="E179" s="73"/>
      <c r="F179" s="73"/>
      <c r="G179" s="73"/>
      <c r="H179" s="73"/>
      <c r="I179" s="73"/>
      <c r="J179" s="73"/>
      <c r="K179" s="73"/>
      <c r="L179" s="73"/>
      <c r="M179" s="73"/>
      <c r="N179" s="73"/>
      <c r="O179" s="73"/>
      <c r="P179" s="73"/>
      <c r="Q179" s="73"/>
      <c r="R179" s="73"/>
      <c r="S179" s="73"/>
      <c r="T179" s="73"/>
      <c r="U179" s="73"/>
      <c r="V179" s="73"/>
      <c r="W179" s="69"/>
      <c r="X179" s="69"/>
      <c r="Y179" s="69"/>
      <c r="Z179" s="69"/>
      <c r="AA179" s="69"/>
      <c r="AB179" s="69"/>
      <c r="AC179" s="69"/>
    </row>
    <row r="180" spans="1:29" ht="11.1" customHeight="1">
      <c r="A180" s="76" t="s">
        <v>89</v>
      </c>
      <c r="B180" s="73"/>
      <c r="C180" s="73"/>
      <c r="D180" s="73"/>
      <c r="E180" s="73"/>
      <c r="F180" s="73"/>
      <c r="G180" s="73"/>
      <c r="H180" s="73"/>
      <c r="I180" s="73"/>
      <c r="J180" s="73"/>
      <c r="K180" s="73"/>
      <c r="L180" s="73"/>
      <c r="M180" s="73"/>
      <c r="N180" s="73"/>
      <c r="O180" s="73"/>
      <c r="P180" s="73"/>
      <c r="Q180" s="73"/>
      <c r="R180" s="73"/>
      <c r="S180" s="73"/>
      <c r="T180" s="73"/>
      <c r="U180" s="73"/>
      <c r="V180" s="73"/>
      <c r="W180" s="69"/>
      <c r="X180" s="69"/>
      <c r="Y180" s="69"/>
      <c r="Z180" s="69"/>
      <c r="AA180" s="69"/>
      <c r="AB180" s="69"/>
      <c r="AC180" s="69"/>
    </row>
    <row r="181" spans="1:29" ht="20.100000000000001" customHeight="1">
      <c r="A181" s="14" t="s">
        <v>92</v>
      </c>
      <c r="B181" s="15" t="s">
        <v>108</v>
      </c>
      <c r="C181" s="16" t="str">
        <f>IFERROR(INDEX(EJERCICIOS!$D$3:$D$75,MATCH(A181&amp;"|"&amp;B181,EJERCICIOS!$G$3:$G$75,0)),"--")</f>
        <v>polea</v>
      </c>
      <c r="D181" s="17">
        <v>3</v>
      </c>
      <c r="E181" s="18">
        <f>IFERROR(LOOKUP(2,1/(MEDIDAS_Y_PESO!$B$3:$B$10&lt;&gt;""),MEDIDAS_Y_PESO!$B$3:$B$10),"--")</f>
        <v>80</v>
      </c>
      <c r="F181" s="19"/>
      <c r="G181" s="20"/>
      <c r="H181" s="21"/>
      <c r="I181" s="19"/>
      <c r="J181" s="20"/>
      <c r="K181" s="21"/>
      <c r="L181" s="19"/>
      <c r="M181" s="20"/>
      <c r="N181" s="21"/>
      <c r="O181" s="19"/>
      <c r="P181" s="20"/>
      <c r="Q181" s="21"/>
      <c r="R181" s="19"/>
      <c r="S181" s="20"/>
      <c r="T181" s="21"/>
      <c r="U181" s="22" t="str">
        <f>IFERROR(IF(IF(X181&gt;0,X181,IF(Z181&gt;0,Z181,IF(AB181&gt;0,AB181,0)))=0,"--",ROUND(CHOOSE(IF(X181&gt;0,X181,IF(Z181&gt;0,Z181,IF(AB181&gt;0,AB181,0))),IF(C181="peso_corporal",IF(ISNUMBER(E181),E181,0)+F181,F181)*(1+G181/30),IF(C181="peso_corporal",IF(ISNUMBER(E181),E181,0)+I181,I181)*(1+J181/30),IF(C181="peso_corporal",IF(ISNUMBER(E181),E181,0)+L181,L181)*(1+M181/30),IF(C181="peso_corporal",IF(ISNUMBER(E181),E181,0)+O181,O181)*(1+P181/30),IF(C181="peso_corporal",IF(ISNUMBER(E181),E181,0)+R181,R181)*(1+S181/30)),1)),"--")</f>
        <v>--</v>
      </c>
      <c r="V181" s="23" t="str">
        <f>IF(SUGERENCIAS!N495="SIN","Sin datos anteriores",IF(SUGERENCIAS!N495="SUBIR_F","^ SUBIR FUERTE | Kg:"&amp;ROUND(SUGERENCIAS!K495,1)&amp;" R:"&amp;ROUND(SUGERENCIAS!L495,0)&amp;" RIR:"&amp;ROUND(SUGERENCIAS!M495,0),IF(SUGERENCIAS!N495="SUBIR_E","^ SUBIR (Est.) | Kg:"&amp;ROUND(SUGERENCIAS!K495,1)&amp;" R:"&amp;ROUND(SUGERENCIAS!L495,0)&amp;" RIR:"&amp;ROUND(SUGERENCIAS!M495,0),IF(SUGERENCIAS!N495="SUBIR","^ SUBIR | Kg:"&amp;ROUND(SUGERENCIAS!K495,1)&amp;" R:"&amp;ROUND(SUGERENCIAS!L495,0)&amp;" RIR:"&amp;ROUND(SUGERENCIAS!M495,0),IF(SUGERENCIAS!N495="BAJAR","v BAJAR | Kg:"&amp;ROUND(SUGERENCIAS!K495,1)&amp;" R:"&amp;ROUND(SUGERENCIAS!L495,0)&amp;" RIR:"&amp;ROUND(SUGERENCIAS!M495,0),"= MANT | Kg:"&amp;ROUND(SUGERENCIAS!K495,1)&amp;" R:"&amp;ROUND(SUGERENCIAS!L495,0)&amp;" RIR:"&amp;ROUND(SUGERENCIAS!M495,0))))))</f>
        <v>Sin datos anteriores</v>
      </c>
      <c r="W181" s="69">
        <f>MAX(IF((G181&gt;0)*(IF(H181="",-1,H181)&gt;=1)*(IF(H181="",-1,H181)&lt;=3),IF(C181="peso_corporal",IF(ISNUMBER(E181),E181,0)+F181,F181)*G181*1000+F181,0),IF((J181&gt;0)*(IF(K181="",-1,K181)&gt;=1)*(IF(K181="",-1,K181)&lt;=3),IF(C181="peso_corporal",IF(ISNUMBER(E181),E181,0)+I181,I181)*J181*1000+I181,0),IF((M181&gt;0)*(IF(N181="",-1,N181)&gt;=1)*(IF(N181="",-1,N181)&lt;=3),IF(C181="peso_corporal",IF(ISNUMBER(E181),E181,0)+L181,L181)*M181*1000+L181,0),IF((P181&gt;0)*(IF(Q181="",-1,Q181)&gt;=1)*(IF(Q181="",-1,Q181)&lt;=3),IF(C181="peso_corporal",IF(ISNUMBER(E181),E181,0)+O181,O181)*P181*1000+O181,0),IF((S181&gt;0)*(IF(T181="",-1,T181)&gt;=1)*(IF(T181="",-1,T181)&lt;=3),IF(C181="peso_corporal",IF(ISNUMBER(E181),E181,0)+R181,R181)*S181*1000+R181,0))</f>
        <v>0</v>
      </c>
      <c r="X181" s="69">
        <f>IF(W181=0,0,IF(IF((S181&gt;0)*(IF(T181="",-1,T181)&gt;=1)*(IF(T181="",-1,T181)&lt;=3),IF(C181="peso_corporal",IF(ISNUMBER(E181),E181,0)+R181,R181)*S181*1000+R181,0)=W181,5,IF(IF((P181&gt;0)*(IF(Q181="",-1,Q181)&gt;=1)*(IF(Q181="",-1,Q181)&lt;=3),IF(C181="peso_corporal",IF(ISNUMBER(E181),E181,0)+O181,O181)*P181*1000+O181,0)=W181,4,IF(IF((M181&gt;0)*(IF(N181="",-1,N181)&gt;=1)*(IF(N181="",-1,N181)&lt;=3),IF(C181="peso_corporal",IF(ISNUMBER(E181),E181,0)+L181,L181)*M181*1000+L181,0)=W181,3,IF(IF((J181&gt;0)*(IF(K181="",-1,K181)&gt;=1)*(IF(K181="",-1,K181)&lt;=3),IF(C181="peso_corporal",IF(ISNUMBER(E181),E181,0)+I181,I181)*J181*1000+I181,0)=W181,2,IF(IF((G181&gt;0)*(IF(H181="",-1,H181)&gt;=1)*(IF(H181="",-1,H181)&lt;=3),IF(C181="peso_corporal",IF(ISNUMBER(E181),E181,0)+F181,F181)*G181*1000+F181,0)=W181,1,0))))))</f>
        <v>0</v>
      </c>
      <c r="Y181" s="69">
        <f>MAX(IF((G181&gt;0)*(IF(H181="",-1,H181)=0)*(1-(IF(H181="",-1,H181)&gt;=1)*(IF(H181="",-1,H181)&lt;=3)),IF(C181="peso_corporal",IF(ISNUMBER(E181),E181,0)+F181,F181)*G181*1000+F181,0),IF((J181&gt;0)*(IF(K181="",-1,K181)=0)*(1-(IF(K181="",-1,K181)&gt;=1)*(IF(K181="",-1,K181)&lt;=3)),IF(C181="peso_corporal",IF(ISNUMBER(E181),E181,0)+I181,I181)*J181*1000+I181,0),IF((M181&gt;0)*(IF(N181="",-1,N181)=0)*(1-(IF(N181="",-1,N181)&gt;=1)*(IF(N181="",-1,N181)&lt;=3)),IF(C181="peso_corporal",IF(ISNUMBER(E181),E181,0)+L181,L181)*M181*1000+L181,0),IF((P181&gt;0)*(IF(Q181="",-1,Q181)=0)*(1-(IF(Q181="",-1,Q181)&gt;=1)*(IF(Q181="",-1,Q181)&lt;=3)),IF(C181="peso_corporal",IF(ISNUMBER(E181),E181,0)+O181,O181)*P181*1000+O181,0),IF((S181&gt;0)*(IF(T181="",-1,T181)=0)*(1-(IF(T181="",-1,T181)&gt;=1)*(IF(T181="",-1,T181)&lt;=3)),IF(C181="peso_corporal",IF(ISNUMBER(E181),E181,0)+R181,R181)*S181*1000+R181,0))</f>
        <v>0</v>
      </c>
      <c r="Z181" s="69">
        <f>IF(Y181=0,0,IF(IF((S181&gt;0)*(IF(T181="",-1,T181)=0)*(1-(IF(T181="",-1,T181)&gt;=1)*(IF(T181="",-1,T181)&lt;=3)),IF(C181="peso_corporal",IF(ISNUMBER(E181),E181,0)+R181,R181)*S181*1000+R181,0)=Y181,5,IF(IF((P181&gt;0)*(IF(Q181="",-1,Q181)=0)*(1-(IF(Q181="",-1,Q181)&gt;=1)*(IF(Q181="",-1,Q181)&lt;=3)),IF(C181="peso_corporal",IF(ISNUMBER(E181),E181,0)+O181,O181)*P181*1000+O181,0)=Y181,4,IF(IF((M181&gt;0)*(IF(N181="",-1,N181)=0)*(1-(IF(N181="",-1,N181)&gt;=1)*(IF(N181="",-1,N181)&lt;=3)),IF(C181="peso_corporal",IF(ISNUMBER(E181),E181,0)+L181,L181)*M181*1000+L181,0)=Y181,3,IF(IF((J181&gt;0)*(IF(K181="",-1,K181)=0)*(1-(IF(K181="",-1,K181)&gt;=1)*(IF(K181="",-1,K181)&lt;=3)),IF(C181="peso_corporal",IF(ISNUMBER(E181),E181,0)+I181,I181)*J181*1000+I181,0)=Y181,2,IF(IF((G181&gt;0)*(IF(H181="",-1,H181)=0)*(1-(IF(H181="",-1,H181)&gt;=1)*(IF(H181="",-1,H181)&lt;=3)),IF(C181="peso_corporal",IF(ISNUMBER(E181),E181,0)+F181,F181)*G181*1000+F181,0)=Y181,1,0))))))</f>
        <v>0</v>
      </c>
      <c r="AA181" s="69">
        <f>MAX(IF((G181&gt;=6)*(1-(IF(H181="",-1,H181)&gt;=1)*(IF(H181="",-1,H181)&lt;=3))*(1-(IF(H181="",-1,H181)=0)),IF(C181="peso_corporal",IF(ISNUMBER(E181),E181,0)+F181,F181)*(30+G181)*100+F181,0),IF((J181&gt;=6)*(1-(IF(K181="",-1,K181)&gt;=1)*(IF(K181="",-1,K181)&lt;=3))*(1-(IF(K181="",-1,K181)=0)),IF(C181="peso_corporal",IF(ISNUMBER(E181),E181,0)+I181,I181)*(30+J181)*100+I181,0),IF((M181&gt;=6)*(1-(IF(N181="",-1,N181)&gt;=1)*(IF(N181="",-1,N181)&lt;=3))*(1-(IF(N181="",-1,N181)=0)),IF(C181="peso_corporal",IF(ISNUMBER(E181),E181,0)+L181,L181)*(30+M181)*100+L181,0),IF((P181&gt;=6)*(1-(IF(Q181="",-1,Q181)&gt;=1)*(IF(Q181="",-1,Q181)&lt;=3))*(1-(IF(Q181="",-1,Q181)=0)),IF(C181="peso_corporal",IF(ISNUMBER(E181),E181,0)+O181,O181)*(30+P181)*100+O181,0),IF((S181&gt;=6)*(1-(IF(T181="",-1,T181)&gt;=1)*(IF(T181="",-1,T181)&lt;=3))*(1-(IF(T181="",-1,T181)=0)),IF(C181="peso_corporal",IF(ISNUMBER(E181),E181,0)+R181,R181)*(30+S181)*100+R181,0))</f>
        <v>0</v>
      </c>
      <c r="AB181" s="69">
        <f>IF(AA181=0,0,IF(IF((S181&gt;=6)*(1-(IF(T181="",-1,T181)&gt;=1)*(IF(T181="",-1,T181)&lt;=3))*(1-(IF(T181="",-1,T181)=0)),IF(C181="peso_corporal",IF(ISNUMBER(E181),E181,0)+R181,R181)*(30+S181)*100+R181,0)=AA181,5,IF(IF((P181&gt;=6)*(1-(IF(Q181="",-1,Q181)&gt;=1)*(IF(Q181="",-1,Q181)&lt;=3))*(1-(IF(Q181="",-1,Q181)=0)),IF(C181="peso_corporal",IF(ISNUMBER(E181),E181,0)+O181,O181)*(30+P181)*100+O181,0)=AA181,4,IF(IF((M181&gt;=6)*(1-(IF(N181="",-1,N181)&gt;=1)*(IF(N181="",-1,N181)&lt;=3))*(1-(IF(N181="",-1,N181)=0)),IF(C181="peso_corporal",IF(ISNUMBER(E181),E181,0)+L181,L181)*(30+M181)*100+L181,0)=AA181,3,IF(IF((J181&gt;=6)*(1-(IF(K181="",-1,K181)&gt;=1)*(IF(K181="",-1,K181)&lt;=3))*(1-(IF(K181="",-1,K181)=0)),IF(C181="peso_corporal",IF(ISNUMBER(E181),E181,0)+I181,I181)*(30+J181)*100+I181,0)=AA181,2,IF(IF((G181&gt;=6)*(1-(IF(H181="",-1,H181)&gt;=1)*(IF(H181="",-1,H181)&lt;=3))*(1-(IF(H181="",-1,H181)=0)),IF(C181="peso_corporal",IF(ISNUMBER(E181),E181,0)+F181,F181)*(30+G181)*100+F181,0)=AA181,1,0))))))</f>
        <v>0</v>
      </c>
      <c r="AC181" s="69" t="str">
        <f>IF(X181&gt;0,"A"&amp;X181,IF(Z181&gt;0,"B"&amp;Z181,IF(AB181&gt;0,"C"&amp;AB181,"")))</f>
        <v/>
      </c>
    </row>
    <row r="182" spans="1:29" ht="11.1" customHeight="1">
      <c r="A182" s="84" t="s">
        <v>94</v>
      </c>
      <c r="B182" s="73"/>
      <c r="C182" s="73"/>
      <c r="D182" s="73"/>
      <c r="E182" s="73"/>
      <c r="F182" s="73"/>
      <c r="G182" s="73"/>
      <c r="H182" s="73"/>
      <c r="I182" s="73"/>
      <c r="J182" s="73"/>
      <c r="K182" s="73"/>
      <c r="L182" s="73"/>
      <c r="M182" s="73"/>
      <c r="N182" s="73"/>
      <c r="O182" s="73"/>
      <c r="P182" s="73"/>
      <c r="Q182" s="73"/>
      <c r="R182" s="73"/>
      <c r="S182" s="73"/>
      <c r="T182" s="73"/>
      <c r="U182" s="73"/>
      <c r="V182" s="73"/>
      <c r="W182" s="69"/>
      <c r="X182" s="69"/>
      <c r="Y182" s="69"/>
      <c r="Z182" s="69"/>
      <c r="AA182" s="69"/>
      <c r="AB182" s="69"/>
      <c r="AC182" s="69"/>
    </row>
    <row r="183" spans="1:29" ht="20.100000000000001" customHeight="1">
      <c r="A183" s="14" t="s">
        <v>95</v>
      </c>
      <c r="B183" s="15" t="s">
        <v>172</v>
      </c>
      <c r="C183" s="16" t="str">
        <f>IFERROR(INDEX(EJERCICIOS!$D$3:$D$75,MATCH(A183&amp;"|"&amp;B183,EJERCICIOS!$G$3:$G$75,0)),"--")</f>
        <v>polea</v>
      </c>
      <c r="D183" s="17">
        <v>3</v>
      </c>
      <c r="E183" s="18">
        <f>IFERROR(LOOKUP(2,1/(MEDIDAS_Y_PESO!$B$3:$B$10&lt;&gt;""),MEDIDAS_Y_PESO!$B$3:$B$10),"--")</f>
        <v>80</v>
      </c>
      <c r="F183" s="19"/>
      <c r="G183" s="20"/>
      <c r="H183" s="21"/>
      <c r="I183" s="19"/>
      <c r="J183" s="20"/>
      <c r="K183" s="21"/>
      <c r="L183" s="19"/>
      <c r="M183" s="20"/>
      <c r="N183" s="21"/>
      <c r="O183" s="19"/>
      <c r="P183" s="20"/>
      <c r="Q183" s="21"/>
      <c r="R183" s="19"/>
      <c r="S183" s="20"/>
      <c r="T183" s="21"/>
      <c r="U183" s="22" t="str">
        <f>IFERROR(IF(IF(X183&gt;0,X183,IF(Z183&gt;0,Z183,IF(AB183&gt;0,AB183,0)))=0,"--",ROUND(CHOOSE(IF(X183&gt;0,X183,IF(Z183&gt;0,Z183,IF(AB183&gt;0,AB183,0))),IF(C183="peso_corporal",IF(ISNUMBER(E183),E183,0)+F183,F183)*(1+G183/30),IF(C183="peso_corporal",IF(ISNUMBER(E183),E183,0)+I183,I183)*(1+J183/30),IF(C183="peso_corporal",IF(ISNUMBER(E183),E183,0)+L183,L183)*(1+M183/30),IF(C183="peso_corporal",IF(ISNUMBER(E183),E183,0)+O183,O183)*(1+P183/30),IF(C183="peso_corporal",IF(ISNUMBER(E183),E183,0)+R183,R183)*(1+S183/30)),1)),"--")</f>
        <v>--</v>
      </c>
      <c r="V183" s="23" t="str">
        <f>IF(SUGERENCIAS!N496="SIN","Sin datos anteriores",IF(SUGERENCIAS!N496="SUBIR_F","^ SUBIR FUERTE | Kg:"&amp;ROUND(SUGERENCIAS!K496,1)&amp;" R:"&amp;ROUND(SUGERENCIAS!L496,0)&amp;" RIR:"&amp;ROUND(SUGERENCIAS!M496,0),IF(SUGERENCIAS!N496="SUBIR_E","^ SUBIR (Est.) | Kg:"&amp;ROUND(SUGERENCIAS!K496,1)&amp;" R:"&amp;ROUND(SUGERENCIAS!L496,0)&amp;" RIR:"&amp;ROUND(SUGERENCIAS!M496,0),IF(SUGERENCIAS!N496="SUBIR","^ SUBIR | Kg:"&amp;ROUND(SUGERENCIAS!K496,1)&amp;" R:"&amp;ROUND(SUGERENCIAS!L496,0)&amp;" RIR:"&amp;ROUND(SUGERENCIAS!M496,0),IF(SUGERENCIAS!N496="BAJAR","v BAJAR | Kg:"&amp;ROUND(SUGERENCIAS!K496,1)&amp;" R:"&amp;ROUND(SUGERENCIAS!L496,0)&amp;" RIR:"&amp;ROUND(SUGERENCIAS!M496,0),"= MANT | Kg:"&amp;ROUND(SUGERENCIAS!K496,1)&amp;" R:"&amp;ROUND(SUGERENCIAS!L496,0)&amp;" RIR:"&amp;ROUND(SUGERENCIAS!M496,0))))))</f>
        <v>Sin datos anteriores</v>
      </c>
      <c r="W183" s="69">
        <f>MAX(IF((G183&gt;0)*(IF(H183="",-1,H183)&gt;=1)*(IF(H183="",-1,H183)&lt;=3),IF(C183="peso_corporal",IF(ISNUMBER(E183),E183,0)+F183,F183)*G183*1000+F183,0),IF((J183&gt;0)*(IF(K183="",-1,K183)&gt;=1)*(IF(K183="",-1,K183)&lt;=3),IF(C183="peso_corporal",IF(ISNUMBER(E183),E183,0)+I183,I183)*J183*1000+I183,0),IF((M183&gt;0)*(IF(N183="",-1,N183)&gt;=1)*(IF(N183="",-1,N183)&lt;=3),IF(C183="peso_corporal",IF(ISNUMBER(E183),E183,0)+L183,L183)*M183*1000+L183,0),IF((P183&gt;0)*(IF(Q183="",-1,Q183)&gt;=1)*(IF(Q183="",-1,Q183)&lt;=3),IF(C183="peso_corporal",IF(ISNUMBER(E183),E183,0)+O183,O183)*P183*1000+O183,0),IF((S183&gt;0)*(IF(T183="",-1,T183)&gt;=1)*(IF(T183="",-1,T183)&lt;=3),IF(C183="peso_corporal",IF(ISNUMBER(E183),E183,0)+R183,R183)*S183*1000+R183,0))</f>
        <v>0</v>
      </c>
      <c r="X183" s="69">
        <f>IF(W183=0,0,IF(IF((S183&gt;0)*(IF(T183="",-1,T183)&gt;=1)*(IF(T183="",-1,T183)&lt;=3),IF(C183="peso_corporal",IF(ISNUMBER(E183),E183,0)+R183,R183)*S183*1000+R183,0)=W183,5,IF(IF((P183&gt;0)*(IF(Q183="",-1,Q183)&gt;=1)*(IF(Q183="",-1,Q183)&lt;=3),IF(C183="peso_corporal",IF(ISNUMBER(E183),E183,0)+O183,O183)*P183*1000+O183,0)=W183,4,IF(IF((M183&gt;0)*(IF(N183="",-1,N183)&gt;=1)*(IF(N183="",-1,N183)&lt;=3),IF(C183="peso_corporal",IF(ISNUMBER(E183),E183,0)+L183,L183)*M183*1000+L183,0)=W183,3,IF(IF((J183&gt;0)*(IF(K183="",-1,K183)&gt;=1)*(IF(K183="",-1,K183)&lt;=3),IF(C183="peso_corporal",IF(ISNUMBER(E183),E183,0)+I183,I183)*J183*1000+I183,0)=W183,2,IF(IF((G183&gt;0)*(IF(H183="",-1,H183)&gt;=1)*(IF(H183="",-1,H183)&lt;=3),IF(C183="peso_corporal",IF(ISNUMBER(E183),E183,0)+F183,F183)*G183*1000+F183,0)=W183,1,0))))))</f>
        <v>0</v>
      </c>
      <c r="Y183" s="69">
        <f>MAX(IF((G183&gt;0)*(IF(H183="",-1,H183)=0)*(1-(IF(H183="",-1,H183)&gt;=1)*(IF(H183="",-1,H183)&lt;=3)),IF(C183="peso_corporal",IF(ISNUMBER(E183),E183,0)+F183,F183)*G183*1000+F183,0),IF((J183&gt;0)*(IF(K183="",-1,K183)=0)*(1-(IF(K183="",-1,K183)&gt;=1)*(IF(K183="",-1,K183)&lt;=3)),IF(C183="peso_corporal",IF(ISNUMBER(E183),E183,0)+I183,I183)*J183*1000+I183,0),IF((M183&gt;0)*(IF(N183="",-1,N183)=0)*(1-(IF(N183="",-1,N183)&gt;=1)*(IF(N183="",-1,N183)&lt;=3)),IF(C183="peso_corporal",IF(ISNUMBER(E183),E183,0)+L183,L183)*M183*1000+L183,0),IF((P183&gt;0)*(IF(Q183="",-1,Q183)=0)*(1-(IF(Q183="",-1,Q183)&gt;=1)*(IF(Q183="",-1,Q183)&lt;=3)),IF(C183="peso_corporal",IF(ISNUMBER(E183),E183,0)+O183,O183)*P183*1000+O183,0),IF((S183&gt;0)*(IF(T183="",-1,T183)=0)*(1-(IF(T183="",-1,T183)&gt;=1)*(IF(T183="",-1,T183)&lt;=3)),IF(C183="peso_corporal",IF(ISNUMBER(E183),E183,0)+R183,R183)*S183*1000+R183,0))</f>
        <v>0</v>
      </c>
      <c r="Z183" s="69">
        <f>IF(Y183=0,0,IF(IF((S183&gt;0)*(IF(T183="",-1,T183)=0)*(1-(IF(T183="",-1,T183)&gt;=1)*(IF(T183="",-1,T183)&lt;=3)),IF(C183="peso_corporal",IF(ISNUMBER(E183),E183,0)+R183,R183)*S183*1000+R183,0)=Y183,5,IF(IF((P183&gt;0)*(IF(Q183="",-1,Q183)=0)*(1-(IF(Q183="",-1,Q183)&gt;=1)*(IF(Q183="",-1,Q183)&lt;=3)),IF(C183="peso_corporal",IF(ISNUMBER(E183),E183,0)+O183,O183)*P183*1000+O183,0)=Y183,4,IF(IF((M183&gt;0)*(IF(N183="",-1,N183)=0)*(1-(IF(N183="",-1,N183)&gt;=1)*(IF(N183="",-1,N183)&lt;=3)),IF(C183="peso_corporal",IF(ISNUMBER(E183),E183,0)+L183,L183)*M183*1000+L183,0)=Y183,3,IF(IF((J183&gt;0)*(IF(K183="",-1,K183)=0)*(1-(IF(K183="",-1,K183)&gt;=1)*(IF(K183="",-1,K183)&lt;=3)),IF(C183="peso_corporal",IF(ISNUMBER(E183),E183,0)+I183,I183)*J183*1000+I183,0)=Y183,2,IF(IF((G183&gt;0)*(IF(H183="",-1,H183)=0)*(1-(IF(H183="",-1,H183)&gt;=1)*(IF(H183="",-1,H183)&lt;=3)),IF(C183="peso_corporal",IF(ISNUMBER(E183),E183,0)+F183,F183)*G183*1000+F183,0)=Y183,1,0))))))</f>
        <v>0</v>
      </c>
      <c r="AA183" s="69">
        <f>MAX(IF((G183&gt;=6)*(1-(IF(H183="",-1,H183)&gt;=1)*(IF(H183="",-1,H183)&lt;=3))*(1-(IF(H183="",-1,H183)=0)),IF(C183="peso_corporal",IF(ISNUMBER(E183),E183,0)+F183,F183)*(30+G183)*100+F183,0),IF((J183&gt;=6)*(1-(IF(K183="",-1,K183)&gt;=1)*(IF(K183="",-1,K183)&lt;=3))*(1-(IF(K183="",-1,K183)=0)),IF(C183="peso_corporal",IF(ISNUMBER(E183),E183,0)+I183,I183)*(30+J183)*100+I183,0),IF((M183&gt;=6)*(1-(IF(N183="",-1,N183)&gt;=1)*(IF(N183="",-1,N183)&lt;=3))*(1-(IF(N183="",-1,N183)=0)),IF(C183="peso_corporal",IF(ISNUMBER(E183),E183,0)+L183,L183)*(30+M183)*100+L183,0),IF((P183&gt;=6)*(1-(IF(Q183="",-1,Q183)&gt;=1)*(IF(Q183="",-1,Q183)&lt;=3))*(1-(IF(Q183="",-1,Q183)=0)),IF(C183="peso_corporal",IF(ISNUMBER(E183),E183,0)+O183,O183)*(30+P183)*100+O183,0),IF((S183&gt;=6)*(1-(IF(T183="",-1,T183)&gt;=1)*(IF(T183="",-1,T183)&lt;=3))*(1-(IF(T183="",-1,T183)=0)),IF(C183="peso_corporal",IF(ISNUMBER(E183),E183,0)+R183,R183)*(30+S183)*100+R183,0))</f>
        <v>0</v>
      </c>
      <c r="AB183" s="69">
        <f>IF(AA183=0,0,IF(IF((S183&gt;=6)*(1-(IF(T183="",-1,T183)&gt;=1)*(IF(T183="",-1,T183)&lt;=3))*(1-(IF(T183="",-1,T183)=0)),IF(C183="peso_corporal",IF(ISNUMBER(E183),E183,0)+R183,R183)*(30+S183)*100+R183,0)=AA183,5,IF(IF((P183&gt;=6)*(1-(IF(Q183="",-1,Q183)&gt;=1)*(IF(Q183="",-1,Q183)&lt;=3))*(1-(IF(Q183="",-1,Q183)=0)),IF(C183="peso_corporal",IF(ISNUMBER(E183),E183,0)+O183,O183)*(30+P183)*100+O183,0)=AA183,4,IF(IF((M183&gt;=6)*(1-(IF(N183="",-1,N183)&gt;=1)*(IF(N183="",-1,N183)&lt;=3))*(1-(IF(N183="",-1,N183)=0)),IF(C183="peso_corporal",IF(ISNUMBER(E183),E183,0)+L183,L183)*(30+M183)*100+L183,0)=AA183,3,IF(IF((J183&gt;=6)*(1-(IF(K183="",-1,K183)&gt;=1)*(IF(K183="",-1,K183)&lt;=3))*(1-(IF(K183="",-1,K183)=0)),IF(C183="peso_corporal",IF(ISNUMBER(E183),E183,0)+I183,I183)*(30+J183)*100+I183,0)=AA183,2,IF(IF((G183&gt;=6)*(1-(IF(H183="",-1,H183)&gt;=1)*(IF(H183="",-1,H183)&lt;=3))*(1-(IF(H183="",-1,H183)=0)),IF(C183="peso_corporal",IF(ISNUMBER(E183),E183,0)+F183,F183)*(30+G183)*100+F183,0)=AA183,1,0))))))</f>
        <v>0</v>
      </c>
      <c r="AC183" s="69" t="str">
        <f>IF(X183&gt;0,"A"&amp;X183,IF(Z183&gt;0,"B"&amp;Z183,IF(AB183&gt;0,"C"&amp;AB183,"")))</f>
        <v/>
      </c>
    </row>
    <row r="184" spans="1:29" ht="20.100000000000001" customHeight="1">
      <c r="A184" s="14" t="s">
        <v>95</v>
      </c>
      <c r="B184" s="15" t="s">
        <v>173</v>
      </c>
      <c r="C184" s="16" t="str">
        <f>IFERROR(INDEX(EJERCICIOS!$D$3:$D$75,MATCH(A184&amp;"|"&amp;B184,EJERCICIOS!$G$3:$G$75,0)),"--")</f>
        <v>polea</v>
      </c>
      <c r="D184" s="17">
        <v>3</v>
      </c>
      <c r="E184" s="18">
        <f>IFERROR(LOOKUP(2,1/(MEDIDAS_Y_PESO!$B$3:$B$10&lt;&gt;""),MEDIDAS_Y_PESO!$B$3:$B$10),"--")</f>
        <v>80</v>
      </c>
      <c r="F184" s="19"/>
      <c r="G184" s="20"/>
      <c r="H184" s="21"/>
      <c r="I184" s="19"/>
      <c r="J184" s="20"/>
      <c r="K184" s="21"/>
      <c r="L184" s="19"/>
      <c r="M184" s="20"/>
      <c r="N184" s="21"/>
      <c r="O184" s="19"/>
      <c r="P184" s="20"/>
      <c r="Q184" s="21"/>
      <c r="R184" s="19"/>
      <c r="S184" s="20"/>
      <c r="T184" s="21"/>
      <c r="U184" s="22" t="str">
        <f>IFERROR(IF(IF(X184&gt;0,X184,IF(Z184&gt;0,Z184,IF(AB184&gt;0,AB184,0)))=0,"--",ROUND(CHOOSE(IF(X184&gt;0,X184,IF(Z184&gt;0,Z184,IF(AB184&gt;0,AB184,0))),IF(C184="peso_corporal",IF(ISNUMBER(E184),E184,0)+F184,F184)*(1+G184/30),IF(C184="peso_corporal",IF(ISNUMBER(E184),E184,0)+I184,I184)*(1+J184/30),IF(C184="peso_corporal",IF(ISNUMBER(E184),E184,0)+L184,L184)*(1+M184/30),IF(C184="peso_corporal",IF(ISNUMBER(E184),E184,0)+O184,O184)*(1+P184/30),IF(C184="peso_corporal",IF(ISNUMBER(E184),E184,0)+R184,R184)*(1+S184/30)),1)),"--")</f>
        <v>--</v>
      </c>
      <c r="V184" s="23" t="str">
        <f>IF(SUGERENCIAS!N497="SIN","Sin datos anteriores",IF(SUGERENCIAS!N497="SUBIR_F","^ SUBIR FUERTE | Kg:"&amp;ROUND(SUGERENCIAS!K497,1)&amp;" R:"&amp;ROUND(SUGERENCIAS!L497,0)&amp;" RIR:"&amp;ROUND(SUGERENCIAS!M497,0),IF(SUGERENCIAS!N497="SUBIR_E","^ SUBIR (Est.) | Kg:"&amp;ROUND(SUGERENCIAS!K497,1)&amp;" R:"&amp;ROUND(SUGERENCIAS!L497,0)&amp;" RIR:"&amp;ROUND(SUGERENCIAS!M497,0),IF(SUGERENCIAS!N497="SUBIR","^ SUBIR | Kg:"&amp;ROUND(SUGERENCIAS!K497,1)&amp;" R:"&amp;ROUND(SUGERENCIAS!L497,0)&amp;" RIR:"&amp;ROUND(SUGERENCIAS!M497,0),IF(SUGERENCIAS!N497="BAJAR","v BAJAR | Kg:"&amp;ROUND(SUGERENCIAS!K497,1)&amp;" R:"&amp;ROUND(SUGERENCIAS!L497,0)&amp;" RIR:"&amp;ROUND(SUGERENCIAS!M497,0),"= MANT | Kg:"&amp;ROUND(SUGERENCIAS!K497,1)&amp;" R:"&amp;ROUND(SUGERENCIAS!L497,0)&amp;" RIR:"&amp;ROUND(SUGERENCIAS!M497,0))))))</f>
        <v>Sin datos anteriores</v>
      </c>
      <c r="W184" s="69">
        <f>MAX(IF((G184&gt;0)*(IF(H184="",-1,H184)&gt;=1)*(IF(H184="",-1,H184)&lt;=3),IF(C184="peso_corporal",IF(ISNUMBER(E184),E184,0)+F184,F184)*G184*1000+F184,0),IF((J184&gt;0)*(IF(K184="",-1,K184)&gt;=1)*(IF(K184="",-1,K184)&lt;=3),IF(C184="peso_corporal",IF(ISNUMBER(E184),E184,0)+I184,I184)*J184*1000+I184,0),IF((M184&gt;0)*(IF(N184="",-1,N184)&gt;=1)*(IF(N184="",-1,N184)&lt;=3),IF(C184="peso_corporal",IF(ISNUMBER(E184),E184,0)+L184,L184)*M184*1000+L184,0),IF((P184&gt;0)*(IF(Q184="",-1,Q184)&gt;=1)*(IF(Q184="",-1,Q184)&lt;=3),IF(C184="peso_corporal",IF(ISNUMBER(E184),E184,0)+O184,O184)*P184*1000+O184,0),IF((S184&gt;0)*(IF(T184="",-1,T184)&gt;=1)*(IF(T184="",-1,T184)&lt;=3),IF(C184="peso_corporal",IF(ISNUMBER(E184),E184,0)+R184,R184)*S184*1000+R184,0))</f>
        <v>0</v>
      </c>
      <c r="X184" s="69">
        <f>IF(W184=0,0,IF(IF((S184&gt;0)*(IF(T184="",-1,T184)&gt;=1)*(IF(T184="",-1,T184)&lt;=3),IF(C184="peso_corporal",IF(ISNUMBER(E184),E184,0)+R184,R184)*S184*1000+R184,0)=W184,5,IF(IF((P184&gt;0)*(IF(Q184="",-1,Q184)&gt;=1)*(IF(Q184="",-1,Q184)&lt;=3),IF(C184="peso_corporal",IF(ISNUMBER(E184),E184,0)+O184,O184)*P184*1000+O184,0)=W184,4,IF(IF((M184&gt;0)*(IF(N184="",-1,N184)&gt;=1)*(IF(N184="",-1,N184)&lt;=3),IF(C184="peso_corporal",IF(ISNUMBER(E184),E184,0)+L184,L184)*M184*1000+L184,0)=W184,3,IF(IF((J184&gt;0)*(IF(K184="",-1,K184)&gt;=1)*(IF(K184="",-1,K184)&lt;=3),IF(C184="peso_corporal",IF(ISNUMBER(E184),E184,0)+I184,I184)*J184*1000+I184,0)=W184,2,IF(IF((G184&gt;0)*(IF(H184="",-1,H184)&gt;=1)*(IF(H184="",-1,H184)&lt;=3),IF(C184="peso_corporal",IF(ISNUMBER(E184),E184,0)+F184,F184)*G184*1000+F184,0)=W184,1,0))))))</f>
        <v>0</v>
      </c>
      <c r="Y184" s="69">
        <f>MAX(IF((G184&gt;0)*(IF(H184="",-1,H184)=0)*(1-(IF(H184="",-1,H184)&gt;=1)*(IF(H184="",-1,H184)&lt;=3)),IF(C184="peso_corporal",IF(ISNUMBER(E184),E184,0)+F184,F184)*G184*1000+F184,0),IF((J184&gt;0)*(IF(K184="",-1,K184)=0)*(1-(IF(K184="",-1,K184)&gt;=1)*(IF(K184="",-1,K184)&lt;=3)),IF(C184="peso_corporal",IF(ISNUMBER(E184),E184,0)+I184,I184)*J184*1000+I184,0),IF((M184&gt;0)*(IF(N184="",-1,N184)=0)*(1-(IF(N184="",-1,N184)&gt;=1)*(IF(N184="",-1,N184)&lt;=3)),IF(C184="peso_corporal",IF(ISNUMBER(E184),E184,0)+L184,L184)*M184*1000+L184,0),IF((P184&gt;0)*(IF(Q184="",-1,Q184)=0)*(1-(IF(Q184="",-1,Q184)&gt;=1)*(IF(Q184="",-1,Q184)&lt;=3)),IF(C184="peso_corporal",IF(ISNUMBER(E184),E184,0)+O184,O184)*P184*1000+O184,0),IF((S184&gt;0)*(IF(T184="",-1,T184)=0)*(1-(IF(T184="",-1,T184)&gt;=1)*(IF(T184="",-1,T184)&lt;=3)),IF(C184="peso_corporal",IF(ISNUMBER(E184),E184,0)+R184,R184)*S184*1000+R184,0))</f>
        <v>0</v>
      </c>
      <c r="Z184" s="69">
        <f>IF(Y184=0,0,IF(IF((S184&gt;0)*(IF(T184="",-1,T184)=0)*(1-(IF(T184="",-1,T184)&gt;=1)*(IF(T184="",-1,T184)&lt;=3)),IF(C184="peso_corporal",IF(ISNUMBER(E184),E184,0)+R184,R184)*S184*1000+R184,0)=Y184,5,IF(IF((P184&gt;0)*(IF(Q184="",-1,Q184)=0)*(1-(IF(Q184="",-1,Q184)&gt;=1)*(IF(Q184="",-1,Q184)&lt;=3)),IF(C184="peso_corporal",IF(ISNUMBER(E184),E184,0)+O184,O184)*P184*1000+O184,0)=Y184,4,IF(IF((M184&gt;0)*(IF(N184="",-1,N184)=0)*(1-(IF(N184="",-1,N184)&gt;=1)*(IF(N184="",-1,N184)&lt;=3)),IF(C184="peso_corporal",IF(ISNUMBER(E184),E184,0)+L184,L184)*M184*1000+L184,0)=Y184,3,IF(IF((J184&gt;0)*(IF(K184="",-1,K184)=0)*(1-(IF(K184="",-1,K184)&gt;=1)*(IF(K184="",-1,K184)&lt;=3)),IF(C184="peso_corporal",IF(ISNUMBER(E184),E184,0)+I184,I184)*J184*1000+I184,0)=Y184,2,IF(IF((G184&gt;0)*(IF(H184="",-1,H184)=0)*(1-(IF(H184="",-1,H184)&gt;=1)*(IF(H184="",-1,H184)&lt;=3)),IF(C184="peso_corporal",IF(ISNUMBER(E184),E184,0)+F184,F184)*G184*1000+F184,0)=Y184,1,0))))))</f>
        <v>0</v>
      </c>
      <c r="AA184" s="69">
        <f>MAX(IF((G184&gt;=6)*(1-(IF(H184="",-1,H184)&gt;=1)*(IF(H184="",-1,H184)&lt;=3))*(1-(IF(H184="",-1,H184)=0)),IF(C184="peso_corporal",IF(ISNUMBER(E184),E184,0)+F184,F184)*(30+G184)*100+F184,0),IF((J184&gt;=6)*(1-(IF(K184="",-1,K184)&gt;=1)*(IF(K184="",-1,K184)&lt;=3))*(1-(IF(K184="",-1,K184)=0)),IF(C184="peso_corporal",IF(ISNUMBER(E184),E184,0)+I184,I184)*(30+J184)*100+I184,0),IF((M184&gt;=6)*(1-(IF(N184="",-1,N184)&gt;=1)*(IF(N184="",-1,N184)&lt;=3))*(1-(IF(N184="",-1,N184)=0)),IF(C184="peso_corporal",IF(ISNUMBER(E184),E184,0)+L184,L184)*(30+M184)*100+L184,0),IF((P184&gt;=6)*(1-(IF(Q184="",-1,Q184)&gt;=1)*(IF(Q184="",-1,Q184)&lt;=3))*(1-(IF(Q184="",-1,Q184)=0)),IF(C184="peso_corporal",IF(ISNUMBER(E184),E184,0)+O184,O184)*(30+P184)*100+O184,0),IF((S184&gt;=6)*(1-(IF(T184="",-1,T184)&gt;=1)*(IF(T184="",-1,T184)&lt;=3))*(1-(IF(T184="",-1,T184)=0)),IF(C184="peso_corporal",IF(ISNUMBER(E184),E184,0)+R184,R184)*(30+S184)*100+R184,0))</f>
        <v>0</v>
      </c>
      <c r="AB184" s="69">
        <f>IF(AA184=0,0,IF(IF((S184&gt;=6)*(1-(IF(T184="",-1,T184)&gt;=1)*(IF(T184="",-1,T184)&lt;=3))*(1-(IF(T184="",-1,T184)=0)),IF(C184="peso_corporal",IF(ISNUMBER(E184),E184,0)+R184,R184)*(30+S184)*100+R184,0)=AA184,5,IF(IF((P184&gt;=6)*(1-(IF(Q184="",-1,Q184)&gt;=1)*(IF(Q184="",-1,Q184)&lt;=3))*(1-(IF(Q184="",-1,Q184)=0)),IF(C184="peso_corporal",IF(ISNUMBER(E184),E184,0)+O184,O184)*(30+P184)*100+O184,0)=AA184,4,IF(IF((M184&gt;=6)*(1-(IF(N184="",-1,N184)&gt;=1)*(IF(N184="",-1,N184)&lt;=3))*(1-(IF(N184="",-1,N184)=0)),IF(C184="peso_corporal",IF(ISNUMBER(E184),E184,0)+L184,L184)*(30+M184)*100+L184,0)=AA184,3,IF(IF((J184&gt;=6)*(1-(IF(K184="",-1,K184)&gt;=1)*(IF(K184="",-1,K184)&lt;=3))*(1-(IF(K184="",-1,K184)=0)),IF(C184="peso_corporal",IF(ISNUMBER(E184),E184,0)+I184,I184)*(30+J184)*100+I184,0)=AA184,2,IF(IF((G184&gt;=6)*(1-(IF(H184="",-1,H184)&gt;=1)*(IF(H184="",-1,H184)&lt;=3))*(1-(IF(H184="",-1,H184)=0)),IF(C184="peso_corporal",IF(ISNUMBER(E184),E184,0)+F184,F184)*(30+G184)*100+F184,0)=AA184,1,0))))))</f>
        <v>0</v>
      </c>
      <c r="AC184" s="69" t="str">
        <f>IF(X184&gt;0,"A"&amp;X184,IF(Z184&gt;0,"B"&amp;Z184,IF(AB184&gt;0,"C"&amp;AB184,"")))</f>
        <v/>
      </c>
    </row>
    <row r="185" spans="1:29" ht="20.100000000000001" customHeight="1">
      <c r="A185" s="14" t="s">
        <v>163</v>
      </c>
      <c r="B185" s="15" t="s">
        <v>52</v>
      </c>
      <c r="C185" s="16" t="str">
        <f>IFERROR(INDEX(EJERCICIOS!$D$3:$D$75,MATCH(A185&amp;"|"&amp;B185,EJERCICIOS!$G$3:$G$75,0)),"--")</f>
        <v>polea</v>
      </c>
      <c r="D185" s="17">
        <v>3</v>
      </c>
      <c r="E185" s="18">
        <f>IFERROR(LOOKUP(2,1/(MEDIDAS_Y_PESO!$B$3:$B$10&lt;&gt;""),MEDIDAS_Y_PESO!$B$3:$B$10),"--")</f>
        <v>80</v>
      </c>
      <c r="F185" s="19"/>
      <c r="G185" s="20"/>
      <c r="H185" s="21"/>
      <c r="I185" s="19"/>
      <c r="J185" s="20"/>
      <c r="K185" s="21"/>
      <c r="L185" s="19"/>
      <c r="M185" s="20"/>
      <c r="N185" s="21"/>
      <c r="O185" s="19"/>
      <c r="P185" s="20"/>
      <c r="Q185" s="21"/>
      <c r="R185" s="19"/>
      <c r="S185" s="20"/>
      <c r="T185" s="21"/>
      <c r="U185" s="22" t="str">
        <f>IFERROR(IF(IF(X185&gt;0,X185,IF(Z185&gt;0,Z185,IF(AB185&gt;0,AB185,0)))=0,"--",ROUND(CHOOSE(IF(X185&gt;0,X185,IF(Z185&gt;0,Z185,IF(AB185&gt;0,AB185,0))),IF(C185="peso_corporal",IF(ISNUMBER(E185),E185,0)+F185,F185)*(1+G185/30),IF(C185="peso_corporal",IF(ISNUMBER(E185),E185,0)+I185,I185)*(1+J185/30),IF(C185="peso_corporal",IF(ISNUMBER(E185),E185,0)+L185,L185)*(1+M185/30),IF(C185="peso_corporal",IF(ISNUMBER(E185),E185,0)+O185,O185)*(1+P185/30),IF(C185="peso_corporal",IF(ISNUMBER(E185),E185,0)+R185,R185)*(1+S185/30)),1)),"--")</f>
        <v>--</v>
      </c>
      <c r="V185" s="23" t="str">
        <f>IF(SUGERENCIAS!N498="SIN","Sin datos anteriores",IF(SUGERENCIAS!N498="SUBIR_F","^ SUBIR FUERTE | Kg:"&amp;ROUND(SUGERENCIAS!K498,1)&amp;" R:"&amp;ROUND(SUGERENCIAS!L498,0)&amp;" RIR:"&amp;ROUND(SUGERENCIAS!M498,0),IF(SUGERENCIAS!N498="SUBIR_E","^ SUBIR (Est.) | Kg:"&amp;ROUND(SUGERENCIAS!K498,1)&amp;" R:"&amp;ROUND(SUGERENCIAS!L498,0)&amp;" RIR:"&amp;ROUND(SUGERENCIAS!M498,0),IF(SUGERENCIAS!N498="SUBIR","^ SUBIR | Kg:"&amp;ROUND(SUGERENCIAS!K498,1)&amp;" R:"&amp;ROUND(SUGERENCIAS!L498,0)&amp;" RIR:"&amp;ROUND(SUGERENCIAS!M498,0),IF(SUGERENCIAS!N498="BAJAR","v BAJAR | Kg:"&amp;ROUND(SUGERENCIAS!K498,1)&amp;" R:"&amp;ROUND(SUGERENCIAS!L498,0)&amp;" RIR:"&amp;ROUND(SUGERENCIAS!M498,0),"= MANT | Kg:"&amp;ROUND(SUGERENCIAS!K498,1)&amp;" R:"&amp;ROUND(SUGERENCIAS!L498,0)&amp;" RIR:"&amp;ROUND(SUGERENCIAS!M498,0))))))</f>
        <v>Sin datos anteriores</v>
      </c>
      <c r="W185" s="69">
        <f>MAX(IF((G185&gt;0)*(IF(H185="",-1,H185)&gt;=1)*(IF(H185="",-1,H185)&lt;=3),IF(C185="peso_corporal",IF(ISNUMBER(E185),E185,0)+F185,F185)*G185*1000+F185,0),IF((J185&gt;0)*(IF(K185="",-1,K185)&gt;=1)*(IF(K185="",-1,K185)&lt;=3),IF(C185="peso_corporal",IF(ISNUMBER(E185),E185,0)+I185,I185)*J185*1000+I185,0),IF((M185&gt;0)*(IF(N185="",-1,N185)&gt;=1)*(IF(N185="",-1,N185)&lt;=3),IF(C185="peso_corporal",IF(ISNUMBER(E185),E185,0)+L185,L185)*M185*1000+L185,0),IF((P185&gt;0)*(IF(Q185="",-1,Q185)&gt;=1)*(IF(Q185="",-1,Q185)&lt;=3),IF(C185="peso_corporal",IF(ISNUMBER(E185),E185,0)+O185,O185)*P185*1000+O185,0),IF((S185&gt;0)*(IF(T185="",-1,T185)&gt;=1)*(IF(T185="",-1,T185)&lt;=3),IF(C185="peso_corporal",IF(ISNUMBER(E185),E185,0)+R185,R185)*S185*1000+R185,0))</f>
        <v>0</v>
      </c>
      <c r="X185" s="69">
        <f>IF(W185=0,0,IF(IF((S185&gt;0)*(IF(T185="",-1,T185)&gt;=1)*(IF(T185="",-1,T185)&lt;=3),IF(C185="peso_corporal",IF(ISNUMBER(E185),E185,0)+R185,R185)*S185*1000+R185,0)=W185,5,IF(IF((P185&gt;0)*(IF(Q185="",-1,Q185)&gt;=1)*(IF(Q185="",-1,Q185)&lt;=3),IF(C185="peso_corporal",IF(ISNUMBER(E185),E185,0)+O185,O185)*P185*1000+O185,0)=W185,4,IF(IF((M185&gt;0)*(IF(N185="",-1,N185)&gt;=1)*(IF(N185="",-1,N185)&lt;=3),IF(C185="peso_corporal",IF(ISNUMBER(E185),E185,0)+L185,L185)*M185*1000+L185,0)=W185,3,IF(IF((J185&gt;0)*(IF(K185="",-1,K185)&gt;=1)*(IF(K185="",-1,K185)&lt;=3),IF(C185="peso_corporal",IF(ISNUMBER(E185),E185,0)+I185,I185)*J185*1000+I185,0)=W185,2,IF(IF((G185&gt;0)*(IF(H185="",-1,H185)&gt;=1)*(IF(H185="",-1,H185)&lt;=3),IF(C185="peso_corporal",IF(ISNUMBER(E185),E185,0)+F185,F185)*G185*1000+F185,0)=W185,1,0))))))</f>
        <v>0</v>
      </c>
      <c r="Y185" s="69">
        <f>MAX(IF((G185&gt;0)*(IF(H185="",-1,H185)=0)*(1-(IF(H185="",-1,H185)&gt;=1)*(IF(H185="",-1,H185)&lt;=3)),IF(C185="peso_corporal",IF(ISNUMBER(E185),E185,0)+F185,F185)*G185*1000+F185,0),IF((J185&gt;0)*(IF(K185="",-1,K185)=0)*(1-(IF(K185="",-1,K185)&gt;=1)*(IF(K185="",-1,K185)&lt;=3)),IF(C185="peso_corporal",IF(ISNUMBER(E185),E185,0)+I185,I185)*J185*1000+I185,0),IF((M185&gt;0)*(IF(N185="",-1,N185)=0)*(1-(IF(N185="",-1,N185)&gt;=1)*(IF(N185="",-1,N185)&lt;=3)),IF(C185="peso_corporal",IF(ISNUMBER(E185),E185,0)+L185,L185)*M185*1000+L185,0),IF((P185&gt;0)*(IF(Q185="",-1,Q185)=0)*(1-(IF(Q185="",-1,Q185)&gt;=1)*(IF(Q185="",-1,Q185)&lt;=3)),IF(C185="peso_corporal",IF(ISNUMBER(E185),E185,0)+O185,O185)*P185*1000+O185,0),IF((S185&gt;0)*(IF(T185="",-1,T185)=0)*(1-(IF(T185="",-1,T185)&gt;=1)*(IF(T185="",-1,T185)&lt;=3)),IF(C185="peso_corporal",IF(ISNUMBER(E185),E185,0)+R185,R185)*S185*1000+R185,0))</f>
        <v>0</v>
      </c>
      <c r="Z185" s="69">
        <f>IF(Y185=0,0,IF(IF((S185&gt;0)*(IF(T185="",-1,T185)=0)*(1-(IF(T185="",-1,T185)&gt;=1)*(IF(T185="",-1,T185)&lt;=3)),IF(C185="peso_corporal",IF(ISNUMBER(E185),E185,0)+R185,R185)*S185*1000+R185,0)=Y185,5,IF(IF((P185&gt;0)*(IF(Q185="",-1,Q185)=0)*(1-(IF(Q185="",-1,Q185)&gt;=1)*(IF(Q185="",-1,Q185)&lt;=3)),IF(C185="peso_corporal",IF(ISNUMBER(E185),E185,0)+O185,O185)*P185*1000+O185,0)=Y185,4,IF(IF((M185&gt;0)*(IF(N185="",-1,N185)=0)*(1-(IF(N185="",-1,N185)&gt;=1)*(IF(N185="",-1,N185)&lt;=3)),IF(C185="peso_corporal",IF(ISNUMBER(E185),E185,0)+L185,L185)*M185*1000+L185,0)=Y185,3,IF(IF((J185&gt;0)*(IF(K185="",-1,K185)=0)*(1-(IF(K185="",-1,K185)&gt;=1)*(IF(K185="",-1,K185)&lt;=3)),IF(C185="peso_corporal",IF(ISNUMBER(E185),E185,0)+I185,I185)*J185*1000+I185,0)=Y185,2,IF(IF((G185&gt;0)*(IF(H185="",-1,H185)=0)*(1-(IF(H185="",-1,H185)&gt;=1)*(IF(H185="",-1,H185)&lt;=3)),IF(C185="peso_corporal",IF(ISNUMBER(E185),E185,0)+F185,F185)*G185*1000+F185,0)=Y185,1,0))))))</f>
        <v>0</v>
      </c>
      <c r="AA185" s="69">
        <f>MAX(IF((G185&gt;=6)*(1-(IF(H185="",-1,H185)&gt;=1)*(IF(H185="",-1,H185)&lt;=3))*(1-(IF(H185="",-1,H185)=0)),IF(C185="peso_corporal",IF(ISNUMBER(E185),E185,0)+F185,F185)*(30+G185)*100+F185,0),IF((J185&gt;=6)*(1-(IF(K185="",-1,K185)&gt;=1)*(IF(K185="",-1,K185)&lt;=3))*(1-(IF(K185="",-1,K185)=0)),IF(C185="peso_corporal",IF(ISNUMBER(E185),E185,0)+I185,I185)*(30+J185)*100+I185,0),IF((M185&gt;=6)*(1-(IF(N185="",-1,N185)&gt;=1)*(IF(N185="",-1,N185)&lt;=3))*(1-(IF(N185="",-1,N185)=0)),IF(C185="peso_corporal",IF(ISNUMBER(E185),E185,0)+L185,L185)*(30+M185)*100+L185,0),IF((P185&gt;=6)*(1-(IF(Q185="",-1,Q185)&gt;=1)*(IF(Q185="",-1,Q185)&lt;=3))*(1-(IF(Q185="",-1,Q185)=0)),IF(C185="peso_corporal",IF(ISNUMBER(E185),E185,0)+O185,O185)*(30+P185)*100+O185,0),IF((S185&gt;=6)*(1-(IF(T185="",-1,T185)&gt;=1)*(IF(T185="",-1,T185)&lt;=3))*(1-(IF(T185="",-1,T185)=0)),IF(C185="peso_corporal",IF(ISNUMBER(E185),E185,0)+R185,R185)*(30+S185)*100+R185,0))</f>
        <v>0</v>
      </c>
      <c r="AB185" s="69">
        <f>IF(AA185=0,0,IF(IF((S185&gt;=6)*(1-(IF(T185="",-1,T185)&gt;=1)*(IF(T185="",-1,T185)&lt;=3))*(1-(IF(T185="",-1,T185)=0)),IF(C185="peso_corporal",IF(ISNUMBER(E185),E185,0)+R185,R185)*(30+S185)*100+R185,0)=AA185,5,IF(IF((P185&gt;=6)*(1-(IF(Q185="",-1,Q185)&gt;=1)*(IF(Q185="",-1,Q185)&lt;=3))*(1-(IF(Q185="",-1,Q185)=0)),IF(C185="peso_corporal",IF(ISNUMBER(E185),E185,0)+O185,O185)*(30+P185)*100+O185,0)=AA185,4,IF(IF((M185&gt;=6)*(1-(IF(N185="",-1,N185)&gt;=1)*(IF(N185="",-1,N185)&lt;=3))*(1-(IF(N185="",-1,N185)=0)),IF(C185="peso_corporal",IF(ISNUMBER(E185),E185,0)+L185,L185)*(30+M185)*100+L185,0)=AA185,3,IF(IF((J185&gt;=6)*(1-(IF(K185="",-1,K185)&gt;=1)*(IF(K185="",-1,K185)&lt;=3))*(1-(IF(K185="",-1,K185)=0)),IF(C185="peso_corporal",IF(ISNUMBER(E185),E185,0)+I185,I185)*(30+J185)*100+I185,0)=AA185,2,IF(IF((G185&gt;=6)*(1-(IF(H185="",-1,H185)&gt;=1)*(IF(H185="",-1,H185)&lt;=3))*(1-(IF(H185="",-1,H185)=0)),IF(C185="peso_corporal",IF(ISNUMBER(E185),E185,0)+F185,F185)*(30+G185)*100+F185,0)=AA185,1,0))))))</f>
        <v>0</v>
      </c>
      <c r="AC185" s="69" t="str">
        <f>IF(X185&gt;0,"A"&amp;X185,IF(Z185&gt;0,"B"&amp;Z185,IF(AB185&gt;0,"C"&amp;AB185,"")))</f>
        <v/>
      </c>
    </row>
    <row r="186" spans="1:29" ht="15" customHeight="1">
      <c r="A186" s="81" t="s">
        <v>53</v>
      </c>
      <c r="B186" s="73"/>
      <c r="C186" s="73"/>
      <c r="D186" s="73"/>
      <c r="E186" s="73"/>
      <c r="F186" s="73"/>
      <c r="G186" s="73"/>
      <c r="H186" s="73"/>
      <c r="I186" s="73"/>
      <c r="J186" s="73"/>
      <c r="K186" s="73"/>
      <c r="L186" s="73"/>
      <c r="M186" s="73"/>
      <c r="N186" s="73"/>
      <c r="O186" s="73"/>
      <c r="P186" s="73"/>
      <c r="Q186" s="73"/>
      <c r="R186" s="73"/>
      <c r="S186" s="73"/>
      <c r="T186" s="73"/>
      <c r="U186" s="73"/>
      <c r="V186" s="73"/>
      <c r="W186" s="69"/>
      <c r="X186" s="69"/>
      <c r="Y186" s="69"/>
      <c r="Z186" s="69"/>
      <c r="AA186" s="69"/>
      <c r="AB186" s="69"/>
      <c r="AC186" s="69"/>
    </row>
    <row r="187" spans="1:29" ht="20.100000000000001" customHeight="1">
      <c r="A187" s="14" t="s">
        <v>54</v>
      </c>
      <c r="B187" s="15" t="s">
        <v>115</v>
      </c>
      <c r="C187" s="16" t="str">
        <f>IFERROR(INDEX(EJERCICIOS!$D$3:$D$75,MATCH(A187&amp;"|"&amp;B187,EJERCICIOS!$G$3:$G$75,0)),"--")</f>
        <v>polea</v>
      </c>
      <c r="D187" s="17">
        <v>3</v>
      </c>
      <c r="E187" s="18">
        <f>IFERROR(LOOKUP(2,1/(MEDIDAS_Y_PESO!$B$3:$B$10&lt;&gt;""),MEDIDAS_Y_PESO!$B$3:$B$10),"--")</f>
        <v>80</v>
      </c>
      <c r="F187" s="19"/>
      <c r="G187" s="20"/>
      <c r="H187" s="21"/>
      <c r="I187" s="19"/>
      <c r="J187" s="20"/>
      <c r="K187" s="21"/>
      <c r="L187" s="19"/>
      <c r="M187" s="20"/>
      <c r="N187" s="21"/>
      <c r="O187" s="19"/>
      <c r="P187" s="20"/>
      <c r="Q187" s="21"/>
      <c r="R187" s="19"/>
      <c r="S187" s="20"/>
      <c r="T187" s="21"/>
      <c r="U187" s="22" t="str">
        <f>IFERROR(IF(IF(X187&gt;0,X187,IF(Z187&gt;0,Z187,IF(AB187&gt;0,AB187,0)))=0,"--",ROUND(CHOOSE(IF(X187&gt;0,X187,IF(Z187&gt;0,Z187,IF(AB187&gt;0,AB187,0))),IF(C187="peso_corporal",IF(ISNUMBER(E187),E187,0)+F187,F187)*(1+G187/30),IF(C187="peso_corporal",IF(ISNUMBER(E187),E187,0)+I187,I187)*(1+J187/30),IF(C187="peso_corporal",IF(ISNUMBER(E187),E187,0)+L187,L187)*(1+M187/30),IF(C187="peso_corporal",IF(ISNUMBER(E187),E187,0)+O187,O187)*(1+P187/30),IF(C187="peso_corporal",IF(ISNUMBER(E187),E187,0)+R187,R187)*(1+S187/30)),1)),"--")</f>
        <v>--</v>
      </c>
      <c r="V187" s="23" t="str">
        <f>IF(SUGERENCIAS!N499="SIN","Sin datos anteriores",IF(SUGERENCIAS!N499="SUBIR_F","^ SUBIR FUERTE | Kg:"&amp;ROUND(SUGERENCIAS!K499,1)&amp;" R:"&amp;ROUND(SUGERENCIAS!L499,0)&amp;" RIR:"&amp;ROUND(SUGERENCIAS!M499,0),IF(SUGERENCIAS!N499="SUBIR_E","^ SUBIR (Est.) | Kg:"&amp;ROUND(SUGERENCIAS!K499,1)&amp;" R:"&amp;ROUND(SUGERENCIAS!L499,0)&amp;" RIR:"&amp;ROUND(SUGERENCIAS!M499,0),IF(SUGERENCIAS!N499="SUBIR","^ SUBIR | Kg:"&amp;ROUND(SUGERENCIAS!K499,1)&amp;" R:"&amp;ROUND(SUGERENCIAS!L499,0)&amp;" RIR:"&amp;ROUND(SUGERENCIAS!M499,0),IF(SUGERENCIAS!N499="BAJAR","v BAJAR | Kg:"&amp;ROUND(SUGERENCIAS!K499,1)&amp;" R:"&amp;ROUND(SUGERENCIAS!L499,0)&amp;" RIR:"&amp;ROUND(SUGERENCIAS!M499,0),"= MANT | Kg:"&amp;ROUND(SUGERENCIAS!K499,1)&amp;" R:"&amp;ROUND(SUGERENCIAS!L499,0)&amp;" RIR:"&amp;ROUND(SUGERENCIAS!M499,0))))))</f>
        <v>= MANT | Kg:40 R:7 RIR:2</v>
      </c>
      <c r="W187" s="69">
        <f>MAX(IF((G187&gt;0)*(IF(H187="",-1,H187)&gt;=1)*(IF(H187="",-1,H187)&lt;=3),IF(C187="peso_corporal",IF(ISNUMBER(E187),E187,0)+F187,F187)*G187*1000+F187,0),IF((J187&gt;0)*(IF(K187="",-1,K187)&gt;=1)*(IF(K187="",-1,K187)&lt;=3),IF(C187="peso_corporal",IF(ISNUMBER(E187),E187,0)+I187,I187)*J187*1000+I187,0),IF((M187&gt;0)*(IF(N187="",-1,N187)&gt;=1)*(IF(N187="",-1,N187)&lt;=3),IF(C187="peso_corporal",IF(ISNUMBER(E187),E187,0)+L187,L187)*M187*1000+L187,0),IF((P187&gt;0)*(IF(Q187="",-1,Q187)&gt;=1)*(IF(Q187="",-1,Q187)&lt;=3),IF(C187="peso_corporal",IF(ISNUMBER(E187),E187,0)+O187,O187)*P187*1000+O187,0),IF((S187&gt;0)*(IF(T187="",-1,T187)&gt;=1)*(IF(T187="",-1,T187)&lt;=3),IF(C187="peso_corporal",IF(ISNUMBER(E187),E187,0)+R187,R187)*S187*1000+R187,0))</f>
        <v>0</v>
      </c>
      <c r="X187" s="69">
        <f>IF(W187=0,0,IF(IF((S187&gt;0)*(IF(T187="",-1,T187)&gt;=1)*(IF(T187="",-1,T187)&lt;=3),IF(C187="peso_corporal",IF(ISNUMBER(E187),E187,0)+R187,R187)*S187*1000+R187,0)=W187,5,IF(IF((P187&gt;0)*(IF(Q187="",-1,Q187)&gt;=1)*(IF(Q187="",-1,Q187)&lt;=3),IF(C187="peso_corporal",IF(ISNUMBER(E187),E187,0)+O187,O187)*P187*1000+O187,0)=W187,4,IF(IF((M187&gt;0)*(IF(N187="",-1,N187)&gt;=1)*(IF(N187="",-1,N187)&lt;=3),IF(C187="peso_corporal",IF(ISNUMBER(E187),E187,0)+L187,L187)*M187*1000+L187,0)=W187,3,IF(IF((J187&gt;0)*(IF(K187="",-1,K187)&gt;=1)*(IF(K187="",-1,K187)&lt;=3),IF(C187="peso_corporal",IF(ISNUMBER(E187),E187,0)+I187,I187)*J187*1000+I187,0)=W187,2,IF(IF((G187&gt;0)*(IF(H187="",-1,H187)&gt;=1)*(IF(H187="",-1,H187)&lt;=3),IF(C187="peso_corporal",IF(ISNUMBER(E187),E187,0)+F187,F187)*G187*1000+F187,0)=W187,1,0))))))</f>
        <v>0</v>
      </c>
      <c r="Y187" s="69">
        <f>MAX(IF((G187&gt;0)*(IF(H187="",-1,H187)=0)*(1-(IF(H187="",-1,H187)&gt;=1)*(IF(H187="",-1,H187)&lt;=3)),IF(C187="peso_corporal",IF(ISNUMBER(E187),E187,0)+F187,F187)*G187*1000+F187,0),IF((J187&gt;0)*(IF(K187="",-1,K187)=0)*(1-(IF(K187="",-1,K187)&gt;=1)*(IF(K187="",-1,K187)&lt;=3)),IF(C187="peso_corporal",IF(ISNUMBER(E187),E187,0)+I187,I187)*J187*1000+I187,0),IF((M187&gt;0)*(IF(N187="",-1,N187)=0)*(1-(IF(N187="",-1,N187)&gt;=1)*(IF(N187="",-1,N187)&lt;=3)),IF(C187="peso_corporal",IF(ISNUMBER(E187),E187,0)+L187,L187)*M187*1000+L187,0),IF((P187&gt;0)*(IF(Q187="",-1,Q187)=0)*(1-(IF(Q187="",-1,Q187)&gt;=1)*(IF(Q187="",-1,Q187)&lt;=3)),IF(C187="peso_corporal",IF(ISNUMBER(E187),E187,0)+O187,O187)*P187*1000+O187,0),IF((S187&gt;0)*(IF(T187="",-1,T187)=0)*(1-(IF(T187="",-1,T187)&gt;=1)*(IF(T187="",-1,T187)&lt;=3)),IF(C187="peso_corporal",IF(ISNUMBER(E187),E187,0)+R187,R187)*S187*1000+R187,0))</f>
        <v>0</v>
      </c>
      <c r="Z187" s="69">
        <f>IF(Y187=0,0,IF(IF((S187&gt;0)*(IF(T187="",-1,T187)=0)*(1-(IF(T187="",-1,T187)&gt;=1)*(IF(T187="",-1,T187)&lt;=3)),IF(C187="peso_corporal",IF(ISNUMBER(E187),E187,0)+R187,R187)*S187*1000+R187,0)=Y187,5,IF(IF((P187&gt;0)*(IF(Q187="",-1,Q187)=0)*(1-(IF(Q187="",-1,Q187)&gt;=1)*(IF(Q187="",-1,Q187)&lt;=3)),IF(C187="peso_corporal",IF(ISNUMBER(E187),E187,0)+O187,O187)*P187*1000+O187,0)=Y187,4,IF(IF((M187&gt;0)*(IF(N187="",-1,N187)=0)*(1-(IF(N187="",-1,N187)&gt;=1)*(IF(N187="",-1,N187)&lt;=3)),IF(C187="peso_corporal",IF(ISNUMBER(E187),E187,0)+L187,L187)*M187*1000+L187,0)=Y187,3,IF(IF((J187&gt;0)*(IF(K187="",-1,K187)=0)*(1-(IF(K187="",-1,K187)&gt;=1)*(IF(K187="",-1,K187)&lt;=3)),IF(C187="peso_corporal",IF(ISNUMBER(E187),E187,0)+I187,I187)*J187*1000+I187,0)=Y187,2,IF(IF((G187&gt;0)*(IF(H187="",-1,H187)=0)*(1-(IF(H187="",-1,H187)&gt;=1)*(IF(H187="",-1,H187)&lt;=3)),IF(C187="peso_corporal",IF(ISNUMBER(E187),E187,0)+F187,F187)*G187*1000+F187,0)=Y187,1,0))))))</f>
        <v>0</v>
      </c>
      <c r="AA187" s="69">
        <f>MAX(IF((G187&gt;=6)*(1-(IF(H187="",-1,H187)&gt;=1)*(IF(H187="",-1,H187)&lt;=3))*(1-(IF(H187="",-1,H187)=0)),IF(C187="peso_corporal",IF(ISNUMBER(E187),E187,0)+F187,F187)*(30+G187)*100+F187,0),IF((J187&gt;=6)*(1-(IF(K187="",-1,K187)&gt;=1)*(IF(K187="",-1,K187)&lt;=3))*(1-(IF(K187="",-1,K187)=0)),IF(C187="peso_corporal",IF(ISNUMBER(E187),E187,0)+I187,I187)*(30+J187)*100+I187,0),IF((M187&gt;=6)*(1-(IF(N187="",-1,N187)&gt;=1)*(IF(N187="",-1,N187)&lt;=3))*(1-(IF(N187="",-1,N187)=0)),IF(C187="peso_corporal",IF(ISNUMBER(E187),E187,0)+L187,L187)*(30+M187)*100+L187,0),IF((P187&gt;=6)*(1-(IF(Q187="",-1,Q187)&gt;=1)*(IF(Q187="",-1,Q187)&lt;=3))*(1-(IF(Q187="",-1,Q187)=0)),IF(C187="peso_corporal",IF(ISNUMBER(E187),E187,0)+O187,O187)*(30+P187)*100+O187,0),IF((S187&gt;=6)*(1-(IF(T187="",-1,T187)&gt;=1)*(IF(T187="",-1,T187)&lt;=3))*(1-(IF(T187="",-1,T187)=0)),IF(C187="peso_corporal",IF(ISNUMBER(E187),E187,0)+R187,R187)*(30+S187)*100+R187,0))</f>
        <v>0</v>
      </c>
      <c r="AB187" s="69">
        <f>IF(AA187=0,0,IF(IF((S187&gt;=6)*(1-(IF(T187="",-1,T187)&gt;=1)*(IF(T187="",-1,T187)&lt;=3))*(1-(IF(T187="",-1,T187)=0)),IF(C187="peso_corporal",IF(ISNUMBER(E187),E187,0)+R187,R187)*(30+S187)*100+R187,0)=AA187,5,IF(IF((P187&gt;=6)*(1-(IF(Q187="",-1,Q187)&gt;=1)*(IF(Q187="",-1,Q187)&lt;=3))*(1-(IF(Q187="",-1,Q187)=0)),IF(C187="peso_corporal",IF(ISNUMBER(E187),E187,0)+O187,O187)*(30+P187)*100+O187,0)=AA187,4,IF(IF((M187&gt;=6)*(1-(IF(N187="",-1,N187)&gt;=1)*(IF(N187="",-1,N187)&lt;=3))*(1-(IF(N187="",-1,N187)=0)),IF(C187="peso_corporal",IF(ISNUMBER(E187),E187,0)+L187,L187)*(30+M187)*100+L187,0)=AA187,3,IF(IF((J187&gt;=6)*(1-(IF(K187="",-1,K187)&gt;=1)*(IF(K187="",-1,K187)&lt;=3))*(1-(IF(K187="",-1,K187)=0)),IF(C187="peso_corporal",IF(ISNUMBER(E187),E187,0)+I187,I187)*(30+J187)*100+I187,0)=AA187,2,IF(IF((G187&gt;=6)*(1-(IF(H187="",-1,H187)&gt;=1)*(IF(H187="",-1,H187)&lt;=3))*(1-(IF(H187="",-1,H187)=0)),IF(C187="peso_corporal",IF(ISNUMBER(E187),E187,0)+F187,F187)*(30+G187)*100+F187,0)=AA187,1,0))))))</f>
        <v>0</v>
      </c>
      <c r="AC187" s="69" t="str">
        <f>IF(X187&gt;0,"A"&amp;X187,IF(Z187&gt;0,"B"&amp;Z187,IF(AB187&gt;0,"C"&amp;AB187,"")))</f>
        <v/>
      </c>
    </row>
    <row r="188" spans="1:29" ht="20.100000000000001" customHeight="1">
      <c r="A188" s="14" t="s">
        <v>116</v>
      </c>
      <c r="B188" s="15" t="s">
        <v>114</v>
      </c>
      <c r="C188" s="16" t="str">
        <f>IFERROR(INDEX(EJERCICIOS!$D$3:$D$75,MATCH(A188&amp;"|"&amp;B188,EJERCICIOS!$G$3:$G$75,0)),"--")</f>
        <v>polea</v>
      </c>
      <c r="D188" s="17">
        <v>3</v>
      </c>
      <c r="E188" s="18">
        <f>IFERROR(LOOKUP(2,1/(MEDIDAS_Y_PESO!$B$3:$B$10&lt;&gt;""),MEDIDAS_Y_PESO!$B$3:$B$10),"--")</f>
        <v>80</v>
      </c>
      <c r="F188" s="19"/>
      <c r="G188" s="20"/>
      <c r="H188" s="21"/>
      <c r="I188" s="19"/>
      <c r="J188" s="20"/>
      <c r="K188" s="21"/>
      <c r="L188" s="19"/>
      <c r="M188" s="20"/>
      <c r="N188" s="21"/>
      <c r="O188" s="19"/>
      <c r="P188" s="20"/>
      <c r="Q188" s="21"/>
      <c r="R188" s="19"/>
      <c r="S188" s="20"/>
      <c r="T188" s="21"/>
      <c r="U188" s="22" t="str">
        <f>IFERROR(IF(IF(X188&gt;0,X188,IF(Z188&gt;0,Z188,IF(AB188&gt;0,AB188,0)))=0,"--",ROUND(CHOOSE(IF(X188&gt;0,X188,IF(Z188&gt;0,Z188,IF(AB188&gt;0,AB188,0))),IF(C188="peso_corporal",IF(ISNUMBER(E188),E188,0)+F188,F188)*(1+G188/30),IF(C188="peso_corporal",IF(ISNUMBER(E188),E188,0)+I188,I188)*(1+J188/30),IF(C188="peso_corporal",IF(ISNUMBER(E188),E188,0)+L188,L188)*(1+M188/30),IF(C188="peso_corporal",IF(ISNUMBER(E188),E188,0)+O188,O188)*(1+P188/30),IF(C188="peso_corporal",IF(ISNUMBER(E188),E188,0)+R188,R188)*(1+S188/30)),1)),"--")</f>
        <v>--</v>
      </c>
      <c r="V188" s="23" t="str">
        <f>IF(SUGERENCIAS!N500="SIN","Sin datos anteriores",IF(SUGERENCIAS!N500="SUBIR_F","^ SUBIR FUERTE | Kg:"&amp;ROUND(SUGERENCIAS!K500,1)&amp;" R:"&amp;ROUND(SUGERENCIAS!L500,0)&amp;" RIR:"&amp;ROUND(SUGERENCIAS!M500,0),IF(SUGERENCIAS!N500="SUBIR_E","^ SUBIR (Est.) | Kg:"&amp;ROUND(SUGERENCIAS!K500,1)&amp;" R:"&amp;ROUND(SUGERENCIAS!L500,0)&amp;" RIR:"&amp;ROUND(SUGERENCIAS!M500,0),IF(SUGERENCIAS!N500="SUBIR","^ SUBIR | Kg:"&amp;ROUND(SUGERENCIAS!K500,1)&amp;" R:"&amp;ROUND(SUGERENCIAS!L500,0)&amp;" RIR:"&amp;ROUND(SUGERENCIAS!M500,0),IF(SUGERENCIAS!N500="BAJAR","v BAJAR | Kg:"&amp;ROUND(SUGERENCIAS!K500,1)&amp;" R:"&amp;ROUND(SUGERENCIAS!L500,0)&amp;" RIR:"&amp;ROUND(SUGERENCIAS!M500,0),"= MANT | Kg:"&amp;ROUND(SUGERENCIAS!K500,1)&amp;" R:"&amp;ROUND(SUGERENCIAS!L500,0)&amp;" RIR:"&amp;ROUND(SUGERENCIAS!M500,0))))))</f>
        <v>^ SUBIR | Kg:20 R:6 RIR:2</v>
      </c>
      <c r="W188" s="69">
        <f>MAX(IF((G188&gt;0)*(IF(H188="",-1,H188)&gt;=1)*(IF(H188="",-1,H188)&lt;=3),IF(C188="peso_corporal",IF(ISNUMBER(E188),E188,0)+F188,F188)*G188*1000+F188,0),IF((J188&gt;0)*(IF(K188="",-1,K188)&gt;=1)*(IF(K188="",-1,K188)&lt;=3),IF(C188="peso_corporal",IF(ISNUMBER(E188),E188,0)+I188,I188)*J188*1000+I188,0),IF((M188&gt;0)*(IF(N188="",-1,N188)&gt;=1)*(IF(N188="",-1,N188)&lt;=3),IF(C188="peso_corporal",IF(ISNUMBER(E188),E188,0)+L188,L188)*M188*1000+L188,0),IF((P188&gt;0)*(IF(Q188="",-1,Q188)&gt;=1)*(IF(Q188="",-1,Q188)&lt;=3),IF(C188="peso_corporal",IF(ISNUMBER(E188),E188,0)+O188,O188)*P188*1000+O188,0),IF((S188&gt;0)*(IF(T188="",-1,T188)&gt;=1)*(IF(T188="",-1,T188)&lt;=3),IF(C188="peso_corporal",IF(ISNUMBER(E188),E188,0)+R188,R188)*S188*1000+R188,0))</f>
        <v>0</v>
      </c>
      <c r="X188" s="69">
        <f>IF(W188=0,0,IF(IF((S188&gt;0)*(IF(T188="",-1,T188)&gt;=1)*(IF(T188="",-1,T188)&lt;=3),IF(C188="peso_corporal",IF(ISNUMBER(E188),E188,0)+R188,R188)*S188*1000+R188,0)=W188,5,IF(IF((P188&gt;0)*(IF(Q188="",-1,Q188)&gt;=1)*(IF(Q188="",-1,Q188)&lt;=3),IF(C188="peso_corporal",IF(ISNUMBER(E188),E188,0)+O188,O188)*P188*1000+O188,0)=W188,4,IF(IF((M188&gt;0)*(IF(N188="",-1,N188)&gt;=1)*(IF(N188="",-1,N188)&lt;=3),IF(C188="peso_corporal",IF(ISNUMBER(E188),E188,0)+L188,L188)*M188*1000+L188,0)=W188,3,IF(IF((J188&gt;0)*(IF(K188="",-1,K188)&gt;=1)*(IF(K188="",-1,K188)&lt;=3),IF(C188="peso_corporal",IF(ISNUMBER(E188),E188,0)+I188,I188)*J188*1000+I188,0)=W188,2,IF(IF((G188&gt;0)*(IF(H188="",-1,H188)&gt;=1)*(IF(H188="",-1,H188)&lt;=3),IF(C188="peso_corporal",IF(ISNUMBER(E188),E188,0)+F188,F188)*G188*1000+F188,0)=W188,1,0))))))</f>
        <v>0</v>
      </c>
      <c r="Y188" s="69">
        <f>MAX(IF((G188&gt;0)*(IF(H188="",-1,H188)=0)*(1-(IF(H188="",-1,H188)&gt;=1)*(IF(H188="",-1,H188)&lt;=3)),IF(C188="peso_corporal",IF(ISNUMBER(E188),E188,0)+F188,F188)*G188*1000+F188,0),IF((J188&gt;0)*(IF(K188="",-1,K188)=0)*(1-(IF(K188="",-1,K188)&gt;=1)*(IF(K188="",-1,K188)&lt;=3)),IF(C188="peso_corporal",IF(ISNUMBER(E188),E188,0)+I188,I188)*J188*1000+I188,0),IF((M188&gt;0)*(IF(N188="",-1,N188)=0)*(1-(IF(N188="",-1,N188)&gt;=1)*(IF(N188="",-1,N188)&lt;=3)),IF(C188="peso_corporal",IF(ISNUMBER(E188),E188,0)+L188,L188)*M188*1000+L188,0),IF((P188&gt;0)*(IF(Q188="",-1,Q188)=0)*(1-(IF(Q188="",-1,Q188)&gt;=1)*(IF(Q188="",-1,Q188)&lt;=3)),IF(C188="peso_corporal",IF(ISNUMBER(E188),E188,0)+O188,O188)*P188*1000+O188,0),IF((S188&gt;0)*(IF(T188="",-1,T188)=0)*(1-(IF(T188="",-1,T188)&gt;=1)*(IF(T188="",-1,T188)&lt;=3)),IF(C188="peso_corporal",IF(ISNUMBER(E188),E188,0)+R188,R188)*S188*1000+R188,0))</f>
        <v>0</v>
      </c>
      <c r="Z188" s="69">
        <f>IF(Y188=0,0,IF(IF((S188&gt;0)*(IF(T188="",-1,T188)=0)*(1-(IF(T188="",-1,T188)&gt;=1)*(IF(T188="",-1,T188)&lt;=3)),IF(C188="peso_corporal",IF(ISNUMBER(E188),E188,0)+R188,R188)*S188*1000+R188,0)=Y188,5,IF(IF((P188&gt;0)*(IF(Q188="",-1,Q188)=0)*(1-(IF(Q188="",-1,Q188)&gt;=1)*(IF(Q188="",-1,Q188)&lt;=3)),IF(C188="peso_corporal",IF(ISNUMBER(E188),E188,0)+O188,O188)*P188*1000+O188,0)=Y188,4,IF(IF((M188&gt;0)*(IF(N188="",-1,N188)=0)*(1-(IF(N188="",-1,N188)&gt;=1)*(IF(N188="",-1,N188)&lt;=3)),IF(C188="peso_corporal",IF(ISNUMBER(E188),E188,0)+L188,L188)*M188*1000+L188,0)=Y188,3,IF(IF((J188&gt;0)*(IF(K188="",-1,K188)=0)*(1-(IF(K188="",-1,K188)&gt;=1)*(IF(K188="",-1,K188)&lt;=3)),IF(C188="peso_corporal",IF(ISNUMBER(E188),E188,0)+I188,I188)*J188*1000+I188,0)=Y188,2,IF(IF((G188&gt;0)*(IF(H188="",-1,H188)=0)*(1-(IF(H188="",-1,H188)&gt;=1)*(IF(H188="",-1,H188)&lt;=3)),IF(C188="peso_corporal",IF(ISNUMBER(E188),E188,0)+F188,F188)*G188*1000+F188,0)=Y188,1,0))))))</f>
        <v>0</v>
      </c>
      <c r="AA188" s="69">
        <f>MAX(IF((G188&gt;=6)*(1-(IF(H188="",-1,H188)&gt;=1)*(IF(H188="",-1,H188)&lt;=3))*(1-(IF(H188="",-1,H188)=0)),IF(C188="peso_corporal",IF(ISNUMBER(E188),E188,0)+F188,F188)*(30+G188)*100+F188,0),IF((J188&gt;=6)*(1-(IF(K188="",-1,K188)&gt;=1)*(IF(K188="",-1,K188)&lt;=3))*(1-(IF(K188="",-1,K188)=0)),IF(C188="peso_corporal",IF(ISNUMBER(E188),E188,0)+I188,I188)*(30+J188)*100+I188,0),IF((M188&gt;=6)*(1-(IF(N188="",-1,N188)&gt;=1)*(IF(N188="",-1,N188)&lt;=3))*(1-(IF(N188="",-1,N188)=0)),IF(C188="peso_corporal",IF(ISNUMBER(E188),E188,0)+L188,L188)*(30+M188)*100+L188,0),IF((P188&gt;=6)*(1-(IF(Q188="",-1,Q188)&gt;=1)*(IF(Q188="",-1,Q188)&lt;=3))*(1-(IF(Q188="",-1,Q188)=0)),IF(C188="peso_corporal",IF(ISNUMBER(E188),E188,0)+O188,O188)*(30+P188)*100+O188,0),IF((S188&gt;=6)*(1-(IF(T188="",-1,T188)&gt;=1)*(IF(T188="",-1,T188)&lt;=3))*(1-(IF(T188="",-1,T188)=0)),IF(C188="peso_corporal",IF(ISNUMBER(E188),E188,0)+R188,R188)*(30+S188)*100+R188,0))</f>
        <v>0</v>
      </c>
      <c r="AB188" s="69">
        <f>IF(AA188=0,0,IF(IF((S188&gt;=6)*(1-(IF(T188="",-1,T188)&gt;=1)*(IF(T188="",-1,T188)&lt;=3))*(1-(IF(T188="",-1,T188)=0)),IF(C188="peso_corporal",IF(ISNUMBER(E188),E188,0)+R188,R188)*(30+S188)*100+R188,0)=AA188,5,IF(IF((P188&gt;=6)*(1-(IF(Q188="",-1,Q188)&gt;=1)*(IF(Q188="",-1,Q188)&lt;=3))*(1-(IF(Q188="",-1,Q188)=0)),IF(C188="peso_corporal",IF(ISNUMBER(E188),E188,0)+O188,O188)*(30+P188)*100+O188,0)=AA188,4,IF(IF((M188&gt;=6)*(1-(IF(N188="",-1,N188)&gt;=1)*(IF(N188="",-1,N188)&lt;=3))*(1-(IF(N188="",-1,N188)=0)),IF(C188="peso_corporal",IF(ISNUMBER(E188),E188,0)+L188,L188)*(30+M188)*100+L188,0)=AA188,3,IF(IF((J188&gt;=6)*(1-(IF(K188="",-1,K188)&gt;=1)*(IF(K188="",-1,K188)&lt;=3))*(1-(IF(K188="",-1,K188)=0)),IF(C188="peso_corporal",IF(ISNUMBER(E188),E188,0)+I188,I188)*(30+J188)*100+I188,0)=AA188,2,IF(IF((G188&gt;=6)*(1-(IF(H188="",-1,H188)&gt;=1)*(IF(H188="",-1,H188)&lt;=3))*(1-(IF(H188="",-1,H188)=0)),IF(C188="peso_corporal",IF(ISNUMBER(E188),E188,0)+F188,F188)*(30+G188)*100+F188,0)=AA188,1,0))))))</f>
        <v>0</v>
      </c>
      <c r="AC188" s="69" t="str">
        <f>IF(X188&gt;0,"A"&amp;X188,IF(Z188&gt;0,"B"&amp;Z188,IF(AB188&gt;0,"C"&amp;AB188,"")))</f>
        <v/>
      </c>
    </row>
    <row r="189" spans="1:29" ht="15" customHeight="1">
      <c r="A189" s="83" t="s">
        <v>99</v>
      </c>
      <c r="B189" s="73"/>
      <c r="C189" s="73"/>
      <c r="D189" s="73"/>
      <c r="E189" s="73"/>
      <c r="F189" s="73"/>
      <c r="G189" s="73"/>
      <c r="H189" s="73"/>
      <c r="I189" s="73"/>
      <c r="J189" s="73"/>
      <c r="K189" s="73"/>
      <c r="L189" s="73"/>
      <c r="M189" s="73"/>
      <c r="N189" s="73"/>
      <c r="O189" s="73"/>
      <c r="P189" s="73"/>
      <c r="Q189" s="73"/>
      <c r="R189" s="73"/>
      <c r="S189" s="73"/>
      <c r="T189" s="73"/>
      <c r="U189" s="73"/>
      <c r="V189" s="73"/>
      <c r="W189" s="69"/>
      <c r="X189" s="69"/>
      <c r="Y189" s="69"/>
      <c r="Z189" s="69"/>
      <c r="AA189" s="69"/>
      <c r="AB189" s="69"/>
      <c r="AC189" s="69"/>
    </row>
    <row r="190" spans="1:29" ht="20.100000000000001" customHeight="1">
      <c r="A190" s="14" t="s">
        <v>100</v>
      </c>
      <c r="B190" s="15" t="s">
        <v>101</v>
      </c>
      <c r="C190" s="16" t="str">
        <f>IFERROR(INDEX(EJERCICIOS!$D$3:$D$75,MATCH(A190&amp;"|"&amp;B190,EJERCICIOS!$G$3:$G$75,0)),"--")</f>
        <v>mancuerna</v>
      </c>
      <c r="D190" s="17">
        <v>3</v>
      </c>
      <c r="E190" s="18">
        <f>IFERROR(LOOKUP(2,1/(MEDIDAS_Y_PESO!$B$3:$B$10&lt;&gt;""),MEDIDAS_Y_PESO!$B$3:$B$10),"--")</f>
        <v>80</v>
      </c>
      <c r="F190" s="19"/>
      <c r="G190" s="20"/>
      <c r="H190" s="21"/>
      <c r="I190" s="19"/>
      <c r="J190" s="20"/>
      <c r="K190" s="21"/>
      <c r="L190" s="19"/>
      <c r="M190" s="20"/>
      <c r="N190" s="21"/>
      <c r="O190" s="19"/>
      <c r="P190" s="20"/>
      <c r="Q190" s="21"/>
      <c r="R190" s="19"/>
      <c r="S190" s="20"/>
      <c r="T190" s="21"/>
      <c r="U190" s="22" t="str">
        <f>IFERROR(IF(IF(X190&gt;0,X190,IF(Z190&gt;0,Z190,IF(AB190&gt;0,AB190,0)))=0,"--",ROUND(CHOOSE(IF(X190&gt;0,X190,IF(Z190&gt;0,Z190,IF(AB190&gt;0,AB190,0))),IF(C190="peso_corporal",IF(ISNUMBER(E190),E190,0)+F190,F190)*(1+G190/30),IF(C190="peso_corporal",IF(ISNUMBER(E190),E190,0)+I190,I190)*(1+J190/30),IF(C190="peso_corporal",IF(ISNUMBER(E190),E190,0)+L190,L190)*(1+M190/30),IF(C190="peso_corporal",IF(ISNUMBER(E190),E190,0)+O190,O190)*(1+P190/30),IF(C190="peso_corporal",IF(ISNUMBER(E190),E190,0)+R190,R190)*(1+S190/30)),1)),"--")</f>
        <v>--</v>
      </c>
      <c r="V190" s="23" t="str">
        <f>IF(SUGERENCIAS!N501="SIN","Sin datos anteriores",IF(SUGERENCIAS!N501="SUBIR_F","^ SUBIR FUERTE | Kg:"&amp;ROUND(SUGERENCIAS!K501,1)&amp;" R:"&amp;ROUND(SUGERENCIAS!L501,0)&amp;" RIR:"&amp;ROUND(SUGERENCIAS!M501,0),IF(SUGERENCIAS!N501="SUBIR_E","^ SUBIR (Est.) | Kg:"&amp;ROUND(SUGERENCIAS!K501,1)&amp;" R:"&amp;ROUND(SUGERENCIAS!L501,0)&amp;" RIR:"&amp;ROUND(SUGERENCIAS!M501,0),IF(SUGERENCIAS!N501="SUBIR","^ SUBIR | Kg:"&amp;ROUND(SUGERENCIAS!K501,1)&amp;" R:"&amp;ROUND(SUGERENCIAS!L501,0)&amp;" RIR:"&amp;ROUND(SUGERENCIAS!M501,0),IF(SUGERENCIAS!N501="BAJAR","v BAJAR | Kg:"&amp;ROUND(SUGERENCIAS!K501,1)&amp;" R:"&amp;ROUND(SUGERENCIAS!L501,0)&amp;" RIR:"&amp;ROUND(SUGERENCIAS!M501,0),"= MANT | Kg:"&amp;ROUND(SUGERENCIAS!K501,1)&amp;" R:"&amp;ROUND(SUGERENCIAS!L501,0)&amp;" RIR:"&amp;ROUND(SUGERENCIAS!M501,0))))))</f>
        <v>Sin datos anteriores</v>
      </c>
      <c r="W190" s="69">
        <f>MAX(IF((G190&gt;0)*(IF(H190="",-1,H190)&gt;=1)*(IF(H190="",-1,H190)&lt;=3),IF(C190="peso_corporal",IF(ISNUMBER(E190),E190,0)+F190,F190)*G190*1000+F190,0),IF((J190&gt;0)*(IF(K190="",-1,K190)&gt;=1)*(IF(K190="",-1,K190)&lt;=3),IF(C190="peso_corporal",IF(ISNUMBER(E190),E190,0)+I190,I190)*J190*1000+I190,0),IF((M190&gt;0)*(IF(N190="",-1,N190)&gt;=1)*(IF(N190="",-1,N190)&lt;=3),IF(C190="peso_corporal",IF(ISNUMBER(E190),E190,0)+L190,L190)*M190*1000+L190,0),IF((P190&gt;0)*(IF(Q190="",-1,Q190)&gt;=1)*(IF(Q190="",-1,Q190)&lt;=3),IF(C190="peso_corporal",IF(ISNUMBER(E190),E190,0)+O190,O190)*P190*1000+O190,0),IF((S190&gt;0)*(IF(T190="",-1,T190)&gt;=1)*(IF(T190="",-1,T190)&lt;=3),IF(C190="peso_corporal",IF(ISNUMBER(E190),E190,0)+R190,R190)*S190*1000+R190,0))</f>
        <v>0</v>
      </c>
      <c r="X190" s="69">
        <f>IF(W190=0,0,IF(IF((S190&gt;0)*(IF(T190="",-1,T190)&gt;=1)*(IF(T190="",-1,T190)&lt;=3),IF(C190="peso_corporal",IF(ISNUMBER(E190),E190,0)+R190,R190)*S190*1000+R190,0)=W190,5,IF(IF((P190&gt;0)*(IF(Q190="",-1,Q190)&gt;=1)*(IF(Q190="",-1,Q190)&lt;=3),IF(C190="peso_corporal",IF(ISNUMBER(E190),E190,0)+O190,O190)*P190*1000+O190,0)=W190,4,IF(IF((M190&gt;0)*(IF(N190="",-1,N190)&gt;=1)*(IF(N190="",-1,N190)&lt;=3),IF(C190="peso_corporal",IF(ISNUMBER(E190),E190,0)+L190,L190)*M190*1000+L190,0)=W190,3,IF(IF((J190&gt;0)*(IF(K190="",-1,K190)&gt;=1)*(IF(K190="",-1,K190)&lt;=3),IF(C190="peso_corporal",IF(ISNUMBER(E190),E190,0)+I190,I190)*J190*1000+I190,0)=W190,2,IF(IF((G190&gt;0)*(IF(H190="",-1,H190)&gt;=1)*(IF(H190="",-1,H190)&lt;=3),IF(C190="peso_corporal",IF(ISNUMBER(E190),E190,0)+F190,F190)*G190*1000+F190,0)=W190,1,0))))))</f>
        <v>0</v>
      </c>
      <c r="Y190" s="69">
        <f>MAX(IF((G190&gt;0)*(IF(H190="",-1,H190)=0)*(1-(IF(H190="",-1,H190)&gt;=1)*(IF(H190="",-1,H190)&lt;=3)),IF(C190="peso_corporal",IF(ISNUMBER(E190),E190,0)+F190,F190)*G190*1000+F190,0),IF((J190&gt;0)*(IF(K190="",-1,K190)=0)*(1-(IF(K190="",-1,K190)&gt;=1)*(IF(K190="",-1,K190)&lt;=3)),IF(C190="peso_corporal",IF(ISNUMBER(E190),E190,0)+I190,I190)*J190*1000+I190,0),IF((M190&gt;0)*(IF(N190="",-1,N190)=0)*(1-(IF(N190="",-1,N190)&gt;=1)*(IF(N190="",-1,N190)&lt;=3)),IF(C190="peso_corporal",IF(ISNUMBER(E190),E190,0)+L190,L190)*M190*1000+L190,0),IF((P190&gt;0)*(IF(Q190="",-1,Q190)=0)*(1-(IF(Q190="",-1,Q190)&gt;=1)*(IF(Q190="",-1,Q190)&lt;=3)),IF(C190="peso_corporal",IF(ISNUMBER(E190),E190,0)+O190,O190)*P190*1000+O190,0),IF((S190&gt;0)*(IF(T190="",-1,T190)=0)*(1-(IF(T190="",-1,T190)&gt;=1)*(IF(T190="",-1,T190)&lt;=3)),IF(C190="peso_corporal",IF(ISNUMBER(E190),E190,0)+R190,R190)*S190*1000+R190,0))</f>
        <v>0</v>
      </c>
      <c r="Z190" s="69">
        <f>IF(Y190=0,0,IF(IF((S190&gt;0)*(IF(T190="",-1,T190)=0)*(1-(IF(T190="",-1,T190)&gt;=1)*(IF(T190="",-1,T190)&lt;=3)),IF(C190="peso_corporal",IF(ISNUMBER(E190),E190,0)+R190,R190)*S190*1000+R190,0)=Y190,5,IF(IF((P190&gt;0)*(IF(Q190="",-1,Q190)=0)*(1-(IF(Q190="",-1,Q190)&gt;=1)*(IF(Q190="",-1,Q190)&lt;=3)),IF(C190="peso_corporal",IF(ISNUMBER(E190),E190,0)+O190,O190)*P190*1000+O190,0)=Y190,4,IF(IF((M190&gt;0)*(IF(N190="",-1,N190)=0)*(1-(IF(N190="",-1,N190)&gt;=1)*(IF(N190="",-1,N190)&lt;=3)),IF(C190="peso_corporal",IF(ISNUMBER(E190),E190,0)+L190,L190)*M190*1000+L190,0)=Y190,3,IF(IF((J190&gt;0)*(IF(K190="",-1,K190)=0)*(1-(IF(K190="",-1,K190)&gt;=1)*(IF(K190="",-1,K190)&lt;=3)),IF(C190="peso_corporal",IF(ISNUMBER(E190),E190,0)+I190,I190)*J190*1000+I190,0)=Y190,2,IF(IF((G190&gt;0)*(IF(H190="",-1,H190)=0)*(1-(IF(H190="",-1,H190)&gt;=1)*(IF(H190="",-1,H190)&lt;=3)),IF(C190="peso_corporal",IF(ISNUMBER(E190),E190,0)+F190,F190)*G190*1000+F190,0)=Y190,1,0))))))</f>
        <v>0</v>
      </c>
      <c r="AA190" s="69">
        <f>MAX(IF((G190&gt;=6)*(1-(IF(H190="",-1,H190)&gt;=1)*(IF(H190="",-1,H190)&lt;=3))*(1-(IF(H190="",-1,H190)=0)),IF(C190="peso_corporal",IF(ISNUMBER(E190),E190,0)+F190,F190)*(30+G190)*100+F190,0),IF((J190&gt;=6)*(1-(IF(K190="",-1,K190)&gt;=1)*(IF(K190="",-1,K190)&lt;=3))*(1-(IF(K190="",-1,K190)=0)),IF(C190="peso_corporal",IF(ISNUMBER(E190),E190,0)+I190,I190)*(30+J190)*100+I190,0),IF((M190&gt;=6)*(1-(IF(N190="",-1,N190)&gt;=1)*(IF(N190="",-1,N190)&lt;=3))*(1-(IF(N190="",-1,N190)=0)),IF(C190="peso_corporal",IF(ISNUMBER(E190),E190,0)+L190,L190)*(30+M190)*100+L190,0),IF((P190&gt;=6)*(1-(IF(Q190="",-1,Q190)&gt;=1)*(IF(Q190="",-1,Q190)&lt;=3))*(1-(IF(Q190="",-1,Q190)=0)),IF(C190="peso_corporal",IF(ISNUMBER(E190),E190,0)+O190,O190)*(30+P190)*100+O190,0),IF((S190&gt;=6)*(1-(IF(T190="",-1,T190)&gt;=1)*(IF(T190="",-1,T190)&lt;=3))*(1-(IF(T190="",-1,T190)=0)),IF(C190="peso_corporal",IF(ISNUMBER(E190),E190,0)+R190,R190)*(30+S190)*100+R190,0))</f>
        <v>0</v>
      </c>
      <c r="AB190" s="69">
        <f>IF(AA190=0,0,IF(IF((S190&gt;=6)*(1-(IF(T190="",-1,T190)&gt;=1)*(IF(T190="",-1,T190)&lt;=3))*(1-(IF(T190="",-1,T190)=0)),IF(C190="peso_corporal",IF(ISNUMBER(E190),E190,0)+R190,R190)*(30+S190)*100+R190,0)=AA190,5,IF(IF((P190&gt;=6)*(1-(IF(Q190="",-1,Q190)&gt;=1)*(IF(Q190="",-1,Q190)&lt;=3))*(1-(IF(Q190="",-1,Q190)=0)),IF(C190="peso_corporal",IF(ISNUMBER(E190),E190,0)+O190,O190)*(30+P190)*100+O190,0)=AA190,4,IF(IF((M190&gt;=6)*(1-(IF(N190="",-1,N190)&gt;=1)*(IF(N190="",-1,N190)&lt;=3))*(1-(IF(N190="",-1,N190)=0)),IF(C190="peso_corporal",IF(ISNUMBER(E190),E190,0)+L190,L190)*(30+M190)*100+L190,0)=AA190,3,IF(IF((J190&gt;=6)*(1-(IF(K190="",-1,K190)&gt;=1)*(IF(K190="",-1,K190)&lt;=3))*(1-(IF(K190="",-1,K190)=0)),IF(C190="peso_corporal",IF(ISNUMBER(E190),E190,0)+I190,I190)*(30+J190)*100+I190,0)=AA190,2,IF(IF((G190&gt;=6)*(1-(IF(H190="",-1,H190)&gt;=1)*(IF(H190="",-1,H190)&lt;=3))*(1-(IF(H190="",-1,H190)=0)),IF(C190="peso_corporal",IF(ISNUMBER(E190),E190,0)+F190,F190)*(30+G190)*100+F190,0)=AA190,1,0))))))</f>
        <v>0</v>
      </c>
      <c r="AC190" s="69" t="str">
        <f>IF(X190&gt;0,"A"&amp;X190,IF(Z190&gt;0,"B"&amp;Z190,IF(AB190&gt;0,"C"&amp;AB190,"")))</f>
        <v/>
      </c>
    </row>
    <row r="191" spans="1:29" ht="20.100000000000001" customHeight="1">
      <c r="A191" s="14" t="s">
        <v>100</v>
      </c>
      <c r="B191" s="15" t="s">
        <v>102</v>
      </c>
      <c r="C191" s="16" t="str">
        <f>IFERROR(INDEX(EJERCICIOS!$D$3:$D$75,MATCH(A191&amp;"|"&amp;B191,EJERCICIOS!$G$3:$G$75,0)),"--")</f>
        <v>mancuerna</v>
      </c>
      <c r="D191" s="17">
        <v>3</v>
      </c>
      <c r="E191" s="18">
        <f>IFERROR(LOOKUP(2,1/(MEDIDAS_Y_PESO!$B$3:$B$10&lt;&gt;""),MEDIDAS_Y_PESO!$B$3:$B$10),"--")</f>
        <v>80</v>
      </c>
      <c r="F191" s="19"/>
      <c r="G191" s="20"/>
      <c r="H191" s="21"/>
      <c r="I191" s="19"/>
      <c r="J191" s="20"/>
      <c r="K191" s="21"/>
      <c r="L191" s="19"/>
      <c r="M191" s="20"/>
      <c r="N191" s="21"/>
      <c r="O191" s="19"/>
      <c r="P191" s="20"/>
      <c r="Q191" s="21"/>
      <c r="R191" s="19"/>
      <c r="S191" s="20"/>
      <c r="T191" s="21"/>
      <c r="U191" s="22" t="str">
        <f>IFERROR(IF(IF(X191&gt;0,X191,IF(Z191&gt;0,Z191,IF(AB191&gt;0,AB191,0)))=0,"--",ROUND(CHOOSE(IF(X191&gt;0,X191,IF(Z191&gt;0,Z191,IF(AB191&gt;0,AB191,0))),IF(C191="peso_corporal",IF(ISNUMBER(E191),E191,0)+F191,F191)*(1+G191/30),IF(C191="peso_corporal",IF(ISNUMBER(E191),E191,0)+I191,I191)*(1+J191/30),IF(C191="peso_corporal",IF(ISNUMBER(E191),E191,0)+L191,L191)*(1+M191/30),IF(C191="peso_corporal",IF(ISNUMBER(E191),E191,0)+O191,O191)*(1+P191/30),IF(C191="peso_corporal",IF(ISNUMBER(E191),E191,0)+R191,R191)*(1+S191/30)),1)),"--")</f>
        <v>--</v>
      </c>
      <c r="V191" s="23" t="str">
        <f>IF(SUGERENCIAS!N502="SIN","Sin datos anteriores",IF(SUGERENCIAS!N502="SUBIR_F","^ SUBIR FUERTE | Kg:"&amp;ROUND(SUGERENCIAS!K502,1)&amp;" R:"&amp;ROUND(SUGERENCIAS!L502,0)&amp;" RIR:"&amp;ROUND(SUGERENCIAS!M502,0),IF(SUGERENCIAS!N502="SUBIR_E","^ SUBIR (Est.) | Kg:"&amp;ROUND(SUGERENCIAS!K502,1)&amp;" R:"&amp;ROUND(SUGERENCIAS!L502,0)&amp;" RIR:"&amp;ROUND(SUGERENCIAS!M502,0),IF(SUGERENCIAS!N502="SUBIR","^ SUBIR | Kg:"&amp;ROUND(SUGERENCIAS!K502,1)&amp;" R:"&amp;ROUND(SUGERENCIAS!L502,0)&amp;" RIR:"&amp;ROUND(SUGERENCIAS!M502,0),IF(SUGERENCIAS!N502="BAJAR","v BAJAR | Kg:"&amp;ROUND(SUGERENCIAS!K502,1)&amp;" R:"&amp;ROUND(SUGERENCIAS!L502,0)&amp;" RIR:"&amp;ROUND(SUGERENCIAS!M502,0),"= MANT | Kg:"&amp;ROUND(SUGERENCIAS!K502,1)&amp;" R:"&amp;ROUND(SUGERENCIAS!L502,0)&amp;" RIR:"&amp;ROUND(SUGERENCIAS!M502,0))))))</f>
        <v>Sin datos anteriores</v>
      </c>
      <c r="W191" s="69">
        <f>MAX(IF((G191&gt;0)*(IF(H191="",-1,H191)&gt;=1)*(IF(H191="",-1,H191)&lt;=3),IF(C191="peso_corporal",IF(ISNUMBER(E191),E191,0)+F191,F191)*G191*1000+F191,0),IF((J191&gt;0)*(IF(K191="",-1,K191)&gt;=1)*(IF(K191="",-1,K191)&lt;=3),IF(C191="peso_corporal",IF(ISNUMBER(E191),E191,0)+I191,I191)*J191*1000+I191,0),IF((M191&gt;0)*(IF(N191="",-1,N191)&gt;=1)*(IF(N191="",-1,N191)&lt;=3),IF(C191="peso_corporal",IF(ISNUMBER(E191),E191,0)+L191,L191)*M191*1000+L191,0),IF((P191&gt;0)*(IF(Q191="",-1,Q191)&gt;=1)*(IF(Q191="",-1,Q191)&lt;=3),IF(C191="peso_corporal",IF(ISNUMBER(E191),E191,0)+O191,O191)*P191*1000+O191,0),IF((S191&gt;0)*(IF(T191="",-1,T191)&gt;=1)*(IF(T191="",-1,T191)&lt;=3),IF(C191="peso_corporal",IF(ISNUMBER(E191),E191,0)+R191,R191)*S191*1000+R191,0))</f>
        <v>0</v>
      </c>
      <c r="X191" s="69">
        <f>IF(W191=0,0,IF(IF((S191&gt;0)*(IF(T191="",-1,T191)&gt;=1)*(IF(T191="",-1,T191)&lt;=3),IF(C191="peso_corporal",IF(ISNUMBER(E191),E191,0)+R191,R191)*S191*1000+R191,0)=W191,5,IF(IF((P191&gt;0)*(IF(Q191="",-1,Q191)&gt;=1)*(IF(Q191="",-1,Q191)&lt;=3),IF(C191="peso_corporal",IF(ISNUMBER(E191),E191,0)+O191,O191)*P191*1000+O191,0)=W191,4,IF(IF((M191&gt;0)*(IF(N191="",-1,N191)&gt;=1)*(IF(N191="",-1,N191)&lt;=3),IF(C191="peso_corporal",IF(ISNUMBER(E191),E191,0)+L191,L191)*M191*1000+L191,0)=W191,3,IF(IF((J191&gt;0)*(IF(K191="",-1,K191)&gt;=1)*(IF(K191="",-1,K191)&lt;=3),IF(C191="peso_corporal",IF(ISNUMBER(E191),E191,0)+I191,I191)*J191*1000+I191,0)=W191,2,IF(IF((G191&gt;0)*(IF(H191="",-1,H191)&gt;=1)*(IF(H191="",-1,H191)&lt;=3),IF(C191="peso_corporal",IF(ISNUMBER(E191),E191,0)+F191,F191)*G191*1000+F191,0)=W191,1,0))))))</f>
        <v>0</v>
      </c>
      <c r="Y191" s="69">
        <f>MAX(IF((G191&gt;0)*(IF(H191="",-1,H191)=0)*(1-(IF(H191="",-1,H191)&gt;=1)*(IF(H191="",-1,H191)&lt;=3)),IF(C191="peso_corporal",IF(ISNUMBER(E191),E191,0)+F191,F191)*G191*1000+F191,0),IF((J191&gt;0)*(IF(K191="",-1,K191)=0)*(1-(IF(K191="",-1,K191)&gt;=1)*(IF(K191="",-1,K191)&lt;=3)),IF(C191="peso_corporal",IF(ISNUMBER(E191),E191,0)+I191,I191)*J191*1000+I191,0),IF((M191&gt;0)*(IF(N191="",-1,N191)=0)*(1-(IF(N191="",-1,N191)&gt;=1)*(IF(N191="",-1,N191)&lt;=3)),IF(C191="peso_corporal",IF(ISNUMBER(E191),E191,0)+L191,L191)*M191*1000+L191,0),IF((P191&gt;0)*(IF(Q191="",-1,Q191)=0)*(1-(IF(Q191="",-1,Q191)&gt;=1)*(IF(Q191="",-1,Q191)&lt;=3)),IF(C191="peso_corporal",IF(ISNUMBER(E191),E191,0)+O191,O191)*P191*1000+O191,0),IF((S191&gt;0)*(IF(T191="",-1,T191)=0)*(1-(IF(T191="",-1,T191)&gt;=1)*(IF(T191="",-1,T191)&lt;=3)),IF(C191="peso_corporal",IF(ISNUMBER(E191),E191,0)+R191,R191)*S191*1000+R191,0))</f>
        <v>0</v>
      </c>
      <c r="Z191" s="69">
        <f>IF(Y191=0,0,IF(IF((S191&gt;0)*(IF(T191="",-1,T191)=0)*(1-(IF(T191="",-1,T191)&gt;=1)*(IF(T191="",-1,T191)&lt;=3)),IF(C191="peso_corporal",IF(ISNUMBER(E191),E191,0)+R191,R191)*S191*1000+R191,0)=Y191,5,IF(IF((P191&gt;0)*(IF(Q191="",-1,Q191)=0)*(1-(IF(Q191="",-1,Q191)&gt;=1)*(IF(Q191="",-1,Q191)&lt;=3)),IF(C191="peso_corporal",IF(ISNUMBER(E191),E191,0)+O191,O191)*P191*1000+O191,0)=Y191,4,IF(IF((M191&gt;0)*(IF(N191="",-1,N191)=0)*(1-(IF(N191="",-1,N191)&gt;=1)*(IF(N191="",-1,N191)&lt;=3)),IF(C191="peso_corporal",IF(ISNUMBER(E191),E191,0)+L191,L191)*M191*1000+L191,0)=Y191,3,IF(IF((J191&gt;0)*(IF(K191="",-1,K191)=0)*(1-(IF(K191="",-1,K191)&gt;=1)*(IF(K191="",-1,K191)&lt;=3)),IF(C191="peso_corporal",IF(ISNUMBER(E191),E191,0)+I191,I191)*J191*1000+I191,0)=Y191,2,IF(IF((G191&gt;0)*(IF(H191="",-1,H191)=0)*(1-(IF(H191="",-1,H191)&gt;=1)*(IF(H191="",-1,H191)&lt;=3)),IF(C191="peso_corporal",IF(ISNUMBER(E191),E191,0)+F191,F191)*G191*1000+F191,0)=Y191,1,0))))))</f>
        <v>0</v>
      </c>
      <c r="AA191" s="69">
        <f>MAX(IF((G191&gt;=6)*(1-(IF(H191="",-1,H191)&gt;=1)*(IF(H191="",-1,H191)&lt;=3))*(1-(IF(H191="",-1,H191)=0)),IF(C191="peso_corporal",IF(ISNUMBER(E191),E191,0)+F191,F191)*(30+G191)*100+F191,0),IF((J191&gt;=6)*(1-(IF(K191="",-1,K191)&gt;=1)*(IF(K191="",-1,K191)&lt;=3))*(1-(IF(K191="",-1,K191)=0)),IF(C191="peso_corporal",IF(ISNUMBER(E191),E191,0)+I191,I191)*(30+J191)*100+I191,0),IF((M191&gt;=6)*(1-(IF(N191="",-1,N191)&gt;=1)*(IF(N191="",-1,N191)&lt;=3))*(1-(IF(N191="",-1,N191)=0)),IF(C191="peso_corporal",IF(ISNUMBER(E191),E191,0)+L191,L191)*(30+M191)*100+L191,0),IF((P191&gt;=6)*(1-(IF(Q191="",-1,Q191)&gt;=1)*(IF(Q191="",-1,Q191)&lt;=3))*(1-(IF(Q191="",-1,Q191)=0)),IF(C191="peso_corporal",IF(ISNUMBER(E191),E191,0)+O191,O191)*(30+P191)*100+O191,0),IF((S191&gt;=6)*(1-(IF(T191="",-1,T191)&gt;=1)*(IF(T191="",-1,T191)&lt;=3))*(1-(IF(T191="",-1,T191)=0)),IF(C191="peso_corporal",IF(ISNUMBER(E191),E191,0)+R191,R191)*(30+S191)*100+R191,0))</f>
        <v>0</v>
      </c>
      <c r="AB191" s="69">
        <f>IF(AA191=0,0,IF(IF((S191&gt;=6)*(1-(IF(T191="",-1,T191)&gt;=1)*(IF(T191="",-1,T191)&lt;=3))*(1-(IF(T191="",-1,T191)=0)),IF(C191="peso_corporal",IF(ISNUMBER(E191),E191,0)+R191,R191)*(30+S191)*100+R191,0)=AA191,5,IF(IF((P191&gt;=6)*(1-(IF(Q191="",-1,Q191)&gt;=1)*(IF(Q191="",-1,Q191)&lt;=3))*(1-(IF(Q191="",-1,Q191)=0)),IF(C191="peso_corporal",IF(ISNUMBER(E191),E191,0)+O191,O191)*(30+P191)*100+O191,0)=AA191,4,IF(IF((M191&gt;=6)*(1-(IF(N191="",-1,N191)&gt;=1)*(IF(N191="",-1,N191)&lt;=3))*(1-(IF(N191="",-1,N191)=0)),IF(C191="peso_corporal",IF(ISNUMBER(E191),E191,0)+L191,L191)*(30+M191)*100+L191,0)=AA191,3,IF(IF((J191&gt;=6)*(1-(IF(K191="",-1,K191)&gt;=1)*(IF(K191="",-1,K191)&lt;=3))*(1-(IF(K191="",-1,K191)=0)),IF(C191="peso_corporal",IF(ISNUMBER(E191),E191,0)+I191,I191)*(30+J191)*100+I191,0)=AA191,2,IF(IF((G191&gt;=6)*(1-(IF(H191="",-1,H191)&gt;=1)*(IF(H191="",-1,H191)&lt;=3))*(1-(IF(H191="",-1,H191)=0)),IF(C191="peso_corporal",IF(ISNUMBER(E191),E191,0)+F191,F191)*(30+G191)*100+F191,0)=AA191,1,0))))))</f>
        <v>0</v>
      </c>
      <c r="AC191" s="69" t="str">
        <f>IF(X191&gt;0,"A"&amp;X191,IF(Z191&gt;0,"B"&amp;Z191,IF(AB191&gt;0,"C"&amp;AB191,"")))</f>
        <v/>
      </c>
    </row>
    <row r="192" spans="1:29" ht="15" customHeight="1">
      <c r="A192" s="81" t="s">
        <v>42</v>
      </c>
      <c r="B192" s="73"/>
      <c r="C192" s="73"/>
      <c r="D192" s="73"/>
      <c r="E192" s="73"/>
      <c r="F192" s="73"/>
      <c r="G192" s="73"/>
      <c r="H192" s="73"/>
      <c r="I192" s="73"/>
      <c r="J192" s="73"/>
      <c r="K192" s="73"/>
      <c r="L192" s="73"/>
      <c r="M192" s="73"/>
      <c r="N192" s="73"/>
      <c r="O192" s="73"/>
      <c r="P192" s="73"/>
      <c r="Q192" s="73"/>
      <c r="R192" s="73"/>
      <c r="S192" s="73"/>
      <c r="T192" s="73"/>
      <c r="U192" s="73"/>
      <c r="V192" s="73"/>
      <c r="W192" s="69"/>
      <c r="X192" s="69"/>
      <c r="Y192" s="69"/>
      <c r="Z192" s="69"/>
      <c r="AA192" s="69"/>
      <c r="AB192" s="69"/>
      <c r="AC192" s="69"/>
    </row>
    <row r="193" spans="1:29" ht="20.100000000000001" customHeight="1">
      <c r="A193" s="14" t="s">
        <v>43</v>
      </c>
      <c r="B193" s="15" t="s">
        <v>44</v>
      </c>
      <c r="C193" s="16" t="str">
        <f>IFERROR(INDEX(EJERCICIOS!$D$3:$D$75,MATCH(A193&amp;"|"&amp;B193,EJERCICIOS!$G$3:$G$75,0)),"--")</f>
        <v>polea</v>
      </c>
      <c r="D193" s="17">
        <v>3</v>
      </c>
      <c r="E193" s="18">
        <f>IFERROR(LOOKUP(2,1/(MEDIDAS_Y_PESO!$B$3:$B$10&lt;&gt;""),MEDIDAS_Y_PESO!$B$3:$B$10),"--")</f>
        <v>80</v>
      </c>
      <c r="F193" s="19"/>
      <c r="G193" s="20"/>
      <c r="H193" s="21"/>
      <c r="I193" s="19"/>
      <c r="J193" s="20"/>
      <c r="K193" s="21"/>
      <c r="L193" s="19"/>
      <c r="M193" s="20"/>
      <c r="N193" s="21"/>
      <c r="O193" s="19"/>
      <c r="P193" s="20"/>
      <c r="Q193" s="21"/>
      <c r="R193" s="19"/>
      <c r="S193" s="20"/>
      <c r="T193" s="21"/>
      <c r="U193" s="22" t="str">
        <f>IFERROR(IF(IF(X193&gt;0,X193,IF(Z193&gt;0,Z193,IF(AB193&gt;0,AB193,0)))=0,"--",ROUND(CHOOSE(IF(X193&gt;0,X193,IF(Z193&gt;0,Z193,IF(AB193&gt;0,AB193,0))),IF(C193="peso_corporal",IF(ISNUMBER(E193),E193,0)+F193,F193)*(1+G193/30),IF(C193="peso_corporal",IF(ISNUMBER(E193),E193,0)+I193,I193)*(1+J193/30),IF(C193="peso_corporal",IF(ISNUMBER(E193),E193,0)+L193,L193)*(1+M193/30),IF(C193="peso_corporal",IF(ISNUMBER(E193),E193,0)+O193,O193)*(1+P193/30),IF(C193="peso_corporal",IF(ISNUMBER(E193),E193,0)+R193,R193)*(1+S193/30)),1)),"--")</f>
        <v>--</v>
      </c>
      <c r="V193" s="23" t="str">
        <f>IF(SUGERENCIAS!N503="SIN","Sin datos anteriores",IF(SUGERENCIAS!N503="SUBIR_F","^ SUBIR FUERTE | Kg:"&amp;ROUND(SUGERENCIAS!K503,1)&amp;" R:"&amp;ROUND(SUGERENCIAS!L503,0)&amp;" RIR:"&amp;ROUND(SUGERENCIAS!M503,0),IF(SUGERENCIAS!N503="SUBIR_E","^ SUBIR (Est.) | Kg:"&amp;ROUND(SUGERENCIAS!K503,1)&amp;" R:"&amp;ROUND(SUGERENCIAS!L503,0)&amp;" RIR:"&amp;ROUND(SUGERENCIAS!M503,0),IF(SUGERENCIAS!N503="SUBIR","^ SUBIR | Kg:"&amp;ROUND(SUGERENCIAS!K503,1)&amp;" R:"&amp;ROUND(SUGERENCIAS!L503,0)&amp;" RIR:"&amp;ROUND(SUGERENCIAS!M503,0),IF(SUGERENCIAS!N503="BAJAR","v BAJAR | Kg:"&amp;ROUND(SUGERENCIAS!K503,1)&amp;" R:"&amp;ROUND(SUGERENCIAS!L503,0)&amp;" RIR:"&amp;ROUND(SUGERENCIAS!M503,0),"= MANT | Kg:"&amp;ROUND(SUGERENCIAS!K503,1)&amp;" R:"&amp;ROUND(SUGERENCIAS!L503,0)&amp;" RIR:"&amp;ROUND(SUGERENCIAS!M503,0))))))</f>
        <v>Sin datos anteriores</v>
      </c>
      <c r="W193" s="69">
        <f>MAX(IF((G193&gt;0)*(IF(H193="",-1,H193)&gt;=1)*(IF(H193="",-1,H193)&lt;=3),IF(C193="peso_corporal",IF(ISNUMBER(E193),E193,0)+F193,F193)*G193*1000+F193,0),IF((J193&gt;0)*(IF(K193="",-1,K193)&gt;=1)*(IF(K193="",-1,K193)&lt;=3),IF(C193="peso_corporal",IF(ISNUMBER(E193),E193,0)+I193,I193)*J193*1000+I193,0),IF((M193&gt;0)*(IF(N193="",-1,N193)&gt;=1)*(IF(N193="",-1,N193)&lt;=3),IF(C193="peso_corporal",IF(ISNUMBER(E193),E193,0)+L193,L193)*M193*1000+L193,0),IF((P193&gt;0)*(IF(Q193="",-1,Q193)&gt;=1)*(IF(Q193="",-1,Q193)&lt;=3),IF(C193="peso_corporal",IF(ISNUMBER(E193),E193,0)+O193,O193)*P193*1000+O193,0),IF((S193&gt;0)*(IF(T193="",-1,T193)&gt;=1)*(IF(T193="",-1,T193)&lt;=3),IF(C193="peso_corporal",IF(ISNUMBER(E193),E193,0)+R193,R193)*S193*1000+R193,0))</f>
        <v>0</v>
      </c>
      <c r="X193" s="69">
        <f>IF(W193=0,0,IF(IF((S193&gt;0)*(IF(T193="",-1,T193)&gt;=1)*(IF(T193="",-1,T193)&lt;=3),IF(C193="peso_corporal",IF(ISNUMBER(E193),E193,0)+R193,R193)*S193*1000+R193,0)=W193,5,IF(IF((P193&gt;0)*(IF(Q193="",-1,Q193)&gt;=1)*(IF(Q193="",-1,Q193)&lt;=3),IF(C193="peso_corporal",IF(ISNUMBER(E193),E193,0)+O193,O193)*P193*1000+O193,0)=W193,4,IF(IF((M193&gt;0)*(IF(N193="",-1,N193)&gt;=1)*(IF(N193="",-1,N193)&lt;=3),IF(C193="peso_corporal",IF(ISNUMBER(E193),E193,0)+L193,L193)*M193*1000+L193,0)=W193,3,IF(IF((J193&gt;0)*(IF(K193="",-1,K193)&gt;=1)*(IF(K193="",-1,K193)&lt;=3),IF(C193="peso_corporal",IF(ISNUMBER(E193),E193,0)+I193,I193)*J193*1000+I193,0)=W193,2,IF(IF((G193&gt;0)*(IF(H193="",-1,H193)&gt;=1)*(IF(H193="",-1,H193)&lt;=3),IF(C193="peso_corporal",IF(ISNUMBER(E193),E193,0)+F193,F193)*G193*1000+F193,0)=W193,1,0))))))</f>
        <v>0</v>
      </c>
      <c r="Y193" s="69">
        <f>MAX(IF((G193&gt;0)*(IF(H193="",-1,H193)=0)*(1-(IF(H193="",-1,H193)&gt;=1)*(IF(H193="",-1,H193)&lt;=3)),IF(C193="peso_corporal",IF(ISNUMBER(E193),E193,0)+F193,F193)*G193*1000+F193,0),IF((J193&gt;0)*(IF(K193="",-1,K193)=0)*(1-(IF(K193="",-1,K193)&gt;=1)*(IF(K193="",-1,K193)&lt;=3)),IF(C193="peso_corporal",IF(ISNUMBER(E193),E193,0)+I193,I193)*J193*1000+I193,0),IF((M193&gt;0)*(IF(N193="",-1,N193)=0)*(1-(IF(N193="",-1,N193)&gt;=1)*(IF(N193="",-1,N193)&lt;=3)),IF(C193="peso_corporal",IF(ISNUMBER(E193),E193,0)+L193,L193)*M193*1000+L193,0),IF((P193&gt;0)*(IF(Q193="",-1,Q193)=0)*(1-(IF(Q193="",-1,Q193)&gt;=1)*(IF(Q193="",-1,Q193)&lt;=3)),IF(C193="peso_corporal",IF(ISNUMBER(E193),E193,0)+O193,O193)*P193*1000+O193,0),IF((S193&gt;0)*(IF(T193="",-1,T193)=0)*(1-(IF(T193="",-1,T193)&gt;=1)*(IF(T193="",-1,T193)&lt;=3)),IF(C193="peso_corporal",IF(ISNUMBER(E193),E193,0)+R193,R193)*S193*1000+R193,0))</f>
        <v>0</v>
      </c>
      <c r="Z193" s="69">
        <f>IF(Y193=0,0,IF(IF((S193&gt;0)*(IF(T193="",-1,T193)=0)*(1-(IF(T193="",-1,T193)&gt;=1)*(IF(T193="",-1,T193)&lt;=3)),IF(C193="peso_corporal",IF(ISNUMBER(E193),E193,0)+R193,R193)*S193*1000+R193,0)=Y193,5,IF(IF((P193&gt;0)*(IF(Q193="",-1,Q193)=0)*(1-(IF(Q193="",-1,Q193)&gt;=1)*(IF(Q193="",-1,Q193)&lt;=3)),IF(C193="peso_corporal",IF(ISNUMBER(E193),E193,0)+O193,O193)*P193*1000+O193,0)=Y193,4,IF(IF((M193&gt;0)*(IF(N193="",-1,N193)=0)*(1-(IF(N193="",-1,N193)&gt;=1)*(IF(N193="",-1,N193)&lt;=3)),IF(C193="peso_corporal",IF(ISNUMBER(E193),E193,0)+L193,L193)*M193*1000+L193,0)=Y193,3,IF(IF((J193&gt;0)*(IF(K193="",-1,K193)=0)*(1-(IF(K193="",-1,K193)&gt;=1)*(IF(K193="",-1,K193)&lt;=3)),IF(C193="peso_corporal",IF(ISNUMBER(E193),E193,0)+I193,I193)*J193*1000+I193,0)=Y193,2,IF(IF((G193&gt;0)*(IF(H193="",-1,H193)=0)*(1-(IF(H193="",-1,H193)&gt;=1)*(IF(H193="",-1,H193)&lt;=3)),IF(C193="peso_corporal",IF(ISNUMBER(E193),E193,0)+F193,F193)*G193*1000+F193,0)=Y193,1,0))))))</f>
        <v>0</v>
      </c>
      <c r="AA193" s="69">
        <f>MAX(IF((G193&gt;=6)*(1-(IF(H193="",-1,H193)&gt;=1)*(IF(H193="",-1,H193)&lt;=3))*(1-(IF(H193="",-1,H193)=0)),IF(C193="peso_corporal",IF(ISNUMBER(E193),E193,0)+F193,F193)*(30+G193)*100+F193,0),IF((J193&gt;=6)*(1-(IF(K193="",-1,K193)&gt;=1)*(IF(K193="",-1,K193)&lt;=3))*(1-(IF(K193="",-1,K193)=0)),IF(C193="peso_corporal",IF(ISNUMBER(E193),E193,0)+I193,I193)*(30+J193)*100+I193,0),IF((M193&gt;=6)*(1-(IF(N193="",-1,N193)&gt;=1)*(IF(N193="",-1,N193)&lt;=3))*(1-(IF(N193="",-1,N193)=0)),IF(C193="peso_corporal",IF(ISNUMBER(E193),E193,0)+L193,L193)*(30+M193)*100+L193,0),IF((P193&gt;=6)*(1-(IF(Q193="",-1,Q193)&gt;=1)*(IF(Q193="",-1,Q193)&lt;=3))*(1-(IF(Q193="",-1,Q193)=0)),IF(C193="peso_corporal",IF(ISNUMBER(E193),E193,0)+O193,O193)*(30+P193)*100+O193,0),IF((S193&gt;=6)*(1-(IF(T193="",-1,T193)&gt;=1)*(IF(T193="",-1,T193)&lt;=3))*(1-(IF(T193="",-1,T193)=0)),IF(C193="peso_corporal",IF(ISNUMBER(E193),E193,0)+R193,R193)*(30+S193)*100+R193,0))</f>
        <v>0</v>
      </c>
      <c r="AB193" s="69">
        <f>IF(AA193=0,0,IF(IF((S193&gt;=6)*(1-(IF(T193="",-1,T193)&gt;=1)*(IF(T193="",-1,T193)&lt;=3))*(1-(IF(T193="",-1,T193)=0)),IF(C193="peso_corporal",IF(ISNUMBER(E193),E193,0)+R193,R193)*(30+S193)*100+R193,0)=AA193,5,IF(IF((P193&gt;=6)*(1-(IF(Q193="",-1,Q193)&gt;=1)*(IF(Q193="",-1,Q193)&lt;=3))*(1-(IF(Q193="",-1,Q193)=0)),IF(C193="peso_corporal",IF(ISNUMBER(E193),E193,0)+O193,O193)*(30+P193)*100+O193,0)=AA193,4,IF(IF((M193&gt;=6)*(1-(IF(N193="",-1,N193)&gt;=1)*(IF(N193="",-1,N193)&lt;=3))*(1-(IF(N193="",-1,N193)=0)),IF(C193="peso_corporal",IF(ISNUMBER(E193),E193,0)+L193,L193)*(30+M193)*100+L193,0)=AA193,3,IF(IF((J193&gt;=6)*(1-(IF(K193="",-1,K193)&gt;=1)*(IF(K193="",-1,K193)&lt;=3))*(1-(IF(K193="",-1,K193)=0)),IF(C193="peso_corporal",IF(ISNUMBER(E193),E193,0)+I193,I193)*(30+J193)*100+I193,0)=AA193,2,IF(IF((G193&gt;=6)*(1-(IF(H193="",-1,H193)&gt;=1)*(IF(H193="",-1,H193)&lt;=3))*(1-(IF(H193="",-1,H193)=0)),IF(C193="peso_corporal",IF(ISNUMBER(E193),E193,0)+F193,F193)*(30+G193)*100+F193,0)=AA193,1,0))))))</f>
        <v>0</v>
      </c>
      <c r="AC193" s="69" t="str">
        <f>IF(X193&gt;0,"A"&amp;X193,IF(Z193&gt;0,"B"&amp;Z193,IF(AB193&gt;0,"C"&amp;AB193,"")))</f>
        <v/>
      </c>
    </row>
    <row r="194" spans="1:29" ht="15" customHeight="1">
      <c r="A194" s="81" t="s">
        <v>174</v>
      </c>
      <c r="B194" s="73"/>
      <c r="C194" s="73"/>
      <c r="D194" s="73"/>
      <c r="E194" s="73"/>
      <c r="F194" s="73"/>
      <c r="G194" s="73"/>
      <c r="H194" s="73"/>
      <c r="I194" s="73"/>
      <c r="J194" s="73"/>
      <c r="K194" s="73"/>
      <c r="L194" s="73"/>
      <c r="M194" s="73"/>
      <c r="N194" s="73"/>
      <c r="O194" s="73"/>
      <c r="P194" s="73"/>
      <c r="Q194" s="73"/>
      <c r="R194" s="73"/>
      <c r="S194" s="73"/>
      <c r="T194" s="73"/>
      <c r="U194" s="73"/>
      <c r="V194" s="73"/>
      <c r="W194" s="69"/>
      <c r="X194" s="69"/>
      <c r="Y194" s="69"/>
      <c r="Z194" s="69"/>
      <c r="AA194" s="69"/>
      <c r="AB194" s="69"/>
      <c r="AC194" s="69"/>
    </row>
    <row r="195" spans="1:29" ht="20.100000000000001" customHeight="1">
      <c r="A195" s="14" t="s">
        <v>175</v>
      </c>
      <c r="B195" s="15" t="s">
        <v>176</v>
      </c>
      <c r="C195" s="16" t="str">
        <f>IFERROR(INDEX(EJERCICIOS!$D$3:$D$75,MATCH(A195&amp;"|"&amp;B195,EJERCICIOS!$G$3:$G$75,0)),"--")</f>
        <v>mancuerna</v>
      </c>
      <c r="D195" s="17">
        <v>3</v>
      </c>
      <c r="E195" s="18">
        <f>IFERROR(LOOKUP(2,1/(MEDIDAS_Y_PESO!$B$3:$B$10&lt;&gt;""),MEDIDAS_Y_PESO!$B$3:$B$10),"--")</f>
        <v>80</v>
      </c>
      <c r="F195" s="19"/>
      <c r="G195" s="20"/>
      <c r="H195" s="21"/>
      <c r="I195" s="19"/>
      <c r="J195" s="20"/>
      <c r="K195" s="21"/>
      <c r="L195" s="19"/>
      <c r="M195" s="20"/>
      <c r="N195" s="21"/>
      <c r="O195" s="19"/>
      <c r="P195" s="20"/>
      <c r="Q195" s="21"/>
      <c r="R195" s="19"/>
      <c r="S195" s="20"/>
      <c r="T195" s="21"/>
      <c r="U195" s="22" t="str">
        <f>IFERROR(IF(IF(X195&gt;0,X195,IF(Z195&gt;0,Z195,IF(AB195&gt;0,AB195,0)))=0,"--",ROUND(CHOOSE(IF(X195&gt;0,X195,IF(Z195&gt;0,Z195,IF(AB195&gt;0,AB195,0))),IF(C195="peso_corporal",IF(ISNUMBER(E195),E195,0)+F195,F195)*(1+G195/30),IF(C195="peso_corporal",IF(ISNUMBER(E195),E195,0)+I195,I195)*(1+J195/30),IF(C195="peso_corporal",IF(ISNUMBER(E195),E195,0)+L195,L195)*(1+M195/30),IF(C195="peso_corporal",IF(ISNUMBER(E195),E195,0)+O195,O195)*(1+P195/30),IF(C195="peso_corporal",IF(ISNUMBER(E195),E195,0)+R195,R195)*(1+S195/30)),1)),"--")</f>
        <v>--</v>
      </c>
      <c r="V195" s="23" t="str">
        <f>IF(SUGERENCIAS!N504="SIN","Sin datos anteriores",IF(SUGERENCIAS!N504="SUBIR_F","^ SUBIR FUERTE | Kg:"&amp;ROUND(SUGERENCIAS!K504,1)&amp;" R:"&amp;ROUND(SUGERENCIAS!L504,0)&amp;" RIR:"&amp;ROUND(SUGERENCIAS!M504,0),IF(SUGERENCIAS!N504="SUBIR_E","^ SUBIR (Est.) | Kg:"&amp;ROUND(SUGERENCIAS!K504,1)&amp;" R:"&amp;ROUND(SUGERENCIAS!L504,0)&amp;" RIR:"&amp;ROUND(SUGERENCIAS!M504,0),IF(SUGERENCIAS!N504="SUBIR","^ SUBIR | Kg:"&amp;ROUND(SUGERENCIAS!K504,1)&amp;" R:"&amp;ROUND(SUGERENCIAS!L504,0)&amp;" RIR:"&amp;ROUND(SUGERENCIAS!M504,0),IF(SUGERENCIAS!N504="BAJAR","v BAJAR | Kg:"&amp;ROUND(SUGERENCIAS!K504,1)&amp;" R:"&amp;ROUND(SUGERENCIAS!L504,0)&amp;" RIR:"&amp;ROUND(SUGERENCIAS!M504,0),"= MANT | Kg:"&amp;ROUND(SUGERENCIAS!K504,1)&amp;" R:"&amp;ROUND(SUGERENCIAS!L504,0)&amp;" RIR:"&amp;ROUND(SUGERENCIAS!M504,0))))))</f>
        <v>Sin datos anteriores</v>
      </c>
      <c r="W195" s="69">
        <f>MAX(IF((G195&gt;0)*(IF(H195="",-1,H195)&gt;=1)*(IF(H195="",-1,H195)&lt;=3),IF(C195="peso_corporal",IF(ISNUMBER(E195),E195,0)+F195,F195)*G195*1000+F195,0),IF((J195&gt;0)*(IF(K195="",-1,K195)&gt;=1)*(IF(K195="",-1,K195)&lt;=3),IF(C195="peso_corporal",IF(ISNUMBER(E195),E195,0)+I195,I195)*J195*1000+I195,0),IF((M195&gt;0)*(IF(N195="",-1,N195)&gt;=1)*(IF(N195="",-1,N195)&lt;=3),IF(C195="peso_corporal",IF(ISNUMBER(E195),E195,0)+L195,L195)*M195*1000+L195,0),IF((P195&gt;0)*(IF(Q195="",-1,Q195)&gt;=1)*(IF(Q195="",-1,Q195)&lt;=3),IF(C195="peso_corporal",IF(ISNUMBER(E195),E195,0)+O195,O195)*P195*1000+O195,0),IF((S195&gt;0)*(IF(T195="",-1,T195)&gt;=1)*(IF(T195="",-1,T195)&lt;=3),IF(C195="peso_corporal",IF(ISNUMBER(E195),E195,0)+R195,R195)*S195*1000+R195,0))</f>
        <v>0</v>
      </c>
      <c r="X195" s="69">
        <f>IF(W195=0,0,IF(IF((S195&gt;0)*(IF(T195="",-1,T195)&gt;=1)*(IF(T195="",-1,T195)&lt;=3),IF(C195="peso_corporal",IF(ISNUMBER(E195),E195,0)+R195,R195)*S195*1000+R195,0)=W195,5,IF(IF((P195&gt;0)*(IF(Q195="",-1,Q195)&gt;=1)*(IF(Q195="",-1,Q195)&lt;=3),IF(C195="peso_corporal",IF(ISNUMBER(E195),E195,0)+O195,O195)*P195*1000+O195,0)=W195,4,IF(IF((M195&gt;0)*(IF(N195="",-1,N195)&gt;=1)*(IF(N195="",-1,N195)&lt;=3),IF(C195="peso_corporal",IF(ISNUMBER(E195),E195,0)+L195,L195)*M195*1000+L195,0)=W195,3,IF(IF((J195&gt;0)*(IF(K195="",-1,K195)&gt;=1)*(IF(K195="",-1,K195)&lt;=3),IF(C195="peso_corporal",IF(ISNUMBER(E195),E195,0)+I195,I195)*J195*1000+I195,0)=W195,2,IF(IF((G195&gt;0)*(IF(H195="",-1,H195)&gt;=1)*(IF(H195="",-1,H195)&lt;=3),IF(C195="peso_corporal",IF(ISNUMBER(E195),E195,0)+F195,F195)*G195*1000+F195,0)=W195,1,0))))))</f>
        <v>0</v>
      </c>
      <c r="Y195" s="69">
        <f>MAX(IF((G195&gt;0)*(IF(H195="",-1,H195)=0)*(1-(IF(H195="",-1,H195)&gt;=1)*(IF(H195="",-1,H195)&lt;=3)),IF(C195="peso_corporal",IF(ISNUMBER(E195),E195,0)+F195,F195)*G195*1000+F195,0),IF((J195&gt;0)*(IF(K195="",-1,K195)=0)*(1-(IF(K195="",-1,K195)&gt;=1)*(IF(K195="",-1,K195)&lt;=3)),IF(C195="peso_corporal",IF(ISNUMBER(E195),E195,0)+I195,I195)*J195*1000+I195,0),IF((M195&gt;0)*(IF(N195="",-1,N195)=0)*(1-(IF(N195="",-1,N195)&gt;=1)*(IF(N195="",-1,N195)&lt;=3)),IF(C195="peso_corporal",IF(ISNUMBER(E195),E195,0)+L195,L195)*M195*1000+L195,0),IF((P195&gt;0)*(IF(Q195="",-1,Q195)=0)*(1-(IF(Q195="",-1,Q195)&gt;=1)*(IF(Q195="",-1,Q195)&lt;=3)),IF(C195="peso_corporal",IF(ISNUMBER(E195),E195,0)+O195,O195)*P195*1000+O195,0),IF((S195&gt;0)*(IF(T195="",-1,T195)=0)*(1-(IF(T195="",-1,T195)&gt;=1)*(IF(T195="",-1,T195)&lt;=3)),IF(C195="peso_corporal",IF(ISNUMBER(E195),E195,0)+R195,R195)*S195*1000+R195,0))</f>
        <v>0</v>
      </c>
      <c r="Z195" s="69">
        <f>IF(Y195=0,0,IF(IF((S195&gt;0)*(IF(T195="",-1,T195)=0)*(1-(IF(T195="",-1,T195)&gt;=1)*(IF(T195="",-1,T195)&lt;=3)),IF(C195="peso_corporal",IF(ISNUMBER(E195),E195,0)+R195,R195)*S195*1000+R195,0)=Y195,5,IF(IF((P195&gt;0)*(IF(Q195="",-1,Q195)=0)*(1-(IF(Q195="",-1,Q195)&gt;=1)*(IF(Q195="",-1,Q195)&lt;=3)),IF(C195="peso_corporal",IF(ISNUMBER(E195),E195,0)+O195,O195)*P195*1000+O195,0)=Y195,4,IF(IF((M195&gt;0)*(IF(N195="",-1,N195)=0)*(1-(IF(N195="",-1,N195)&gt;=1)*(IF(N195="",-1,N195)&lt;=3)),IF(C195="peso_corporal",IF(ISNUMBER(E195),E195,0)+L195,L195)*M195*1000+L195,0)=Y195,3,IF(IF((J195&gt;0)*(IF(K195="",-1,K195)=0)*(1-(IF(K195="",-1,K195)&gt;=1)*(IF(K195="",-1,K195)&lt;=3)),IF(C195="peso_corporal",IF(ISNUMBER(E195),E195,0)+I195,I195)*J195*1000+I195,0)=Y195,2,IF(IF((G195&gt;0)*(IF(H195="",-1,H195)=0)*(1-(IF(H195="",-1,H195)&gt;=1)*(IF(H195="",-1,H195)&lt;=3)),IF(C195="peso_corporal",IF(ISNUMBER(E195),E195,0)+F195,F195)*G195*1000+F195,0)=Y195,1,0))))))</f>
        <v>0</v>
      </c>
      <c r="AA195" s="69">
        <f>MAX(IF((G195&gt;=6)*(1-(IF(H195="",-1,H195)&gt;=1)*(IF(H195="",-1,H195)&lt;=3))*(1-(IF(H195="",-1,H195)=0)),IF(C195="peso_corporal",IF(ISNUMBER(E195),E195,0)+F195,F195)*(30+G195)*100+F195,0),IF((J195&gt;=6)*(1-(IF(K195="",-1,K195)&gt;=1)*(IF(K195="",-1,K195)&lt;=3))*(1-(IF(K195="",-1,K195)=0)),IF(C195="peso_corporal",IF(ISNUMBER(E195),E195,0)+I195,I195)*(30+J195)*100+I195,0),IF((M195&gt;=6)*(1-(IF(N195="",-1,N195)&gt;=1)*(IF(N195="",-1,N195)&lt;=3))*(1-(IF(N195="",-1,N195)=0)),IF(C195="peso_corporal",IF(ISNUMBER(E195),E195,0)+L195,L195)*(30+M195)*100+L195,0),IF((P195&gt;=6)*(1-(IF(Q195="",-1,Q195)&gt;=1)*(IF(Q195="",-1,Q195)&lt;=3))*(1-(IF(Q195="",-1,Q195)=0)),IF(C195="peso_corporal",IF(ISNUMBER(E195),E195,0)+O195,O195)*(30+P195)*100+O195,0),IF((S195&gt;=6)*(1-(IF(T195="",-1,T195)&gt;=1)*(IF(T195="",-1,T195)&lt;=3))*(1-(IF(T195="",-1,T195)=0)),IF(C195="peso_corporal",IF(ISNUMBER(E195),E195,0)+R195,R195)*(30+S195)*100+R195,0))</f>
        <v>0</v>
      </c>
      <c r="AB195" s="69">
        <f>IF(AA195=0,0,IF(IF((S195&gt;=6)*(1-(IF(T195="",-1,T195)&gt;=1)*(IF(T195="",-1,T195)&lt;=3))*(1-(IF(T195="",-1,T195)=0)),IF(C195="peso_corporal",IF(ISNUMBER(E195),E195,0)+R195,R195)*(30+S195)*100+R195,0)=AA195,5,IF(IF((P195&gt;=6)*(1-(IF(Q195="",-1,Q195)&gt;=1)*(IF(Q195="",-1,Q195)&lt;=3))*(1-(IF(Q195="",-1,Q195)=0)),IF(C195="peso_corporal",IF(ISNUMBER(E195),E195,0)+O195,O195)*(30+P195)*100+O195,0)=AA195,4,IF(IF((M195&gt;=6)*(1-(IF(N195="",-1,N195)&gt;=1)*(IF(N195="",-1,N195)&lt;=3))*(1-(IF(N195="",-1,N195)=0)),IF(C195="peso_corporal",IF(ISNUMBER(E195),E195,0)+L195,L195)*(30+M195)*100+L195,0)=AA195,3,IF(IF((J195&gt;=6)*(1-(IF(K195="",-1,K195)&gt;=1)*(IF(K195="",-1,K195)&lt;=3))*(1-(IF(K195="",-1,K195)=0)),IF(C195="peso_corporal",IF(ISNUMBER(E195),E195,0)+I195,I195)*(30+J195)*100+I195,0)=AA195,2,IF(IF((G195&gt;=6)*(1-(IF(H195="",-1,H195)&gt;=1)*(IF(H195="",-1,H195)&lt;=3))*(1-(IF(H195="",-1,H195)=0)),IF(C195="peso_corporal",IF(ISNUMBER(E195),E195,0)+F195,F195)*(30+G195)*100+F195,0)=AA195,1,0))))))</f>
        <v>0</v>
      </c>
      <c r="AC195" s="69" t="str">
        <f>IF(X195&gt;0,"A"&amp;X195,IF(Z195&gt;0,"B"&amp;Z195,IF(AB195&gt;0,"C"&amp;AB195,"")))</f>
        <v/>
      </c>
    </row>
    <row r="196" spans="1:29" ht="20.100000000000001" customHeight="1">
      <c r="A196" s="14" t="s">
        <v>109</v>
      </c>
      <c r="B196" s="15" t="s">
        <v>110</v>
      </c>
      <c r="C196" s="16" t="str">
        <f>IFERROR(INDEX(EJERCICIOS!$D$3:$D$75,MATCH(A196&amp;"|"&amp;B196,EJERCICIOS!$G$3:$G$75,0)),"--")</f>
        <v>polea</v>
      </c>
      <c r="D196" s="17">
        <v>3</v>
      </c>
      <c r="E196" s="18">
        <f>IFERROR(LOOKUP(2,1/(MEDIDAS_Y_PESO!$B$3:$B$10&lt;&gt;""),MEDIDAS_Y_PESO!$B$3:$B$10),"--")</f>
        <v>80</v>
      </c>
      <c r="F196" s="19"/>
      <c r="G196" s="20"/>
      <c r="H196" s="21"/>
      <c r="I196" s="19"/>
      <c r="J196" s="20"/>
      <c r="K196" s="21"/>
      <c r="L196" s="19"/>
      <c r="M196" s="20"/>
      <c r="N196" s="21"/>
      <c r="O196" s="19"/>
      <c r="P196" s="20"/>
      <c r="Q196" s="21"/>
      <c r="R196" s="19"/>
      <c r="S196" s="20"/>
      <c r="T196" s="21"/>
      <c r="U196" s="22" t="str">
        <f>IFERROR(IF(IF(X196&gt;0,X196,IF(Z196&gt;0,Z196,IF(AB196&gt;0,AB196,0)))=0,"--",ROUND(CHOOSE(IF(X196&gt;0,X196,IF(Z196&gt;0,Z196,IF(AB196&gt;0,AB196,0))),IF(C196="peso_corporal",IF(ISNUMBER(E196),E196,0)+F196,F196)*(1+G196/30),IF(C196="peso_corporal",IF(ISNUMBER(E196),E196,0)+I196,I196)*(1+J196/30),IF(C196="peso_corporal",IF(ISNUMBER(E196),E196,0)+L196,L196)*(1+M196/30),IF(C196="peso_corporal",IF(ISNUMBER(E196),E196,0)+O196,O196)*(1+P196/30),IF(C196="peso_corporal",IF(ISNUMBER(E196),E196,0)+R196,R196)*(1+S196/30)),1)),"--")</f>
        <v>--</v>
      </c>
      <c r="V196" s="23" t="str">
        <f>IF(SUGERENCIAS!N505="SIN","Sin datos anteriores",IF(SUGERENCIAS!N505="SUBIR_F","^ SUBIR FUERTE | Kg:"&amp;ROUND(SUGERENCIAS!K505,1)&amp;" R:"&amp;ROUND(SUGERENCIAS!L505,0)&amp;" RIR:"&amp;ROUND(SUGERENCIAS!M505,0),IF(SUGERENCIAS!N505="SUBIR_E","^ SUBIR (Est.) | Kg:"&amp;ROUND(SUGERENCIAS!K505,1)&amp;" R:"&amp;ROUND(SUGERENCIAS!L505,0)&amp;" RIR:"&amp;ROUND(SUGERENCIAS!M505,0),IF(SUGERENCIAS!N505="SUBIR","^ SUBIR | Kg:"&amp;ROUND(SUGERENCIAS!K505,1)&amp;" R:"&amp;ROUND(SUGERENCIAS!L505,0)&amp;" RIR:"&amp;ROUND(SUGERENCIAS!M505,0),IF(SUGERENCIAS!N505="BAJAR","v BAJAR | Kg:"&amp;ROUND(SUGERENCIAS!K505,1)&amp;" R:"&amp;ROUND(SUGERENCIAS!L505,0)&amp;" RIR:"&amp;ROUND(SUGERENCIAS!M505,0),"= MANT | Kg:"&amp;ROUND(SUGERENCIAS!K505,1)&amp;" R:"&amp;ROUND(SUGERENCIAS!L505,0)&amp;" RIR:"&amp;ROUND(SUGERENCIAS!M505,0))))))</f>
        <v>Sin datos anteriores</v>
      </c>
      <c r="W196" s="69">
        <f>MAX(IF((G196&gt;0)*(IF(H196="",-1,H196)&gt;=1)*(IF(H196="",-1,H196)&lt;=3),IF(C196="peso_corporal",IF(ISNUMBER(E196),E196,0)+F196,F196)*G196*1000+F196,0),IF((J196&gt;0)*(IF(K196="",-1,K196)&gt;=1)*(IF(K196="",-1,K196)&lt;=3),IF(C196="peso_corporal",IF(ISNUMBER(E196),E196,0)+I196,I196)*J196*1000+I196,0),IF((M196&gt;0)*(IF(N196="",-1,N196)&gt;=1)*(IF(N196="",-1,N196)&lt;=3),IF(C196="peso_corporal",IF(ISNUMBER(E196),E196,0)+L196,L196)*M196*1000+L196,0),IF((P196&gt;0)*(IF(Q196="",-1,Q196)&gt;=1)*(IF(Q196="",-1,Q196)&lt;=3),IF(C196="peso_corporal",IF(ISNUMBER(E196),E196,0)+O196,O196)*P196*1000+O196,0),IF((S196&gt;0)*(IF(T196="",-1,T196)&gt;=1)*(IF(T196="",-1,T196)&lt;=3),IF(C196="peso_corporal",IF(ISNUMBER(E196),E196,0)+R196,R196)*S196*1000+R196,0))</f>
        <v>0</v>
      </c>
      <c r="X196" s="69">
        <f>IF(W196=0,0,IF(IF((S196&gt;0)*(IF(T196="",-1,T196)&gt;=1)*(IF(T196="",-1,T196)&lt;=3),IF(C196="peso_corporal",IF(ISNUMBER(E196),E196,0)+R196,R196)*S196*1000+R196,0)=W196,5,IF(IF((P196&gt;0)*(IF(Q196="",-1,Q196)&gt;=1)*(IF(Q196="",-1,Q196)&lt;=3),IF(C196="peso_corporal",IF(ISNUMBER(E196),E196,0)+O196,O196)*P196*1000+O196,0)=W196,4,IF(IF((M196&gt;0)*(IF(N196="",-1,N196)&gt;=1)*(IF(N196="",-1,N196)&lt;=3),IF(C196="peso_corporal",IF(ISNUMBER(E196),E196,0)+L196,L196)*M196*1000+L196,0)=W196,3,IF(IF((J196&gt;0)*(IF(K196="",-1,K196)&gt;=1)*(IF(K196="",-1,K196)&lt;=3),IF(C196="peso_corporal",IF(ISNUMBER(E196),E196,0)+I196,I196)*J196*1000+I196,0)=W196,2,IF(IF((G196&gt;0)*(IF(H196="",-1,H196)&gt;=1)*(IF(H196="",-1,H196)&lt;=3),IF(C196="peso_corporal",IF(ISNUMBER(E196),E196,0)+F196,F196)*G196*1000+F196,0)=W196,1,0))))))</f>
        <v>0</v>
      </c>
      <c r="Y196" s="69">
        <f>MAX(IF((G196&gt;0)*(IF(H196="",-1,H196)=0)*(1-(IF(H196="",-1,H196)&gt;=1)*(IF(H196="",-1,H196)&lt;=3)),IF(C196="peso_corporal",IF(ISNUMBER(E196),E196,0)+F196,F196)*G196*1000+F196,0),IF((J196&gt;0)*(IF(K196="",-1,K196)=0)*(1-(IF(K196="",-1,K196)&gt;=1)*(IF(K196="",-1,K196)&lt;=3)),IF(C196="peso_corporal",IF(ISNUMBER(E196),E196,0)+I196,I196)*J196*1000+I196,0),IF((M196&gt;0)*(IF(N196="",-1,N196)=0)*(1-(IF(N196="",-1,N196)&gt;=1)*(IF(N196="",-1,N196)&lt;=3)),IF(C196="peso_corporal",IF(ISNUMBER(E196),E196,0)+L196,L196)*M196*1000+L196,0),IF((P196&gt;0)*(IF(Q196="",-1,Q196)=0)*(1-(IF(Q196="",-1,Q196)&gt;=1)*(IF(Q196="",-1,Q196)&lt;=3)),IF(C196="peso_corporal",IF(ISNUMBER(E196),E196,0)+O196,O196)*P196*1000+O196,0),IF((S196&gt;0)*(IF(T196="",-1,T196)=0)*(1-(IF(T196="",-1,T196)&gt;=1)*(IF(T196="",-1,T196)&lt;=3)),IF(C196="peso_corporal",IF(ISNUMBER(E196),E196,0)+R196,R196)*S196*1000+R196,0))</f>
        <v>0</v>
      </c>
      <c r="Z196" s="69">
        <f>IF(Y196=0,0,IF(IF((S196&gt;0)*(IF(T196="",-1,T196)=0)*(1-(IF(T196="",-1,T196)&gt;=1)*(IF(T196="",-1,T196)&lt;=3)),IF(C196="peso_corporal",IF(ISNUMBER(E196),E196,0)+R196,R196)*S196*1000+R196,0)=Y196,5,IF(IF((P196&gt;0)*(IF(Q196="",-1,Q196)=0)*(1-(IF(Q196="",-1,Q196)&gt;=1)*(IF(Q196="",-1,Q196)&lt;=3)),IF(C196="peso_corporal",IF(ISNUMBER(E196),E196,0)+O196,O196)*P196*1000+O196,0)=Y196,4,IF(IF((M196&gt;0)*(IF(N196="",-1,N196)=0)*(1-(IF(N196="",-1,N196)&gt;=1)*(IF(N196="",-1,N196)&lt;=3)),IF(C196="peso_corporal",IF(ISNUMBER(E196),E196,0)+L196,L196)*M196*1000+L196,0)=Y196,3,IF(IF((J196&gt;0)*(IF(K196="",-1,K196)=0)*(1-(IF(K196="",-1,K196)&gt;=1)*(IF(K196="",-1,K196)&lt;=3)),IF(C196="peso_corporal",IF(ISNUMBER(E196),E196,0)+I196,I196)*J196*1000+I196,0)=Y196,2,IF(IF((G196&gt;0)*(IF(H196="",-1,H196)=0)*(1-(IF(H196="",-1,H196)&gt;=1)*(IF(H196="",-1,H196)&lt;=3)),IF(C196="peso_corporal",IF(ISNUMBER(E196),E196,0)+F196,F196)*G196*1000+F196,0)=Y196,1,0))))))</f>
        <v>0</v>
      </c>
      <c r="AA196" s="69">
        <f>MAX(IF((G196&gt;=6)*(1-(IF(H196="",-1,H196)&gt;=1)*(IF(H196="",-1,H196)&lt;=3))*(1-(IF(H196="",-1,H196)=0)),IF(C196="peso_corporal",IF(ISNUMBER(E196),E196,0)+F196,F196)*(30+G196)*100+F196,0),IF((J196&gt;=6)*(1-(IF(K196="",-1,K196)&gt;=1)*(IF(K196="",-1,K196)&lt;=3))*(1-(IF(K196="",-1,K196)=0)),IF(C196="peso_corporal",IF(ISNUMBER(E196),E196,0)+I196,I196)*(30+J196)*100+I196,0),IF((M196&gt;=6)*(1-(IF(N196="",-1,N196)&gt;=1)*(IF(N196="",-1,N196)&lt;=3))*(1-(IF(N196="",-1,N196)=0)),IF(C196="peso_corporal",IF(ISNUMBER(E196),E196,0)+L196,L196)*(30+M196)*100+L196,0),IF((P196&gt;=6)*(1-(IF(Q196="",-1,Q196)&gt;=1)*(IF(Q196="",-1,Q196)&lt;=3))*(1-(IF(Q196="",-1,Q196)=0)),IF(C196="peso_corporal",IF(ISNUMBER(E196),E196,0)+O196,O196)*(30+P196)*100+O196,0),IF((S196&gt;=6)*(1-(IF(T196="",-1,T196)&gt;=1)*(IF(T196="",-1,T196)&lt;=3))*(1-(IF(T196="",-1,T196)=0)),IF(C196="peso_corporal",IF(ISNUMBER(E196),E196,0)+R196,R196)*(30+S196)*100+R196,0))</f>
        <v>0</v>
      </c>
      <c r="AB196" s="69">
        <f>IF(AA196=0,0,IF(IF((S196&gt;=6)*(1-(IF(T196="",-1,T196)&gt;=1)*(IF(T196="",-1,T196)&lt;=3))*(1-(IF(T196="",-1,T196)=0)),IF(C196="peso_corporal",IF(ISNUMBER(E196),E196,0)+R196,R196)*(30+S196)*100+R196,0)=AA196,5,IF(IF((P196&gt;=6)*(1-(IF(Q196="",-1,Q196)&gt;=1)*(IF(Q196="",-1,Q196)&lt;=3))*(1-(IF(Q196="",-1,Q196)=0)),IF(C196="peso_corporal",IF(ISNUMBER(E196),E196,0)+O196,O196)*(30+P196)*100+O196,0)=AA196,4,IF(IF((M196&gt;=6)*(1-(IF(N196="",-1,N196)&gt;=1)*(IF(N196="",-1,N196)&lt;=3))*(1-(IF(N196="",-1,N196)=0)),IF(C196="peso_corporal",IF(ISNUMBER(E196),E196,0)+L196,L196)*(30+M196)*100+L196,0)=AA196,3,IF(IF((J196&gt;=6)*(1-(IF(K196="",-1,K196)&gt;=1)*(IF(K196="",-1,K196)&lt;=3))*(1-(IF(K196="",-1,K196)=0)),IF(C196="peso_corporal",IF(ISNUMBER(E196),E196,0)+I196,I196)*(30+J196)*100+I196,0)=AA196,2,IF(IF((G196&gt;=6)*(1-(IF(H196="",-1,H196)&gt;=1)*(IF(H196="",-1,H196)&lt;=3))*(1-(IF(H196="",-1,H196)=0)),IF(C196="peso_corporal",IF(ISNUMBER(E196),E196,0)+F196,F196)*(30+G196)*100+F196,0)=AA196,1,0))))))</f>
        <v>0</v>
      </c>
      <c r="AC196" s="69" t="str">
        <f>IF(X196&gt;0,"A"&amp;X196,IF(Z196&gt;0,"B"&amp;Z196,IF(AB196&gt;0,"C"&amp;AB196,"")))</f>
        <v/>
      </c>
    </row>
    <row r="197" spans="1:29" ht="15" customHeight="1">
      <c r="A197" s="90" t="s">
        <v>142</v>
      </c>
      <c r="B197" s="73"/>
      <c r="C197" s="73"/>
      <c r="D197" s="73"/>
      <c r="E197" s="73"/>
      <c r="F197" s="73"/>
      <c r="G197" s="73"/>
      <c r="H197" s="73"/>
      <c r="I197" s="73"/>
      <c r="J197" s="73"/>
      <c r="K197" s="73"/>
      <c r="L197" s="73"/>
      <c r="M197" s="73"/>
      <c r="N197" s="73"/>
      <c r="O197" s="73"/>
      <c r="P197" s="73"/>
      <c r="Q197" s="73"/>
      <c r="R197" s="73"/>
      <c r="S197" s="73"/>
      <c r="T197" s="73"/>
      <c r="U197" s="73"/>
      <c r="V197" s="73"/>
      <c r="W197" s="69"/>
      <c r="X197" s="69"/>
      <c r="Y197" s="69"/>
      <c r="Z197" s="69"/>
      <c r="AA197" s="69"/>
      <c r="AB197" s="69"/>
      <c r="AC197" s="69"/>
    </row>
    <row r="198" spans="1:29" ht="20.100000000000001" customHeight="1">
      <c r="A198" s="14" t="s">
        <v>24</v>
      </c>
      <c r="B198" s="15" t="s">
        <v>143</v>
      </c>
      <c r="C198" s="16" t="str">
        <f>IFERROR(INDEX(EJERCICIOS!$D$3:$D$75,MATCH(A198&amp;"|"&amp;B198,EJERCICIOS!$G$3:$G$75,0)),"--")</f>
        <v>peso_corporal</v>
      </c>
      <c r="D198" s="17">
        <v>3</v>
      </c>
      <c r="E198" s="18">
        <f>IFERROR(LOOKUP(2,1/(MEDIDAS_Y_PESO!$B$3:$B$10&lt;&gt;""),MEDIDAS_Y_PESO!$B$3:$B$10),"--")</f>
        <v>80</v>
      </c>
      <c r="F198" s="19"/>
      <c r="G198" s="20"/>
      <c r="H198" s="21"/>
      <c r="I198" s="19"/>
      <c r="J198" s="20"/>
      <c r="K198" s="21"/>
      <c r="L198" s="19"/>
      <c r="M198" s="20"/>
      <c r="N198" s="21"/>
      <c r="O198" s="19"/>
      <c r="P198" s="20"/>
      <c r="Q198" s="21"/>
      <c r="R198" s="19"/>
      <c r="S198" s="20"/>
      <c r="T198" s="21"/>
      <c r="U198" s="22" t="str">
        <f>IFERROR(IF(IF(X198&gt;0,X198,IF(Z198&gt;0,Z198,IF(AB198&gt;0,AB198,0)))=0,"--",ROUND(CHOOSE(IF(X198&gt;0,X198,IF(Z198&gt;0,Z198,IF(AB198&gt;0,AB198,0))),IF(C198="peso_corporal",IF(ISNUMBER(E198),E198,0)+F198,F198)*(1+G198/30),IF(C198="peso_corporal",IF(ISNUMBER(E198),E198,0)+I198,I198)*(1+J198/30),IF(C198="peso_corporal",IF(ISNUMBER(E198),E198,0)+L198,L198)*(1+M198/30),IF(C198="peso_corporal",IF(ISNUMBER(E198),E198,0)+O198,O198)*(1+P198/30),IF(C198="peso_corporal",IF(ISNUMBER(E198),E198,0)+R198,R198)*(1+S198/30)),1)),"--")</f>
        <v>--</v>
      </c>
      <c r="V198" s="23" t="str">
        <f>IF(SUGERENCIAS!N506="SIN","Sin datos anteriores",IF(SUGERENCIAS!N506="SUBIR_F","^ SUBIR FUERTE | Kg:"&amp;ROUND(SUGERENCIAS!K506,1)&amp;" R:"&amp;ROUND(SUGERENCIAS!L506,0)&amp;" RIR:"&amp;ROUND(SUGERENCIAS!M506,0),IF(SUGERENCIAS!N506="SUBIR_E","^ SUBIR (Est.) | Kg:"&amp;ROUND(SUGERENCIAS!K506,1)&amp;" R:"&amp;ROUND(SUGERENCIAS!L506,0)&amp;" RIR:"&amp;ROUND(SUGERENCIAS!M506,0),IF(SUGERENCIAS!N506="SUBIR","^ SUBIR | Kg:"&amp;ROUND(SUGERENCIAS!K506,1)&amp;" R:"&amp;ROUND(SUGERENCIAS!L506,0)&amp;" RIR:"&amp;ROUND(SUGERENCIAS!M506,0),IF(SUGERENCIAS!N506="BAJAR","v BAJAR | Kg:"&amp;ROUND(SUGERENCIAS!K506,1)&amp;" R:"&amp;ROUND(SUGERENCIAS!L506,0)&amp;" RIR:"&amp;ROUND(SUGERENCIAS!M506,0),"= MANT | Kg:"&amp;ROUND(SUGERENCIAS!K506,1)&amp;" R:"&amp;ROUND(SUGERENCIAS!L506,0)&amp;" RIR:"&amp;ROUND(SUGERENCIAS!M506,0))))))</f>
        <v>Sin datos anteriores</v>
      </c>
      <c r="W198" s="69">
        <f>MAX(IF((G198&gt;0)*(IF(H198="",-1,H198)&gt;=1)*(IF(H198="",-1,H198)&lt;=3),IF(C198="peso_corporal",IF(ISNUMBER(E198),E198,0)+F198,F198)*G198*1000+F198,0),IF((J198&gt;0)*(IF(K198="",-1,K198)&gt;=1)*(IF(K198="",-1,K198)&lt;=3),IF(C198="peso_corporal",IF(ISNUMBER(E198),E198,0)+I198,I198)*J198*1000+I198,0),IF((M198&gt;0)*(IF(N198="",-1,N198)&gt;=1)*(IF(N198="",-1,N198)&lt;=3),IF(C198="peso_corporal",IF(ISNUMBER(E198),E198,0)+L198,L198)*M198*1000+L198,0),IF((P198&gt;0)*(IF(Q198="",-1,Q198)&gt;=1)*(IF(Q198="",-1,Q198)&lt;=3),IF(C198="peso_corporal",IF(ISNUMBER(E198),E198,0)+O198,O198)*P198*1000+O198,0),IF((S198&gt;0)*(IF(T198="",-1,T198)&gt;=1)*(IF(T198="",-1,T198)&lt;=3),IF(C198="peso_corporal",IF(ISNUMBER(E198),E198,0)+R198,R198)*S198*1000+R198,0))</f>
        <v>0</v>
      </c>
      <c r="X198" s="69">
        <f>IF(W198=0,0,IF(IF((S198&gt;0)*(IF(T198="",-1,T198)&gt;=1)*(IF(T198="",-1,T198)&lt;=3),IF(C198="peso_corporal",IF(ISNUMBER(E198),E198,0)+R198,R198)*S198*1000+R198,0)=W198,5,IF(IF((P198&gt;0)*(IF(Q198="",-1,Q198)&gt;=1)*(IF(Q198="",-1,Q198)&lt;=3),IF(C198="peso_corporal",IF(ISNUMBER(E198),E198,0)+O198,O198)*P198*1000+O198,0)=W198,4,IF(IF((M198&gt;0)*(IF(N198="",-1,N198)&gt;=1)*(IF(N198="",-1,N198)&lt;=3),IF(C198="peso_corporal",IF(ISNUMBER(E198),E198,0)+L198,L198)*M198*1000+L198,0)=W198,3,IF(IF((J198&gt;0)*(IF(K198="",-1,K198)&gt;=1)*(IF(K198="",-1,K198)&lt;=3),IF(C198="peso_corporal",IF(ISNUMBER(E198),E198,0)+I198,I198)*J198*1000+I198,0)=W198,2,IF(IF((G198&gt;0)*(IF(H198="",-1,H198)&gt;=1)*(IF(H198="",-1,H198)&lt;=3),IF(C198="peso_corporal",IF(ISNUMBER(E198),E198,0)+F198,F198)*G198*1000+F198,0)=W198,1,0))))))</f>
        <v>0</v>
      </c>
      <c r="Y198" s="69">
        <f>MAX(IF((G198&gt;0)*(IF(H198="",-1,H198)=0)*(1-(IF(H198="",-1,H198)&gt;=1)*(IF(H198="",-1,H198)&lt;=3)),IF(C198="peso_corporal",IF(ISNUMBER(E198),E198,0)+F198,F198)*G198*1000+F198,0),IF((J198&gt;0)*(IF(K198="",-1,K198)=0)*(1-(IF(K198="",-1,K198)&gt;=1)*(IF(K198="",-1,K198)&lt;=3)),IF(C198="peso_corporal",IF(ISNUMBER(E198),E198,0)+I198,I198)*J198*1000+I198,0),IF((M198&gt;0)*(IF(N198="",-1,N198)=0)*(1-(IF(N198="",-1,N198)&gt;=1)*(IF(N198="",-1,N198)&lt;=3)),IF(C198="peso_corporal",IF(ISNUMBER(E198),E198,0)+L198,L198)*M198*1000+L198,0),IF((P198&gt;0)*(IF(Q198="",-1,Q198)=0)*(1-(IF(Q198="",-1,Q198)&gt;=1)*(IF(Q198="",-1,Q198)&lt;=3)),IF(C198="peso_corporal",IF(ISNUMBER(E198),E198,0)+O198,O198)*P198*1000+O198,0),IF((S198&gt;0)*(IF(T198="",-1,T198)=0)*(1-(IF(T198="",-1,T198)&gt;=1)*(IF(T198="",-1,T198)&lt;=3)),IF(C198="peso_corporal",IF(ISNUMBER(E198),E198,0)+R198,R198)*S198*1000+R198,0))</f>
        <v>0</v>
      </c>
      <c r="Z198" s="69">
        <f>IF(Y198=0,0,IF(IF((S198&gt;0)*(IF(T198="",-1,T198)=0)*(1-(IF(T198="",-1,T198)&gt;=1)*(IF(T198="",-1,T198)&lt;=3)),IF(C198="peso_corporal",IF(ISNUMBER(E198),E198,0)+R198,R198)*S198*1000+R198,0)=Y198,5,IF(IF((P198&gt;0)*(IF(Q198="",-1,Q198)=0)*(1-(IF(Q198="",-1,Q198)&gt;=1)*(IF(Q198="",-1,Q198)&lt;=3)),IF(C198="peso_corporal",IF(ISNUMBER(E198),E198,0)+O198,O198)*P198*1000+O198,0)=Y198,4,IF(IF((M198&gt;0)*(IF(N198="",-1,N198)=0)*(1-(IF(N198="",-1,N198)&gt;=1)*(IF(N198="",-1,N198)&lt;=3)),IF(C198="peso_corporal",IF(ISNUMBER(E198),E198,0)+L198,L198)*M198*1000+L198,0)=Y198,3,IF(IF((J198&gt;0)*(IF(K198="",-1,K198)=0)*(1-(IF(K198="",-1,K198)&gt;=1)*(IF(K198="",-1,K198)&lt;=3)),IF(C198="peso_corporal",IF(ISNUMBER(E198),E198,0)+I198,I198)*J198*1000+I198,0)=Y198,2,IF(IF((G198&gt;0)*(IF(H198="",-1,H198)=0)*(1-(IF(H198="",-1,H198)&gt;=1)*(IF(H198="",-1,H198)&lt;=3)),IF(C198="peso_corporal",IF(ISNUMBER(E198),E198,0)+F198,F198)*G198*1000+F198,0)=Y198,1,0))))))</f>
        <v>0</v>
      </c>
      <c r="AA198" s="69">
        <f>MAX(IF((G198&gt;=6)*(1-(IF(H198="",-1,H198)&gt;=1)*(IF(H198="",-1,H198)&lt;=3))*(1-(IF(H198="",-1,H198)=0)),IF(C198="peso_corporal",IF(ISNUMBER(E198),E198,0)+F198,F198)*(30+G198)*100+F198,0),IF((J198&gt;=6)*(1-(IF(K198="",-1,K198)&gt;=1)*(IF(K198="",-1,K198)&lt;=3))*(1-(IF(K198="",-1,K198)=0)),IF(C198="peso_corporal",IF(ISNUMBER(E198),E198,0)+I198,I198)*(30+J198)*100+I198,0),IF((M198&gt;=6)*(1-(IF(N198="",-1,N198)&gt;=1)*(IF(N198="",-1,N198)&lt;=3))*(1-(IF(N198="",-1,N198)=0)),IF(C198="peso_corporal",IF(ISNUMBER(E198),E198,0)+L198,L198)*(30+M198)*100+L198,0),IF((P198&gt;=6)*(1-(IF(Q198="",-1,Q198)&gt;=1)*(IF(Q198="",-1,Q198)&lt;=3))*(1-(IF(Q198="",-1,Q198)=0)),IF(C198="peso_corporal",IF(ISNUMBER(E198),E198,0)+O198,O198)*(30+P198)*100+O198,0),IF((S198&gt;=6)*(1-(IF(T198="",-1,T198)&gt;=1)*(IF(T198="",-1,T198)&lt;=3))*(1-(IF(T198="",-1,T198)=0)),IF(C198="peso_corporal",IF(ISNUMBER(E198),E198,0)+R198,R198)*(30+S198)*100+R198,0))</f>
        <v>0</v>
      </c>
      <c r="AB198" s="69">
        <f>IF(AA198=0,0,IF(IF((S198&gt;=6)*(1-(IF(T198="",-1,T198)&gt;=1)*(IF(T198="",-1,T198)&lt;=3))*(1-(IF(T198="",-1,T198)=0)),IF(C198="peso_corporal",IF(ISNUMBER(E198),E198,0)+R198,R198)*(30+S198)*100+R198,0)=AA198,5,IF(IF((P198&gt;=6)*(1-(IF(Q198="",-1,Q198)&gt;=1)*(IF(Q198="",-1,Q198)&lt;=3))*(1-(IF(Q198="",-1,Q198)=0)),IF(C198="peso_corporal",IF(ISNUMBER(E198),E198,0)+O198,O198)*(30+P198)*100+O198,0)=AA198,4,IF(IF((M198&gt;=6)*(1-(IF(N198="",-1,N198)&gt;=1)*(IF(N198="",-1,N198)&lt;=3))*(1-(IF(N198="",-1,N198)=0)),IF(C198="peso_corporal",IF(ISNUMBER(E198),E198,0)+L198,L198)*(30+M198)*100+L198,0)=AA198,3,IF(IF((J198&gt;=6)*(1-(IF(K198="",-1,K198)&gt;=1)*(IF(K198="",-1,K198)&lt;=3))*(1-(IF(K198="",-1,K198)=0)),IF(C198="peso_corporal",IF(ISNUMBER(E198),E198,0)+I198,I198)*(30+J198)*100+I198,0)=AA198,2,IF(IF((G198&gt;=6)*(1-(IF(H198="",-1,H198)&gt;=1)*(IF(H198="",-1,H198)&lt;=3))*(1-(IF(H198="",-1,H198)=0)),IF(C198="peso_corporal",IF(ISNUMBER(E198),E198,0)+F198,F198)*(30+G198)*100+F198,0)=AA198,1,0))))))</f>
        <v>0</v>
      </c>
      <c r="AC198" s="69" t="str">
        <f>IF(X198&gt;0,"A"&amp;X198,IF(Z198&gt;0,"B"&amp;Z198,IF(AB198&gt;0,"C"&amp;AB198,"")))</f>
        <v/>
      </c>
    </row>
    <row r="199" spans="1:29" ht="15" customHeight="1">
      <c r="A199" s="72" t="s">
        <v>56</v>
      </c>
      <c r="B199" s="73"/>
      <c r="C199" s="73"/>
      <c r="D199" s="73"/>
      <c r="E199" s="73"/>
      <c r="F199" s="73"/>
      <c r="G199" s="73"/>
      <c r="H199" s="73"/>
      <c r="I199" s="73"/>
      <c r="J199" s="73"/>
      <c r="K199" s="73"/>
      <c r="L199" s="73"/>
      <c r="M199" s="73"/>
      <c r="N199" s="73"/>
      <c r="O199" s="73"/>
      <c r="P199" s="73"/>
      <c r="Q199" s="73"/>
      <c r="R199" s="73"/>
      <c r="S199" s="73"/>
      <c r="T199" s="73"/>
      <c r="U199" s="73"/>
      <c r="V199" s="73"/>
      <c r="W199" s="69"/>
      <c r="X199" s="69"/>
      <c r="Y199" s="69"/>
      <c r="Z199" s="69"/>
      <c r="AA199" s="69"/>
      <c r="AB199" s="69"/>
      <c r="AC199" s="69"/>
    </row>
    <row r="200" spans="1:29" ht="20.100000000000001" customHeight="1">
      <c r="A200" s="14" t="s">
        <v>57</v>
      </c>
      <c r="B200" s="15" t="s">
        <v>58</v>
      </c>
      <c r="C200" s="16" t="str">
        <f>IFERROR(INDEX(EJERCICIOS!$D$3:$D$75,MATCH(A200&amp;"|"&amp;B200,EJERCICIOS!$G$3:$G$75,0)),"--")</f>
        <v>polea</v>
      </c>
      <c r="D200" s="17">
        <v>3</v>
      </c>
      <c r="E200" s="18">
        <f>IFERROR(LOOKUP(2,1/(MEDIDAS_Y_PESO!$B$3:$B$10&lt;&gt;""),MEDIDAS_Y_PESO!$B$3:$B$10),"--")</f>
        <v>80</v>
      </c>
      <c r="F200" s="19"/>
      <c r="G200" s="20"/>
      <c r="H200" s="21"/>
      <c r="I200" s="19"/>
      <c r="J200" s="20"/>
      <c r="K200" s="21"/>
      <c r="L200" s="19"/>
      <c r="M200" s="20"/>
      <c r="N200" s="21"/>
      <c r="O200" s="19"/>
      <c r="P200" s="20"/>
      <c r="Q200" s="21"/>
      <c r="R200" s="19"/>
      <c r="S200" s="20"/>
      <c r="T200" s="21"/>
      <c r="U200" s="22" t="str">
        <f>IFERROR(IF(IF(X200&gt;0,X200,IF(Z200&gt;0,Z200,IF(AB200&gt;0,AB200,0)))=0,"--",ROUND(CHOOSE(IF(X200&gt;0,X200,IF(Z200&gt;0,Z200,IF(AB200&gt;0,AB200,0))),IF(C200="peso_corporal",IF(ISNUMBER(E200),E200,0)+F200,F200)*(1+G200/30),IF(C200="peso_corporal",IF(ISNUMBER(E200),E200,0)+I200,I200)*(1+J200/30),IF(C200="peso_corporal",IF(ISNUMBER(E200),E200,0)+L200,L200)*(1+M200/30),IF(C200="peso_corporal",IF(ISNUMBER(E200),E200,0)+O200,O200)*(1+P200/30),IF(C200="peso_corporal",IF(ISNUMBER(E200),E200,0)+R200,R200)*(1+S200/30)),1)),"--")</f>
        <v>--</v>
      </c>
      <c r="V200" s="23" t="str">
        <f>IF(SUGERENCIAS!N507="SIN","Sin datos anteriores",IF(SUGERENCIAS!N507="SUBIR_F","^ SUBIR FUERTE | Kg:"&amp;ROUND(SUGERENCIAS!K507,1)&amp;" R:"&amp;ROUND(SUGERENCIAS!L507,0)&amp;" RIR:"&amp;ROUND(SUGERENCIAS!M507,0),IF(SUGERENCIAS!N507="SUBIR_E","^ SUBIR (Est.) | Kg:"&amp;ROUND(SUGERENCIAS!K507,1)&amp;" R:"&amp;ROUND(SUGERENCIAS!L507,0)&amp;" RIR:"&amp;ROUND(SUGERENCIAS!M507,0),IF(SUGERENCIAS!N507="SUBIR","^ SUBIR | Kg:"&amp;ROUND(SUGERENCIAS!K507,1)&amp;" R:"&amp;ROUND(SUGERENCIAS!L507,0)&amp;" RIR:"&amp;ROUND(SUGERENCIAS!M507,0),IF(SUGERENCIAS!N507="BAJAR","v BAJAR | Kg:"&amp;ROUND(SUGERENCIAS!K507,1)&amp;" R:"&amp;ROUND(SUGERENCIAS!L507,0)&amp;" RIR:"&amp;ROUND(SUGERENCIAS!M507,0),"= MANT | Kg:"&amp;ROUND(SUGERENCIAS!K507,1)&amp;" R:"&amp;ROUND(SUGERENCIAS!L507,0)&amp;" RIR:"&amp;ROUND(SUGERENCIAS!M507,0))))))</f>
        <v>Sin datos anteriores</v>
      </c>
      <c r="W200" s="69">
        <f>MAX(IF((G200&gt;0)*(IF(H200="",-1,H200)&gt;=1)*(IF(H200="",-1,H200)&lt;=3),IF(C200="peso_corporal",IF(ISNUMBER(E200),E200,0)+F200,F200)*G200*1000+F200,0),IF((J200&gt;0)*(IF(K200="",-1,K200)&gt;=1)*(IF(K200="",-1,K200)&lt;=3),IF(C200="peso_corporal",IF(ISNUMBER(E200),E200,0)+I200,I200)*J200*1000+I200,0),IF((M200&gt;0)*(IF(N200="",-1,N200)&gt;=1)*(IF(N200="",-1,N200)&lt;=3),IF(C200="peso_corporal",IF(ISNUMBER(E200),E200,0)+L200,L200)*M200*1000+L200,0),IF((P200&gt;0)*(IF(Q200="",-1,Q200)&gt;=1)*(IF(Q200="",-1,Q200)&lt;=3),IF(C200="peso_corporal",IF(ISNUMBER(E200),E200,0)+O200,O200)*P200*1000+O200,0),IF((S200&gt;0)*(IF(T200="",-1,T200)&gt;=1)*(IF(T200="",-1,T200)&lt;=3),IF(C200="peso_corporal",IF(ISNUMBER(E200),E200,0)+R200,R200)*S200*1000+R200,0))</f>
        <v>0</v>
      </c>
      <c r="X200" s="69">
        <f>IF(W200=0,0,IF(IF((S200&gt;0)*(IF(T200="",-1,T200)&gt;=1)*(IF(T200="",-1,T200)&lt;=3),IF(C200="peso_corporal",IF(ISNUMBER(E200),E200,0)+R200,R200)*S200*1000+R200,0)=W200,5,IF(IF((P200&gt;0)*(IF(Q200="",-1,Q200)&gt;=1)*(IF(Q200="",-1,Q200)&lt;=3),IF(C200="peso_corporal",IF(ISNUMBER(E200),E200,0)+O200,O200)*P200*1000+O200,0)=W200,4,IF(IF((M200&gt;0)*(IF(N200="",-1,N200)&gt;=1)*(IF(N200="",-1,N200)&lt;=3),IF(C200="peso_corporal",IF(ISNUMBER(E200),E200,0)+L200,L200)*M200*1000+L200,0)=W200,3,IF(IF((J200&gt;0)*(IF(K200="",-1,K200)&gt;=1)*(IF(K200="",-1,K200)&lt;=3),IF(C200="peso_corporal",IF(ISNUMBER(E200),E200,0)+I200,I200)*J200*1000+I200,0)=W200,2,IF(IF((G200&gt;0)*(IF(H200="",-1,H200)&gt;=1)*(IF(H200="",-1,H200)&lt;=3),IF(C200="peso_corporal",IF(ISNUMBER(E200),E200,0)+F200,F200)*G200*1000+F200,0)=W200,1,0))))))</f>
        <v>0</v>
      </c>
      <c r="Y200" s="69">
        <f>MAX(IF((G200&gt;0)*(IF(H200="",-1,H200)=0)*(1-(IF(H200="",-1,H200)&gt;=1)*(IF(H200="",-1,H200)&lt;=3)),IF(C200="peso_corporal",IF(ISNUMBER(E200),E200,0)+F200,F200)*G200*1000+F200,0),IF((J200&gt;0)*(IF(K200="",-1,K200)=0)*(1-(IF(K200="",-1,K200)&gt;=1)*(IF(K200="",-1,K200)&lt;=3)),IF(C200="peso_corporal",IF(ISNUMBER(E200),E200,0)+I200,I200)*J200*1000+I200,0),IF((M200&gt;0)*(IF(N200="",-1,N200)=0)*(1-(IF(N200="",-1,N200)&gt;=1)*(IF(N200="",-1,N200)&lt;=3)),IF(C200="peso_corporal",IF(ISNUMBER(E200),E200,0)+L200,L200)*M200*1000+L200,0),IF((P200&gt;0)*(IF(Q200="",-1,Q200)=0)*(1-(IF(Q200="",-1,Q200)&gt;=1)*(IF(Q200="",-1,Q200)&lt;=3)),IF(C200="peso_corporal",IF(ISNUMBER(E200),E200,0)+O200,O200)*P200*1000+O200,0),IF((S200&gt;0)*(IF(T200="",-1,T200)=0)*(1-(IF(T200="",-1,T200)&gt;=1)*(IF(T200="",-1,T200)&lt;=3)),IF(C200="peso_corporal",IF(ISNUMBER(E200),E200,0)+R200,R200)*S200*1000+R200,0))</f>
        <v>0</v>
      </c>
      <c r="Z200" s="69">
        <f>IF(Y200=0,0,IF(IF((S200&gt;0)*(IF(T200="",-1,T200)=0)*(1-(IF(T200="",-1,T200)&gt;=1)*(IF(T200="",-1,T200)&lt;=3)),IF(C200="peso_corporal",IF(ISNUMBER(E200),E200,0)+R200,R200)*S200*1000+R200,0)=Y200,5,IF(IF((P200&gt;0)*(IF(Q200="",-1,Q200)=0)*(1-(IF(Q200="",-1,Q200)&gt;=1)*(IF(Q200="",-1,Q200)&lt;=3)),IF(C200="peso_corporal",IF(ISNUMBER(E200),E200,0)+O200,O200)*P200*1000+O200,0)=Y200,4,IF(IF((M200&gt;0)*(IF(N200="",-1,N200)=0)*(1-(IF(N200="",-1,N200)&gt;=1)*(IF(N200="",-1,N200)&lt;=3)),IF(C200="peso_corporal",IF(ISNUMBER(E200),E200,0)+L200,L200)*M200*1000+L200,0)=Y200,3,IF(IF((J200&gt;0)*(IF(K200="",-1,K200)=0)*(1-(IF(K200="",-1,K200)&gt;=1)*(IF(K200="",-1,K200)&lt;=3)),IF(C200="peso_corporal",IF(ISNUMBER(E200),E200,0)+I200,I200)*J200*1000+I200,0)=Y200,2,IF(IF((G200&gt;0)*(IF(H200="",-1,H200)=0)*(1-(IF(H200="",-1,H200)&gt;=1)*(IF(H200="",-1,H200)&lt;=3)),IF(C200="peso_corporal",IF(ISNUMBER(E200),E200,0)+F200,F200)*G200*1000+F200,0)=Y200,1,0))))))</f>
        <v>0</v>
      </c>
      <c r="AA200" s="69">
        <f>MAX(IF((G200&gt;=6)*(1-(IF(H200="",-1,H200)&gt;=1)*(IF(H200="",-1,H200)&lt;=3))*(1-(IF(H200="",-1,H200)=0)),IF(C200="peso_corporal",IF(ISNUMBER(E200),E200,0)+F200,F200)*(30+G200)*100+F200,0),IF((J200&gt;=6)*(1-(IF(K200="",-1,K200)&gt;=1)*(IF(K200="",-1,K200)&lt;=3))*(1-(IF(K200="",-1,K200)=0)),IF(C200="peso_corporal",IF(ISNUMBER(E200),E200,0)+I200,I200)*(30+J200)*100+I200,0),IF((M200&gt;=6)*(1-(IF(N200="",-1,N200)&gt;=1)*(IF(N200="",-1,N200)&lt;=3))*(1-(IF(N200="",-1,N200)=0)),IF(C200="peso_corporal",IF(ISNUMBER(E200),E200,0)+L200,L200)*(30+M200)*100+L200,0),IF((P200&gt;=6)*(1-(IF(Q200="",-1,Q200)&gt;=1)*(IF(Q200="",-1,Q200)&lt;=3))*(1-(IF(Q200="",-1,Q200)=0)),IF(C200="peso_corporal",IF(ISNUMBER(E200),E200,0)+O200,O200)*(30+P200)*100+O200,0),IF((S200&gt;=6)*(1-(IF(T200="",-1,T200)&gt;=1)*(IF(T200="",-1,T200)&lt;=3))*(1-(IF(T200="",-1,T200)=0)),IF(C200="peso_corporal",IF(ISNUMBER(E200),E200,0)+R200,R200)*(30+S200)*100+R200,0))</f>
        <v>0</v>
      </c>
      <c r="AB200" s="69">
        <f>IF(AA200=0,0,IF(IF((S200&gt;=6)*(1-(IF(T200="",-1,T200)&gt;=1)*(IF(T200="",-1,T200)&lt;=3))*(1-(IF(T200="",-1,T200)=0)),IF(C200="peso_corporal",IF(ISNUMBER(E200),E200,0)+R200,R200)*(30+S200)*100+R200,0)=AA200,5,IF(IF((P200&gt;=6)*(1-(IF(Q200="",-1,Q200)&gt;=1)*(IF(Q200="",-1,Q200)&lt;=3))*(1-(IF(Q200="",-1,Q200)=0)),IF(C200="peso_corporal",IF(ISNUMBER(E200),E200,0)+O200,O200)*(30+P200)*100+O200,0)=AA200,4,IF(IF((M200&gt;=6)*(1-(IF(N200="",-1,N200)&gt;=1)*(IF(N200="",-1,N200)&lt;=3))*(1-(IF(N200="",-1,N200)=0)),IF(C200="peso_corporal",IF(ISNUMBER(E200),E200,0)+L200,L200)*(30+M200)*100+L200,0)=AA200,3,IF(IF((J200&gt;=6)*(1-(IF(K200="",-1,K200)&gt;=1)*(IF(K200="",-1,K200)&lt;=3))*(1-(IF(K200="",-1,K200)=0)),IF(C200="peso_corporal",IF(ISNUMBER(E200),E200,0)+I200,I200)*(30+J200)*100+I200,0)=AA200,2,IF(IF((G200&gt;=6)*(1-(IF(H200="",-1,H200)&gt;=1)*(IF(H200="",-1,H200)&lt;=3))*(1-(IF(H200="",-1,H200)=0)),IF(C200="peso_corporal",IF(ISNUMBER(E200),E200,0)+F200,F200)*(30+G200)*100+F200,0)=AA200,1,0))))))</f>
        <v>0</v>
      </c>
      <c r="AC200" s="69" t="str">
        <f>IF(X200&gt;0,"A"&amp;X200,IF(Z200&gt;0,"B"&amp;Z200,IF(AB200&gt;0,"C"&amp;AB200,"")))</f>
        <v/>
      </c>
    </row>
    <row r="201" spans="1:29" ht="6"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69"/>
      <c r="X201" s="69"/>
      <c r="Y201" s="69"/>
      <c r="Z201" s="69"/>
      <c r="AA201" s="69"/>
      <c r="AB201" s="69"/>
      <c r="AC201" s="69"/>
    </row>
    <row r="202" spans="1:29" ht="18" customHeight="1">
      <c r="A202" s="85" t="s">
        <v>74</v>
      </c>
      <c r="B202" s="73"/>
      <c r="C202" s="73"/>
      <c r="D202" s="73"/>
      <c r="E202" s="73"/>
      <c r="F202" s="73"/>
      <c r="G202" s="73"/>
      <c r="H202" s="73"/>
      <c r="I202" s="73"/>
      <c r="J202" s="73"/>
      <c r="K202" s="73"/>
      <c r="L202" s="73"/>
      <c r="M202" s="73"/>
      <c r="N202" s="73"/>
      <c r="O202" s="73"/>
      <c r="P202" s="73"/>
      <c r="Q202" s="73"/>
      <c r="R202" s="73"/>
      <c r="S202" s="73"/>
      <c r="T202" s="73"/>
      <c r="U202" s="73"/>
      <c r="V202" s="73"/>
      <c r="W202" s="69"/>
      <c r="X202" s="69"/>
      <c r="Y202" s="69"/>
      <c r="Z202" s="69"/>
      <c r="AA202" s="69"/>
      <c r="AB202" s="69"/>
      <c r="AC202" s="69"/>
    </row>
    <row r="203" spans="1:29" ht="15" customHeight="1">
      <c r="A203" s="75" t="s">
        <v>88</v>
      </c>
      <c r="B203" s="73"/>
      <c r="C203" s="73"/>
      <c r="D203" s="73"/>
      <c r="E203" s="73"/>
      <c r="F203" s="73"/>
      <c r="G203" s="73"/>
      <c r="H203" s="73"/>
      <c r="I203" s="73"/>
      <c r="J203" s="73"/>
      <c r="K203" s="73"/>
      <c r="L203" s="73"/>
      <c r="M203" s="73"/>
      <c r="N203" s="73"/>
      <c r="O203" s="73"/>
      <c r="P203" s="73"/>
      <c r="Q203" s="73"/>
      <c r="R203" s="73"/>
      <c r="S203" s="73"/>
      <c r="T203" s="73"/>
      <c r="U203" s="73"/>
      <c r="V203" s="73"/>
      <c r="W203" s="69"/>
      <c r="X203" s="69"/>
      <c r="Y203" s="69"/>
      <c r="Z203" s="69"/>
      <c r="AA203" s="69"/>
      <c r="AB203" s="69"/>
      <c r="AC203" s="69"/>
    </row>
    <row r="204" spans="1:29" ht="11.1" customHeight="1">
      <c r="A204" s="76" t="s">
        <v>89</v>
      </c>
      <c r="B204" s="73"/>
      <c r="C204" s="73"/>
      <c r="D204" s="73"/>
      <c r="E204" s="73"/>
      <c r="F204" s="73"/>
      <c r="G204" s="73"/>
      <c r="H204" s="73"/>
      <c r="I204" s="73"/>
      <c r="J204" s="73"/>
      <c r="K204" s="73"/>
      <c r="L204" s="73"/>
      <c r="M204" s="73"/>
      <c r="N204" s="73"/>
      <c r="O204" s="73"/>
      <c r="P204" s="73"/>
      <c r="Q204" s="73"/>
      <c r="R204" s="73"/>
      <c r="S204" s="73"/>
      <c r="T204" s="73"/>
      <c r="U204" s="73"/>
      <c r="V204" s="73"/>
      <c r="W204" s="69"/>
      <c r="X204" s="69"/>
      <c r="Y204" s="69"/>
      <c r="Z204" s="69"/>
      <c r="AA204" s="69"/>
      <c r="AB204" s="69"/>
      <c r="AC204" s="69"/>
    </row>
    <row r="205" spans="1:29" ht="20.100000000000001" customHeight="1">
      <c r="A205" s="14" t="s">
        <v>92</v>
      </c>
      <c r="B205" s="15" t="s">
        <v>108</v>
      </c>
      <c r="C205" s="16" t="str">
        <f>IFERROR(INDEX(EJERCICIOS!$D$3:$D$75,MATCH(A205&amp;"|"&amp;B205,EJERCICIOS!$G$3:$G$75,0)),"--")</f>
        <v>polea</v>
      </c>
      <c r="D205" s="17">
        <v>3</v>
      </c>
      <c r="E205" s="18">
        <f>IFERROR(LOOKUP(2,1/(MEDIDAS_Y_PESO!$B$3:$B$11&lt;&gt;""),MEDIDAS_Y_PESO!$B$3:$B$11),"--")</f>
        <v>80</v>
      </c>
      <c r="F205" s="19"/>
      <c r="G205" s="20"/>
      <c r="H205" s="21"/>
      <c r="I205" s="19"/>
      <c r="J205" s="20"/>
      <c r="K205" s="21"/>
      <c r="L205" s="19"/>
      <c r="M205" s="20"/>
      <c r="N205" s="21"/>
      <c r="O205" s="19"/>
      <c r="P205" s="20"/>
      <c r="Q205" s="21"/>
      <c r="R205" s="19"/>
      <c r="S205" s="20"/>
      <c r="T205" s="21"/>
      <c r="U205" s="22" t="str">
        <f>IFERROR(IF(IF(X205&gt;0,X205,IF(Z205&gt;0,Z205,IF(AB205&gt;0,AB205,0)))=0,"--",ROUND(CHOOSE(IF(X205&gt;0,X205,IF(Z205&gt;0,Z205,IF(AB205&gt;0,AB205,0))),IF(C205="peso_corporal",IF(ISNUMBER(E205),E205,0)+F205,F205)*(1+G205/30),IF(C205="peso_corporal",IF(ISNUMBER(E205),E205,0)+I205,I205)*(1+J205/30),IF(C205="peso_corporal",IF(ISNUMBER(E205),E205,0)+L205,L205)*(1+M205/30),IF(C205="peso_corporal",IF(ISNUMBER(E205),E205,0)+O205,O205)*(1+P205/30),IF(C205="peso_corporal",IF(ISNUMBER(E205),E205,0)+R205,R205)*(1+S205/30)),1)),"--")</f>
        <v>--</v>
      </c>
      <c r="V205" s="23" t="str">
        <f>IF(SUGERENCIAS!N558="SIN","Sin datos anteriores",IF(SUGERENCIAS!N558="SUBIR_F","^ SUBIR FUERTE | Kg:"&amp;ROUND(SUGERENCIAS!K558,1)&amp;" R:"&amp;ROUND(SUGERENCIAS!L558,0)&amp;" RIR:"&amp;ROUND(SUGERENCIAS!M558,0),IF(SUGERENCIAS!N558="SUBIR_E","^ SUBIR (Est.) | Kg:"&amp;ROUND(SUGERENCIAS!K558,1)&amp;" R:"&amp;ROUND(SUGERENCIAS!L558,0)&amp;" RIR:"&amp;ROUND(SUGERENCIAS!M558,0),IF(SUGERENCIAS!N558="SUBIR","^ SUBIR | Kg:"&amp;ROUND(SUGERENCIAS!K558,1)&amp;" R:"&amp;ROUND(SUGERENCIAS!L558,0)&amp;" RIR:"&amp;ROUND(SUGERENCIAS!M558,0),IF(SUGERENCIAS!N558="BAJAR","v BAJAR | Kg:"&amp;ROUND(SUGERENCIAS!K558,1)&amp;" R:"&amp;ROUND(SUGERENCIAS!L558,0)&amp;" RIR:"&amp;ROUND(SUGERENCIAS!M558,0),"= MANT | Kg:"&amp;ROUND(SUGERENCIAS!K558,1)&amp;" R:"&amp;ROUND(SUGERENCIAS!L558,0)&amp;" RIR:"&amp;ROUND(SUGERENCIAS!M558,0))))))</f>
        <v>Sin datos anteriores</v>
      </c>
      <c r="W205" s="69">
        <f>MAX(IF((G205&gt;0)*(IF(H205="",-1,H205)&gt;=0)*(IF(H205="",-1,H205)&lt;=1),IF(C205="peso_corporal",IF(ISNUMBER(E205),E205,0)+F205,F205)*G205*1000+F205,0),IF((J205&gt;0)*(IF(K205="",-1,K205)&gt;=0)*(IF(K205="",-1,K205)&lt;=1),IF(C205="peso_corporal",IF(ISNUMBER(E205),E205,0)+I205,I205)*J205*1000+I205,0),IF((M205&gt;0)*(IF(N205="",-1,N205)&gt;=0)*(IF(N205="",-1,N205)&lt;=1),IF(C205="peso_corporal",IF(ISNUMBER(E205),E205,0)+L205,L205)*M205*1000+L205,0),IF((P205&gt;0)*(IF(Q205="",-1,Q205)&gt;=0)*(IF(Q205="",-1,Q205)&lt;=1),IF(C205="peso_corporal",IF(ISNUMBER(E205),E205,0)+O205,O205)*P205*1000+O205,0),IF((S205&gt;0)*(IF(T205="",-1,T205)&gt;=0)*(IF(T205="",-1,T205)&lt;=1),IF(C205="peso_corporal",IF(ISNUMBER(E205),E205,0)+R205,R205)*S205*1000+R205,0))</f>
        <v>0</v>
      </c>
      <c r="X205" s="69">
        <f>IF(W205=0,0,IF(IF((S205&gt;0)*(IF(T205="",-1,T205)&gt;=0)*(IF(T205="",-1,T205)&lt;=1),IF(C205="peso_corporal",IF(ISNUMBER(E205),E205,0)+R205,R205)*S205*1000+R205,0)=W205,5,IF(IF((P205&gt;0)*(IF(Q205="",-1,Q205)&gt;=0)*(IF(Q205="",-1,Q205)&lt;=1),IF(C205="peso_corporal",IF(ISNUMBER(E205),E205,0)+O205,O205)*P205*1000+O205,0)=W205,4,IF(IF((M205&gt;0)*(IF(N205="",-1,N205)&gt;=0)*(IF(N205="",-1,N205)&lt;=1),IF(C205="peso_corporal",IF(ISNUMBER(E205),E205,0)+L205,L205)*M205*1000+L205,0)=W205,3,IF(IF((J205&gt;0)*(IF(K205="",-1,K205)&gt;=0)*(IF(K205="",-1,K205)&lt;=1),IF(C205="peso_corporal",IF(ISNUMBER(E205),E205,0)+I205,I205)*J205*1000+I205,0)=W205,2,IF(IF((G205&gt;0)*(IF(H205="",-1,H205)&gt;=0)*(IF(H205="",-1,H205)&lt;=1),IF(C205="peso_corporal",IF(ISNUMBER(E205),E205,0)+F205,F205)*G205*1000+F205,0)=W205,1,0))))))</f>
        <v>0</v>
      </c>
      <c r="Y205" s="69">
        <f>MAX(IF((G205&gt;0)*(IF(H205="",-1,H205)=0)*(1-(IF(H205="",-1,H205)&gt;=0)*(IF(H205="",-1,H205)&lt;=1)),IF(C205="peso_corporal",IF(ISNUMBER(E205),E205,0)+F205,F205)*G205*1000+F205,0),IF((J205&gt;0)*(IF(K205="",-1,K205)=0)*(1-(IF(K205="",-1,K205)&gt;=0)*(IF(K205="",-1,K205)&lt;=1)),IF(C205="peso_corporal",IF(ISNUMBER(E205),E205,0)+I205,I205)*J205*1000+I205,0),IF((M205&gt;0)*(IF(N205="",-1,N205)=0)*(1-(IF(N205="",-1,N205)&gt;=0)*(IF(N205="",-1,N205)&lt;=1)),IF(C205="peso_corporal",IF(ISNUMBER(E205),E205,0)+L205,L205)*M205*1000+L205,0),IF((P205&gt;0)*(IF(Q205="",-1,Q205)=0)*(1-(IF(Q205="",-1,Q205)&gt;=0)*(IF(Q205="",-1,Q205)&lt;=1)),IF(C205="peso_corporal",IF(ISNUMBER(E205),E205,0)+O205,O205)*P205*1000+O205,0),IF((S205&gt;0)*(IF(T205="",-1,T205)=0)*(1-(IF(T205="",-1,T205)&gt;=0)*(IF(T205="",-1,T205)&lt;=1)),IF(C205="peso_corporal",IF(ISNUMBER(E205),E205,0)+R205,R205)*S205*1000+R205,0))</f>
        <v>0</v>
      </c>
      <c r="Z205" s="69">
        <f>IF(Y205=0,0,IF(IF((S205&gt;0)*(IF(T205="",-1,T205)=0)*(1-(IF(T205="",-1,T205)&gt;=0)*(IF(T205="",-1,T205)&lt;=1)),IF(C205="peso_corporal",IF(ISNUMBER(E205),E205,0)+R205,R205)*S205*1000+R205,0)=Y205,5,IF(IF((P205&gt;0)*(IF(Q205="",-1,Q205)=0)*(1-(IF(Q205="",-1,Q205)&gt;=0)*(IF(Q205="",-1,Q205)&lt;=1)),IF(C205="peso_corporal",IF(ISNUMBER(E205),E205,0)+O205,O205)*P205*1000+O205,0)=Y205,4,IF(IF((M205&gt;0)*(IF(N205="",-1,N205)=0)*(1-(IF(N205="",-1,N205)&gt;=0)*(IF(N205="",-1,N205)&lt;=1)),IF(C205="peso_corporal",IF(ISNUMBER(E205),E205,0)+L205,L205)*M205*1000+L205,0)=Y205,3,IF(IF((J205&gt;0)*(IF(K205="",-1,K205)=0)*(1-(IF(K205="",-1,K205)&gt;=0)*(IF(K205="",-1,K205)&lt;=1)),IF(C205="peso_corporal",IF(ISNUMBER(E205),E205,0)+I205,I205)*J205*1000+I205,0)=Y205,2,IF(IF((G205&gt;0)*(IF(H205="",-1,H205)=0)*(1-(IF(H205="",-1,H205)&gt;=0)*(IF(H205="",-1,H205)&lt;=1)),IF(C205="peso_corporal",IF(ISNUMBER(E205),E205,0)+F205,F205)*G205*1000+F205,0)=Y205,1,0))))))</f>
        <v>0</v>
      </c>
      <c r="AA205" s="69">
        <f>MAX(IF((G205&gt;=3)*(1-(IF(H205="",-1,H205)&gt;=0)*(IF(H205="",-1,H205)&lt;=1))*(1-(IF(H205="",-1,H205)=0)),IF(C205="peso_corporal",IF(ISNUMBER(E205),E205,0)+F205,F205)*(30+G205)*100+F205,0),IF((J205&gt;=3)*(1-(IF(K205="",-1,K205)&gt;=0)*(IF(K205="",-1,K205)&lt;=1))*(1-(IF(K205="",-1,K205)=0)),IF(C205="peso_corporal",IF(ISNUMBER(E205),E205,0)+I205,I205)*(30+J205)*100+I205,0),IF((M205&gt;=3)*(1-(IF(N205="",-1,N205)&gt;=0)*(IF(N205="",-1,N205)&lt;=1))*(1-(IF(N205="",-1,N205)=0)),IF(C205="peso_corporal",IF(ISNUMBER(E205),E205,0)+L205,L205)*(30+M205)*100+L205,0),IF((P205&gt;=3)*(1-(IF(Q205="",-1,Q205)&gt;=0)*(IF(Q205="",-1,Q205)&lt;=1))*(1-(IF(Q205="",-1,Q205)=0)),IF(C205="peso_corporal",IF(ISNUMBER(E205),E205,0)+O205,O205)*(30+P205)*100+O205,0),IF((S205&gt;=3)*(1-(IF(T205="",-1,T205)&gt;=0)*(IF(T205="",-1,T205)&lt;=1))*(1-(IF(T205="",-1,T205)=0)),IF(C205="peso_corporal",IF(ISNUMBER(E205),E205,0)+R205,R205)*(30+S205)*100+R205,0))</f>
        <v>0</v>
      </c>
      <c r="AB205" s="69">
        <f>IF(AA205=0,0,IF(IF((S205&gt;=3)*(1-(IF(T205="",-1,T205)&gt;=0)*(IF(T205="",-1,T205)&lt;=1))*(1-(IF(T205="",-1,T205)=0)),IF(C205="peso_corporal",IF(ISNUMBER(E205),E205,0)+R205,R205)*(30+S205)*100+R205,0)=AA205,5,IF(IF((P205&gt;=3)*(1-(IF(Q205="",-1,Q205)&gt;=0)*(IF(Q205="",-1,Q205)&lt;=1))*(1-(IF(Q205="",-1,Q205)=0)),IF(C205="peso_corporal",IF(ISNUMBER(E205),E205,0)+O205,O205)*(30+P205)*100+O205,0)=AA205,4,IF(IF((M205&gt;=3)*(1-(IF(N205="",-1,N205)&gt;=0)*(IF(N205="",-1,N205)&lt;=1))*(1-(IF(N205="",-1,N205)=0)),IF(C205="peso_corporal",IF(ISNUMBER(E205),E205,0)+L205,L205)*(30+M205)*100+L205,0)=AA205,3,IF(IF((J205&gt;=3)*(1-(IF(K205="",-1,K205)&gt;=0)*(IF(K205="",-1,K205)&lt;=1))*(1-(IF(K205="",-1,K205)=0)),IF(C205="peso_corporal",IF(ISNUMBER(E205),E205,0)+I205,I205)*(30+J205)*100+I205,0)=AA205,2,IF(IF((G205&gt;=3)*(1-(IF(H205="",-1,H205)&gt;=0)*(IF(H205="",-1,H205)&lt;=1))*(1-(IF(H205="",-1,H205)=0)),IF(C205="peso_corporal",IF(ISNUMBER(E205),E205,0)+F205,F205)*(30+G205)*100+F205,0)=AA205,1,0))))))</f>
        <v>0</v>
      </c>
      <c r="AC205" s="69" t="str">
        <f>IF(X205&gt;0,"A"&amp;X205,IF(Z205&gt;0,"B"&amp;Z205,IF(AB205&gt;0,"C"&amp;AB205,"")))</f>
        <v/>
      </c>
    </row>
    <row r="206" spans="1:29" ht="11.1" customHeight="1">
      <c r="A206" s="84" t="s">
        <v>94</v>
      </c>
      <c r="B206" s="73"/>
      <c r="C206" s="73"/>
      <c r="D206" s="73"/>
      <c r="E206" s="73"/>
      <c r="F206" s="73"/>
      <c r="G206" s="73"/>
      <c r="H206" s="73"/>
      <c r="I206" s="73"/>
      <c r="J206" s="73"/>
      <c r="K206" s="73"/>
      <c r="L206" s="73"/>
      <c r="M206" s="73"/>
      <c r="N206" s="73"/>
      <c r="O206" s="73"/>
      <c r="P206" s="73"/>
      <c r="Q206" s="73"/>
      <c r="R206" s="73"/>
      <c r="S206" s="73"/>
      <c r="T206" s="73"/>
      <c r="U206" s="73"/>
      <c r="V206" s="73"/>
      <c r="W206" s="69"/>
      <c r="X206" s="69"/>
      <c r="Y206" s="69"/>
      <c r="Z206" s="69"/>
      <c r="AA206" s="69"/>
      <c r="AB206" s="69"/>
      <c r="AC206" s="69"/>
    </row>
    <row r="207" spans="1:29" ht="20.100000000000001" customHeight="1">
      <c r="A207" s="14" t="s">
        <v>95</v>
      </c>
      <c r="B207" s="15" t="s">
        <v>172</v>
      </c>
      <c r="C207" s="16" t="str">
        <f>IFERROR(INDEX(EJERCICIOS!$D$3:$D$75,MATCH(A207&amp;"|"&amp;B207,EJERCICIOS!$G$3:$G$75,0)),"--")</f>
        <v>polea</v>
      </c>
      <c r="D207" s="17">
        <v>3</v>
      </c>
      <c r="E207" s="18">
        <f>IFERROR(LOOKUP(2,1/(MEDIDAS_Y_PESO!$B$3:$B$11&lt;&gt;""),MEDIDAS_Y_PESO!$B$3:$B$11),"--")</f>
        <v>80</v>
      </c>
      <c r="F207" s="19"/>
      <c r="G207" s="20"/>
      <c r="H207" s="21"/>
      <c r="I207" s="19"/>
      <c r="J207" s="20"/>
      <c r="K207" s="21"/>
      <c r="L207" s="19"/>
      <c r="M207" s="20"/>
      <c r="N207" s="21"/>
      <c r="O207" s="19"/>
      <c r="P207" s="20"/>
      <c r="Q207" s="21"/>
      <c r="R207" s="19"/>
      <c r="S207" s="20"/>
      <c r="T207" s="21"/>
      <c r="U207" s="22" t="str">
        <f>IFERROR(IF(IF(X207&gt;0,X207,IF(Z207&gt;0,Z207,IF(AB207&gt;0,AB207,0)))=0,"--",ROUND(CHOOSE(IF(X207&gt;0,X207,IF(Z207&gt;0,Z207,IF(AB207&gt;0,AB207,0))),IF(C207="peso_corporal",IF(ISNUMBER(E207),E207,0)+F207,F207)*(1+G207/30),IF(C207="peso_corporal",IF(ISNUMBER(E207),E207,0)+I207,I207)*(1+J207/30),IF(C207="peso_corporal",IF(ISNUMBER(E207),E207,0)+L207,L207)*(1+M207/30),IF(C207="peso_corporal",IF(ISNUMBER(E207),E207,0)+O207,O207)*(1+P207/30),IF(C207="peso_corporal",IF(ISNUMBER(E207),E207,0)+R207,R207)*(1+S207/30)),1)),"--")</f>
        <v>--</v>
      </c>
      <c r="V207" s="23" t="str">
        <f>IF(SUGERENCIAS!N559="SIN","Sin datos anteriores",IF(SUGERENCIAS!N559="SUBIR_F","^ SUBIR FUERTE | Kg:"&amp;ROUND(SUGERENCIAS!K559,1)&amp;" R:"&amp;ROUND(SUGERENCIAS!L559,0)&amp;" RIR:"&amp;ROUND(SUGERENCIAS!M559,0),IF(SUGERENCIAS!N559="SUBIR_E","^ SUBIR (Est.) | Kg:"&amp;ROUND(SUGERENCIAS!K559,1)&amp;" R:"&amp;ROUND(SUGERENCIAS!L559,0)&amp;" RIR:"&amp;ROUND(SUGERENCIAS!M559,0),IF(SUGERENCIAS!N559="SUBIR","^ SUBIR | Kg:"&amp;ROUND(SUGERENCIAS!K559,1)&amp;" R:"&amp;ROUND(SUGERENCIAS!L559,0)&amp;" RIR:"&amp;ROUND(SUGERENCIAS!M559,0),IF(SUGERENCIAS!N559="BAJAR","v BAJAR | Kg:"&amp;ROUND(SUGERENCIAS!K559,1)&amp;" R:"&amp;ROUND(SUGERENCIAS!L559,0)&amp;" RIR:"&amp;ROUND(SUGERENCIAS!M559,0),"= MANT | Kg:"&amp;ROUND(SUGERENCIAS!K559,1)&amp;" R:"&amp;ROUND(SUGERENCIAS!L559,0)&amp;" RIR:"&amp;ROUND(SUGERENCIAS!M559,0))))))</f>
        <v>Sin datos anteriores</v>
      </c>
      <c r="W207" s="69">
        <f>MAX(IF((G207&gt;0)*(IF(H207="",-1,H207)&gt;=0)*(IF(H207="",-1,H207)&lt;=1),IF(C207="peso_corporal",IF(ISNUMBER(E207),E207,0)+F207,F207)*G207*1000+F207,0),IF((J207&gt;0)*(IF(K207="",-1,K207)&gt;=0)*(IF(K207="",-1,K207)&lt;=1),IF(C207="peso_corporal",IF(ISNUMBER(E207),E207,0)+I207,I207)*J207*1000+I207,0),IF((M207&gt;0)*(IF(N207="",-1,N207)&gt;=0)*(IF(N207="",-1,N207)&lt;=1),IF(C207="peso_corporal",IF(ISNUMBER(E207),E207,0)+L207,L207)*M207*1000+L207,0),IF((P207&gt;0)*(IF(Q207="",-1,Q207)&gt;=0)*(IF(Q207="",-1,Q207)&lt;=1),IF(C207="peso_corporal",IF(ISNUMBER(E207),E207,0)+O207,O207)*P207*1000+O207,0),IF((S207&gt;0)*(IF(T207="",-1,T207)&gt;=0)*(IF(T207="",-1,T207)&lt;=1),IF(C207="peso_corporal",IF(ISNUMBER(E207),E207,0)+R207,R207)*S207*1000+R207,0))</f>
        <v>0</v>
      </c>
      <c r="X207" s="69">
        <f>IF(W207=0,0,IF(IF((S207&gt;0)*(IF(T207="",-1,T207)&gt;=0)*(IF(T207="",-1,T207)&lt;=1),IF(C207="peso_corporal",IF(ISNUMBER(E207),E207,0)+R207,R207)*S207*1000+R207,0)=W207,5,IF(IF((P207&gt;0)*(IF(Q207="",-1,Q207)&gt;=0)*(IF(Q207="",-1,Q207)&lt;=1),IF(C207="peso_corporal",IF(ISNUMBER(E207),E207,0)+O207,O207)*P207*1000+O207,0)=W207,4,IF(IF((M207&gt;0)*(IF(N207="",-1,N207)&gt;=0)*(IF(N207="",-1,N207)&lt;=1),IF(C207="peso_corporal",IF(ISNUMBER(E207),E207,0)+L207,L207)*M207*1000+L207,0)=W207,3,IF(IF((J207&gt;0)*(IF(K207="",-1,K207)&gt;=0)*(IF(K207="",-1,K207)&lt;=1),IF(C207="peso_corporal",IF(ISNUMBER(E207),E207,0)+I207,I207)*J207*1000+I207,0)=W207,2,IF(IF((G207&gt;0)*(IF(H207="",-1,H207)&gt;=0)*(IF(H207="",-1,H207)&lt;=1),IF(C207="peso_corporal",IF(ISNUMBER(E207),E207,0)+F207,F207)*G207*1000+F207,0)=W207,1,0))))))</f>
        <v>0</v>
      </c>
      <c r="Y207" s="69">
        <f>MAX(IF((G207&gt;0)*(IF(H207="",-1,H207)=0)*(1-(IF(H207="",-1,H207)&gt;=0)*(IF(H207="",-1,H207)&lt;=1)),IF(C207="peso_corporal",IF(ISNUMBER(E207),E207,0)+F207,F207)*G207*1000+F207,0),IF((J207&gt;0)*(IF(K207="",-1,K207)=0)*(1-(IF(K207="",-1,K207)&gt;=0)*(IF(K207="",-1,K207)&lt;=1)),IF(C207="peso_corporal",IF(ISNUMBER(E207),E207,0)+I207,I207)*J207*1000+I207,0),IF((M207&gt;0)*(IF(N207="",-1,N207)=0)*(1-(IF(N207="",-1,N207)&gt;=0)*(IF(N207="",-1,N207)&lt;=1)),IF(C207="peso_corporal",IF(ISNUMBER(E207),E207,0)+L207,L207)*M207*1000+L207,0),IF((P207&gt;0)*(IF(Q207="",-1,Q207)=0)*(1-(IF(Q207="",-1,Q207)&gt;=0)*(IF(Q207="",-1,Q207)&lt;=1)),IF(C207="peso_corporal",IF(ISNUMBER(E207),E207,0)+O207,O207)*P207*1000+O207,0),IF((S207&gt;0)*(IF(T207="",-1,T207)=0)*(1-(IF(T207="",-1,T207)&gt;=0)*(IF(T207="",-1,T207)&lt;=1)),IF(C207="peso_corporal",IF(ISNUMBER(E207),E207,0)+R207,R207)*S207*1000+R207,0))</f>
        <v>0</v>
      </c>
      <c r="Z207" s="69">
        <f>IF(Y207=0,0,IF(IF((S207&gt;0)*(IF(T207="",-1,T207)=0)*(1-(IF(T207="",-1,T207)&gt;=0)*(IF(T207="",-1,T207)&lt;=1)),IF(C207="peso_corporal",IF(ISNUMBER(E207),E207,0)+R207,R207)*S207*1000+R207,0)=Y207,5,IF(IF((P207&gt;0)*(IF(Q207="",-1,Q207)=0)*(1-(IF(Q207="",-1,Q207)&gt;=0)*(IF(Q207="",-1,Q207)&lt;=1)),IF(C207="peso_corporal",IF(ISNUMBER(E207),E207,0)+O207,O207)*P207*1000+O207,0)=Y207,4,IF(IF((M207&gt;0)*(IF(N207="",-1,N207)=0)*(1-(IF(N207="",-1,N207)&gt;=0)*(IF(N207="",-1,N207)&lt;=1)),IF(C207="peso_corporal",IF(ISNUMBER(E207),E207,0)+L207,L207)*M207*1000+L207,0)=Y207,3,IF(IF((J207&gt;0)*(IF(K207="",-1,K207)=0)*(1-(IF(K207="",-1,K207)&gt;=0)*(IF(K207="",-1,K207)&lt;=1)),IF(C207="peso_corporal",IF(ISNUMBER(E207),E207,0)+I207,I207)*J207*1000+I207,0)=Y207,2,IF(IF((G207&gt;0)*(IF(H207="",-1,H207)=0)*(1-(IF(H207="",-1,H207)&gt;=0)*(IF(H207="",-1,H207)&lt;=1)),IF(C207="peso_corporal",IF(ISNUMBER(E207),E207,0)+F207,F207)*G207*1000+F207,0)=Y207,1,0))))))</f>
        <v>0</v>
      </c>
      <c r="AA207" s="69">
        <f>MAX(IF((G207&gt;=3)*(1-(IF(H207="",-1,H207)&gt;=0)*(IF(H207="",-1,H207)&lt;=1))*(1-(IF(H207="",-1,H207)=0)),IF(C207="peso_corporal",IF(ISNUMBER(E207),E207,0)+F207,F207)*(30+G207)*100+F207,0),IF((J207&gt;=3)*(1-(IF(K207="",-1,K207)&gt;=0)*(IF(K207="",-1,K207)&lt;=1))*(1-(IF(K207="",-1,K207)=0)),IF(C207="peso_corporal",IF(ISNUMBER(E207),E207,0)+I207,I207)*(30+J207)*100+I207,0),IF((M207&gt;=3)*(1-(IF(N207="",-1,N207)&gt;=0)*(IF(N207="",-1,N207)&lt;=1))*(1-(IF(N207="",-1,N207)=0)),IF(C207="peso_corporal",IF(ISNUMBER(E207),E207,0)+L207,L207)*(30+M207)*100+L207,0),IF((P207&gt;=3)*(1-(IF(Q207="",-1,Q207)&gt;=0)*(IF(Q207="",-1,Q207)&lt;=1))*(1-(IF(Q207="",-1,Q207)=0)),IF(C207="peso_corporal",IF(ISNUMBER(E207),E207,0)+O207,O207)*(30+P207)*100+O207,0),IF((S207&gt;=3)*(1-(IF(T207="",-1,T207)&gt;=0)*(IF(T207="",-1,T207)&lt;=1))*(1-(IF(T207="",-1,T207)=0)),IF(C207="peso_corporal",IF(ISNUMBER(E207),E207,0)+R207,R207)*(30+S207)*100+R207,0))</f>
        <v>0</v>
      </c>
      <c r="AB207" s="69">
        <f>IF(AA207=0,0,IF(IF((S207&gt;=3)*(1-(IF(T207="",-1,T207)&gt;=0)*(IF(T207="",-1,T207)&lt;=1))*(1-(IF(T207="",-1,T207)=0)),IF(C207="peso_corporal",IF(ISNUMBER(E207),E207,0)+R207,R207)*(30+S207)*100+R207,0)=AA207,5,IF(IF((P207&gt;=3)*(1-(IF(Q207="",-1,Q207)&gt;=0)*(IF(Q207="",-1,Q207)&lt;=1))*(1-(IF(Q207="",-1,Q207)=0)),IF(C207="peso_corporal",IF(ISNUMBER(E207),E207,0)+O207,O207)*(30+P207)*100+O207,0)=AA207,4,IF(IF((M207&gt;=3)*(1-(IF(N207="",-1,N207)&gt;=0)*(IF(N207="",-1,N207)&lt;=1))*(1-(IF(N207="",-1,N207)=0)),IF(C207="peso_corporal",IF(ISNUMBER(E207),E207,0)+L207,L207)*(30+M207)*100+L207,0)=AA207,3,IF(IF((J207&gt;=3)*(1-(IF(K207="",-1,K207)&gt;=0)*(IF(K207="",-1,K207)&lt;=1))*(1-(IF(K207="",-1,K207)=0)),IF(C207="peso_corporal",IF(ISNUMBER(E207),E207,0)+I207,I207)*(30+J207)*100+I207,0)=AA207,2,IF(IF((G207&gt;=3)*(1-(IF(H207="",-1,H207)&gt;=0)*(IF(H207="",-1,H207)&lt;=1))*(1-(IF(H207="",-1,H207)=0)),IF(C207="peso_corporal",IF(ISNUMBER(E207),E207,0)+F207,F207)*(30+G207)*100+F207,0)=AA207,1,0))))))</f>
        <v>0</v>
      </c>
      <c r="AC207" s="69" t="str">
        <f>IF(X207&gt;0,"A"&amp;X207,IF(Z207&gt;0,"B"&amp;Z207,IF(AB207&gt;0,"C"&amp;AB207,"")))</f>
        <v/>
      </c>
    </row>
    <row r="208" spans="1:29" ht="20.100000000000001" customHeight="1">
      <c r="A208" s="14" t="s">
        <v>95</v>
      </c>
      <c r="B208" s="15" t="s">
        <v>173</v>
      </c>
      <c r="C208" s="16" t="str">
        <f>IFERROR(INDEX(EJERCICIOS!$D$3:$D$75,MATCH(A208&amp;"|"&amp;B208,EJERCICIOS!$G$3:$G$75,0)),"--")</f>
        <v>polea</v>
      </c>
      <c r="D208" s="17">
        <v>3</v>
      </c>
      <c r="E208" s="18">
        <f>IFERROR(LOOKUP(2,1/(MEDIDAS_Y_PESO!$B$3:$B$11&lt;&gt;""),MEDIDAS_Y_PESO!$B$3:$B$11),"--")</f>
        <v>80</v>
      </c>
      <c r="F208" s="19"/>
      <c r="G208" s="20"/>
      <c r="H208" s="21"/>
      <c r="I208" s="19"/>
      <c r="J208" s="20"/>
      <c r="K208" s="21"/>
      <c r="L208" s="19"/>
      <c r="M208" s="20"/>
      <c r="N208" s="21"/>
      <c r="O208" s="19"/>
      <c r="P208" s="20"/>
      <c r="Q208" s="21"/>
      <c r="R208" s="19"/>
      <c r="S208" s="20"/>
      <c r="T208" s="21"/>
      <c r="U208" s="22" t="str">
        <f>IFERROR(IF(IF(X208&gt;0,X208,IF(Z208&gt;0,Z208,IF(AB208&gt;0,AB208,0)))=0,"--",ROUND(CHOOSE(IF(X208&gt;0,X208,IF(Z208&gt;0,Z208,IF(AB208&gt;0,AB208,0))),IF(C208="peso_corporal",IF(ISNUMBER(E208),E208,0)+F208,F208)*(1+G208/30),IF(C208="peso_corporal",IF(ISNUMBER(E208),E208,0)+I208,I208)*(1+J208/30),IF(C208="peso_corporal",IF(ISNUMBER(E208),E208,0)+L208,L208)*(1+M208/30),IF(C208="peso_corporal",IF(ISNUMBER(E208),E208,0)+O208,O208)*(1+P208/30),IF(C208="peso_corporal",IF(ISNUMBER(E208),E208,0)+R208,R208)*(1+S208/30)),1)),"--")</f>
        <v>--</v>
      </c>
      <c r="V208" s="23" t="str">
        <f>IF(SUGERENCIAS!N560="SIN","Sin datos anteriores",IF(SUGERENCIAS!N560="SUBIR_F","^ SUBIR FUERTE | Kg:"&amp;ROUND(SUGERENCIAS!K560,1)&amp;" R:"&amp;ROUND(SUGERENCIAS!L560,0)&amp;" RIR:"&amp;ROUND(SUGERENCIAS!M560,0),IF(SUGERENCIAS!N560="SUBIR_E","^ SUBIR (Est.) | Kg:"&amp;ROUND(SUGERENCIAS!K560,1)&amp;" R:"&amp;ROUND(SUGERENCIAS!L560,0)&amp;" RIR:"&amp;ROUND(SUGERENCIAS!M560,0),IF(SUGERENCIAS!N560="SUBIR","^ SUBIR | Kg:"&amp;ROUND(SUGERENCIAS!K560,1)&amp;" R:"&amp;ROUND(SUGERENCIAS!L560,0)&amp;" RIR:"&amp;ROUND(SUGERENCIAS!M560,0),IF(SUGERENCIAS!N560="BAJAR","v BAJAR | Kg:"&amp;ROUND(SUGERENCIAS!K560,1)&amp;" R:"&amp;ROUND(SUGERENCIAS!L560,0)&amp;" RIR:"&amp;ROUND(SUGERENCIAS!M560,0),"= MANT | Kg:"&amp;ROUND(SUGERENCIAS!K560,1)&amp;" R:"&amp;ROUND(SUGERENCIAS!L560,0)&amp;" RIR:"&amp;ROUND(SUGERENCIAS!M560,0))))))</f>
        <v>Sin datos anteriores</v>
      </c>
      <c r="W208" s="69">
        <f>MAX(IF((G208&gt;0)*(IF(H208="",-1,H208)&gt;=0)*(IF(H208="",-1,H208)&lt;=1),IF(C208="peso_corporal",IF(ISNUMBER(E208),E208,0)+F208,F208)*G208*1000+F208,0),IF((J208&gt;0)*(IF(K208="",-1,K208)&gt;=0)*(IF(K208="",-1,K208)&lt;=1),IF(C208="peso_corporal",IF(ISNUMBER(E208),E208,0)+I208,I208)*J208*1000+I208,0),IF((M208&gt;0)*(IF(N208="",-1,N208)&gt;=0)*(IF(N208="",-1,N208)&lt;=1),IF(C208="peso_corporal",IF(ISNUMBER(E208),E208,0)+L208,L208)*M208*1000+L208,0),IF((P208&gt;0)*(IF(Q208="",-1,Q208)&gt;=0)*(IF(Q208="",-1,Q208)&lt;=1),IF(C208="peso_corporal",IF(ISNUMBER(E208),E208,0)+O208,O208)*P208*1000+O208,0),IF((S208&gt;0)*(IF(T208="",-1,T208)&gt;=0)*(IF(T208="",-1,T208)&lt;=1),IF(C208="peso_corporal",IF(ISNUMBER(E208),E208,0)+R208,R208)*S208*1000+R208,0))</f>
        <v>0</v>
      </c>
      <c r="X208" s="69">
        <f>IF(W208=0,0,IF(IF((S208&gt;0)*(IF(T208="",-1,T208)&gt;=0)*(IF(T208="",-1,T208)&lt;=1),IF(C208="peso_corporal",IF(ISNUMBER(E208),E208,0)+R208,R208)*S208*1000+R208,0)=W208,5,IF(IF((P208&gt;0)*(IF(Q208="",-1,Q208)&gt;=0)*(IF(Q208="",-1,Q208)&lt;=1),IF(C208="peso_corporal",IF(ISNUMBER(E208),E208,0)+O208,O208)*P208*1000+O208,0)=W208,4,IF(IF((M208&gt;0)*(IF(N208="",-1,N208)&gt;=0)*(IF(N208="",-1,N208)&lt;=1),IF(C208="peso_corporal",IF(ISNUMBER(E208),E208,0)+L208,L208)*M208*1000+L208,0)=W208,3,IF(IF((J208&gt;0)*(IF(K208="",-1,K208)&gt;=0)*(IF(K208="",-1,K208)&lt;=1),IF(C208="peso_corporal",IF(ISNUMBER(E208),E208,0)+I208,I208)*J208*1000+I208,0)=W208,2,IF(IF((G208&gt;0)*(IF(H208="",-1,H208)&gt;=0)*(IF(H208="",-1,H208)&lt;=1),IF(C208="peso_corporal",IF(ISNUMBER(E208),E208,0)+F208,F208)*G208*1000+F208,0)=W208,1,0))))))</f>
        <v>0</v>
      </c>
      <c r="Y208" s="69">
        <f>MAX(IF((G208&gt;0)*(IF(H208="",-1,H208)=0)*(1-(IF(H208="",-1,H208)&gt;=0)*(IF(H208="",-1,H208)&lt;=1)),IF(C208="peso_corporal",IF(ISNUMBER(E208),E208,0)+F208,F208)*G208*1000+F208,0),IF((J208&gt;0)*(IF(K208="",-1,K208)=0)*(1-(IF(K208="",-1,K208)&gt;=0)*(IF(K208="",-1,K208)&lt;=1)),IF(C208="peso_corporal",IF(ISNUMBER(E208),E208,0)+I208,I208)*J208*1000+I208,0),IF((M208&gt;0)*(IF(N208="",-1,N208)=0)*(1-(IF(N208="",-1,N208)&gt;=0)*(IF(N208="",-1,N208)&lt;=1)),IF(C208="peso_corporal",IF(ISNUMBER(E208),E208,0)+L208,L208)*M208*1000+L208,0),IF((P208&gt;0)*(IF(Q208="",-1,Q208)=0)*(1-(IF(Q208="",-1,Q208)&gt;=0)*(IF(Q208="",-1,Q208)&lt;=1)),IF(C208="peso_corporal",IF(ISNUMBER(E208),E208,0)+O208,O208)*P208*1000+O208,0),IF((S208&gt;0)*(IF(T208="",-1,T208)=0)*(1-(IF(T208="",-1,T208)&gt;=0)*(IF(T208="",-1,T208)&lt;=1)),IF(C208="peso_corporal",IF(ISNUMBER(E208),E208,0)+R208,R208)*S208*1000+R208,0))</f>
        <v>0</v>
      </c>
      <c r="Z208" s="69">
        <f>IF(Y208=0,0,IF(IF((S208&gt;0)*(IF(T208="",-1,T208)=0)*(1-(IF(T208="",-1,T208)&gt;=0)*(IF(T208="",-1,T208)&lt;=1)),IF(C208="peso_corporal",IF(ISNUMBER(E208),E208,0)+R208,R208)*S208*1000+R208,0)=Y208,5,IF(IF((P208&gt;0)*(IF(Q208="",-1,Q208)=0)*(1-(IF(Q208="",-1,Q208)&gt;=0)*(IF(Q208="",-1,Q208)&lt;=1)),IF(C208="peso_corporal",IF(ISNUMBER(E208),E208,0)+O208,O208)*P208*1000+O208,0)=Y208,4,IF(IF((M208&gt;0)*(IF(N208="",-1,N208)=0)*(1-(IF(N208="",-1,N208)&gt;=0)*(IF(N208="",-1,N208)&lt;=1)),IF(C208="peso_corporal",IF(ISNUMBER(E208),E208,0)+L208,L208)*M208*1000+L208,0)=Y208,3,IF(IF((J208&gt;0)*(IF(K208="",-1,K208)=0)*(1-(IF(K208="",-1,K208)&gt;=0)*(IF(K208="",-1,K208)&lt;=1)),IF(C208="peso_corporal",IF(ISNUMBER(E208),E208,0)+I208,I208)*J208*1000+I208,0)=Y208,2,IF(IF((G208&gt;0)*(IF(H208="",-1,H208)=0)*(1-(IF(H208="",-1,H208)&gt;=0)*(IF(H208="",-1,H208)&lt;=1)),IF(C208="peso_corporal",IF(ISNUMBER(E208),E208,0)+F208,F208)*G208*1000+F208,0)=Y208,1,0))))))</f>
        <v>0</v>
      </c>
      <c r="AA208" s="69">
        <f>MAX(IF((G208&gt;=3)*(1-(IF(H208="",-1,H208)&gt;=0)*(IF(H208="",-1,H208)&lt;=1))*(1-(IF(H208="",-1,H208)=0)),IF(C208="peso_corporal",IF(ISNUMBER(E208),E208,0)+F208,F208)*(30+G208)*100+F208,0),IF((J208&gt;=3)*(1-(IF(K208="",-1,K208)&gt;=0)*(IF(K208="",-1,K208)&lt;=1))*(1-(IF(K208="",-1,K208)=0)),IF(C208="peso_corporal",IF(ISNUMBER(E208),E208,0)+I208,I208)*(30+J208)*100+I208,0),IF((M208&gt;=3)*(1-(IF(N208="",-1,N208)&gt;=0)*(IF(N208="",-1,N208)&lt;=1))*(1-(IF(N208="",-1,N208)=0)),IF(C208="peso_corporal",IF(ISNUMBER(E208),E208,0)+L208,L208)*(30+M208)*100+L208,0),IF((P208&gt;=3)*(1-(IF(Q208="",-1,Q208)&gt;=0)*(IF(Q208="",-1,Q208)&lt;=1))*(1-(IF(Q208="",-1,Q208)=0)),IF(C208="peso_corporal",IF(ISNUMBER(E208),E208,0)+O208,O208)*(30+P208)*100+O208,0),IF((S208&gt;=3)*(1-(IF(T208="",-1,T208)&gt;=0)*(IF(T208="",-1,T208)&lt;=1))*(1-(IF(T208="",-1,T208)=0)),IF(C208="peso_corporal",IF(ISNUMBER(E208),E208,0)+R208,R208)*(30+S208)*100+R208,0))</f>
        <v>0</v>
      </c>
      <c r="AB208" s="69">
        <f>IF(AA208=0,0,IF(IF((S208&gt;=3)*(1-(IF(T208="",-1,T208)&gt;=0)*(IF(T208="",-1,T208)&lt;=1))*(1-(IF(T208="",-1,T208)=0)),IF(C208="peso_corporal",IF(ISNUMBER(E208),E208,0)+R208,R208)*(30+S208)*100+R208,0)=AA208,5,IF(IF((P208&gt;=3)*(1-(IF(Q208="",-1,Q208)&gt;=0)*(IF(Q208="",-1,Q208)&lt;=1))*(1-(IF(Q208="",-1,Q208)=0)),IF(C208="peso_corporal",IF(ISNUMBER(E208),E208,0)+O208,O208)*(30+P208)*100+O208,0)=AA208,4,IF(IF((M208&gt;=3)*(1-(IF(N208="",-1,N208)&gt;=0)*(IF(N208="",-1,N208)&lt;=1))*(1-(IF(N208="",-1,N208)=0)),IF(C208="peso_corporal",IF(ISNUMBER(E208),E208,0)+L208,L208)*(30+M208)*100+L208,0)=AA208,3,IF(IF((J208&gt;=3)*(1-(IF(K208="",-1,K208)&gt;=0)*(IF(K208="",-1,K208)&lt;=1))*(1-(IF(K208="",-1,K208)=0)),IF(C208="peso_corporal",IF(ISNUMBER(E208),E208,0)+I208,I208)*(30+J208)*100+I208,0)=AA208,2,IF(IF((G208&gt;=3)*(1-(IF(H208="",-1,H208)&gt;=0)*(IF(H208="",-1,H208)&lt;=1))*(1-(IF(H208="",-1,H208)=0)),IF(C208="peso_corporal",IF(ISNUMBER(E208),E208,0)+F208,F208)*(30+G208)*100+F208,0)=AA208,1,0))))))</f>
        <v>0</v>
      </c>
      <c r="AC208" s="69" t="str">
        <f>IF(X208&gt;0,"A"&amp;X208,IF(Z208&gt;0,"B"&amp;Z208,IF(AB208&gt;0,"C"&amp;AB208,"")))</f>
        <v/>
      </c>
    </row>
    <row r="209" spans="1:29" ht="20.100000000000001" customHeight="1">
      <c r="A209" s="14" t="s">
        <v>163</v>
      </c>
      <c r="B209" s="15" t="s">
        <v>52</v>
      </c>
      <c r="C209" s="16" t="str">
        <f>IFERROR(INDEX(EJERCICIOS!$D$3:$D$75,MATCH(A209&amp;"|"&amp;B209,EJERCICIOS!$G$3:$G$75,0)),"--")</f>
        <v>polea</v>
      </c>
      <c r="D209" s="17">
        <v>3</v>
      </c>
      <c r="E209" s="18">
        <f>IFERROR(LOOKUP(2,1/(MEDIDAS_Y_PESO!$B$3:$B$11&lt;&gt;""),MEDIDAS_Y_PESO!$B$3:$B$11),"--")</f>
        <v>80</v>
      </c>
      <c r="F209" s="19"/>
      <c r="G209" s="20"/>
      <c r="H209" s="21"/>
      <c r="I209" s="19"/>
      <c r="J209" s="20"/>
      <c r="K209" s="21"/>
      <c r="L209" s="19"/>
      <c r="M209" s="20"/>
      <c r="N209" s="21"/>
      <c r="O209" s="19"/>
      <c r="P209" s="20"/>
      <c r="Q209" s="21"/>
      <c r="R209" s="19"/>
      <c r="S209" s="20"/>
      <c r="T209" s="21"/>
      <c r="U209" s="22" t="str">
        <f>IFERROR(IF(IF(X209&gt;0,X209,IF(Z209&gt;0,Z209,IF(AB209&gt;0,AB209,0)))=0,"--",ROUND(CHOOSE(IF(X209&gt;0,X209,IF(Z209&gt;0,Z209,IF(AB209&gt;0,AB209,0))),IF(C209="peso_corporal",IF(ISNUMBER(E209),E209,0)+F209,F209)*(1+G209/30),IF(C209="peso_corporal",IF(ISNUMBER(E209),E209,0)+I209,I209)*(1+J209/30),IF(C209="peso_corporal",IF(ISNUMBER(E209),E209,0)+L209,L209)*(1+M209/30),IF(C209="peso_corporal",IF(ISNUMBER(E209),E209,0)+O209,O209)*(1+P209/30),IF(C209="peso_corporal",IF(ISNUMBER(E209),E209,0)+R209,R209)*(1+S209/30)),1)),"--")</f>
        <v>--</v>
      </c>
      <c r="V209" s="23" t="str">
        <f>IF(SUGERENCIAS!N561="SIN","Sin datos anteriores",IF(SUGERENCIAS!N561="SUBIR_F","^ SUBIR FUERTE | Kg:"&amp;ROUND(SUGERENCIAS!K561,1)&amp;" R:"&amp;ROUND(SUGERENCIAS!L561,0)&amp;" RIR:"&amp;ROUND(SUGERENCIAS!M561,0),IF(SUGERENCIAS!N561="SUBIR_E","^ SUBIR (Est.) | Kg:"&amp;ROUND(SUGERENCIAS!K561,1)&amp;" R:"&amp;ROUND(SUGERENCIAS!L561,0)&amp;" RIR:"&amp;ROUND(SUGERENCIAS!M561,0),IF(SUGERENCIAS!N561="SUBIR","^ SUBIR | Kg:"&amp;ROUND(SUGERENCIAS!K561,1)&amp;" R:"&amp;ROUND(SUGERENCIAS!L561,0)&amp;" RIR:"&amp;ROUND(SUGERENCIAS!M561,0),IF(SUGERENCIAS!N561="BAJAR","v BAJAR | Kg:"&amp;ROUND(SUGERENCIAS!K561,1)&amp;" R:"&amp;ROUND(SUGERENCIAS!L561,0)&amp;" RIR:"&amp;ROUND(SUGERENCIAS!M561,0),"= MANT | Kg:"&amp;ROUND(SUGERENCIAS!K561,1)&amp;" R:"&amp;ROUND(SUGERENCIAS!L561,0)&amp;" RIR:"&amp;ROUND(SUGERENCIAS!M561,0))))))</f>
        <v>Sin datos anteriores</v>
      </c>
      <c r="W209" s="69">
        <f>MAX(IF((G209&gt;0)*(IF(H209="",-1,H209)&gt;=0)*(IF(H209="",-1,H209)&lt;=1),IF(C209="peso_corporal",IF(ISNUMBER(E209),E209,0)+F209,F209)*G209*1000+F209,0),IF((J209&gt;0)*(IF(K209="",-1,K209)&gt;=0)*(IF(K209="",-1,K209)&lt;=1),IF(C209="peso_corporal",IF(ISNUMBER(E209),E209,0)+I209,I209)*J209*1000+I209,0),IF((M209&gt;0)*(IF(N209="",-1,N209)&gt;=0)*(IF(N209="",-1,N209)&lt;=1),IF(C209="peso_corporal",IF(ISNUMBER(E209),E209,0)+L209,L209)*M209*1000+L209,0),IF((P209&gt;0)*(IF(Q209="",-1,Q209)&gt;=0)*(IF(Q209="",-1,Q209)&lt;=1),IF(C209="peso_corporal",IF(ISNUMBER(E209),E209,0)+O209,O209)*P209*1000+O209,0),IF((S209&gt;0)*(IF(T209="",-1,T209)&gt;=0)*(IF(T209="",-1,T209)&lt;=1),IF(C209="peso_corporal",IF(ISNUMBER(E209),E209,0)+R209,R209)*S209*1000+R209,0))</f>
        <v>0</v>
      </c>
      <c r="X209" s="69">
        <f>IF(W209=0,0,IF(IF((S209&gt;0)*(IF(T209="",-1,T209)&gt;=0)*(IF(T209="",-1,T209)&lt;=1),IF(C209="peso_corporal",IF(ISNUMBER(E209),E209,0)+R209,R209)*S209*1000+R209,0)=W209,5,IF(IF((P209&gt;0)*(IF(Q209="",-1,Q209)&gt;=0)*(IF(Q209="",-1,Q209)&lt;=1),IF(C209="peso_corporal",IF(ISNUMBER(E209),E209,0)+O209,O209)*P209*1000+O209,0)=W209,4,IF(IF((M209&gt;0)*(IF(N209="",-1,N209)&gt;=0)*(IF(N209="",-1,N209)&lt;=1),IF(C209="peso_corporal",IF(ISNUMBER(E209),E209,0)+L209,L209)*M209*1000+L209,0)=W209,3,IF(IF((J209&gt;0)*(IF(K209="",-1,K209)&gt;=0)*(IF(K209="",-1,K209)&lt;=1),IF(C209="peso_corporal",IF(ISNUMBER(E209),E209,0)+I209,I209)*J209*1000+I209,0)=W209,2,IF(IF((G209&gt;0)*(IF(H209="",-1,H209)&gt;=0)*(IF(H209="",-1,H209)&lt;=1),IF(C209="peso_corporal",IF(ISNUMBER(E209),E209,0)+F209,F209)*G209*1000+F209,0)=W209,1,0))))))</f>
        <v>0</v>
      </c>
      <c r="Y209" s="69">
        <f>MAX(IF((G209&gt;0)*(IF(H209="",-1,H209)=0)*(1-(IF(H209="",-1,H209)&gt;=0)*(IF(H209="",-1,H209)&lt;=1)),IF(C209="peso_corporal",IF(ISNUMBER(E209),E209,0)+F209,F209)*G209*1000+F209,0),IF((J209&gt;0)*(IF(K209="",-1,K209)=0)*(1-(IF(K209="",-1,K209)&gt;=0)*(IF(K209="",-1,K209)&lt;=1)),IF(C209="peso_corporal",IF(ISNUMBER(E209),E209,0)+I209,I209)*J209*1000+I209,0),IF((M209&gt;0)*(IF(N209="",-1,N209)=0)*(1-(IF(N209="",-1,N209)&gt;=0)*(IF(N209="",-1,N209)&lt;=1)),IF(C209="peso_corporal",IF(ISNUMBER(E209),E209,0)+L209,L209)*M209*1000+L209,0),IF((P209&gt;0)*(IF(Q209="",-1,Q209)=0)*(1-(IF(Q209="",-1,Q209)&gt;=0)*(IF(Q209="",-1,Q209)&lt;=1)),IF(C209="peso_corporal",IF(ISNUMBER(E209),E209,0)+O209,O209)*P209*1000+O209,0),IF((S209&gt;0)*(IF(T209="",-1,T209)=0)*(1-(IF(T209="",-1,T209)&gt;=0)*(IF(T209="",-1,T209)&lt;=1)),IF(C209="peso_corporal",IF(ISNUMBER(E209),E209,0)+R209,R209)*S209*1000+R209,0))</f>
        <v>0</v>
      </c>
      <c r="Z209" s="69">
        <f>IF(Y209=0,0,IF(IF((S209&gt;0)*(IF(T209="",-1,T209)=0)*(1-(IF(T209="",-1,T209)&gt;=0)*(IF(T209="",-1,T209)&lt;=1)),IF(C209="peso_corporal",IF(ISNUMBER(E209),E209,0)+R209,R209)*S209*1000+R209,0)=Y209,5,IF(IF((P209&gt;0)*(IF(Q209="",-1,Q209)=0)*(1-(IF(Q209="",-1,Q209)&gt;=0)*(IF(Q209="",-1,Q209)&lt;=1)),IF(C209="peso_corporal",IF(ISNUMBER(E209),E209,0)+O209,O209)*P209*1000+O209,0)=Y209,4,IF(IF((M209&gt;0)*(IF(N209="",-1,N209)=0)*(1-(IF(N209="",-1,N209)&gt;=0)*(IF(N209="",-1,N209)&lt;=1)),IF(C209="peso_corporal",IF(ISNUMBER(E209),E209,0)+L209,L209)*M209*1000+L209,0)=Y209,3,IF(IF((J209&gt;0)*(IF(K209="",-1,K209)=0)*(1-(IF(K209="",-1,K209)&gt;=0)*(IF(K209="",-1,K209)&lt;=1)),IF(C209="peso_corporal",IF(ISNUMBER(E209),E209,0)+I209,I209)*J209*1000+I209,0)=Y209,2,IF(IF((G209&gt;0)*(IF(H209="",-1,H209)=0)*(1-(IF(H209="",-1,H209)&gt;=0)*(IF(H209="",-1,H209)&lt;=1)),IF(C209="peso_corporal",IF(ISNUMBER(E209),E209,0)+F209,F209)*G209*1000+F209,0)=Y209,1,0))))))</f>
        <v>0</v>
      </c>
      <c r="AA209" s="69">
        <f>MAX(IF((G209&gt;=3)*(1-(IF(H209="",-1,H209)&gt;=0)*(IF(H209="",-1,H209)&lt;=1))*(1-(IF(H209="",-1,H209)=0)),IF(C209="peso_corporal",IF(ISNUMBER(E209),E209,0)+F209,F209)*(30+G209)*100+F209,0),IF((J209&gt;=3)*(1-(IF(K209="",-1,K209)&gt;=0)*(IF(K209="",-1,K209)&lt;=1))*(1-(IF(K209="",-1,K209)=0)),IF(C209="peso_corporal",IF(ISNUMBER(E209),E209,0)+I209,I209)*(30+J209)*100+I209,0),IF((M209&gt;=3)*(1-(IF(N209="",-1,N209)&gt;=0)*(IF(N209="",-1,N209)&lt;=1))*(1-(IF(N209="",-1,N209)=0)),IF(C209="peso_corporal",IF(ISNUMBER(E209),E209,0)+L209,L209)*(30+M209)*100+L209,0),IF((P209&gt;=3)*(1-(IF(Q209="",-1,Q209)&gt;=0)*(IF(Q209="",-1,Q209)&lt;=1))*(1-(IF(Q209="",-1,Q209)=0)),IF(C209="peso_corporal",IF(ISNUMBER(E209),E209,0)+O209,O209)*(30+P209)*100+O209,0),IF((S209&gt;=3)*(1-(IF(T209="",-1,T209)&gt;=0)*(IF(T209="",-1,T209)&lt;=1))*(1-(IF(T209="",-1,T209)=0)),IF(C209="peso_corporal",IF(ISNUMBER(E209),E209,0)+R209,R209)*(30+S209)*100+R209,0))</f>
        <v>0</v>
      </c>
      <c r="AB209" s="69">
        <f>IF(AA209=0,0,IF(IF((S209&gt;=3)*(1-(IF(T209="",-1,T209)&gt;=0)*(IF(T209="",-1,T209)&lt;=1))*(1-(IF(T209="",-1,T209)=0)),IF(C209="peso_corporal",IF(ISNUMBER(E209),E209,0)+R209,R209)*(30+S209)*100+R209,0)=AA209,5,IF(IF((P209&gt;=3)*(1-(IF(Q209="",-1,Q209)&gt;=0)*(IF(Q209="",-1,Q209)&lt;=1))*(1-(IF(Q209="",-1,Q209)=0)),IF(C209="peso_corporal",IF(ISNUMBER(E209),E209,0)+O209,O209)*(30+P209)*100+O209,0)=AA209,4,IF(IF((M209&gt;=3)*(1-(IF(N209="",-1,N209)&gt;=0)*(IF(N209="",-1,N209)&lt;=1))*(1-(IF(N209="",-1,N209)=0)),IF(C209="peso_corporal",IF(ISNUMBER(E209),E209,0)+L209,L209)*(30+M209)*100+L209,0)=AA209,3,IF(IF((J209&gt;=3)*(1-(IF(K209="",-1,K209)&gt;=0)*(IF(K209="",-1,K209)&lt;=1))*(1-(IF(K209="",-1,K209)=0)),IF(C209="peso_corporal",IF(ISNUMBER(E209),E209,0)+I209,I209)*(30+J209)*100+I209,0)=AA209,2,IF(IF((G209&gt;=3)*(1-(IF(H209="",-1,H209)&gt;=0)*(IF(H209="",-1,H209)&lt;=1))*(1-(IF(H209="",-1,H209)=0)),IF(C209="peso_corporal",IF(ISNUMBER(E209),E209,0)+F209,F209)*(30+G209)*100+F209,0)=AA209,1,0))))))</f>
        <v>0</v>
      </c>
      <c r="AC209" s="69" t="str">
        <f>IF(X209&gt;0,"A"&amp;X209,IF(Z209&gt;0,"B"&amp;Z209,IF(AB209&gt;0,"C"&amp;AB209,"")))</f>
        <v/>
      </c>
    </row>
    <row r="210" spans="1:29" ht="15" customHeight="1">
      <c r="A210" s="81" t="s">
        <v>53</v>
      </c>
      <c r="B210" s="73"/>
      <c r="C210" s="73"/>
      <c r="D210" s="73"/>
      <c r="E210" s="73"/>
      <c r="F210" s="73"/>
      <c r="G210" s="73"/>
      <c r="H210" s="73"/>
      <c r="I210" s="73"/>
      <c r="J210" s="73"/>
      <c r="K210" s="73"/>
      <c r="L210" s="73"/>
      <c r="M210" s="73"/>
      <c r="N210" s="73"/>
      <c r="O210" s="73"/>
      <c r="P210" s="73"/>
      <c r="Q210" s="73"/>
      <c r="R210" s="73"/>
      <c r="S210" s="73"/>
      <c r="T210" s="73"/>
      <c r="U210" s="73"/>
      <c r="V210" s="73"/>
      <c r="W210" s="69"/>
      <c r="X210" s="69"/>
      <c r="Y210" s="69"/>
      <c r="Z210" s="69"/>
      <c r="AA210" s="69"/>
      <c r="AB210" s="69"/>
      <c r="AC210" s="69"/>
    </row>
    <row r="211" spans="1:29" ht="20.100000000000001" customHeight="1">
      <c r="A211" s="14" t="s">
        <v>54</v>
      </c>
      <c r="B211" s="15" t="s">
        <v>115</v>
      </c>
      <c r="C211" s="16" t="str">
        <f>IFERROR(INDEX(EJERCICIOS!$D$3:$D$75,MATCH(A211&amp;"|"&amp;B211,EJERCICIOS!$G$3:$G$75,0)),"--")</f>
        <v>polea</v>
      </c>
      <c r="D211" s="17">
        <v>3</v>
      </c>
      <c r="E211" s="18">
        <f>IFERROR(LOOKUP(2,1/(MEDIDAS_Y_PESO!$B$3:$B$11&lt;&gt;""),MEDIDAS_Y_PESO!$B$3:$B$11),"--")</f>
        <v>80</v>
      </c>
      <c r="F211" s="19"/>
      <c r="G211" s="20"/>
      <c r="H211" s="21"/>
      <c r="I211" s="19"/>
      <c r="J211" s="20"/>
      <c r="K211" s="21"/>
      <c r="L211" s="19"/>
      <c r="M211" s="20"/>
      <c r="N211" s="21"/>
      <c r="O211" s="19"/>
      <c r="P211" s="20"/>
      <c r="Q211" s="21"/>
      <c r="R211" s="19"/>
      <c r="S211" s="20"/>
      <c r="T211" s="21"/>
      <c r="U211" s="22" t="str">
        <f>IFERROR(IF(IF(X211&gt;0,X211,IF(Z211&gt;0,Z211,IF(AB211&gt;0,AB211,0)))=0,"--",ROUND(CHOOSE(IF(X211&gt;0,X211,IF(Z211&gt;0,Z211,IF(AB211&gt;0,AB211,0))),IF(C211="peso_corporal",IF(ISNUMBER(E211),E211,0)+F211,F211)*(1+G211/30),IF(C211="peso_corporal",IF(ISNUMBER(E211),E211,0)+I211,I211)*(1+J211/30),IF(C211="peso_corporal",IF(ISNUMBER(E211),E211,0)+L211,L211)*(1+M211/30),IF(C211="peso_corporal",IF(ISNUMBER(E211),E211,0)+O211,O211)*(1+P211/30),IF(C211="peso_corporal",IF(ISNUMBER(E211),E211,0)+R211,R211)*(1+S211/30)),1)),"--")</f>
        <v>--</v>
      </c>
      <c r="V211" s="23" t="str">
        <f>IF(SUGERENCIAS!N562="SIN","Sin datos anteriores",IF(SUGERENCIAS!N562="SUBIR_F","^ SUBIR FUERTE | Kg:"&amp;ROUND(SUGERENCIAS!K562,1)&amp;" R:"&amp;ROUND(SUGERENCIAS!L562,0)&amp;" RIR:"&amp;ROUND(SUGERENCIAS!M562,0),IF(SUGERENCIAS!N562="SUBIR_E","^ SUBIR (Est.) | Kg:"&amp;ROUND(SUGERENCIAS!K562,1)&amp;" R:"&amp;ROUND(SUGERENCIAS!L562,0)&amp;" RIR:"&amp;ROUND(SUGERENCIAS!M562,0),IF(SUGERENCIAS!N562="SUBIR","^ SUBIR | Kg:"&amp;ROUND(SUGERENCIAS!K562,1)&amp;" R:"&amp;ROUND(SUGERENCIAS!L562,0)&amp;" RIR:"&amp;ROUND(SUGERENCIAS!M562,0),IF(SUGERENCIAS!N562="BAJAR","v BAJAR | Kg:"&amp;ROUND(SUGERENCIAS!K562,1)&amp;" R:"&amp;ROUND(SUGERENCIAS!L562,0)&amp;" RIR:"&amp;ROUND(SUGERENCIAS!M562,0),"= MANT | Kg:"&amp;ROUND(SUGERENCIAS!K562,1)&amp;" R:"&amp;ROUND(SUGERENCIAS!L562,0)&amp;" RIR:"&amp;ROUND(SUGERENCIAS!M562,0))))))</f>
        <v>= MANT | Kg:40 R:7 RIR:2</v>
      </c>
      <c r="W211" s="69">
        <f>MAX(IF((G211&gt;0)*(IF(H211="",-1,H211)&gt;=0)*(IF(H211="",-1,H211)&lt;=1),IF(C211="peso_corporal",IF(ISNUMBER(E211),E211,0)+F211,F211)*G211*1000+F211,0),IF((J211&gt;0)*(IF(K211="",-1,K211)&gt;=0)*(IF(K211="",-1,K211)&lt;=1),IF(C211="peso_corporal",IF(ISNUMBER(E211),E211,0)+I211,I211)*J211*1000+I211,0),IF((M211&gt;0)*(IF(N211="",-1,N211)&gt;=0)*(IF(N211="",-1,N211)&lt;=1),IF(C211="peso_corporal",IF(ISNUMBER(E211),E211,0)+L211,L211)*M211*1000+L211,0),IF((P211&gt;0)*(IF(Q211="",-1,Q211)&gt;=0)*(IF(Q211="",-1,Q211)&lt;=1),IF(C211="peso_corporal",IF(ISNUMBER(E211),E211,0)+O211,O211)*P211*1000+O211,0),IF((S211&gt;0)*(IF(T211="",-1,T211)&gt;=0)*(IF(T211="",-1,T211)&lt;=1),IF(C211="peso_corporal",IF(ISNUMBER(E211),E211,0)+R211,R211)*S211*1000+R211,0))</f>
        <v>0</v>
      </c>
      <c r="X211" s="69">
        <f>IF(W211=0,0,IF(IF((S211&gt;0)*(IF(T211="",-1,T211)&gt;=0)*(IF(T211="",-1,T211)&lt;=1),IF(C211="peso_corporal",IF(ISNUMBER(E211),E211,0)+R211,R211)*S211*1000+R211,0)=W211,5,IF(IF((P211&gt;0)*(IF(Q211="",-1,Q211)&gt;=0)*(IF(Q211="",-1,Q211)&lt;=1),IF(C211="peso_corporal",IF(ISNUMBER(E211),E211,0)+O211,O211)*P211*1000+O211,0)=W211,4,IF(IF((M211&gt;0)*(IF(N211="",-1,N211)&gt;=0)*(IF(N211="",-1,N211)&lt;=1),IF(C211="peso_corporal",IF(ISNUMBER(E211),E211,0)+L211,L211)*M211*1000+L211,0)=W211,3,IF(IF((J211&gt;0)*(IF(K211="",-1,K211)&gt;=0)*(IF(K211="",-1,K211)&lt;=1),IF(C211="peso_corporal",IF(ISNUMBER(E211),E211,0)+I211,I211)*J211*1000+I211,0)=W211,2,IF(IF((G211&gt;0)*(IF(H211="",-1,H211)&gt;=0)*(IF(H211="",-1,H211)&lt;=1),IF(C211="peso_corporal",IF(ISNUMBER(E211),E211,0)+F211,F211)*G211*1000+F211,0)=W211,1,0))))))</f>
        <v>0</v>
      </c>
      <c r="Y211" s="69">
        <f>MAX(IF((G211&gt;0)*(IF(H211="",-1,H211)=0)*(1-(IF(H211="",-1,H211)&gt;=0)*(IF(H211="",-1,H211)&lt;=1)),IF(C211="peso_corporal",IF(ISNUMBER(E211),E211,0)+F211,F211)*G211*1000+F211,0),IF((J211&gt;0)*(IF(K211="",-1,K211)=0)*(1-(IF(K211="",-1,K211)&gt;=0)*(IF(K211="",-1,K211)&lt;=1)),IF(C211="peso_corporal",IF(ISNUMBER(E211),E211,0)+I211,I211)*J211*1000+I211,0),IF((M211&gt;0)*(IF(N211="",-1,N211)=0)*(1-(IF(N211="",-1,N211)&gt;=0)*(IF(N211="",-1,N211)&lt;=1)),IF(C211="peso_corporal",IF(ISNUMBER(E211),E211,0)+L211,L211)*M211*1000+L211,0),IF((P211&gt;0)*(IF(Q211="",-1,Q211)=0)*(1-(IF(Q211="",-1,Q211)&gt;=0)*(IF(Q211="",-1,Q211)&lt;=1)),IF(C211="peso_corporal",IF(ISNUMBER(E211),E211,0)+O211,O211)*P211*1000+O211,0),IF((S211&gt;0)*(IF(T211="",-1,T211)=0)*(1-(IF(T211="",-1,T211)&gt;=0)*(IF(T211="",-1,T211)&lt;=1)),IF(C211="peso_corporal",IF(ISNUMBER(E211),E211,0)+R211,R211)*S211*1000+R211,0))</f>
        <v>0</v>
      </c>
      <c r="Z211" s="69">
        <f>IF(Y211=0,0,IF(IF((S211&gt;0)*(IF(T211="",-1,T211)=0)*(1-(IF(T211="",-1,T211)&gt;=0)*(IF(T211="",-1,T211)&lt;=1)),IF(C211="peso_corporal",IF(ISNUMBER(E211),E211,0)+R211,R211)*S211*1000+R211,0)=Y211,5,IF(IF((P211&gt;0)*(IF(Q211="",-1,Q211)=0)*(1-(IF(Q211="",-1,Q211)&gt;=0)*(IF(Q211="",-1,Q211)&lt;=1)),IF(C211="peso_corporal",IF(ISNUMBER(E211),E211,0)+O211,O211)*P211*1000+O211,0)=Y211,4,IF(IF((M211&gt;0)*(IF(N211="",-1,N211)=0)*(1-(IF(N211="",-1,N211)&gt;=0)*(IF(N211="",-1,N211)&lt;=1)),IF(C211="peso_corporal",IF(ISNUMBER(E211),E211,0)+L211,L211)*M211*1000+L211,0)=Y211,3,IF(IF((J211&gt;0)*(IF(K211="",-1,K211)=0)*(1-(IF(K211="",-1,K211)&gt;=0)*(IF(K211="",-1,K211)&lt;=1)),IF(C211="peso_corporal",IF(ISNUMBER(E211),E211,0)+I211,I211)*J211*1000+I211,0)=Y211,2,IF(IF((G211&gt;0)*(IF(H211="",-1,H211)=0)*(1-(IF(H211="",-1,H211)&gt;=0)*(IF(H211="",-1,H211)&lt;=1)),IF(C211="peso_corporal",IF(ISNUMBER(E211),E211,0)+F211,F211)*G211*1000+F211,0)=Y211,1,0))))))</f>
        <v>0</v>
      </c>
      <c r="AA211" s="69">
        <f>MAX(IF((G211&gt;=3)*(1-(IF(H211="",-1,H211)&gt;=0)*(IF(H211="",-1,H211)&lt;=1))*(1-(IF(H211="",-1,H211)=0)),IF(C211="peso_corporal",IF(ISNUMBER(E211),E211,0)+F211,F211)*(30+G211)*100+F211,0),IF((J211&gt;=3)*(1-(IF(K211="",-1,K211)&gt;=0)*(IF(K211="",-1,K211)&lt;=1))*(1-(IF(K211="",-1,K211)=0)),IF(C211="peso_corporal",IF(ISNUMBER(E211),E211,0)+I211,I211)*(30+J211)*100+I211,0),IF((M211&gt;=3)*(1-(IF(N211="",-1,N211)&gt;=0)*(IF(N211="",-1,N211)&lt;=1))*(1-(IF(N211="",-1,N211)=0)),IF(C211="peso_corporal",IF(ISNUMBER(E211),E211,0)+L211,L211)*(30+M211)*100+L211,0),IF((P211&gt;=3)*(1-(IF(Q211="",-1,Q211)&gt;=0)*(IF(Q211="",-1,Q211)&lt;=1))*(1-(IF(Q211="",-1,Q211)=0)),IF(C211="peso_corporal",IF(ISNUMBER(E211),E211,0)+O211,O211)*(30+P211)*100+O211,0),IF((S211&gt;=3)*(1-(IF(T211="",-1,T211)&gt;=0)*(IF(T211="",-1,T211)&lt;=1))*(1-(IF(T211="",-1,T211)=0)),IF(C211="peso_corporal",IF(ISNUMBER(E211),E211,0)+R211,R211)*(30+S211)*100+R211,0))</f>
        <v>0</v>
      </c>
      <c r="AB211" s="69">
        <f>IF(AA211=0,0,IF(IF((S211&gt;=3)*(1-(IF(T211="",-1,T211)&gt;=0)*(IF(T211="",-1,T211)&lt;=1))*(1-(IF(T211="",-1,T211)=0)),IF(C211="peso_corporal",IF(ISNUMBER(E211),E211,0)+R211,R211)*(30+S211)*100+R211,0)=AA211,5,IF(IF((P211&gt;=3)*(1-(IF(Q211="",-1,Q211)&gt;=0)*(IF(Q211="",-1,Q211)&lt;=1))*(1-(IF(Q211="",-1,Q211)=0)),IF(C211="peso_corporal",IF(ISNUMBER(E211),E211,0)+O211,O211)*(30+P211)*100+O211,0)=AA211,4,IF(IF((M211&gt;=3)*(1-(IF(N211="",-1,N211)&gt;=0)*(IF(N211="",-1,N211)&lt;=1))*(1-(IF(N211="",-1,N211)=0)),IF(C211="peso_corporal",IF(ISNUMBER(E211),E211,0)+L211,L211)*(30+M211)*100+L211,0)=AA211,3,IF(IF((J211&gt;=3)*(1-(IF(K211="",-1,K211)&gt;=0)*(IF(K211="",-1,K211)&lt;=1))*(1-(IF(K211="",-1,K211)=0)),IF(C211="peso_corporal",IF(ISNUMBER(E211),E211,0)+I211,I211)*(30+J211)*100+I211,0)=AA211,2,IF(IF((G211&gt;=3)*(1-(IF(H211="",-1,H211)&gt;=0)*(IF(H211="",-1,H211)&lt;=1))*(1-(IF(H211="",-1,H211)=0)),IF(C211="peso_corporal",IF(ISNUMBER(E211),E211,0)+F211,F211)*(30+G211)*100+F211,0)=AA211,1,0))))))</f>
        <v>0</v>
      </c>
      <c r="AC211" s="69" t="str">
        <f>IF(X211&gt;0,"A"&amp;X211,IF(Z211&gt;0,"B"&amp;Z211,IF(AB211&gt;0,"C"&amp;AB211,"")))</f>
        <v/>
      </c>
    </row>
    <row r="212" spans="1:29" ht="20.100000000000001" customHeight="1">
      <c r="A212" s="14" t="s">
        <v>116</v>
      </c>
      <c r="B212" s="15" t="s">
        <v>114</v>
      </c>
      <c r="C212" s="16" t="str">
        <f>IFERROR(INDEX(EJERCICIOS!$D$3:$D$75,MATCH(A212&amp;"|"&amp;B212,EJERCICIOS!$G$3:$G$75,0)),"--")</f>
        <v>polea</v>
      </c>
      <c r="D212" s="17">
        <v>3</v>
      </c>
      <c r="E212" s="18">
        <f>IFERROR(LOOKUP(2,1/(MEDIDAS_Y_PESO!$B$3:$B$11&lt;&gt;""),MEDIDAS_Y_PESO!$B$3:$B$11),"--")</f>
        <v>80</v>
      </c>
      <c r="F212" s="19"/>
      <c r="G212" s="20"/>
      <c r="H212" s="21"/>
      <c r="I212" s="19"/>
      <c r="J212" s="20"/>
      <c r="K212" s="21"/>
      <c r="L212" s="19"/>
      <c r="M212" s="20"/>
      <c r="N212" s="21"/>
      <c r="O212" s="19"/>
      <c r="P212" s="20"/>
      <c r="Q212" s="21"/>
      <c r="R212" s="19"/>
      <c r="S212" s="20"/>
      <c r="T212" s="21"/>
      <c r="U212" s="22" t="str">
        <f>IFERROR(IF(IF(X212&gt;0,X212,IF(Z212&gt;0,Z212,IF(AB212&gt;0,AB212,0)))=0,"--",ROUND(CHOOSE(IF(X212&gt;0,X212,IF(Z212&gt;0,Z212,IF(AB212&gt;0,AB212,0))),IF(C212="peso_corporal",IF(ISNUMBER(E212),E212,0)+F212,F212)*(1+G212/30),IF(C212="peso_corporal",IF(ISNUMBER(E212),E212,0)+I212,I212)*(1+J212/30),IF(C212="peso_corporal",IF(ISNUMBER(E212),E212,0)+L212,L212)*(1+M212/30),IF(C212="peso_corporal",IF(ISNUMBER(E212),E212,0)+O212,O212)*(1+P212/30),IF(C212="peso_corporal",IF(ISNUMBER(E212),E212,0)+R212,R212)*(1+S212/30)),1)),"--")</f>
        <v>--</v>
      </c>
      <c r="V212" s="23" t="str">
        <f>IF(SUGERENCIAS!N563="SIN","Sin datos anteriores",IF(SUGERENCIAS!N563="SUBIR_F","^ SUBIR FUERTE | Kg:"&amp;ROUND(SUGERENCIAS!K563,1)&amp;" R:"&amp;ROUND(SUGERENCIAS!L563,0)&amp;" RIR:"&amp;ROUND(SUGERENCIAS!M563,0),IF(SUGERENCIAS!N563="SUBIR_E","^ SUBIR (Est.) | Kg:"&amp;ROUND(SUGERENCIAS!K563,1)&amp;" R:"&amp;ROUND(SUGERENCIAS!L563,0)&amp;" RIR:"&amp;ROUND(SUGERENCIAS!M563,0),IF(SUGERENCIAS!N563="SUBIR","^ SUBIR | Kg:"&amp;ROUND(SUGERENCIAS!K563,1)&amp;" R:"&amp;ROUND(SUGERENCIAS!L563,0)&amp;" RIR:"&amp;ROUND(SUGERENCIAS!M563,0),IF(SUGERENCIAS!N563="BAJAR","v BAJAR | Kg:"&amp;ROUND(SUGERENCIAS!K563,1)&amp;" R:"&amp;ROUND(SUGERENCIAS!L563,0)&amp;" RIR:"&amp;ROUND(SUGERENCIAS!M563,0),"= MANT | Kg:"&amp;ROUND(SUGERENCIAS!K563,1)&amp;" R:"&amp;ROUND(SUGERENCIAS!L563,0)&amp;" RIR:"&amp;ROUND(SUGERENCIAS!M563,0))))))</f>
        <v>^ SUBIR | Kg:20 R:6 RIR:2</v>
      </c>
      <c r="W212" s="69">
        <f>MAX(IF((G212&gt;0)*(IF(H212="",-1,H212)&gt;=0)*(IF(H212="",-1,H212)&lt;=1),IF(C212="peso_corporal",IF(ISNUMBER(E212),E212,0)+F212,F212)*G212*1000+F212,0),IF((J212&gt;0)*(IF(K212="",-1,K212)&gt;=0)*(IF(K212="",-1,K212)&lt;=1),IF(C212="peso_corporal",IF(ISNUMBER(E212),E212,0)+I212,I212)*J212*1000+I212,0),IF((M212&gt;0)*(IF(N212="",-1,N212)&gt;=0)*(IF(N212="",-1,N212)&lt;=1),IF(C212="peso_corporal",IF(ISNUMBER(E212),E212,0)+L212,L212)*M212*1000+L212,0),IF((P212&gt;0)*(IF(Q212="",-1,Q212)&gt;=0)*(IF(Q212="",-1,Q212)&lt;=1),IF(C212="peso_corporal",IF(ISNUMBER(E212),E212,0)+O212,O212)*P212*1000+O212,0),IF((S212&gt;0)*(IF(T212="",-1,T212)&gt;=0)*(IF(T212="",-1,T212)&lt;=1),IF(C212="peso_corporal",IF(ISNUMBER(E212),E212,0)+R212,R212)*S212*1000+R212,0))</f>
        <v>0</v>
      </c>
      <c r="X212" s="69">
        <f>IF(W212=0,0,IF(IF((S212&gt;0)*(IF(T212="",-1,T212)&gt;=0)*(IF(T212="",-1,T212)&lt;=1),IF(C212="peso_corporal",IF(ISNUMBER(E212),E212,0)+R212,R212)*S212*1000+R212,0)=W212,5,IF(IF((P212&gt;0)*(IF(Q212="",-1,Q212)&gt;=0)*(IF(Q212="",-1,Q212)&lt;=1),IF(C212="peso_corporal",IF(ISNUMBER(E212),E212,0)+O212,O212)*P212*1000+O212,0)=W212,4,IF(IF((M212&gt;0)*(IF(N212="",-1,N212)&gt;=0)*(IF(N212="",-1,N212)&lt;=1),IF(C212="peso_corporal",IF(ISNUMBER(E212),E212,0)+L212,L212)*M212*1000+L212,0)=W212,3,IF(IF((J212&gt;0)*(IF(K212="",-1,K212)&gt;=0)*(IF(K212="",-1,K212)&lt;=1),IF(C212="peso_corporal",IF(ISNUMBER(E212),E212,0)+I212,I212)*J212*1000+I212,0)=W212,2,IF(IF((G212&gt;0)*(IF(H212="",-1,H212)&gt;=0)*(IF(H212="",-1,H212)&lt;=1),IF(C212="peso_corporal",IF(ISNUMBER(E212),E212,0)+F212,F212)*G212*1000+F212,0)=W212,1,0))))))</f>
        <v>0</v>
      </c>
      <c r="Y212" s="69">
        <f>MAX(IF((G212&gt;0)*(IF(H212="",-1,H212)=0)*(1-(IF(H212="",-1,H212)&gt;=0)*(IF(H212="",-1,H212)&lt;=1)),IF(C212="peso_corporal",IF(ISNUMBER(E212),E212,0)+F212,F212)*G212*1000+F212,0),IF((J212&gt;0)*(IF(K212="",-1,K212)=0)*(1-(IF(K212="",-1,K212)&gt;=0)*(IF(K212="",-1,K212)&lt;=1)),IF(C212="peso_corporal",IF(ISNUMBER(E212),E212,0)+I212,I212)*J212*1000+I212,0),IF((M212&gt;0)*(IF(N212="",-1,N212)=0)*(1-(IF(N212="",-1,N212)&gt;=0)*(IF(N212="",-1,N212)&lt;=1)),IF(C212="peso_corporal",IF(ISNUMBER(E212),E212,0)+L212,L212)*M212*1000+L212,0),IF((P212&gt;0)*(IF(Q212="",-1,Q212)=0)*(1-(IF(Q212="",-1,Q212)&gt;=0)*(IF(Q212="",-1,Q212)&lt;=1)),IF(C212="peso_corporal",IF(ISNUMBER(E212),E212,0)+O212,O212)*P212*1000+O212,0),IF((S212&gt;0)*(IF(T212="",-1,T212)=0)*(1-(IF(T212="",-1,T212)&gt;=0)*(IF(T212="",-1,T212)&lt;=1)),IF(C212="peso_corporal",IF(ISNUMBER(E212),E212,0)+R212,R212)*S212*1000+R212,0))</f>
        <v>0</v>
      </c>
      <c r="Z212" s="69">
        <f>IF(Y212=0,0,IF(IF((S212&gt;0)*(IF(T212="",-1,T212)=0)*(1-(IF(T212="",-1,T212)&gt;=0)*(IF(T212="",-1,T212)&lt;=1)),IF(C212="peso_corporal",IF(ISNUMBER(E212),E212,0)+R212,R212)*S212*1000+R212,0)=Y212,5,IF(IF((P212&gt;0)*(IF(Q212="",-1,Q212)=0)*(1-(IF(Q212="",-1,Q212)&gt;=0)*(IF(Q212="",-1,Q212)&lt;=1)),IF(C212="peso_corporal",IF(ISNUMBER(E212),E212,0)+O212,O212)*P212*1000+O212,0)=Y212,4,IF(IF((M212&gt;0)*(IF(N212="",-1,N212)=0)*(1-(IF(N212="",-1,N212)&gt;=0)*(IF(N212="",-1,N212)&lt;=1)),IF(C212="peso_corporal",IF(ISNUMBER(E212),E212,0)+L212,L212)*M212*1000+L212,0)=Y212,3,IF(IF((J212&gt;0)*(IF(K212="",-1,K212)=0)*(1-(IF(K212="",-1,K212)&gt;=0)*(IF(K212="",-1,K212)&lt;=1)),IF(C212="peso_corporal",IF(ISNUMBER(E212),E212,0)+I212,I212)*J212*1000+I212,0)=Y212,2,IF(IF((G212&gt;0)*(IF(H212="",-1,H212)=0)*(1-(IF(H212="",-1,H212)&gt;=0)*(IF(H212="",-1,H212)&lt;=1)),IF(C212="peso_corporal",IF(ISNUMBER(E212),E212,0)+F212,F212)*G212*1000+F212,0)=Y212,1,0))))))</f>
        <v>0</v>
      </c>
      <c r="AA212" s="69">
        <f>MAX(IF((G212&gt;=3)*(1-(IF(H212="",-1,H212)&gt;=0)*(IF(H212="",-1,H212)&lt;=1))*(1-(IF(H212="",-1,H212)=0)),IF(C212="peso_corporal",IF(ISNUMBER(E212),E212,0)+F212,F212)*(30+G212)*100+F212,0),IF((J212&gt;=3)*(1-(IF(K212="",-1,K212)&gt;=0)*(IF(K212="",-1,K212)&lt;=1))*(1-(IF(K212="",-1,K212)=0)),IF(C212="peso_corporal",IF(ISNUMBER(E212),E212,0)+I212,I212)*(30+J212)*100+I212,0),IF((M212&gt;=3)*(1-(IF(N212="",-1,N212)&gt;=0)*(IF(N212="",-1,N212)&lt;=1))*(1-(IF(N212="",-1,N212)=0)),IF(C212="peso_corporal",IF(ISNUMBER(E212),E212,0)+L212,L212)*(30+M212)*100+L212,0),IF((P212&gt;=3)*(1-(IF(Q212="",-1,Q212)&gt;=0)*(IF(Q212="",-1,Q212)&lt;=1))*(1-(IF(Q212="",-1,Q212)=0)),IF(C212="peso_corporal",IF(ISNUMBER(E212),E212,0)+O212,O212)*(30+P212)*100+O212,0),IF((S212&gt;=3)*(1-(IF(T212="",-1,T212)&gt;=0)*(IF(T212="",-1,T212)&lt;=1))*(1-(IF(T212="",-1,T212)=0)),IF(C212="peso_corporal",IF(ISNUMBER(E212),E212,0)+R212,R212)*(30+S212)*100+R212,0))</f>
        <v>0</v>
      </c>
      <c r="AB212" s="69">
        <f>IF(AA212=0,0,IF(IF((S212&gt;=3)*(1-(IF(T212="",-1,T212)&gt;=0)*(IF(T212="",-1,T212)&lt;=1))*(1-(IF(T212="",-1,T212)=0)),IF(C212="peso_corporal",IF(ISNUMBER(E212),E212,0)+R212,R212)*(30+S212)*100+R212,0)=AA212,5,IF(IF((P212&gt;=3)*(1-(IF(Q212="",-1,Q212)&gt;=0)*(IF(Q212="",-1,Q212)&lt;=1))*(1-(IF(Q212="",-1,Q212)=0)),IF(C212="peso_corporal",IF(ISNUMBER(E212),E212,0)+O212,O212)*(30+P212)*100+O212,0)=AA212,4,IF(IF((M212&gt;=3)*(1-(IF(N212="",-1,N212)&gt;=0)*(IF(N212="",-1,N212)&lt;=1))*(1-(IF(N212="",-1,N212)=0)),IF(C212="peso_corporal",IF(ISNUMBER(E212),E212,0)+L212,L212)*(30+M212)*100+L212,0)=AA212,3,IF(IF((J212&gt;=3)*(1-(IF(K212="",-1,K212)&gt;=0)*(IF(K212="",-1,K212)&lt;=1))*(1-(IF(K212="",-1,K212)=0)),IF(C212="peso_corporal",IF(ISNUMBER(E212),E212,0)+I212,I212)*(30+J212)*100+I212,0)=AA212,2,IF(IF((G212&gt;=3)*(1-(IF(H212="",-1,H212)&gt;=0)*(IF(H212="",-1,H212)&lt;=1))*(1-(IF(H212="",-1,H212)=0)),IF(C212="peso_corporal",IF(ISNUMBER(E212),E212,0)+F212,F212)*(30+G212)*100+F212,0)=AA212,1,0))))))</f>
        <v>0</v>
      </c>
      <c r="AC212" s="69" t="str">
        <f>IF(X212&gt;0,"A"&amp;X212,IF(Z212&gt;0,"B"&amp;Z212,IF(AB212&gt;0,"C"&amp;AB212,"")))</f>
        <v/>
      </c>
    </row>
    <row r="213" spans="1:29" ht="15" customHeight="1">
      <c r="A213" s="83" t="s">
        <v>99</v>
      </c>
      <c r="B213" s="73"/>
      <c r="C213" s="73"/>
      <c r="D213" s="73"/>
      <c r="E213" s="73"/>
      <c r="F213" s="73"/>
      <c r="G213" s="73"/>
      <c r="H213" s="73"/>
      <c r="I213" s="73"/>
      <c r="J213" s="73"/>
      <c r="K213" s="73"/>
      <c r="L213" s="73"/>
      <c r="M213" s="73"/>
      <c r="N213" s="73"/>
      <c r="O213" s="73"/>
      <c r="P213" s="73"/>
      <c r="Q213" s="73"/>
      <c r="R213" s="73"/>
      <c r="S213" s="73"/>
      <c r="T213" s="73"/>
      <c r="U213" s="73"/>
      <c r="V213" s="73"/>
      <c r="W213" s="69"/>
      <c r="X213" s="69"/>
      <c r="Y213" s="69"/>
      <c r="Z213" s="69"/>
      <c r="AA213" s="69"/>
      <c r="AB213" s="69"/>
      <c r="AC213" s="69"/>
    </row>
    <row r="214" spans="1:29" ht="20.100000000000001" customHeight="1">
      <c r="A214" s="14" t="s">
        <v>100</v>
      </c>
      <c r="B214" s="15" t="s">
        <v>101</v>
      </c>
      <c r="C214" s="16" t="str">
        <f>IFERROR(INDEX(EJERCICIOS!$D$3:$D$75,MATCH(A214&amp;"|"&amp;B214,EJERCICIOS!$G$3:$G$75,0)),"--")</f>
        <v>mancuerna</v>
      </c>
      <c r="D214" s="17">
        <v>3</v>
      </c>
      <c r="E214" s="18">
        <f>IFERROR(LOOKUP(2,1/(MEDIDAS_Y_PESO!$B$3:$B$11&lt;&gt;""),MEDIDAS_Y_PESO!$B$3:$B$11),"--")</f>
        <v>80</v>
      </c>
      <c r="F214" s="19"/>
      <c r="G214" s="20"/>
      <c r="H214" s="21"/>
      <c r="I214" s="19"/>
      <c r="J214" s="20"/>
      <c r="K214" s="21"/>
      <c r="L214" s="19"/>
      <c r="M214" s="20"/>
      <c r="N214" s="21"/>
      <c r="O214" s="19"/>
      <c r="P214" s="20"/>
      <c r="Q214" s="21"/>
      <c r="R214" s="19"/>
      <c r="S214" s="20"/>
      <c r="T214" s="21"/>
      <c r="U214" s="22" t="str">
        <f>IFERROR(IF(IF(X214&gt;0,X214,IF(Z214&gt;0,Z214,IF(AB214&gt;0,AB214,0)))=0,"--",ROUND(CHOOSE(IF(X214&gt;0,X214,IF(Z214&gt;0,Z214,IF(AB214&gt;0,AB214,0))),IF(C214="peso_corporal",IF(ISNUMBER(E214),E214,0)+F214,F214)*(1+G214/30),IF(C214="peso_corporal",IF(ISNUMBER(E214),E214,0)+I214,I214)*(1+J214/30),IF(C214="peso_corporal",IF(ISNUMBER(E214),E214,0)+L214,L214)*(1+M214/30),IF(C214="peso_corporal",IF(ISNUMBER(E214),E214,0)+O214,O214)*(1+P214/30),IF(C214="peso_corporal",IF(ISNUMBER(E214),E214,0)+R214,R214)*(1+S214/30)),1)),"--")</f>
        <v>--</v>
      </c>
      <c r="V214" s="23" t="str">
        <f>IF(SUGERENCIAS!N564="SIN","Sin datos anteriores",IF(SUGERENCIAS!N564="SUBIR_F","^ SUBIR FUERTE | Kg:"&amp;ROUND(SUGERENCIAS!K564,1)&amp;" R:"&amp;ROUND(SUGERENCIAS!L564,0)&amp;" RIR:"&amp;ROUND(SUGERENCIAS!M564,0),IF(SUGERENCIAS!N564="SUBIR_E","^ SUBIR (Est.) | Kg:"&amp;ROUND(SUGERENCIAS!K564,1)&amp;" R:"&amp;ROUND(SUGERENCIAS!L564,0)&amp;" RIR:"&amp;ROUND(SUGERENCIAS!M564,0),IF(SUGERENCIAS!N564="SUBIR","^ SUBIR | Kg:"&amp;ROUND(SUGERENCIAS!K564,1)&amp;" R:"&amp;ROUND(SUGERENCIAS!L564,0)&amp;" RIR:"&amp;ROUND(SUGERENCIAS!M564,0),IF(SUGERENCIAS!N564="BAJAR","v BAJAR | Kg:"&amp;ROUND(SUGERENCIAS!K564,1)&amp;" R:"&amp;ROUND(SUGERENCIAS!L564,0)&amp;" RIR:"&amp;ROUND(SUGERENCIAS!M564,0),"= MANT | Kg:"&amp;ROUND(SUGERENCIAS!K564,1)&amp;" R:"&amp;ROUND(SUGERENCIAS!L564,0)&amp;" RIR:"&amp;ROUND(SUGERENCIAS!M564,0))))))</f>
        <v>Sin datos anteriores</v>
      </c>
      <c r="W214" s="69">
        <f>MAX(IF((G214&gt;0)*(IF(H214="",-1,H214)&gt;=0)*(IF(H214="",-1,H214)&lt;=1),IF(C214="peso_corporal",IF(ISNUMBER(E214),E214,0)+F214,F214)*G214*1000+F214,0),IF((J214&gt;0)*(IF(K214="",-1,K214)&gt;=0)*(IF(K214="",-1,K214)&lt;=1),IF(C214="peso_corporal",IF(ISNUMBER(E214),E214,0)+I214,I214)*J214*1000+I214,0),IF((M214&gt;0)*(IF(N214="",-1,N214)&gt;=0)*(IF(N214="",-1,N214)&lt;=1),IF(C214="peso_corporal",IF(ISNUMBER(E214),E214,0)+L214,L214)*M214*1000+L214,0),IF((P214&gt;0)*(IF(Q214="",-1,Q214)&gt;=0)*(IF(Q214="",-1,Q214)&lt;=1),IF(C214="peso_corporal",IF(ISNUMBER(E214),E214,0)+O214,O214)*P214*1000+O214,0),IF((S214&gt;0)*(IF(T214="",-1,T214)&gt;=0)*(IF(T214="",-1,T214)&lt;=1),IF(C214="peso_corporal",IF(ISNUMBER(E214),E214,0)+R214,R214)*S214*1000+R214,0))</f>
        <v>0</v>
      </c>
      <c r="X214" s="69">
        <f>IF(W214=0,0,IF(IF((S214&gt;0)*(IF(T214="",-1,T214)&gt;=0)*(IF(T214="",-1,T214)&lt;=1),IF(C214="peso_corporal",IF(ISNUMBER(E214),E214,0)+R214,R214)*S214*1000+R214,0)=W214,5,IF(IF((P214&gt;0)*(IF(Q214="",-1,Q214)&gt;=0)*(IF(Q214="",-1,Q214)&lt;=1),IF(C214="peso_corporal",IF(ISNUMBER(E214),E214,0)+O214,O214)*P214*1000+O214,0)=W214,4,IF(IF((M214&gt;0)*(IF(N214="",-1,N214)&gt;=0)*(IF(N214="",-1,N214)&lt;=1),IF(C214="peso_corporal",IF(ISNUMBER(E214),E214,0)+L214,L214)*M214*1000+L214,0)=W214,3,IF(IF((J214&gt;0)*(IF(K214="",-1,K214)&gt;=0)*(IF(K214="",-1,K214)&lt;=1),IF(C214="peso_corporal",IF(ISNUMBER(E214),E214,0)+I214,I214)*J214*1000+I214,0)=W214,2,IF(IF((G214&gt;0)*(IF(H214="",-1,H214)&gt;=0)*(IF(H214="",-1,H214)&lt;=1),IF(C214="peso_corporal",IF(ISNUMBER(E214),E214,0)+F214,F214)*G214*1000+F214,0)=W214,1,0))))))</f>
        <v>0</v>
      </c>
      <c r="Y214" s="69">
        <f>MAX(IF((G214&gt;0)*(IF(H214="",-1,H214)=0)*(1-(IF(H214="",-1,H214)&gt;=0)*(IF(H214="",-1,H214)&lt;=1)),IF(C214="peso_corporal",IF(ISNUMBER(E214),E214,0)+F214,F214)*G214*1000+F214,0),IF((J214&gt;0)*(IF(K214="",-1,K214)=0)*(1-(IF(K214="",-1,K214)&gt;=0)*(IF(K214="",-1,K214)&lt;=1)),IF(C214="peso_corporal",IF(ISNUMBER(E214),E214,0)+I214,I214)*J214*1000+I214,0),IF((M214&gt;0)*(IF(N214="",-1,N214)=0)*(1-(IF(N214="",-1,N214)&gt;=0)*(IF(N214="",-1,N214)&lt;=1)),IF(C214="peso_corporal",IF(ISNUMBER(E214),E214,0)+L214,L214)*M214*1000+L214,0),IF((P214&gt;0)*(IF(Q214="",-1,Q214)=0)*(1-(IF(Q214="",-1,Q214)&gt;=0)*(IF(Q214="",-1,Q214)&lt;=1)),IF(C214="peso_corporal",IF(ISNUMBER(E214),E214,0)+O214,O214)*P214*1000+O214,0),IF((S214&gt;0)*(IF(T214="",-1,T214)=0)*(1-(IF(T214="",-1,T214)&gt;=0)*(IF(T214="",-1,T214)&lt;=1)),IF(C214="peso_corporal",IF(ISNUMBER(E214),E214,0)+R214,R214)*S214*1000+R214,0))</f>
        <v>0</v>
      </c>
      <c r="Z214" s="69">
        <f>IF(Y214=0,0,IF(IF((S214&gt;0)*(IF(T214="",-1,T214)=0)*(1-(IF(T214="",-1,T214)&gt;=0)*(IF(T214="",-1,T214)&lt;=1)),IF(C214="peso_corporal",IF(ISNUMBER(E214),E214,0)+R214,R214)*S214*1000+R214,0)=Y214,5,IF(IF((P214&gt;0)*(IF(Q214="",-1,Q214)=0)*(1-(IF(Q214="",-1,Q214)&gt;=0)*(IF(Q214="",-1,Q214)&lt;=1)),IF(C214="peso_corporal",IF(ISNUMBER(E214),E214,0)+O214,O214)*P214*1000+O214,0)=Y214,4,IF(IF((M214&gt;0)*(IF(N214="",-1,N214)=0)*(1-(IF(N214="",-1,N214)&gt;=0)*(IF(N214="",-1,N214)&lt;=1)),IF(C214="peso_corporal",IF(ISNUMBER(E214),E214,0)+L214,L214)*M214*1000+L214,0)=Y214,3,IF(IF((J214&gt;0)*(IF(K214="",-1,K214)=0)*(1-(IF(K214="",-1,K214)&gt;=0)*(IF(K214="",-1,K214)&lt;=1)),IF(C214="peso_corporal",IF(ISNUMBER(E214),E214,0)+I214,I214)*J214*1000+I214,0)=Y214,2,IF(IF((G214&gt;0)*(IF(H214="",-1,H214)=0)*(1-(IF(H214="",-1,H214)&gt;=0)*(IF(H214="",-1,H214)&lt;=1)),IF(C214="peso_corporal",IF(ISNUMBER(E214),E214,0)+F214,F214)*G214*1000+F214,0)=Y214,1,0))))))</f>
        <v>0</v>
      </c>
      <c r="AA214" s="69">
        <f>MAX(IF((G214&gt;=3)*(1-(IF(H214="",-1,H214)&gt;=0)*(IF(H214="",-1,H214)&lt;=1))*(1-(IF(H214="",-1,H214)=0)),IF(C214="peso_corporal",IF(ISNUMBER(E214),E214,0)+F214,F214)*(30+G214)*100+F214,0),IF((J214&gt;=3)*(1-(IF(K214="",-1,K214)&gt;=0)*(IF(K214="",-1,K214)&lt;=1))*(1-(IF(K214="",-1,K214)=0)),IF(C214="peso_corporal",IF(ISNUMBER(E214),E214,0)+I214,I214)*(30+J214)*100+I214,0),IF((M214&gt;=3)*(1-(IF(N214="",-1,N214)&gt;=0)*(IF(N214="",-1,N214)&lt;=1))*(1-(IF(N214="",-1,N214)=0)),IF(C214="peso_corporal",IF(ISNUMBER(E214),E214,0)+L214,L214)*(30+M214)*100+L214,0),IF((P214&gt;=3)*(1-(IF(Q214="",-1,Q214)&gt;=0)*(IF(Q214="",-1,Q214)&lt;=1))*(1-(IF(Q214="",-1,Q214)=0)),IF(C214="peso_corporal",IF(ISNUMBER(E214),E214,0)+O214,O214)*(30+P214)*100+O214,0),IF((S214&gt;=3)*(1-(IF(T214="",-1,T214)&gt;=0)*(IF(T214="",-1,T214)&lt;=1))*(1-(IF(T214="",-1,T214)=0)),IF(C214="peso_corporal",IF(ISNUMBER(E214),E214,0)+R214,R214)*(30+S214)*100+R214,0))</f>
        <v>0</v>
      </c>
      <c r="AB214" s="69">
        <f>IF(AA214=0,0,IF(IF((S214&gt;=3)*(1-(IF(T214="",-1,T214)&gt;=0)*(IF(T214="",-1,T214)&lt;=1))*(1-(IF(T214="",-1,T214)=0)),IF(C214="peso_corporal",IF(ISNUMBER(E214),E214,0)+R214,R214)*(30+S214)*100+R214,0)=AA214,5,IF(IF((P214&gt;=3)*(1-(IF(Q214="",-1,Q214)&gt;=0)*(IF(Q214="",-1,Q214)&lt;=1))*(1-(IF(Q214="",-1,Q214)=0)),IF(C214="peso_corporal",IF(ISNUMBER(E214),E214,0)+O214,O214)*(30+P214)*100+O214,0)=AA214,4,IF(IF((M214&gt;=3)*(1-(IF(N214="",-1,N214)&gt;=0)*(IF(N214="",-1,N214)&lt;=1))*(1-(IF(N214="",-1,N214)=0)),IF(C214="peso_corporal",IF(ISNUMBER(E214),E214,0)+L214,L214)*(30+M214)*100+L214,0)=AA214,3,IF(IF((J214&gt;=3)*(1-(IF(K214="",-1,K214)&gt;=0)*(IF(K214="",-1,K214)&lt;=1))*(1-(IF(K214="",-1,K214)=0)),IF(C214="peso_corporal",IF(ISNUMBER(E214),E214,0)+I214,I214)*(30+J214)*100+I214,0)=AA214,2,IF(IF((G214&gt;=3)*(1-(IF(H214="",-1,H214)&gt;=0)*(IF(H214="",-1,H214)&lt;=1))*(1-(IF(H214="",-1,H214)=0)),IF(C214="peso_corporal",IF(ISNUMBER(E214),E214,0)+F214,F214)*(30+G214)*100+F214,0)=AA214,1,0))))))</f>
        <v>0</v>
      </c>
      <c r="AC214" s="69" t="str">
        <f>IF(X214&gt;0,"A"&amp;X214,IF(Z214&gt;0,"B"&amp;Z214,IF(AB214&gt;0,"C"&amp;AB214,"")))</f>
        <v/>
      </c>
    </row>
    <row r="215" spans="1:29" ht="20.100000000000001" customHeight="1">
      <c r="A215" s="14" t="s">
        <v>100</v>
      </c>
      <c r="B215" s="15" t="s">
        <v>102</v>
      </c>
      <c r="C215" s="16" t="str">
        <f>IFERROR(INDEX(EJERCICIOS!$D$3:$D$75,MATCH(A215&amp;"|"&amp;B215,EJERCICIOS!$G$3:$G$75,0)),"--")</f>
        <v>mancuerna</v>
      </c>
      <c r="D215" s="17">
        <v>3</v>
      </c>
      <c r="E215" s="18">
        <f>IFERROR(LOOKUP(2,1/(MEDIDAS_Y_PESO!$B$3:$B$11&lt;&gt;""),MEDIDAS_Y_PESO!$B$3:$B$11),"--")</f>
        <v>80</v>
      </c>
      <c r="F215" s="19"/>
      <c r="G215" s="20"/>
      <c r="H215" s="21"/>
      <c r="I215" s="19"/>
      <c r="J215" s="20"/>
      <c r="K215" s="21"/>
      <c r="L215" s="19"/>
      <c r="M215" s="20"/>
      <c r="N215" s="21"/>
      <c r="O215" s="19"/>
      <c r="P215" s="20"/>
      <c r="Q215" s="21"/>
      <c r="R215" s="19"/>
      <c r="S215" s="20"/>
      <c r="T215" s="21"/>
      <c r="U215" s="22" t="str">
        <f>IFERROR(IF(IF(X215&gt;0,X215,IF(Z215&gt;0,Z215,IF(AB215&gt;0,AB215,0)))=0,"--",ROUND(CHOOSE(IF(X215&gt;0,X215,IF(Z215&gt;0,Z215,IF(AB215&gt;0,AB215,0))),IF(C215="peso_corporal",IF(ISNUMBER(E215),E215,0)+F215,F215)*(1+G215/30),IF(C215="peso_corporal",IF(ISNUMBER(E215),E215,0)+I215,I215)*(1+J215/30),IF(C215="peso_corporal",IF(ISNUMBER(E215),E215,0)+L215,L215)*(1+M215/30),IF(C215="peso_corporal",IF(ISNUMBER(E215),E215,0)+O215,O215)*(1+P215/30),IF(C215="peso_corporal",IF(ISNUMBER(E215),E215,0)+R215,R215)*(1+S215/30)),1)),"--")</f>
        <v>--</v>
      </c>
      <c r="V215" s="23" t="str">
        <f>IF(SUGERENCIAS!N565="SIN","Sin datos anteriores",IF(SUGERENCIAS!N565="SUBIR_F","^ SUBIR FUERTE | Kg:"&amp;ROUND(SUGERENCIAS!K565,1)&amp;" R:"&amp;ROUND(SUGERENCIAS!L565,0)&amp;" RIR:"&amp;ROUND(SUGERENCIAS!M565,0),IF(SUGERENCIAS!N565="SUBIR_E","^ SUBIR (Est.) | Kg:"&amp;ROUND(SUGERENCIAS!K565,1)&amp;" R:"&amp;ROUND(SUGERENCIAS!L565,0)&amp;" RIR:"&amp;ROUND(SUGERENCIAS!M565,0),IF(SUGERENCIAS!N565="SUBIR","^ SUBIR | Kg:"&amp;ROUND(SUGERENCIAS!K565,1)&amp;" R:"&amp;ROUND(SUGERENCIAS!L565,0)&amp;" RIR:"&amp;ROUND(SUGERENCIAS!M565,0),IF(SUGERENCIAS!N565="BAJAR","v BAJAR | Kg:"&amp;ROUND(SUGERENCIAS!K565,1)&amp;" R:"&amp;ROUND(SUGERENCIAS!L565,0)&amp;" RIR:"&amp;ROUND(SUGERENCIAS!M565,0),"= MANT | Kg:"&amp;ROUND(SUGERENCIAS!K565,1)&amp;" R:"&amp;ROUND(SUGERENCIAS!L565,0)&amp;" RIR:"&amp;ROUND(SUGERENCIAS!M565,0))))))</f>
        <v>Sin datos anteriores</v>
      </c>
      <c r="W215" s="69">
        <f>MAX(IF((G215&gt;0)*(IF(H215="",-1,H215)&gt;=0)*(IF(H215="",-1,H215)&lt;=1),IF(C215="peso_corporal",IF(ISNUMBER(E215),E215,0)+F215,F215)*G215*1000+F215,0),IF((J215&gt;0)*(IF(K215="",-1,K215)&gt;=0)*(IF(K215="",-1,K215)&lt;=1),IF(C215="peso_corporal",IF(ISNUMBER(E215),E215,0)+I215,I215)*J215*1000+I215,0),IF((M215&gt;0)*(IF(N215="",-1,N215)&gt;=0)*(IF(N215="",-1,N215)&lt;=1),IF(C215="peso_corporal",IF(ISNUMBER(E215),E215,0)+L215,L215)*M215*1000+L215,0),IF((P215&gt;0)*(IF(Q215="",-1,Q215)&gt;=0)*(IF(Q215="",-1,Q215)&lt;=1),IF(C215="peso_corporal",IF(ISNUMBER(E215),E215,0)+O215,O215)*P215*1000+O215,0),IF((S215&gt;0)*(IF(T215="",-1,T215)&gt;=0)*(IF(T215="",-1,T215)&lt;=1),IF(C215="peso_corporal",IF(ISNUMBER(E215),E215,0)+R215,R215)*S215*1000+R215,0))</f>
        <v>0</v>
      </c>
      <c r="X215" s="69">
        <f>IF(W215=0,0,IF(IF((S215&gt;0)*(IF(T215="",-1,T215)&gt;=0)*(IF(T215="",-1,T215)&lt;=1),IF(C215="peso_corporal",IF(ISNUMBER(E215),E215,0)+R215,R215)*S215*1000+R215,0)=W215,5,IF(IF((P215&gt;0)*(IF(Q215="",-1,Q215)&gt;=0)*(IF(Q215="",-1,Q215)&lt;=1),IF(C215="peso_corporal",IF(ISNUMBER(E215),E215,0)+O215,O215)*P215*1000+O215,0)=W215,4,IF(IF((M215&gt;0)*(IF(N215="",-1,N215)&gt;=0)*(IF(N215="",-1,N215)&lt;=1),IF(C215="peso_corporal",IF(ISNUMBER(E215),E215,0)+L215,L215)*M215*1000+L215,0)=W215,3,IF(IF((J215&gt;0)*(IF(K215="",-1,K215)&gt;=0)*(IF(K215="",-1,K215)&lt;=1),IF(C215="peso_corporal",IF(ISNUMBER(E215),E215,0)+I215,I215)*J215*1000+I215,0)=W215,2,IF(IF((G215&gt;0)*(IF(H215="",-1,H215)&gt;=0)*(IF(H215="",-1,H215)&lt;=1),IF(C215="peso_corporal",IF(ISNUMBER(E215),E215,0)+F215,F215)*G215*1000+F215,0)=W215,1,0))))))</f>
        <v>0</v>
      </c>
      <c r="Y215" s="69">
        <f>MAX(IF((G215&gt;0)*(IF(H215="",-1,H215)=0)*(1-(IF(H215="",-1,H215)&gt;=0)*(IF(H215="",-1,H215)&lt;=1)),IF(C215="peso_corporal",IF(ISNUMBER(E215),E215,0)+F215,F215)*G215*1000+F215,0),IF((J215&gt;0)*(IF(K215="",-1,K215)=0)*(1-(IF(K215="",-1,K215)&gt;=0)*(IF(K215="",-1,K215)&lt;=1)),IF(C215="peso_corporal",IF(ISNUMBER(E215),E215,0)+I215,I215)*J215*1000+I215,0),IF((M215&gt;0)*(IF(N215="",-1,N215)=0)*(1-(IF(N215="",-1,N215)&gt;=0)*(IF(N215="",-1,N215)&lt;=1)),IF(C215="peso_corporal",IF(ISNUMBER(E215),E215,0)+L215,L215)*M215*1000+L215,0),IF((P215&gt;0)*(IF(Q215="",-1,Q215)=0)*(1-(IF(Q215="",-1,Q215)&gt;=0)*(IF(Q215="",-1,Q215)&lt;=1)),IF(C215="peso_corporal",IF(ISNUMBER(E215),E215,0)+O215,O215)*P215*1000+O215,0),IF((S215&gt;0)*(IF(T215="",-1,T215)=0)*(1-(IF(T215="",-1,T215)&gt;=0)*(IF(T215="",-1,T215)&lt;=1)),IF(C215="peso_corporal",IF(ISNUMBER(E215),E215,0)+R215,R215)*S215*1000+R215,0))</f>
        <v>0</v>
      </c>
      <c r="Z215" s="69">
        <f>IF(Y215=0,0,IF(IF((S215&gt;0)*(IF(T215="",-1,T215)=0)*(1-(IF(T215="",-1,T215)&gt;=0)*(IF(T215="",-1,T215)&lt;=1)),IF(C215="peso_corporal",IF(ISNUMBER(E215),E215,0)+R215,R215)*S215*1000+R215,0)=Y215,5,IF(IF((P215&gt;0)*(IF(Q215="",-1,Q215)=0)*(1-(IF(Q215="",-1,Q215)&gt;=0)*(IF(Q215="",-1,Q215)&lt;=1)),IF(C215="peso_corporal",IF(ISNUMBER(E215),E215,0)+O215,O215)*P215*1000+O215,0)=Y215,4,IF(IF((M215&gt;0)*(IF(N215="",-1,N215)=0)*(1-(IF(N215="",-1,N215)&gt;=0)*(IF(N215="",-1,N215)&lt;=1)),IF(C215="peso_corporal",IF(ISNUMBER(E215),E215,0)+L215,L215)*M215*1000+L215,0)=Y215,3,IF(IF((J215&gt;0)*(IF(K215="",-1,K215)=0)*(1-(IF(K215="",-1,K215)&gt;=0)*(IF(K215="",-1,K215)&lt;=1)),IF(C215="peso_corporal",IF(ISNUMBER(E215),E215,0)+I215,I215)*J215*1000+I215,0)=Y215,2,IF(IF((G215&gt;0)*(IF(H215="",-1,H215)=0)*(1-(IF(H215="",-1,H215)&gt;=0)*(IF(H215="",-1,H215)&lt;=1)),IF(C215="peso_corporal",IF(ISNUMBER(E215),E215,0)+F215,F215)*G215*1000+F215,0)=Y215,1,0))))))</f>
        <v>0</v>
      </c>
      <c r="AA215" s="69">
        <f>MAX(IF((G215&gt;=3)*(1-(IF(H215="",-1,H215)&gt;=0)*(IF(H215="",-1,H215)&lt;=1))*(1-(IF(H215="",-1,H215)=0)),IF(C215="peso_corporal",IF(ISNUMBER(E215),E215,0)+F215,F215)*(30+G215)*100+F215,0),IF((J215&gt;=3)*(1-(IF(K215="",-1,K215)&gt;=0)*(IF(K215="",-1,K215)&lt;=1))*(1-(IF(K215="",-1,K215)=0)),IF(C215="peso_corporal",IF(ISNUMBER(E215),E215,0)+I215,I215)*(30+J215)*100+I215,0),IF((M215&gt;=3)*(1-(IF(N215="",-1,N215)&gt;=0)*(IF(N215="",-1,N215)&lt;=1))*(1-(IF(N215="",-1,N215)=0)),IF(C215="peso_corporal",IF(ISNUMBER(E215),E215,0)+L215,L215)*(30+M215)*100+L215,0),IF((P215&gt;=3)*(1-(IF(Q215="",-1,Q215)&gt;=0)*(IF(Q215="",-1,Q215)&lt;=1))*(1-(IF(Q215="",-1,Q215)=0)),IF(C215="peso_corporal",IF(ISNUMBER(E215),E215,0)+O215,O215)*(30+P215)*100+O215,0),IF((S215&gt;=3)*(1-(IF(T215="",-1,T215)&gt;=0)*(IF(T215="",-1,T215)&lt;=1))*(1-(IF(T215="",-1,T215)=0)),IF(C215="peso_corporal",IF(ISNUMBER(E215),E215,0)+R215,R215)*(30+S215)*100+R215,0))</f>
        <v>0</v>
      </c>
      <c r="AB215" s="69">
        <f>IF(AA215=0,0,IF(IF((S215&gt;=3)*(1-(IF(T215="",-1,T215)&gt;=0)*(IF(T215="",-1,T215)&lt;=1))*(1-(IF(T215="",-1,T215)=0)),IF(C215="peso_corporal",IF(ISNUMBER(E215),E215,0)+R215,R215)*(30+S215)*100+R215,0)=AA215,5,IF(IF((P215&gt;=3)*(1-(IF(Q215="",-1,Q215)&gt;=0)*(IF(Q215="",-1,Q215)&lt;=1))*(1-(IF(Q215="",-1,Q215)=0)),IF(C215="peso_corporal",IF(ISNUMBER(E215),E215,0)+O215,O215)*(30+P215)*100+O215,0)=AA215,4,IF(IF((M215&gt;=3)*(1-(IF(N215="",-1,N215)&gt;=0)*(IF(N215="",-1,N215)&lt;=1))*(1-(IF(N215="",-1,N215)=0)),IF(C215="peso_corporal",IF(ISNUMBER(E215),E215,0)+L215,L215)*(30+M215)*100+L215,0)=AA215,3,IF(IF((J215&gt;=3)*(1-(IF(K215="",-1,K215)&gt;=0)*(IF(K215="",-1,K215)&lt;=1))*(1-(IF(K215="",-1,K215)=0)),IF(C215="peso_corporal",IF(ISNUMBER(E215),E215,0)+I215,I215)*(30+J215)*100+I215,0)=AA215,2,IF(IF((G215&gt;=3)*(1-(IF(H215="",-1,H215)&gt;=0)*(IF(H215="",-1,H215)&lt;=1))*(1-(IF(H215="",-1,H215)=0)),IF(C215="peso_corporal",IF(ISNUMBER(E215),E215,0)+F215,F215)*(30+G215)*100+F215,0)=AA215,1,0))))))</f>
        <v>0</v>
      </c>
      <c r="AC215" s="69" t="str">
        <f>IF(X215&gt;0,"A"&amp;X215,IF(Z215&gt;0,"B"&amp;Z215,IF(AB215&gt;0,"C"&amp;AB215,"")))</f>
        <v/>
      </c>
    </row>
    <row r="216" spans="1:29" ht="15" customHeight="1">
      <c r="A216" s="81" t="s">
        <v>42</v>
      </c>
      <c r="B216" s="73"/>
      <c r="C216" s="73"/>
      <c r="D216" s="73"/>
      <c r="E216" s="73"/>
      <c r="F216" s="73"/>
      <c r="G216" s="73"/>
      <c r="H216" s="73"/>
      <c r="I216" s="73"/>
      <c r="J216" s="73"/>
      <c r="K216" s="73"/>
      <c r="L216" s="73"/>
      <c r="M216" s="73"/>
      <c r="N216" s="73"/>
      <c r="O216" s="73"/>
      <c r="P216" s="73"/>
      <c r="Q216" s="73"/>
      <c r="R216" s="73"/>
      <c r="S216" s="73"/>
      <c r="T216" s="73"/>
      <c r="U216" s="73"/>
      <c r="V216" s="73"/>
      <c r="W216" s="69"/>
      <c r="X216" s="69"/>
      <c r="Y216" s="69"/>
      <c r="Z216" s="69"/>
      <c r="AA216" s="69"/>
      <c r="AB216" s="69"/>
      <c r="AC216" s="69"/>
    </row>
    <row r="217" spans="1:29" ht="20.100000000000001" customHeight="1">
      <c r="A217" s="14" t="s">
        <v>43</v>
      </c>
      <c r="B217" s="15" t="s">
        <v>44</v>
      </c>
      <c r="C217" s="16" t="str">
        <f>IFERROR(INDEX(EJERCICIOS!$D$3:$D$75,MATCH(A217&amp;"|"&amp;B217,EJERCICIOS!$G$3:$G$75,0)),"--")</f>
        <v>polea</v>
      </c>
      <c r="D217" s="17">
        <v>3</v>
      </c>
      <c r="E217" s="18">
        <f>IFERROR(LOOKUP(2,1/(MEDIDAS_Y_PESO!$B$3:$B$11&lt;&gt;""),MEDIDAS_Y_PESO!$B$3:$B$11),"--")</f>
        <v>80</v>
      </c>
      <c r="F217" s="19"/>
      <c r="G217" s="20"/>
      <c r="H217" s="21"/>
      <c r="I217" s="19"/>
      <c r="J217" s="20"/>
      <c r="K217" s="21"/>
      <c r="L217" s="19"/>
      <c r="M217" s="20"/>
      <c r="N217" s="21"/>
      <c r="O217" s="19"/>
      <c r="P217" s="20"/>
      <c r="Q217" s="21"/>
      <c r="R217" s="19"/>
      <c r="S217" s="20"/>
      <c r="T217" s="21"/>
      <c r="U217" s="22" t="str">
        <f>IFERROR(IF(IF(X217&gt;0,X217,IF(Z217&gt;0,Z217,IF(AB217&gt;0,AB217,0)))=0,"--",ROUND(CHOOSE(IF(X217&gt;0,X217,IF(Z217&gt;0,Z217,IF(AB217&gt;0,AB217,0))),IF(C217="peso_corporal",IF(ISNUMBER(E217),E217,0)+F217,F217)*(1+G217/30),IF(C217="peso_corporal",IF(ISNUMBER(E217),E217,0)+I217,I217)*(1+J217/30),IF(C217="peso_corporal",IF(ISNUMBER(E217),E217,0)+L217,L217)*(1+M217/30),IF(C217="peso_corporal",IF(ISNUMBER(E217),E217,0)+O217,O217)*(1+P217/30),IF(C217="peso_corporal",IF(ISNUMBER(E217),E217,0)+R217,R217)*(1+S217/30)),1)),"--")</f>
        <v>--</v>
      </c>
      <c r="V217" s="23" t="str">
        <f>IF(SUGERENCIAS!N566="SIN","Sin datos anteriores",IF(SUGERENCIAS!N566="SUBIR_F","^ SUBIR FUERTE | Kg:"&amp;ROUND(SUGERENCIAS!K566,1)&amp;" R:"&amp;ROUND(SUGERENCIAS!L566,0)&amp;" RIR:"&amp;ROUND(SUGERENCIAS!M566,0),IF(SUGERENCIAS!N566="SUBIR_E","^ SUBIR (Est.) | Kg:"&amp;ROUND(SUGERENCIAS!K566,1)&amp;" R:"&amp;ROUND(SUGERENCIAS!L566,0)&amp;" RIR:"&amp;ROUND(SUGERENCIAS!M566,0),IF(SUGERENCIAS!N566="SUBIR","^ SUBIR | Kg:"&amp;ROUND(SUGERENCIAS!K566,1)&amp;" R:"&amp;ROUND(SUGERENCIAS!L566,0)&amp;" RIR:"&amp;ROUND(SUGERENCIAS!M566,0),IF(SUGERENCIAS!N566="BAJAR","v BAJAR | Kg:"&amp;ROUND(SUGERENCIAS!K566,1)&amp;" R:"&amp;ROUND(SUGERENCIAS!L566,0)&amp;" RIR:"&amp;ROUND(SUGERENCIAS!M566,0),"= MANT | Kg:"&amp;ROUND(SUGERENCIAS!K566,1)&amp;" R:"&amp;ROUND(SUGERENCIAS!L566,0)&amp;" RIR:"&amp;ROUND(SUGERENCIAS!M566,0))))))</f>
        <v>Sin datos anteriores</v>
      </c>
      <c r="W217" s="69">
        <f>MAX(IF((G217&gt;0)*(IF(H217="",-1,H217)&gt;=0)*(IF(H217="",-1,H217)&lt;=1),IF(C217="peso_corporal",IF(ISNUMBER(E217),E217,0)+F217,F217)*G217*1000+F217,0),IF((J217&gt;0)*(IF(K217="",-1,K217)&gt;=0)*(IF(K217="",-1,K217)&lt;=1),IF(C217="peso_corporal",IF(ISNUMBER(E217),E217,0)+I217,I217)*J217*1000+I217,0),IF((M217&gt;0)*(IF(N217="",-1,N217)&gt;=0)*(IF(N217="",-1,N217)&lt;=1),IF(C217="peso_corporal",IF(ISNUMBER(E217),E217,0)+L217,L217)*M217*1000+L217,0),IF((P217&gt;0)*(IF(Q217="",-1,Q217)&gt;=0)*(IF(Q217="",-1,Q217)&lt;=1),IF(C217="peso_corporal",IF(ISNUMBER(E217),E217,0)+O217,O217)*P217*1000+O217,0),IF((S217&gt;0)*(IF(T217="",-1,T217)&gt;=0)*(IF(T217="",-1,T217)&lt;=1),IF(C217="peso_corporal",IF(ISNUMBER(E217),E217,0)+R217,R217)*S217*1000+R217,0))</f>
        <v>0</v>
      </c>
      <c r="X217" s="69">
        <f>IF(W217=0,0,IF(IF((S217&gt;0)*(IF(T217="",-1,T217)&gt;=0)*(IF(T217="",-1,T217)&lt;=1),IF(C217="peso_corporal",IF(ISNUMBER(E217),E217,0)+R217,R217)*S217*1000+R217,0)=W217,5,IF(IF((P217&gt;0)*(IF(Q217="",-1,Q217)&gt;=0)*(IF(Q217="",-1,Q217)&lt;=1),IF(C217="peso_corporal",IF(ISNUMBER(E217),E217,0)+O217,O217)*P217*1000+O217,0)=W217,4,IF(IF((M217&gt;0)*(IF(N217="",-1,N217)&gt;=0)*(IF(N217="",-1,N217)&lt;=1),IF(C217="peso_corporal",IF(ISNUMBER(E217),E217,0)+L217,L217)*M217*1000+L217,0)=W217,3,IF(IF((J217&gt;0)*(IF(K217="",-1,K217)&gt;=0)*(IF(K217="",-1,K217)&lt;=1),IF(C217="peso_corporal",IF(ISNUMBER(E217),E217,0)+I217,I217)*J217*1000+I217,0)=W217,2,IF(IF((G217&gt;0)*(IF(H217="",-1,H217)&gt;=0)*(IF(H217="",-1,H217)&lt;=1),IF(C217="peso_corporal",IF(ISNUMBER(E217),E217,0)+F217,F217)*G217*1000+F217,0)=W217,1,0))))))</f>
        <v>0</v>
      </c>
      <c r="Y217" s="69">
        <f>MAX(IF((G217&gt;0)*(IF(H217="",-1,H217)=0)*(1-(IF(H217="",-1,H217)&gt;=0)*(IF(H217="",-1,H217)&lt;=1)),IF(C217="peso_corporal",IF(ISNUMBER(E217),E217,0)+F217,F217)*G217*1000+F217,0),IF((J217&gt;0)*(IF(K217="",-1,K217)=0)*(1-(IF(K217="",-1,K217)&gt;=0)*(IF(K217="",-1,K217)&lt;=1)),IF(C217="peso_corporal",IF(ISNUMBER(E217),E217,0)+I217,I217)*J217*1000+I217,0),IF((M217&gt;0)*(IF(N217="",-1,N217)=0)*(1-(IF(N217="",-1,N217)&gt;=0)*(IF(N217="",-1,N217)&lt;=1)),IF(C217="peso_corporal",IF(ISNUMBER(E217),E217,0)+L217,L217)*M217*1000+L217,0),IF((P217&gt;0)*(IF(Q217="",-1,Q217)=0)*(1-(IF(Q217="",-1,Q217)&gt;=0)*(IF(Q217="",-1,Q217)&lt;=1)),IF(C217="peso_corporal",IF(ISNUMBER(E217),E217,0)+O217,O217)*P217*1000+O217,0),IF((S217&gt;0)*(IF(T217="",-1,T217)=0)*(1-(IF(T217="",-1,T217)&gt;=0)*(IF(T217="",-1,T217)&lt;=1)),IF(C217="peso_corporal",IF(ISNUMBER(E217),E217,0)+R217,R217)*S217*1000+R217,0))</f>
        <v>0</v>
      </c>
      <c r="Z217" s="69">
        <f>IF(Y217=0,0,IF(IF((S217&gt;0)*(IF(T217="",-1,T217)=0)*(1-(IF(T217="",-1,T217)&gt;=0)*(IF(T217="",-1,T217)&lt;=1)),IF(C217="peso_corporal",IF(ISNUMBER(E217),E217,0)+R217,R217)*S217*1000+R217,0)=Y217,5,IF(IF((P217&gt;0)*(IF(Q217="",-1,Q217)=0)*(1-(IF(Q217="",-1,Q217)&gt;=0)*(IF(Q217="",-1,Q217)&lt;=1)),IF(C217="peso_corporal",IF(ISNUMBER(E217),E217,0)+O217,O217)*P217*1000+O217,0)=Y217,4,IF(IF((M217&gt;0)*(IF(N217="",-1,N217)=0)*(1-(IF(N217="",-1,N217)&gt;=0)*(IF(N217="",-1,N217)&lt;=1)),IF(C217="peso_corporal",IF(ISNUMBER(E217),E217,0)+L217,L217)*M217*1000+L217,0)=Y217,3,IF(IF((J217&gt;0)*(IF(K217="",-1,K217)=0)*(1-(IF(K217="",-1,K217)&gt;=0)*(IF(K217="",-1,K217)&lt;=1)),IF(C217="peso_corporal",IF(ISNUMBER(E217),E217,0)+I217,I217)*J217*1000+I217,0)=Y217,2,IF(IF((G217&gt;0)*(IF(H217="",-1,H217)=0)*(1-(IF(H217="",-1,H217)&gt;=0)*(IF(H217="",-1,H217)&lt;=1)),IF(C217="peso_corporal",IF(ISNUMBER(E217),E217,0)+F217,F217)*G217*1000+F217,0)=Y217,1,0))))))</f>
        <v>0</v>
      </c>
      <c r="AA217" s="69">
        <f>MAX(IF((G217&gt;=3)*(1-(IF(H217="",-1,H217)&gt;=0)*(IF(H217="",-1,H217)&lt;=1))*(1-(IF(H217="",-1,H217)=0)),IF(C217="peso_corporal",IF(ISNUMBER(E217),E217,0)+F217,F217)*(30+G217)*100+F217,0),IF((J217&gt;=3)*(1-(IF(K217="",-1,K217)&gt;=0)*(IF(K217="",-1,K217)&lt;=1))*(1-(IF(K217="",-1,K217)=0)),IF(C217="peso_corporal",IF(ISNUMBER(E217),E217,0)+I217,I217)*(30+J217)*100+I217,0),IF((M217&gt;=3)*(1-(IF(N217="",-1,N217)&gt;=0)*(IF(N217="",-1,N217)&lt;=1))*(1-(IF(N217="",-1,N217)=0)),IF(C217="peso_corporal",IF(ISNUMBER(E217),E217,0)+L217,L217)*(30+M217)*100+L217,0),IF((P217&gt;=3)*(1-(IF(Q217="",-1,Q217)&gt;=0)*(IF(Q217="",-1,Q217)&lt;=1))*(1-(IF(Q217="",-1,Q217)=0)),IF(C217="peso_corporal",IF(ISNUMBER(E217),E217,0)+O217,O217)*(30+P217)*100+O217,0),IF((S217&gt;=3)*(1-(IF(T217="",-1,T217)&gt;=0)*(IF(T217="",-1,T217)&lt;=1))*(1-(IF(T217="",-1,T217)=0)),IF(C217="peso_corporal",IF(ISNUMBER(E217),E217,0)+R217,R217)*(30+S217)*100+R217,0))</f>
        <v>0</v>
      </c>
      <c r="AB217" s="69">
        <f>IF(AA217=0,0,IF(IF((S217&gt;=3)*(1-(IF(T217="",-1,T217)&gt;=0)*(IF(T217="",-1,T217)&lt;=1))*(1-(IF(T217="",-1,T217)=0)),IF(C217="peso_corporal",IF(ISNUMBER(E217),E217,0)+R217,R217)*(30+S217)*100+R217,0)=AA217,5,IF(IF((P217&gt;=3)*(1-(IF(Q217="",-1,Q217)&gt;=0)*(IF(Q217="",-1,Q217)&lt;=1))*(1-(IF(Q217="",-1,Q217)=0)),IF(C217="peso_corporal",IF(ISNUMBER(E217),E217,0)+O217,O217)*(30+P217)*100+O217,0)=AA217,4,IF(IF((M217&gt;=3)*(1-(IF(N217="",-1,N217)&gt;=0)*(IF(N217="",-1,N217)&lt;=1))*(1-(IF(N217="",-1,N217)=0)),IF(C217="peso_corporal",IF(ISNUMBER(E217),E217,0)+L217,L217)*(30+M217)*100+L217,0)=AA217,3,IF(IF((J217&gt;=3)*(1-(IF(K217="",-1,K217)&gt;=0)*(IF(K217="",-1,K217)&lt;=1))*(1-(IF(K217="",-1,K217)=0)),IF(C217="peso_corporal",IF(ISNUMBER(E217),E217,0)+I217,I217)*(30+J217)*100+I217,0)=AA217,2,IF(IF((G217&gt;=3)*(1-(IF(H217="",-1,H217)&gt;=0)*(IF(H217="",-1,H217)&lt;=1))*(1-(IF(H217="",-1,H217)=0)),IF(C217="peso_corporal",IF(ISNUMBER(E217),E217,0)+F217,F217)*(30+G217)*100+F217,0)=AA217,1,0))))))</f>
        <v>0</v>
      </c>
      <c r="AC217" s="69" t="str">
        <f>IF(X217&gt;0,"A"&amp;X217,IF(Z217&gt;0,"B"&amp;Z217,IF(AB217&gt;0,"C"&amp;AB217,"")))</f>
        <v/>
      </c>
    </row>
    <row r="218" spans="1:29" ht="15" customHeight="1">
      <c r="A218" s="81" t="s">
        <v>174</v>
      </c>
      <c r="B218" s="73"/>
      <c r="C218" s="73"/>
      <c r="D218" s="73"/>
      <c r="E218" s="73"/>
      <c r="F218" s="73"/>
      <c r="G218" s="73"/>
      <c r="H218" s="73"/>
      <c r="I218" s="73"/>
      <c r="J218" s="73"/>
      <c r="K218" s="73"/>
      <c r="L218" s="73"/>
      <c r="M218" s="73"/>
      <c r="N218" s="73"/>
      <c r="O218" s="73"/>
      <c r="P218" s="73"/>
      <c r="Q218" s="73"/>
      <c r="R218" s="73"/>
      <c r="S218" s="73"/>
      <c r="T218" s="73"/>
      <c r="U218" s="73"/>
      <c r="V218" s="73"/>
      <c r="W218" s="69"/>
      <c r="X218" s="69"/>
      <c r="Y218" s="69"/>
      <c r="Z218" s="69"/>
      <c r="AA218" s="69"/>
      <c r="AB218" s="69"/>
      <c r="AC218" s="69"/>
    </row>
    <row r="219" spans="1:29" ht="20.100000000000001" customHeight="1">
      <c r="A219" s="14" t="s">
        <v>175</v>
      </c>
      <c r="B219" s="15" t="s">
        <v>176</v>
      </c>
      <c r="C219" s="16" t="str">
        <f>IFERROR(INDEX(EJERCICIOS!$D$3:$D$75,MATCH(A219&amp;"|"&amp;B219,EJERCICIOS!$G$3:$G$75,0)),"--")</f>
        <v>mancuerna</v>
      </c>
      <c r="D219" s="17">
        <v>3</v>
      </c>
      <c r="E219" s="18">
        <f>IFERROR(LOOKUP(2,1/(MEDIDAS_Y_PESO!$B$3:$B$11&lt;&gt;""),MEDIDAS_Y_PESO!$B$3:$B$11),"--")</f>
        <v>80</v>
      </c>
      <c r="F219" s="19"/>
      <c r="G219" s="20"/>
      <c r="H219" s="21"/>
      <c r="I219" s="19"/>
      <c r="J219" s="20"/>
      <c r="K219" s="21"/>
      <c r="L219" s="19"/>
      <c r="M219" s="20"/>
      <c r="N219" s="21"/>
      <c r="O219" s="19"/>
      <c r="P219" s="20"/>
      <c r="Q219" s="21"/>
      <c r="R219" s="19"/>
      <c r="S219" s="20"/>
      <c r="T219" s="21"/>
      <c r="U219" s="22" t="str">
        <f>IFERROR(IF(IF(X219&gt;0,X219,IF(Z219&gt;0,Z219,IF(AB219&gt;0,AB219,0)))=0,"--",ROUND(CHOOSE(IF(X219&gt;0,X219,IF(Z219&gt;0,Z219,IF(AB219&gt;0,AB219,0))),IF(C219="peso_corporal",IF(ISNUMBER(E219),E219,0)+F219,F219)*(1+G219/30),IF(C219="peso_corporal",IF(ISNUMBER(E219),E219,0)+I219,I219)*(1+J219/30),IF(C219="peso_corporal",IF(ISNUMBER(E219),E219,0)+L219,L219)*(1+M219/30),IF(C219="peso_corporal",IF(ISNUMBER(E219),E219,0)+O219,O219)*(1+P219/30),IF(C219="peso_corporal",IF(ISNUMBER(E219),E219,0)+R219,R219)*(1+S219/30)),1)),"--")</f>
        <v>--</v>
      </c>
      <c r="V219" s="23" t="str">
        <f>IF(SUGERENCIAS!N567="SIN","Sin datos anteriores",IF(SUGERENCIAS!N567="SUBIR_F","^ SUBIR FUERTE | Kg:"&amp;ROUND(SUGERENCIAS!K567,1)&amp;" R:"&amp;ROUND(SUGERENCIAS!L567,0)&amp;" RIR:"&amp;ROUND(SUGERENCIAS!M567,0),IF(SUGERENCIAS!N567="SUBIR_E","^ SUBIR (Est.) | Kg:"&amp;ROUND(SUGERENCIAS!K567,1)&amp;" R:"&amp;ROUND(SUGERENCIAS!L567,0)&amp;" RIR:"&amp;ROUND(SUGERENCIAS!M567,0),IF(SUGERENCIAS!N567="SUBIR","^ SUBIR | Kg:"&amp;ROUND(SUGERENCIAS!K567,1)&amp;" R:"&amp;ROUND(SUGERENCIAS!L567,0)&amp;" RIR:"&amp;ROUND(SUGERENCIAS!M567,0),IF(SUGERENCIAS!N567="BAJAR","v BAJAR | Kg:"&amp;ROUND(SUGERENCIAS!K567,1)&amp;" R:"&amp;ROUND(SUGERENCIAS!L567,0)&amp;" RIR:"&amp;ROUND(SUGERENCIAS!M567,0),"= MANT | Kg:"&amp;ROUND(SUGERENCIAS!K567,1)&amp;" R:"&amp;ROUND(SUGERENCIAS!L567,0)&amp;" RIR:"&amp;ROUND(SUGERENCIAS!M567,0))))))</f>
        <v>Sin datos anteriores</v>
      </c>
      <c r="W219" s="69">
        <f>MAX(IF((G219&gt;0)*(IF(H219="",-1,H219)&gt;=0)*(IF(H219="",-1,H219)&lt;=1),IF(C219="peso_corporal",IF(ISNUMBER(E219),E219,0)+F219,F219)*G219*1000+F219,0),IF((J219&gt;0)*(IF(K219="",-1,K219)&gt;=0)*(IF(K219="",-1,K219)&lt;=1),IF(C219="peso_corporal",IF(ISNUMBER(E219),E219,0)+I219,I219)*J219*1000+I219,0),IF((M219&gt;0)*(IF(N219="",-1,N219)&gt;=0)*(IF(N219="",-1,N219)&lt;=1),IF(C219="peso_corporal",IF(ISNUMBER(E219),E219,0)+L219,L219)*M219*1000+L219,0),IF((P219&gt;0)*(IF(Q219="",-1,Q219)&gt;=0)*(IF(Q219="",-1,Q219)&lt;=1),IF(C219="peso_corporal",IF(ISNUMBER(E219),E219,0)+O219,O219)*P219*1000+O219,0),IF((S219&gt;0)*(IF(T219="",-1,T219)&gt;=0)*(IF(T219="",-1,T219)&lt;=1),IF(C219="peso_corporal",IF(ISNUMBER(E219),E219,0)+R219,R219)*S219*1000+R219,0))</f>
        <v>0</v>
      </c>
      <c r="X219" s="69">
        <f>IF(W219=0,0,IF(IF((S219&gt;0)*(IF(T219="",-1,T219)&gt;=0)*(IF(T219="",-1,T219)&lt;=1),IF(C219="peso_corporal",IF(ISNUMBER(E219),E219,0)+R219,R219)*S219*1000+R219,0)=W219,5,IF(IF((P219&gt;0)*(IF(Q219="",-1,Q219)&gt;=0)*(IF(Q219="",-1,Q219)&lt;=1),IF(C219="peso_corporal",IF(ISNUMBER(E219),E219,0)+O219,O219)*P219*1000+O219,0)=W219,4,IF(IF((M219&gt;0)*(IF(N219="",-1,N219)&gt;=0)*(IF(N219="",-1,N219)&lt;=1),IF(C219="peso_corporal",IF(ISNUMBER(E219),E219,0)+L219,L219)*M219*1000+L219,0)=W219,3,IF(IF((J219&gt;0)*(IF(K219="",-1,K219)&gt;=0)*(IF(K219="",-1,K219)&lt;=1),IF(C219="peso_corporal",IF(ISNUMBER(E219),E219,0)+I219,I219)*J219*1000+I219,0)=W219,2,IF(IF((G219&gt;0)*(IF(H219="",-1,H219)&gt;=0)*(IF(H219="",-1,H219)&lt;=1),IF(C219="peso_corporal",IF(ISNUMBER(E219),E219,0)+F219,F219)*G219*1000+F219,0)=W219,1,0))))))</f>
        <v>0</v>
      </c>
      <c r="Y219" s="69">
        <f>MAX(IF((G219&gt;0)*(IF(H219="",-1,H219)=0)*(1-(IF(H219="",-1,H219)&gt;=0)*(IF(H219="",-1,H219)&lt;=1)),IF(C219="peso_corporal",IF(ISNUMBER(E219),E219,0)+F219,F219)*G219*1000+F219,0),IF((J219&gt;0)*(IF(K219="",-1,K219)=0)*(1-(IF(K219="",-1,K219)&gt;=0)*(IF(K219="",-1,K219)&lt;=1)),IF(C219="peso_corporal",IF(ISNUMBER(E219),E219,0)+I219,I219)*J219*1000+I219,0),IF((M219&gt;0)*(IF(N219="",-1,N219)=0)*(1-(IF(N219="",-1,N219)&gt;=0)*(IF(N219="",-1,N219)&lt;=1)),IF(C219="peso_corporal",IF(ISNUMBER(E219),E219,0)+L219,L219)*M219*1000+L219,0),IF((P219&gt;0)*(IF(Q219="",-1,Q219)=0)*(1-(IF(Q219="",-1,Q219)&gt;=0)*(IF(Q219="",-1,Q219)&lt;=1)),IF(C219="peso_corporal",IF(ISNUMBER(E219),E219,0)+O219,O219)*P219*1000+O219,0),IF((S219&gt;0)*(IF(T219="",-1,T219)=0)*(1-(IF(T219="",-1,T219)&gt;=0)*(IF(T219="",-1,T219)&lt;=1)),IF(C219="peso_corporal",IF(ISNUMBER(E219),E219,0)+R219,R219)*S219*1000+R219,0))</f>
        <v>0</v>
      </c>
      <c r="Z219" s="69">
        <f>IF(Y219=0,0,IF(IF((S219&gt;0)*(IF(T219="",-1,T219)=0)*(1-(IF(T219="",-1,T219)&gt;=0)*(IF(T219="",-1,T219)&lt;=1)),IF(C219="peso_corporal",IF(ISNUMBER(E219),E219,0)+R219,R219)*S219*1000+R219,0)=Y219,5,IF(IF((P219&gt;0)*(IF(Q219="",-1,Q219)=0)*(1-(IF(Q219="",-1,Q219)&gt;=0)*(IF(Q219="",-1,Q219)&lt;=1)),IF(C219="peso_corporal",IF(ISNUMBER(E219),E219,0)+O219,O219)*P219*1000+O219,0)=Y219,4,IF(IF((M219&gt;0)*(IF(N219="",-1,N219)=0)*(1-(IF(N219="",-1,N219)&gt;=0)*(IF(N219="",-1,N219)&lt;=1)),IF(C219="peso_corporal",IF(ISNUMBER(E219),E219,0)+L219,L219)*M219*1000+L219,0)=Y219,3,IF(IF((J219&gt;0)*(IF(K219="",-1,K219)=0)*(1-(IF(K219="",-1,K219)&gt;=0)*(IF(K219="",-1,K219)&lt;=1)),IF(C219="peso_corporal",IF(ISNUMBER(E219),E219,0)+I219,I219)*J219*1000+I219,0)=Y219,2,IF(IF((G219&gt;0)*(IF(H219="",-1,H219)=0)*(1-(IF(H219="",-1,H219)&gt;=0)*(IF(H219="",-1,H219)&lt;=1)),IF(C219="peso_corporal",IF(ISNUMBER(E219),E219,0)+F219,F219)*G219*1000+F219,0)=Y219,1,0))))))</f>
        <v>0</v>
      </c>
      <c r="AA219" s="69">
        <f>MAX(IF((G219&gt;=3)*(1-(IF(H219="",-1,H219)&gt;=0)*(IF(H219="",-1,H219)&lt;=1))*(1-(IF(H219="",-1,H219)=0)),IF(C219="peso_corporal",IF(ISNUMBER(E219),E219,0)+F219,F219)*(30+G219)*100+F219,0),IF((J219&gt;=3)*(1-(IF(K219="",-1,K219)&gt;=0)*(IF(K219="",-1,K219)&lt;=1))*(1-(IF(K219="",-1,K219)=0)),IF(C219="peso_corporal",IF(ISNUMBER(E219),E219,0)+I219,I219)*(30+J219)*100+I219,0),IF((M219&gt;=3)*(1-(IF(N219="",-1,N219)&gt;=0)*(IF(N219="",-1,N219)&lt;=1))*(1-(IF(N219="",-1,N219)=0)),IF(C219="peso_corporal",IF(ISNUMBER(E219),E219,0)+L219,L219)*(30+M219)*100+L219,0),IF((P219&gt;=3)*(1-(IF(Q219="",-1,Q219)&gt;=0)*(IF(Q219="",-1,Q219)&lt;=1))*(1-(IF(Q219="",-1,Q219)=0)),IF(C219="peso_corporal",IF(ISNUMBER(E219),E219,0)+O219,O219)*(30+P219)*100+O219,0),IF((S219&gt;=3)*(1-(IF(T219="",-1,T219)&gt;=0)*(IF(T219="",-1,T219)&lt;=1))*(1-(IF(T219="",-1,T219)=0)),IF(C219="peso_corporal",IF(ISNUMBER(E219),E219,0)+R219,R219)*(30+S219)*100+R219,0))</f>
        <v>0</v>
      </c>
      <c r="AB219" s="69">
        <f>IF(AA219=0,0,IF(IF((S219&gt;=3)*(1-(IF(T219="",-1,T219)&gt;=0)*(IF(T219="",-1,T219)&lt;=1))*(1-(IF(T219="",-1,T219)=0)),IF(C219="peso_corporal",IF(ISNUMBER(E219),E219,0)+R219,R219)*(30+S219)*100+R219,0)=AA219,5,IF(IF((P219&gt;=3)*(1-(IF(Q219="",-1,Q219)&gt;=0)*(IF(Q219="",-1,Q219)&lt;=1))*(1-(IF(Q219="",-1,Q219)=0)),IF(C219="peso_corporal",IF(ISNUMBER(E219),E219,0)+O219,O219)*(30+P219)*100+O219,0)=AA219,4,IF(IF((M219&gt;=3)*(1-(IF(N219="",-1,N219)&gt;=0)*(IF(N219="",-1,N219)&lt;=1))*(1-(IF(N219="",-1,N219)=0)),IF(C219="peso_corporal",IF(ISNUMBER(E219),E219,0)+L219,L219)*(30+M219)*100+L219,0)=AA219,3,IF(IF((J219&gt;=3)*(1-(IF(K219="",-1,K219)&gt;=0)*(IF(K219="",-1,K219)&lt;=1))*(1-(IF(K219="",-1,K219)=0)),IF(C219="peso_corporal",IF(ISNUMBER(E219),E219,0)+I219,I219)*(30+J219)*100+I219,0)=AA219,2,IF(IF((G219&gt;=3)*(1-(IF(H219="",-1,H219)&gt;=0)*(IF(H219="",-1,H219)&lt;=1))*(1-(IF(H219="",-1,H219)=0)),IF(C219="peso_corporal",IF(ISNUMBER(E219),E219,0)+F219,F219)*(30+G219)*100+F219,0)=AA219,1,0))))))</f>
        <v>0</v>
      </c>
      <c r="AC219" s="69" t="str">
        <f>IF(X219&gt;0,"A"&amp;X219,IF(Z219&gt;0,"B"&amp;Z219,IF(AB219&gt;0,"C"&amp;AB219,"")))</f>
        <v/>
      </c>
    </row>
    <row r="220" spans="1:29" ht="20.100000000000001" customHeight="1">
      <c r="A220" s="14" t="s">
        <v>109</v>
      </c>
      <c r="B220" s="15" t="s">
        <v>110</v>
      </c>
      <c r="C220" s="16" t="str">
        <f>IFERROR(INDEX(EJERCICIOS!$D$3:$D$75,MATCH(A220&amp;"|"&amp;B220,EJERCICIOS!$G$3:$G$75,0)),"--")</f>
        <v>polea</v>
      </c>
      <c r="D220" s="17">
        <v>3</v>
      </c>
      <c r="E220" s="18">
        <f>IFERROR(LOOKUP(2,1/(MEDIDAS_Y_PESO!$B$3:$B$11&lt;&gt;""),MEDIDAS_Y_PESO!$B$3:$B$11),"--")</f>
        <v>80</v>
      </c>
      <c r="F220" s="19"/>
      <c r="G220" s="20"/>
      <c r="H220" s="21"/>
      <c r="I220" s="19"/>
      <c r="J220" s="20"/>
      <c r="K220" s="21"/>
      <c r="L220" s="19"/>
      <c r="M220" s="20"/>
      <c r="N220" s="21"/>
      <c r="O220" s="19"/>
      <c r="P220" s="20"/>
      <c r="Q220" s="21"/>
      <c r="R220" s="19"/>
      <c r="S220" s="20"/>
      <c r="T220" s="21"/>
      <c r="U220" s="22" t="str">
        <f>IFERROR(IF(IF(X220&gt;0,X220,IF(Z220&gt;0,Z220,IF(AB220&gt;0,AB220,0)))=0,"--",ROUND(CHOOSE(IF(X220&gt;0,X220,IF(Z220&gt;0,Z220,IF(AB220&gt;0,AB220,0))),IF(C220="peso_corporal",IF(ISNUMBER(E220),E220,0)+F220,F220)*(1+G220/30),IF(C220="peso_corporal",IF(ISNUMBER(E220),E220,0)+I220,I220)*(1+J220/30),IF(C220="peso_corporal",IF(ISNUMBER(E220),E220,0)+L220,L220)*(1+M220/30),IF(C220="peso_corporal",IF(ISNUMBER(E220),E220,0)+O220,O220)*(1+P220/30),IF(C220="peso_corporal",IF(ISNUMBER(E220),E220,0)+R220,R220)*(1+S220/30)),1)),"--")</f>
        <v>--</v>
      </c>
      <c r="V220" s="23" t="str">
        <f>IF(SUGERENCIAS!N568="SIN","Sin datos anteriores",IF(SUGERENCIAS!N568="SUBIR_F","^ SUBIR FUERTE | Kg:"&amp;ROUND(SUGERENCIAS!K568,1)&amp;" R:"&amp;ROUND(SUGERENCIAS!L568,0)&amp;" RIR:"&amp;ROUND(SUGERENCIAS!M568,0),IF(SUGERENCIAS!N568="SUBIR_E","^ SUBIR (Est.) | Kg:"&amp;ROUND(SUGERENCIAS!K568,1)&amp;" R:"&amp;ROUND(SUGERENCIAS!L568,0)&amp;" RIR:"&amp;ROUND(SUGERENCIAS!M568,0),IF(SUGERENCIAS!N568="SUBIR","^ SUBIR | Kg:"&amp;ROUND(SUGERENCIAS!K568,1)&amp;" R:"&amp;ROUND(SUGERENCIAS!L568,0)&amp;" RIR:"&amp;ROUND(SUGERENCIAS!M568,0),IF(SUGERENCIAS!N568="BAJAR","v BAJAR | Kg:"&amp;ROUND(SUGERENCIAS!K568,1)&amp;" R:"&amp;ROUND(SUGERENCIAS!L568,0)&amp;" RIR:"&amp;ROUND(SUGERENCIAS!M568,0),"= MANT | Kg:"&amp;ROUND(SUGERENCIAS!K568,1)&amp;" R:"&amp;ROUND(SUGERENCIAS!L568,0)&amp;" RIR:"&amp;ROUND(SUGERENCIAS!M568,0))))))</f>
        <v>Sin datos anteriores</v>
      </c>
      <c r="W220" s="69">
        <f>MAX(IF((G220&gt;0)*(IF(H220="",-1,H220)&gt;=0)*(IF(H220="",-1,H220)&lt;=1),IF(C220="peso_corporal",IF(ISNUMBER(E220),E220,0)+F220,F220)*G220*1000+F220,0),IF((J220&gt;0)*(IF(K220="",-1,K220)&gt;=0)*(IF(K220="",-1,K220)&lt;=1),IF(C220="peso_corporal",IF(ISNUMBER(E220),E220,0)+I220,I220)*J220*1000+I220,0),IF((M220&gt;0)*(IF(N220="",-1,N220)&gt;=0)*(IF(N220="",-1,N220)&lt;=1),IF(C220="peso_corporal",IF(ISNUMBER(E220),E220,0)+L220,L220)*M220*1000+L220,0),IF((P220&gt;0)*(IF(Q220="",-1,Q220)&gt;=0)*(IF(Q220="",-1,Q220)&lt;=1),IF(C220="peso_corporal",IF(ISNUMBER(E220),E220,0)+O220,O220)*P220*1000+O220,0),IF((S220&gt;0)*(IF(T220="",-1,T220)&gt;=0)*(IF(T220="",-1,T220)&lt;=1),IF(C220="peso_corporal",IF(ISNUMBER(E220),E220,0)+R220,R220)*S220*1000+R220,0))</f>
        <v>0</v>
      </c>
      <c r="X220" s="69">
        <f>IF(W220=0,0,IF(IF((S220&gt;0)*(IF(T220="",-1,T220)&gt;=0)*(IF(T220="",-1,T220)&lt;=1),IF(C220="peso_corporal",IF(ISNUMBER(E220),E220,0)+R220,R220)*S220*1000+R220,0)=W220,5,IF(IF((P220&gt;0)*(IF(Q220="",-1,Q220)&gt;=0)*(IF(Q220="",-1,Q220)&lt;=1),IF(C220="peso_corporal",IF(ISNUMBER(E220),E220,0)+O220,O220)*P220*1000+O220,0)=W220,4,IF(IF((M220&gt;0)*(IF(N220="",-1,N220)&gt;=0)*(IF(N220="",-1,N220)&lt;=1),IF(C220="peso_corporal",IF(ISNUMBER(E220),E220,0)+L220,L220)*M220*1000+L220,0)=W220,3,IF(IF((J220&gt;0)*(IF(K220="",-1,K220)&gt;=0)*(IF(K220="",-1,K220)&lt;=1),IF(C220="peso_corporal",IF(ISNUMBER(E220),E220,0)+I220,I220)*J220*1000+I220,0)=W220,2,IF(IF((G220&gt;0)*(IF(H220="",-1,H220)&gt;=0)*(IF(H220="",-1,H220)&lt;=1),IF(C220="peso_corporal",IF(ISNUMBER(E220),E220,0)+F220,F220)*G220*1000+F220,0)=W220,1,0))))))</f>
        <v>0</v>
      </c>
      <c r="Y220" s="69">
        <f>MAX(IF((G220&gt;0)*(IF(H220="",-1,H220)=0)*(1-(IF(H220="",-1,H220)&gt;=0)*(IF(H220="",-1,H220)&lt;=1)),IF(C220="peso_corporal",IF(ISNUMBER(E220),E220,0)+F220,F220)*G220*1000+F220,0),IF((J220&gt;0)*(IF(K220="",-1,K220)=0)*(1-(IF(K220="",-1,K220)&gt;=0)*(IF(K220="",-1,K220)&lt;=1)),IF(C220="peso_corporal",IF(ISNUMBER(E220),E220,0)+I220,I220)*J220*1000+I220,0),IF((M220&gt;0)*(IF(N220="",-1,N220)=0)*(1-(IF(N220="",-1,N220)&gt;=0)*(IF(N220="",-1,N220)&lt;=1)),IF(C220="peso_corporal",IF(ISNUMBER(E220),E220,0)+L220,L220)*M220*1000+L220,0),IF((P220&gt;0)*(IF(Q220="",-1,Q220)=0)*(1-(IF(Q220="",-1,Q220)&gt;=0)*(IF(Q220="",-1,Q220)&lt;=1)),IF(C220="peso_corporal",IF(ISNUMBER(E220),E220,0)+O220,O220)*P220*1000+O220,0),IF((S220&gt;0)*(IF(T220="",-1,T220)=0)*(1-(IF(T220="",-1,T220)&gt;=0)*(IF(T220="",-1,T220)&lt;=1)),IF(C220="peso_corporal",IF(ISNUMBER(E220),E220,0)+R220,R220)*S220*1000+R220,0))</f>
        <v>0</v>
      </c>
      <c r="Z220" s="69">
        <f>IF(Y220=0,0,IF(IF((S220&gt;0)*(IF(T220="",-1,T220)=0)*(1-(IF(T220="",-1,T220)&gt;=0)*(IF(T220="",-1,T220)&lt;=1)),IF(C220="peso_corporal",IF(ISNUMBER(E220),E220,0)+R220,R220)*S220*1000+R220,0)=Y220,5,IF(IF((P220&gt;0)*(IF(Q220="",-1,Q220)=0)*(1-(IF(Q220="",-1,Q220)&gt;=0)*(IF(Q220="",-1,Q220)&lt;=1)),IF(C220="peso_corporal",IF(ISNUMBER(E220),E220,0)+O220,O220)*P220*1000+O220,0)=Y220,4,IF(IF((M220&gt;0)*(IF(N220="",-1,N220)=0)*(1-(IF(N220="",-1,N220)&gt;=0)*(IF(N220="",-1,N220)&lt;=1)),IF(C220="peso_corporal",IF(ISNUMBER(E220),E220,0)+L220,L220)*M220*1000+L220,0)=Y220,3,IF(IF((J220&gt;0)*(IF(K220="",-1,K220)=0)*(1-(IF(K220="",-1,K220)&gt;=0)*(IF(K220="",-1,K220)&lt;=1)),IF(C220="peso_corporal",IF(ISNUMBER(E220),E220,0)+I220,I220)*J220*1000+I220,0)=Y220,2,IF(IF((G220&gt;0)*(IF(H220="",-1,H220)=0)*(1-(IF(H220="",-1,H220)&gt;=0)*(IF(H220="",-1,H220)&lt;=1)),IF(C220="peso_corporal",IF(ISNUMBER(E220),E220,0)+F220,F220)*G220*1000+F220,0)=Y220,1,0))))))</f>
        <v>0</v>
      </c>
      <c r="AA220" s="69">
        <f>MAX(IF((G220&gt;=3)*(1-(IF(H220="",-1,H220)&gt;=0)*(IF(H220="",-1,H220)&lt;=1))*(1-(IF(H220="",-1,H220)=0)),IF(C220="peso_corporal",IF(ISNUMBER(E220),E220,0)+F220,F220)*(30+G220)*100+F220,0),IF((J220&gt;=3)*(1-(IF(K220="",-1,K220)&gt;=0)*(IF(K220="",-1,K220)&lt;=1))*(1-(IF(K220="",-1,K220)=0)),IF(C220="peso_corporal",IF(ISNUMBER(E220),E220,0)+I220,I220)*(30+J220)*100+I220,0),IF((M220&gt;=3)*(1-(IF(N220="",-1,N220)&gt;=0)*(IF(N220="",-1,N220)&lt;=1))*(1-(IF(N220="",-1,N220)=0)),IF(C220="peso_corporal",IF(ISNUMBER(E220),E220,0)+L220,L220)*(30+M220)*100+L220,0),IF((P220&gt;=3)*(1-(IF(Q220="",-1,Q220)&gt;=0)*(IF(Q220="",-1,Q220)&lt;=1))*(1-(IF(Q220="",-1,Q220)=0)),IF(C220="peso_corporal",IF(ISNUMBER(E220),E220,0)+O220,O220)*(30+P220)*100+O220,0),IF((S220&gt;=3)*(1-(IF(T220="",-1,T220)&gt;=0)*(IF(T220="",-1,T220)&lt;=1))*(1-(IF(T220="",-1,T220)=0)),IF(C220="peso_corporal",IF(ISNUMBER(E220),E220,0)+R220,R220)*(30+S220)*100+R220,0))</f>
        <v>0</v>
      </c>
      <c r="AB220" s="69">
        <f>IF(AA220=0,0,IF(IF((S220&gt;=3)*(1-(IF(T220="",-1,T220)&gt;=0)*(IF(T220="",-1,T220)&lt;=1))*(1-(IF(T220="",-1,T220)=0)),IF(C220="peso_corporal",IF(ISNUMBER(E220),E220,0)+R220,R220)*(30+S220)*100+R220,0)=AA220,5,IF(IF((P220&gt;=3)*(1-(IF(Q220="",-1,Q220)&gt;=0)*(IF(Q220="",-1,Q220)&lt;=1))*(1-(IF(Q220="",-1,Q220)=0)),IF(C220="peso_corporal",IF(ISNUMBER(E220),E220,0)+O220,O220)*(30+P220)*100+O220,0)=AA220,4,IF(IF((M220&gt;=3)*(1-(IF(N220="",-1,N220)&gt;=0)*(IF(N220="",-1,N220)&lt;=1))*(1-(IF(N220="",-1,N220)=0)),IF(C220="peso_corporal",IF(ISNUMBER(E220),E220,0)+L220,L220)*(30+M220)*100+L220,0)=AA220,3,IF(IF((J220&gt;=3)*(1-(IF(K220="",-1,K220)&gt;=0)*(IF(K220="",-1,K220)&lt;=1))*(1-(IF(K220="",-1,K220)=0)),IF(C220="peso_corporal",IF(ISNUMBER(E220),E220,0)+I220,I220)*(30+J220)*100+I220,0)=AA220,2,IF(IF((G220&gt;=3)*(1-(IF(H220="",-1,H220)&gt;=0)*(IF(H220="",-1,H220)&lt;=1))*(1-(IF(H220="",-1,H220)=0)),IF(C220="peso_corporal",IF(ISNUMBER(E220),E220,0)+F220,F220)*(30+G220)*100+F220,0)=AA220,1,0))))))</f>
        <v>0</v>
      </c>
      <c r="AC220" s="69" t="str">
        <f>IF(X220&gt;0,"A"&amp;X220,IF(Z220&gt;0,"B"&amp;Z220,IF(AB220&gt;0,"C"&amp;AB220,"")))</f>
        <v/>
      </c>
    </row>
    <row r="221" spans="1:29" ht="15" customHeight="1">
      <c r="A221" s="90" t="s">
        <v>142</v>
      </c>
      <c r="B221" s="73"/>
      <c r="C221" s="73"/>
      <c r="D221" s="73"/>
      <c r="E221" s="73"/>
      <c r="F221" s="73"/>
      <c r="G221" s="73"/>
      <c r="H221" s="73"/>
      <c r="I221" s="73"/>
      <c r="J221" s="73"/>
      <c r="K221" s="73"/>
      <c r="L221" s="73"/>
      <c r="M221" s="73"/>
      <c r="N221" s="73"/>
      <c r="O221" s="73"/>
      <c r="P221" s="73"/>
      <c r="Q221" s="73"/>
      <c r="R221" s="73"/>
      <c r="S221" s="73"/>
      <c r="T221" s="73"/>
      <c r="U221" s="73"/>
      <c r="V221" s="73"/>
      <c r="W221" s="69"/>
      <c r="X221" s="69"/>
      <c r="Y221" s="69"/>
      <c r="Z221" s="69"/>
      <c r="AA221" s="69"/>
      <c r="AB221" s="69"/>
      <c r="AC221" s="69"/>
    </row>
    <row r="222" spans="1:29" ht="20.100000000000001" customHeight="1">
      <c r="A222" s="14" t="s">
        <v>24</v>
      </c>
      <c r="B222" s="15" t="s">
        <v>143</v>
      </c>
      <c r="C222" s="16" t="str">
        <f>IFERROR(INDEX(EJERCICIOS!$D$3:$D$75,MATCH(A222&amp;"|"&amp;B222,EJERCICIOS!$G$3:$G$75,0)),"--")</f>
        <v>peso_corporal</v>
      </c>
      <c r="D222" s="17">
        <v>3</v>
      </c>
      <c r="E222" s="18">
        <f>IFERROR(LOOKUP(2,1/(MEDIDAS_Y_PESO!$B$3:$B$11&lt;&gt;""),MEDIDAS_Y_PESO!$B$3:$B$11),"--")</f>
        <v>80</v>
      </c>
      <c r="F222" s="19"/>
      <c r="G222" s="20"/>
      <c r="H222" s="21"/>
      <c r="I222" s="19"/>
      <c r="J222" s="20"/>
      <c r="K222" s="21"/>
      <c r="L222" s="19"/>
      <c r="M222" s="20"/>
      <c r="N222" s="21"/>
      <c r="O222" s="19"/>
      <c r="P222" s="20"/>
      <c r="Q222" s="21"/>
      <c r="R222" s="19"/>
      <c r="S222" s="20"/>
      <c r="T222" s="21"/>
      <c r="U222" s="22" t="str">
        <f>IFERROR(IF(IF(X222&gt;0,X222,IF(Z222&gt;0,Z222,IF(AB222&gt;0,AB222,0)))=0,"--",ROUND(CHOOSE(IF(X222&gt;0,X222,IF(Z222&gt;0,Z222,IF(AB222&gt;0,AB222,0))),IF(C222="peso_corporal",IF(ISNUMBER(E222),E222,0)+F222,F222)*(1+G222/30),IF(C222="peso_corporal",IF(ISNUMBER(E222),E222,0)+I222,I222)*(1+J222/30),IF(C222="peso_corporal",IF(ISNUMBER(E222),E222,0)+L222,L222)*(1+M222/30),IF(C222="peso_corporal",IF(ISNUMBER(E222),E222,0)+O222,O222)*(1+P222/30),IF(C222="peso_corporal",IF(ISNUMBER(E222),E222,0)+R222,R222)*(1+S222/30)),1)),"--")</f>
        <v>--</v>
      </c>
      <c r="V222" s="23" t="str">
        <f>IF(SUGERENCIAS!N569="SIN","Sin datos anteriores",IF(SUGERENCIAS!N569="SUBIR_F","^ SUBIR FUERTE | Kg:"&amp;ROUND(SUGERENCIAS!K569,1)&amp;" R:"&amp;ROUND(SUGERENCIAS!L569,0)&amp;" RIR:"&amp;ROUND(SUGERENCIAS!M569,0),IF(SUGERENCIAS!N569="SUBIR_E","^ SUBIR (Est.) | Kg:"&amp;ROUND(SUGERENCIAS!K569,1)&amp;" R:"&amp;ROUND(SUGERENCIAS!L569,0)&amp;" RIR:"&amp;ROUND(SUGERENCIAS!M569,0),IF(SUGERENCIAS!N569="SUBIR","^ SUBIR | Kg:"&amp;ROUND(SUGERENCIAS!K569,1)&amp;" R:"&amp;ROUND(SUGERENCIAS!L569,0)&amp;" RIR:"&amp;ROUND(SUGERENCIAS!M569,0),IF(SUGERENCIAS!N569="BAJAR","v BAJAR | Kg:"&amp;ROUND(SUGERENCIAS!K569,1)&amp;" R:"&amp;ROUND(SUGERENCIAS!L569,0)&amp;" RIR:"&amp;ROUND(SUGERENCIAS!M569,0),"= MANT | Kg:"&amp;ROUND(SUGERENCIAS!K569,1)&amp;" R:"&amp;ROUND(SUGERENCIAS!L569,0)&amp;" RIR:"&amp;ROUND(SUGERENCIAS!M569,0))))))</f>
        <v>Sin datos anteriores</v>
      </c>
      <c r="W222" s="69">
        <f>MAX(IF((G222&gt;0)*(IF(H222="",-1,H222)&gt;=0)*(IF(H222="",-1,H222)&lt;=1),IF(C222="peso_corporal",IF(ISNUMBER(E222),E222,0)+F222,F222)*G222*1000+F222,0),IF((J222&gt;0)*(IF(K222="",-1,K222)&gt;=0)*(IF(K222="",-1,K222)&lt;=1),IF(C222="peso_corporal",IF(ISNUMBER(E222),E222,0)+I222,I222)*J222*1000+I222,0),IF((M222&gt;0)*(IF(N222="",-1,N222)&gt;=0)*(IF(N222="",-1,N222)&lt;=1),IF(C222="peso_corporal",IF(ISNUMBER(E222),E222,0)+L222,L222)*M222*1000+L222,0),IF((P222&gt;0)*(IF(Q222="",-1,Q222)&gt;=0)*(IF(Q222="",-1,Q222)&lt;=1),IF(C222="peso_corporal",IF(ISNUMBER(E222),E222,0)+O222,O222)*P222*1000+O222,0),IF((S222&gt;0)*(IF(T222="",-1,T222)&gt;=0)*(IF(T222="",-1,T222)&lt;=1),IF(C222="peso_corporal",IF(ISNUMBER(E222),E222,0)+R222,R222)*S222*1000+R222,0))</f>
        <v>0</v>
      </c>
      <c r="X222" s="69">
        <f>IF(W222=0,0,IF(IF((S222&gt;0)*(IF(T222="",-1,T222)&gt;=0)*(IF(T222="",-1,T222)&lt;=1),IF(C222="peso_corporal",IF(ISNUMBER(E222),E222,0)+R222,R222)*S222*1000+R222,0)=W222,5,IF(IF((P222&gt;0)*(IF(Q222="",-1,Q222)&gt;=0)*(IF(Q222="",-1,Q222)&lt;=1),IF(C222="peso_corporal",IF(ISNUMBER(E222),E222,0)+O222,O222)*P222*1000+O222,0)=W222,4,IF(IF((M222&gt;0)*(IF(N222="",-1,N222)&gt;=0)*(IF(N222="",-1,N222)&lt;=1),IF(C222="peso_corporal",IF(ISNUMBER(E222),E222,0)+L222,L222)*M222*1000+L222,0)=W222,3,IF(IF((J222&gt;0)*(IF(K222="",-1,K222)&gt;=0)*(IF(K222="",-1,K222)&lt;=1),IF(C222="peso_corporal",IF(ISNUMBER(E222),E222,0)+I222,I222)*J222*1000+I222,0)=W222,2,IF(IF((G222&gt;0)*(IF(H222="",-1,H222)&gt;=0)*(IF(H222="",-1,H222)&lt;=1),IF(C222="peso_corporal",IF(ISNUMBER(E222),E222,0)+F222,F222)*G222*1000+F222,0)=W222,1,0))))))</f>
        <v>0</v>
      </c>
      <c r="Y222" s="69">
        <f>MAX(IF((G222&gt;0)*(IF(H222="",-1,H222)=0)*(1-(IF(H222="",-1,H222)&gt;=0)*(IF(H222="",-1,H222)&lt;=1)),IF(C222="peso_corporal",IF(ISNUMBER(E222),E222,0)+F222,F222)*G222*1000+F222,0),IF((J222&gt;0)*(IF(K222="",-1,K222)=0)*(1-(IF(K222="",-1,K222)&gt;=0)*(IF(K222="",-1,K222)&lt;=1)),IF(C222="peso_corporal",IF(ISNUMBER(E222),E222,0)+I222,I222)*J222*1000+I222,0),IF((M222&gt;0)*(IF(N222="",-1,N222)=0)*(1-(IF(N222="",-1,N222)&gt;=0)*(IF(N222="",-1,N222)&lt;=1)),IF(C222="peso_corporal",IF(ISNUMBER(E222),E222,0)+L222,L222)*M222*1000+L222,0),IF((P222&gt;0)*(IF(Q222="",-1,Q222)=0)*(1-(IF(Q222="",-1,Q222)&gt;=0)*(IF(Q222="",-1,Q222)&lt;=1)),IF(C222="peso_corporal",IF(ISNUMBER(E222),E222,0)+O222,O222)*P222*1000+O222,0),IF((S222&gt;0)*(IF(T222="",-1,T222)=0)*(1-(IF(T222="",-1,T222)&gt;=0)*(IF(T222="",-1,T222)&lt;=1)),IF(C222="peso_corporal",IF(ISNUMBER(E222),E222,0)+R222,R222)*S222*1000+R222,0))</f>
        <v>0</v>
      </c>
      <c r="Z222" s="69">
        <f>IF(Y222=0,0,IF(IF((S222&gt;0)*(IF(T222="",-1,T222)=0)*(1-(IF(T222="",-1,T222)&gt;=0)*(IF(T222="",-1,T222)&lt;=1)),IF(C222="peso_corporal",IF(ISNUMBER(E222),E222,0)+R222,R222)*S222*1000+R222,0)=Y222,5,IF(IF((P222&gt;0)*(IF(Q222="",-1,Q222)=0)*(1-(IF(Q222="",-1,Q222)&gt;=0)*(IF(Q222="",-1,Q222)&lt;=1)),IF(C222="peso_corporal",IF(ISNUMBER(E222),E222,0)+O222,O222)*P222*1000+O222,0)=Y222,4,IF(IF((M222&gt;0)*(IF(N222="",-1,N222)=0)*(1-(IF(N222="",-1,N222)&gt;=0)*(IF(N222="",-1,N222)&lt;=1)),IF(C222="peso_corporal",IF(ISNUMBER(E222),E222,0)+L222,L222)*M222*1000+L222,0)=Y222,3,IF(IF((J222&gt;0)*(IF(K222="",-1,K222)=0)*(1-(IF(K222="",-1,K222)&gt;=0)*(IF(K222="",-1,K222)&lt;=1)),IF(C222="peso_corporal",IF(ISNUMBER(E222),E222,0)+I222,I222)*J222*1000+I222,0)=Y222,2,IF(IF((G222&gt;0)*(IF(H222="",-1,H222)=0)*(1-(IF(H222="",-1,H222)&gt;=0)*(IF(H222="",-1,H222)&lt;=1)),IF(C222="peso_corporal",IF(ISNUMBER(E222),E222,0)+F222,F222)*G222*1000+F222,0)=Y222,1,0))))))</f>
        <v>0</v>
      </c>
      <c r="AA222" s="69">
        <f>MAX(IF((G222&gt;=3)*(1-(IF(H222="",-1,H222)&gt;=0)*(IF(H222="",-1,H222)&lt;=1))*(1-(IF(H222="",-1,H222)=0)),IF(C222="peso_corporal",IF(ISNUMBER(E222),E222,0)+F222,F222)*(30+G222)*100+F222,0),IF((J222&gt;=3)*(1-(IF(K222="",-1,K222)&gt;=0)*(IF(K222="",-1,K222)&lt;=1))*(1-(IF(K222="",-1,K222)=0)),IF(C222="peso_corporal",IF(ISNUMBER(E222),E222,0)+I222,I222)*(30+J222)*100+I222,0),IF((M222&gt;=3)*(1-(IF(N222="",-1,N222)&gt;=0)*(IF(N222="",-1,N222)&lt;=1))*(1-(IF(N222="",-1,N222)=0)),IF(C222="peso_corporal",IF(ISNUMBER(E222),E222,0)+L222,L222)*(30+M222)*100+L222,0),IF((P222&gt;=3)*(1-(IF(Q222="",-1,Q222)&gt;=0)*(IF(Q222="",-1,Q222)&lt;=1))*(1-(IF(Q222="",-1,Q222)=0)),IF(C222="peso_corporal",IF(ISNUMBER(E222),E222,0)+O222,O222)*(30+P222)*100+O222,0),IF((S222&gt;=3)*(1-(IF(T222="",-1,T222)&gt;=0)*(IF(T222="",-1,T222)&lt;=1))*(1-(IF(T222="",-1,T222)=0)),IF(C222="peso_corporal",IF(ISNUMBER(E222),E222,0)+R222,R222)*(30+S222)*100+R222,0))</f>
        <v>0</v>
      </c>
      <c r="AB222" s="69">
        <f>IF(AA222=0,0,IF(IF((S222&gt;=3)*(1-(IF(T222="",-1,T222)&gt;=0)*(IF(T222="",-1,T222)&lt;=1))*(1-(IF(T222="",-1,T222)=0)),IF(C222="peso_corporal",IF(ISNUMBER(E222),E222,0)+R222,R222)*(30+S222)*100+R222,0)=AA222,5,IF(IF((P222&gt;=3)*(1-(IF(Q222="",-1,Q222)&gt;=0)*(IF(Q222="",-1,Q222)&lt;=1))*(1-(IF(Q222="",-1,Q222)=0)),IF(C222="peso_corporal",IF(ISNUMBER(E222),E222,0)+O222,O222)*(30+P222)*100+O222,0)=AA222,4,IF(IF((M222&gt;=3)*(1-(IF(N222="",-1,N222)&gt;=0)*(IF(N222="",-1,N222)&lt;=1))*(1-(IF(N222="",-1,N222)=0)),IF(C222="peso_corporal",IF(ISNUMBER(E222),E222,0)+L222,L222)*(30+M222)*100+L222,0)=AA222,3,IF(IF((J222&gt;=3)*(1-(IF(K222="",-1,K222)&gt;=0)*(IF(K222="",-1,K222)&lt;=1))*(1-(IF(K222="",-1,K222)=0)),IF(C222="peso_corporal",IF(ISNUMBER(E222),E222,0)+I222,I222)*(30+J222)*100+I222,0)=AA222,2,IF(IF((G222&gt;=3)*(1-(IF(H222="",-1,H222)&gt;=0)*(IF(H222="",-1,H222)&lt;=1))*(1-(IF(H222="",-1,H222)=0)),IF(C222="peso_corporal",IF(ISNUMBER(E222),E222,0)+F222,F222)*(30+G222)*100+F222,0)=AA222,1,0))))))</f>
        <v>0</v>
      </c>
      <c r="AC222" s="69" t="str">
        <f>IF(X222&gt;0,"A"&amp;X222,IF(Z222&gt;0,"B"&amp;Z222,IF(AB222&gt;0,"C"&amp;AB222,"")))</f>
        <v/>
      </c>
    </row>
    <row r="223" spans="1:29" ht="15" customHeight="1">
      <c r="A223" s="72" t="s">
        <v>56</v>
      </c>
      <c r="B223" s="73"/>
      <c r="C223" s="73"/>
      <c r="D223" s="73"/>
      <c r="E223" s="73"/>
      <c r="F223" s="73"/>
      <c r="G223" s="73"/>
      <c r="H223" s="73"/>
      <c r="I223" s="73"/>
      <c r="J223" s="73"/>
      <c r="K223" s="73"/>
      <c r="L223" s="73"/>
      <c r="M223" s="73"/>
      <c r="N223" s="73"/>
      <c r="O223" s="73"/>
      <c r="P223" s="73"/>
      <c r="Q223" s="73"/>
      <c r="R223" s="73"/>
      <c r="S223" s="73"/>
      <c r="T223" s="73"/>
      <c r="U223" s="73"/>
      <c r="V223" s="73"/>
      <c r="W223" s="69"/>
      <c r="X223" s="69"/>
      <c r="Y223" s="69"/>
      <c r="Z223" s="69"/>
      <c r="AA223" s="69"/>
      <c r="AB223" s="69"/>
      <c r="AC223" s="69"/>
    </row>
    <row r="224" spans="1:29" ht="20.100000000000001" customHeight="1">
      <c r="A224" s="14" t="s">
        <v>57</v>
      </c>
      <c r="B224" s="15" t="s">
        <v>58</v>
      </c>
      <c r="C224" s="16" t="str">
        <f>IFERROR(INDEX(EJERCICIOS!$D$3:$D$75,MATCH(A224&amp;"|"&amp;B224,EJERCICIOS!$G$3:$G$75,0)),"--")</f>
        <v>polea</v>
      </c>
      <c r="D224" s="17">
        <v>3</v>
      </c>
      <c r="E224" s="18">
        <f>IFERROR(LOOKUP(2,1/(MEDIDAS_Y_PESO!$B$3:$B$11&lt;&gt;""),MEDIDAS_Y_PESO!$B$3:$B$11),"--")</f>
        <v>80</v>
      </c>
      <c r="F224" s="19"/>
      <c r="G224" s="20"/>
      <c r="H224" s="21"/>
      <c r="I224" s="19"/>
      <c r="J224" s="20"/>
      <c r="K224" s="21"/>
      <c r="L224" s="19"/>
      <c r="M224" s="20"/>
      <c r="N224" s="21"/>
      <c r="O224" s="19"/>
      <c r="P224" s="20"/>
      <c r="Q224" s="21"/>
      <c r="R224" s="19"/>
      <c r="S224" s="20"/>
      <c r="T224" s="21"/>
      <c r="U224" s="22" t="str">
        <f>IFERROR(IF(IF(X224&gt;0,X224,IF(Z224&gt;0,Z224,IF(AB224&gt;0,AB224,0)))=0,"--",ROUND(CHOOSE(IF(X224&gt;0,X224,IF(Z224&gt;0,Z224,IF(AB224&gt;0,AB224,0))),IF(C224="peso_corporal",IF(ISNUMBER(E224),E224,0)+F224,F224)*(1+G224/30),IF(C224="peso_corporal",IF(ISNUMBER(E224),E224,0)+I224,I224)*(1+J224/30),IF(C224="peso_corporal",IF(ISNUMBER(E224),E224,0)+L224,L224)*(1+M224/30),IF(C224="peso_corporal",IF(ISNUMBER(E224),E224,0)+O224,O224)*(1+P224/30),IF(C224="peso_corporal",IF(ISNUMBER(E224),E224,0)+R224,R224)*(1+S224/30)),1)),"--")</f>
        <v>--</v>
      </c>
      <c r="V224" s="23" t="str">
        <f>IF(SUGERENCIAS!N570="SIN","Sin datos anteriores",IF(SUGERENCIAS!N570="SUBIR_F","^ SUBIR FUERTE | Kg:"&amp;ROUND(SUGERENCIAS!K570,1)&amp;" R:"&amp;ROUND(SUGERENCIAS!L570,0)&amp;" RIR:"&amp;ROUND(SUGERENCIAS!M570,0),IF(SUGERENCIAS!N570="SUBIR_E","^ SUBIR (Est.) | Kg:"&amp;ROUND(SUGERENCIAS!K570,1)&amp;" R:"&amp;ROUND(SUGERENCIAS!L570,0)&amp;" RIR:"&amp;ROUND(SUGERENCIAS!M570,0),IF(SUGERENCIAS!N570="SUBIR","^ SUBIR | Kg:"&amp;ROUND(SUGERENCIAS!K570,1)&amp;" R:"&amp;ROUND(SUGERENCIAS!L570,0)&amp;" RIR:"&amp;ROUND(SUGERENCIAS!M570,0),IF(SUGERENCIAS!N570="BAJAR","v BAJAR | Kg:"&amp;ROUND(SUGERENCIAS!K570,1)&amp;" R:"&amp;ROUND(SUGERENCIAS!L570,0)&amp;" RIR:"&amp;ROUND(SUGERENCIAS!M570,0),"= MANT | Kg:"&amp;ROUND(SUGERENCIAS!K570,1)&amp;" R:"&amp;ROUND(SUGERENCIAS!L570,0)&amp;" RIR:"&amp;ROUND(SUGERENCIAS!M570,0))))))</f>
        <v>Sin datos anteriores</v>
      </c>
      <c r="W224" s="69">
        <f>MAX(IF((G224&gt;0)*(IF(H224="",-1,H224)&gt;=0)*(IF(H224="",-1,H224)&lt;=1),IF(C224="peso_corporal",IF(ISNUMBER(E224),E224,0)+F224,F224)*G224*1000+F224,0),IF((J224&gt;0)*(IF(K224="",-1,K224)&gt;=0)*(IF(K224="",-1,K224)&lt;=1),IF(C224="peso_corporal",IF(ISNUMBER(E224),E224,0)+I224,I224)*J224*1000+I224,0),IF((M224&gt;0)*(IF(N224="",-1,N224)&gt;=0)*(IF(N224="",-1,N224)&lt;=1),IF(C224="peso_corporal",IF(ISNUMBER(E224),E224,0)+L224,L224)*M224*1000+L224,0),IF((P224&gt;0)*(IF(Q224="",-1,Q224)&gt;=0)*(IF(Q224="",-1,Q224)&lt;=1),IF(C224="peso_corporal",IF(ISNUMBER(E224),E224,0)+O224,O224)*P224*1000+O224,0),IF((S224&gt;0)*(IF(T224="",-1,T224)&gt;=0)*(IF(T224="",-1,T224)&lt;=1),IF(C224="peso_corporal",IF(ISNUMBER(E224),E224,0)+R224,R224)*S224*1000+R224,0))</f>
        <v>0</v>
      </c>
      <c r="X224" s="69">
        <f>IF(W224=0,0,IF(IF((S224&gt;0)*(IF(T224="",-1,T224)&gt;=0)*(IF(T224="",-1,T224)&lt;=1),IF(C224="peso_corporal",IF(ISNUMBER(E224),E224,0)+R224,R224)*S224*1000+R224,0)=W224,5,IF(IF((P224&gt;0)*(IF(Q224="",-1,Q224)&gt;=0)*(IF(Q224="",-1,Q224)&lt;=1),IF(C224="peso_corporal",IF(ISNUMBER(E224),E224,0)+O224,O224)*P224*1000+O224,0)=W224,4,IF(IF((M224&gt;0)*(IF(N224="",-1,N224)&gt;=0)*(IF(N224="",-1,N224)&lt;=1),IF(C224="peso_corporal",IF(ISNUMBER(E224),E224,0)+L224,L224)*M224*1000+L224,0)=W224,3,IF(IF((J224&gt;0)*(IF(K224="",-1,K224)&gt;=0)*(IF(K224="",-1,K224)&lt;=1),IF(C224="peso_corporal",IF(ISNUMBER(E224),E224,0)+I224,I224)*J224*1000+I224,0)=W224,2,IF(IF((G224&gt;0)*(IF(H224="",-1,H224)&gt;=0)*(IF(H224="",-1,H224)&lt;=1),IF(C224="peso_corporal",IF(ISNUMBER(E224),E224,0)+F224,F224)*G224*1000+F224,0)=W224,1,0))))))</f>
        <v>0</v>
      </c>
      <c r="Y224" s="69">
        <f>MAX(IF((G224&gt;0)*(IF(H224="",-1,H224)=0)*(1-(IF(H224="",-1,H224)&gt;=0)*(IF(H224="",-1,H224)&lt;=1)),IF(C224="peso_corporal",IF(ISNUMBER(E224),E224,0)+F224,F224)*G224*1000+F224,0),IF((J224&gt;0)*(IF(K224="",-1,K224)=0)*(1-(IF(K224="",-1,K224)&gt;=0)*(IF(K224="",-1,K224)&lt;=1)),IF(C224="peso_corporal",IF(ISNUMBER(E224),E224,0)+I224,I224)*J224*1000+I224,0),IF((M224&gt;0)*(IF(N224="",-1,N224)=0)*(1-(IF(N224="",-1,N224)&gt;=0)*(IF(N224="",-1,N224)&lt;=1)),IF(C224="peso_corporal",IF(ISNUMBER(E224),E224,0)+L224,L224)*M224*1000+L224,0),IF((P224&gt;0)*(IF(Q224="",-1,Q224)=0)*(1-(IF(Q224="",-1,Q224)&gt;=0)*(IF(Q224="",-1,Q224)&lt;=1)),IF(C224="peso_corporal",IF(ISNUMBER(E224),E224,0)+O224,O224)*P224*1000+O224,0),IF((S224&gt;0)*(IF(T224="",-1,T224)=0)*(1-(IF(T224="",-1,T224)&gt;=0)*(IF(T224="",-1,T224)&lt;=1)),IF(C224="peso_corporal",IF(ISNUMBER(E224),E224,0)+R224,R224)*S224*1000+R224,0))</f>
        <v>0</v>
      </c>
      <c r="Z224" s="69">
        <f>IF(Y224=0,0,IF(IF((S224&gt;0)*(IF(T224="",-1,T224)=0)*(1-(IF(T224="",-1,T224)&gt;=0)*(IF(T224="",-1,T224)&lt;=1)),IF(C224="peso_corporal",IF(ISNUMBER(E224),E224,0)+R224,R224)*S224*1000+R224,0)=Y224,5,IF(IF((P224&gt;0)*(IF(Q224="",-1,Q224)=0)*(1-(IF(Q224="",-1,Q224)&gt;=0)*(IF(Q224="",-1,Q224)&lt;=1)),IF(C224="peso_corporal",IF(ISNUMBER(E224),E224,0)+O224,O224)*P224*1000+O224,0)=Y224,4,IF(IF((M224&gt;0)*(IF(N224="",-1,N224)=0)*(1-(IF(N224="",-1,N224)&gt;=0)*(IF(N224="",-1,N224)&lt;=1)),IF(C224="peso_corporal",IF(ISNUMBER(E224),E224,0)+L224,L224)*M224*1000+L224,0)=Y224,3,IF(IF((J224&gt;0)*(IF(K224="",-1,K224)=0)*(1-(IF(K224="",-1,K224)&gt;=0)*(IF(K224="",-1,K224)&lt;=1)),IF(C224="peso_corporal",IF(ISNUMBER(E224),E224,0)+I224,I224)*J224*1000+I224,0)=Y224,2,IF(IF((G224&gt;0)*(IF(H224="",-1,H224)=0)*(1-(IF(H224="",-1,H224)&gt;=0)*(IF(H224="",-1,H224)&lt;=1)),IF(C224="peso_corporal",IF(ISNUMBER(E224),E224,0)+F224,F224)*G224*1000+F224,0)=Y224,1,0))))))</f>
        <v>0</v>
      </c>
      <c r="AA224" s="69">
        <f>MAX(IF((G224&gt;=3)*(1-(IF(H224="",-1,H224)&gt;=0)*(IF(H224="",-1,H224)&lt;=1))*(1-(IF(H224="",-1,H224)=0)),IF(C224="peso_corporal",IF(ISNUMBER(E224),E224,0)+F224,F224)*(30+G224)*100+F224,0),IF((J224&gt;=3)*(1-(IF(K224="",-1,K224)&gt;=0)*(IF(K224="",-1,K224)&lt;=1))*(1-(IF(K224="",-1,K224)=0)),IF(C224="peso_corporal",IF(ISNUMBER(E224),E224,0)+I224,I224)*(30+J224)*100+I224,0),IF((M224&gt;=3)*(1-(IF(N224="",-1,N224)&gt;=0)*(IF(N224="",-1,N224)&lt;=1))*(1-(IF(N224="",-1,N224)=0)),IF(C224="peso_corporal",IF(ISNUMBER(E224),E224,0)+L224,L224)*(30+M224)*100+L224,0),IF((P224&gt;=3)*(1-(IF(Q224="",-1,Q224)&gt;=0)*(IF(Q224="",-1,Q224)&lt;=1))*(1-(IF(Q224="",-1,Q224)=0)),IF(C224="peso_corporal",IF(ISNUMBER(E224),E224,0)+O224,O224)*(30+P224)*100+O224,0),IF((S224&gt;=3)*(1-(IF(T224="",-1,T224)&gt;=0)*(IF(T224="",-1,T224)&lt;=1))*(1-(IF(T224="",-1,T224)=0)),IF(C224="peso_corporal",IF(ISNUMBER(E224),E224,0)+R224,R224)*(30+S224)*100+R224,0))</f>
        <v>0</v>
      </c>
      <c r="AB224" s="69">
        <f>IF(AA224=0,0,IF(IF((S224&gt;=3)*(1-(IF(T224="",-1,T224)&gt;=0)*(IF(T224="",-1,T224)&lt;=1))*(1-(IF(T224="",-1,T224)=0)),IF(C224="peso_corporal",IF(ISNUMBER(E224),E224,0)+R224,R224)*(30+S224)*100+R224,0)=AA224,5,IF(IF((P224&gt;=3)*(1-(IF(Q224="",-1,Q224)&gt;=0)*(IF(Q224="",-1,Q224)&lt;=1))*(1-(IF(Q224="",-1,Q224)=0)),IF(C224="peso_corporal",IF(ISNUMBER(E224),E224,0)+O224,O224)*(30+P224)*100+O224,0)=AA224,4,IF(IF((M224&gt;=3)*(1-(IF(N224="",-1,N224)&gt;=0)*(IF(N224="",-1,N224)&lt;=1))*(1-(IF(N224="",-1,N224)=0)),IF(C224="peso_corporal",IF(ISNUMBER(E224),E224,0)+L224,L224)*(30+M224)*100+L224,0)=AA224,3,IF(IF((J224&gt;=3)*(1-(IF(K224="",-1,K224)&gt;=0)*(IF(K224="",-1,K224)&lt;=1))*(1-(IF(K224="",-1,K224)=0)),IF(C224="peso_corporal",IF(ISNUMBER(E224),E224,0)+I224,I224)*(30+J224)*100+I224,0)=AA224,2,IF(IF((G224&gt;=3)*(1-(IF(H224="",-1,H224)&gt;=0)*(IF(H224="",-1,H224)&lt;=1))*(1-(IF(H224="",-1,H224)=0)),IF(C224="peso_corporal",IF(ISNUMBER(E224),E224,0)+F224,F224)*(30+G224)*100+F224,0)=AA224,1,0))))))</f>
        <v>0</v>
      </c>
      <c r="AC224" s="69" t="str">
        <f>IF(X224&gt;0,"A"&amp;X224,IF(Z224&gt;0,"B"&amp;Z224,IF(AB224&gt;0,"C"&amp;AB224,"")))</f>
        <v/>
      </c>
    </row>
    <row r="225" spans="1:29" ht="6"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69"/>
      <c r="X225" s="69"/>
      <c r="Y225" s="69"/>
      <c r="Z225" s="69"/>
      <c r="AA225" s="69"/>
      <c r="AB225" s="69"/>
      <c r="AC225" s="69"/>
    </row>
    <row r="226" spans="1:29" ht="18" customHeight="1">
      <c r="A226" s="85" t="s">
        <v>75</v>
      </c>
      <c r="B226" s="73"/>
      <c r="C226" s="73"/>
      <c r="D226" s="73"/>
      <c r="E226" s="73"/>
      <c r="F226" s="73"/>
      <c r="G226" s="73"/>
      <c r="H226" s="73"/>
      <c r="I226" s="73"/>
      <c r="J226" s="73"/>
      <c r="K226" s="73"/>
      <c r="L226" s="73"/>
      <c r="M226" s="73"/>
      <c r="N226" s="73"/>
      <c r="O226" s="73"/>
      <c r="P226" s="73"/>
      <c r="Q226" s="73"/>
      <c r="R226" s="73"/>
      <c r="S226" s="73"/>
      <c r="T226" s="73"/>
      <c r="U226" s="73"/>
      <c r="V226" s="73"/>
      <c r="W226" s="69"/>
      <c r="X226" s="69"/>
      <c r="Y226" s="69"/>
      <c r="Z226" s="69"/>
      <c r="AA226" s="69"/>
      <c r="AB226" s="69"/>
      <c r="AC226" s="69"/>
    </row>
    <row r="227" spans="1:29" ht="15" customHeight="1">
      <c r="A227" s="75" t="s">
        <v>88</v>
      </c>
      <c r="B227" s="73"/>
      <c r="C227" s="73"/>
      <c r="D227" s="73"/>
      <c r="E227" s="73"/>
      <c r="F227" s="73"/>
      <c r="G227" s="73"/>
      <c r="H227" s="73"/>
      <c r="I227" s="73"/>
      <c r="J227" s="73"/>
      <c r="K227" s="73"/>
      <c r="L227" s="73"/>
      <c r="M227" s="73"/>
      <c r="N227" s="73"/>
      <c r="O227" s="73"/>
      <c r="P227" s="73"/>
      <c r="Q227" s="73"/>
      <c r="R227" s="73"/>
      <c r="S227" s="73"/>
      <c r="T227" s="73"/>
      <c r="U227" s="73"/>
      <c r="V227" s="73"/>
      <c r="W227" s="69"/>
      <c r="X227" s="69"/>
      <c r="Y227" s="69"/>
      <c r="Z227" s="69"/>
      <c r="AA227" s="69"/>
      <c r="AB227" s="69"/>
      <c r="AC227" s="69"/>
    </row>
    <row r="228" spans="1:29" ht="11.1" customHeight="1">
      <c r="A228" s="76" t="s">
        <v>89</v>
      </c>
      <c r="B228" s="73"/>
      <c r="C228" s="73"/>
      <c r="D228" s="73"/>
      <c r="E228" s="73"/>
      <c r="F228" s="73"/>
      <c r="G228" s="73"/>
      <c r="H228" s="73"/>
      <c r="I228" s="73"/>
      <c r="J228" s="73"/>
      <c r="K228" s="73"/>
      <c r="L228" s="73"/>
      <c r="M228" s="73"/>
      <c r="N228" s="73"/>
      <c r="O228" s="73"/>
      <c r="P228" s="73"/>
      <c r="Q228" s="73"/>
      <c r="R228" s="73"/>
      <c r="S228" s="73"/>
      <c r="T228" s="73"/>
      <c r="U228" s="73"/>
      <c r="V228" s="73"/>
      <c r="W228" s="69"/>
      <c r="X228" s="69"/>
      <c r="Y228" s="69"/>
      <c r="Z228" s="69"/>
      <c r="AA228" s="69"/>
      <c r="AB228" s="69"/>
      <c r="AC228" s="69"/>
    </row>
    <row r="229" spans="1:29" ht="20.100000000000001" customHeight="1">
      <c r="A229" s="14" t="s">
        <v>92</v>
      </c>
      <c r="B229" s="15" t="s">
        <v>108</v>
      </c>
      <c r="C229" s="16" t="str">
        <f>IFERROR(INDEX(EJERCICIOS!$D$3:$D$75,MATCH(A229&amp;"|"&amp;B229,EJERCICIOS!$G$3:$G$75,0)),"--")</f>
        <v>polea</v>
      </c>
      <c r="D229" s="17">
        <v>3</v>
      </c>
      <c r="E229" s="18">
        <f>IFERROR(LOOKUP(2,1/(MEDIDAS_Y_PESO!$B$3:$B$12&lt;&gt;""),MEDIDAS_Y_PESO!$B$3:$B$12),"--")</f>
        <v>80</v>
      </c>
      <c r="F229" s="19"/>
      <c r="G229" s="20"/>
      <c r="H229" s="21"/>
      <c r="I229" s="19"/>
      <c r="J229" s="20"/>
      <c r="K229" s="21"/>
      <c r="L229" s="19"/>
      <c r="M229" s="20"/>
      <c r="N229" s="21"/>
      <c r="O229" s="19"/>
      <c r="P229" s="20"/>
      <c r="Q229" s="21"/>
      <c r="R229" s="19"/>
      <c r="S229" s="20"/>
      <c r="T229" s="21"/>
      <c r="U229" s="22" t="str">
        <f>IFERROR(IF(IF(X229&gt;0,X229,IF(Z229&gt;0,Z229,IF(AB229&gt;0,AB229,0)))=0,"--",ROUND(CHOOSE(IF(X229&gt;0,X229,IF(Z229&gt;0,Z229,IF(AB229&gt;0,AB229,0))),IF(C229="peso_corporal",IF(ISNUMBER(E229),E229,0)+F229,F229)*(1+G229/30),IF(C229="peso_corporal",IF(ISNUMBER(E229),E229,0)+I229,I229)*(1+J229/30),IF(C229="peso_corporal",IF(ISNUMBER(E229),E229,0)+L229,L229)*(1+M229/30),IF(C229="peso_corporal",IF(ISNUMBER(E229),E229,0)+O229,O229)*(1+P229/30),IF(C229="peso_corporal",IF(ISNUMBER(E229),E229,0)+R229,R229)*(1+S229/30)),1)),"--")</f>
        <v>--</v>
      </c>
      <c r="V229" s="23" t="str">
        <f>IF(SUGERENCIAS!N621="SIN","Sin datos anteriores",IF(SUGERENCIAS!N621="SUBIR_F","^ SUBIR FUERTE | Kg:"&amp;ROUND(SUGERENCIAS!K621,1)&amp;" R:"&amp;ROUND(SUGERENCIAS!L621,0)&amp;" RIR:"&amp;ROUND(SUGERENCIAS!M621,0),IF(SUGERENCIAS!N621="SUBIR_E","^ SUBIR (Est.) | Kg:"&amp;ROUND(SUGERENCIAS!K621,1)&amp;" R:"&amp;ROUND(SUGERENCIAS!L621,0)&amp;" RIR:"&amp;ROUND(SUGERENCIAS!M621,0),IF(SUGERENCIAS!N621="SUBIR","^ SUBIR | Kg:"&amp;ROUND(SUGERENCIAS!K621,1)&amp;" R:"&amp;ROUND(SUGERENCIAS!L621,0)&amp;" RIR:"&amp;ROUND(SUGERENCIAS!M621,0),IF(SUGERENCIAS!N621="BAJAR","v BAJAR | Kg:"&amp;ROUND(SUGERENCIAS!K621,1)&amp;" R:"&amp;ROUND(SUGERENCIAS!L621,0)&amp;" RIR:"&amp;ROUND(SUGERENCIAS!M621,0),"= MANT | Kg:"&amp;ROUND(SUGERENCIAS!K621,1)&amp;" R:"&amp;ROUND(SUGERENCIAS!L621,0)&amp;" RIR:"&amp;ROUND(SUGERENCIAS!M621,0))))))</f>
        <v>Sin datos anteriores</v>
      </c>
      <c r="W229" s="69">
        <f>MAX(IF((G229&gt;0)*(IF(H229="",-1,H229)&gt;=1)*(IF(H229="",-1,H229)&lt;=3),IF(C229="peso_corporal",IF(ISNUMBER(E229),E229,0)+F229,F229)*G229*1000+F229,0),IF((J229&gt;0)*(IF(K229="",-1,K229)&gt;=1)*(IF(K229="",-1,K229)&lt;=3),IF(C229="peso_corporal",IF(ISNUMBER(E229),E229,0)+I229,I229)*J229*1000+I229,0),IF((M229&gt;0)*(IF(N229="",-1,N229)&gt;=1)*(IF(N229="",-1,N229)&lt;=3),IF(C229="peso_corporal",IF(ISNUMBER(E229),E229,0)+L229,L229)*M229*1000+L229,0),IF((P229&gt;0)*(IF(Q229="",-1,Q229)&gt;=1)*(IF(Q229="",-1,Q229)&lt;=3),IF(C229="peso_corporal",IF(ISNUMBER(E229),E229,0)+O229,O229)*P229*1000+O229,0),IF((S229&gt;0)*(IF(T229="",-1,T229)&gt;=1)*(IF(T229="",-1,T229)&lt;=3),IF(C229="peso_corporal",IF(ISNUMBER(E229),E229,0)+R229,R229)*S229*1000+R229,0))</f>
        <v>0</v>
      </c>
      <c r="X229" s="69">
        <f>IF(W229=0,0,IF(IF((S229&gt;0)*(IF(T229="",-1,T229)&gt;=1)*(IF(T229="",-1,T229)&lt;=3),IF(C229="peso_corporal",IF(ISNUMBER(E229),E229,0)+R229,R229)*S229*1000+R229,0)=W229,5,IF(IF((P229&gt;0)*(IF(Q229="",-1,Q229)&gt;=1)*(IF(Q229="",-1,Q229)&lt;=3),IF(C229="peso_corporal",IF(ISNUMBER(E229),E229,0)+O229,O229)*P229*1000+O229,0)=W229,4,IF(IF((M229&gt;0)*(IF(N229="",-1,N229)&gt;=1)*(IF(N229="",-1,N229)&lt;=3),IF(C229="peso_corporal",IF(ISNUMBER(E229),E229,0)+L229,L229)*M229*1000+L229,0)=W229,3,IF(IF((J229&gt;0)*(IF(K229="",-1,K229)&gt;=1)*(IF(K229="",-1,K229)&lt;=3),IF(C229="peso_corporal",IF(ISNUMBER(E229),E229,0)+I229,I229)*J229*1000+I229,0)=W229,2,IF(IF((G229&gt;0)*(IF(H229="",-1,H229)&gt;=1)*(IF(H229="",-1,H229)&lt;=3),IF(C229="peso_corporal",IF(ISNUMBER(E229),E229,0)+F229,F229)*G229*1000+F229,0)=W229,1,0))))))</f>
        <v>0</v>
      </c>
      <c r="Y229" s="69">
        <f>MAX(IF((G229&gt;0)*(IF(H229="",-1,H229)=0)*(1-(IF(H229="",-1,H229)&gt;=1)*(IF(H229="",-1,H229)&lt;=3)),IF(C229="peso_corporal",IF(ISNUMBER(E229),E229,0)+F229,F229)*G229*1000+F229,0),IF((J229&gt;0)*(IF(K229="",-1,K229)=0)*(1-(IF(K229="",-1,K229)&gt;=1)*(IF(K229="",-1,K229)&lt;=3)),IF(C229="peso_corporal",IF(ISNUMBER(E229),E229,0)+I229,I229)*J229*1000+I229,0),IF((M229&gt;0)*(IF(N229="",-1,N229)=0)*(1-(IF(N229="",-1,N229)&gt;=1)*(IF(N229="",-1,N229)&lt;=3)),IF(C229="peso_corporal",IF(ISNUMBER(E229),E229,0)+L229,L229)*M229*1000+L229,0),IF((P229&gt;0)*(IF(Q229="",-1,Q229)=0)*(1-(IF(Q229="",-1,Q229)&gt;=1)*(IF(Q229="",-1,Q229)&lt;=3)),IF(C229="peso_corporal",IF(ISNUMBER(E229),E229,0)+O229,O229)*P229*1000+O229,0),IF((S229&gt;0)*(IF(T229="",-1,T229)=0)*(1-(IF(T229="",-1,T229)&gt;=1)*(IF(T229="",-1,T229)&lt;=3)),IF(C229="peso_corporal",IF(ISNUMBER(E229),E229,0)+R229,R229)*S229*1000+R229,0))</f>
        <v>0</v>
      </c>
      <c r="Z229" s="69">
        <f>IF(Y229=0,0,IF(IF((S229&gt;0)*(IF(T229="",-1,T229)=0)*(1-(IF(T229="",-1,T229)&gt;=1)*(IF(T229="",-1,T229)&lt;=3)),IF(C229="peso_corporal",IF(ISNUMBER(E229),E229,0)+R229,R229)*S229*1000+R229,0)=Y229,5,IF(IF((P229&gt;0)*(IF(Q229="",-1,Q229)=0)*(1-(IF(Q229="",-1,Q229)&gt;=1)*(IF(Q229="",-1,Q229)&lt;=3)),IF(C229="peso_corporal",IF(ISNUMBER(E229),E229,0)+O229,O229)*P229*1000+O229,0)=Y229,4,IF(IF((M229&gt;0)*(IF(N229="",-1,N229)=0)*(1-(IF(N229="",-1,N229)&gt;=1)*(IF(N229="",-1,N229)&lt;=3)),IF(C229="peso_corporal",IF(ISNUMBER(E229),E229,0)+L229,L229)*M229*1000+L229,0)=Y229,3,IF(IF((J229&gt;0)*(IF(K229="",-1,K229)=0)*(1-(IF(K229="",-1,K229)&gt;=1)*(IF(K229="",-1,K229)&lt;=3)),IF(C229="peso_corporal",IF(ISNUMBER(E229),E229,0)+I229,I229)*J229*1000+I229,0)=Y229,2,IF(IF((G229&gt;0)*(IF(H229="",-1,H229)=0)*(1-(IF(H229="",-1,H229)&gt;=1)*(IF(H229="",-1,H229)&lt;=3)),IF(C229="peso_corporal",IF(ISNUMBER(E229),E229,0)+F229,F229)*G229*1000+F229,0)=Y229,1,0))))))</f>
        <v>0</v>
      </c>
      <c r="AA229" s="69">
        <f>MAX(IF((G229&gt;=6)*(1-(IF(H229="",-1,H229)&gt;=1)*(IF(H229="",-1,H229)&lt;=3))*(1-(IF(H229="",-1,H229)=0)),IF(C229="peso_corporal",IF(ISNUMBER(E229),E229,0)+F229,F229)*(30+G229)*100+F229,0),IF((J229&gt;=6)*(1-(IF(K229="",-1,K229)&gt;=1)*(IF(K229="",-1,K229)&lt;=3))*(1-(IF(K229="",-1,K229)=0)),IF(C229="peso_corporal",IF(ISNUMBER(E229),E229,0)+I229,I229)*(30+J229)*100+I229,0),IF((M229&gt;=6)*(1-(IF(N229="",-1,N229)&gt;=1)*(IF(N229="",-1,N229)&lt;=3))*(1-(IF(N229="",-1,N229)=0)),IF(C229="peso_corporal",IF(ISNUMBER(E229),E229,0)+L229,L229)*(30+M229)*100+L229,0),IF((P229&gt;=6)*(1-(IF(Q229="",-1,Q229)&gt;=1)*(IF(Q229="",-1,Q229)&lt;=3))*(1-(IF(Q229="",-1,Q229)=0)),IF(C229="peso_corporal",IF(ISNUMBER(E229),E229,0)+O229,O229)*(30+P229)*100+O229,0),IF((S229&gt;=6)*(1-(IF(T229="",-1,T229)&gt;=1)*(IF(T229="",-1,T229)&lt;=3))*(1-(IF(T229="",-1,T229)=0)),IF(C229="peso_corporal",IF(ISNUMBER(E229),E229,0)+R229,R229)*(30+S229)*100+R229,0))</f>
        <v>0</v>
      </c>
      <c r="AB229" s="69">
        <f>IF(AA229=0,0,IF(IF((S229&gt;=6)*(1-(IF(T229="",-1,T229)&gt;=1)*(IF(T229="",-1,T229)&lt;=3))*(1-(IF(T229="",-1,T229)=0)),IF(C229="peso_corporal",IF(ISNUMBER(E229),E229,0)+R229,R229)*(30+S229)*100+R229,0)=AA229,5,IF(IF((P229&gt;=6)*(1-(IF(Q229="",-1,Q229)&gt;=1)*(IF(Q229="",-1,Q229)&lt;=3))*(1-(IF(Q229="",-1,Q229)=0)),IF(C229="peso_corporal",IF(ISNUMBER(E229),E229,0)+O229,O229)*(30+P229)*100+O229,0)=AA229,4,IF(IF((M229&gt;=6)*(1-(IF(N229="",-1,N229)&gt;=1)*(IF(N229="",-1,N229)&lt;=3))*(1-(IF(N229="",-1,N229)=0)),IF(C229="peso_corporal",IF(ISNUMBER(E229),E229,0)+L229,L229)*(30+M229)*100+L229,0)=AA229,3,IF(IF((J229&gt;=6)*(1-(IF(K229="",-1,K229)&gt;=1)*(IF(K229="",-1,K229)&lt;=3))*(1-(IF(K229="",-1,K229)=0)),IF(C229="peso_corporal",IF(ISNUMBER(E229),E229,0)+I229,I229)*(30+J229)*100+I229,0)=AA229,2,IF(IF((G229&gt;=6)*(1-(IF(H229="",-1,H229)&gt;=1)*(IF(H229="",-1,H229)&lt;=3))*(1-(IF(H229="",-1,H229)=0)),IF(C229="peso_corporal",IF(ISNUMBER(E229),E229,0)+F229,F229)*(30+G229)*100+F229,0)=AA229,1,0))))))</f>
        <v>0</v>
      </c>
      <c r="AC229" s="69" t="str">
        <f>IF(X229&gt;0,"A"&amp;X229,IF(Z229&gt;0,"B"&amp;Z229,IF(AB229&gt;0,"C"&amp;AB229,"")))</f>
        <v/>
      </c>
    </row>
    <row r="230" spans="1:29" ht="11.1" customHeight="1">
      <c r="A230" s="84" t="s">
        <v>94</v>
      </c>
      <c r="B230" s="73"/>
      <c r="C230" s="73"/>
      <c r="D230" s="73"/>
      <c r="E230" s="73"/>
      <c r="F230" s="73"/>
      <c r="G230" s="73"/>
      <c r="H230" s="73"/>
      <c r="I230" s="73"/>
      <c r="J230" s="73"/>
      <c r="K230" s="73"/>
      <c r="L230" s="73"/>
      <c r="M230" s="73"/>
      <c r="N230" s="73"/>
      <c r="O230" s="73"/>
      <c r="P230" s="73"/>
      <c r="Q230" s="73"/>
      <c r="R230" s="73"/>
      <c r="S230" s="73"/>
      <c r="T230" s="73"/>
      <c r="U230" s="73"/>
      <c r="V230" s="73"/>
      <c r="W230" s="69"/>
      <c r="X230" s="69"/>
      <c r="Y230" s="69"/>
      <c r="Z230" s="69"/>
      <c r="AA230" s="69"/>
      <c r="AB230" s="69"/>
      <c r="AC230" s="69"/>
    </row>
    <row r="231" spans="1:29" ht="20.100000000000001" customHeight="1">
      <c r="A231" s="14" t="s">
        <v>95</v>
      </c>
      <c r="B231" s="15" t="s">
        <v>172</v>
      </c>
      <c r="C231" s="16" t="str">
        <f>IFERROR(INDEX(EJERCICIOS!$D$3:$D$75,MATCH(A231&amp;"|"&amp;B231,EJERCICIOS!$G$3:$G$75,0)),"--")</f>
        <v>polea</v>
      </c>
      <c r="D231" s="17">
        <v>3</v>
      </c>
      <c r="E231" s="18">
        <f>IFERROR(LOOKUP(2,1/(MEDIDAS_Y_PESO!$B$3:$B$12&lt;&gt;""),MEDIDAS_Y_PESO!$B$3:$B$12),"--")</f>
        <v>80</v>
      </c>
      <c r="F231" s="19"/>
      <c r="G231" s="20"/>
      <c r="H231" s="21"/>
      <c r="I231" s="19"/>
      <c r="J231" s="20"/>
      <c r="K231" s="21"/>
      <c r="L231" s="19"/>
      <c r="M231" s="20"/>
      <c r="N231" s="21"/>
      <c r="O231" s="19"/>
      <c r="P231" s="20"/>
      <c r="Q231" s="21"/>
      <c r="R231" s="19"/>
      <c r="S231" s="20"/>
      <c r="T231" s="21"/>
      <c r="U231" s="22" t="str">
        <f>IFERROR(IF(IF(X231&gt;0,X231,IF(Z231&gt;0,Z231,IF(AB231&gt;0,AB231,0)))=0,"--",ROUND(CHOOSE(IF(X231&gt;0,X231,IF(Z231&gt;0,Z231,IF(AB231&gt;0,AB231,0))),IF(C231="peso_corporal",IF(ISNUMBER(E231),E231,0)+F231,F231)*(1+G231/30),IF(C231="peso_corporal",IF(ISNUMBER(E231),E231,0)+I231,I231)*(1+J231/30),IF(C231="peso_corporal",IF(ISNUMBER(E231),E231,0)+L231,L231)*(1+M231/30),IF(C231="peso_corporal",IF(ISNUMBER(E231),E231,0)+O231,O231)*(1+P231/30),IF(C231="peso_corporal",IF(ISNUMBER(E231),E231,0)+R231,R231)*(1+S231/30)),1)),"--")</f>
        <v>--</v>
      </c>
      <c r="V231" s="23" t="str">
        <f>IF(SUGERENCIAS!N622="SIN","Sin datos anteriores",IF(SUGERENCIAS!N622="SUBIR_F","^ SUBIR FUERTE | Kg:"&amp;ROUND(SUGERENCIAS!K622,1)&amp;" R:"&amp;ROUND(SUGERENCIAS!L622,0)&amp;" RIR:"&amp;ROUND(SUGERENCIAS!M622,0),IF(SUGERENCIAS!N622="SUBIR_E","^ SUBIR (Est.) | Kg:"&amp;ROUND(SUGERENCIAS!K622,1)&amp;" R:"&amp;ROUND(SUGERENCIAS!L622,0)&amp;" RIR:"&amp;ROUND(SUGERENCIAS!M622,0),IF(SUGERENCIAS!N622="SUBIR","^ SUBIR | Kg:"&amp;ROUND(SUGERENCIAS!K622,1)&amp;" R:"&amp;ROUND(SUGERENCIAS!L622,0)&amp;" RIR:"&amp;ROUND(SUGERENCIAS!M622,0),IF(SUGERENCIAS!N622="BAJAR","v BAJAR | Kg:"&amp;ROUND(SUGERENCIAS!K622,1)&amp;" R:"&amp;ROUND(SUGERENCIAS!L622,0)&amp;" RIR:"&amp;ROUND(SUGERENCIAS!M622,0),"= MANT | Kg:"&amp;ROUND(SUGERENCIAS!K622,1)&amp;" R:"&amp;ROUND(SUGERENCIAS!L622,0)&amp;" RIR:"&amp;ROUND(SUGERENCIAS!M622,0))))))</f>
        <v>Sin datos anteriores</v>
      </c>
      <c r="W231" s="69">
        <f>MAX(IF((G231&gt;0)*(IF(H231="",-1,H231)&gt;=1)*(IF(H231="",-1,H231)&lt;=3),IF(C231="peso_corporal",IF(ISNUMBER(E231),E231,0)+F231,F231)*G231*1000+F231,0),IF((J231&gt;0)*(IF(K231="",-1,K231)&gt;=1)*(IF(K231="",-1,K231)&lt;=3),IF(C231="peso_corporal",IF(ISNUMBER(E231),E231,0)+I231,I231)*J231*1000+I231,0),IF((M231&gt;0)*(IF(N231="",-1,N231)&gt;=1)*(IF(N231="",-1,N231)&lt;=3),IF(C231="peso_corporal",IF(ISNUMBER(E231),E231,0)+L231,L231)*M231*1000+L231,0),IF((P231&gt;0)*(IF(Q231="",-1,Q231)&gt;=1)*(IF(Q231="",-1,Q231)&lt;=3),IF(C231="peso_corporal",IF(ISNUMBER(E231),E231,0)+O231,O231)*P231*1000+O231,0),IF((S231&gt;0)*(IF(T231="",-1,T231)&gt;=1)*(IF(T231="",-1,T231)&lt;=3),IF(C231="peso_corporal",IF(ISNUMBER(E231),E231,0)+R231,R231)*S231*1000+R231,0))</f>
        <v>0</v>
      </c>
      <c r="X231" s="69">
        <f>IF(W231=0,0,IF(IF((S231&gt;0)*(IF(T231="",-1,T231)&gt;=1)*(IF(T231="",-1,T231)&lt;=3),IF(C231="peso_corporal",IF(ISNUMBER(E231),E231,0)+R231,R231)*S231*1000+R231,0)=W231,5,IF(IF((P231&gt;0)*(IF(Q231="",-1,Q231)&gt;=1)*(IF(Q231="",-1,Q231)&lt;=3),IF(C231="peso_corporal",IF(ISNUMBER(E231),E231,0)+O231,O231)*P231*1000+O231,0)=W231,4,IF(IF((M231&gt;0)*(IF(N231="",-1,N231)&gt;=1)*(IF(N231="",-1,N231)&lt;=3),IF(C231="peso_corporal",IF(ISNUMBER(E231),E231,0)+L231,L231)*M231*1000+L231,0)=W231,3,IF(IF((J231&gt;0)*(IF(K231="",-1,K231)&gt;=1)*(IF(K231="",-1,K231)&lt;=3),IF(C231="peso_corporal",IF(ISNUMBER(E231),E231,0)+I231,I231)*J231*1000+I231,0)=W231,2,IF(IF((G231&gt;0)*(IF(H231="",-1,H231)&gt;=1)*(IF(H231="",-1,H231)&lt;=3),IF(C231="peso_corporal",IF(ISNUMBER(E231),E231,0)+F231,F231)*G231*1000+F231,0)=W231,1,0))))))</f>
        <v>0</v>
      </c>
      <c r="Y231" s="69">
        <f>MAX(IF((G231&gt;0)*(IF(H231="",-1,H231)=0)*(1-(IF(H231="",-1,H231)&gt;=1)*(IF(H231="",-1,H231)&lt;=3)),IF(C231="peso_corporal",IF(ISNUMBER(E231),E231,0)+F231,F231)*G231*1000+F231,0),IF((J231&gt;0)*(IF(K231="",-1,K231)=0)*(1-(IF(K231="",-1,K231)&gt;=1)*(IF(K231="",-1,K231)&lt;=3)),IF(C231="peso_corporal",IF(ISNUMBER(E231),E231,0)+I231,I231)*J231*1000+I231,0),IF((M231&gt;0)*(IF(N231="",-1,N231)=0)*(1-(IF(N231="",-1,N231)&gt;=1)*(IF(N231="",-1,N231)&lt;=3)),IF(C231="peso_corporal",IF(ISNUMBER(E231),E231,0)+L231,L231)*M231*1000+L231,0),IF((P231&gt;0)*(IF(Q231="",-1,Q231)=0)*(1-(IF(Q231="",-1,Q231)&gt;=1)*(IF(Q231="",-1,Q231)&lt;=3)),IF(C231="peso_corporal",IF(ISNUMBER(E231),E231,0)+O231,O231)*P231*1000+O231,0),IF((S231&gt;0)*(IF(T231="",-1,T231)=0)*(1-(IF(T231="",-1,T231)&gt;=1)*(IF(T231="",-1,T231)&lt;=3)),IF(C231="peso_corporal",IF(ISNUMBER(E231),E231,0)+R231,R231)*S231*1000+R231,0))</f>
        <v>0</v>
      </c>
      <c r="Z231" s="69">
        <f>IF(Y231=0,0,IF(IF((S231&gt;0)*(IF(T231="",-1,T231)=0)*(1-(IF(T231="",-1,T231)&gt;=1)*(IF(T231="",-1,T231)&lt;=3)),IF(C231="peso_corporal",IF(ISNUMBER(E231),E231,0)+R231,R231)*S231*1000+R231,0)=Y231,5,IF(IF((P231&gt;0)*(IF(Q231="",-1,Q231)=0)*(1-(IF(Q231="",-1,Q231)&gt;=1)*(IF(Q231="",-1,Q231)&lt;=3)),IF(C231="peso_corporal",IF(ISNUMBER(E231),E231,0)+O231,O231)*P231*1000+O231,0)=Y231,4,IF(IF((M231&gt;0)*(IF(N231="",-1,N231)=0)*(1-(IF(N231="",-1,N231)&gt;=1)*(IF(N231="",-1,N231)&lt;=3)),IF(C231="peso_corporal",IF(ISNUMBER(E231),E231,0)+L231,L231)*M231*1000+L231,0)=Y231,3,IF(IF((J231&gt;0)*(IF(K231="",-1,K231)=0)*(1-(IF(K231="",-1,K231)&gt;=1)*(IF(K231="",-1,K231)&lt;=3)),IF(C231="peso_corporal",IF(ISNUMBER(E231),E231,0)+I231,I231)*J231*1000+I231,0)=Y231,2,IF(IF((G231&gt;0)*(IF(H231="",-1,H231)=0)*(1-(IF(H231="",-1,H231)&gt;=1)*(IF(H231="",-1,H231)&lt;=3)),IF(C231="peso_corporal",IF(ISNUMBER(E231),E231,0)+F231,F231)*G231*1000+F231,0)=Y231,1,0))))))</f>
        <v>0</v>
      </c>
      <c r="AA231" s="69">
        <f>MAX(IF((G231&gt;=6)*(1-(IF(H231="",-1,H231)&gt;=1)*(IF(H231="",-1,H231)&lt;=3))*(1-(IF(H231="",-1,H231)=0)),IF(C231="peso_corporal",IF(ISNUMBER(E231),E231,0)+F231,F231)*(30+G231)*100+F231,0),IF((J231&gt;=6)*(1-(IF(K231="",-1,K231)&gt;=1)*(IF(K231="",-1,K231)&lt;=3))*(1-(IF(K231="",-1,K231)=0)),IF(C231="peso_corporal",IF(ISNUMBER(E231),E231,0)+I231,I231)*(30+J231)*100+I231,0),IF((M231&gt;=6)*(1-(IF(N231="",-1,N231)&gt;=1)*(IF(N231="",-1,N231)&lt;=3))*(1-(IF(N231="",-1,N231)=0)),IF(C231="peso_corporal",IF(ISNUMBER(E231),E231,0)+L231,L231)*(30+M231)*100+L231,0),IF((P231&gt;=6)*(1-(IF(Q231="",-1,Q231)&gt;=1)*(IF(Q231="",-1,Q231)&lt;=3))*(1-(IF(Q231="",-1,Q231)=0)),IF(C231="peso_corporal",IF(ISNUMBER(E231),E231,0)+O231,O231)*(30+P231)*100+O231,0),IF((S231&gt;=6)*(1-(IF(T231="",-1,T231)&gt;=1)*(IF(T231="",-1,T231)&lt;=3))*(1-(IF(T231="",-1,T231)=0)),IF(C231="peso_corporal",IF(ISNUMBER(E231),E231,0)+R231,R231)*(30+S231)*100+R231,0))</f>
        <v>0</v>
      </c>
      <c r="AB231" s="69">
        <f>IF(AA231=0,0,IF(IF((S231&gt;=6)*(1-(IF(T231="",-1,T231)&gt;=1)*(IF(T231="",-1,T231)&lt;=3))*(1-(IF(T231="",-1,T231)=0)),IF(C231="peso_corporal",IF(ISNUMBER(E231),E231,0)+R231,R231)*(30+S231)*100+R231,0)=AA231,5,IF(IF((P231&gt;=6)*(1-(IF(Q231="",-1,Q231)&gt;=1)*(IF(Q231="",-1,Q231)&lt;=3))*(1-(IF(Q231="",-1,Q231)=0)),IF(C231="peso_corporal",IF(ISNUMBER(E231),E231,0)+O231,O231)*(30+P231)*100+O231,0)=AA231,4,IF(IF((M231&gt;=6)*(1-(IF(N231="",-1,N231)&gt;=1)*(IF(N231="",-1,N231)&lt;=3))*(1-(IF(N231="",-1,N231)=0)),IF(C231="peso_corporal",IF(ISNUMBER(E231),E231,0)+L231,L231)*(30+M231)*100+L231,0)=AA231,3,IF(IF((J231&gt;=6)*(1-(IF(K231="",-1,K231)&gt;=1)*(IF(K231="",-1,K231)&lt;=3))*(1-(IF(K231="",-1,K231)=0)),IF(C231="peso_corporal",IF(ISNUMBER(E231),E231,0)+I231,I231)*(30+J231)*100+I231,0)=AA231,2,IF(IF((G231&gt;=6)*(1-(IF(H231="",-1,H231)&gt;=1)*(IF(H231="",-1,H231)&lt;=3))*(1-(IF(H231="",-1,H231)=0)),IF(C231="peso_corporal",IF(ISNUMBER(E231),E231,0)+F231,F231)*(30+G231)*100+F231,0)=AA231,1,0))))))</f>
        <v>0</v>
      </c>
      <c r="AC231" s="69" t="str">
        <f>IF(X231&gt;0,"A"&amp;X231,IF(Z231&gt;0,"B"&amp;Z231,IF(AB231&gt;0,"C"&amp;AB231,"")))</f>
        <v/>
      </c>
    </row>
    <row r="232" spans="1:29" ht="20.100000000000001" customHeight="1">
      <c r="A232" s="14" t="s">
        <v>95</v>
      </c>
      <c r="B232" s="15" t="s">
        <v>173</v>
      </c>
      <c r="C232" s="16" t="str">
        <f>IFERROR(INDEX(EJERCICIOS!$D$3:$D$75,MATCH(A232&amp;"|"&amp;B232,EJERCICIOS!$G$3:$G$75,0)),"--")</f>
        <v>polea</v>
      </c>
      <c r="D232" s="17">
        <v>3</v>
      </c>
      <c r="E232" s="18">
        <f>IFERROR(LOOKUP(2,1/(MEDIDAS_Y_PESO!$B$3:$B$12&lt;&gt;""),MEDIDAS_Y_PESO!$B$3:$B$12),"--")</f>
        <v>80</v>
      </c>
      <c r="F232" s="19"/>
      <c r="G232" s="20"/>
      <c r="H232" s="21"/>
      <c r="I232" s="19"/>
      <c r="J232" s="20"/>
      <c r="K232" s="21"/>
      <c r="L232" s="19"/>
      <c r="M232" s="20"/>
      <c r="N232" s="21"/>
      <c r="O232" s="19"/>
      <c r="P232" s="20"/>
      <c r="Q232" s="21"/>
      <c r="R232" s="19"/>
      <c r="S232" s="20"/>
      <c r="T232" s="21"/>
      <c r="U232" s="22" t="str">
        <f>IFERROR(IF(IF(X232&gt;0,X232,IF(Z232&gt;0,Z232,IF(AB232&gt;0,AB232,0)))=0,"--",ROUND(CHOOSE(IF(X232&gt;0,X232,IF(Z232&gt;0,Z232,IF(AB232&gt;0,AB232,0))),IF(C232="peso_corporal",IF(ISNUMBER(E232),E232,0)+F232,F232)*(1+G232/30),IF(C232="peso_corporal",IF(ISNUMBER(E232),E232,0)+I232,I232)*(1+J232/30),IF(C232="peso_corporal",IF(ISNUMBER(E232),E232,0)+L232,L232)*(1+M232/30),IF(C232="peso_corporal",IF(ISNUMBER(E232),E232,0)+O232,O232)*(1+P232/30),IF(C232="peso_corporal",IF(ISNUMBER(E232),E232,0)+R232,R232)*(1+S232/30)),1)),"--")</f>
        <v>--</v>
      </c>
      <c r="V232" s="23" t="str">
        <f>IF(SUGERENCIAS!N623="SIN","Sin datos anteriores",IF(SUGERENCIAS!N623="SUBIR_F","^ SUBIR FUERTE | Kg:"&amp;ROUND(SUGERENCIAS!K623,1)&amp;" R:"&amp;ROUND(SUGERENCIAS!L623,0)&amp;" RIR:"&amp;ROUND(SUGERENCIAS!M623,0),IF(SUGERENCIAS!N623="SUBIR_E","^ SUBIR (Est.) | Kg:"&amp;ROUND(SUGERENCIAS!K623,1)&amp;" R:"&amp;ROUND(SUGERENCIAS!L623,0)&amp;" RIR:"&amp;ROUND(SUGERENCIAS!M623,0),IF(SUGERENCIAS!N623="SUBIR","^ SUBIR | Kg:"&amp;ROUND(SUGERENCIAS!K623,1)&amp;" R:"&amp;ROUND(SUGERENCIAS!L623,0)&amp;" RIR:"&amp;ROUND(SUGERENCIAS!M623,0),IF(SUGERENCIAS!N623="BAJAR","v BAJAR | Kg:"&amp;ROUND(SUGERENCIAS!K623,1)&amp;" R:"&amp;ROUND(SUGERENCIAS!L623,0)&amp;" RIR:"&amp;ROUND(SUGERENCIAS!M623,0),"= MANT | Kg:"&amp;ROUND(SUGERENCIAS!K623,1)&amp;" R:"&amp;ROUND(SUGERENCIAS!L623,0)&amp;" RIR:"&amp;ROUND(SUGERENCIAS!M623,0))))))</f>
        <v>Sin datos anteriores</v>
      </c>
      <c r="W232" s="69">
        <f>MAX(IF((G232&gt;0)*(IF(H232="",-1,H232)&gt;=1)*(IF(H232="",-1,H232)&lt;=3),IF(C232="peso_corporal",IF(ISNUMBER(E232),E232,0)+F232,F232)*G232*1000+F232,0),IF((J232&gt;0)*(IF(K232="",-1,K232)&gt;=1)*(IF(K232="",-1,K232)&lt;=3),IF(C232="peso_corporal",IF(ISNUMBER(E232),E232,0)+I232,I232)*J232*1000+I232,0),IF((M232&gt;0)*(IF(N232="",-1,N232)&gt;=1)*(IF(N232="",-1,N232)&lt;=3),IF(C232="peso_corporal",IF(ISNUMBER(E232),E232,0)+L232,L232)*M232*1000+L232,0),IF((P232&gt;0)*(IF(Q232="",-1,Q232)&gt;=1)*(IF(Q232="",-1,Q232)&lt;=3),IF(C232="peso_corporal",IF(ISNUMBER(E232),E232,0)+O232,O232)*P232*1000+O232,0),IF((S232&gt;0)*(IF(T232="",-1,T232)&gt;=1)*(IF(T232="",-1,T232)&lt;=3),IF(C232="peso_corporal",IF(ISNUMBER(E232),E232,0)+R232,R232)*S232*1000+R232,0))</f>
        <v>0</v>
      </c>
      <c r="X232" s="69">
        <f>IF(W232=0,0,IF(IF((S232&gt;0)*(IF(T232="",-1,T232)&gt;=1)*(IF(T232="",-1,T232)&lt;=3),IF(C232="peso_corporal",IF(ISNUMBER(E232),E232,0)+R232,R232)*S232*1000+R232,0)=W232,5,IF(IF((P232&gt;0)*(IF(Q232="",-1,Q232)&gt;=1)*(IF(Q232="",-1,Q232)&lt;=3),IF(C232="peso_corporal",IF(ISNUMBER(E232),E232,0)+O232,O232)*P232*1000+O232,0)=W232,4,IF(IF((M232&gt;0)*(IF(N232="",-1,N232)&gt;=1)*(IF(N232="",-1,N232)&lt;=3),IF(C232="peso_corporal",IF(ISNUMBER(E232),E232,0)+L232,L232)*M232*1000+L232,0)=W232,3,IF(IF((J232&gt;0)*(IF(K232="",-1,K232)&gt;=1)*(IF(K232="",-1,K232)&lt;=3),IF(C232="peso_corporal",IF(ISNUMBER(E232),E232,0)+I232,I232)*J232*1000+I232,0)=W232,2,IF(IF((G232&gt;0)*(IF(H232="",-1,H232)&gt;=1)*(IF(H232="",-1,H232)&lt;=3),IF(C232="peso_corporal",IF(ISNUMBER(E232),E232,0)+F232,F232)*G232*1000+F232,0)=W232,1,0))))))</f>
        <v>0</v>
      </c>
      <c r="Y232" s="69">
        <f>MAX(IF((G232&gt;0)*(IF(H232="",-1,H232)=0)*(1-(IF(H232="",-1,H232)&gt;=1)*(IF(H232="",-1,H232)&lt;=3)),IF(C232="peso_corporal",IF(ISNUMBER(E232),E232,0)+F232,F232)*G232*1000+F232,0),IF((J232&gt;0)*(IF(K232="",-1,K232)=0)*(1-(IF(K232="",-1,K232)&gt;=1)*(IF(K232="",-1,K232)&lt;=3)),IF(C232="peso_corporal",IF(ISNUMBER(E232),E232,0)+I232,I232)*J232*1000+I232,0),IF((M232&gt;0)*(IF(N232="",-1,N232)=0)*(1-(IF(N232="",-1,N232)&gt;=1)*(IF(N232="",-1,N232)&lt;=3)),IF(C232="peso_corporal",IF(ISNUMBER(E232),E232,0)+L232,L232)*M232*1000+L232,0),IF((P232&gt;0)*(IF(Q232="",-1,Q232)=0)*(1-(IF(Q232="",-1,Q232)&gt;=1)*(IF(Q232="",-1,Q232)&lt;=3)),IF(C232="peso_corporal",IF(ISNUMBER(E232),E232,0)+O232,O232)*P232*1000+O232,0),IF((S232&gt;0)*(IF(T232="",-1,T232)=0)*(1-(IF(T232="",-1,T232)&gt;=1)*(IF(T232="",-1,T232)&lt;=3)),IF(C232="peso_corporal",IF(ISNUMBER(E232),E232,0)+R232,R232)*S232*1000+R232,0))</f>
        <v>0</v>
      </c>
      <c r="Z232" s="69">
        <f>IF(Y232=0,0,IF(IF((S232&gt;0)*(IF(T232="",-1,T232)=0)*(1-(IF(T232="",-1,T232)&gt;=1)*(IF(T232="",-1,T232)&lt;=3)),IF(C232="peso_corporal",IF(ISNUMBER(E232),E232,0)+R232,R232)*S232*1000+R232,0)=Y232,5,IF(IF((P232&gt;0)*(IF(Q232="",-1,Q232)=0)*(1-(IF(Q232="",-1,Q232)&gt;=1)*(IF(Q232="",-1,Q232)&lt;=3)),IF(C232="peso_corporal",IF(ISNUMBER(E232),E232,0)+O232,O232)*P232*1000+O232,0)=Y232,4,IF(IF((M232&gt;0)*(IF(N232="",-1,N232)=0)*(1-(IF(N232="",-1,N232)&gt;=1)*(IF(N232="",-1,N232)&lt;=3)),IF(C232="peso_corporal",IF(ISNUMBER(E232),E232,0)+L232,L232)*M232*1000+L232,0)=Y232,3,IF(IF((J232&gt;0)*(IF(K232="",-1,K232)=0)*(1-(IF(K232="",-1,K232)&gt;=1)*(IF(K232="",-1,K232)&lt;=3)),IF(C232="peso_corporal",IF(ISNUMBER(E232),E232,0)+I232,I232)*J232*1000+I232,0)=Y232,2,IF(IF((G232&gt;0)*(IF(H232="",-1,H232)=0)*(1-(IF(H232="",-1,H232)&gt;=1)*(IF(H232="",-1,H232)&lt;=3)),IF(C232="peso_corporal",IF(ISNUMBER(E232),E232,0)+F232,F232)*G232*1000+F232,0)=Y232,1,0))))))</f>
        <v>0</v>
      </c>
      <c r="AA232" s="69">
        <f>MAX(IF((G232&gt;=6)*(1-(IF(H232="",-1,H232)&gt;=1)*(IF(H232="",-1,H232)&lt;=3))*(1-(IF(H232="",-1,H232)=0)),IF(C232="peso_corporal",IF(ISNUMBER(E232),E232,0)+F232,F232)*(30+G232)*100+F232,0),IF((J232&gt;=6)*(1-(IF(K232="",-1,K232)&gt;=1)*(IF(K232="",-1,K232)&lt;=3))*(1-(IF(K232="",-1,K232)=0)),IF(C232="peso_corporal",IF(ISNUMBER(E232),E232,0)+I232,I232)*(30+J232)*100+I232,0),IF((M232&gt;=6)*(1-(IF(N232="",-1,N232)&gt;=1)*(IF(N232="",-1,N232)&lt;=3))*(1-(IF(N232="",-1,N232)=0)),IF(C232="peso_corporal",IF(ISNUMBER(E232),E232,0)+L232,L232)*(30+M232)*100+L232,0),IF((P232&gt;=6)*(1-(IF(Q232="",-1,Q232)&gt;=1)*(IF(Q232="",-1,Q232)&lt;=3))*(1-(IF(Q232="",-1,Q232)=0)),IF(C232="peso_corporal",IF(ISNUMBER(E232),E232,0)+O232,O232)*(30+P232)*100+O232,0),IF((S232&gt;=6)*(1-(IF(T232="",-1,T232)&gt;=1)*(IF(T232="",-1,T232)&lt;=3))*(1-(IF(T232="",-1,T232)=0)),IF(C232="peso_corporal",IF(ISNUMBER(E232),E232,0)+R232,R232)*(30+S232)*100+R232,0))</f>
        <v>0</v>
      </c>
      <c r="AB232" s="69">
        <f>IF(AA232=0,0,IF(IF((S232&gt;=6)*(1-(IF(T232="",-1,T232)&gt;=1)*(IF(T232="",-1,T232)&lt;=3))*(1-(IF(T232="",-1,T232)=0)),IF(C232="peso_corporal",IF(ISNUMBER(E232),E232,0)+R232,R232)*(30+S232)*100+R232,0)=AA232,5,IF(IF((P232&gt;=6)*(1-(IF(Q232="",-1,Q232)&gt;=1)*(IF(Q232="",-1,Q232)&lt;=3))*(1-(IF(Q232="",-1,Q232)=0)),IF(C232="peso_corporal",IF(ISNUMBER(E232),E232,0)+O232,O232)*(30+P232)*100+O232,0)=AA232,4,IF(IF((M232&gt;=6)*(1-(IF(N232="",-1,N232)&gt;=1)*(IF(N232="",-1,N232)&lt;=3))*(1-(IF(N232="",-1,N232)=0)),IF(C232="peso_corporal",IF(ISNUMBER(E232),E232,0)+L232,L232)*(30+M232)*100+L232,0)=AA232,3,IF(IF((J232&gt;=6)*(1-(IF(K232="",-1,K232)&gt;=1)*(IF(K232="",-1,K232)&lt;=3))*(1-(IF(K232="",-1,K232)=0)),IF(C232="peso_corporal",IF(ISNUMBER(E232),E232,0)+I232,I232)*(30+J232)*100+I232,0)=AA232,2,IF(IF((G232&gt;=6)*(1-(IF(H232="",-1,H232)&gt;=1)*(IF(H232="",-1,H232)&lt;=3))*(1-(IF(H232="",-1,H232)=0)),IF(C232="peso_corporal",IF(ISNUMBER(E232),E232,0)+F232,F232)*(30+G232)*100+F232,0)=AA232,1,0))))))</f>
        <v>0</v>
      </c>
      <c r="AC232" s="69" t="str">
        <f>IF(X232&gt;0,"A"&amp;X232,IF(Z232&gt;0,"B"&amp;Z232,IF(AB232&gt;0,"C"&amp;AB232,"")))</f>
        <v/>
      </c>
    </row>
    <row r="233" spans="1:29" ht="20.100000000000001" customHeight="1">
      <c r="A233" s="14" t="s">
        <v>163</v>
      </c>
      <c r="B233" s="15" t="s">
        <v>52</v>
      </c>
      <c r="C233" s="16" t="str">
        <f>IFERROR(INDEX(EJERCICIOS!$D$3:$D$75,MATCH(A233&amp;"|"&amp;B233,EJERCICIOS!$G$3:$G$75,0)),"--")</f>
        <v>polea</v>
      </c>
      <c r="D233" s="17">
        <v>3</v>
      </c>
      <c r="E233" s="18">
        <f>IFERROR(LOOKUP(2,1/(MEDIDAS_Y_PESO!$B$3:$B$12&lt;&gt;""),MEDIDAS_Y_PESO!$B$3:$B$12),"--")</f>
        <v>80</v>
      </c>
      <c r="F233" s="19"/>
      <c r="G233" s="20"/>
      <c r="H233" s="21"/>
      <c r="I233" s="19"/>
      <c r="J233" s="20"/>
      <c r="K233" s="21"/>
      <c r="L233" s="19"/>
      <c r="M233" s="20"/>
      <c r="N233" s="21"/>
      <c r="O233" s="19"/>
      <c r="P233" s="20"/>
      <c r="Q233" s="21"/>
      <c r="R233" s="19"/>
      <c r="S233" s="20"/>
      <c r="T233" s="21"/>
      <c r="U233" s="22" t="str">
        <f>IFERROR(IF(IF(X233&gt;0,X233,IF(Z233&gt;0,Z233,IF(AB233&gt;0,AB233,0)))=0,"--",ROUND(CHOOSE(IF(X233&gt;0,X233,IF(Z233&gt;0,Z233,IF(AB233&gt;0,AB233,0))),IF(C233="peso_corporal",IF(ISNUMBER(E233),E233,0)+F233,F233)*(1+G233/30),IF(C233="peso_corporal",IF(ISNUMBER(E233),E233,0)+I233,I233)*(1+J233/30),IF(C233="peso_corporal",IF(ISNUMBER(E233),E233,0)+L233,L233)*(1+M233/30),IF(C233="peso_corporal",IF(ISNUMBER(E233),E233,0)+O233,O233)*(1+P233/30),IF(C233="peso_corporal",IF(ISNUMBER(E233),E233,0)+R233,R233)*(1+S233/30)),1)),"--")</f>
        <v>--</v>
      </c>
      <c r="V233" s="23" t="str">
        <f>IF(SUGERENCIAS!N624="SIN","Sin datos anteriores",IF(SUGERENCIAS!N624="SUBIR_F","^ SUBIR FUERTE | Kg:"&amp;ROUND(SUGERENCIAS!K624,1)&amp;" R:"&amp;ROUND(SUGERENCIAS!L624,0)&amp;" RIR:"&amp;ROUND(SUGERENCIAS!M624,0),IF(SUGERENCIAS!N624="SUBIR_E","^ SUBIR (Est.) | Kg:"&amp;ROUND(SUGERENCIAS!K624,1)&amp;" R:"&amp;ROUND(SUGERENCIAS!L624,0)&amp;" RIR:"&amp;ROUND(SUGERENCIAS!M624,0),IF(SUGERENCIAS!N624="SUBIR","^ SUBIR | Kg:"&amp;ROUND(SUGERENCIAS!K624,1)&amp;" R:"&amp;ROUND(SUGERENCIAS!L624,0)&amp;" RIR:"&amp;ROUND(SUGERENCIAS!M624,0),IF(SUGERENCIAS!N624="BAJAR","v BAJAR | Kg:"&amp;ROUND(SUGERENCIAS!K624,1)&amp;" R:"&amp;ROUND(SUGERENCIAS!L624,0)&amp;" RIR:"&amp;ROUND(SUGERENCIAS!M624,0),"= MANT | Kg:"&amp;ROUND(SUGERENCIAS!K624,1)&amp;" R:"&amp;ROUND(SUGERENCIAS!L624,0)&amp;" RIR:"&amp;ROUND(SUGERENCIAS!M624,0))))))</f>
        <v>Sin datos anteriores</v>
      </c>
      <c r="W233" s="69">
        <f>MAX(IF((G233&gt;0)*(IF(H233="",-1,H233)&gt;=1)*(IF(H233="",-1,H233)&lt;=3),IF(C233="peso_corporal",IF(ISNUMBER(E233),E233,0)+F233,F233)*G233*1000+F233,0),IF((J233&gt;0)*(IF(K233="",-1,K233)&gt;=1)*(IF(K233="",-1,K233)&lt;=3),IF(C233="peso_corporal",IF(ISNUMBER(E233),E233,0)+I233,I233)*J233*1000+I233,0),IF((M233&gt;0)*(IF(N233="",-1,N233)&gt;=1)*(IF(N233="",-1,N233)&lt;=3),IF(C233="peso_corporal",IF(ISNUMBER(E233),E233,0)+L233,L233)*M233*1000+L233,0),IF((P233&gt;0)*(IF(Q233="",-1,Q233)&gt;=1)*(IF(Q233="",-1,Q233)&lt;=3),IF(C233="peso_corporal",IF(ISNUMBER(E233),E233,0)+O233,O233)*P233*1000+O233,0),IF((S233&gt;0)*(IF(T233="",-1,T233)&gt;=1)*(IF(T233="",-1,T233)&lt;=3),IF(C233="peso_corporal",IF(ISNUMBER(E233),E233,0)+R233,R233)*S233*1000+R233,0))</f>
        <v>0</v>
      </c>
      <c r="X233" s="69">
        <f>IF(W233=0,0,IF(IF((S233&gt;0)*(IF(T233="",-1,T233)&gt;=1)*(IF(T233="",-1,T233)&lt;=3),IF(C233="peso_corporal",IF(ISNUMBER(E233),E233,0)+R233,R233)*S233*1000+R233,0)=W233,5,IF(IF((P233&gt;0)*(IF(Q233="",-1,Q233)&gt;=1)*(IF(Q233="",-1,Q233)&lt;=3),IF(C233="peso_corporal",IF(ISNUMBER(E233),E233,0)+O233,O233)*P233*1000+O233,0)=W233,4,IF(IF((M233&gt;0)*(IF(N233="",-1,N233)&gt;=1)*(IF(N233="",-1,N233)&lt;=3),IF(C233="peso_corporal",IF(ISNUMBER(E233),E233,0)+L233,L233)*M233*1000+L233,0)=W233,3,IF(IF((J233&gt;0)*(IF(K233="",-1,K233)&gt;=1)*(IF(K233="",-1,K233)&lt;=3),IF(C233="peso_corporal",IF(ISNUMBER(E233),E233,0)+I233,I233)*J233*1000+I233,0)=W233,2,IF(IF((G233&gt;0)*(IF(H233="",-1,H233)&gt;=1)*(IF(H233="",-1,H233)&lt;=3),IF(C233="peso_corporal",IF(ISNUMBER(E233),E233,0)+F233,F233)*G233*1000+F233,0)=W233,1,0))))))</f>
        <v>0</v>
      </c>
      <c r="Y233" s="69">
        <f>MAX(IF((G233&gt;0)*(IF(H233="",-1,H233)=0)*(1-(IF(H233="",-1,H233)&gt;=1)*(IF(H233="",-1,H233)&lt;=3)),IF(C233="peso_corporal",IF(ISNUMBER(E233),E233,0)+F233,F233)*G233*1000+F233,0),IF((J233&gt;0)*(IF(K233="",-1,K233)=0)*(1-(IF(K233="",-1,K233)&gt;=1)*(IF(K233="",-1,K233)&lt;=3)),IF(C233="peso_corporal",IF(ISNUMBER(E233),E233,0)+I233,I233)*J233*1000+I233,0),IF((M233&gt;0)*(IF(N233="",-1,N233)=0)*(1-(IF(N233="",-1,N233)&gt;=1)*(IF(N233="",-1,N233)&lt;=3)),IF(C233="peso_corporal",IF(ISNUMBER(E233),E233,0)+L233,L233)*M233*1000+L233,0),IF((P233&gt;0)*(IF(Q233="",-1,Q233)=0)*(1-(IF(Q233="",-1,Q233)&gt;=1)*(IF(Q233="",-1,Q233)&lt;=3)),IF(C233="peso_corporal",IF(ISNUMBER(E233),E233,0)+O233,O233)*P233*1000+O233,0),IF((S233&gt;0)*(IF(T233="",-1,T233)=0)*(1-(IF(T233="",-1,T233)&gt;=1)*(IF(T233="",-1,T233)&lt;=3)),IF(C233="peso_corporal",IF(ISNUMBER(E233),E233,0)+R233,R233)*S233*1000+R233,0))</f>
        <v>0</v>
      </c>
      <c r="Z233" s="69">
        <f>IF(Y233=0,0,IF(IF((S233&gt;0)*(IF(T233="",-1,T233)=0)*(1-(IF(T233="",-1,T233)&gt;=1)*(IF(T233="",-1,T233)&lt;=3)),IF(C233="peso_corporal",IF(ISNUMBER(E233),E233,0)+R233,R233)*S233*1000+R233,0)=Y233,5,IF(IF((P233&gt;0)*(IF(Q233="",-1,Q233)=0)*(1-(IF(Q233="",-1,Q233)&gt;=1)*(IF(Q233="",-1,Q233)&lt;=3)),IF(C233="peso_corporal",IF(ISNUMBER(E233),E233,0)+O233,O233)*P233*1000+O233,0)=Y233,4,IF(IF((M233&gt;0)*(IF(N233="",-1,N233)=0)*(1-(IF(N233="",-1,N233)&gt;=1)*(IF(N233="",-1,N233)&lt;=3)),IF(C233="peso_corporal",IF(ISNUMBER(E233),E233,0)+L233,L233)*M233*1000+L233,0)=Y233,3,IF(IF((J233&gt;0)*(IF(K233="",-1,K233)=0)*(1-(IF(K233="",-1,K233)&gt;=1)*(IF(K233="",-1,K233)&lt;=3)),IF(C233="peso_corporal",IF(ISNUMBER(E233),E233,0)+I233,I233)*J233*1000+I233,0)=Y233,2,IF(IF((G233&gt;0)*(IF(H233="",-1,H233)=0)*(1-(IF(H233="",-1,H233)&gt;=1)*(IF(H233="",-1,H233)&lt;=3)),IF(C233="peso_corporal",IF(ISNUMBER(E233),E233,0)+F233,F233)*G233*1000+F233,0)=Y233,1,0))))))</f>
        <v>0</v>
      </c>
      <c r="AA233" s="69">
        <f>MAX(IF((G233&gt;=6)*(1-(IF(H233="",-1,H233)&gt;=1)*(IF(H233="",-1,H233)&lt;=3))*(1-(IF(H233="",-1,H233)=0)),IF(C233="peso_corporal",IF(ISNUMBER(E233),E233,0)+F233,F233)*(30+G233)*100+F233,0),IF((J233&gt;=6)*(1-(IF(K233="",-1,K233)&gt;=1)*(IF(K233="",-1,K233)&lt;=3))*(1-(IF(K233="",-1,K233)=0)),IF(C233="peso_corporal",IF(ISNUMBER(E233),E233,0)+I233,I233)*(30+J233)*100+I233,0),IF((M233&gt;=6)*(1-(IF(N233="",-1,N233)&gt;=1)*(IF(N233="",-1,N233)&lt;=3))*(1-(IF(N233="",-1,N233)=0)),IF(C233="peso_corporal",IF(ISNUMBER(E233),E233,0)+L233,L233)*(30+M233)*100+L233,0),IF((P233&gt;=6)*(1-(IF(Q233="",-1,Q233)&gt;=1)*(IF(Q233="",-1,Q233)&lt;=3))*(1-(IF(Q233="",-1,Q233)=0)),IF(C233="peso_corporal",IF(ISNUMBER(E233),E233,0)+O233,O233)*(30+P233)*100+O233,0),IF((S233&gt;=6)*(1-(IF(T233="",-1,T233)&gt;=1)*(IF(T233="",-1,T233)&lt;=3))*(1-(IF(T233="",-1,T233)=0)),IF(C233="peso_corporal",IF(ISNUMBER(E233),E233,0)+R233,R233)*(30+S233)*100+R233,0))</f>
        <v>0</v>
      </c>
      <c r="AB233" s="69">
        <f>IF(AA233=0,0,IF(IF((S233&gt;=6)*(1-(IF(T233="",-1,T233)&gt;=1)*(IF(T233="",-1,T233)&lt;=3))*(1-(IF(T233="",-1,T233)=0)),IF(C233="peso_corporal",IF(ISNUMBER(E233),E233,0)+R233,R233)*(30+S233)*100+R233,0)=AA233,5,IF(IF((P233&gt;=6)*(1-(IF(Q233="",-1,Q233)&gt;=1)*(IF(Q233="",-1,Q233)&lt;=3))*(1-(IF(Q233="",-1,Q233)=0)),IF(C233="peso_corporal",IF(ISNUMBER(E233),E233,0)+O233,O233)*(30+P233)*100+O233,0)=AA233,4,IF(IF((M233&gt;=6)*(1-(IF(N233="",-1,N233)&gt;=1)*(IF(N233="",-1,N233)&lt;=3))*(1-(IF(N233="",-1,N233)=0)),IF(C233="peso_corporal",IF(ISNUMBER(E233),E233,0)+L233,L233)*(30+M233)*100+L233,0)=AA233,3,IF(IF((J233&gt;=6)*(1-(IF(K233="",-1,K233)&gt;=1)*(IF(K233="",-1,K233)&lt;=3))*(1-(IF(K233="",-1,K233)=0)),IF(C233="peso_corporal",IF(ISNUMBER(E233),E233,0)+I233,I233)*(30+J233)*100+I233,0)=AA233,2,IF(IF((G233&gt;=6)*(1-(IF(H233="",-1,H233)&gt;=1)*(IF(H233="",-1,H233)&lt;=3))*(1-(IF(H233="",-1,H233)=0)),IF(C233="peso_corporal",IF(ISNUMBER(E233),E233,0)+F233,F233)*(30+G233)*100+F233,0)=AA233,1,0))))))</f>
        <v>0</v>
      </c>
      <c r="AC233" s="69" t="str">
        <f>IF(X233&gt;0,"A"&amp;X233,IF(Z233&gt;0,"B"&amp;Z233,IF(AB233&gt;0,"C"&amp;AB233,"")))</f>
        <v/>
      </c>
    </row>
    <row r="234" spans="1:29" ht="15" customHeight="1">
      <c r="A234" s="81" t="s">
        <v>53</v>
      </c>
      <c r="B234" s="73"/>
      <c r="C234" s="73"/>
      <c r="D234" s="73"/>
      <c r="E234" s="73"/>
      <c r="F234" s="73"/>
      <c r="G234" s="73"/>
      <c r="H234" s="73"/>
      <c r="I234" s="73"/>
      <c r="J234" s="73"/>
      <c r="K234" s="73"/>
      <c r="L234" s="73"/>
      <c r="M234" s="73"/>
      <c r="N234" s="73"/>
      <c r="O234" s="73"/>
      <c r="P234" s="73"/>
      <c r="Q234" s="73"/>
      <c r="R234" s="73"/>
      <c r="S234" s="73"/>
      <c r="T234" s="73"/>
      <c r="U234" s="73"/>
      <c r="V234" s="73"/>
      <c r="W234" s="69"/>
      <c r="X234" s="69"/>
      <c r="Y234" s="69"/>
      <c r="Z234" s="69"/>
      <c r="AA234" s="69"/>
      <c r="AB234" s="69"/>
      <c r="AC234" s="69"/>
    </row>
    <row r="235" spans="1:29" ht="20.100000000000001" customHeight="1">
      <c r="A235" s="14" t="s">
        <v>54</v>
      </c>
      <c r="B235" s="15" t="s">
        <v>115</v>
      </c>
      <c r="C235" s="16" t="str">
        <f>IFERROR(INDEX(EJERCICIOS!$D$3:$D$75,MATCH(A235&amp;"|"&amp;B235,EJERCICIOS!$G$3:$G$75,0)),"--")</f>
        <v>polea</v>
      </c>
      <c r="D235" s="17">
        <v>3</v>
      </c>
      <c r="E235" s="18">
        <f>IFERROR(LOOKUP(2,1/(MEDIDAS_Y_PESO!$B$3:$B$12&lt;&gt;""),MEDIDAS_Y_PESO!$B$3:$B$12),"--")</f>
        <v>80</v>
      </c>
      <c r="F235" s="19"/>
      <c r="G235" s="20"/>
      <c r="H235" s="21"/>
      <c r="I235" s="19"/>
      <c r="J235" s="20"/>
      <c r="K235" s="21"/>
      <c r="L235" s="19"/>
      <c r="M235" s="20"/>
      <c r="N235" s="21"/>
      <c r="O235" s="19"/>
      <c r="P235" s="20"/>
      <c r="Q235" s="21"/>
      <c r="R235" s="19"/>
      <c r="S235" s="20"/>
      <c r="T235" s="21"/>
      <c r="U235" s="22" t="str">
        <f>IFERROR(IF(IF(X235&gt;0,X235,IF(Z235&gt;0,Z235,IF(AB235&gt;0,AB235,0)))=0,"--",ROUND(CHOOSE(IF(X235&gt;0,X235,IF(Z235&gt;0,Z235,IF(AB235&gt;0,AB235,0))),IF(C235="peso_corporal",IF(ISNUMBER(E235),E235,0)+F235,F235)*(1+G235/30),IF(C235="peso_corporal",IF(ISNUMBER(E235),E235,0)+I235,I235)*(1+J235/30),IF(C235="peso_corporal",IF(ISNUMBER(E235),E235,0)+L235,L235)*(1+M235/30),IF(C235="peso_corporal",IF(ISNUMBER(E235),E235,0)+O235,O235)*(1+P235/30),IF(C235="peso_corporal",IF(ISNUMBER(E235),E235,0)+R235,R235)*(1+S235/30)),1)),"--")</f>
        <v>--</v>
      </c>
      <c r="V235" s="23" t="str">
        <f>IF(SUGERENCIAS!N625="SIN","Sin datos anteriores",IF(SUGERENCIAS!N625="SUBIR_F","^ SUBIR FUERTE | Kg:"&amp;ROUND(SUGERENCIAS!K625,1)&amp;" R:"&amp;ROUND(SUGERENCIAS!L625,0)&amp;" RIR:"&amp;ROUND(SUGERENCIAS!M625,0),IF(SUGERENCIAS!N625="SUBIR_E","^ SUBIR (Est.) | Kg:"&amp;ROUND(SUGERENCIAS!K625,1)&amp;" R:"&amp;ROUND(SUGERENCIAS!L625,0)&amp;" RIR:"&amp;ROUND(SUGERENCIAS!M625,0),IF(SUGERENCIAS!N625="SUBIR","^ SUBIR | Kg:"&amp;ROUND(SUGERENCIAS!K625,1)&amp;" R:"&amp;ROUND(SUGERENCIAS!L625,0)&amp;" RIR:"&amp;ROUND(SUGERENCIAS!M625,0),IF(SUGERENCIAS!N625="BAJAR","v BAJAR | Kg:"&amp;ROUND(SUGERENCIAS!K625,1)&amp;" R:"&amp;ROUND(SUGERENCIAS!L625,0)&amp;" RIR:"&amp;ROUND(SUGERENCIAS!M625,0),"= MANT | Kg:"&amp;ROUND(SUGERENCIAS!K625,1)&amp;" R:"&amp;ROUND(SUGERENCIAS!L625,0)&amp;" RIR:"&amp;ROUND(SUGERENCIAS!M625,0))))))</f>
        <v>= MANT | Kg:40 R:7 RIR:2</v>
      </c>
      <c r="W235" s="69">
        <f>MAX(IF((G235&gt;0)*(IF(H235="",-1,H235)&gt;=1)*(IF(H235="",-1,H235)&lt;=3),IF(C235="peso_corporal",IF(ISNUMBER(E235),E235,0)+F235,F235)*G235*1000+F235,0),IF((J235&gt;0)*(IF(K235="",-1,K235)&gt;=1)*(IF(K235="",-1,K235)&lt;=3),IF(C235="peso_corporal",IF(ISNUMBER(E235),E235,0)+I235,I235)*J235*1000+I235,0),IF((M235&gt;0)*(IF(N235="",-1,N235)&gt;=1)*(IF(N235="",-1,N235)&lt;=3),IF(C235="peso_corporal",IF(ISNUMBER(E235),E235,0)+L235,L235)*M235*1000+L235,0),IF((P235&gt;0)*(IF(Q235="",-1,Q235)&gt;=1)*(IF(Q235="",-1,Q235)&lt;=3),IF(C235="peso_corporal",IF(ISNUMBER(E235),E235,0)+O235,O235)*P235*1000+O235,0),IF((S235&gt;0)*(IF(T235="",-1,T235)&gt;=1)*(IF(T235="",-1,T235)&lt;=3),IF(C235="peso_corporal",IF(ISNUMBER(E235),E235,0)+R235,R235)*S235*1000+R235,0))</f>
        <v>0</v>
      </c>
      <c r="X235" s="69">
        <f>IF(W235=0,0,IF(IF((S235&gt;0)*(IF(T235="",-1,T235)&gt;=1)*(IF(T235="",-1,T235)&lt;=3),IF(C235="peso_corporal",IF(ISNUMBER(E235),E235,0)+R235,R235)*S235*1000+R235,0)=W235,5,IF(IF((P235&gt;0)*(IF(Q235="",-1,Q235)&gt;=1)*(IF(Q235="",-1,Q235)&lt;=3),IF(C235="peso_corporal",IF(ISNUMBER(E235),E235,0)+O235,O235)*P235*1000+O235,0)=W235,4,IF(IF((M235&gt;0)*(IF(N235="",-1,N235)&gt;=1)*(IF(N235="",-1,N235)&lt;=3),IF(C235="peso_corporal",IF(ISNUMBER(E235),E235,0)+L235,L235)*M235*1000+L235,0)=W235,3,IF(IF((J235&gt;0)*(IF(K235="",-1,K235)&gt;=1)*(IF(K235="",-1,K235)&lt;=3),IF(C235="peso_corporal",IF(ISNUMBER(E235),E235,0)+I235,I235)*J235*1000+I235,0)=W235,2,IF(IF((G235&gt;0)*(IF(H235="",-1,H235)&gt;=1)*(IF(H235="",-1,H235)&lt;=3),IF(C235="peso_corporal",IF(ISNUMBER(E235),E235,0)+F235,F235)*G235*1000+F235,0)=W235,1,0))))))</f>
        <v>0</v>
      </c>
      <c r="Y235" s="69">
        <f>MAX(IF((G235&gt;0)*(IF(H235="",-1,H235)=0)*(1-(IF(H235="",-1,H235)&gt;=1)*(IF(H235="",-1,H235)&lt;=3)),IF(C235="peso_corporal",IF(ISNUMBER(E235),E235,0)+F235,F235)*G235*1000+F235,0),IF((J235&gt;0)*(IF(K235="",-1,K235)=0)*(1-(IF(K235="",-1,K235)&gt;=1)*(IF(K235="",-1,K235)&lt;=3)),IF(C235="peso_corporal",IF(ISNUMBER(E235),E235,0)+I235,I235)*J235*1000+I235,0),IF((M235&gt;0)*(IF(N235="",-1,N235)=0)*(1-(IF(N235="",-1,N235)&gt;=1)*(IF(N235="",-1,N235)&lt;=3)),IF(C235="peso_corporal",IF(ISNUMBER(E235),E235,0)+L235,L235)*M235*1000+L235,0),IF((P235&gt;0)*(IF(Q235="",-1,Q235)=0)*(1-(IF(Q235="",-1,Q235)&gt;=1)*(IF(Q235="",-1,Q235)&lt;=3)),IF(C235="peso_corporal",IF(ISNUMBER(E235),E235,0)+O235,O235)*P235*1000+O235,0),IF((S235&gt;0)*(IF(T235="",-1,T235)=0)*(1-(IF(T235="",-1,T235)&gt;=1)*(IF(T235="",-1,T235)&lt;=3)),IF(C235="peso_corporal",IF(ISNUMBER(E235),E235,0)+R235,R235)*S235*1000+R235,0))</f>
        <v>0</v>
      </c>
      <c r="Z235" s="69">
        <f>IF(Y235=0,0,IF(IF((S235&gt;0)*(IF(T235="",-1,T235)=0)*(1-(IF(T235="",-1,T235)&gt;=1)*(IF(T235="",-1,T235)&lt;=3)),IF(C235="peso_corporal",IF(ISNUMBER(E235),E235,0)+R235,R235)*S235*1000+R235,0)=Y235,5,IF(IF((P235&gt;0)*(IF(Q235="",-1,Q235)=0)*(1-(IF(Q235="",-1,Q235)&gt;=1)*(IF(Q235="",-1,Q235)&lt;=3)),IF(C235="peso_corporal",IF(ISNUMBER(E235),E235,0)+O235,O235)*P235*1000+O235,0)=Y235,4,IF(IF((M235&gt;0)*(IF(N235="",-1,N235)=0)*(1-(IF(N235="",-1,N235)&gt;=1)*(IF(N235="",-1,N235)&lt;=3)),IF(C235="peso_corporal",IF(ISNUMBER(E235),E235,0)+L235,L235)*M235*1000+L235,0)=Y235,3,IF(IF((J235&gt;0)*(IF(K235="",-1,K235)=0)*(1-(IF(K235="",-1,K235)&gt;=1)*(IF(K235="",-1,K235)&lt;=3)),IF(C235="peso_corporal",IF(ISNUMBER(E235),E235,0)+I235,I235)*J235*1000+I235,0)=Y235,2,IF(IF((G235&gt;0)*(IF(H235="",-1,H235)=0)*(1-(IF(H235="",-1,H235)&gt;=1)*(IF(H235="",-1,H235)&lt;=3)),IF(C235="peso_corporal",IF(ISNUMBER(E235),E235,0)+F235,F235)*G235*1000+F235,0)=Y235,1,0))))))</f>
        <v>0</v>
      </c>
      <c r="AA235" s="69">
        <f>MAX(IF((G235&gt;=6)*(1-(IF(H235="",-1,H235)&gt;=1)*(IF(H235="",-1,H235)&lt;=3))*(1-(IF(H235="",-1,H235)=0)),IF(C235="peso_corporal",IF(ISNUMBER(E235),E235,0)+F235,F235)*(30+G235)*100+F235,0),IF((J235&gt;=6)*(1-(IF(K235="",-1,K235)&gt;=1)*(IF(K235="",-1,K235)&lt;=3))*(1-(IF(K235="",-1,K235)=0)),IF(C235="peso_corporal",IF(ISNUMBER(E235),E235,0)+I235,I235)*(30+J235)*100+I235,0),IF((M235&gt;=6)*(1-(IF(N235="",-1,N235)&gt;=1)*(IF(N235="",-1,N235)&lt;=3))*(1-(IF(N235="",-1,N235)=0)),IF(C235="peso_corporal",IF(ISNUMBER(E235),E235,0)+L235,L235)*(30+M235)*100+L235,0),IF((P235&gt;=6)*(1-(IF(Q235="",-1,Q235)&gt;=1)*(IF(Q235="",-1,Q235)&lt;=3))*(1-(IF(Q235="",-1,Q235)=0)),IF(C235="peso_corporal",IF(ISNUMBER(E235),E235,0)+O235,O235)*(30+P235)*100+O235,0),IF((S235&gt;=6)*(1-(IF(T235="",-1,T235)&gt;=1)*(IF(T235="",-1,T235)&lt;=3))*(1-(IF(T235="",-1,T235)=0)),IF(C235="peso_corporal",IF(ISNUMBER(E235),E235,0)+R235,R235)*(30+S235)*100+R235,0))</f>
        <v>0</v>
      </c>
      <c r="AB235" s="69">
        <f>IF(AA235=0,0,IF(IF((S235&gt;=6)*(1-(IF(T235="",-1,T235)&gt;=1)*(IF(T235="",-1,T235)&lt;=3))*(1-(IF(T235="",-1,T235)=0)),IF(C235="peso_corporal",IF(ISNUMBER(E235),E235,0)+R235,R235)*(30+S235)*100+R235,0)=AA235,5,IF(IF((P235&gt;=6)*(1-(IF(Q235="",-1,Q235)&gt;=1)*(IF(Q235="",-1,Q235)&lt;=3))*(1-(IF(Q235="",-1,Q235)=0)),IF(C235="peso_corporal",IF(ISNUMBER(E235),E235,0)+O235,O235)*(30+P235)*100+O235,0)=AA235,4,IF(IF((M235&gt;=6)*(1-(IF(N235="",-1,N235)&gt;=1)*(IF(N235="",-1,N235)&lt;=3))*(1-(IF(N235="",-1,N235)=0)),IF(C235="peso_corporal",IF(ISNUMBER(E235),E235,0)+L235,L235)*(30+M235)*100+L235,0)=AA235,3,IF(IF((J235&gt;=6)*(1-(IF(K235="",-1,K235)&gt;=1)*(IF(K235="",-1,K235)&lt;=3))*(1-(IF(K235="",-1,K235)=0)),IF(C235="peso_corporal",IF(ISNUMBER(E235),E235,0)+I235,I235)*(30+J235)*100+I235,0)=AA235,2,IF(IF((G235&gt;=6)*(1-(IF(H235="",-1,H235)&gt;=1)*(IF(H235="",-1,H235)&lt;=3))*(1-(IF(H235="",-1,H235)=0)),IF(C235="peso_corporal",IF(ISNUMBER(E235),E235,0)+F235,F235)*(30+G235)*100+F235,0)=AA235,1,0))))))</f>
        <v>0</v>
      </c>
      <c r="AC235" s="69" t="str">
        <f>IF(X235&gt;0,"A"&amp;X235,IF(Z235&gt;0,"B"&amp;Z235,IF(AB235&gt;0,"C"&amp;AB235,"")))</f>
        <v/>
      </c>
    </row>
    <row r="236" spans="1:29" ht="20.100000000000001" customHeight="1">
      <c r="A236" s="14" t="s">
        <v>116</v>
      </c>
      <c r="B236" s="15" t="s">
        <v>114</v>
      </c>
      <c r="C236" s="16" t="str">
        <f>IFERROR(INDEX(EJERCICIOS!$D$3:$D$75,MATCH(A236&amp;"|"&amp;B236,EJERCICIOS!$G$3:$G$75,0)),"--")</f>
        <v>polea</v>
      </c>
      <c r="D236" s="17">
        <v>3</v>
      </c>
      <c r="E236" s="18">
        <f>IFERROR(LOOKUP(2,1/(MEDIDAS_Y_PESO!$B$3:$B$12&lt;&gt;""),MEDIDAS_Y_PESO!$B$3:$B$12),"--")</f>
        <v>80</v>
      </c>
      <c r="F236" s="19"/>
      <c r="G236" s="20"/>
      <c r="H236" s="21"/>
      <c r="I236" s="19"/>
      <c r="J236" s="20"/>
      <c r="K236" s="21"/>
      <c r="L236" s="19"/>
      <c r="M236" s="20"/>
      <c r="N236" s="21"/>
      <c r="O236" s="19"/>
      <c r="P236" s="20"/>
      <c r="Q236" s="21"/>
      <c r="R236" s="19"/>
      <c r="S236" s="20"/>
      <c r="T236" s="21"/>
      <c r="U236" s="22" t="str">
        <f>IFERROR(IF(IF(X236&gt;0,X236,IF(Z236&gt;0,Z236,IF(AB236&gt;0,AB236,0)))=0,"--",ROUND(CHOOSE(IF(X236&gt;0,X236,IF(Z236&gt;0,Z236,IF(AB236&gt;0,AB236,0))),IF(C236="peso_corporal",IF(ISNUMBER(E236),E236,0)+F236,F236)*(1+G236/30),IF(C236="peso_corporal",IF(ISNUMBER(E236),E236,0)+I236,I236)*(1+J236/30),IF(C236="peso_corporal",IF(ISNUMBER(E236),E236,0)+L236,L236)*(1+M236/30),IF(C236="peso_corporal",IF(ISNUMBER(E236),E236,0)+O236,O236)*(1+P236/30),IF(C236="peso_corporal",IF(ISNUMBER(E236),E236,0)+R236,R236)*(1+S236/30)),1)),"--")</f>
        <v>--</v>
      </c>
      <c r="V236" s="23" t="str">
        <f>IF(SUGERENCIAS!N626="SIN","Sin datos anteriores",IF(SUGERENCIAS!N626="SUBIR_F","^ SUBIR FUERTE | Kg:"&amp;ROUND(SUGERENCIAS!K626,1)&amp;" R:"&amp;ROUND(SUGERENCIAS!L626,0)&amp;" RIR:"&amp;ROUND(SUGERENCIAS!M626,0),IF(SUGERENCIAS!N626="SUBIR_E","^ SUBIR (Est.) | Kg:"&amp;ROUND(SUGERENCIAS!K626,1)&amp;" R:"&amp;ROUND(SUGERENCIAS!L626,0)&amp;" RIR:"&amp;ROUND(SUGERENCIAS!M626,0),IF(SUGERENCIAS!N626="SUBIR","^ SUBIR | Kg:"&amp;ROUND(SUGERENCIAS!K626,1)&amp;" R:"&amp;ROUND(SUGERENCIAS!L626,0)&amp;" RIR:"&amp;ROUND(SUGERENCIAS!M626,0),IF(SUGERENCIAS!N626="BAJAR","v BAJAR | Kg:"&amp;ROUND(SUGERENCIAS!K626,1)&amp;" R:"&amp;ROUND(SUGERENCIAS!L626,0)&amp;" RIR:"&amp;ROUND(SUGERENCIAS!M626,0),"= MANT | Kg:"&amp;ROUND(SUGERENCIAS!K626,1)&amp;" R:"&amp;ROUND(SUGERENCIAS!L626,0)&amp;" RIR:"&amp;ROUND(SUGERENCIAS!M626,0))))))</f>
        <v>^ SUBIR | Kg:20 R:6 RIR:2</v>
      </c>
      <c r="W236" s="69">
        <f>MAX(IF((G236&gt;0)*(IF(H236="",-1,H236)&gt;=1)*(IF(H236="",-1,H236)&lt;=3),IF(C236="peso_corporal",IF(ISNUMBER(E236),E236,0)+F236,F236)*G236*1000+F236,0),IF((J236&gt;0)*(IF(K236="",-1,K236)&gt;=1)*(IF(K236="",-1,K236)&lt;=3),IF(C236="peso_corporal",IF(ISNUMBER(E236),E236,0)+I236,I236)*J236*1000+I236,0),IF((M236&gt;0)*(IF(N236="",-1,N236)&gt;=1)*(IF(N236="",-1,N236)&lt;=3),IF(C236="peso_corporal",IF(ISNUMBER(E236),E236,0)+L236,L236)*M236*1000+L236,0),IF((P236&gt;0)*(IF(Q236="",-1,Q236)&gt;=1)*(IF(Q236="",-1,Q236)&lt;=3),IF(C236="peso_corporal",IF(ISNUMBER(E236),E236,0)+O236,O236)*P236*1000+O236,0),IF((S236&gt;0)*(IF(T236="",-1,T236)&gt;=1)*(IF(T236="",-1,T236)&lt;=3),IF(C236="peso_corporal",IF(ISNUMBER(E236),E236,0)+R236,R236)*S236*1000+R236,0))</f>
        <v>0</v>
      </c>
      <c r="X236" s="69">
        <f>IF(W236=0,0,IF(IF((S236&gt;0)*(IF(T236="",-1,T236)&gt;=1)*(IF(T236="",-1,T236)&lt;=3),IF(C236="peso_corporal",IF(ISNUMBER(E236),E236,0)+R236,R236)*S236*1000+R236,0)=W236,5,IF(IF((P236&gt;0)*(IF(Q236="",-1,Q236)&gt;=1)*(IF(Q236="",-1,Q236)&lt;=3),IF(C236="peso_corporal",IF(ISNUMBER(E236),E236,0)+O236,O236)*P236*1000+O236,0)=W236,4,IF(IF((M236&gt;0)*(IF(N236="",-1,N236)&gt;=1)*(IF(N236="",-1,N236)&lt;=3),IF(C236="peso_corporal",IF(ISNUMBER(E236),E236,0)+L236,L236)*M236*1000+L236,0)=W236,3,IF(IF((J236&gt;0)*(IF(K236="",-1,K236)&gt;=1)*(IF(K236="",-1,K236)&lt;=3),IF(C236="peso_corporal",IF(ISNUMBER(E236),E236,0)+I236,I236)*J236*1000+I236,0)=W236,2,IF(IF((G236&gt;0)*(IF(H236="",-1,H236)&gt;=1)*(IF(H236="",-1,H236)&lt;=3),IF(C236="peso_corporal",IF(ISNUMBER(E236),E236,0)+F236,F236)*G236*1000+F236,0)=W236,1,0))))))</f>
        <v>0</v>
      </c>
      <c r="Y236" s="69">
        <f>MAX(IF((G236&gt;0)*(IF(H236="",-1,H236)=0)*(1-(IF(H236="",-1,H236)&gt;=1)*(IF(H236="",-1,H236)&lt;=3)),IF(C236="peso_corporal",IF(ISNUMBER(E236),E236,0)+F236,F236)*G236*1000+F236,0),IF((J236&gt;0)*(IF(K236="",-1,K236)=0)*(1-(IF(K236="",-1,K236)&gt;=1)*(IF(K236="",-1,K236)&lt;=3)),IF(C236="peso_corporal",IF(ISNUMBER(E236),E236,0)+I236,I236)*J236*1000+I236,0),IF((M236&gt;0)*(IF(N236="",-1,N236)=0)*(1-(IF(N236="",-1,N236)&gt;=1)*(IF(N236="",-1,N236)&lt;=3)),IF(C236="peso_corporal",IF(ISNUMBER(E236),E236,0)+L236,L236)*M236*1000+L236,0),IF((P236&gt;0)*(IF(Q236="",-1,Q236)=0)*(1-(IF(Q236="",-1,Q236)&gt;=1)*(IF(Q236="",-1,Q236)&lt;=3)),IF(C236="peso_corporal",IF(ISNUMBER(E236),E236,0)+O236,O236)*P236*1000+O236,0),IF((S236&gt;0)*(IF(T236="",-1,T236)=0)*(1-(IF(T236="",-1,T236)&gt;=1)*(IF(T236="",-1,T236)&lt;=3)),IF(C236="peso_corporal",IF(ISNUMBER(E236),E236,0)+R236,R236)*S236*1000+R236,0))</f>
        <v>0</v>
      </c>
      <c r="Z236" s="69">
        <f>IF(Y236=0,0,IF(IF((S236&gt;0)*(IF(T236="",-1,T236)=0)*(1-(IF(T236="",-1,T236)&gt;=1)*(IF(T236="",-1,T236)&lt;=3)),IF(C236="peso_corporal",IF(ISNUMBER(E236),E236,0)+R236,R236)*S236*1000+R236,0)=Y236,5,IF(IF((P236&gt;0)*(IF(Q236="",-1,Q236)=0)*(1-(IF(Q236="",-1,Q236)&gt;=1)*(IF(Q236="",-1,Q236)&lt;=3)),IF(C236="peso_corporal",IF(ISNUMBER(E236),E236,0)+O236,O236)*P236*1000+O236,0)=Y236,4,IF(IF((M236&gt;0)*(IF(N236="",-1,N236)=0)*(1-(IF(N236="",-1,N236)&gt;=1)*(IF(N236="",-1,N236)&lt;=3)),IF(C236="peso_corporal",IF(ISNUMBER(E236),E236,0)+L236,L236)*M236*1000+L236,0)=Y236,3,IF(IF((J236&gt;0)*(IF(K236="",-1,K236)=0)*(1-(IF(K236="",-1,K236)&gt;=1)*(IF(K236="",-1,K236)&lt;=3)),IF(C236="peso_corporal",IF(ISNUMBER(E236),E236,0)+I236,I236)*J236*1000+I236,0)=Y236,2,IF(IF((G236&gt;0)*(IF(H236="",-1,H236)=0)*(1-(IF(H236="",-1,H236)&gt;=1)*(IF(H236="",-1,H236)&lt;=3)),IF(C236="peso_corporal",IF(ISNUMBER(E236),E236,0)+F236,F236)*G236*1000+F236,0)=Y236,1,0))))))</f>
        <v>0</v>
      </c>
      <c r="AA236" s="69">
        <f>MAX(IF((G236&gt;=6)*(1-(IF(H236="",-1,H236)&gt;=1)*(IF(H236="",-1,H236)&lt;=3))*(1-(IF(H236="",-1,H236)=0)),IF(C236="peso_corporal",IF(ISNUMBER(E236),E236,0)+F236,F236)*(30+G236)*100+F236,0),IF((J236&gt;=6)*(1-(IF(K236="",-1,K236)&gt;=1)*(IF(K236="",-1,K236)&lt;=3))*(1-(IF(K236="",-1,K236)=0)),IF(C236="peso_corporal",IF(ISNUMBER(E236),E236,0)+I236,I236)*(30+J236)*100+I236,0),IF((M236&gt;=6)*(1-(IF(N236="",-1,N236)&gt;=1)*(IF(N236="",-1,N236)&lt;=3))*(1-(IF(N236="",-1,N236)=0)),IF(C236="peso_corporal",IF(ISNUMBER(E236),E236,0)+L236,L236)*(30+M236)*100+L236,0),IF((P236&gt;=6)*(1-(IF(Q236="",-1,Q236)&gt;=1)*(IF(Q236="",-1,Q236)&lt;=3))*(1-(IF(Q236="",-1,Q236)=0)),IF(C236="peso_corporal",IF(ISNUMBER(E236),E236,0)+O236,O236)*(30+P236)*100+O236,0),IF((S236&gt;=6)*(1-(IF(T236="",-1,T236)&gt;=1)*(IF(T236="",-1,T236)&lt;=3))*(1-(IF(T236="",-1,T236)=0)),IF(C236="peso_corporal",IF(ISNUMBER(E236),E236,0)+R236,R236)*(30+S236)*100+R236,0))</f>
        <v>0</v>
      </c>
      <c r="AB236" s="69">
        <f>IF(AA236=0,0,IF(IF((S236&gt;=6)*(1-(IF(T236="",-1,T236)&gt;=1)*(IF(T236="",-1,T236)&lt;=3))*(1-(IF(T236="",-1,T236)=0)),IF(C236="peso_corporal",IF(ISNUMBER(E236),E236,0)+R236,R236)*(30+S236)*100+R236,0)=AA236,5,IF(IF((P236&gt;=6)*(1-(IF(Q236="",-1,Q236)&gt;=1)*(IF(Q236="",-1,Q236)&lt;=3))*(1-(IF(Q236="",-1,Q236)=0)),IF(C236="peso_corporal",IF(ISNUMBER(E236),E236,0)+O236,O236)*(30+P236)*100+O236,0)=AA236,4,IF(IF((M236&gt;=6)*(1-(IF(N236="",-1,N236)&gt;=1)*(IF(N236="",-1,N236)&lt;=3))*(1-(IF(N236="",-1,N236)=0)),IF(C236="peso_corporal",IF(ISNUMBER(E236),E236,0)+L236,L236)*(30+M236)*100+L236,0)=AA236,3,IF(IF((J236&gt;=6)*(1-(IF(K236="",-1,K236)&gt;=1)*(IF(K236="",-1,K236)&lt;=3))*(1-(IF(K236="",-1,K236)=0)),IF(C236="peso_corporal",IF(ISNUMBER(E236),E236,0)+I236,I236)*(30+J236)*100+I236,0)=AA236,2,IF(IF((G236&gt;=6)*(1-(IF(H236="",-1,H236)&gt;=1)*(IF(H236="",-1,H236)&lt;=3))*(1-(IF(H236="",-1,H236)=0)),IF(C236="peso_corporal",IF(ISNUMBER(E236),E236,0)+F236,F236)*(30+G236)*100+F236,0)=AA236,1,0))))))</f>
        <v>0</v>
      </c>
      <c r="AC236" s="69" t="str">
        <f>IF(X236&gt;0,"A"&amp;X236,IF(Z236&gt;0,"B"&amp;Z236,IF(AB236&gt;0,"C"&amp;AB236,"")))</f>
        <v/>
      </c>
    </row>
    <row r="237" spans="1:29" ht="15" customHeight="1">
      <c r="A237" s="83" t="s">
        <v>99</v>
      </c>
      <c r="B237" s="73"/>
      <c r="C237" s="73"/>
      <c r="D237" s="73"/>
      <c r="E237" s="73"/>
      <c r="F237" s="73"/>
      <c r="G237" s="73"/>
      <c r="H237" s="73"/>
      <c r="I237" s="73"/>
      <c r="J237" s="73"/>
      <c r="K237" s="73"/>
      <c r="L237" s="73"/>
      <c r="M237" s="73"/>
      <c r="N237" s="73"/>
      <c r="O237" s="73"/>
      <c r="P237" s="73"/>
      <c r="Q237" s="73"/>
      <c r="R237" s="73"/>
      <c r="S237" s="73"/>
      <c r="T237" s="73"/>
      <c r="U237" s="73"/>
      <c r="V237" s="73"/>
      <c r="W237" s="69"/>
      <c r="X237" s="69"/>
      <c r="Y237" s="69"/>
      <c r="Z237" s="69"/>
      <c r="AA237" s="69"/>
      <c r="AB237" s="69"/>
      <c r="AC237" s="69"/>
    </row>
    <row r="238" spans="1:29" ht="20.100000000000001" customHeight="1">
      <c r="A238" s="14" t="s">
        <v>100</v>
      </c>
      <c r="B238" s="15" t="s">
        <v>101</v>
      </c>
      <c r="C238" s="16" t="str">
        <f>IFERROR(INDEX(EJERCICIOS!$D$3:$D$75,MATCH(A238&amp;"|"&amp;B238,EJERCICIOS!$G$3:$G$75,0)),"--")</f>
        <v>mancuerna</v>
      </c>
      <c r="D238" s="17">
        <v>3</v>
      </c>
      <c r="E238" s="18">
        <f>IFERROR(LOOKUP(2,1/(MEDIDAS_Y_PESO!$B$3:$B$12&lt;&gt;""),MEDIDAS_Y_PESO!$B$3:$B$12),"--")</f>
        <v>80</v>
      </c>
      <c r="F238" s="19"/>
      <c r="G238" s="20"/>
      <c r="H238" s="21"/>
      <c r="I238" s="19"/>
      <c r="J238" s="20"/>
      <c r="K238" s="21"/>
      <c r="L238" s="19"/>
      <c r="M238" s="20"/>
      <c r="N238" s="21"/>
      <c r="O238" s="19"/>
      <c r="P238" s="20"/>
      <c r="Q238" s="21"/>
      <c r="R238" s="19"/>
      <c r="S238" s="20"/>
      <c r="T238" s="21"/>
      <c r="U238" s="22" t="str">
        <f>IFERROR(IF(IF(X238&gt;0,X238,IF(Z238&gt;0,Z238,IF(AB238&gt;0,AB238,0)))=0,"--",ROUND(CHOOSE(IF(X238&gt;0,X238,IF(Z238&gt;0,Z238,IF(AB238&gt;0,AB238,0))),IF(C238="peso_corporal",IF(ISNUMBER(E238),E238,0)+F238,F238)*(1+G238/30),IF(C238="peso_corporal",IF(ISNUMBER(E238),E238,0)+I238,I238)*(1+J238/30),IF(C238="peso_corporal",IF(ISNUMBER(E238),E238,0)+L238,L238)*(1+M238/30),IF(C238="peso_corporal",IF(ISNUMBER(E238),E238,0)+O238,O238)*(1+P238/30),IF(C238="peso_corporal",IF(ISNUMBER(E238),E238,0)+R238,R238)*(1+S238/30)),1)),"--")</f>
        <v>--</v>
      </c>
      <c r="V238" s="23" t="str">
        <f>IF(SUGERENCIAS!N627="SIN","Sin datos anteriores",IF(SUGERENCIAS!N627="SUBIR_F","^ SUBIR FUERTE | Kg:"&amp;ROUND(SUGERENCIAS!K627,1)&amp;" R:"&amp;ROUND(SUGERENCIAS!L627,0)&amp;" RIR:"&amp;ROUND(SUGERENCIAS!M627,0),IF(SUGERENCIAS!N627="SUBIR_E","^ SUBIR (Est.) | Kg:"&amp;ROUND(SUGERENCIAS!K627,1)&amp;" R:"&amp;ROUND(SUGERENCIAS!L627,0)&amp;" RIR:"&amp;ROUND(SUGERENCIAS!M627,0),IF(SUGERENCIAS!N627="SUBIR","^ SUBIR | Kg:"&amp;ROUND(SUGERENCIAS!K627,1)&amp;" R:"&amp;ROUND(SUGERENCIAS!L627,0)&amp;" RIR:"&amp;ROUND(SUGERENCIAS!M627,0),IF(SUGERENCIAS!N627="BAJAR","v BAJAR | Kg:"&amp;ROUND(SUGERENCIAS!K627,1)&amp;" R:"&amp;ROUND(SUGERENCIAS!L627,0)&amp;" RIR:"&amp;ROUND(SUGERENCIAS!M627,0),"= MANT | Kg:"&amp;ROUND(SUGERENCIAS!K627,1)&amp;" R:"&amp;ROUND(SUGERENCIAS!L627,0)&amp;" RIR:"&amp;ROUND(SUGERENCIAS!M627,0))))))</f>
        <v>Sin datos anteriores</v>
      </c>
      <c r="W238" s="69">
        <f>MAX(IF((G238&gt;0)*(IF(H238="",-1,H238)&gt;=1)*(IF(H238="",-1,H238)&lt;=3),IF(C238="peso_corporal",IF(ISNUMBER(E238),E238,0)+F238,F238)*G238*1000+F238,0),IF((J238&gt;0)*(IF(K238="",-1,K238)&gt;=1)*(IF(K238="",-1,K238)&lt;=3),IF(C238="peso_corporal",IF(ISNUMBER(E238),E238,0)+I238,I238)*J238*1000+I238,0),IF((M238&gt;0)*(IF(N238="",-1,N238)&gt;=1)*(IF(N238="",-1,N238)&lt;=3),IF(C238="peso_corporal",IF(ISNUMBER(E238),E238,0)+L238,L238)*M238*1000+L238,0),IF((P238&gt;0)*(IF(Q238="",-1,Q238)&gt;=1)*(IF(Q238="",-1,Q238)&lt;=3),IF(C238="peso_corporal",IF(ISNUMBER(E238),E238,0)+O238,O238)*P238*1000+O238,0),IF((S238&gt;0)*(IF(T238="",-1,T238)&gt;=1)*(IF(T238="",-1,T238)&lt;=3),IF(C238="peso_corporal",IF(ISNUMBER(E238),E238,0)+R238,R238)*S238*1000+R238,0))</f>
        <v>0</v>
      </c>
      <c r="X238" s="69">
        <f>IF(W238=0,0,IF(IF((S238&gt;0)*(IF(T238="",-1,T238)&gt;=1)*(IF(T238="",-1,T238)&lt;=3),IF(C238="peso_corporal",IF(ISNUMBER(E238),E238,0)+R238,R238)*S238*1000+R238,0)=W238,5,IF(IF((P238&gt;0)*(IF(Q238="",-1,Q238)&gt;=1)*(IF(Q238="",-1,Q238)&lt;=3),IF(C238="peso_corporal",IF(ISNUMBER(E238),E238,0)+O238,O238)*P238*1000+O238,0)=W238,4,IF(IF((M238&gt;0)*(IF(N238="",-1,N238)&gt;=1)*(IF(N238="",-1,N238)&lt;=3),IF(C238="peso_corporal",IF(ISNUMBER(E238),E238,0)+L238,L238)*M238*1000+L238,0)=W238,3,IF(IF((J238&gt;0)*(IF(K238="",-1,K238)&gt;=1)*(IF(K238="",-1,K238)&lt;=3),IF(C238="peso_corporal",IF(ISNUMBER(E238),E238,0)+I238,I238)*J238*1000+I238,0)=W238,2,IF(IF((G238&gt;0)*(IF(H238="",-1,H238)&gt;=1)*(IF(H238="",-1,H238)&lt;=3),IF(C238="peso_corporal",IF(ISNUMBER(E238),E238,0)+F238,F238)*G238*1000+F238,0)=W238,1,0))))))</f>
        <v>0</v>
      </c>
      <c r="Y238" s="69">
        <f>MAX(IF((G238&gt;0)*(IF(H238="",-1,H238)=0)*(1-(IF(H238="",-1,H238)&gt;=1)*(IF(H238="",-1,H238)&lt;=3)),IF(C238="peso_corporal",IF(ISNUMBER(E238),E238,0)+F238,F238)*G238*1000+F238,0),IF((J238&gt;0)*(IF(K238="",-1,K238)=0)*(1-(IF(K238="",-1,K238)&gt;=1)*(IF(K238="",-1,K238)&lt;=3)),IF(C238="peso_corporal",IF(ISNUMBER(E238),E238,0)+I238,I238)*J238*1000+I238,0),IF((M238&gt;0)*(IF(N238="",-1,N238)=0)*(1-(IF(N238="",-1,N238)&gt;=1)*(IF(N238="",-1,N238)&lt;=3)),IF(C238="peso_corporal",IF(ISNUMBER(E238),E238,0)+L238,L238)*M238*1000+L238,0),IF((P238&gt;0)*(IF(Q238="",-1,Q238)=0)*(1-(IF(Q238="",-1,Q238)&gt;=1)*(IF(Q238="",-1,Q238)&lt;=3)),IF(C238="peso_corporal",IF(ISNUMBER(E238),E238,0)+O238,O238)*P238*1000+O238,0),IF((S238&gt;0)*(IF(T238="",-1,T238)=0)*(1-(IF(T238="",-1,T238)&gt;=1)*(IF(T238="",-1,T238)&lt;=3)),IF(C238="peso_corporal",IF(ISNUMBER(E238),E238,0)+R238,R238)*S238*1000+R238,0))</f>
        <v>0</v>
      </c>
      <c r="Z238" s="69">
        <f>IF(Y238=0,0,IF(IF((S238&gt;0)*(IF(T238="",-1,T238)=0)*(1-(IF(T238="",-1,T238)&gt;=1)*(IF(T238="",-1,T238)&lt;=3)),IF(C238="peso_corporal",IF(ISNUMBER(E238),E238,0)+R238,R238)*S238*1000+R238,0)=Y238,5,IF(IF((P238&gt;0)*(IF(Q238="",-1,Q238)=0)*(1-(IF(Q238="",-1,Q238)&gt;=1)*(IF(Q238="",-1,Q238)&lt;=3)),IF(C238="peso_corporal",IF(ISNUMBER(E238),E238,0)+O238,O238)*P238*1000+O238,0)=Y238,4,IF(IF((M238&gt;0)*(IF(N238="",-1,N238)=0)*(1-(IF(N238="",-1,N238)&gt;=1)*(IF(N238="",-1,N238)&lt;=3)),IF(C238="peso_corporal",IF(ISNUMBER(E238),E238,0)+L238,L238)*M238*1000+L238,0)=Y238,3,IF(IF((J238&gt;0)*(IF(K238="",-1,K238)=0)*(1-(IF(K238="",-1,K238)&gt;=1)*(IF(K238="",-1,K238)&lt;=3)),IF(C238="peso_corporal",IF(ISNUMBER(E238),E238,0)+I238,I238)*J238*1000+I238,0)=Y238,2,IF(IF((G238&gt;0)*(IF(H238="",-1,H238)=0)*(1-(IF(H238="",-1,H238)&gt;=1)*(IF(H238="",-1,H238)&lt;=3)),IF(C238="peso_corporal",IF(ISNUMBER(E238),E238,0)+F238,F238)*G238*1000+F238,0)=Y238,1,0))))))</f>
        <v>0</v>
      </c>
      <c r="AA238" s="69">
        <f>MAX(IF((G238&gt;=6)*(1-(IF(H238="",-1,H238)&gt;=1)*(IF(H238="",-1,H238)&lt;=3))*(1-(IF(H238="",-1,H238)=0)),IF(C238="peso_corporal",IF(ISNUMBER(E238),E238,0)+F238,F238)*(30+G238)*100+F238,0),IF((J238&gt;=6)*(1-(IF(K238="",-1,K238)&gt;=1)*(IF(K238="",-1,K238)&lt;=3))*(1-(IF(K238="",-1,K238)=0)),IF(C238="peso_corporal",IF(ISNUMBER(E238),E238,0)+I238,I238)*(30+J238)*100+I238,0),IF((M238&gt;=6)*(1-(IF(N238="",-1,N238)&gt;=1)*(IF(N238="",-1,N238)&lt;=3))*(1-(IF(N238="",-1,N238)=0)),IF(C238="peso_corporal",IF(ISNUMBER(E238),E238,0)+L238,L238)*(30+M238)*100+L238,0),IF((P238&gt;=6)*(1-(IF(Q238="",-1,Q238)&gt;=1)*(IF(Q238="",-1,Q238)&lt;=3))*(1-(IF(Q238="",-1,Q238)=0)),IF(C238="peso_corporal",IF(ISNUMBER(E238),E238,0)+O238,O238)*(30+P238)*100+O238,0),IF((S238&gt;=6)*(1-(IF(T238="",-1,T238)&gt;=1)*(IF(T238="",-1,T238)&lt;=3))*(1-(IF(T238="",-1,T238)=0)),IF(C238="peso_corporal",IF(ISNUMBER(E238),E238,0)+R238,R238)*(30+S238)*100+R238,0))</f>
        <v>0</v>
      </c>
      <c r="AB238" s="69">
        <f>IF(AA238=0,0,IF(IF((S238&gt;=6)*(1-(IF(T238="",-1,T238)&gt;=1)*(IF(T238="",-1,T238)&lt;=3))*(1-(IF(T238="",-1,T238)=0)),IF(C238="peso_corporal",IF(ISNUMBER(E238),E238,0)+R238,R238)*(30+S238)*100+R238,0)=AA238,5,IF(IF((P238&gt;=6)*(1-(IF(Q238="",-1,Q238)&gt;=1)*(IF(Q238="",-1,Q238)&lt;=3))*(1-(IF(Q238="",-1,Q238)=0)),IF(C238="peso_corporal",IF(ISNUMBER(E238),E238,0)+O238,O238)*(30+P238)*100+O238,0)=AA238,4,IF(IF((M238&gt;=6)*(1-(IF(N238="",-1,N238)&gt;=1)*(IF(N238="",-1,N238)&lt;=3))*(1-(IF(N238="",-1,N238)=0)),IF(C238="peso_corporal",IF(ISNUMBER(E238),E238,0)+L238,L238)*(30+M238)*100+L238,0)=AA238,3,IF(IF((J238&gt;=6)*(1-(IF(K238="",-1,K238)&gt;=1)*(IF(K238="",-1,K238)&lt;=3))*(1-(IF(K238="",-1,K238)=0)),IF(C238="peso_corporal",IF(ISNUMBER(E238),E238,0)+I238,I238)*(30+J238)*100+I238,0)=AA238,2,IF(IF((G238&gt;=6)*(1-(IF(H238="",-1,H238)&gt;=1)*(IF(H238="",-1,H238)&lt;=3))*(1-(IF(H238="",-1,H238)=0)),IF(C238="peso_corporal",IF(ISNUMBER(E238),E238,0)+F238,F238)*(30+G238)*100+F238,0)=AA238,1,0))))))</f>
        <v>0</v>
      </c>
      <c r="AC238" s="69" t="str">
        <f>IF(X238&gt;0,"A"&amp;X238,IF(Z238&gt;0,"B"&amp;Z238,IF(AB238&gt;0,"C"&amp;AB238,"")))</f>
        <v/>
      </c>
    </row>
    <row r="239" spans="1:29" ht="20.100000000000001" customHeight="1">
      <c r="A239" s="14" t="s">
        <v>100</v>
      </c>
      <c r="B239" s="15" t="s">
        <v>102</v>
      </c>
      <c r="C239" s="16" t="str">
        <f>IFERROR(INDEX(EJERCICIOS!$D$3:$D$75,MATCH(A239&amp;"|"&amp;B239,EJERCICIOS!$G$3:$G$75,0)),"--")</f>
        <v>mancuerna</v>
      </c>
      <c r="D239" s="17">
        <v>3</v>
      </c>
      <c r="E239" s="18">
        <f>IFERROR(LOOKUP(2,1/(MEDIDAS_Y_PESO!$B$3:$B$12&lt;&gt;""),MEDIDAS_Y_PESO!$B$3:$B$12),"--")</f>
        <v>80</v>
      </c>
      <c r="F239" s="19"/>
      <c r="G239" s="20"/>
      <c r="H239" s="21"/>
      <c r="I239" s="19"/>
      <c r="J239" s="20"/>
      <c r="K239" s="21"/>
      <c r="L239" s="19"/>
      <c r="M239" s="20"/>
      <c r="N239" s="21"/>
      <c r="O239" s="19"/>
      <c r="P239" s="20"/>
      <c r="Q239" s="21"/>
      <c r="R239" s="19"/>
      <c r="S239" s="20"/>
      <c r="T239" s="21"/>
      <c r="U239" s="22" t="str">
        <f>IFERROR(IF(IF(X239&gt;0,X239,IF(Z239&gt;0,Z239,IF(AB239&gt;0,AB239,0)))=0,"--",ROUND(CHOOSE(IF(X239&gt;0,X239,IF(Z239&gt;0,Z239,IF(AB239&gt;0,AB239,0))),IF(C239="peso_corporal",IF(ISNUMBER(E239),E239,0)+F239,F239)*(1+G239/30),IF(C239="peso_corporal",IF(ISNUMBER(E239),E239,0)+I239,I239)*(1+J239/30),IF(C239="peso_corporal",IF(ISNUMBER(E239),E239,0)+L239,L239)*(1+M239/30),IF(C239="peso_corporal",IF(ISNUMBER(E239),E239,0)+O239,O239)*(1+P239/30),IF(C239="peso_corporal",IF(ISNUMBER(E239),E239,0)+R239,R239)*(1+S239/30)),1)),"--")</f>
        <v>--</v>
      </c>
      <c r="V239" s="23" t="str">
        <f>IF(SUGERENCIAS!N628="SIN","Sin datos anteriores",IF(SUGERENCIAS!N628="SUBIR_F","^ SUBIR FUERTE | Kg:"&amp;ROUND(SUGERENCIAS!K628,1)&amp;" R:"&amp;ROUND(SUGERENCIAS!L628,0)&amp;" RIR:"&amp;ROUND(SUGERENCIAS!M628,0),IF(SUGERENCIAS!N628="SUBIR_E","^ SUBIR (Est.) | Kg:"&amp;ROUND(SUGERENCIAS!K628,1)&amp;" R:"&amp;ROUND(SUGERENCIAS!L628,0)&amp;" RIR:"&amp;ROUND(SUGERENCIAS!M628,0),IF(SUGERENCIAS!N628="SUBIR","^ SUBIR | Kg:"&amp;ROUND(SUGERENCIAS!K628,1)&amp;" R:"&amp;ROUND(SUGERENCIAS!L628,0)&amp;" RIR:"&amp;ROUND(SUGERENCIAS!M628,0),IF(SUGERENCIAS!N628="BAJAR","v BAJAR | Kg:"&amp;ROUND(SUGERENCIAS!K628,1)&amp;" R:"&amp;ROUND(SUGERENCIAS!L628,0)&amp;" RIR:"&amp;ROUND(SUGERENCIAS!M628,0),"= MANT | Kg:"&amp;ROUND(SUGERENCIAS!K628,1)&amp;" R:"&amp;ROUND(SUGERENCIAS!L628,0)&amp;" RIR:"&amp;ROUND(SUGERENCIAS!M628,0))))))</f>
        <v>Sin datos anteriores</v>
      </c>
      <c r="W239" s="69">
        <f>MAX(IF((G239&gt;0)*(IF(H239="",-1,H239)&gt;=1)*(IF(H239="",-1,H239)&lt;=3),IF(C239="peso_corporal",IF(ISNUMBER(E239),E239,0)+F239,F239)*G239*1000+F239,0),IF((J239&gt;0)*(IF(K239="",-1,K239)&gt;=1)*(IF(K239="",-1,K239)&lt;=3),IF(C239="peso_corporal",IF(ISNUMBER(E239),E239,0)+I239,I239)*J239*1000+I239,0),IF((M239&gt;0)*(IF(N239="",-1,N239)&gt;=1)*(IF(N239="",-1,N239)&lt;=3),IF(C239="peso_corporal",IF(ISNUMBER(E239),E239,0)+L239,L239)*M239*1000+L239,0),IF((P239&gt;0)*(IF(Q239="",-1,Q239)&gt;=1)*(IF(Q239="",-1,Q239)&lt;=3),IF(C239="peso_corporal",IF(ISNUMBER(E239),E239,0)+O239,O239)*P239*1000+O239,0),IF((S239&gt;0)*(IF(T239="",-1,T239)&gt;=1)*(IF(T239="",-1,T239)&lt;=3),IF(C239="peso_corporal",IF(ISNUMBER(E239),E239,0)+R239,R239)*S239*1000+R239,0))</f>
        <v>0</v>
      </c>
      <c r="X239" s="69">
        <f>IF(W239=0,0,IF(IF((S239&gt;0)*(IF(T239="",-1,T239)&gt;=1)*(IF(T239="",-1,T239)&lt;=3),IF(C239="peso_corporal",IF(ISNUMBER(E239),E239,0)+R239,R239)*S239*1000+R239,0)=W239,5,IF(IF((P239&gt;0)*(IF(Q239="",-1,Q239)&gt;=1)*(IF(Q239="",-1,Q239)&lt;=3),IF(C239="peso_corporal",IF(ISNUMBER(E239),E239,0)+O239,O239)*P239*1000+O239,0)=W239,4,IF(IF((M239&gt;0)*(IF(N239="",-1,N239)&gt;=1)*(IF(N239="",-1,N239)&lt;=3),IF(C239="peso_corporal",IF(ISNUMBER(E239),E239,0)+L239,L239)*M239*1000+L239,0)=W239,3,IF(IF((J239&gt;0)*(IF(K239="",-1,K239)&gt;=1)*(IF(K239="",-1,K239)&lt;=3),IF(C239="peso_corporal",IF(ISNUMBER(E239),E239,0)+I239,I239)*J239*1000+I239,0)=W239,2,IF(IF((G239&gt;0)*(IF(H239="",-1,H239)&gt;=1)*(IF(H239="",-1,H239)&lt;=3),IF(C239="peso_corporal",IF(ISNUMBER(E239),E239,0)+F239,F239)*G239*1000+F239,0)=W239,1,0))))))</f>
        <v>0</v>
      </c>
      <c r="Y239" s="69">
        <f>MAX(IF((G239&gt;0)*(IF(H239="",-1,H239)=0)*(1-(IF(H239="",-1,H239)&gt;=1)*(IF(H239="",-1,H239)&lt;=3)),IF(C239="peso_corporal",IF(ISNUMBER(E239),E239,0)+F239,F239)*G239*1000+F239,0),IF((J239&gt;0)*(IF(K239="",-1,K239)=0)*(1-(IF(K239="",-1,K239)&gt;=1)*(IF(K239="",-1,K239)&lt;=3)),IF(C239="peso_corporal",IF(ISNUMBER(E239),E239,0)+I239,I239)*J239*1000+I239,0),IF((M239&gt;0)*(IF(N239="",-1,N239)=0)*(1-(IF(N239="",-1,N239)&gt;=1)*(IF(N239="",-1,N239)&lt;=3)),IF(C239="peso_corporal",IF(ISNUMBER(E239),E239,0)+L239,L239)*M239*1000+L239,0),IF((P239&gt;0)*(IF(Q239="",-1,Q239)=0)*(1-(IF(Q239="",-1,Q239)&gt;=1)*(IF(Q239="",-1,Q239)&lt;=3)),IF(C239="peso_corporal",IF(ISNUMBER(E239),E239,0)+O239,O239)*P239*1000+O239,0),IF((S239&gt;0)*(IF(T239="",-1,T239)=0)*(1-(IF(T239="",-1,T239)&gt;=1)*(IF(T239="",-1,T239)&lt;=3)),IF(C239="peso_corporal",IF(ISNUMBER(E239),E239,0)+R239,R239)*S239*1000+R239,0))</f>
        <v>0</v>
      </c>
      <c r="Z239" s="69">
        <f>IF(Y239=0,0,IF(IF((S239&gt;0)*(IF(T239="",-1,T239)=0)*(1-(IF(T239="",-1,T239)&gt;=1)*(IF(T239="",-1,T239)&lt;=3)),IF(C239="peso_corporal",IF(ISNUMBER(E239),E239,0)+R239,R239)*S239*1000+R239,0)=Y239,5,IF(IF((P239&gt;0)*(IF(Q239="",-1,Q239)=0)*(1-(IF(Q239="",-1,Q239)&gt;=1)*(IF(Q239="",-1,Q239)&lt;=3)),IF(C239="peso_corporal",IF(ISNUMBER(E239),E239,0)+O239,O239)*P239*1000+O239,0)=Y239,4,IF(IF((M239&gt;0)*(IF(N239="",-1,N239)=0)*(1-(IF(N239="",-1,N239)&gt;=1)*(IF(N239="",-1,N239)&lt;=3)),IF(C239="peso_corporal",IF(ISNUMBER(E239),E239,0)+L239,L239)*M239*1000+L239,0)=Y239,3,IF(IF((J239&gt;0)*(IF(K239="",-1,K239)=0)*(1-(IF(K239="",-1,K239)&gt;=1)*(IF(K239="",-1,K239)&lt;=3)),IF(C239="peso_corporal",IF(ISNUMBER(E239),E239,0)+I239,I239)*J239*1000+I239,0)=Y239,2,IF(IF((G239&gt;0)*(IF(H239="",-1,H239)=0)*(1-(IF(H239="",-1,H239)&gt;=1)*(IF(H239="",-1,H239)&lt;=3)),IF(C239="peso_corporal",IF(ISNUMBER(E239),E239,0)+F239,F239)*G239*1000+F239,0)=Y239,1,0))))))</f>
        <v>0</v>
      </c>
      <c r="AA239" s="69">
        <f>MAX(IF((G239&gt;=6)*(1-(IF(H239="",-1,H239)&gt;=1)*(IF(H239="",-1,H239)&lt;=3))*(1-(IF(H239="",-1,H239)=0)),IF(C239="peso_corporal",IF(ISNUMBER(E239),E239,0)+F239,F239)*(30+G239)*100+F239,0),IF((J239&gt;=6)*(1-(IF(K239="",-1,K239)&gt;=1)*(IF(K239="",-1,K239)&lt;=3))*(1-(IF(K239="",-1,K239)=0)),IF(C239="peso_corporal",IF(ISNUMBER(E239),E239,0)+I239,I239)*(30+J239)*100+I239,0),IF((M239&gt;=6)*(1-(IF(N239="",-1,N239)&gt;=1)*(IF(N239="",-1,N239)&lt;=3))*(1-(IF(N239="",-1,N239)=0)),IF(C239="peso_corporal",IF(ISNUMBER(E239),E239,0)+L239,L239)*(30+M239)*100+L239,0),IF((P239&gt;=6)*(1-(IF(Q239="",-1,Q239)&gt;=1)*(IF(Q239="",-1,Q239)&lt;=3))*(1-(IF(Q239="",-1,Q239)=0)),IF(C239="peso_corporal",IF(ISNUMBER(E239),E239,0)+O239,O239)*(30+P239)*100+O239,0),IF((S239&gt;=6)*(1-(IF(T239="",-1,T239)&gt;=1)*(IF(T239="",-1,T239)&lt;=3))*(1-(IF(T239="",-1,T239)=0)),IF(C239="peso_corporal",IF(ISNUMBER(E239),E239,0)+R239,R239)*(30+S239)*100+R239,0))</f>
        <v>0</v>
      </c>
      <c r="AB239" s="69">
        <f>IF(AA239=0,0,IF(IF((S239&gt;=6)*(1-(IF(T239="",-1,T239)&gt;=1)*(IF(T239="",-1,T239)&lt;=3))*(1-(IF(T239="",-1,T239)=0)),IF(C239="peso_corporal",IF(ISNUMBER(E239),E239,0)+R239,R239)*(30+S239)*100+R239,0)=AA239,5,IF(IF((P239&gt;=6)*(1-(IF(Q239="",-1,Q239)&gt;=1)*(IF(Q239="",-1,Q239)&lt;=3))*(1-(IF(Q239="",-1,Q239)=0)),IF(C239="peso_corporal",IF(ISNUMBER(E239),E239,0)+O239,O239)*(30+P239)*100+O239,0)=AA239,4,IF(IF((M239&gt;=6)*(1-(IF(N239="",-1,N239)&gt;=1)*(IF(N239="",-1,N239)&lt;=3))*(1-(IF(N239="",-1,N239)=0)),IF(C239="peso_corporal",IF(ISNUMBER(E239),E239,0)+L239,L239)*(30+M239)*100+L239,0)=AA239,3,IF(IF((J239&gt;=6)*(1-(IF(K239="",-1,K239)&gt;=1)*(IF(K239="",-1,K239)&lt;=3))*(1-(IF(K239="",-1,K239)=0)),IF(C239="peso_corporal",IF(ISNUMBER(E239),E239,0)+I239,I239)*(30+J239)*100+I239,0)=AA239,2,IF(IF((G239&gt;=6)*(1-(IF(H239="",-1,H239)&gt;=1)*(IF(H239="",-1,H239)&lt;=3))*(1-(IF(H239="",-1,H239)=0)),IF(C239="peso_corporal",IF(ISNUMBER(E239),E239,0)+F239,F239)*(30+G239)*100+F239,0)=AA239,1,0))))))</f>
        <v>0</v>
      </c>
      <c r="AC239" s="69" t="str">
        <f>IF(X239&gt;0,"A"&amp;X239,IF(Z239&gt;0,"B"&amp;Z239,IF(AB239&gt;0,"C"&amp;AB239,"")))</f>
        <v/>
      </c>
    </row>
    <row r="240" spans="1:29" ht="15" customHeight="1">
      <c r="A240" s="81" t="s">
        <v>42</v>
      </c>
      <c r="B240" s="73"/>
      <c r="C240" s="73"/>
      <c r="D240" s="73"/>
      <c r="E240" s="73"/>
      <c r="F240" s="73"/>
      <c r="G240" s="73"/>
      <c r="H240" s="73"/>
      <c r="I240" s="73"/>
      <c r="J240" s="73"/>
      <c r="K240" s="73"/>
      <c r="L240" s="73"/>
      <c r="M240" s="73"/>
      <c r="N240" s="73"/>
      <c r="O240" s="73"/>
      <c r="P240" s="73"/>
      <c r="Q240" s="73"/>
      <c r="R240" s="73"/>
      <c r="S240" s="73"/>
      <c r="T240" s="73"/>
      <c r="U240" s="73"/>
      <c r="V240" s="73"/>
      <c r="W240" s="69"/>
      <c r="X240" s="69"/>
      <c r="Y240" s="69"/>
      <c r="Z240" s="69"/>
      <c r="AA240" s="69"/>
      <c r="AB240" s="69"/>
      <c r="AC240" s="69"/>
    </row>
    <row r="241" spans="1:29" ht="20.100000000000001" customHeight="1">
      <c r="A241" s="14" t="s">
        <v>43</v>
      </c>
      <c r="B241" s="15" t="s">
        <v>44</v>
      </c>
      <c r="C241" s="16" t="str">
        <f>IFERROR(INDEX(EJERCICIOS!$D$3:$D$75,MATCH(A241&amp;"|"&amp;B241,EJERCICIOS!$G$3:$G$75,0)),"--")</f>
        <v>polea</v>
      </c>
      <c r="D241" s="17">
        <v>3</v>
      </c>
      <c r="E241" s="18">
        <f>IFERROR(LOOKUP(2,1/(MEDIDAS_Y_PESO!$B$3:$B$12&lt;&gt;""),MEDIDAS_Y_PESO!$B$3:$B$12),"--")</f>
        <v>80</v>
      </c>
      <c r="F241" s="19"/>
      <c r="G241" s="20"/>
      <c r="H241" s="21"/>
      <c r="I241" s="19"/>
      <c r="J241" s="20"/>
      <c r="K241" s="21"/>
      <c r="L241" s="19"/>
      <c r="M241" s="20"/>
      <c r="N241" s="21"/>
      <c r="O241" s="19"/>
      <c r="P241" s="20"/>
      <c r="Q241" s="21"/>
      <c r="R241" s="19"/>
      <c r="S241" s="20"/>
      <c r="T241" s="21"/>
      <c r="U241" s="22" t="str">
        <f>IFERROR(IF(IF(X241&gt;0,X241,IF(Z241&gt;0,Z241,IF(AB241&gt;0,AB241,0)))=0,"--",ROUND(CHOOSE(IF(X241&gt;0,X241,IF(Z241&gt;0,Z241,IF(AB241&gt;0,AB241,0))),IF(C241="peso_corporal",IF(ISNUMBER(E241),E241,0)+F241,F241)*(1+G241/30),IF(C241="peso_corporal",IF(ISNUMBER(E241),E241,0)+I241,I241)*(1+J241/30),IF(C241="peso_corporal",IF(ISNUMBER(E241),E241,0)+L241,L241)*(1+M241/30),IF(C241="peso_corporal",IF(ISNUMBER(E241),E241,0)+O241,O241)*(1+P241/30),IF(C241="peso_corporal",IF(ISNUMBER(E241),E241,0)+R241,R241)*(1+S241/30)),1)),"--")</f>
        <v>--</v>
      </c>
      <c r="V241" s="23" t="str">
        <f>IF(SUGERENCIAS!N629="SIN","Sin datos anteriores",IF(SUGERENCIAS!N629="SUBIR_F","^ SUBIR FUERTE | Kg:"&amp;ROUND(SUGERENCIAS!K629,1)&amp;" R:"&amp;ROUND(SUGERENCIAS!L629,0)&amp;" RIR:"&amp;ROUND(SUGERENCIAS!M629,0),IF(SUGERENCIAS!N629="SUBIR_E","^ SUBIR (Est.) | Kg:"&amp;ROUND(SUGERENCIAS!K629,1)&amp;" R:"&amp;ROUND(SUGERENCIAS!L629,0)&amp;" RIR:"&amp;ROUND(SUGERENCIAS!M629,0),IF(SUGERENCIAS!N629="SUBIR","^ SUBIR | Kg:"&amp;ROUND(SUGERENCIAS!K629,1)&amp;" R:"&amp;ROUND(SUGERENCIAS!L629,0)&amp;" RIR:"&amp;ROUND(SUGERENCIAS!M629,0),IF(SUGERENCIAS!N629="BAJAR","v BAJAR | Kg:"&amp;ROUND(SUGERENCIAS!K629,1)&amp;" R:"&amp;ROUND(SUGERENCIAS!L629,0)&amp;" RIR:"&amp;ROUND(SUGERENCIAS!M629,0),"= MANT | Kg:"&amp;ROUND(SUGERENCIAS!K629,1)&amp;" R:"&amp;ROUND(SUGERENCIAS!L629,0)&amp;" RIR:"&amp;ROUND(SUGERENCIAS!M629,0))))))</f>
        <v>Sin datos anteriores</v>
      </c>
      <c r="W241" s="69">
        <f>MAX(IF((G241&gt;0)*(IF(H241="",-1,H241)&gt;=1)*(IF(H241="",-1,H241)&lt;=3),IF(C241="peso_corporal",IF(ISNUMBER(E241),E241,0)+F241,F241)*G241*1000+F241,0),IF((J241&gt;0)*(IF(K241="",-1,K241)&gt;=1)*(IF(K241="",-1,K241)&lt;=3),IF(C241="peso_corporal",IF(ISNUMBER(E241),E241,0)+I241,I241)*J241*1000+I241,0),IF((M241&gt;0)*(IF(N241="",-1,N241)&gt;=1)*(IF(N241="",-1,N241)&lt;=3),IF(C241="peso_corporal",IF(ISNUMBER(E241),E241,0)+L241,L241)*M241*1000+L241,0),IF((P241&gt;0)*(IF(Q241="",-1,Q241)&gt;=1)*(IF(Q241="",-1,Q241)&lt;=3),IF(C241="peso_corporal",IF(ISNUMBER(E241),E241,0)+O241,O241)*P241*1000+O241,0),IF((S241&gt;0)*(IF(T241="",-1,T241)&gt;=1)*(IF(T241="",-1,T241)&lt;=3),IF(C241="peso_corporal",IF(ISNUMBER(E241),E241,0)+R241,R241)*S241*1000+R241,0))</f>
        <v>0</v>
      </c>
      <c r="X241" s="69">
        <f>IF(W241=0,0,IF(IF((S241&gt;0)*(IF(T241="",-1,T241)&gt;=1)*(IF(T241="",-1,T241)&lt;=3),IF(C241="peso_corporal",IF(ISNUMBER(E241),E241,0)+R241,R241)*S241*1000+R241,0)=W241,5,IF(IF((P241&gt;0)*(IF(Q241="",-1,Q241)&gt;=1)*(IF(Q241="",-1,Q241)&lt;=3),IF(C241="peso_corporal",IF(ISNUMBER(E241),E241,0)+O241,O241)*P241*1000+O241,0)=W241,4,IF(IF((M241&gt;0)*(IF(N241="",-1,N241)&gt;=1)*(IF(N241="",-1,N241)&lt;=3),IF(C241="peso_corporal",IF(ISNUMBER(E241),E241,0)+L241,L241)*M241*1000+L241,0)=W241,3,IF(IF((J241&gt;0)*(IF(K241="",-1,K241)&gt;=1)*(IF(K241="",-1,K241)&lt;=3),IF(C241="peso_corporal",IF(ISNUMBER(E241),E241,0)+I241,I241)*J241*1000+I241,0)=W241,2,IF(IF((G241&gt;0)*(IF(H241="",-1,H241)&gt;=1)*(IF(H241="",-1,H241)&lt;=3),IF(C241="peso_corporal",IF(ISNUMBER(E241),E241,0)+F241,F241)*G241*1000+F241,0)=W241,1,0))))))</f>
        <v>0</v>
      </c>
      <c r="Y241" s="69">
        <f>MAX(IF((G241&gt;0)*(IF(H241="",-1,H241)=0)*(1-(IF(H241="",-1,H241)&gt;=1)*(IF(H241="",-1,H241)&lt;=3)),IF(C241="peso_corporal",IF(ISNUMBER(E241),E241,0)+F241,F241)*G241*1000+F241,0),IF((J241&gt;0)*(IF(K241="",-1,K241)=0)*(1-(IF(K241="",-1,K241)&gt;=1)*(IF(K241="",-1,K241)&lt;=3)),IF(C241="peso_corporal",IF(ISNUMBER(E241),E241,0)+I241,I241)*J241*1000+I241,0),IF((M241&gt;0)*(IF(N241="",-1,N241)=0)*(1-(IF(N241="",-1,N241)&gt;=1)*(IF(N241="",-1,N241)&lt;=3)),IF(C241="peso_corporal",IF(ISNUMBER(E241),E241,0)+L241,L241)*M241*1000+L241,0),IF((P241&gt;0)*(IF(Q241="",-1,Q241)=0)*(1-(IF(Q241="",-1,Q241)&gt;=1)*(IF(Q241="",-1,Q241)&lt;=3)),IF(C241="peso_corporal",IF(ISNUMBER(E241),E241,0)+O241,O241)*P241*1000+O241,0),IF((S241&gt;0)*(IF(T241="",-1,T241)=0)*(1-(IF(T241="",-1,T241)&gt;=1)*(IF(T241="",-1,T241)&lt;=3)),IF(C241="peso_corporal",IF(ISNUMBER(E241),E241,0)+R241,R241)*S241*1000+R241,0))</f>
        <v>0</v>
      </c>
      <c r="Z241" s="69">
        <f>IF(Y241=0,0,IF(IF((S241&gt;0)*(IF(T241="",-1,T241)=0)*(1-(IF(T241="",-1,T241)&gt;=1)*(IF(T241="",-1,T241)&lt;=3)),IF(C241="peso_corporal",IF(ISNUMBER(E241),E241,0)+R241,R241)*S241*1000+R241,0)=Y241,5,IF(IF((P241&gt;0)*(IF(Q241="",-1,Q241)=0)*(1-(IF(Q241="",-1,Q241)&gt;=1)*(IF(Q241="",-1,Q241)&lt;=3)),IF(C241="peso_corporal",IF(ISNUMBER(E241),E241,0)+O241,O241)*P241*1000+O241,0)=Y241,4,IF(IF((M241&gt;0)*(IF(N241="",-1,N241)=0)*(1-(IF(N241="",-1,N241)&gt;=1)*(IF(N241="",-1,N241)&lt;=3)),IF(C241="peso_corporal",IF(ISNUMBER(E241),E241,0)+L241,L241)*M241*1000+L241,0)=Y241,3,IF(IF((J241&gt;0)*(IF(K241="",-1,K241)=0)*(1-(IF(K241="",-1,K241)&gt;=1)*(IF(K241="",-1,K241)&lt;=3)),IF(C241="peso_corporal",IF(ISNUMBER(E241),E241,0)+I241,I241)*J241*1000+I241,0)=Y241,2,IF(IF((G241&gt;0)*(IF(H241="",-1,H241)=0)*(1-(IF(H241="",-1,H241)&gt;=1)*(IF(H241="",-1,H241)&lt;=3)),IF(C241="peso_corporal",IF(ISNUMBER(E241),E241,0)+F241,F241)*G241*1000+F241,0)=Y241,1,0))))))</f>
        <v>0</v>
      </c>
      <c r="AA241" s="69">
        <f>MAX(IF((G241&gt;=6)*(1-(IF(H241="",-1,H241)&gt;=1)*(IF(H241="",-1,H241)&lt;=3))*(1-(IF(H241="",-1,H241)=0)),IF(C241="peso_corporal",IF(ISNUMBER(E241),E241,0)+F241,F241)*(30+G241)*100+F241,0),IF((J241&gt;=6)*(1-(IF(K241="",-1,K241)&gt;=1)*(IF(K241="",-1,K241)&lt;=3))*(1-(IF(K241="",-1,K241)=0)),IF(C241="peso_corporal",IF(ISNUMBER(E241),E241,0)+I241,I241)*(30+J241)*100+I241,0),IF((M241&gt;=6)*(1-(IF(N241="",-1,N241)&gt;=1)*(IF(N241="",-1,N241)&lt;=3))*(1-(IF(N241="",-1,N241)=0)),IF(C241="peso_corporal",IF(ISNUMBER(E241),E241,0)+L241,L241)*(30+M241)*100+L241,0),IF((P241&gt;=6)*(1-(IF(Q241="",-1,Q241)&gt;=1)*(IF(Q241="",-1,Q241)&lt;=3))*(1-(IF(Q241="",-1,Q241)=0)),IF(C241="peso_corporal",IF(ISNUMBER(E241),E241,0)+O241,O241)*(30+P241)*100+O241,0),IF((S241&gt;=6)*(1-(IF(T241="",-1,T241)&gt;=1)*(IF(T241="",-1,T241)&lt;=3))*(1-(IF(T241="",-1,T241)=0)),IF(C241="peso_corporal",IF(ISNUMBER(E241),E241,0)+R241,R241)*(30+S241)*100+R241,0))</f>
        <v>0</v>
      </c>
      <c r="AB241" s="69">
        <f>IF(AA241=0,0,IF(IF((S241&gt;=6)*(1-(IF(T241="",-1,T241)&gt;=1)*(IF(T241="",-1,T241)&lt;=3))*(1-(IF(T241="",-1,T241)=0)),IF(C241="peso_corporal",IF(ISNUMBER(E241),E241,0)+R241,R241)*(30+S241)*100+R241,0)=AA241,5,IF(IF((P241&gt;=6)*(1-(IF(Q241="",-1,Q241)&gt;=1)*(IF(Q241="",-1,Q241)&lt;=3))*(1-(IF(Q241="",-1,Q241)=0)),IF(C241="peso_corporal",IF(ISNUMBER(E241),E241,0)+O241,O241)*(30+P241)*100+O241,0)=AA241,4,IF(IF((M241&gt;=6)*(1-(IF(N241="",-1,N241)&gt;=1)*(IF(N241="",-1,N241)&lt;=3))*(1-(IF(N241="",-1,N241)=0)),IF(C241="peso_corporal",IF(ISNUMBER(E241),E241,0)+L241,L241)*(30+M241)*100+L241,0)=AA241,3,IF(IF((J241&gt;=6)*(1-(IF(K241="",-1,K241)&gt;=1)*(IF(K241="",-1,K241)&lt;=3))*(1-(IF(K241="",-1,K241)=0)),IF(C241="peso_corporal",IF(ISNUMBER(E241),E241,0)+I241,I241)*(30+J241)*100+I241,0)=AA241,2,IF(IF((G241&gt;=6)*(1-(IF(H241="",-1,H241)&gt;=1)*(IF(H241="",-1,H241)&lt;=3))*(1-(IF(H241="",-1,H241)=0)),IF(C241="peso_corporal",IF(ISNUMBER(E241),E241,0)+F241,F241)*(30+G241)*100+F241,0)=AA241,1,0))))))</f>
        <v>0</v>
      </c>
      <c r="AC241" s="69" t="str">
        <f>IF(X241&gt;0,"A"&amp;X241,IF(Z241&gt;0,"B"&amp;Z241,IF(AB241&gt;0,"C"&amp;AB241,"")))</f>
        <v/>
      </c>
    </row>
    <row r="242" spans="1:29" ht="15" customHeight="1">
      <c r="A242" s="81" t="s">
        <v>174</v>
      </c>
      <c r="B242" s="73"/>
      <c r="C242" s="73"/>
      <c r="D242" s="73"/>
      <c r="E242" s="73"/>
      <c r="F242" s="73"/>
      <c r="G242" s="73"/>
      <c r="H242" s="73"/>
      <c r="I242" s="73"/>
      <c r="J242" s="73"/>
      <c r="K242" s="73"/>
      <c r="L242" s="73"/>
      <c r="M242" s="73"/>
      <c r="N242" s="73"/>
      <c r="O242" s="73"/>
      <c r="P242" s="73"/>
      <c r="Q242" s="73"/>
      <c r="R242" s="73"/>
      <c r="S242" s="73"/>
      <c r="T242" s="73"/>
      <c r="U242" s="73"/>
      <c r="V242" s="73"/>
      <c r="W242" s="69"/>
      <c r="X242" s="69"/>
      <c r="Y242" s="69"/>
      <c r="Z242" s="69"/>
      <c r="AA242" s="69"/>
      <c r="AB242" s="69"/>
      <c r="AC242" s="69"/>
    </row>
    <row r="243" spans="1:29" ht="20.100000000000001" customHeight="1">
      <c r="A243" s="14" t="s">
        <v>175</v>
      </c>
      <c r="B243" s="15" t="s">
        <v>176</v>
      </c>
      <c r="C243" s="16" t="str">
        <f>IFERROR(INDEX(EJERCICIOS!$D$3:$D$75,MATCH(A243&amp;"|"&amp;B243,EJERCICIOS!$G$3:$G$75,0)),"--")</f>
        <v>mancuerna</v>
      </c>
      <c r="D243" s="17">
        <v>3</v>
      </c>
      <c r="E243" s="18">
        <f>IFERROR(LOOKUP(2,1/(MEDIDAS_Y_PESO!$B$3:$B$12&lt;&gt;""),MEDIDAS_Y_PESO!$B$3:$B$12),"--")</f>
        <v>80</v>
      </c>
      <c r="F243" s="19"/>
      <c r="G243" s="20"/>
      <c r="H243" s="21"/>
      <c r="I243" s="19"/>
      <c r="J243" s="20"/>
      <c r="K243" s="21"/>
      <c r="L243" s="19"/>
      <c r="M243" s="20"/>
      <c r="N243" s="21"/>
      <c r="O243" s="19"/>
      <c r="P243" s="20"/>
      <c r="Q243" s="21"/>
      <c r="R243" s="19"/>
      <c r="S243" s="20"/>
      <c r="T243" s="21"/>
      <c r="U243" s="22" t="str">
        <f>IFERROR(IF(IF(X243&gt;0,X243,IF(Z243&gt;0,Z243,IF(AB243&gt;0,AB243,0)))=0,"--",ROUND(CHOOSE(IF(X243&gt;0,X243,IF(Z243&gt;0,Z243,IF(AB243&gt;0,AB243,0))),IF(C243="peso_corporal",IF(ISNUMBER(E243),E243,0)+F243,F243)*(1+G243/30),IF(C243="peso_corporal",IF(ISNUMBER(E243),E243,0)+I243,I243)*(1+J243/30),IF(C243="peso_corporal",IF(ISNUMBER(E243),E243,0)+L243,L243)*(1+M243/30),IF(C243="peso_corporal",IF(ISNUMBER(E243),E243,0)+O243,O243)*(1+P243/30),IF(C243="peso_corporal",IF(ISNUMBER(E243),E243,0)+R243,R243)*(1+S243/30)),1)),"--")</f>
        <v>--</v>
      </c>
      <c r="V243" s="23" t="str">
        <f>IF(SUGERENCIAS!N630="SIN","Sin datos anteriores",IF(SUGERENCIAS!N630="SUBIR_F","^ SUBIR FUERTE | Kg:"&amp;ROUND(SUGERENCIAS!K630,1)&amp;" R:"&amp;ROUND(SUGERENCIAS!L630,0)&amp;" RIR:"&amp;ROUND(SUGERENCIAS!M630,0),IF(SUGERENCIAS!N630="SUBIR_E","^ SUBIR (Est.) | Kg:"&amp;ROUND(SUGERENCIAS!K630,1)&amp;" R:"&amp;ROUND(SUGERENCIAS!L630,0)&amp;" RIR:"&amp;ROUND(SUGERENCIAS!M630,0),IF(SUGERENCIAS!N630="SUBIR","^ SUBIR | Kg:"&amp;ROUND(SUGERENCIAS!K630,1)&amp;" R:"&amp;ROUND(SUGERENCIAS!L630,0)&amp;" RIR:"&amp;ROUND(SUGERENCIAS!M630,0),IF(SUGERENCIAS!N630="BAJAR","v BAJAR | Kg:"&amp;ROUND(SUGERENCIAS!K630,1)&amp;" R:"&amp;ROUND(SUGERENCIAS!L630,0)&amp;" RIR:"&amp;ROUND(SUGERENCIAS!M630,0),"= MANT | Kg:"&amp;ROUND(SUGERENCIAS!K630,1)&amp;" R:"&amp;ROUND(SUGERENCIAS!L630,0)&amp;" RIR:"&amp;ROUND(SUGERENCIAS!M630,0))))))</f>
        <v>Sin datos anteriores</v>
      </c>
      <c r="W243" s="69">
        <f>MAX(IF((G243&gt;0)*(IF(H243="",-1,H243)&gt;=1)*(IF(H243="",-1,H243)&lt;=3),IF(C243="peso_corporal",IF(ISNUMBER(E243),E243,0)+F243,F243)*G243*1000+F243,0),IF((J243&gt;0)*(IF(K243="",-1,K243)&gt;=1)*(IF(K243="",-1,K243)&lt;=3),IF(C243="peso_corporal",IF(ISNUMBER(E243),E243,0)+I243,I243)*J243*1000+I243,0),IF((M243&gt;0)*(IF(N243="",-1,N243)&gt;=1)*(IF(N243="",-1,N243)&lt;=3),IF(C243="peso_corporal",IF(ISNUMBER(E243),E243,0)+L243,L243)*M243*1000+L243,0),IF((P243&gt;0)*(IF(Q243="",-1,Q243)&gt;=1)*(IF(Q243="",-1,Q243)&lt;=3),IF(C243="peso_corporal",IF(ISNUMBER(E243),E243,0)+O243,O243)*P243*1000+O243,0),IF((S243&gt;0)*(IF(T243="",-1,T243)&gt;=1)*(IF(T243="",-1,T243)&lt;=3),IF(C243="peso_corporal",IF(ISNUMBER(E243),E243,0)+R243,R243)*S243*1000+R243,0))</f>
        <v>0</v>
      </c>
      <c r="X243" s="69">
        <f>IF(W243=0,0,IF(IF((S243&gt;0)*(IF(T243="",-1,T243)&gt;=1)*(IF(T243="",-1,T243)&lt;=3),IF(C243="peso_corporal",IF(ISNUMBER(E243),E243,0)+R243,R243)*S243*1000+R243,0)=W243,5,IF(IF((P243&gt;0)*(IF(Q243="",-1,Q243)&gt;=1)*(IF(Q243="",-1,Q243)&lt;=3),IF(C243="peso_corporal",IF(ISNUMBER(E243),E243,0)+O243,O243)*P243*1000+O243,0)=W243,4,IF(IF((M243&gt;0)*(IF(N243="",-1,N243)&gt;=1)*(IF(N243="",-1,N243)&lt;=3),IF(C243="peso_corporal",IF(ISNUMBER(E243),E243,0)+L243,L243)*M243*1000+L243,0)=W243,3,IF(IF((J243&gt;0)*(IF(K243="",-1,K243)&gt;=1)*(IF(K243="",-1,K243)&lt;=3),IF(C243="peso_corporal",IF(ISNUMBER(E243),E243,0)+I243,I243)*J243*1000+I243,0)=W243,2,IF(IF((G243&gt;0)*(IF(H243="",-1,H243)&gt;=1)*(IF(H243="",-1,H243)&lt;=3),IF(C243="peso_corporal",IF(ISNUMBER(E243),E243,0)+F243,F243)*G243*1000+F243,0)=W243,1,0))))))</f>
        <v>0</v>
      </c>
      <c r="Y243" s="69">
        <f>MAX(IF((G243&gt;0)*(IF(H243="",-1,H243)=0)*(1-(IF(H243="",-1,H243)&gt;=1)*(IF(H243="",-1,H243)&lt;=3)),IF(C243="peso_corporal",IF(ISNUMBER(E243),E243,0)+F243,F243)*G243*1000+F243,0),IF((J243&gt;0)*(IF(K243="",-1,K243)=0)*(1-(IF(K243="",-1,K243)&gt;=1)*(IF(K243="",-1,K243)&lt;=3)),IF(C243="peso_corporal",IF(ISNUMBER(E243),E243,0)+I243,I243)*J243*1000+I243,0),IF((M243&gt;0)*(IF(N243="",-1,N243)=0)*(1-(IF(N243="",-1,N243)&gt;=1)*(IF(N243="",-1,N243)&lt;=3)),IF(C243="peso_corporal",IF(ISNUMBER(E243),E243,0)+L243,L243)*M243*1000+L243,0),IF((P243&gt;0)*(IF(Q243="",-1,Q243)=0)*(1-(IF(Q243="",-1,Q243)&gt;=1)*(IF(Q243="",-1,Q243)&lt;=3)),IF(C243="peso_corporal",IF(ISNUMBER(E243),E243,0)+O243,O243)*P243*1000+O243,0),IF((S243&gt;0)*(IF(T243="",-1,T243)=0)*(1-(IF(T243="",-1,T243)&gt;=1)*(IF(T243="",-1,T243)&lt;=3)),IF(C243="peso_corporal",IF(ISNUMBER(E243),E243,0)+R243,R243)*S243*1000+R243,0))</f>
        <v>0</v>
      </c>
      <c r="Z243" s="69">
        <f>IF(Y243=0,0,IF(IF((S243&gt;0)*(IF(T243="",-1,T243)=0)*(1-(IF(T243="",-1,T243)&gt;=1)*(IF(T243="",-1,T243)&lt;=3)),IF(C243="peso_corporal",IF(ISNUMBER(E243),E243,0)+R243,R243)*S243*1000+R243,0)=Y243,5,IF(IF((P243&gt;0)*(IF(Q243="",-1,Q243)=0)*(1-(IF(Q243="",-1,Q243)&gt;=1)*(IF(Q243="",-1,Q243)&lt;=3)),IF(C243="peso_corporal",IF(ISNUMBER(E243),E243,0)+O243,O243)*P243*1000+O243,0)=Y243,4,IF(IF((M243&gt;0)*(IF(N243="",-1,N243)=0)*(1-(IF(N243="",-1,N243)&gt;=1)*(IF(N243="",-1,N243)&lt;=3)),IF(C243="peso_corporal",IF(ISNUMBER(E243),E243,0)+L243,L243)*M243*1000+L243,0)=Y243,3,IF(IF((J243&gt;0)*(IF(K243="",-1,K243)=0)*(1-(IF(K243="",-1,K243)&gt;=1)*(IF(K243="",-1,K243)&lt;=3)),IF(C243="peso_corporal",IF(ISNUMBER(E243),E243,0)+I243,I243)*J243*1000+I243,0)=Y243,2,IF(IF((G243&gt;0)*(IF(H243="",-1,H243)=0)*(1-(IF(H243="",-1,H243)&gt;=1)*(IF(H243="",-1,H243)&lt;=3)),IF(C243="peso_corporal",IF(ISNUMBER(E243),E243,0)+F243,F243)*G243*1000+F243,0)=Y243,1,0))))))</f>
        <v>0</v>
      </c>
      <c r="AA243" s="69">
        <f>MAX(IF((G243&gt;=6)*(1-(IF(H243="",-1,H243)&gt;=1)*(IF(H243="",-1,H243)&lt;=3))*(1-(IF(H243="",-1,H243)=0)),IF(C243="peso_corporal",IF(ISNUMBER(E243),E243,0)+F243,F243)*(30+G243)*100+F243,0),IF((J243&gt;=6)*(1-(IF(K243="",-1,K243)&gt;=1)*(IF(K243="",-1,K243)&lt;=3))*(1-(IF(K243="",-1,K243)=0)),IF(C243="peso_corporal",IF(ISNUMBER(E243),E243,0)+I243,I243)*(30+J243)*100+I243,0),IF((M243&gt;=6)*(1-(IF(N243="",-1,N243)&gt;=1)*(IF(N243="",-1,N243)&lt;=3))*(1-(IF(N243="",-1,N243)=0)),IF(C243="peso_corporal",IF(ISNUMBER(E243),E243,0)+L243,L243)*(30+M243)*100+L243,0),IF((P243&gt;=6)*(1-(IF(Q243="",-1,Q243)&gt;=1)*(IF(Q243="",-1,Q243)&lt;=3))*(1-(IF(Q243="",-1,Q243)=0)),IF(C243="peso_corporal",IF(ISNUMBER(E243),E243,0)+O243,O243)*(30+P243)*100+O243,0),IF((S243&gt;=6)*(1-(IF(T243="",-1,T243)&gt;=1)*(IF(T243="",-1,T243)&lt;=3))*(1-(IF(T243="",-1,T243)=0)),IF(C243="peso_corporal",IF(ISNUMBER(E243),E243,0)+R243,R243)*(30+S243)*100+R243,0))</f>
        <v>0</v>
      </c>
      <c r="AB243" s="69">
        <f>IF(AA243=0,0,IF(IF((S243&gt;=6)*(1-(IF(T243="",-1,T243)&gt;=1)*(IF(T243="",-1,T243)&lt;=3))*(1-(IF(T243="",-1,T243)=0)),IF(C243="peso_corporal",IF(ISNUMBER(E243),E243,0)+R243,R243)*(30+S243)*100+R243,0)=AA243,5,IF(IF((P243&gt;=6)*(1-(IF(Q243="",-1,Q243)&gt;=1)*(IF(Q243="",-1,Q243)&lt;=3))*(1-(IF(Q243="",-1,Q243)=0)),IF(C243="peso_corporal",IF(ISNUMBER(E243),E243,0)+O243,O243)*(30+P243)*100+O243,0)=AA243,4,IF(IF((M243&gt;=6)*(1-(IF(N243="",-1,N243)&gt;=1)*(IF(N243="",-1,N243)&lt;=3))*(1-(IF(N243="",-1,N243)=0)),IF(C243="peso_corporal",IF(ISNUMBER(E243),E243,0)+L243,L243)*(30+M243)*100+L243,0)=AA243,3,IF(IF((J243&gt;=6)*(1-(IF(K243="",-1,K243)&gt;=1)*(IF(K243="",-1,K243)&lt;=3))*(1-(IF(K243="",-1,K243)=0)),IF(C243="peso_corporal",IF(ISNUMBER(E243),E243,0)+I243,I243)*(30+J243)*100+I243,0)=AA243,2,IF(IF((G243&gt;=6)*(1-(IF(H243="",-1,H243)&gt;=1)*(IF(H243="",-1,H243)&lt;=3))*(1-(IF(H243="",-1,H243)=0)),IF(C243="peso_corporal",IF(ISNUMBER(E243),E243,0)+F243,F243)*(30+G243)*100+F243,0)=AA243,1,0))))))</f>
        <v>0</v>
      </c>
      <c r="AC243" s="69" t="str">
        <f>IF(X243&gt;0,"A"&amp;X243,IF(Z243&gt;0,"B"&amp;Z243,IF(AB243&gt;0,"C"&amp;AB243,"")))</f>
        <v/>
      </c>
    </row>
    <row r="244" spans="1:29" ht="20.100000000000001" customHeight="1">
      <c r="A244" s="14" t="s">
        <v>109</v>
      </c>
      <c r="B244" s="15" t="s">
        <v>110</v>
      </c>
      <c r="C244" s="16" t="str">
        <f>IFERROR(INDEX(EJERCICIOS!$D$3:$D$75,MATCH(A244&amp;"|"&amp;B244,EJERCICIOS!$G$3:$G$75,0)),"--")</f>
        <v>polea</v>
      </c>
      <c r="D244" s="17">
        <v>3</v>
      </c>
      <c r="E244" s="18">
        <f>IFERROR(LOOKUP(2,1/(MEDIDAS_Y_PESO!$B$3:$B$12&lt;&gt;""),MEDIDAS_Y_PESO!$B$3:$B$12),"--")</f>
        <v>80</v>
      </c>
      <c r="F244" s="19"/>
      <c r="G244" s="20"/>
      <c r="H244" s="21"/>
      <c r="I244" s="19"/>
      <c r="J244" s="20"/>
      <c r="K244" s="21"/>
      <c r="L244" s="19"/>
      <c r="M244" s="20"/>
      <c r="N244" s="21"/>
      <c r="O244" s="19"/>
      <c r="P244" s="20"/>
      <c r="Q244" s="21"/>
      <c r="R244" s="19"/>
      <c r="S244" s="20"/>
      <c r="T244" s="21"/>
      <c r="U244" s="22" t="str">
        <f>IFERROR(IF(IF(X244&gt;0,X244,IF(Z244&gt;0,Z244,IF(AB244&gt;0,AB244,0)))=0,"--",ROUND(CHOOSE(IF(X244&gt;0,X244,IF(Z244&gt;0,Z244,IF(AB244&gt;0,AB244,0))),IF(C244="peso_corporal",IF(ISNUMBER(E244),E244,0)+F244,F244)*(1+G244/30),IF(C244="peso_corporal",IF(ISNUMBER(E244),E244,0)+I244,I244)*(1+J244/30),IF(C244="peso_corporal",IF(ISNUMBER(E244),E244,0)+L244,L244)*(1+M244/30),IF(C244="peso_corporal",IF(ISNUMBER(E244),E244,0)+O244,O244)*(1+P244/30),IF(C244="peso_corporal",IF(ISNUMBER(E244),E244,0)+R244,R244)*(1+S244/30)),1)),"--")</f>
        <v>--</v>
      </c>
      <c r="V244" s="23" t="str">
        <f>IF(SUGERENCIAS!N631="SIN","Sin datos anteriores",IF(SUGERENCIAS!N631="SUBIR_F","^ SUBIR FUERTE | Kg:"&amp;ROUND(SUGERENCIAS!K631,1)&amp;" R:"&amp;ROUND(SUGERENCIAS!L631,0)&amp;" RIR:"&amp;ROUND(SUGERENCIAS!M631,0),IF(SUGERENCIAS!N631="SUBIR_E","^ SUBIR (Est.) | Kg:"&amp;ROUND(SUGERENCIAS!K631,1)&amp;" R:"&amp;ROUND(SUGERENCIAS!L631,0)&amp;" RIR:"&amp;ROUND(SUGERENCIAS!M631,0),IF(SUGERENCIAS!N631="SUBIR","^ SUBIR | Kg:"&amp;ROUND(SUGERENCIAS!K631,1)&amp;" R:"&amp;ROUND(SUGERENCIAS!L631,0)&amp;" RIR:"&amp;ROUND(SUGERENCIAS!M631,0),IF(SUGERENCIAS!N631="BAJAR","v BAJAR | Kg:"&amp;ROUND(SUGERENCIAS!K631,1)&amp;" R:"&amp;ROUND(SUGERENCIAS!L631,0)&amp;" RIR:"&amp;ROUND(SUGERENCIAS!M631,0),"= MANT | Kg:"&amp;ROUND(SUGERENCIAS!K631,1)&amp;" R:"&amp;ROUND(SUGERENCIAS!L631,0)&amp;" RIR:"&amp;ROUND(SUGERENCIAS!M631,0))))))</f>
        <v>Sin datos anteriores</v>
      </c>
      <c r="W244" s="69">
        <f>MAX(IF((G244&gt;0)*(IF(H244="",-1,H244)&gt;=1)*(IF(H244="",-1,H244)&lt;=3),IF(C244="peso_corporal",IF(ISNUMBER(E244),E244,0)+F244,F244)*G244*1000+F244,0),IF((J244&gt;0)*(IF(K244="",-1,K244)&gt;=1)*(IF(K244="",-1,K244)&lt;=3),IF(C244="peso_corporal",IF(ISNUMBER(E244),E244,0)+I244,I244)*J244*1000+I244,0),IF((M244&gt;0)*(IF(N244="",-1,N244)&gt;=1)*(IF(N244="",-1,N244)&lt;=3),IF(C244="peso_corporal",IF(ISNUMBER(E244),E244,0)+L244,L244)*M244*1000+L244,0),IF((P244&gt;0)*(IF(Q244="",-1,Q244)&gt;=1)*(IF(Q244="",-1,Q244)&lt;=3),IF(C244="peso_corporal",IF(ISNUMBER(E244),E244,0)+O244,O244)*P244*1000+O244,0),IF((S244&gt;0)*(IF(T244="",-1,T244)&gt;=1)*(IF(T244="",-1,T244)&lt;=3),IF(C244="peso_corporal",IF(ISNUMBER(E244),E244,0)+R244,R244)*S244*1000+R244,0))</f>
        <v>0</v>
      </c>
      <c r="X244" s="69">
        <f>IF(W244=0,0,IF(IF((S244&gt;0)*(IF(T244="",-1,T244)&gt;=1)*(IF(T244="",-1,T244)&lt;=3),IF(C244="peso_corporal",IF(ISNUMBER(E244),E244,0)+R244,R244)*S244*1000+R244,0)=W244,5,IF(IF((P244&gt;0)*(IF(Q244="",-1,Q244)&gt;=1)*(IF(Q244="",-1,Q244)&lt;=3),IF(C244="peso_corporal",IF(ISNUMBER(E244),E244,0)+O244,O244)*P244*1000+O244,0)=W244,4,IF(IF((M244&gt;0)*(IF(N244="",-1,N244)&gt;=1)*(IF(N244="",-1,N244)&lt;=3),IF(C244="peso_corporal",IF(ISNUMBER(E244),E244,0)+L244,L244)*M244*1000+L244,0)=W244,3,IF(IF((J244&gt;0)*(IF(K244="",-1,K244)&gt;=1)*(IF(K244="",-1,K244)&lt;=3),IF(C244="peso_corporal",IF(ISNUMBER(E244),E244,0)+I244,I244)*J244*1000+I244,0)=W244,2,IF(IF((G244&gt;0)*(IF(H244="",-1,H244)&gt;=1)*(IF(H244="",-1,H244)&lt;=3),IF(C244="peso_corporal",IF(ISNUMBER(E244),E244,0)+F244,F244)*G244*1000+F244,0)=W244,1,0))))))</f>
        <v>0</v>
      </c>
      <c r="Y244" s="69">
        <f>MAX(IF((G244&gt;0)*(IF(H244="",-1,H244)=0)*(1-(IF(H244="",-1,H244)&gt;=1)*(IF(H244="",-1,H244)&lt;=3)),IF(C244="peso_corporal",IF(ISNUMBER(E244),E244,0)+F244,F244)*G244*1000+F244,0),IF((J244&gt;0)*(IF(K244="",-1,K244)=0)*(1-(IF(K244="",-1,K244)&gt;=1)*(IF(K244="",-1,K244)&lt;=3)),IF(C244="peso_corporal",IF(ISNUMBER(E244),E244,0)+I244,I244)*J244*1000+I244,0),IF((M244&gt;0)*(IF(N244="",-1,N244)=0)*(1-(IF(N244="",-1,N244)&gt;=1)*(IF(N244="",-1,N244)&lt;=3)),IF(C244="peso_corporal",IF(ISNUMBER(E244),E244,0)+L244,L244)*M244*1000+L244,0),IF((P244&gt;0)*(IF(Q244="",-1,Q244)=0)*(1-(IF(Q244="",-1,Q244)&gt;=1)*(IF(Q244="",-1,Q244)&lt;=3)),IF(C244="peso_corporal",IF(ISNUMBER(E244),E244,0)+O244,O244)*P244*1000+O244,0),IF((S244&gt;0)*(IF(T244="",-1,T244)=0)*(1-(IF(T244="",-1,T244)&gt;=1)*(IF(T244="",-1,T244)&lt;=3)),IF(C244="peso_corporal",IF(ISNUMBER(E244),E244,0)+R244,R244)*S244*1000+R244,0))</f>
        <v>0</v>
      </c>
      <c r="Z244" s="69">
        <f>IF(Y244=0,0,IF(IF((S244&gt;0)*(IF(T244="",-1,T244)=0)*(1-(IF(T244="",-1,T244)&gt;=1)*(IF(T244="",-1,T244)&lt;=3)),IF(C244="peso_corporal",IF(ISNUMBER(E244),E244,0)+R244,R244)*S244*1000+R244,0)=Y244,5,IF(IF((P244&gt;0)*(IF(Q244="",-1,Q244)=0)*(1-(IF(Q244="",-1,Q244)&gt;=1)*(IF(Q244="",-1,Q244)&lt;=3)),IF(C244="peso_corporal",IF(ISNUMBER(E244),E244,0)+O244,O244)*P244*1000+O244,0)=Y244,4,IF(IF((M244&gt;0)*(IF(N244="",-1,N244)=0)*(1-(IF(N244="",-1,N244)&gt;=1)*(IF(N244="",-1,N244)&lt;=3)),IF(C244="peso_corporal",IF(ISNUMBER(E244),E244,0)+L244,L244)*M244*1000+L244,0)=Y244,3,IF(IF((J244&gt;0)*(IF(K244="",-1,K244)=0)*(1-(IF(K244="",-1,K244)&gt;=1)*(IF(K244="",-1,K244)&lt;=3)),IF(C244="peso_corporal",IF(ISNUMBER(E244),E244,0)+I244,I244)*J244*1000+I244,0)=Y244,2,IF(IF((G244&gt;0)*(IF(H244="",-1,H244)=0)*(1-(IF(H244="",-1,H244)&gt;=1)*(IF(H244="",-1,H244)&lt;=3)),IF(C244="peso_corporal",IF(ISNUMBER(E244),E244,0)+F244,F244)*G244*1000+F244,0)=Y244,1,0))))))</f>
        <v>0</v>
      </c>
      <c r="AA244" s="69">
        <f>MAX(IF((G244&gt;=6)*(1-(IF(H244="",-1,H244)&gt;=1)*(IF(H244="",-1,H244)&lt;=3))*(1-(IF(H244="",-1,H244)=0)),IF(C244="peso_corporal",IF(ISNUMBER(E244),E244,0)+F244,F244)*(30+G244)*100+F244,0),IF((J244&gt;=6)*(1-(IF(K244="",-1,K244)&gt;=1)*(IF(K244="",-1,K244)&lt;=3))*(1-(IF(K244="",-1,K244)=0)),IF(C244="peso_corporal",IF(ISNUMBER(E244),E244,0)+I244,I244)*(30+J244)*100+I244,0),IF((M244&gt;=6)*(1-(IF(N244="",-1,N244)&gt;=1)*(IF(N244="",-1,N244)&lt;=3))*(1-(IF(N244="",-1,N244)=0)),IF(C244="peso_corporal",IF(ISNUMBER(E244),E244,0)+L244,L244)*(30+M244)*100+L244,0),IF((P244&gt;=6)*(1-(IF(Q244="",-1,Q244)&gt;=1)*(IF(Q244="",-1,Q244)&lt;=3))*(1-(IF(Q244="",-1,Q244)=0)),IF(C244="peso_corporal",IF(ISNUMBER(E244),E244,0)+O244,O244)*(30+P244)*100+O244,0),IF((S244&gt;=6)*(1-(IF(T244="",-1,T244)&gt;=1)*(IF(T244="",-1,T244)&lt;=3))*(1-(IF(T244="",-1,T244)=0)),IF(C244="peso_corporal",IF(ISNUMBER(E244),E244,0)+R244,R244)*(30+S244)*100+R244,0))</f>
        <v>0</v>
      </c>
      <c r="AB244" s="69">
        <f>IF(AA244=0,0,IF(IF((S244&gt;=6)*(1-(IF(T244="",-1,T244)&gt;=1)*(IF(T244="",-1,T244)&lt;=3))*(1-(IF(T244="",-1,T244)=0)),IF(C244="peso_corporal",IF(ISNUMBER(E244),E244,0)+R244,R244)*(30+S244)*100+R244,0)=AA244,5,IF(IF((P244&gt;=6)*(1-(IF(Q244="",-1,Q244)&gt;=1)*(IF(Q244="",-1,Q244)&lt;=3))*(1-(IF(Q244="",-1,Q244)=0)),IF(C244="peso_corporal",IF(ISNUMBER(E244),E244,0)+O244,O244)*(30+P244)*100+O244,0)=AA244,4,IF(IF((M244&gt;=6)*(1-(IF(N244="",-1,N244)&gt;=1)*(IF(N244="",-1,N244)&lt;=3))*(1-(IF(N244="",-1,N244)=0)),IF(C244="peso_corporal",IF(ISNUMBER(E244),E244,0)+L244,L244)*(30+M244)*100+L244,0)=AA244,3,IF(IF((J244&gt;=6)*(1-(IF(K244="",-1,K244)&gt;=1)*(IF(K244="",-1,K244)&lt;=3))*(1-(IF(K244="",-1,K244)=0)),IF(C244="peso_corporal",IF(ISNUMBER(E244),E244,0)+I244,I244)*(30+J244)*100+I244,0)=AA244,2,IF(IF((G244&gt;=6)*(1-(IF(H244="",-1,H244)&gt;=1)*(IF(H244="",-1,H244)&lt;=3))*(1-(IF(H244="",-1,H244)=0)),IF(C244="peso_corporal",IF(ISNUMBER(E244),E244,0)+F244,F244)*(30+G244)*100+F244,0)=AA244,1,0))))))</f>
        <v>0</v>
      </c>
      <c r="AC244" s="69" t="str">
        <f>IF(X244&gt;0,"A"&amp;X244,IF(Z244&gt;0,"B"&amp;Z244,IF(AB244&gt;0,"C"&amp;AB244,"")))</f>
        <v/>
      </c>
    </row>
    <row r="245" spans="1:29" ht="15" customHeight="1">
      <c r="A245" s="90" t="s">
        <v>142</v>
      </c>
      <c r="B245" s="73"/>
      <c r="C245" s="73"/>
      <c r="D245" s="73"/>
      <c r="E245" s="73"/>
      <c r="F245" s="73"/>
      <c r="G245" s="73"/>
      <c r="H245" s="73"/>
      <c r="I245" s="73"/>
      <c r="J245" s="73"/>
      <c r="K245" s="73"/>
      <c r="L245" s="73"/>
      <c r="M245" s="73"/>
      <c r="N245" s="73"/>
      <c r="O245" s="73"/>
      <c r="P245" s="73"/>
      <c r="Q245" s="73"/>
      <c r="R245" s="73"/>
      <c r="S245" s="73"/>
      <c r="T245" s="73"/>
      <c r="U245" s="73"/>
      <c r="V245" s="73"/>
      <c r="W245" s="69"/>
      <c r="X245" s="69"/>
      <c r="Y245" s="69"/>
      <c r="Z245" s="69"/>
      <c r="AA245" s="69"/>
      <c r="AB245" s="69"/>
      <c r="AC245" s="69"/>
    </row>
    <row r="246" spans="1:29" ht="20.100000000000001" customHeight="1">
      <c r="A246" s="14" t="s">
        <v>24</v>
      </c>
      <c r="B246" s="15" t="s">
        <v>143</v>
      </c>
      <c r="C246" s="16" t="str">
        <f>IFERROR(INDEX(EJERCICIOS!$D$3:$D$75,MATCH(A246&amp;"|"&amp;B246,EJERCICIOS!$G$3:$G$75,0)),"--")</f>
        <v>peso_corporal</v>
      </c>
      <c r="D246" s="17">
        <v>3</v>
      </c>
      <c r="E246" s="18">
        <f>IFERROR(LOOKUP(2,1/(MEDIDAS_Y_PESO!$B$3:$B$12&lt;&gt;""),MEDIDAS_Y_PESO!$B$3:$B$12),"--")</f>
        <v>80</v>
      </c>
      <c r="F246" s="19"/>
      <c r="G246" s="20"/>
      <c r="H246" s="21"/>
      <c r="I246" s="19"/>
      <c r="J246" s="20"/>
      <c r="K246" s="21"/>
      <c r="L246" s="19"/>
      <c r="M246" s="20"/>
      <c r="N246" s="21"/>
      <c r="O246" s="19"/>
      <c r="P246" s="20"/>
      <c r="Q246" s="21"/>
      <c r="R246" s="19"/>
      <c r="S246" s="20"/>
      <c r="T246" s="21"/>
      <c r="U246" s="22" t="str">
        <f>IFERROR(IF(IF(X246&gt;0,X246,IF(Z246&gt;0,Z246,IF(AB246&gt;0,AB246,0)))=0,"--",ROUND(CHOOSE(IF(X246&gt;0,X246,IF(Z246&gt;0,Z246,IF(AB246&gt;0,AB246,0))),IF(C246="peso_corporal",IF(ISNUMBER(E246),E246,0)+F246,F246)*(1+G246/30),IF(C246="peso_corporal",IF(ISNUMBER(E246),E246,0)+I246,I246)*(1+J246/30),IF(C246="peso_corporal",IF(ISNUMBER(E246),E246,0)+L246,L246)*(1+M246/30),IF(C246="peso_corporal",IF(ISNUMBER(E246),E246,0)+O246,O246)*(1+P246/30),IF(C246="peso_corporal",IF(ISNUMBER(E246),E246,0)+R246,R246)*(1+S246/30)),1)),"--")</f>
        <v>--</v>
      </c>
      <c r="V246" s="23" t="str">
        <f>IF(SUGERENCIAS!N632="SIN","Sin datos anteriores",IF(SUGERENCIAS!N632="SUBIR_F","^ SUBIR FUERTE | Kg:"&amp;ROUND(SUGERENCIAS!K632,1)&amp;" R:"&amp;ROUND(SUGERENCIAS!L632,0)&amp;" RIR:"&amp;ROUND(SUGERENCIAS!M632,0),IF(SUGERENCIAS!N632="SUBIR_E","^ SUBIR (Est.) | Kg:"&amp;ROUND(SUGERENCIAS!K632,1)&amp;" R:"&amp;ROUND(SUGERENCIAS!L632,0)&amp;" RIR:"&amp;ROUND(SUGERENCIAS!M632,0),IF(SUGERENCIAS!N632="SUBIR","^ SUBIR | Kg:"&amp;ROUND(SUGERENCIAS!K632,1)&amp;" R:"&amp;ROUND(SUGERENCIAS!L632,0)&amp;" RIR:"&amp;ROUND(SUGERENCIAS!M632,0),IF(SUGERENCIAS!N632="BAJAR","v BAJAR | Kg:"&amp;ROUND(SUGERENCIAS!K632,1)&amp;" R:"&amp;ROUND(SUGERENCIAS!L632,0)&amp;" RIR:"&amp;ROUND(SUGERENCIAS!M632,0),"= MANT | Kg:"&amp;ROUND(SUGERENCIAS!K632,1)&amp;" R:"&amp;ROUND(SUGERENCIAS!L632,0)&amp;" RIR:"&amp;ROUND(SUGERENCIAS!M632,0))))))</f>
        <v>Sin datos anteriores</v>
      </c>
      <c r="W246" s="69">
        <f>MAX(IF((G246&gt;0)*(IF(H246="",-1,H246)&gt;=1)*(IF(H246="",-1,H246)&lt;=3),IF(C246="peso_corporal",IF(ISNUMBER(E246),E246,0)+F246,F246)*G246*1000+F246,0),IF((J246&gt;0)*(IF(K246="",-1,K246)&gt;=1)*(IF(K246="",-1,K246)&lt;=3),IF(C246="peso_corporal",IF(ISNUMBER(E246),E246,0)+I246,I246)*J246*1000+I246,0),IF((M246&gt;0)*(IF(N246="",-1,N246)&gt;=1)*(IF(N246="",-1,N246)&lt;=3),IF(C246="peso_corporal",IF(ISNUMBER(E246),E246,0)+L246,L246)*M246*1000+L246,0),IF((P246&gt;0)*(IF(Q246="",-1,Q246)&gt;=1)*(IF(Q246="",-1,Q246)&lt;=3),IF(C246="peso_corporal",IF(ISNUMBER(E246),E246,0)+O246,O246)*P246*1000+O246,0),IF((S246&gt;0)*(IF(T246="",-1,T246)&gt;=1)*(IF(T246="",-1,T246)&lt;=3),IF(C246="peso_corporal",IF(ISNUMBER(E246),E246,0)+R246,R246)*S246*1000+R246,0))</f>
        <v>0</v>
      </c>
      <c r="X246" s="69">
        <f>IF(W246=0,0,IF(IF((S246&gt;0)*(IF(T246="",-1,T246)&gt;=1)*(IF(T246="",-1,T246)&lt;=3),IF(C246="peso_corporal",IF(ISNUMBER(E246),E246,0)+R246,R246)*S246*1000+R246,0)=W246,5,IF(IF((P246&gt;0)*(IF(Q246="",-1,Q246)&gt;=1)*(IF(Q246="",-1,Q246)&lt;=3),IF(C246="peso_corporal",IF(ISNUMBER(E246),E246,0)+O246,O246)*P246*1000+O246,0)=W246,4,IF(IF((M246&gt;0)*(IF(N246="",-1,N246)&gt;=1)*(IF(N246="",-1,N246)&lt;=3),IF(C246="peso_corporal",IF(ISNUMBER(E246),E246,0)+L246,L246)*M246*1000+L246,0)=W246,3,IF(IF((J246&gt;0)*(IF(K246="",-1,K246)&gt;=1)*(IF(K246="",-1,K246)&lt;=3),IF(C246="peso_corporal",IF(ISNUMBER(E246),E246,0)+I246,I246)*J246*1000+I246,0)=W246,2,IF(IF((G246&gt;0)*(IF(H246="",-1,H246)&gt;=1)*(IF(H246="",-1,H246)&lt;=3),IF(C246="peso_corporal",IF(ISNUMBER(E246),E246,0)+F246,F246)*G246*1000+F246,0)=W246,1,0))))))</f>
        <v>0</v>
      </c>
      <c r="Y246" s="69">
        <f>MAX(IF((G246&gt;0)*(IF(H246="",-1,H246)=0)*(1-(IF(H246="",-1,H246)&gt;=1)*(IF(H246="",-1,H246)&lt;=3)),IF(C246="peso_corporal",IF(ISNUMBER(E246),E246,0)+F246,F246)*G246*1000+F246,0),IF((J246&gt;0)*(IF(K246="",-1,K246)=0)*(1-(IF(K246="",-1,K246)&gt;=1)*(IF(K246="",-1,K246)&lt;=3)),IF(C246="peso_corporal",IF(ISNUMBER(E246),E246,0)+I246,I246)*J246*1000+I246,0),IF((M246&gt;0)*(IF(N246="",-1,N246)=0)*(1-(IF(N246="",-1,N246)&gt;=1)*(IF(N246="",-1,N246)&lt;=3)),IF(C246="peso_corporal",IF(ISNUMBER(E246),E246,0)+L246,L246)*M246*1000+L246,0),IF((P246&gt;0)*(IF(Q246="",-1,Q246)=0)*(1-(IF(Q246="",-1,Q246)&gt;=1)*(IF(Q246="",-1,Q246)&lt;=3)),IF(C246="peso_corporal",IF(ISNUMBER(E246),E246,0)+O246,O246)*P246*1000+O246,0),IF((S246&gt;0)*(IF(T246="",-1,T246)=0)*(1-(IF(T246="",-1,T246)&gt;=1)*(IF(T246="",-1,T246)&lt;=3)),IF(C246="peso_corporal",IF(ISNUMBER(E246),E246,0)+R246,R246)*S246*1000+R246,0))</f>
        <v>0</v>
      </c>
      <c r="Z246" s="69">
        <f>IF(Y246=0,0,IF(IF((S246&gt;0)*(IF(T246="",-1,T246)=0)*(1-(IF(T246="",-1,T246)&gt;=1)*(IF(T246="",-1,T246)&lt;=3)),IF(C246="peso_corporal",IF(ISNUMBER(E246),E246,0)+R246,R246)*S246*1000+R246,0)=Y246,5,IF(IF((P246&gt;0)*(IF(Q246="",-1,Q246)=0)*(1-(IF(Q246="",-1,Q246)&gt;=1)*(IF(Q246="",-1,Q246)&lt;=3)),IF(C246="peso_corporal",IF(ISNUMBER(E246),E246,0)+O246,O246)*P246*1000+O246,0)=Y246,4,IF(IF((M246&gt;0)*(IF(N246="",-1,N246)=0)*(1-(IF(N246="",-1,N246)&gt;=1)*(IF(N246="",-1,N246)&lt;=3)),IF(C246="peso_corporal",IF(ISNUMBER(E246),E246,0)+L246,L246)*M246*1000+L246,0)=Y246,3,IF(IF((J246&gt;0)*(IF(K246="",-1,K246)=0)*(1-(IF(K246="",-1,K246)&gt;=1)*(IF(K246="",-1,K246)&lt;=3)),IF(C246="peso_corporal",IF(ISNUMBER(E246),E246,0)+I246,I246)*J246*1000+I246,0)=Y246,2,IF(IF((G246&gt;0)*(IF(H246="",-1,H246)=0)*(1-(IF(H246="",-1,H246)&gt;=1)*(IF(H246="",-1,H246)&lt;=3)),IF(C246="peso_corporal",IF(ISNUMBER(E246),E246,0)+F246,F246)*G246*1000+F246,0)=Y246,1,0))))))</f>
        <v>0</v>
      </c>
      <c r="AA246" s="69">
        <f>MAX(IF((G246&gt;=6)*(1-(IF(H246="",-1,H246)&gt;=1)*(IF(H246="",-1,H246)&lt;=3))*(1-(IF(H246="",-1,H246)=0)),IF(C246="peso_corporal",IF(ISNUMBER(E246),E246,0)+F246,F246)*(30+G246)*100+F246,0),IF((J246&gt;=6)*(1-(IF(K246="",-1,K246)&gt;=1)*(IF(K246="",-1,K246)&lt;=3))*(1-(IF(K246="",-1,K246)=0)),IF(C246="peso_corporal",IF(ISNUMBER(E246),E246,0)+I246,I246)*(30+J246)*100+I246,0),IF((M246&gt;=6)*(1-(IF(N246="",-1,N246)&gt;=1)*(IF(N246="",-1,N246)&lt;=3))*(1-(IF(N246="",-1,N246)=0)),IF(C246="peso_corporal",IF(ISNUMBER(E246),E246,0)+L246,L246)*(30+M246)*100+L246,0),IF((P246&gt;=6)*(1-(IF(Q246="",-1,Q246)&gt;=1)*(IF(Q246="",-1,Q246)&lt;=3))*(1-(IF(Q246="",-1,Q246)=0)),IF(C246="peso_corporal",IF(ISNUMBER(E246),E246,0)+O246,O246)*(30+P246)*100+O246,0),IF((S246&gt;=6)*(1-(IF(T246="",-1,T246)&gt;=1)*(IF(T246="",-1,T246)&lt;=3))*(1-(IF(T246="",-1,T246)=0)),IF(C246="peso_corporal",IF(ISNUMBER(E246),E246,0)+R246,R246)*(30+S246)*100+R246,0))</f>
        <v>0</v>
      </c>
      <c r="AB246" s="69">
        <f>IF(AA246=0,0,IF(IF((S246&gt;=6)*(1-(IF(T246="",-1,T246)&gt;=1)*(IF(T246="",-1,T246)&lt;=3))*(1-(IF(T246="",-1,T246)=0)),IF(C246="peso_corporal",IF(ISNUMBER(E246),E246,0)+R246,R246)*(30+S246)*100+R246,0)=AA246,5,IF(IF((P246&gt;=6)*(1-(IF(Q246="",-1,Q246)&gt;=1)*(IF(Q246="",-1,Q246)&lt;=3))*(1-(IF(Q246="",-1,Q246)=0)),IF(C246="peso_corporal",IF(ISNUMBER(E246),E246,0)+O246,O246)*(30+P246)*100+O246,0)=AA246,4,IF(IF((M246&gt;=6)*(1-(IF(N246="",-1,N246)&gt;=1)*(IF(N246="",-1,N246)&lt;=3))*(1-(IF(N246="",-1,N246)=0)),IF(C246="peso_corporal",IF(ISNUMBER(E246),E246,0)+L246,L246)*(30+M246)*100+L246,0)=AA246,3,IF(IF((J246&gt;=6)*(1-(IF(K246="",-1,K246)&gt;=1)*(IF(K246="",-1,K246)&lt;=3))*(1-(IF(K246="",-1,K246)=0)),IF(C246="peso_corporal",IF(ISNUMBER(E246),E246,0)+I246,I246)*(30+J246)*100+I246,0)=AA246,2,IF(IF((G246&gt;=6)*(1-(IF(H246="",-1,H246)&gt;=1)*(IF(H246="",-1,H246)&lt;=3))*(1-(IF(H246="",-1,H246)=0)),IF(C246="peso_corporal",IF(ISNUMBER(E246),E246,0)+F246,F246)*(30+G246)*100+F246,0)=AA246,1,0))))))</f>
        <v>0</v>
      </c>
      <c r="AC246" s="69" t="str">
        <f>IF(X246&gt;0,"A"&amp;X246,IF(Z246&gt;0,"B"&amp;Z246,IF(AB246&gt;0,"C"&amp;AB246,"")))</f>
        <v/>
      </c>
    </row>
    <row r="247" spans="1:29" ht="15" customHeight="1">
      <c r="A247" s="72" t="s">
        <v>56</v>
      </c>
      <c r="B247" s="73"/>
      <c r="C247" s="73"/>
      <c r="D247" s="73"/>
      <c r="E247" s="73"/>
      <c r="F247" s="73"/>
      <c r="G247" s="73"/>
      <c r="H247" s="73"/>
      <c r="I247" s="73"/>
      <c r="J247" s="73"/>
      <c r="K247" s="73"/>
      <c r="L247" s="73"/>
      <c r="M247" s="73"/>
      <c r="N247" s="73"/>
      <c r="O247" s="73"/>
      <c r="P247" s="73"/>
      <c r="Q247" s="73"/>
      <c r="R247" s="73"/>
      <c r="S247" s="73"/>
      <c r="T247" s="73"/>
      <c r="U247" s="73"/>
      <c r="V247" s="73"/>
      <c r="W247" s="69"/>
      <c r="X247" s="69"/>
      <c r="Y247" s="69"/>
      <c r="Z247" s="69"/>
      <c r="AA247" s="69"/>
      <c r="AB247" s="69"/>
      <c r="AC247" s="69"/>
    </row>
    <row r="248" spans="1:29" ht="20.100000000000001" customHeight="1">
      <c r="A248" s="14" t="s">
        <v>57</v>
      </c>
      <c r="B248" s="15" t="s">
        <v>58</v>
      </c>
      <c r="C248" s="16" t="str">
        <f>IFERROR(INDEX(EJERCICIOS!$D$3:$D$75,MATCH(A248&amp;"|"&amp;B248,EJERCICIOS!$G$3:$G$75,0)),"--")</f>
        <v>polea</v>
      </c>
      <c r="D248" s="17">
        <v>3</v>
      </c>
      <c r="E248" s="18">
        <f>IFERROR(LOOKUP(2,1/(MEDIDAS_Y_PESO!$B$3:$B$12&lt;&gt;""),MEDIDAS_Y_PESO!$B$3:$B$12),"--")</f>
        <v>80</v>
      </c>
      <c r="F248" s="19"/>
      <c r="G248" s="20"/>
      <c r="H248" s="21"/>
      <c r="I248" s="19"/>
      <c r="J248" s="20"/>
      <c r="K248" s="21"/>
      <c r="L248" s="19"/>
      <c r="M248" s="20"/>
      <c r="N248" s="21"/>
      <c r="O248" s="19"/>
      <c r="P248" s="20"/>
      <c r="Q248" s="21"/>
      <c r="R248" s="19"/>
      <c r="S248" s="20"/>
      <c r="T248" s="21"/>
      <c r="U248" s="22" t="str">
        <f>IFERROR(IF(IF(X248&gt;0,X248,IF(Z248&gt;0,Z248,IF(AB248&gt;0,AB248,0)))=0,"--",ROUND(CHOOSE(IF(X248&gt;0,X248,IF(Z248&gt;0,Z248,IF(AB248&gt;0,AB248,0))),IF(C248="peso_corporal",IF(ISNUMBER(E248),E248,0)+F248,F248)*(1+G248/30),IF(C248="peso_corporal",IF(ISNUMBER(E248),E248,0)+I248,I248)*(1+J248/30),IF(C248="peso_corporal",IF(ISNUMBER(E248),E248,0)+L248,L248)*(1+M248/30),IF(C248="peso_corporal",IF(ISNUMBER(E248),E248,0)+O248,O248)*(1+P248/30),IF(C248="peso_corporal",IF(ISNUMBER(E248),E248,0)+R248,R248)*(1+S248/30)),1)),"--")</f>
        <v>--</v>
      </c>
      <c r="V248" s="23" t="str">
        <f>IF(SUGERENCIAS!N633="SIN","Sin datos anteriores",IF(SUGERENCIAS!N633="SUBIR_F","^ SUBIR FUERTE | Kg:"&amp;ROUND(SUGERENCIAS!K633,1)&amp;" R:"&amp;ROUND(SUGERENCIAS!L633,0)&amp;" RIR:"&amp;ROUND(SUGERENCIAS!M633,0),IF(SUGERENCIAS!N633="SUBIR_E","^ SUBIR (Est.) | Kg:"&amp;ROUND(SUGERENCIAS!K633,1)&amp;" R:"&amp;ROUND(SUGERENCIAS!L633,0)&amp;" RIR:"&amp;ROUND(SUGERENCIAS!M633,0),IF(SUGERENCIAS!N633="SUBIR","^ SUBIR | Kg:"&amp;ROUND(SUGERENCIAS!K633,1)&amp;" R:"&amp;ROUND(SUGERENCIAS!L633,0)&amp;" RIR:"&amp;ROUND(SUGERENCIAS!M633,0),IF(SUGERENCIAS!N633="BAJAR","v BAJAR | Kg:"&amp;ROUND(SUGERENCIAS!K633,1)&amp;" R:"&amp;ROUND(SUGERENCIAS!L633,0)&amp;" RIR:"&amp;ROUND(SUGERENCIAS!M633,0),"= MANT | Kg:"&amp;ROUND(SUGERENCIAS!K633,1)&amp;" R:"&amp;ROUND(SUGERENCIAS!L633,0)&amp;" RIR:"&amp;ROUND(SUGERENCIAS!M633,0))))))</f>
        <v>Sin datos anteriores</v>
      </c>
      <c r="W248" s="69">
        <f>MAX(IF((G248&gt;0)*(IF(H248="",-1,H248)&gt;=1)*(IF(H248="",-1,H248)&lt;=3),IF(C248="peso_corporal",IF(ISNUMBER(E248),E248,0)+F248,F248)*G248*1000+F248,0),IF((J248&gt;0)*(IF(K248="",-1,K248)&gt;=1)*(IF(K248="",-1,K248)&lt;=3),IF(C248="peso_corporal",IF(ISNUMBER(E248),E248,0)+I248,I248)*J248*1000+I248,0),IF((M248&gt;0)*(IF(N248="",-1,N248)&gt;=1)*(IF(N248="",-1,N248)&lt;=3),IF(C248="peso_corporal",IF(ISNUMBER(E248),E248,0)+L248,L248)*M248*1000+L248,0),IF((P248&gt;0)*(IF(Q248="",-1,Q248)&gt;=1)*(IF(Q248="",-1,Q248)&lt;=3),IF(C248="peso_corporal",IF(ISNUMBER(E248),E248,0)+O248,O248)*P248*1000+O248,0),IF((S248&gt;0)*(IF(T248="",-1,T248)&gt;=1)*(IF(T248="",-1,T248)&lt;=3),IF(C248="peso_corporal",IF(ISNUMBER(E248),E248,0)+R248,R248)*S248*1000+R248,0))</f>
        <v>0</v>
      </c>
      <c r="X248" s="69">
        <f>IF(W248=0,0,IF(IF((S248&gt;0)*(IF(T248="",-1,T248)&gt;=1)*(IF(T248="",-1,T248)&lt;=3),IF(C248="peso_corporal",IF(ISNUMBER(E248),E248,0)+R248,R248)*S248*1000+R248,0)=W248,5,IF(IF((P248&gt;0)*(IF(Q248="",-1,Q248)&gt;=1)*(IF(Q248="",-1,Q248)&lt;=3),IF(C248="peso_corporal",IF(ISNUMBER(E248),E248,0)+O248,O248)*P248*1000+O248,0)=W248,4,IF(IF((M248&gt;0)*(IF(N248="",-1,N248)&gt;=1)*(IF(N248="",-1,N248)&lt;=3),IF(C248="peso_corporal",IF(ISNUMBER(E248),E248,0)+L248,L248)*M248*1000+L248,0)=W248,3,IF(IF((J248&gt;0)*(IF(K248="",-1,K248)&gt;=1)*(IF(K248="",-1,K248)&lt;=3),IF(C248="peso_corporal",IF(ISNUMBER(E248),E248,0)+I248,I248)*J248*1000+I248,0)=W248,2,IF(IF((G248&gt;0)*(IF(H248="",-1,H248)&gt;=1)*(IF(H248="",-1,H248)&lt;=3),IF(C248="peso_corporal",IF(ISNUMBER(E248),E248,0)+F248,F248)*G248*1000+F248,0)=W248,1,0))))))</f>
        <v>0</v>
      </c>
      <c r="Y248" s="69">
        <f>MAX(IF((G248&gt;0)*(IF(H248="",-1,H248)=0)*(1-(IF(H248="",-1,H248)&gt;=1)*(IF(H248="",-1,H248)&lt;=3)),IF(C248="peso_corporal",IF(ISNUMBER(E248),E248,0)+F248,F248)*G248*1000+F248,0),IF((J248&gt;0)*(IF(K248="",-1,K248)=0)*(1-(IF(K248="",-1,K248)&gt;=1)*(IF(K248="",-1,K248)&lt;=3)),IF(C248="peso_corporal",IF(ISNUMBER(E248),E248,0)+I248,I248)*J248*1000+I248,0),IF((M248&gt;0)*(IF(N248="",-1,N248)=0)*(1-(IF(N248="",-1,N248)&gt;=1)*(IF(N248="",-1,N248)&lt;=3)),IF(C248="peso_corporal",IF(ISNUMBER(E248),E248,0)+L248,L248)*M248*1000+L248,0),IF((P248&gt;0)*(IF(Q248="",-1,Q248)=0)*(1-(IF(Q248="",-1,Q248)&gt;=1)*(IF(Q248="",-1,Q248)&lt;=3)),IF(C248="peso_corporal",IF(ISNUMBER(E248),E248,0)+O248,O248)*P248*1000+O248,0),IF((S248&gt;0)*(IF(T248="",-1,T248)=0)*(1-(IF(T248="",-1,T248)&gt;=1)*(IF(T248="",-1,T248)&lt;=3)),IF(C248="peso_corporal",IF(ISNUMBER(E248),E248,0)+R248,R248)*S248*1000+R248,0))</f>
        <v>0</v>
      </c>
      <c r="Z248" s="69">
        <f>IF(Y248=0,0,IF(IF((S248&gt;0)*(IF(T248="",-1,T248)=0)*(1-(IF(T248="",-1,T248)&gt;=1)*(IF(T248="",-1,T248)&lt;=3)),IF(C248="peso_corporal",IF(ISNUMBER(E248),E248,0)+R248,R248)*S248*1000+R248,0)=Y248,5,IF(IF((P248&gt;0)*(IF(Q248="",-1,Q248)=0)*(1-(IF(Q248="",-1,Q248)&gt;=1)*(IF(Q248="",-1,Q248)&lt;=3)),IF(C248="peso_corporal",IF(ISNUMBER(E248),E248,0)+O248,O248)*P248*1000+O248,0)=Y248,4,IF(IF((M248&gt;0)*(IF(N248="",-1,N248)=0)*(1-(IF(N248="",-1,N248)&gt;=1)*(IF(N248="",-1,N248)&lt;=3)),IF(C248="peso_corporal",IF(ISNUMBER(E248),E248,0)+L248,L248)*M248*1000+L248,0)=Y248,3,IF(IF((J248&gt;0)*(IF(K248="",-1,K248)=0)*(1-(IF(K248="",-1,K248)&gt;=1)*(IF(K248="",-1,K248)&lt;=3)),IF(C248="peso_corporal",IF(ISNUMBER(E248),E248,0)+I248,I248)*J248*1000+I248,0)=Y248,2,IF(IF((G248&gt;0)*(IF(H248="",-1,H248)=0)*(1-(IF(H248="",-1,H248)&gt;=1)*(IF(H248="",-1,H248)&lt;=3)),IF(C248="peso_corporal",IF(ISNUMBER(E248),E248,0)+F248,F248)*G248*1000+F248,0)=Y248,1,0))))))</f>
        <v>0</v>
      </c>
      <c r="AA248" s="69">
        <f>MAX(IF((G248&gt;=6)*(1-(IF(H248="",-1,H248)&gt;=1)*(IF(H248="",-1,H248)&lt;=3))*(1-(IF(H248="",-1,H248)=0)),IF(C248="peso_corporal",IF(ISNUMBER(E248),E248,0)+F248,F248)*(30+G248)*100+F248,0),IF((J248&gt;=6)*(1-(IF(K248="",-1,K248)&gt;=1)*(IF(K248="",-1,K248)&lt;=3))*(1-(IF(K248="",-1,K248)=0)),IF(C248="peso_corporal",IF(ISNUMBER(E248),E248,0)+I248,I248)*(30+J248)*100+I248,0),IF((M248&gt;=6)*(1-(IF(N248="",-1,N248)&gt;=1)*(IF(N248="",-1,N248)&lt;=3))*(1-(IF(N248="",-1,N248)=0)),IF(C248="peso_corporal",IF(ISNUMBER(E248),E248,0)+L248,L248)*(30+M248)*100+L248,0),IF((P248&gt;=6)*(1-(IF(Q248="",-1,Q248)&gt;=1)*(IF(Q248="",-1,Q248)&lt;=3))*(1-(IF(Q248="",-1,Q248)=0)),IF(C248="peso_corporal",IF(ISNUMBER(E248),E248,0)+O248,O248)*(30+P248)*100+O248,0),IF((S248&gt;=6)*(1-(IF(T248="",-1,T248)&gt;=1)*(IF(T248="",-1,T248)&lt;=3))*(1-(IF(T248="",-1,T248)=0)),IF(C248="peso_corporal",IF(ISNUMBER(E248),E248,0)+R248,R248)*(30+S248)*100+R248,0))</f>
        <v>0</v>
      </c>
      <c r="AB248" s="69">
        <f>IF(AA248=0,0,IF(IF((S248&gt;=6)*(1-(IF(T248="",-1,T248)&gt;=1)*(IF(T248="",-1,T248)&lt;=3))*(1-(IF(T248="",-1,T248)=0)),IF(C248="peso_corporal",IF(ISNUMBER(E248),E248,0)+R248,R248)*(30+S248)*100+R248,0)=AA248,5,IF(IF((P248&gt;=6)*(1-(IF(Q248="",-1,Q248)&gt;=1)*(IF(Q248="",-1,Q248)&lt;=3))*(1-(IF(Q248="",-1,Q248)=0)),IF(C248="peso_corporal",IF(ISNUMBER(E248),E248,0)+O248,O248)*(30+P248)*100+O248,0)=AA248,4,IF(IF((M248&gt;=6)*(1-(IF(N248="",-1,N248)&gt;=1)*(IF(N248="",-1,N248)&lt;=3))*(1-(IF(N248="",-1,N248)=0)),IF(C248="peso_corporal",IF(ISNUMBER(E248),E248,0)+L248,L248)*(30+M248)*100+L248,0)=AA248,3,IF(IF((J248&gt;=6)*(1-(IF(K248="",-1,K248)&gt;=1)*(IF(K248="",-1,K248)&lt;=3))*(1-(IF(K248="",-1,K248)=0)),IF(C248="peso_corporal",IF(ISNUMBER(E248),E248,0)+I248,I248)*(30+J248)*100+I248,0)=AA248,2,IF(IF((G248&gt;=6)*(1-(IF(H248="",-1,H248)&gt;=1)*(IF(H248="",-1,H248)&lt;=3))*(1-(IF(H248="",-1,H248)=0)),IF(C248="peso_corporal",IF(ISNUMBER(E248),E248,0)+F248,F248)*(30+G248)*100+F248,0)=AA248,1,0))))))</f>
        <v>0</v>
      </c>
      <c r="AC248" s="69" t="str">
        <f>IF(X248&gt;0,"A"&amp;X248,IF(Z248&gt;0,"B"&amp;Z248,IF(AB248&gt;0,"C"&amp;AB248,"")))</f>
        <v/>
      </c>
    </row>
    <row r="249" spans="1:29" ht="6"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69"/>
      <c r="X249" s="69"/>
      <c r="Y249" s="69"/>
      <c r="Z249" s="69"/>
      <c r="AA249" s="69"/>
      <c r="AB249" s="69"/>
      <c r="AC249" s="69"/>
    </row>
    <row r="250" spans="1:29" ht="18" customHeight="1">
      <c r="A250" s="85" t="s">
        <v>76</v>
      </c>
      <c r="B250" s="73"/>
      <c r="C250" s="73"/>
      <c r="D250" s="73"/>
      <c r="E250" s="73"/>
      <c r="F250" s="73"/>
      <c r="G250" s="73"/>
      <c r="H250" s="73"/>
      <c r="I250" s="73"/>
      <c r="J250" s="73"/>
      <c r="K250" s="73"/>
      <c r="L250" s="73"/>
      <c r="M250" s="73"/>
      <c r="N250" s="73"/>
      <c r="O250" s="73"/>
      <c r="P250" s="73"/>
      <c r="Q250" s="73"/>
      <c r="R250" s="73"/>
      <c r="S250" s="73"/>
      <c r="T250" s="73"/>
      <c r="U250" s="73"/>
      <c r="V250" s="73"/>
      <c r="W250" s="69"/>
      <c r="X250" s="69"/>
      <c r="Y250" s="69"/>
      <c r="Z250" s="69"/>
      <c r="AA250" s="69"/>
      <c r="AB250" s="69"/>
      <c r="AC250" s="69"/>
    </row>
    <row r="251" spans="1:29" ht="15" customHeight="1">
      <c r="A251" s="75" t="s">
        <v>88</v>
      </c>
      <c r="B251" s="73"/>
      <c r="C251" s="73"/>
      <c r="D251" s="73"/>
      <c r="E251" s="73"/>
      <c r="F251" s="73"/>
      <c r="G251" s="73"/>
      <c r="H251" s="73"/>
      <c r="I251" s="73"/>
      <c r="J251" s="73"/>
      <c r="K251" s="73"/>
      <c r="L251" s="73"/>
      <c r="M251" s="73"/>
      <c r="N251" s="73"/>
      <c r="O251" s="73"/>
      <c r="P251" s="73"/>
      <c r="Q251" s="73"/>
      <c r="R251" s="73"/>
      <c r="S251" s="73"/>
      <c r="T251" s="73"/>
      <c r="U251" s="73"/>
      <c r="V251" s="73"/>
      <c r="W251" s="69"/>
      <c r="X251" s="69"/>
      <c r="Y251" s="69"/>
      <c r="Z251" s="69"/>
      <c r="AA251" s="69"/>
      <c r="AB251" s="69"/>
      <c r="AC251" s="69"/>
    </row>
    <row r="252" spans="1:29" ht="11.1" customHeight="1">
      <c r="A252" s="76" t="s">
        <v>89</v>
      </c>
      <c r="B252" s="73"/>
      <c r="C252" s="73"/>
      <c r="D252" s="73"/>
      <c r="E252" s="73"/>
      <c r="F252" s="73"/>
      <c r="G252" s="73"/>
      <c r="H252" s="73"/>
      <c r="I252" s="73"/>
      <c r="J252" s="73"/>
      <c r="K252" s="73"/>
      <c r="L252" s="73"/>
      <c r="M252" s="73"/>
      <c r="N252" s="73"/>
      <c r="O252" s="73"/>
      <c r="P252" s="73"/>
      <c r="Q252" s="73"/>
      <c r="R252" s="73"/>
      <c r="S252" s="73"/>
      <c r="T252" s="73"/>
      <c r="U252" s="73"/>
      <c r="V252" s="73"/>
      <c r="W252" s="69"/>
      <c r="X252" s="69"/>
      <c r="Y252" s="69"/>
      <c r="Z252" s="69"/>
      <c r="AA252" s="69"/>
      <c r="AB252" s="69"/>
      <c r="AC252" s="69"/>
    </row>
    <row r="253" spans="1:29" ht="20.100000000000001" customHeight="1">
      <c r="A253" s="14" t="s">
        <v>92</v>
      </c>
      <c r="B253" s="15" t="s">
        <v>108</v>
      </c>
      <c r="C253" s="16" t="str">
        <f>IFERROR(INDEX(EJERCICIOS!$D$3:$D$75,MATCH(A253&amp;"|"&amp;B253,EJERCICIOS!$G$3:$G$75,0)),"--")</f>
        <v>polea</v>
      </c>
      <c r="D253" s="17">
        <v>3</v>
      </c>
      <c r="E253" s="18">
        <f>IFERROR(LOOKUP(2,1/(MEDIDAS_Y_PESO!$B$3:$B$13&lt;&gt;""),MEDIDAS_Y_PESO!$B$3:$B$13),"--")</f>
        <v>80</v>
      </c>
      <c r="F253" s="19"/>
      <c r="G253" s="20"/>
      <c r="H253" s="21"/>
      <c r="I253" s="19"/>
      <c r="J253" s="20"/>
      <c r="K253" s="21"/>
      <c r="L253" s="19"/>
      <c r="M253" s="20"/>
      <c r="N253" s="21"/>
      <c r="O253" s="19"/>
      <c r="P253" s="20"/>
      <c r="Q253" s="21"/>
      <c r="R253" s="19"/>
      <c r="S253" s="20"/>
      <c r="T253" s="21"/>
      <c r="U253" s="22" t="str">
        <f>IFERROR(IF(IF(X253&gt;0,X253,IF(Z253&gt;0,Z253,IF(AB253&gt;0,AB253,0)))=0,"--",ROUND(CHOOSE(IF(X253&gt;0,X253,IF(Z253&gt;0,Z253,IF(AB253&gt;0,AB253,0))),IF(C253="peso_corporal",IF(ISNUMBER(E253),E253,0)+F253,F253)*(1+G253/30),IF(C253="peso_corporal",IF(ISNUMBER(E253),E253,0)+I253,I253)*(1+J253/30),IF(C253="peso_corporal",IF(ISNUMBER(E253),E253,0)+L253,L253)*(1+M253/30),IF(C253="peso_corporal",IF(ISNUMBER(E253),E253,0)+O253,O253)*(1+P253/30),IF(C253="peso_corporal",IF(ISNUMBER(E253),E253,0)+R253,R253)*(1+S253/30)),1)),"--")</f>
        <v>--</v>
      </c>
      <c r="V253" s="23" t="str">
        <f>IF(SUGERENCIAS!N684="SIN","Sin datos anteriores",IF(SUGERENCIAS!N684="SUBIR_F","^ SUBIR FUERTE | Kg:"&amp;ROUND(SUGERENCIAS!K684,1)&amp;" R:"&amp;ROUND(SUGERENCIAS!L684,0)&amp;" RIR:"&amp;ROUND(SUGERENCIAS!M684,0),IF(SUGERENCIAS!N684="SUBIR_E","^ SUBIR (Est.) | Kg:"&amp;ROUND(SUGERENCIAS!K684,1)&amp;" R:"&amp;ROUND(SUGERENCIAS!L684,0)&amp;" RIR:"&amp;ROUND(SUGERENCIAS!M684,0),IF(SUGERENCIAS!N684="SUBIR","^ SUBIR | Kg:"&amp;ROUND(SUGERENCIAS!K684,1)&amp;" R:"&amp;ROUND(SUGERENCIAS!L684,0)&amp;" RIR:"&amp;ROUND(SUGERENCIAS!M684,0),IF(SUGERENCIAS!N684="BAJAR","v BAJAR | Kg:"&amp;ROUND(SUGERENCIAS!K684,1)&amp;" R:"&amp;ROUND(SUGERENCIAS!L684,0)&amp;" RIR:"&amp;ROUND(SUGERENCIAS!M684,0),"= MANT | Kg:"&amp;ROUND(SUGERENCIAS!K684,1)&amp;" R:"&amp;ROUND(SUGERENCIAS!L684,0)&amp;" RIR:"&amp;ROUND(SUGERENCIAS!M684,0))))))</f>
        <v>Sin datos anteriores</v>
      </c>
      <c r="W253" s="69">
        <f>MAX(IF((G253&gt;0)*(IF(H253="",-1,H253)&gt;=0)*(IF(H253="",-1,H253)&lt;=1),IF(C253="peso_corporal",IF(ISNUMBER(E253),E253,0)+F253,F253)*G253*1000+F253,0),IF((J253&gt;0)*(IF(K253="",-1,K253)&gt;=0)*(IF(K253="",-1,K253)&lt;=1),IF(C253="peso_corporal",IF(ISNUMBER(E253),E253,0)+I253,I253)*J253*1000+I253,0),IF((M253&gt;0)*(IF(N253="",-1,N253)&gt;=0)*(IF(N253="",-1,N253)&lt;=1),IF(C253="peso_corporal",IF(ISNUMBER(E253),E253,0)+L253,L253)*M253*1000+L253,0),IF((P253&gt;0)*(IF(Q253="",-1,Q253)&gt;=0)*(IF(Q253="",-1,Q253)&lt;=1),IF(C253="peso_corporal",IF(ISNUMBER(E253),E253,0)+O253,O253)*P253*1000+O253,0),IF((S253&gt;0)*(IF(T253="",-1,T253)&gt;=0)*(IF(T253="",-1,T253)&lt;=1),IF(C253="peso_corporal",IF(ISNUMBER(E253),E253,0)+R253,R253)*S253*1000+R253,0))</f>
        <v>0</v>
      </c>
      <c r="X253" s="69">
        <f>IF(W253=0,0,IF(IF((S253&gt;0)*(IF(T253="",-1,T253)&gt;=0)*(IF(T253="",-1,T253)&lt;=1),IF(C253="peso_corporal",IF(ISNUMBER(E253),E253,0)+R253,R253)*S253*1000+R253,0)=W253,5,IF(IF((P253&gt;0)*(IF(Q253="",-1,Q253)&gt;=0)*(IF(Q253="",-1,Q253)&lt;=1),IF(C253="peso_corporal",IF(ISNUMBER(E253),E253,0)+O253,O253)*P253*1000+O253,0)=W253,4,IF(IF((M253&gt;0)*(IF(N253="",-1,N253)&gt;=0)*(IF(N253="",-1,N253)&lt;=1),IF(C253="peso_corporal",IF(ISNUMBER(E253),E253,0)+L253,L253)*M253*1000+L253,0)=W253,3,IF(IF((J253&gt;0)*(IF(K253="",-1,K253)&gt;=0)*(IF(K253="",-1,K253)&lt;=1),IF(C253="peso_corporal",IF(ISNUMBER(E253),E253,0)+I253,I253)*J253*1000+I253,0)=W253,2,IF(IF((G253&gt;0)*(IF(H253="",-1,H253)&gt;=0)*(IF(H253="",-1,H253)&lt;=1),IF(C253="peso_corporal",IF(ISNUMBER(E253),E253,0)+F253,F253)*G253*1000+F253,0)=W253,1,0))))))</f>
        <v>0</v>
      </c>
      <c r="Y253" s="69">
        <f>MAX(IF((G253&gt;0)*(IF(H253="",-1,H253)=0)*(1-(IF(H253="",-1,H253)&gt;=0)*(IF(H253="",-1,H253)&lt;=1)),IF(C253="peso_corporal",IF(ISNUMBER(E253),E253,0)+F253,F253)*G253*1000+F253,0),IF((J253&gt;0)*(IF(K253="",-1,K253)=0)*(1-(IF(K253="",-1,K253)&gt;=0)*(IF(K253="",-1,K253)&lt;=1)),IF(C253="peso_corporal",IF(ISNUMBER(E253),E253,0)+I253,I253)*J253*1000+I253,0),IF((M253&gt;0)*(IF(N253="",-1,N253)=0)*(1-(IF(N253="",-1,N253)&gt;=0)*(IF(N253="",-1,N253)&lt;=1)),IF(C253="peso_corporal",IF(ISNUMBER(E253),E253,0)+L253,L253)*M253*1000+L253,0),IF((P253&gt;0)*(IF(Q253="",-1,Q253)=0)*(1-(IF(Q253="",-1,Q253)&gt;=0)*(IF(Q253="",-1,Q253)&lt;=1)),IF(C253="peso_corporal",IF(ISNUMBER(E253),E253,0)+O253,O253)*P253*1000+O253,0),IF((S253&gt;0)*(IF(T253="",-1,T253)=0)*(1-(IF(T253="",-1,T253)&gt;=0)*(IF(T253="",-1,T253)&lt;=1)),IF(C253="peso_corporal",IF(ISNUMBER(E253),E253,0)+R253,R253)*S253*1000+R253,0))</f>
        <v>0</v>
      </c>
      <c r="Z253" s="69">
        <f>IF(Y253=0,0,IF(IF((S253&gt;0)*(IF(T253="",-1,T253)=0)*(1-(IF(T253="",-1,T253)&gt;=0)*(IF(T253="",-1,T253)&lt;=1)),IF(C253="peso_corporal",IF(ISNUMBER(E253),E253,0)+R253,R253)*S253*1000+R253,0)=Y253,5,IF(IF((P253&gt;0)*(IF(Q253="",-1,Q253)=0)*(1-(IF(Q253="",-1,Q253)&gt;=0)*(IF(Q253="",-1,Q253)&lt;=1)),IF(C253="peso_corporal",IF(ISNUMBER(E253),E253,0)+O253,O253)*P253*1000+O253,0)=Y253,4,IF(IF((M253&gt;0)*(IF(N253="",-1,N253)=0)*(1-(IF(N253="",-1,N253)&gt;=0)*(IF(N253="",-1,N253)&lt;=1)),IF(C253="peso_corporal",IF(ISNUMBER(E253),E253,0)+L253,L253)*M253*1000+L253,0)=Y253,3,IF(IF((J253&gt;0)*(IF(K253="",-1,K253)=0)*(1-(IF(K253="",-1,K253)&gt;=0)*(IF(K253="",-1,K253)&lt;=1)),IF(C253="peso_corporal",IF(ISNUMBER(E253),E253,0)+I253,I253)*J253*1000+I253,0)=Y253,2,IF(IF((G253&gt;0)*(IF(H253="",-1,H253)=0)*(1-(IF(H253="",-1,H253)&gt;=0)*(IF(H253="",-1,H253)&lt;=1)),IF(C253="peso_corporal",IF(ISNUMBER(E253),E253,0)+F253,F253)*G253*1000+F253,0)=Y253,1,0))))))</f>
        <v>0</v>
      </c>
      <c r="AA253" s="69">
        <f>MAX(IF((G253&gt;=3)*(1-(IF(H253="",-1,H253)&gt;=0)*(IF(H253="",-1,H253)&lt;=1))*(1-(IF(H253="",-1,H253)=0)),IF(C253="peso_corporal",IF(ISNUMBER(E253),E253,0)+F253,F253)*(30+G253)*100+F253,0),IF((J253&gt;=3)*(1-(IF(K253="",-1,K253)&gt;=0)*(IF(K253="",-1,K253)&lt;=1))*(1-(IF(K253="",-1,K253)=0)),IF(C253="peso_corporal",IF(ISNUMBER(E253),E253,0)+I253,I253)*(30+J253)*100+I253,0),IF((M253&gt;=3)*(1-(IF(N253="",-1,N253)&gt;=0)*(IF(N253="",-1,N253)&lt;=1))*(1-(IF(N253="",-1,N253)=0)),IF(C253="peso_corporal",IF(ISNUMBER(E253),E253,0)+L253,L253)*(30+M253)*100+L253,0),IF((P253&gt;=3)*(1-(IF(Q253="",-1,Q253)&gt;=0)*(IF(Q253="",-1,Q253)&lt;=1))*(1-(IF(Q253="",-1,Q253)=0)),IF(C253="peso_corporal",IF(ISNUMBER(E253),E253,0)+O253,O253)*(30+P253)*100+O253,0),IF((S253&gt;=3)*(1-(IF(T253="",-1,T253)&gt;=0)*(IF(T253="",-1,T253)&lt;=1))*(1-(IF(T253="",-1,T253)=0)),IF(C253="peso_corporal",IF(ISNUMBER(E253),E253,0)+R253,R253)*(30+S253)*100+R253,0))</f>
        <v>0</v>
      </c>
      <c r="AB253" s="69">
        <f>IF(AA253=0,0,IF(IF((S253&gt;=3)*(1-(IF(T253="",-1,T253)&gt;=0)*(IF(T253="",-1,T253)&lt;=1))*(1-(IF(T253="",-1,T253)=0)),IF(C253="peso_corporal",IF(ISNUMBER(E253),E253,0)+R253,R253)*(30+S253)*100+R253,0)=AA253,5,IF(IF((P253&gt;=3)*(1-(IF(Q253="",-1,Q253)&gt;=0)*(IF(Q253="",-1,Q253)&lt;=1))*(1-(IF(Q253="",-1,Q253)=0)),IF(C253="peso_corporal",IF(ISNUMBER(E253),E253,0)+O253,O253)*(30+P253)*100+O253,0)=AA253,4,IF(IF((M253&gt;=3)*(1-(IF(N253="",-1,N253)&gt;=0)*(IF(N253="",-1,N253)&lt;=1))*(1-(IF(N253="",-1,N253)=0)),IF(C253="peso_corporal",IF(ISNUMBER(E253),E253,0)+L253,L253)*(30+M253)*100+L253,0)=AA253,3,IF(IF((J253&gt;=3)*(1-(IF(K253="",-1,K253)&gt;=0)*(IF(K253="",-1,K253)&lt;=1))*(1-(IF(K253="",-1,K253)=0)),IF(C253="peso_corporal",IF(ISNUMBER(E253),E253,0)+I253,I253)*(30+J253)*100+I253,0)=AA253,2,IF(IF((G253&gt;=3)*(1-(IF(H253="",-1,H253)&gt;=0)*(IF(H253="",-1,H253)&lt;=1))*(1-(IF(H253="",-1,H253)=0)),IF(C253="peso_corporal",IF(ISNUMBER(E253),E253,0)+F253,F253)*(30+G253)*100+F253,0)=AA253,1,0))))))</f>
        <v>0</v>
      </c>
      <c r="AC253" s="69" t="str">
        <f>IF(X253&gt;0,"A"&amp;X253,IF(Z253&gt;0,"B"&amp;Z253,IF(AB253&gt;0,"C"&amp;AB253,"")))</f>
        <v/>
      </c>
    </row>
    <row r="254" spans="1:29" ht="11.1" customHeight="1">
      <c r="A254" s="84" t="s">
        <v>94</v>
      </c>
      <c r="B254" s="73"/>
      <c r="C254" s="73"/>
      <c r="D254" s="73"/>
      <c r="E254" s="73"/>
      <c r="F254" s="73"/>
      <c r="G254" s="73"/>
      <c r="H254" s="73"/>
      <c r="I254" s="73"/>
      <c r="J254" s="73"/>
      <c r="K254" s="73"/>
      <c r="L254" s="73"/>
      <c r="M254" s="73"/>
      <c r="N254" s="73"/>
      <c r="O254" s="73"/>
      <c r="P254" s="73"/>
      <c r="Q254" s="73"/>
      <c r="R254" s="73"/>
      <c r="S254" s="73"/>
      <c r="T254" s="73"/>
      <c r="U254" s="73"/>
      <c r="V254" s="73"/>
      <c r="W254" s="69"/>
      <c r="X254" s="69"/>
      <c r="Y254" s="69"/>
      <c r="Z254" s="69"/>
      <c r="AA254" s="69"/>
      <c r="AB254" s="69"/>
      <c r="AC254" s="69"/>
    </row>
    <row r="255" spans="1:29" ht="20.100000000000001" customHeight="1">
      <c r="A255" s="14" t="s">
        <v>95</v>
      </c>
      <c r="B255" s="15" t="s">
        <v>172</v>
      </c>
      <c r="C255" s="16" t="str">
        <f>IFERROR(INDEX(EJERCICIOS!$D$3:$D$75,MATCH(A255&amp;"|"&amp;B255,EJERCICIOS!$G$3:$G$75,0)),"--")</f>
        <v>polea</v>
      </c>
      <c r="D255" s="17">
        <v>3</v>
      </c>
      <c r="E255" s="18">
        <f>IFERROR(LOOKUP(2,1/(MEDIDAS_Y_PESO!$B$3:$B$13&lt;&gt;""),MEDIDAS_Y_PESO!$B$3:$B$13),"--")</f>
        <v>80</v>
      </c>
      <c r="F255" s="19"/>
      <c r="G255" s="20"/>
      <c r="H255" s="21"/>
      <c r="I255" s="19"/>
      <c r="J255" s="20"/>
      <c r="K255" s="21"/>
      <c r="L255" s="19"/>
      <c r="M255" s="20"/>
      <c r="N255" s="21"/>
      <c r="O255" s="19"/>
      <c r="P255" s="20"/>
      <c r="Q255" s="21"/>
      <c r="R255" s="19"/>
      <c r="S255" s="20"/>
      <c r="T255" s="21"/>
      <c r="U255" s="22" t="str">
        <f>IFERROR(IF(IF(X255&gt;0,X255,IF(Z255&gt;0,Z255,IF(AB255&gt;0,AB255,0)))=0,"--",ROUND(CHOOSE(IF(X255&gt;0,X255,IF(Z255&gt;0,Z255,IF(AB255&gt;0,AB255,0))),IF(C255="peso_corporal",IF(ISNUMBER(E255),E255,0)+F255,F255)*(1+G255/30),IF(C255="peso_corporal",IF(ISNUMBER(E255),E255,0)+I255,I255)*(1+J255/30),IF(C255="peso_corporal",IF(ISNUMBER(E255),E255,0)+L255,L255)*(1+M255/30),IF(C255="peso_corporal",IF(ISNUMBER(E255),E255,0)+O255,O255)*(1+P255/30),IF(C255="peso_corporal",IF(ISNUMBER(E255),E255,0)+R255,R255)*(1+S255/30)),1)),"--")</f>
        <v>--</v>
      </c>
      <c r="V255" s="23" t="str">
        <f>IF(SUGERENCIAS!N685="SIN","Sin datos anteriores",IF(SUGERENCIAS!N685="SUBIR_F","^ SUBIR FUERTE | Kg:"&amp;ROUND(SUGERENCIAS!K685,1)&amp;" R:"&amp;ROUND(SUGERENCIAS!L685,0)&amp;" RIR:"&amp;ROUND(SUGERENCIAS!M685,0),IF(SUGERENCIAS!N685="SUBIR_E","^ SUBIR (Est.) | Kg:"&amp;ROUND(SUGERENCIAS!K685,1)&amp;" R:"&amp;ROUND(SUGERENCIAS!L685,0)&amp;" RIR:"&amp;ROUND(SUGERENCIAS!M685,0),IF(SUGERENCIAS!N685="SUBIR","^ SUBIR | Kg:"&amp;ROUND(SUGERENCIAS!K685,1)&amp;" R:"&amp;ROUND(SUGERENCIAS!L685,0)&amp;" RIR:"&amp;ROUND(SUGERENCIAS!M685,0),IF(SUGERENCIAS!N685="BAJAR","v BAJAR | Kg:"&amp;ROUND(SUGERENCIAS!K685,1)&amp;" R:"&amp;ROUND(SUGERENCIAS!L685,0)&amp;" RIR:"&amp;ROUND(SUGERENCIAS!M685,0),"= MANT | Kg:"&amp;ROUND(SUGERENCIAS!K685,1)&amp;" R:"&amp;ROUND(SUGERENCIAS!L685,0)&amp;" RIR:"&amp;ROUND(SUGERENCIAS!M685,0))))))</f>
        <v>Sin datos anteriores</v>
      </c>
      <c r="W255" s="69">
        <f>MAX(IF((G255&gt;0)*(IF(H255="",-1,H255)&gt;=0)*(IF(H255="",-1,H255)&lt;=1),IF(C255="peso_corporal",IF(ISNUMBER(E255),E255,0)+F255,F255)*G255*1000+F255,0),IF((J255&gt;0)*(IF(K255="",-1,K255)&gt;=0)*(IF(K255="",-1,K255)&lt;=1),IF(C255="peso_corporal",IF(ISNUMBER(E255),E255,0)+I255,I255)*J255*1000+I255,0),IF((M255&gt;0)*(IF(N255="",-1,N255)&gt;=0)*(IF(N255="",-1,N255)&lt;=1),IF(C255="peso_corporal",IF(ISNUMBER(E255),E255,0)+L255,L255)*M255*1000+L255,0),IF((P255&gt;0)*(IF(Q255="",-1,Q255)&gt;=0)*(IF(Q255="",-1,Q255)&lt;=1),IF(C255="peso_corporal",IF(ISNUMBER(E255),E255,0)+O255,O255)*P255*1000+O255,0),IF((S255&gt;0)*(IF(T255="",-1,T255)&gt;=0)*(IF(T255="",-1,T255)&lt;=1),IF(C255="peso_corporal",IF(ISNUMBER(E255),E255,0)+R255,R255)*S255*1000+R255,0))</f>
        <v>0</v>
      </c>
      <c r="X255" s="69">
        <f>IF(W255=0,0,IF(IF((S255&gt;0)*(IF(T255="",-1,T255)&gt;=0)*(IF(T255="",-1,T255)&lt;=1),IF(C255="peso_corporal",IF(ISNUMBER(E255),E255,0)+R255,R255)*S255*1000+R255,0)=W255,5,IF(IF((P255&gt;0)*(IF(Q255="",-1,Q255)&gt;=0)*(IF(Q255="",-1,Q255)&lt;=1),IF(C255="peso_corporal",IF(ISNUMBER(E255),E255,0)+O255,O255)*P255*1000+O255,0)=W255,4,IF(IF((M255&gt;0)*(IF(N255="",-1,N255)&gt;=0)*(IF(N255="",-1,N255)&lt;=1),IF(C255="peso_corporal",IF(ISNUMBER(E255),E255,0)+L255,L255)*M255*1000+L255,0)=W255,3,IF(IF((J255&gt;0)*(IF(K255="",-1,K255)&gt;=0)*(IF(K255="",-1,K255)&lt;=1),IF(C255="peso_corporal",IF(ISNUMBER(E255),E255,0)+I255,I255)*J255*1000+I255,0)=W255,2,IF(IF((G255&gt;0)*(IF(H255="",-1,H255)&gt;=0)*(IF(H255="",-1,H255)&lt;=1),IF(C255="peso_corporal",IF(ISNUMBER(E255),E255,0)+F255,F255)*G255*1000+F255,0)=W255,1,0))))))</f>
        <v>0</v>
      </c>
      <c r="Y255" s="69">
        <f>MAX(IF((G255&gt;0)*(IF(H255="",-1,H255)=0)*(1-(IF(H255="",-1,H255)&gt;=0)*(IF(H255="",-1,H255)&lt;=1)),IF(C255="peso_corporal",IF(ISNUMBER(E255),E255,0)+F255,F255)*G255*1000+F255,0),IF((J255&gt;0)*(IF(K255="",-1,K255)=0)*(1-(IF(K255="",-1,K255)&gt;=0)*(IF(K255="",-1,K255)&lt;=1)),IF(C255="peso_corporal",IF(ISNUMBER(E255),E255,0)+I255,I255)*J255*1000+I255,0),IF((M255&gt;0)*(IF(N255="",-1,N255)=0)*(1-(IF(N255="",-1,N255)&gt;=0)*(IF(N255="",-1,N255)&lt;=1)),IF(C255="peso_corporal",IF(ISNUMBER(E255),E255,0)+L255,L255)*M255*1000+L255,0),IF((P255&gt;0)*(IF(Q255="",-1,Q255)=0)*(1-(IF(Q255="",-1,Q255)&gt;=0)*(IF(Q255="",-1,Q255)&lt;=1)),IF(C255="peso_corporal",IF(ISNUMBER(E255),E255,0)+O255,O255)*P255*1000+O255,0),IF((S255&gt;0)*(IF(T255="",-1,T255)=0)*(1-(IF(T255="",-1,T255)&gt;=0)*(IF(T255="",-1,T255)&lt;=1)),IF(C255="peso_corporal",IF(ISNUMBER(E255),E255,0)+R255,R255)*S255*1000+R255,0))</f>
        <v>0</v>
      </c>
      <c r="Z255" s="69">
        <f>IF(Y255=0,0,IF(IF((S255&gt;0)*(IF(T255="",-1,T255)=0)*(1-(IF(T255="",-1,T255)&gt;=0)*(IF(T255="",-1,T255)&lt;=1)),IF(C255="peso_corporal",IF(ISNUMBER(E255),E255,0)+R255,R255)*S255*1000+R255,0)=Y255,5,IF(IF((P255&gt;0)*(IF(Q255="",-1,Q255)=0)*(1-(IF(Q255="",-1,Q255)&gt;=0)*(IF(Q255="",-1,Q255)&lt;=1)),IF(C255="peso_corporal",IF(ISNUMBER(E255),E255,0)+O255,O255)*P255*1000+O255,0)=Y255,4,IF(IF((M255&gt;0)*(IF(N255="",-1,N255)=0)*(1-(IF(N255="",-1,N255)&gt;=0)*(IF(N255="",-1,N255)&lt;=1)),IF(C255="peso_corporal",IF(ISNUMBER(E255),E255,0)+L255,L255)*M255*1000+L255,0)=Y255,3,IF(IF((J255&gt;0)*(IF(K255="",-1,K255)=0)*(1-(IF(K255="",-1,K255)&gt;=0)*(IF(K255="",-1,K255)&lt;=1)),IF(C255="peso_corporal",IF(ISNUMBER(E255),E255,0)+I255,I255)*J255*1000+I255,0)=Y255,2,IF(IF((G255&gt;0)*(IF(H255="",-1,H255)=0)*(1-(IF(H255="",-1,H255)&gt;=0)*(IF(H255="",-1,H255)&lt;=1)),IF(C255="peso_corporal",IF(ISNUMBER(E255),E255,0)+F255,F255)*G255*1000+F255,0)=Y255,1,0))))))</f>
        <v>0</v>
      </c>
      <c r="AA255" s="69">
        <f>MAX(IF((G255&gt;=3)*(1-(IF(H255="",-1,H255)&gt;=0)*(IF(H255="",-1,H255)&lt;=1))*(1-(IF(H255="",-1,H255)=0)),IF(C255="peso_corporal",IF(ISNUMBER(E255),E255,0)+F255,F255)*(30+G255)*100+F255,0),IF((J255&gt;=3)*(1-(IF(K255="",-1,K255)&gt;=0)*(IF(K255="",-1,K255)&lt;=1))*(1-(IF(K255="",-1,K255)=0)),IF(C255="peso_corporal",IF(ISNUMBER(E255),E255,0)+I255,I255)*(30+J255)*100+I255,0),IF((M255&gt;=3)*(1-(IF(N255="",-1,N255)&gt;=0)*(IF(N255="",-1,N255)&lt;=1))*(1-(IF(N255="",-1,N255)=0)),IF(C255="peso_corporal",IF(ISNUMBER(E255),E255,0)+L255,L255)*(30+M255)*100+L255,0),IF((P255&gt;=3)*(1-(IF(Q255="",-1,Q255)&gt;=0)*(IF(Q255="",-1,Q255)&lt;=1))*(1-(IF(Q255="",-1,Q255)=0)),IF(C255="peso_corporal",IF(ISNUMBER(E255),E255,0)+O255,O255)*(30+P255)*100+O255,0),IF((S255&gt;=3)*(1-(IF(T255="",-1,T255)&gt;=0)*(IF(T255="",-1,T255)&lt;=1))*(1-(IF(T255="",-1,T255)=0)),IF(C255="peso_corporal",IF(ISNUMBER(E255),E255,0)+R255,R255)*(30+S255)*100+R255,0))</f>
        <v>0</v>
      </c>
      <c r="AB255" s="69">
        <f>IF(AA255=0,0,IF(IF((S255&gt;=3)*(1-(IF(T255="",-1,T255)&gt;=0)*(IF(T255="",-1,T255)&lt;=1))*(1-(IF(T255="",-1,T255)=0)),IF(C255="peso_corporal",IF(ISNUMBER(E255),E255,0)+R255,R255)*(30+S255)*100+R255,0)=AA255,5,IF(IF((P255&gt;=3)*(1-(IF(Q255="",-1,Q255)&gt;=0)*(IF(Q255="",-1,Q255)&lt;=1))*(1-(IF(Q255="",-1,Q255)=0)),IF(C255="peso_corporal",IF(ISNUMBER(E255),E255,0)+O255,O255)*(30+P255)*100+O255,0)=AA255,4,IF(IF((M255&gt;=3)*(1-(IF(N255="",-1,N255)&gt;=0)*(IF(N255="",-1,N255)&lt;=1))*(1-(IF(N255="",-1,N255)=0)),IF(C255="peso_corporal",IF(ISNUMBER(E255),E255,0)+L255,L255)*(30+M255)*100+L255,0)=AA255,3,IF(IF((J255&gt;=3)*(1-(IF(K255="",-1,K255)&gt;=0)*(IF(K255="",-1,K255)&lt;=1))*(1-(IF(K255="",-1,K255)=0)),IF(C255="peso_corporal",IF(ISNUMBER(E255),E255,0)+I255,I255)*(30+J255)*100+I255,0)=AA255,2,IF(IF((G255&gt;=3)*(1-(IF(H255="",-1,H255)&gt;=0)*(IF(H255="",-1,H255)&lt;=1))*(1-(IF(H255="",-1,H255)=0)),IF(C255="peso_corporal",IF(ISNUMBER(E255),E255,0)+F255,F255)*(30+G255)*100+F255,0)=AA255,1,0))))))</f>
        <v>0</v>
      </c>
      <c r="AC255" s="69" t="str">
        <f>IF(X255&gt;0,"A"&amp;X255,IF(Z255&gt;0,"B"&amp;Z255,IF(AB255&gt;0,"C"&amp;AB255,"")))</f>
        <v/>
      </c>
    </row>
    <row r="256" spans="1:29" ht="20.100000000000001" customHeight="1">
      <c r="A256" s="14" t="s">
        <v>95</v>
      </c>
      <c r="B256" s="15" t="s">
        <v>173</v>
      </c>
      <c r="C256" s="16" t="str">
        <f>IFERROR(INDEX(EJERCICIOS!$D$3:$D$75,MATCH(A256&amp;"|"&amp;B256,EJERCICIOS!$G$3:$G$75,0)),"--")</f>
        <v>polea</v>
      </c>
      <c r="D256" s="17">
        <v>3</v>
      </c>
      <c r="E256" s="18">
        <f>IFERROR(LOOKUP(2,1/(MEDIDAS_Y_PESO!$B$3:$B$13&lt;&gt;""),MEDIDAS_Y_PESO!$B$3:$B$13),"--")</f>
        <v>80</v>
      </c>
      <c r="F256" s="19"/>
      <c r="G256" s="20"/>
      <c r="H256" s="21"/>
      <c r="I256" s="19"/>
      <c r="J256" s="20"/>
      <c r="K256" s="21"/>
      <c r="L256" s="19"/>
      <c r="M256" s="20"/>
      <c r="N256" s="21"/>
      <c r="O256" s="19"/>
      <c r="P256" s="20"/>
      <c r="Q256" s="21"/>
      <c r="R256" s="19"/>
      <c r="S256" s="20"/>
      <c r="T256" s="21"/>
      <c r="U256" s="22" t="str">
        <f>IFERROR(IF(IF(X256&gt;0,X256,IF(Z256&gt;0,Z256,IF(AB256&gt;0,AB256,0)))=0,"--",ROUND(CHOOSE(IF(X256&gt;0,X256,IF(Z256&gt;0,Z256,IF(AB256&gt;0,AB256,0))),IF(C256="peso_corporal",IF(ISNUMBER(E256),E256,0)+F256,F256)*(1+G256/30),IF(C256="peso_corporal",IF(ISNUMBER(E256),E256,0)+I256,I256)*(1+J256/30),IF(C256="peso_corporal",IF(ISNUMBER(E256),E256,0)+L256,L256)*(1+M256/30),IF(C256="peso_corporal",IF(ISNUMBER(E256),E256,0)+O256,O256)*(1+P256/30),IF(C256="peso_corporal",IF(ISNUMBER(E256),E256,0)+R256,R256)*(1+S256/30)),1)),"--")</f>
        <v>--</v>
      </c>
      <c r="V256" s="23" t="str">
        <f>IF(SUGERENCIAS!N686="SIN","Sin datos anteriores",IF(SUGERENCIAS!N686="SUBIR_F","^ SUBIR FUERTE | Kg:"&amp;ROUND(SUGERENCIAS!K686,1)&amp;" R:"&amp;ROUND(SUGERENCIAS!L686,0)&amp;" RIR:"&amp;ROUND(SUGERENCIAS!M686,0),IF(SUGERENCIAS!N686="SUBIR_E","^ SUBIR (Est.) | Kg:"&amp;ROUND(SUGERENCIAS!K686,1)&amp;" R:"&amp;ROUND(SUGERENCIAS!L686,0)&amp;" RIR:"&amp;ROUND(SUGERENCIAS!M686,0),IF(SUGERENCIAS!N686="SUBIR","^ SUBIR | Kg:"&amp;ROUND(SUGERENCIAS!K686,1)&amp;" R:"&amp;ROUND(SUGERENCIAS!L686,0)&amp;" RIR:"&amp;ROUND(SUGERENCIAS!M686,0),IF(SUGERENCIAS!N686="BAJAR","v BAJAR | Kg:"&amp;ROUND(SUGERENCIAS!K686,1)&amp;" R:"&amp;ROUND(SUGERENCIAS!L686,0)&amp;" RIR:"&amp;ROUND(SUGERENCIAS!M686,0),"= MANT | Kg:"&amp;ROUND(SUGERENCIAS!K686,1)&amp;" R:"&amp;ROUND(SUGERENCIAS!L686,0)&amp;" RIR:"&amp;ROUND(SUGERENCIAS!M686,0))))))</f>
        <v>Sin datos anteriores</v>
      </c>
      <c r="W256" s="69">
        <f>MAX(IF((G256&gt;0)*(IF(H256="",-1,H256)&gt;=0)*(IF(H256="",-1,H256)&lt;=1),IF(C256="peso_corporal",IF(ISNUMBER(E256),E256,0)+F256,F256)*G256*1000+F256,0),IF((J256&gt;0)*(IF(K256="",-1,K256)&gt;=0)*(IF(K256="",-1,K256)&lt;=1),IF(C256="peso_corporal",IF(ISNUMBER(E256),E256,0)+I256,I256)*J256*1000+I256,0),IF((M256&gt;0)*(IF(N256="",-1,N256)&gt;=0)*(IF(N256="",-1,N256)&lt;=1),IF(C256="peso_corporal",IF(ISNUMBER(E256),E256,0)+L256,L256)*M256*1000+L256,0),IF((P256&gt;0)*(IF(Q256="",-1,Q256)&gt;=0)*(IF(Q256="",-1,Q256)&lt;=1),IF(C256="peso_corporal",IF(ISNUMBER(E256),E256,0)+O256,O256)*P256*1000+O256,0),IF((S256&gt;0)*(IF(T256="",-1,T256)&gt;=0)*(IF(T256="",-1,T256)&lt;=1),IF(C256="peso_corporal",IF(ISNUMBER(E256),E256,0)+R256,R256)*S256*1000+R256,0))</f>
        <v>0</v>
      </c>
      <c r="X256" s="69">
        <f>IF(W256=0,0,IF(IF((S256&gt;0)*(IF(T256="",-1,T256)&gt;=0)*(IF(T256="",-1,T256)&lt;=1),IF(C256="peso_corporal",IF(ISNUMBER(E256),E256,0)+R256,R256)*S256*1000+R256,0)=W256,5,IF(IF((P256&gt;0)*(IF(Q256="",-1,Q256)&gt;=0)*(IF(Q256="",-1,Q256)&lt;=1),IF(C256="peso_corporal",IF(ISNUMBER(E256),E256,0)+O256,O256)*P256*1000+O256,0)=W256,4,IF(IF((M256&gt;0)*(IF(N256="",-1,N256)&gt;=0)*(IF(N256="",-1,N256)&lt;=1),IF(C256="peso_corporal",IF(ISNUMBER(E256),E256,0)+L256,L256)*M256*1000+L256,0)=W256,3,IF(IF((J256&gt;0)*(IF(K256="",-1,K256)&gt;=0)*(IF(K256="",-1,K256)&lt;=1),IF(C256="peso_corporal",IF(ISNUMBER(E256),E256,0)+I256,I256)*J256*1000+I256,0)=W256,2,IF(IF((G256&gt;0)*(IF(H256="",-1,H256)&gt;=0)*(IF(H256="",-1,H256)&lt;=1),IF(C256="peso_corporal",IF(ISNUMBER(E256),E256,0)+F256,F256)*G256*1000+F256,0)=W256,1,0))))))</f>
        <v>0</v>
      </c>
      <c r="Y256" s="69">
        <f>MAX(IF((G256&gt;0)*(IF(H256="",-1,H256)=0)*(1-(IF(H256="",-1,H256)&gt;=0)*(IF(H256="",-1,H256)&lt;=1)),IF(C256="peso_corporal",IF(ISNUMBER(E256),E256,0)+F256,F256)*G256*1000+F256,0),IF((J256&gt;0)*(IF(K256="",-1,K256)=0)*(1-(IF(K256="",-1,K256)&gt;=0)*(IF(K256="",-1,K256)&lt;=1)),IF(C256="peso_corporal",IF(ISNUMBER(E256),E256,0)+I256,I256)*J256*1000+I256,0),IF((M256&gt;0)*(IF(N256="",-1,N256)=0)*(1-(IF(N256="",-1,N256)&gt;=0)*(IF(N256="",-1,N256)&lt;=1)),IF(C256="peso_corporal",IF(ISNUMBER(E256),E256,0)+L256,L256)*M256*1000+L256,0),IF((P256&gt;0)*(IF(Q256="",-1,Q256)=0)*(1-(IF(Q256="",-1,Q256)&gt;=0)*(IF(Q256="",-1,Q256)&lt;=1)),IF(C256="peso_corporal",IF(ISNUMBER(E256),E256,0)+O256,O256)*P256*1000+O256,0),IF((S256&gt;0)*(IF(T256="",-1,T256)=0)*(1-(IF(T256="",-1,T256)&gt;=0)*(IF(T256="",-1,T256)&lt;=1)),IF(C256="peso_corporal",IF(ISNUMBER(E256),E256,0)+R256,R256)*S256*1000+R256,0))</f>
        <v>0</v>
      </c>
      <c r="Z256" s="69">
        <f>IF(Y256=0,0,IF(IF((S256&gt;0)*(IF(T256="",-1,T256)=0)*(1-(IF(T256="",-1,T256)&gt;=0)*(IF(T256="",-1,T256)&lt;=1)),IF(C256="peso_corporal",IF(ISNUMBER(E256),E256,0)+R256,R256)*S256*1000+R256,0)=Y256,5,IF(IF((P256&gt;0)*(IF(Q256="",-1,Q256)=0)*(1-(IF(Q256="",-1,Q256)&gt;=0)*(IF(Q256="",-1,Q256)&lt;=1)),IF(C256="peso_corporal",IF(ISNUMBER(E256),E256,0)+O256,O256)*P256*1000+O256,0)=Y256,4,IF(IF((M256&gt;0)*(IF(N256="",-1,N256)=0)*(1-(IF(N256="",-1,N256)&gt;=0)*(IF(N256="",-1,N256)&lt;=1)),IF(C256="peso_corporal",IF(ISNUMBER(E256),E256,0)+L256,L256)*M256*1000+L256,0)=Y256,3,IF(IF((J256&gt;0)*(IF(K256="",-1,K256)=0)*(1-(IF(K256="",-1,K256)&gt;=0)*(IF(K256="",-1,K256)&lt;=1)),IF(C256="peso_corporal",IF(ISNUMBER(E256),E256,0)+I256,I256)*J256*1000+I256,0)=Y256,2,IF(IF((G256&gt;0)*(IF(H256="",-1,H256)=0)*(1-(IF(H256="",-1,H256)&gt;=0)*(IF(H256="",-1,H256)&lt;=1)),IF(C256="peso_corporal",IF(ISNUMBER(E256),E256,0)+F256,F256)*G256*1000+F256,0)=Y256,1,0))))))</f>
        <v>0</v>
      </c>
      <c r="AA256" s="69">
        <f>MAX(IF((G256&gt;=3)*(1-(IF(H256="",-1,H256)&gt;=0)*(IF(H256="",-1,H256)&lt;=1))*(1-(IF(H256="",-1,H256)=0)),IF(C256="peso_corporal",IF(ISNUMBER(E256),E256,0)+F256,F256)*(30+G256)*100+F256,0),IF((J256&gt;=3)*(1-(IF(K256="",-1,K256)&gt;=0)*(IF(K256="",-1,K256)&lt;=1))*(1-(IF(K256="",-1,K256)=0)),IF(C256="peso_corporal",IF(ISNUMBER(E256),E256,0)+I256,I256)*(30+J256)*100+I256,0),IF((M256&gt;=3)*(1-(IF(N256="",-1,N256)&gt;=0)*(IF(N256="",-1,N256)&lt;=1))*(1-(IF(N256="",-1,N256)=0)),IF(C256="peso_corporal",IF(ISNUMBER(E256),E256,0)+L256,L256)*(30+M256)*100+L256,0),IF((P256&gt;=3)*(1-(IF(Q256="",-1,Q256)&gt;=0)*(IF(Q256="",-1,Q256)&lt;=1))*(1-(IF(Q256="",-1,Q256)=0)),IF(C256="peso_corporal",IF(ISNUMBER(E256),E256,0)+O256,O256)*(30+P256)*100+O256,0),IF((S256&gt;=3)*(1-(IF(T256="",-1,T256)&gt;=0)*(IF(T256="",-1,T256)&lt;=1))*(1-(IF(T256="",-1,T256)=0)),IF(C256="peso_corporal",IF(ISNUMBER(E256),E256,0)+R256,R256)*(30+S256)*100+R256,0))</f>
        <v>0</v>
      </c>
      <c r="AB256" s="69">
        <f>IF(AA256=0,0,IF(IF((S256&gt;=3)*(1-(IF(T256="",-1,T256)&gt;=0)*(IF(T256="",-1,T256)&lt;=1))*(1-(IF(T256="",-1,T256)=0)),IF(C256="peso_corporal",IF(ISNUMBER(E256),E256,0)+R256,R256)*(30+S256)*100+R256,0)=AA256,5,IF(IF((P256&gt;=3)*(1-(IF(Q256="",-1,Q256)&gt;=0)*(IF(Q256="",-1,Q256)&lt;=1))*(1-(IF(Q256="",-1,Q256)=0)),IF(C256="peso_corporal",IF(ISNUMBER(E256),E256,0)+O256,O256)*(30+P256)*100+O256,0)=AA256,4,IF(IF((M256&gt;=3)*(1-(IF(N256="",-1,N256)&gt;=0)*(IF(N256="",-1,N256)&lt;=1))*(1-(IF(N256="",-1,N256)=0)),IF(C256="peso_corporal",IF(ISNUMBER(E256),E256,0)+L256,L256)*(30+M256)*100+L256,0)=AA256,3,IF(IF((J256&gt;=3)*(1-(IF(K256="",-1,K256)&gt;=0)*(IF(K256="",-1,K256)&lt;=1))*(1-(IF(K256="",-1,K256)=0)),IF(C256="peso_corporal",IF(ISNUMBER(E256),E256,0)+I256,I256)*(30+J256)*100+I256,0)=AA256,2,IF(IF((G256&gt;=3)*(1-(IF(H256="",-1,H256)&gt;=0)*(IF(H256="",-1,H256)&lt;=1))*(1-(IF(H256="",-1,H256)=0)),IF(C256="peso_corporal",IF(ISNUMBER(E256),E256,0)+F256,F256)*(30+G256)*100+F256,0)=AA256,1,0))))))</f>
        <v>0</v>
      </c>
      <c r="AC256" s="69" t="str">
        <f>IF(X256&gt;0,"A"&amp;X256,IF(Z256&gt;0,"B"&amp;Z256,IF(AB256&gt;0,"C"&amp;AB256,"")))</f>
        <v/>
      </c>
    </row>
    <row r="257" spans="1:29" ht="20.100000000000001" customHeight="1">
      <c r="A257" s="14" t="s">
        <v>163</v>
      </c>
      <c r="B257" s="15" t="s">
        <v>52</v>
      </c>
      <c r="C257" s="16" t="str">
        <f>IFERROR(INDEX(EJERCICIOS!$D$3:$D$75,MATCH(A257&amp;"|"&amp;B257,EJERCICIOS!$G$3:$G$75,0)),"--")</f>
        <v>polea</v>
      </c>
      <c r="D257" s="17">
        <v>3</v>
      </c>
      <c r="E257" s="18">
        <f>IFERROR(LOOKUP(2,1/(MEDIDAS_Y_PESO!$B$3:$B$13&lt;&gt;""),MEDIDAS_Y_PESO!$B$3:$B$13),"--")</f>
        <v>80</v>
      </c>
      <c r="F257" s="19"/>
      <c r="G257" s="20"/>
      <c r="H257" s="21"/>
      <c r="I257" s="19"/>
      <c r="J257" s="20"/>
      <c r="K257" s="21"/>
      <c r="L257" s="19"/>
      <c r="M257" s="20"/>
      <c r="N257" s="21"/>
      <c r="O257" s="19"/>
      <c r="P257" s="20"/>
      <c r="Q257" s="21"/>
      <c r="R257" s="19"/>
      <c r="S257" s="20"/>
      <c r="T257" s="21"/>
      <c r="U257" s="22" t="str">
        <f>IFERROR(IF(IF(X257&gt;0,X257,IF(Z257&gt;0,Z257,IF(AB257&gt;0,AB257,0)))=0,"--",ROUND(CHOOSE(IF(X257&gt;0,X257,IF(Z257&gt;0,Z257,IF(AB257&gt;0,AB257,0))),IF(C257="peso_corporal",IF(ISNUMBER(E257),E257,0)+F257,F257)*(1+G257/30),IF(C257="peso_corporal",IF(ISNUMBER(E257),E257,0)+I257,I257)*(1+J257/30),IF(C257="peso_corporal",IF(ISNUMBER(E257),E257,0)+L257,L257)*(1+M257/30),IF(C257="peso_corporal",IF(ISNUMBER(E257),E257,0)+O257,O257)*(1+P257/30),IF(C257="peso_corporal",IF(ISNUMBER(E257),E257,0)+R257,R257)*(1+S257/30)),1)),"--")</f>
        <v>--</v>
      </c>
      <c r="V257" s="23" t="str">
        <f>IF(SUGERENCIAS!N687="SIN","Sin datos anteriores",IF(SUGERENCIAS!N687="SUBIR_F","^ SUBIR FUERTE | Kg:"&amp;ROUND(SUGERENCIAS!K687,1)&amp;" R:"&amp;ROUND(SUGERENCIAS!L687,0)&amp;" RIR:"&amp;ROUND(SUGERENCIAS!M687,0),IF(SUGERENCIAS!N687="SUBIR_E","^ SUBIR (Est.) | Kg:"&amp;ROUND(SUGERENCIAS!K687,1)&amp;" R:"&amp;ROUND(SUGERENCIAS!L687,0)&amp;" RIR:"&amp;ROUND(SUGERENCIAS!M687,0),IF(SUGERENCIAS!N687="SUBIR","^ SUBIR | Kg:"&amp;ROUND(SUGERENCIAS!K687,1)&amp;" R:"&amp;ROUND(SUGERENCIAS!L687,0)&amp;" RIR:"&amp;ROUND(SUGERENCIAS!M687,0),IF(SUGERENCIAS!N687="BAJAR","v BAJAR | Kg:"&amp;ROUND(SUGERENCIAS!K687,1)&amp;" R:"&amp;ROUND(SUGERENCIAS!L687,0)&amp;" RIR:"&amp;ROUND(SUGERENCIAS!M687,0),"= MANT | Kg:"&amp;ROUND(SUGERENCIAS!K687,1)&amp;" R:"&amp;ROUND(SUGERENCIAS!L687,0)&amp;" RIR:"&amp;ROUND(SUGERENCIAS!M687,0))))))</f>
        <v>Sin datos anteriores</v>
      </c>
      <c r="W257" s="69">
        <f>MAX(IF((G257&gt;0)*(IF(H257="",-1,H257)&gt;=0)*(IF(H257="",-1,H257)&lt;=1),IF(C257="peso_corporal",IF(ISNUMBER(E257),E257,0)+F257,F257)*G257*1000+F257,0),IF((J257&gt;0)*(IF(K257="",-1,K257)&gt;=0)*(IF(K257="",-1,K257)&lt;=1),IF(C257="peso_corporal",IF(ISNUMBER(E257),E257,0)+I257,I257)*J257*1000+I257,0),IF((M257&gt;0)*(IF(N257="",-1,N257)&gt;=0)*(IF(N257="",-1,N257)&lt;=1),IF(C257="peso_corporal",IF(ISNUMBER(E257),E257,0)+L257,L257)*M257*1000+L257,0),IF((P257&gt;0)*(IF(Q257="",-1,Q257)&gt;=0)*(IF(Q257="",-1,Q257)&lt;=1),IF(C257="peso_corporal",IF(ISNUMBER(E257),E257,0)+O257,O257)*P257*1000+O257,0),IF((S257&gt;0)*(IF(T257="",-1,T257)&gt;=0)*(IF(T257="",-1,T257)&lt;=1),IF(C257="peso_corporal",IF(ISNUMBER(E257),E257,0)+R257,R257)*S257*1000+R257,0))</f>
        <v>0</v>
      </c>
      <c r="X257" s="69">
        <f>IF(W257=0,0,IF(IF((S257&gt;0)*(IF(T257="",-1,T257)&gt;=0)*(IF(T257="",-1,T257)&lt;=1),IF(C257="peso_corporal",IF(ISNUMBER(E257),E257,0)+R257,R257)*S257*1000+R257,0)=W257,5,IF(IF((P257&gt;0)*(IF(Q257="",-1,Q257)&gt;=0)*(IF(Q257="",-1,Q257)&lt;=1),IF(C257="peso_corporal",IF(ISNUMBER(E257),E257,0)+O257,O257)*P257*1000+O257,0)=W257,4,IF(IF((M257&gt;0)*(IF(N257="",-1,N257)&gt;=0)*(IF(N257="",-1,N257)&lt;=1),IF(C257="peso_corporal",IF(ISNUMBER(E257),E257,0)+L257,L257)*M257*1000+L257,0)=W257,3,IF(IF((J257&gt;0)*(IF(K257="",-1,K257)&gt;=0)*(IF(K257="",-1,K257)&lt;=1),IF(C257="peso_corporal",IF(ISNUMBER(E257),E257,0)+I257,I257)*J257*1000+I257,0)=W257,2,IF(IF((G257&gt;0)*(IF(H257="",-1,H257)&gt;=0)*(IF(H257="",-1,H257)&lt;=1),IF(C257="peso_corporal",IF(ISNUMBER(E257),E257,0)+F257,F257)*G257*1000+F257,0)=W257,1,0))))))</f>
        <v>0</v>
      </c>
      <c r="Y257" s="69">
        <f>MAX(IF((G257&gt;0)*(IF(H257="",-1,H257)=0)*(1-(IF(H257="",-1,H257)&gt;=0)*(IF(H257="",-1,H257)&lt;=1)),IF(C257="peso_corporal",IF(ISNUMBER(E257),E257,0)+F257,F257)*G257*1000+F257,0),IF((J257&gt;0)*(IF(K257="",-1,K257)=0)*(1-(IF(K257="",-1,K257)&gt;=0)*(IF(K257="",-1,K257)&lt;=1)),IF(C257="peso_corporal",IF(ISNUMBER(E257),E257,0)+I257,I257)*J257*1000+I257,0),IF((M257&gt;0)*(IF(N257="",-1,N257)=0)*(1-(IF(N257="",-1,N257)&gt;=0)*(IF(N257="",-1,N257)&lt;=1)),IF(C257="peso_corporal",IF(ISNUMBER(E257),E257,0)+L257,L257)*M257*1000+L257,0),IF((P257&gt;0)*(IF(Q257="",-1,Q257)=0)*(1-(IF(Q257="",-1,Q257)&gt;=0)*(IF(Q257="",-1,Q257)&lt;=1)),IF(C257="peso_corporal",IF(ISNUMBER(E257),E257,0)+O257,O257)*P257*1000+O257,0),IF((S257&gt;0)*(IF(T257="",-1,T257)=0)*(1-(IF(T257="",-1,T257)&gt;=0)*(IF(T257="",-1,T257)&lt;=1)),IF(C257="peso_corporal",IF(ISNUMBER(E257),E257,0)+R257,R257)*S257*1000+R257,0))</f>
        <v>0</v>
      </c>
      <c r="Z257" s="69">
        <f>IF(Y257=0,0,IF(IF((S257&gt;0)*(IF(T257="",-1,T257)=0)*(1-(IF(T257="",-1,T257)&gt;=0)*(IF(T257="",-1,T257)&lt;=1)),IF(C257="peso_corporal",IF(ISNUMBER(E257),E257,0)+R257,R257)*S257*1000+R257,0)=Y257,5,IF(IF((P257&gt;0)*(IF(Q257="",-1,Q257)=0)*(1-(IF(Q257="",-1,Q257)&gt;=0)*(IF(Q257="",-1,Q257)&lt;=1)),IF(C257="peso_corporal",IF(ISNUMBER(E257),E257,0)+O257,O257)*P257*1000+O257,0)=Y257,4,IF(IF((M257&gt;0)*(IF(N257="",-1,N257)=0)*(1-(IF(N257="",-1,N257)&gt;=0)*(IF(N257="",-1,N257)&lt;=1)),IF(C257="peso_corporal",IF(ISNUMBER(E257),E257,0)+L257,L257)*M257*1000+L257,0)=Y257,3,IF(IF((J257&gt;0)*(IF(K257="",-1,K257)=0)*(1-(IF(K257="",-1,K257)&gt;=0)*(IF(K257="",-1,K257)&lt;=1)),IF(C257="peso_corporal",IF(ISNUMBER(E257),E257,0)+I257,I257)*J257*1000+I257,0)=Y257,2,IF(IF((G257&gt;0)*(IF(H257="",-1,H257)=0)*(1-(IF(H257="",-1,H257)&gt;=0)*(IF(H257="",-1,H257)&lt;=1)),IF(C257="peso_corporal",IF(ISNUMBER(E257),E257,0)+F257,F257)*G257*1000+F257,0)=Y257,1,0))))))</f>
        <v>0</v>
      </c>
      <c r="AA257" s="69">
        <f>MAX(IF((G257&gt;=3)*(1-(IF(H257="",-1,H257)&gt;=0)*(IF(H257="",-1,H257)&lt;=1))*(1-(IF(H257="",-1,H257)=0)),IF(C257="peso_corporal",IF(ISNUMBER(E257),E257,0)+F257,F257)*(30+G257)*100+F257,0),IF((J257&gt;=3)*(1-(IF(K257="",-1,K257)&gt;=0)*(IF(K257="",-1,K257)&lt;=1))*(1-(IF(K257="",-1,K257)=0)),IF(C257="peso_corporal",IF(ISNUMBER(E257),E257,0)+I257,I257)*(30+J257)*100+I257,0),IF((M257&gt;=3)*(1-(IF(N257="",-1,N257)&gt;=0)*(IF(N257="",-1,N257)&lt;=1))*(1-(IF(N257="",-1,N257)=0)),IF(C257="peso_corporal",IF(ISNUMBER(E257),E257,0)+L257,L257)*(30+M257)*100+L257,0),IF((P257&gt;=3)*(1-(IF(Q257="",-1,Q257)&gt;=0)*(IF(Q257="",-1,Q257)&lt;=1))*(1-(IF(Q257="",-1,Q257)=0)),IF(C257="peso_corporal",IF(ISNUMBER(E257),E257,0)+O257,O257)*(30+P257)*100+O257,0),IF((S257&gt;=3)*(1-(IF(T257="",-1,T257)&gt;=0)*(IF(T257="",-1,T257)&lt;=1))*(1-(IF(T257="",-1,T257)=0)),IF(C257="peso_corporal",IF(ISNUMBER(E257),E257,0)+R257,R257)*(30+S257)*100+R257,0))</f>
        <v>0</v>
      </c>
      <c r="AB257" s="69">
        <f>IF(AA257=0,0,IF(IF((S257&gt;=3)*(1-(IF(T257="",-1,T257)&gt;=0)*(IF(T257="",-1,T257)&lt;=1))*(1-(IF(T257="",-1,T257)=0)),IF(C257="peso_corporal",IF(ISNUMBER(E257),E257,0)+R257,R257)*(30+S257)*100+R257,0)=AA257,5,IF(IF((P257&gt;=3)*(1-(IF(Q257="",-1,Q257)&gt;=0)*(IF(Q257="",-1,Q257)&lt;=1))*(1-(IF(Q257="",-1,Q257)=0)),IF(C257="peso_corporal",IF(ISNUMBER(E257),E257,0)+O257,O257)*(30+P257)*100+O257,0)=AA257,4,IF(IF((M257&gt;=3)*(1-(IF(N257="",-1,N257)&gt;=0)*(IF(N257="",-1,N257)&lt;=1))*(1-(IF(N257="",-1,N257)=0)),IF(C257="peso_corporal",IF(ISNUMBER(E257),E257,0)+L257,L257)*(30+M257)*100+L257,0)=AA257,3,IF(IF((J257&gt;=3)*(1-(IF(K257="",-1,K257)&gt;=0)*(IF(K257="",-1,K257)&lt;=1))*(1-(IF(K257="",-1,K257)=0)),IF(C257="peso_corporal",IF(ISNUMBER(E257),E257,0)+I257,I257)*(30+J257)*100+I257,0)=AA257,2,IF(IF((G257&gt;=3)*(1-(IF(H257="",-1,H257)&gt;=0)*(IF(H257="",-1,H257)&lt;=1))*(1-(IF(H257="",-1,H257)=0)),IF(C257="peso_corporal",IF(ISNUMBER(E257),E257,0)+F257,F257)*(30+G257)*100+F257,0)=AA257,1,0))))))</f>
        <v>0</v>
      </c>
      <c r="AC257" s="69" t="str">
        <f>IF(X257&gt;0,"A"&amp;X257,IF(Z257&gt;0,"B"&amp;Z257,IF(AB257&gt;0,"C"&amp;AB257,"")))</f>
        <v/>
      </c>
    </row>
    <row r="258" spans="1:29" ht="15" customHeight="1">
      <c r="A258" s="81" t="s">
        <v>53</v>
      </c>
      <c r="B258" s="73"/>
      <c r="C258" s="73"/>
      <c r="D258" s="73"/>
      <c r="E258" s="73"/>
      <c r="F258" s="73"/>
      <c r="G258" s="73"/>
      <c r="H258" s="73"/>
      <c r="I258" s="73"/>
      <c r="J258" s="73"/>
      <c r="K258" s="73"/>
      <c r="L258" s="73"/>
      <c r="M258" s="73"/>
      <c r="N258" s="73"/>
      <c r="O258" s="73"/>
      <c r="P258" s="73"/>
      <c r="Q258" s="73"/>
      <c r="R258" s="73"/>
      <c r="S258" s="73"/>
      <c r="T258" s="73"/>
      <c r="U258" s="73"/>
      <c r="V258" s="73"/>
      <c r="W258" s="69"/>
      <c r="X258" s="69"/>
      <c r="Y258" s="69"/>
      <c r="Z258" s="69"/>
      <c r="AA258" s="69"/>
      <c r="AB258" s="69"/>
      <c r="AC258" s="69"/>
    </row>
    <row r="259" spans="1:29" ht="20.100000000000001" customHeight="1">
      <c r="A259" s="14" t="s">
        <v>54</v>
      </c>
      <c r="B259" s="15" t="s">
        <v>115</v>
      </c>
      <c r="C259" s="16" t="str">
        <f>IFERROR(INDEX(EJERCICIOS!$D$3:$D$75,MATCH(A259&amp;"|"&amp;B259,EJERCICIOS!$G$3:$G$75,0)),"--")</f>
        <v>polea</v>
      </c>
      <c r="D259" s="17">
        <v>3</v>
      </c>
      <c r="E259" s="18">
        <f>IFERROR(LOOKUP(2,1/(MEDIDAS_Y_PESO!$B$3:$B$13&lt;&gt;""),MEDIDAS_Y_PESO!$B$3:$B$13),"--")</f>
        <v>80</v>
      </c>
      <c r="F259" s="19"/>
      <c r="G259" s="20"/>
      <c r="H259" s="21"/>
      <c r="I259" s="19"/>
      <c r="J259" s="20"/>
      <c r="K259" s="21"/>
      <c r="L259" s="19"/>
      <c r="M259" s="20"/>
      <c r="N259" s="21"/>
      <c r="O259" s="19"/>
      <c r="P259" s="20"/>
      <c r="Q259" s="21"/>
      <c r="R259" s="19"/>
      <c r="S259" s="20"/>
      <c r="T259" s="21"/>
      <c r="U259" s="22" t="str">
        <f>IFERROR(IF(IF(X259&gt;0,X259,IF(Z259&gt;0,Z259,IF(AB259&gt;0,AB259,0)))=0,"--",ROUND(CHOOSE(IF(X259&gt;0,X259,IF(Z259&gt;0,Z259,IF(AB259&gt;0,AB259,0))),IF(C259="peso_corporal",IF(ISNUMBER(E259),E259,0)+F259,F259)*(1+G259/30),IF(C259="peso_corporal",IF(ISNUMBER(E259),E259,0)+I259,I259)*(1+J259/30),IF(C259="peso_corporal",IF(ISNUMBER(E259),E259,0)+L259,L259)*(1+M259/30),IF(C259="peso_corporal",IF(ISNUMBER(E259),E259,0)+O259,O259)*(1+P259/30),IF(C259="peso_corporal",IF(ISNUMBER(E259),E259,0)+R259,R259)*(1+S259/30)),1)),"--")</f>
        <v>--</v>
      </c>
      <c r="V259" s="23" t="str">
        <f>IF(SUGERENCIAS!N688="SIN","Sin datos anteriores",IF(SUGERENCIAS!N688="SUBIR_F","^ SUBIR FUERTE | Kg:"&amp;ROUND(SUGERENCIAS!K688,1)&amp;" R:"&amp;ROUND(SUGERENCIAS!L688,0)&amp;" RIR:"&amp;ROUND(SUGERENCIAS!M688,0),IF(SUGERENCIAS!N688="SUBIR_E","^ SUBIR (Est.) | Kg:"&amp;ROUND(SUGERENCIAS!K688,1)&amp;" R:"&amp;ROUND(SUGERENCIAS!L688,0)&amp;" RIR:"&amp;ROUND(SUGERENCIAS!M688,0),IF(SUGERENCIAS!N688="SUBIR","^ SUBIR | Kg:"&amp;ROUND(SUGERENCIAS!K688,1)&amp;" R:"&amp;ROUND(SUGERENCIAS!L688,0)&amp;" RIR:"&amp;ROUND(SUGERENCIAS!M688,0),IF(SUGERENCIAS!N688="BAJAR","v BAJAR | Kg:"&amp;ROUND(SUGERENCIAS!K688,1)&amp;" R:"&amp;ROUND(SUGERENCIAS!L688,0)&amp;" RIR:"&amp;ROUND(SUGERENCIAS!M688,0),"= MANT | Kg:"&amp;ROUND(SUGERENCIAS!K688,1)&amp;" R:"&amp;ROUND(SUGERENCIAS!L688,0)&amp;" RIR:"&amp;ROUND(SUGERENCIAS!M688,0))))))</f>
        <v>= MANT | Kg:40 R:7 RIR:2</v>
      </c>
      <c r="W259" s="69">
        <f>MAX(IF((G259&gt;0)*(IF(H259="",-1,H259)&gt;=0)*(IF(H259="",-1,H259)&lt;=1),IF(C259="peso_corporal",IF(ISNUMBER(E259),E259,0)+F259,F259)*G259*1000+F259,0),IF((J259&gt;0)*(IF(K259="",-1,K259)&gt;=0)*(IF(K259="",-1,K259)&lt;=1),IF(C259="peso_corporal",IF(ISNUMBER(E259),E259,0)+I259,I259)*J259*1000+I259,0),IF((M259&gt;0)*(IF(N259="",-1,N259)&gt;=0)*(IF(N259="",-1,N259)&lt;=1),IF(C259="peso_corporal",IF(ISNUMBER(E259),E259,0)+L259,L259)*M259*1000+L259,0),IF((P259&gt;0)*(IF(Q259="",-1,Q259)&gt;=0)*(IF(Q259="",-1,Q259)&lt;=1),IF(C259="peso_corporal",IF(ISNUMBER(E259),E259,0)+O259,O259)*P259*1000+O259,0),IF((S259&gt;0)*(IF(T259="",-1,T259)&gt;=0)*(IF(T259="",-1,T259)&lt;=1),IF(C259="peso_corporal",IF(ISNUMBER(E259),E259,0)+R259,R259)*S259*1000+R259,0))</f>
        <v>0</v>
      </c>
      <c r="X259" s="69">
        <f>IF(W259=0,0,IF(IF((S259&gt;0)*(IF(T259="",-1,T259)&gt;=0)*(IF(T259="",-1,T259)&lt;=1),IF(C259="peso_corporal",IF(ISNUMBER(E259),E259,0)+R259,R259)*S259*1000+R259,0)=W259,5,IF(IF((P259&gt;0)*(IF(Q259="",-1,Q259)&gt;=0)*(IF(Q259="",-1,Q259)&lt;=1),IF(C259="peso_corporal",IF(ISNUMBER(E259),E259,0)+O259,O259)*P259*1000+O259,0)=W259,4,IF(IF((M259&gt;0)*(IF(N259="",-1,N259)&gt;=0)*(IF(N259="",-1,N259)&lt;=1),IF(C259="peso_corporal",IF(ISNUMBER(E259),E259,0)+L259,L259)*M259*1000+L259,0)=W259,3,IF(IF((J259&gt;0)*(IF(K259="",-1,K259)&gt;=0)*(IF(K259="",-1,K259)&lt;=1),IF(C259="peso_corporal",IF(ISNUMBER(E259),E259,0)+I259,I259)*J259*1000+I259,0)=W259,2,IF(IF((G259&gt;0)*(IF(H259="",-1,H259)&gt;=0)*(IF(H259="",-1,H259)&lt;=1),IF(C259="peso_corporal",IF(ISNUMBER(E259),E259,0)+F259,F259)*G259*1000+F259,0)=W259,1,0))))))</f>
        <v>0</v>
      </c>
      <c r="Y259" s="69">
        <f>MAX(IF((G259&gt;0)*(IF(H259="",-1,H259)=0)*(1-(IF(H259="",-1,H259)&gt;=0)*(IF(H259="",-1,H259)&lt;=1)),IF(C259="peso_corporal",IF(ISNUMBER(E259),E259,0)+F259,F259)*G259*1000+F259,0),IF((J259&gt;0)*(IF(K259="",-1,K259)=0)*(1-(IF(K259="",-1,K259)&gt;=0)*(IF(K259="",-1,K259)&lt;=1)),IF(C259="peso_corporal",IF(ISNUMBER(E259),E259,0)+I259,I259)*J259*1000+I259,0),IF((M259&gt;0)*(IF(N259="",-1,N259)=0)*(1-(IF(N259="",-1,N259)&gt;=0)*(IF(N259="",-1,N259)&lt;=1)),IF(C259="peso_corporal",IF(ISNUMBER(E259),E259,0)+L259,L259)*M259*1000+L259,0),IF((P259&gt;0)*(IF(Q259="",-1,Q259)=0)*(1-(IF(Q259="",-1,Q259)&gt;=0)*(IF(Q259="",-1,Q259)&lt;=1)),IF(C259="peso_corporal",IF(ISNUMBER(E259),E259,0)+O259,O259)*P259*1000+O259,0),IF((S259&gt;0)*(IF(T259="",-1,T259)=0)*(1-(IF(T259="",-1,T259)&gt;=0)*(IF(T259="",-1,T259)&lt;=1)),IF(C259="peso_corporal",IF(ISNUMBER(E259),E259,0)+R259,R259)*S259*1000+R259,0))</f>
        <v>0</v>
      </c>
      <c r="Z259" s="69">
        <f>IF(Y259=0,0,IF(IF((S259&gt;0)*(IF(T259="",-1,T259)=0)*(1-(IF(T259="",-1,T259)&gt;=0)*(IF(T259="",-1,T259)&lt;=1)),IF(C259="peso_corporal",IF(ISNUMBER(E259),E259,0)+R259,R259)*S259*1000+R259,0)=Y259,5,IF(IF((P259&gt;0)*(IF(Q259="",-1,Q259)=0)*(1-(IF(Q259="",-1,Q259)&gt;=0)*(IF(Q259="",-1,Q259)&lt;=1)),IF(C259="peso_corporal",IF(ISNUMBER(E259),E259,0)+O259,O259)*P259*1000+O259,0)=Y259,4,IF(IF((M259&gt;0)*(IF(N259="",-1,N259)=0)*(1-(IF(N259="",-1,N259)&gt;=0)*(IF(N259="",-1,N259)&lt;=1)),IF(C259="peso_corporal",IF(ISNUMBER(E259),E259,0)+L259,L259)*M259*1000+L259,0)=Y259,3,IF(IF((J259&gt;0)*(IF(K259="",-1,K259)=0)*(1-(IF(K259="",-1,K259)&gt;=0)*(IF(K259="",-1,K259)&lt;=1)),IF(C259="peso_corporal",IF(ISNUMBER(E259),E259,0)+I259,I259)*J259*1000+I259,0)=Y259,2,IF(IF((G259&gt;0)*(IF(H259="",-1,H259)=0)*(1-(IF(H259="",-1,H259)&gt;=0)*(IF(H259="",-1,H259)&lt;=1)),IF(C259="peso_corporal",IF(ISNUMBER(E259),E259,0)+F259,F259)*G259*1000+F259,0)=Y259,1,0))))))</f>
        <v>0</v>
      </c>
      <c r="AA259" s="69">
        <f>MAX(IF((G259&gt;=3)*(1-(IF(H259="",-1,H259)&gt;=0)*(IF(H259="",-1,H259)&lt;=1))*(1-(IF(H259="",-1,H259)=0)),IF(C259="peso_corporal",IF(ISNUMBER(E259),E259,0)+F259,F259)*(30+G259)*100+F259,0),IF((J259&gt;=3)*(1-(IF(K259="",-1,K259)&gt;=0)*(IF(K259="",-1,K259)&lt;=1))*(1-(IF(K259="",-1,K259)=0)),IF(C259="peso_corporal",IF(ISNUMBER(E259),E259,0)+I259,I259)*(30+J259)*100+I259,0),IF((M259&gt;=3)*(1-(IF(N259="",-1,N259)&gt;=0)*(IF(N259="",-1,N259)&lt;=1))*(1-(IF(N259="",-1,N259)=0)),IF(C259="peso_corporal",IF(ISNUMBER(E259),E259,0)+L259,L259)*(30+M259)*100+L259,0),IF((P259&gt;=3)*(1-(IF(Q259="",-1,Q259)&gt;=0)*(IF(Q259="",-1,Q259)&lt;=1))*(1-(IF(Q259="",-1,Q259)=0)),IF(C259="peso_corporal",IF(ISNUMBER(E259),E259,0)+O259,O259)*(30+P259)*100+O259,0),IF((S259&gt;=3)*(1-(IF(T259="",-1,T259)&gt;=0)*(IF(T259="",-1,T259)&lt;=1))*(1-(IF(T259="",-1,T259)=0)),IF(C259="peso_corporal",IF(ISNUMBER(E259),E259,0)+R259,R259)*(30+S259)*100+R259,0))</f>
        <v>0</v>
      </c>
      <c r="AB259" s="69">
        <f>IF(AA259=0,0,IF(IF((S259&gt;=3)*(1-(IF(T259="",-1,T259)&gt;=0)*(IF(T259="",-1,T259)&lt;=1))*(1-(IF(T259="",-1,T259)=0)),IF(C259="peso_corporal",IF(ISNUMBER(E259),E259,0)+R259,R259)*(30+S259)*100+R259,0)=AA259,5,IF(IF((P259&gt;=3)*(1-(IF(Q259="",-1,Q259)&gt;=0)*(IF(Q259="",-1,Q259)&lt;=1))*(1-(IF(Q259="",-1,Q259)=0)),IF(C259="peso_corporal",IF(ISNUMBER(E259),E259,0)+O259,O259)*(30+P259)*100+O259,0)=AA259,4,IF(IF((M259&gt;=3)*(1-(IF(N259="",-1,N259)&gt;=0)*(IF(N259="",-1,N259)&lt;=1))*(1-(IF(N259="",-1,N259)=0)),IF(C259="peso_corporal",IF(ISNUMBER(E259),E259,0)+L259,L259)*(30+M259)*100+L259,0)=AA259,3,IF(IF((J259&gt;=3)*(1-(IF(K259="",-1,K259)&gt;=0)*(IF(K259="",-1,K259)&lt;=1))*(1-(IF(K259="",-1,K259)=0)),IF(C259="peso_corporal",IF(ISNUMBER(E259),E259,0)+I259,I259)*(30+J259)*100+I259,0)=AA259,2,IF(IF((G259&gt;=3)*(1-(IF(H259="",-1,H259)&gt;=0)*(IF(H259="",-1,H259)&lt;=1))*(1-(IF(H259="",-1,H259)=0)),IF(C259="peso_corporal",IF(ISNUMBER(E259),E259,0)+F259,F259)*(30+G259)*100+F259,0)=AA259,1,0))))))</f>
        <v>0</v>
      </c>
      <c r="AC259" s="69" t="str">
        <f>IF(X259&gt;0,"A"&amp;X259,IF(Z259&gt;0,"B"&amp;Z259,IF(AB259&gt;0,"C"&amp;AB259,"")))</f>
        <v/>
      </c>
    </row>
    <row r="260" spans="1:29" ht="20.100000000000001" customHeight="1">
      <c r="A260" s="14" t="s">
        <v>116</v>
      </c>
      <c r="B260" s="15" t="s">
        <v>114</v>
      </c>
      <c r="C260" s="16" t="str">
        <f>IFERROR(INDEX(EJERCICIOS!$D$3:$D$75,MATCH(A260&amp;"|"&amp;B260,EJERCICIOS!$G$3:$G$75,0)),"--")</f>
        <v>polea</v>
      </c>
      <c r="D260" s="17">
        <v>3</v>
      </c>
      <c r="E260" s="18">
        <f>IFERROR(LOOKUP(2,1/(MEDIDAS_Y_PESO!$B$3:$B$13&lt;&gt;""),MEDIDAS_Y_PESO!$B$3:$B$13),"--")</f>
        <v>80</v>
      </c>
      <c r="F260" s="19"/>
      <c r="G260" s="20"/>
      <c r="H260" s="21"/>
      <c r="I260" s="19"/>
      <c r="J260" s="20"/>
      <c r="K260" s="21"/>
      <c r="L260" s="19"/>
      <c r="M260" s="20"/>
      <c r="N260" s="21"/>
      <c r="O260" s="19"/>
      <c r="P260" s="20"/>
      <c r="Q260" s="21"/>
      <c r="R260" s="19"/>
      <c r="S260" s="20"/>
      <c r="T260" s="21"/>
      <c r="U260" s="22" t="str">
        <f>IFERROR(IF(IF(X260&gt;0,X260,IF(Z260&gt;0,Z260,IF(AB260&gt;0,AB260,0)))=0,"--",ROUND(CHOOSE(IF(X260&gt;0,X260,IF(Z260&gt;0,Z260,IF(AB260&gt;0,AB260,0))),IF(C260="peso_corporal",IF(ISNUMBER(E260),E260,0)+F260,F260)*(1+G260/30),IF(C260="peso_corporal",IF(ISNUMBER(E260),E260,0)+I260,I260)*(1+J260/30),IF(C260="peso_corporal",IF(ISNUMBER(E260),E260,0)+L260,L260)*(1+M260/30),IF(C260="peso_corporal",IF(ISNUMBER(E260),E260,0)+O260,O260)*(1+P260/30),IF(C260="peso_corporal",IF(ISNUMBER(E260),E260,0)+R260,R260)*(1+S260/30)),1)),"--")</f>
        <v>--</v>
      </c>
      <c r="V260" s="23" t="str">
        <f>IF(SUGERENCIAS!N689="SIN","Sin datos anteriores",IF(SUGERENCIAS!N689="SUBIR_F","^ SUBIR FUERTE | Kg:"&amp;ROUND(SUGERENCIAS!K689,1)&amp;" R:"&amp;ROUND(SUGERENCIAS!L689,0)&amp;" RIR:"&amp;ROUND(SUGERENCIAS!M689,0),IF(SUGERENCIAS!N689="SUBIR_E","^ SUBIR (Est.) | Kg:"&amp;ROUND(SUGERENCIAS!K689,1)&amp;" R:"&amp;ROUND(SUGERENCIAS!L689,0)&amp;" RIR:"&amp;ROUND(SUGERENCIAS!M689,0),IF(SUGERENCIAS!N689="SUBIR","^ SUBIR | Kg:"&amp;ROUND(SUGERENCIAS!K689,1)&amp;" R:"&amp;ROUND(SUGERENCIAS!L689,0)&amp;" RIR:"&amp;ROUND(SUGERENCIAS!M689,0),IF(SUGERENCIAS!N689="BAJAR","v BAJAR | Kg:"&amp;ROUND(SUGERENCIAS!K689,1)&amp;" R:"&amp;ROUND(SUGERENCIAS!L689,0)&amp;" RIR:"&amp;ROUND(SUGERENCIAS!M689,0),"= MANT | Kg:"&amp;ROUND(SUGERENCIAS!K689,1)&amp;" R:"&amp;ROUND(SUGERENCIAS!L689,0)&amp;" RIR:"&amp;ROUND(SUGERENCIAS!M689,0))))))</f>
        <v>^ SUBIR | Kg:20 R:6 RIR:2</v>
      </c>
      <c r="W260" s="69">
        <f>MAX(IF((G260&gt;0)*(IF(H260="",-1,H260)&gt;=0)*(IF(H260="",-1,H260)&lt;=1),IF(C260="peso_corporal",IF(ISNUMBER(E260),E260,0)+F260,F260)*G260*1000+F260,0),IF((J260&gt;0)*(IF(K260="",-1,K260)&gt;=0)*(IF(K260="",-1,K260)&lt;=1),IF(C260="peso_corporal",IF(ISNUMBER(E260),E260,0)+I260,I260)*J260*1000+I260,0),IF((M260&gt;0)*(IF(N260="",-1,N260)&gt;=0)*(IF(N260="",-1,N260)&lt;=1),IF(C260="peso_corporal",IF(ISNUMBER(E260),E260,0)+L260,L260)*M260*1000+L260,0),IF((P260&gt;0)*(IF(Q260="",-1,Q260)&gt;=0)*(IF(Q260="",-1,Q260)&lt;=1),IF(C260="peso_corporal",IF(ISNUMBER(E260),E260,0)+O260,O260)*P260*1000+O260,0),IF((S260&gt;0)*(IF(T260="",-1,T260)&gt;=0)*(IF(T260="",-1,T260)&lt;=1),IF(C260="peso_corporal",IF(ISNUMBER(E260),E260,0)+R260,R260)*S260*1000+R260,0))</f>
        <v>0</v>
      </c>
      <c r="X260" s="69">
        <f>IF(W260=0,0,IF(IF((S260&gt;0)*(IF(T260="",-1,T260)&gt;=0)*(IF(T260="",-1,T260)&lt;=1),IF(C260="peso_corporal",IF(ISNUMBER(E260),E260,0)+R260,R260)*S260*1000+R260,0)=W260,5,IF(IF((P260&gt;0)*(IF(Q260="",-1,Q260)&gt;=0)*(IF(Q260="",-1,Q260)&lt;=1),IF(C260="peso_corporal",IF(ISNUMBER(E260),E260,0)+O260,O260)*P260*1000+O260,0)=W260,4,IF(IF((M260&gt;0)*(IF(N260="",-1,N260)&gt;=0)*(IF(N260="",-1,N260)&lt;=1),IF(C260="peso_corporal",IF(ISNUMBER(E260),E260,0)+L260,L260)*M260*1000+L260,0)=W260,3,IF(IF((J260&gt;0)*(IF(K260="",-1,K260)&gt;=0)*(IF(K260="",-1,K260)&lt;=1),IF(C260="peso_corporal",IF(ISNUMBER(E260),E260,0)+I260,I260)*J260*1000+I260,0)=W260,2,IF(IF((G260&gt;0)*(IF(H260="",-1,H260)&gt;=0)*(IF(H260="",-1,H260)&lt;=1),IF(C260="peso_corporal",IF(ISNUMBER(E260),E260,0)+F260,F260)*G260*1000+F260,0)=W260,1,0))))))</f>
        <v>0</v>
      </c>
      <c r="Y260" s="69">
        <f>MAX(IF((G260&gt;0)*(IF(H260="",-1,H260)=0)*(1-(IF(H260="",-1,H260)&gt;=0)*(IF(H260="",-1,H260)&lt;=1)),IF(C260="peso_corporal",IF(ISNUMBER(E260),E260,0)+F260,F260)*G260*1000+F260,0),IF((J260&gt;0)*(IF(K260="",-1,K260)=0)*(1-(IF(K260="",-1,K260)&gt;=0)*(IF(K260="",-1,K260)&lt;=1)),IF(C260="peso_corporal",IF(ISNUMBER(E260),E260,0)+I260,I260)*J260*1000+I260,0),IF((M260&gt;0)*(IF(N260="",-1,N260)=0)*(1-(IF(N260="",-1,N260)&gt;=0)*(IF(N260="",-1,N260)&lt;=1)),IF(C260="peso_corporal",IF(ISNUMBER(E260),E260,0)+L260,L260)*M260*1000+L260,0),IF((P260&gt;0)*(IF(Q260="",-1,Q260)=0)*(1-(IF(Q260="",-1,Q260)&gt;=0)*(IF(Q260="",-1,Q260)&lt;=1)),IF(C260="peso_corporal",IF(ISNUMBER(E260),E260,0)+O260,O260)*P260*1000+O260,0),IF((S260&gt;0)*(IF(T260="",-1,T260)=0)*(1-(IF(T260="",-1,T260)&gt;=0)*(IF(T260="",-1,T260)&lt;=1)),IF(C260="peso_corporal",IF(ISNUMBER(E260),E260,0)+R260,R260)*S260*1000+R260,0))</f>
        <v>0</v>
      </c>
      <c r="Z260" s="69">
        <f>IF(Y260=0,0,IF(IF((S260&gt;0)*(IF(T260="",-1,T260)=0)*(1-(IF(T260="",-1,T260)&gt;=0)*(IF(T260="",-1,T260)&lt;=1)),IF(C260="peso_corporal",IF(ISNUMBER(E260),E260,0)+R260,R260)*S260*1000+R260,0)=Y260,5,IF(IF((P260&gt;0)*(IF(Q260="",-1,Q260)=0)*(1-(IF(Q260="",-1,Q260)&gt;=0)*(IF(Q260="",-1,Q260)&lt;=1)),IF(C260="peso_corporal",IF(ISNUMBER(E260),E260,0)+O260,O260)*P260*1000+O260,0)=Y260,4,IF(IF((M260&gt;0)*(IF(N260="",-1,N260)=0)*(1-(IF(N260="",-1,N260)&gt;=0)*(IF(N260="",-1,N260)&lt;=1)),IF(C260="peso_corporal",IF(ISNUMBER(E260),E260,0)+L260,L260)*M260*1000+L260,0)=Y260,3,IF(IF((J260&gt;0)*(IF(K260="",-1,K260)=0)*(1-(IF(K260="",-1,K260)&gt;=0)*(IF(K260="",-1,K260)&lt;=1)),IF(C260="peso_corporal",IF(ISNUMBER(E260),E260,0)+I260,I260)*J260*1000+I260,0)=Y260,2,IF(IF((G260&gt;0)*(IF(H260="",-1,H260)=0)*(1-(IF(H260="",-1,H260)&gt;=0)*(IF(H260="",-1,H260)&lt;=1)),IF(C260="peso_corporal",IF(ISNUMBER(E260),E260,0)+F260,F260)*G260*1000+F260,0)=Y260,1,0))))))</f>
        <v>0</v>
      </c>
      <c r="AA260" s="69">
        <f>MAX(IF((G260&gt;=3)*(1-(IF(H260="",-1,H260)&gt;=0)*(IF(H260="",-1,H260)&lt;=1))*(1-(IF(H260="",-1,H260)=0)),IF(C260="peso_corporal",IF(ISNUMBER(E260),E260,0)+F260,F260)*(30+G260)*100+F260,0),IF((J260&gt;=3)*(1-(IF(K260="",-1,K260)&gt;=0)*(IF(K260="",-1,K260)&lt;=1))*(1-(IF(K260="",-1,K260)=0)),IF(C260="peso_corporal",IF(ISNUMBER(E260),E260,0)+I260,I260)*(30+J260)*100+I260,0),IF((M260&gt;=3)*(1-(IF(N260="",-1,N260)&gt;=0)*(IF(N260="",-1,N260)&lt;=1))*(1-(IF(N260="",-1,N260)=0)),IF(C260="peso_corporal",IF(ISNUMBER(E260),E260,0)+L260,L260)*(30+M260)*100+L260,0),IF((P260&gt;=3)*(1-(IF(Q260="",-1,Q260)&gt;=0)*(IF(Q260="",-1,Q260)&lt;=1))*(1-(IF(Q260="",-1,Q260)=0)),IF(C260="peso_corporal",IF(ISNUMBER(E260),E260,0)+O260,O260)*(30+P260)*100+O260,0),IF((S260&gt;=3)*(1-(IF(T260="",-1,T260)&gt;=0)*(IF(T260="",-1,T260)&lt;=1))*(1-(IF(T260="",-1,T260)=0)),IF(C260="peso_corporal",IF(ISNUMBER(E260),E260,0)+R260,R260)*(30+S260)*100+R260,0))</f>
        <v>0</v>
      </c>
      <c r="AB260" s="69">
        <f>IF(AA260=0,0,IF(IF((S260&gt;=3)*(1-(IF(T260="",-1,T260)&gt;=0)*(IF(T260="",-1,T260)&lt;=1))*(1-(IF(T260="",-1,T260)=0)),IF(C260="peso_corporal",IF(ISNUMBER(E260),E260,0)+R260,R260)*(30+S260)*100+R260,0)=AA260,5,IF(IF((P260&gt;=3)*(1-(IF(Q260="",-1,Q260)&gt;=0)*(IF(Q260="",-1,Q260)&lt;=1))*(1-(IF(Q260="",-1,Q260)=0)),IF(C260="peso_corporal",IF(ISNUMBER(E260),E260,0)+O260,O260)*(30+P260)*100+O260,0)=AA260,4,IF(IF((M260&gt;=3)*(1-(IF(N260="",-1,N260)&gt;=0)*(IF(N260="",-1,N260)&lt;=1))*(1-(IF(N260="",-1,N260)=0)),IF(C260="peso_corporal",IF(ISNUMBER(E260),E260,0)+L260,L260)*(30+M260)*100+L260,0)=AA260,3,IF(IF((J260&gt;=3)*(1-(IF(K260="",-1,K260)&gt;=0)*(IF(K260="",-1,K260)&lt;=1))*(1-(IF(K260="",-1,K260)=0)),IF(C260="peso_corporal",IF(ISNUMBER(E260),E260,0)+I260,I260)*(30+J260)*100+I260,0)=AA260,2,IF(IF((G260&gt;=3)*(1-(IF(H260="",-1,H260)&gt;=0)*(IF(H260="",-1,H260)&lt;=1))*(1-(IF(H260="",-1,H260)=0)),IF(C260="peso_corporal",IF(ISNUMBER(E260),E260,0)+F260,F260)*(30+G260)*100+F260,0)=AA260,1,0))))))</f>
        <v>0</v>
      </c>
      <c r="AC260" s="69" t="str">
        <f>IF(X260&gt;0,"A"&amp;X260,IF(Z260&gt;0,"B"&amp;Z260,IF(AB260&gt;0,"C"&amp;AB260,"")))</f>
        <v/>
      </c>
    </row>
    <row r="261" spans="1:29" ht="15" customHeight="1">
      <c r="A261" s="83" t="s">
        <v>99</v>
      </c>
      <c r="B261" s="73"/>
      <c r="C261" s="73"/>
      <c r="D261" s="73"/>
      <c r="E261" s="73"/>
      <c r="F261" s="73"/>
      <c r="G261" s="73"/>
      <c r="H261" s="73"/>
      <c r="I261" s="73"/>
      <c r="J261" s="73"/>
      <c r="K261" s="73"/>
      <c r="L261" s="73"/>
      <c r="M261" s="73"/>
      <c r="N261" s="73"/>
      <c r="O261" s="73"/>
      <c r="P261" s="73"/>
      <c r="Q261" s="73"/>
      <c r="R261" s="73"/>
      <c r="S261" s="73"/>
      <c r="T261" s="73"/>
      <c r="U261" s="73"/>
      <c r="V261" s="73"/>
      <c r="W261" s="69"/>
      <c r="X261" s="69"/>
      <c r="Y261" s="69"/>
      <c r="Z261" s="69"/>
      <c r="AA261" s="69"/>
      <c r="AB261" s="69"/>
      <c r="AC261" s="69"/>
    </row>
    <row r="262" spans="1:29" ht="20.100000000000001" customHeight="1">
      <c r="A262" s="14" t="s">
        <v>100</v>
      </c>
      <c r="B262" s="15" t="s">
        <v>101</v>
      </c>
      <c r="C262" s="16" t="str">
        <f>IFERROR(INDEX(EJERCICIOS!$D$3:$D$75,MATCH(A262&amp;"|"&amp;B262,EJERCICIOS!$G$3:$G$75,0)),"--")</f>
        <v>mancuerna</v>
      </c>
      <c r="D262" s="17">
        <v>3</v>
      </c>
      <c r="E262" s="18">
        <f>IFERROR(LOOKUP(2,1/(MEDIDAS_Y_PESO!$B$3:$B$13&lt;&gt;""),MEDIDAS_Y_PESO!$B$3:$B$13),"--")</f>
        <v>80</v>
      </c>
      <c r="F262" s="19"/>
      <c r="G262" s="20"/>
      <c r="H262" s="21"/>
      <c r="I262" s="19"/>
      <c r="J262" s="20"/>
      <c r="K262" s="21"/>
      <c r="L262" s="19"/>
      <c r="M262" s="20"/>
      <c r="N262" s="21"/>
      <c r="O262" s="19"/>
      <c r="P262" s="20"/>
      <c r="Q262" s="21"/>
      <c r="R262" s="19"/>
      <c r="S262" s="20"/>
      <c r="T262" s="21"/>
      <c r="U262" s="22" t="str">
        <f>IFERROR(IF(IF(X262&gt;0,X262,IF(Z262&gt;0,Z262,IF(AB262&gt;0,AB262,0)))=0,"--",ROUND(CHOOSE(IF(X262&gt;0,X262,IF(Z262&gt;0,Z262,IF(AB262&gt;0,AB262,0))),IF(C262="peso_corporal",IF(ISNUMBER(E262),E262,0)+F262,F262)*(1+G262/30),IF(C262="peso_corporal",IF(ISNUMBER(E262),E262,0)+I262,I262)*(1+J262/30),IF(C262="peso_corporal",IF(ISNUMBER(E262),E262,0)+L262,L262)*(1+M262/30),IF(C262="peso_corporal",IF(ISNUMBER(E262),E262,0)+O262,O262)*(1+P262/30),IF(C262="peso_corporal",IF(ISNUMBER(E262),E262,0)+R262,R262)*(1+S262/30)),1)),"--")</f>
        <v>--</v>
      </c>
      <c r="V262" s="23" t="str">
        <f>IF(SUGERENCIAS!N690="SIN","Sin datos anteriores",IF(SUGERENCIAS!N690="SUBIR_F","^ SUBIR FUERTE | Kg:"&amp;ROUND(SUGERENCIAS!K690,1)&amp;" R:"&amp;ROUND(SUGERENCIAS!L690,0)&amp;" RIR:"&amp;ROUND(SUGERENCIAS!M690,0),IF(SUGERENCIAS!N690="SUBIR_E","^ SUBIR (Est.) | Kg:"&amp;ROUND(SUGERENCIAS!K690,1)&amp;" R:"&amp;ROUND(SUGERENCIAS!L690,0)&amp;" RIR:"&amp;ROUND(SUGERENCIAS!M690,0),IF(SUGERENCIAS!N690="SUBIR","^ SUBIR | Kg:"&amp;ROUND(SUGERENCIAS!K690,1)&amp;" R:"&amp;ROUND(SUGERENCIAS!L690,0)&amp;" RIR:"&amp;ROUND(SUGERENCIAS!M690,0),IF(SUGERENCIAS!N690="BAJAR","v BAJAR | Kg:"&amp;ROUND(SUGERENCIAS!K690,1)&amp;" R:"&amp;ROUND(SUGERENCIAS!L690,0)&amp;" RIR:"&amp;ROUND(SUGERENCIAS!M690,0),"= MANT | Kg:"&amp;ROUND(SUGERENCIAS!K690,1)&amp;" R:"&amp;ROUND(SUGERENCIAS!L690,0)&amp;" RIR:"&amp;ROUND(SUGERENCIAS!M690,0))))))</f>
        <v>Sin datos anteriores</v>
      </c>
      <c r="W262" s="69">
        <f>MAX(IF((G262&gt;0)*(IF(H262="",-1,H262)&gt;=0)*(IF(H262="",-1,H262)&lt;=1),IF(C262="peso_corporal",IF(ISNUMBER(E262),E262,0)+F262,F262)*G262*1000+F262,0),IF((J262&gt;0)*(IF(K262="",-1,K262)&gt;=0)*(IF(K262="",-1,K262)&lt;=1),IF(C262="peso_corporal",IF(ISNUMBER(E262),E262,0)+I262,I262)*J262*1000+I262,0),IF((M262&gt;0)*(IF(N262="",-1,N262)&gt;=0)*(IF(N262="",-1,N262)&lt;=1),IF(C262="peso_corporal",IF(ISNUMBER(E262),E262,0)+L262,L262)*M262*1000+L262,0),IF((P262&gt;0)*(IF(Q262="",-1,Q262)&gt;=0)*(IF(Q262="",-1,Q262)&lt;=1),IF(C262="peso_corporal",IF(ISNUMBER(E262),E262,0)+O262,O262)*P262*1000+O262,0),IF((S262&gt;0)*(IF(T262="",-1,T262)&gt;=0)*(IF(T262="",-1,T262)&lt;=1),IF(C262="peso_corporal",IF(ISNUMBER(E262),E262,0)+R262,R262)*S262*1000+R262,0))</f>
        <v>0</v>
      </c>
      <c r="X262" s="69">
        <f>IF(W262=0,0,IF(IF((S262&gt;0)*(IF(T262="",-1,T262)&gt;=0)*(IF(T262="",-1,T262)&lt;=1),IF(C262="peso_corporal",IF(ISNUMBER(E262),E262,0)+R262,R262)*S262*1000+R262,0)=W262,5,IF(IF((P262&gt;0)*(IF(Q262="",-1,Q262)&gt;=0)*(IF(Q262="",-1,Q262)&lt;=1),IF(C262="peso_corporal",IF(ISNUMBER(E262),E262,0)+O262,O262)*P262*1000+O262,0)=W262,4,IF(IF((M262&gt;0)*(IF(N262="",-1,N262)&gt;=0)*(IF(N262="",-1,N262)&lt;=1),IF(C262="peso_corporal",IF(ISNUMBER(E262),E262,0)+L262,L262)*M262*1000+L262,0)=W262,3,IF(IF((J262&gt;0)*(IF(K262="",-1,K262)&gt;=0)*(IF(K262="",-1,K262)&lt;=1),IF(C262="peso_corporal",IF(ISNUMBER(E262),E262,0)+I262,I262)*J262*1000+I262,0)=W262,2,IF(IF((G262&gt;0)*(IF(H262="",-1,H262)&gt;=0)*(IF(H262="",-1,H262)&lt;=1),IF(C262="peso_corporal",IF(ISNUMBER(E262),E262,0)+F262,F262)*G262*1000+F262,0)=W262,1,0))))))</f>
        <v>0</v>
      </c>
      <c r="Y262" s="69">
        <f>MAX(IF((G262&gt;0)*(IF(H262="",-1,H262)=0)*(1-(IF(H262="",-1,H262)&gt;=0)*(IF(H262="",-1,H262)&lt;=1)),IF(C262="peso_corporal",IF(ISNUMBER(E262),E262,0)+F262,F262)*G262*1000+F262,0),IF((J262&gt;0)*(IF(K262="",-1,K262)=0)*(1-(IF(K262="",-1,K262)&gt;=0)*(IF(K262="",-1,K262)&lt;=1)),IF(C262="peso_corporal",IF(ISNUMBER(E262),E262,0)+I262,I262)*J262*1000+I262,0),IF((M262&gt;0)*(IF(N262="",-1,N262)=0)*(1-(IF(N262="",-1,N262)&gt;=0)*(IF(N262="",-1,N262)&lt;=1)),IF(C262="peso_corporal",IF(ISNUMBER(E262),E262,0)+L262,L262)*M262*1000+L262,0),IF((P262&gt;0)*(IF(Q262="",-1,Q262)=0)*(1-(IF(Q262="",-1,Q262)&gt;=0)*(IF(Q262="",-1,Q262)&lt;=1)),IF(C262="peso_corporal",IF(ISNUMBER(E262),E262,0)+O262,O262)*P262*1000+O262,0),IF((S262&gt;0)*(IF(T262="",-1,T262)=0)*(1-(IF(T262="",-1,T262)&gt;=0)*(IF(T262="",-1,T262)&lt;=1)),IF(C262="peso_corporal",IF(ISNUMBER(E262),E262,0)+R262,R262)*S262*1000+R262,0))</f>
        <v>0</v>
      </c>
      <c r="Z262" s="69">
        <f>IF(Y262=0,0,IF(IF((S262&gt;0)*(IF(T262="",-1,T262)=0)*(1-(IF(T262="",-1,T262)&gt;=0)*(IF(T262="",-1,T262)&lt;=1)),IF(C262="peso_corporal",IF(ISNUMBER(E262),E262,0)+R262,R262)*S262*1000+R262,0)=Y262,5,IF(IF((P262&gt;0)*(IF(Q262="",-1,Q262)=0)*(1-(IF(Q262="",-1,Q262)&gt;=0)*(IF(Q262="",-1,Q262)&lt;=1)),IF(C262="peso_corporal",IF(ISNUMBER(E262),E262,0)+O262,O262)*P262*1000+O262,0)=Y262,4,IF(IF((M262&gt;0)*(IF(N262="",-1,N262)=0)*(1-(IF(N262="",-1,N262)&gt;=0)*(IF(N262="",-1,N262)&lt;=1)),IF(C262="peso_corporal",IF(ISNUMBER(E262),E262,0)+L262,L262)*M262*1000+L262,0)=Y262,3,IF(IF((J262&gt;0)*(IF(K262="",-1,K262)=0)*(1-(IF(K262="",-1,K262)&gt;=0)*(IF(K262="",-1,K262)&lt;=1)),IF(C262="peso_corporal",IF(ISNUMBER(E262),E262,0)+I262,I262)*J262*1000+I262,0)=Y262,2,IF(IF((G262&gt;0)*(IF(H262="",-1,H262)=0)*(1-(IF(H262="",-1,H262)&gt;=0)*(IF(H262="",-1,H262)&lt;=1)),IF(C262="peso_corporal",IF(ISNUMBER(E262),E262,0)+F262,F262)*G262*1000+F262,0)=Y262,1,0))))))</f>
        <v>0</v>
      </c>
      <c r="AA262" s="69">
        <f>MAX(IF((G262&gt;=3)*(1-(IF(H262="",-1,H262)&gt;=0)*(IF(H262="",-1,H262)&lt;=1))*(1-(IF(H262="",-1,H262)=0)),IF(C262="peso_corporal",IF(ISNUMBER(E262),E262,0)+F262,F262)*(30+G262)*100+F262,0),IF((J262&gt;=3)*(1-(IF(K262="",-1,K262)&gt;=0)*(IF(K262="",-1,K262)&lt;=1))*(1-(IF(K262="",-1,K262)=0)),IF(C262="peso_corporal",IF(ISNUMBER(E262),E262,0)+I262,I262)*(30+J262)*100+I262,0),IF((M262&gt;=3)*(1-(IF(N262="",-1,N262)&gt;=0)*(IF(N262="",-1,N262)&lt;=1))*(1-(IF(N262="",-1,N262)=0)),IF(C262="peso_corporal",IF(ISNUMBER(E262),E262,0)+L262,L262)*(30+M262)*100+L262,0),IF((P262&gt;=3)*(1-(IF(Q262="",-1,Q262)&gt;=0)*(IF(Q262="",-1,Q262)&lt;=1))*(1-(IF(Q262="",-1,Q262)=0)),IF(C262="peso_corporal",IF(ISNUMBER(E262),E262,0)+O262,O262)*(30+P262)*100+O262,0),IF((S262&gt;=3)*(1-(IF(T262="",-1,T262)&gt;=0)*(IF(T262="",-1,T262)&lt;=1))*(1-(IF(T262="",-1,T262)=0)),IF(C262="peso_corporal",IF(ISNUMBER(E262),E262,0)+R262,R262)*(30+S262)*100+R262,0))</f>
        <v>0</v>
      </c>
      <c r="AB262" s="69">
        <f>IF(AA262=0,0,IF(IF((S262&gt;=3)*(1-(IF(T262="",-1,T262)&gt;=0)*(IF(T262="",-1,T262)&lt;=1))*(1-(IF(T262="",-1,T262)=0)),IF(C262="peso_corporal",IF(ISNUMBER(E262),E262,0)+R262,R262)*(30+S262)*100+R262,0)=AA262,5,IF(IF((P262&gt;=3)*(1-(IF(Q262="",-1,Q262)&gt;=0)*(IF(Q262="",-1,Q262)&lt;=1))*(1-(IF(Q262="",-1,Q262)=0)),IF(C262="peso_corporal",IF(ISNUMBER(E262),E262,0)+O262,O262)*(30+P262)*100+O262,0)=AA262,4,IF(IF((M262&gt;=3)*(1-(IF(N262="",-1,N262)&gt;=0)*(IF(N262="",-1,N262)&lt;=1))*(1-(IF(N262="",-1,N262)=0)),IF(C262="peso_corporal",IF(ISNUMBER(E262),E262,0)+L262,L262)*(30+M262)*100+L262,0)=AA262,3,IF(IF((J262&gt;=3)*(1-(IF(K262="",-1,K262)&gt;=0)*(IF(K262="",-1,K262)&lt;=1))*(1-(IF(K262="",-1,K262)=0)),IF(C262="peso_corporal",IF(ISNUMBER(E262),E262,0)+I262,I262)*(30+J262)*100+I262,0)=AA262,2,IF(IF((G262&gt;=3)*(1-(IF(H262="",-1,H262)&gt;=0)*(IF(H262="",-1,H262)&lt;=1))*(1-(IF(H262="",-1,H262)=0)),IF(C262="peso_corporal",IF(ISNUMBER(E262),E262,0)+F262,F262)*(30+G262)*100+F262,0)=AA262,1,0))))))</f>
        <v>0</v>
      </c>
      <c r="AC262" s="69" t="str">
        <f>IF(X262&gt;0,"A"&amp;X262,IF(Z262&gt;0,"B"&amp;Z262,IF(AB262&gt;0,"C"&amp;AB262,"")))</f>
        <v/>
      </c>
    </row>
    <row r="263" spans="1:29" ht="20.100000000000001" customHeight="1">
      <c r="A263" s="14" t="s">
        <v>100</v>
      </c>
      <c r="B263" s="15" t="s">
        <v>102</v>
      </c>
      <c r="C263" s="16" t="str">
        <f>IFERROR(INDEX(EJERCICIOS!$D$3:$D$75,MATCH(A263&amp;"|"&amp;B263,EJERCICIOS!$G$3:$G$75,0)),"--")</f>
        <v>mancuerna</v>
      </c>
      <c r="D263" s="17">
        <v>3</v>
      </c>
      <c r="E263" s="18">
        <f>IFERROR(LOOKUP(2,1/(MEDIDAS_Y_PESO!$B$3:$B$13&lt;&gt;""),MEDIDAS_Y_PESO!$B$3:$B$13),"--")</f>
        <v>80</v>
      </c>
      <c r="F263" s="19"/>
      <c r="G263" s="20"/>
      <c r="H263" s="21"/>
      <c r="I263" s="19"/>
      <c r="J263" s="20"/>
      <c r="K263" s="21"/>
      <c r="L263" s="19"/>
      <c r="M263" s="20"/>
      <c r="N263" s="21"/>
      <c r="O263" s="19"/>
      <c r="P263" s="20"/>
      <c r="Q263" s="21"/>
      <c r="R263" s="19"/>
      <c r="S263" s="20"/>
      <c r="T263" s="21"/>
      <c r="U263" s="22" t="str">
        <f>IFERROR(IF(IF(X263&gt;0,X263,IF(Z263&gt;0,Z263,IF(AB263&gt;0,AB263,0)))=0,"--",ROUND(CHOOSE(IF(X263&gt;0,X263,IF(Z263&gt;0,Z263,IF(AB263&gt;0,AB263,0))),IF(C263="peso_corporal",IF(ISNUMBER(E263),E263,0)+F263,F263)*(1+G263/30),IF(C263="peso_corporal",IF(ISNUMBER(E263),E263,0)+I263,I263)*(1+J263/30),IF(C263="peso_corporal",IF(ISNUMBER(E263),E263,0)+L263,L263)*(1+M263/30),IF(C263="peso_corporal",IF(ISNUMBER(E263),E263,0)+O263,O263)*(1+P263/30),IF(C263="peso_corporal",IF(ISNUMBER(E263),E263,0)+R263,R263)*(1+S263/30)),1)),"--")</f>
        <v>--</v>
      </c>
      <c r="V263" s="23" t="str">
        <f>IF(SUGERENCIAS!N691="SIN","Sin datos anteriores",IF(SUGERENCIAS!N691="SUBIR_F","^ SUBIR FUERTE | Kg:"&amp;ROUND(SUGERENCIAS!K691,1)&amp;" R:"&amp;ROUND(SUGERENCIAS!L691,0)&amp;" RIR:"&amp;ROUND(SUGERENCIAS!M691,0),IF(SUGERENCIAS!N691="SUBIR_E","^ SUBIR (Est.) | Kg:"&amp;ROUND(SUGERENCIAS!K691,1)&amp;" R:"&amp;ROUND(SUGERENCIAS!L691,0)&amp;" RIR:"&amp;ROUND(SUGERENCIAS!M691,0),IF(SUGERENCIAS!N691="SUBIR","^ SUBIR | Kg:"&amp;ROUND(SUGERENCIAS!K691,1)&amp;" R:"&amp;ROUND(SUGERENCIAS!L691,0)&amp;" RIR:"&amp;ROUND(SUGERENCIAS!M691,0),IF(SUGERENCIAS!N691="BAJAR","v BAJAR | Kg:"&amp;ROUND(SUGERENCIAS!K691,1)&amp;" R:"&amp;ROUND(SUGERENCIAS!L691,0)&amp;" RIR:"&amp;ROUND(SUGERENCIAS!M691,0),"= MANT | Kg:"&amp;ROUND(SUGERENCIAS!K691,1)&amp;" R:"&amp;ROUND(SUGERENCIAS!L691,0)&amp;" RIR:"&amp;ROUND(SUGERENCIAS!M691,0))))))</f>
        <v>Sin datos anteriores</v>
      </c>
      <c r="W263" s="69">
        <f>MAX(IF((G263&gt;0)*(IF(H263="",-1,H263)&gt;=0)*(IF(H263="",-1,H263)&lt;=1),IF(C263="peso_corporal",IF(ISNUMBER(E263),E263,0)+F263,F263)*G263*1000+F263,0),IF((J263&gt;0)*(IF(K263="",-1,K263)&gt;=0)*(IF(K263="",-1,K263)&lt;=1),IF(C263="peso_corporal",IF(ISNUMBER(E263),E263,0)+I263,I263)*J263*1000+I263,0),IF((M263&gt;0)*(IF(N263="",-1,N263)&gt;=0)*(IF(N263="",-1,N263)&lt;=1),IF(C263="peso_corporal",IF(ISNUMBER(E263),E263,0)+L263,L263)*M263*1000+L263,0),IF((P263&gt;0)*(IF(Q263="",-1,Q263)&gt;=0)*(IF(Q263="",-1,Q263)&lt;=1),IF(C263="peso_corporal",IF(ISNUMBER(E263),E263,0)+O263,O263)*P263*1000+O263,0),IF((S263&gt;0)*(IF(T263="",-1,T263)&gt;=0)*(IF(T263="",-1,T263)&lt;=1),IF(C263="peso_corporal",IF(ISNUMBER(E263),E263,0)+R263,R263)*S263*1000+R263,0))</f>
        <v>0</v>
      </c>
      <c r="X263" s="69">
        <f>IF(W263=0,0,IF(IF((S263&gt;0)*(IF(T263="",-1,T263)&gt;=0)*(IF(T263="",-1,T263)&lt;=1),IF(C263="peso_corporal",IF(ISNUMBER(E263),E263,0)+R263,R263)*S263*1000+R263,0)=W263,5,IF(IF((P263&gt;0)*(IF(Q263="",-1,Q263)&gt;=0)*(IF(Q263="",-1,Q263)&lt;=1),IF(C263="peso_corporal",IF(ISNUMBER(E263),E263,0)+O263,O263)*P263*1000+O263,0)=W263,4,IF(IF((M263&gt;0)*(IF(N263="",-1,N263)&gt;=0)*(IF(N263="",-1,N263)&lt;=1),IF(C263="peso_corporal",IF(ISNUMBER(E263),E263,0)+L263,L263)*M263*1000+L263,0)=W263,3,IF(IF((J263&gt;0)*(IF(K263="",-1,K263)&gt;=0)*(IF(K263="",-1,K263)&lt;=1),IF(C263="peso_corporal",IF(ISNUMBER(E263),E263,0)+I263,I263)*J263*1000+I263,0)=W263,2,IF(IF((G263&gt;0)*(IF(H263="",-1,H263)&gt;=0)*(IF(H263="",-1,H263)&lt;=1),IF(C263="peso_corporal",IF(ISNUMBER(E263),E263,0)+F263,F263)*G263*1000+F263,0)=W263,1,0))))))</f>
        <v>0</v>
      </c>
      <c r="Y263" s="69">
        <f>MAX(IF((G263&gt;0)*(IF(H263="",-1,H263)=0)*(1-(IF(H263="",-1,H263)&gt;=0)*(IF(H263="",-1,H263)&lt;=1)),IF(C263="peso_corporal",IF(ISNUMBER(E263),E263,0)+F263,F263)*G263*1000+F263,0),IF((J263&gt;0)*(IF(K263="",-1,K263)=0)*(1-(IF(K263="",-1,K263)&gt;=0)*(IF(K263="",-1,K263)&lt;=1)),IF(C263="peso_corporal",IF(ISNUMBER(E263),E263,0)+I263,I263)*J263*1000+I263,0),IF((M263&gt;0)*(IF(N263="",-1,N263)=0)*(1-(IF(N263="",-1,N263)&gt;=0)*(IF(N263="",-1,N263)&lt;=1)),IF(C263="peso_corporal",IF(ISNUMBER(E263),E263,0)+L263,L263)*M263*1000+L263,0),IF((P263&gt;0)*(IF(Q263="",-1,Q263)=0)*(1-(IF(Q263="",-1,Q263)&gt;=0)*(IF(Q263="",-1,Q263)&lt;=1)),IF(C263="peso_corporal",IF(ISNUMBER(E263),E263,0)+O263,O263)*P263*1000+O263,0),IF((S263&gt;0)*(IF(T263="",-1,T263)=0)*(1-(IF(T263="",-1,T263)&gt;=0)*(IF(T263="",-1,T263)&lt;=1)),IF(C263="peso_corporal",IF(ISNUMBER(E263),E263,0)+R263,R263)*S263*1000+R263,0))</f>
        <v>0</v>
      </c>
      <c r="Z263" s="69">
        <f>IF(Y263=0,0,IF(IF((S263&gt;0)*(IF(T263="",-1,T263)=0)*(1-(IF(T263="",-1,T263)&gt;=0)*(IF(T263="",-1,T263)&lt;=1)),IF(C263="peso_corporal",IF(ISNUMBER(E263),E263,0)+R263,R263)*S263*1000+R263,0)=Y263,5,IF(IF((P263&gt;0)*(IF(Q263="",-1,Q263)=0)*(1-(IF(Q263="",-1,Q263)&gt;=0)*(IF(Q263="",-1,Q263)&lt;=1)),IF(C263="peso_corporal",IF(ISNUMBER(E263),E263,0)+O263,O263)*P263*1000+O263,0)=Y263,4,IF(IF((M263&gt;0)*(IF(N263="",-1,N263)=0)*(1-(IF(N263="",-1,N263)&gt;=0)*(IF(N263="",-1,N263)&lt;=1)),IF(C263="peso_corporal",IF(ISNUMBER(E263),E263,0)+L263,L263)*M263*1000+L263,0)=Y263,3,IF(IF((J263&gt;0)*(IF(K263="",-1,K263)=0)*(1-(IF(K263="",-1,K263)&gt;=0)*(IF(K263="",-1,K263)&lt;=1)),IF(C263="peso_corporal",IF(ISNUMBER(E263),E263,0)+I263,I263)*J263*1000+I263,0)=Y263,2,IF(IF((G263&gt;0)*(IF(H263="",-1,H263)=0)*(1-(IF(H263="",-1,H263)&gt;=0)*(IF(H263="",-1,H263)&lt;=1)),IF(C263="peso_corporal",IF(ISNUMBER(E263),E263,0)+F263,F263)*G263*1000+F263,0)=Y263,1,0))))))</f>
        <v>0</v>
      </c>
      <c r="AA263" s="69">
        <f>MAX(IF((G263&gt;=3)*(1-(IF(H263="",-1,H263)&gt;=0)*(IF(H263="",-1,H263)&lt;=1))*(1-(IF(H263="",-1,H263)=0)),IF(C263="peso_corporal",IF(ISNUMBER(E263),E263,0)+F263,F263)*(30+G263)*100+F263,0),IF((J263&gt;=3)*(1-(IF(K263="",-1,K263)&gt;=0)*(IF(K263="",-1,K263)&lt;=1))*(1-(IF(K263="",-1,K263)=0)),IF(C263="peso_corporal",IF(ISNUMBER(E263),E263,0)+I263,I263)*(30+J263)*100+I263,0),IF((M263&gt;=3)*(1-(IF(N263="",-1,N263)&gt;=0)*(IF(N263="",-1,N263)&lt;=1))*(1-(IF(N263="",-1,N263)=0)),IF(C263="peso_corporal",IF(ISNUMBER(E263),E263,0)+L263,L263)*(30+M263)*100+L263,0),IF((P263&gt;=3)*(1-(IF(Q263="",-1,Q263)&gt;=0)*(IF(Q263="",-1,Q263)&lt;=1))*(1-(IF(Q263="",-1,Q263)=0)),IF(C263="peso_corporal",IF(ISNUMBER(E263),E263,0)+O263,O263)*(30+P263)*100+O263,0),IF((S263&gt;=3)*(1-(IF(T263="",-1,T263)&gt;=0)*(IF(T263="",-1,T263)&lt;=1))*(1-(IF(T263="",-1,T263)=0)),IF(C263="peso_corporal",IF(ISNUMBER(E263),E263,0)+R263,R263)*(30+S263)*100+R263,0))</f>
        <v>0</v>
      </c>
      <c r="AB263" s="69">
        <f>IF(AA263=0,0,IF(IF((S263&gt;=3)*(1-(IF(T263="",-1,T263)&gt;=0)*(IF(T263="",-1,T263)&lt;=1))*(1-(IF(T263="",-1,T263)=0)),IF(C263="peso_corporal",IF(ISNUMBER(E263),E263,0)+R263,R263)*(30+S263)*100+R263,0)=AA263,5,IF(IF((P263&gt;=3)*(1-(IF(Q263="",-1,Q263)&gt;=0)*(IF(Q263="",-1,Q263)&lt;=1))*(1-(IF(Q263="",-1,Q263)=0)),IF(C263="peso_corporal",IF(ISNUMBER(E263),E263,0)+O263,O263)*(30+P263)*100+O263,0)=AA263,4,IF(IF((M263&gt;=3)*(1-(IF(N263="",-1,N263)&gt;=0)*(IF(N263="",-1,N263)&lt;=1))*(1-(IF(N263="",-1,N263)=0)),IF(C263="peso_corporal",IF(ISNUMBER(E263),E263,0)+L263,L263)*(30+M263)*100+L263,0)=AA263,3,IF(IF((J263&gt;=3)*(1-(IF(K263="",-1,K263)&gt;=0)*(IF(K263="",-1,K263)&lt;=1))*(1-(IF(K263="",-1,K263)=0)),IF(C263="peso_corporal",IF(ISNUMBER(E263),E263,0)+I263,I263)*(30+J263)*100+I263,0)=AA263,2,IF(IF((G263&gt;=3)*(1-(IF(H263="",-1,H263)&gt;=0)*(IF(H263="",-1,H263)&lt;=1))*(1-(IF(H263="",-1,H263)=0)),IF(C263="peso_corporal",IF(ISNUMBER(E263),E263,0)+F263,F263)*(30+G263)*100+F263,0)=AA263,1,0))))))</f>
        <v>0</v>
      </c>
      <c r="AC263" s="69" t="str">
        <f>IF(X263&gt;0,"A"&amp;X263,IF(Z263&gt;0,"B"&amp;Z263,IF(AB263&gt;0,"C"&amp;AB263,"")))</f>
        <v/>
      </c>
    </row>
    <row r="264" spans="1:29" ht="15" customHeight="1">
      <c r="A264" s="81" t="s">
        <v>42</v>
      </c>
      <c r="B264" s="73"/>
      <c r="C264" s="73"/>
      <c r="D264" s="73"/>
      <c r="E264" s="73"/>
      <c r="F264" s="73"/>
      <c r="G264" s="73"/>
      <c r="H264" s="73"/>
      <c r="I264" s="73"/>
      <c r="J264" s="73"/>
      <c r="K264" s="73"/>
      <c r="L264" s="73"/>
      <c r="M264" s="73"/>
      <c r="N264" s="73"/>
      <c r="O264" s="73"/>
      <c r="P264" s="73"/>
      <c r="Q264" s="73"/>
      <c r="R264" s="73"/>
      <c r="S264" s="73"/>
      <c r="T264" s="73"/>
      <c r="U264" s="73"/>
      <c r="V264" s="73"/>
      <c r="W264" s="69"/>
      <c r="X264" s="69"/>
      <c r="Y264" s="69"/>
      <c r="Z264" s="69"/>
      <c r="AA264" s="69"/>
      <c r="AB264" s="69"/>
      <c r="AC264" s="69"/>
    </row>
    <row r="265" spans="1:29" ht="20.100000000000001" customHeight="1">
      <c r="A265" s="14" t="s">
        <v>43</v>
      </c>
      <c r="B265" s="15" t="s">
        <v>44</v>
      </c>
      <c r="C265" s="16" t="str">
        <f>IFERROR(INDEX(EJERCICIOS!$D$3:$D$75,MATCH(A265&amp;"|"&amp;B265,EJERCICIOS!$G$3:$G$75,0)),"--")</f>
        <v>polea</v>
      </c>
      <c r="D265" s="17">
        <v>3</v>
      </c>
      <c r="E265" s="18">
        <f>IFERROR(LOOKUP(2,1/(MEDIDAS_Y_PESO!$B$3:$B$13&lt;&gt;""),MEDIDAS_Y_PESO!$B$3:$B$13),"--")</f>
        <v>80</v>
      </c>
      <c r="F265" s="19"/>
      <c r="G265" s="20"/>
      <c r="H265" s="21"/>
      <c r="I265" s="19"/>
      <c r="J265" s="20"/>
      <c r="K265" s="21"/>
      <c r="L265" s="19"/>
      <c r="M265" s="20"/>
      <c r="N265" s="21"/>
      <c r="O265" s="19"/>
      <c r="P265" s="20"/>
      <c r="Q265" s="21"/>
      <c r="R265" s="19"/>
      <c r="S265" s="20"/>
      <c r="T265" s="21"/>
      <c r="U265" s="22" t="str">
        <f>IFERROR(IF(IF(X265&gt;0,X265,IF(Z265&gt;0,Z265,IF(AB265&gt;0,AB265,0)))=0,"--",ROUND(CHOOSE(IF(X265&gt;0,X265,IF(Z265&gt;0,Z265,IF(AB265&gt;0,AB265,0))),IF(C265="peso_corporal",IF(ISNUMBER(E265),E265,0)+F265,F265)*(1+G265/30),IF(C265="peso_corporal",IF(ISNUMBER(E265),E265,0)+I265,I265)*(1+J265/30),IF(C265="peso_corporal",IF(ISNUMBER(E265),E265,0)+L265,L265)*(1+M265/30),IF(C265="peso_corporal",IF(ISNUMBER(E265),E265,0)+O265,O265)*(1+P265/30),IF(C265="peso_corporal",IF(ISNUMBER(E265),E265,0)+R265,R265)*(1+S265/30)),1)),"--")</f>
        <v>--</v>
      </c>
      <c r="V265" s="23" t="str">
        <f>IF(SUGERENCIAS!N692="SIN","Sin datos anteriores",IF(SUGERENCIAS!N692="SUBIR_F","^ SUBIR FUERTE | Kg:"&amp;ROUND(SUGERENCIAS!K692,1)&amp;" R:"&amp;ROUND(SUGERENCIAS!L692,0)&amp;" RIR:"&amp;ROUND(SUGERENCIAS!M692,0),IF(SUGERENCIAS!N692="SUBIR_E","^ SUBIR (Est.) | Kg:"&amp;ROUND(SUGERENCIAS!K692,1)&amp;" R:"&amp;ROUND(SUGERENCIAS!L692,0)&amp;" RIR:"&amp;ROUND(SUGERENCIAS!M692,0),IF(SUGERENCIAS!N692="SUBIR","^ SUBIR | Kg:"&amp;ROUND(SUGERENCIAS!K692,1)&amp;" R:"&amp;ROUND(SUGERENCIAS!L692,0)&amp;" RIR:"&amp;ROUND(SUGERENCIAS!M692,0),IF(SUGERENCIAS!N692="BAJAR","v BAJAR | Kg:"&amp;ROUND(SUGERENCIAS!K692,1)&amp;" R:"&amp;ROUND(SUGERENCIAS!L692,0)&amp;" RIR:"&amp;ROUND(SUGERENCIAS!M692,0),"= MANT | Kg:"&amp;ROUND(SUGERENCIAS!K692,1)&amp;" R:"&amp;ROUND(SUGERENCIAS!L692,0)&amp;" RIR:"&amp;ROUND(SUGERENCIAS!M692,0))))))</f>
        <v>Sin datos anteriores</v>
      </c>
      <c r="W265" s="69">
        <f>MAX(IF((G265&gt;0)*(IF(H265="",-1,H265)&gt;=0)*(IF(H265="",-1,H265)&lt;=1),IF(C265="peso_corporal",IF(ISNUMBER(E265),E265,0)+F265,F265)*G265*1000+F265,0),IF((J265&gt;0)*(IF(K265="",-1,K265)&gt;=0)*(IF(K265="",-1,K265)&lt;=1),IF(C265="peso_corporal",IF(ISNUMBER(E265),E265,0)+I265,I265)*J265*1000+I265,0),IF((M265&gt;0)*(IF(N265="",-1,N265)&gt;=0)*(IF(N265="",-1,N265)&lt;=1),IF(C265="peso_corporal",IF(ISNUMBER(E265),E265,0)+L265,L265)*M265*1000+L265,0),IF((P265&gt;0)*(IF(Q265="",-1,Q265)&gt;=0)*(IF(Q265="",-1,Q265)&lt;=1),IF(C265="peso_corporal",IF(ISNUMBER(E265),E265,0)+O265,O265)*P265*1000+O265,0),IF((S265&gt;0)*(IF(T265="",-1,T265)&gt;=0)*(IF(T265="",-1,T265)&lt;=1),IF(C265="peso_corporal",IF(ISNUMBER(E265),E265,0)+R265,R265)*S265*1000+R265,0))</f>
        <v>0</v>
      </c>
      <c r="X265" s="69">
        <f>IF(W265=0,0,IF(IF((S265&gt;0)*(IF(T265="",-1,T265)&gt;=0)*(IF(T265="",-1,T265)&lt;=1),IF(C265="peso_corporal",IF(ISNUMBER(E265),E265,0)+R265,R265)*S265*1000+R265,0)=W265,5,IF(IF((P265&gt;0)*(IF(Q265="",-1,Q265)&gt;=0)*(IF(Q265="",-1,Q265)&lt;=1),IF(C265="peso_corporal",IF(ISNUMBER(E265),E265,0)+O265,O265)*P265*1000+O265,0)=W265,4,IF(IF((M265&gt;0)*(IF(N265="",-1,N265)&gt;=0)*(IF(N265="",-1,N265)&lt;=1),IF(C265="peso_corporal",IF(ISNUMBER(E265),E265,0)+L265,L265)*M265*1000+L265,0)=W265,3,IF(IF((J265&gt;0)*(IF(K265="",-1,K265)&gt;=0)*(IF(K265="",-1,K265)&lt;=1),IF(C265="peso_corporal",IF(ISNUMBER(E265),E265,0)+I265,I265)*J265*1000+I265,0)=W265,2,IF(IF((G265&gt;0)*(IF(H265="",-1,H265)&gt;=0)*(IF(H265="",-1,H265)&lt;=1),IF(C265="peso_corporal",IF(ISNUMBER(E265),E265,0)+F265,F265)*G265*1000+F265,0)=W265,1,0))))))</f>
        <v>0</v>
      </c>
      <c r="Y265" s="69">
        <f>MAX(IF((G265&gt;0)*(IF(H265="",-1,H265)=0)*(1-(IF(H265="",-1,H265)&gt;=0)*(IF(H265="",-1,H265)&lt;=1)),IF(C265="peso_corporal",IF(ISNUMBER(E265),E265,0)+F265,F265)*G265*1000+F265,0),IF((J265&gt;0)*(IF(K265="",-1,K265)=0)*(1-(IF(K265="",-1,K265)&gt;=0)*(IF(K265="",-1,K265)&lt;=1)),IF(C265="peso_corporal",IF(ISNUMBER(E265),E265,0)+I265,I265)*J265*1000+I265,0),IF((M265&gt;0)*(IF(N265="",-1,N265)=0)*(1-(IF(N265="",-1,N265)&gt;=0)*(IF(N265="",-1,N265)&lt;=1)),IF(C265="peso_corporal",IF(ISNUMBER(E265),E265,0)+L265,L265)*M265*1000+L265,0),IF((P265&gt;0)*(IF(Q265="",-1,Q265)=0)*(1-(IF(Q265="",-1,Q265)&gt;=0)*(IF(Q265="",-1,Q265)&lt;=1)),IF(C265="peso_corporal",IF(ISNUMBER(E265),E265,0)+O265,O265)*P265*1000+O265,0),IF((S265&gt;0)*(IF(T265="",-1,T265)=0)*(1-(IF(T265="",-1,T265)&gt;=0)*(IF(T265="",-1,T265)&lt;=1)),IF(C265="peso_corporal",IF(ISNUMBER(E265),E265,0)+R265,R265)*S265*1000+R265,0))</f>
        <v>0</v>
      </c>
      <c r="Z265" s="69">
        <f>IF(Y265=0,0,IF(IF((S265&gt;0)*(IF(T265="",-1,T265)=0)*(1-(IF(T265="",-1,T265)&gt;=0)*(IF(T265="",-1,T265)&lt;=1)),IF(C265="peso_corporal",IF(ISNUMBER(E265),E265,0)+R265,R265)*S265*1000+R265,0)=Y265,5,IF(IF((P265&gt;0)*(IF(Q265="",-1,Q265)=0)*(1-(IF(Q265="",-1,Q265)&gt;=0)*(IF(Q265="",-1,Q265)&lt;=1)),IF(C265="peso_corporal",IF(ISNUMBER(E265),E265,0)+O265,O265)*P265*1000+O265,0)=Y265,4,IF(IF((M265&gt;0)*(IF(N265="",-1,N265)=0)*(1-(IF(N265="",-1,N265)&gt;=0)*(IF(N265="",-1,N265)&lt;=1)),IF(C265="peso_corporal",IF(ISNUMBER(E265),E265,0)+L265,L265)*M265*1000+L265,0)=Y265,3,IF(IF((J265&gt;0)*(IF(K265="",-1,K265)=0)*(1-(IF(K265="",-1,K265)&gt;=0)*(IF(K265="",-1,K265)&lt;=1)),IF(C265="peso_corporal",IF(ISNUMBER(E265),E265,0)+I265,I265)*J265*1000+I265,0)=Y265,2,IF(IF((G265&gt;0)*(IF(H265="",-1,H265)=0)*(1-(IF(H265="",-1,H265)&gt;=0)*(IF(H265="",-1,H265)&lt;=1)),IF(C265="peso_corporal",IF(ISNUMBER(E265),E265,0)+F265,F265)*G265*1000+F265,0)=Y265,1,0))))))</f>
        <v>0</v>
      </c>
      <c r="AA265" s="69">
        <f>MAX(IF((G265&gt;=3)*(1-(IF(H265="",-1,H265)&gt;=0)*(IF(H265="",-1,H265)&lt;=1))*(1-(IF(H265="",-1,H265)=0)),IF(C265="peso_corporal",IF(ISNUMBER(E265),E265,0)+F265,F265)*(30+G265)*100+F265,0),IF((J265&gt;=3)*(1-(IF(K265="",-1,K265)&gt;=0)*(IF(K265="",-1,K265)&lt;=1))*(1-(IF(K265="",-1,K265)=0)),IF(C265="peso_corporal",IF(ISNUMBER(E265),E265,0)+I265,I265)*(30+J265)*100+I265,0),IF((M265&gt;=3)*(1-(IF(N265="",-1,N265)&gt;=0)*(IF(N265="",-1,N265)&lt;=1))*(1-(IF(N265="",-1,N265)=0)),IF(C265="peso_corporal",IF(ISNUMBER(E265),E265,0)+L265,L265)*(30+M265)*100+L265,0),IF((P265&gt;=3)*(1-(IF(Q265="",-1,Q265)&gt;=0)*(IF(Q265="",-1,Q265)&lt;=1))*(1-(IF(Q265="",-1,Q265)=0)),IF(C265="peso_corporal",IF(ISNUMBER(E265),E265,0)+O265,O265)*(30+P265)*100+O265,0),IF((S265&gt;=3)*(1-(IF(T265="",-1,T265)&gt;=0)*(IF(T265="",-1,T265)&lt;=1))*(1-(IF(T265="",-1,T265)=0)),IF(C265="peso_corporal",IF(ISNUMBER(E265),E265,0)+R265,R265)*(30+S265)*100+R265,0))</f>
        <v>0</v>
      </c>
      <c r="AB265" s="69">
        <f>IF(AA265=0,0,IF(IF((S265&gt;=3)*(1-(IF(T265="",-1,T265)&gt;=0)*(IF(T265="",-1,T265)&lt;=1))*(1-(IF(T265="",-1,T265)=0)),IF(C265="peso_corporal",IF(ISNUMBER(E265),E265,0)+R265,R265)*(30+S265)*100+R265,0)=AA265,5,IF(IF((P265&gt;=3)*(1-(IF(Q265="",-1,Q265)&gt;=0)*(IF(Q265="",-1,Q265)&lt;=1))*(1-(IF(Q265="",-1,Q265)=0)),IF(C265="peso_corporal",IF(ISNUMBER(E265),E265,0)+O265,O265)*(30+P265)*100+O265,0)=AA265,4,IF(IF((M265&gt;=3)*(1-(IF(N265="",-1,N265)&gt;=0)*(IF(N265="",-1,N265)&lt;=1))*(1-(IF(N265="",-1,N265)=0)),IF(C265="peso_corporal",IF(ISNUMBER(E265),E265,0)+L265,L265)*(30+M265)*100+L265,0)=AA265,3,IF(IF((J265&gt;=3)*(1-(IF(K265="",-1,K265)&gt;=0)*(IF(K265="",-1,K265)&lt;=1))*(1-(IF(K265="",-1,K265)=0)),IF(C265="peso_corporal",IF(ISNUMBER(E265),E265,0)+I265,I265)*(30+J265)*100+I265,0)=AA265,2,IF(IF((G265&gt;=3)*(1-(IF(H265="",-1,H265)&gt;=0)*(IF(H265="",-1,H265)&lt;=1))*(1-(IF(H265="",-1,H265)=0)),IF(C265="peso_corporal",IF(ISNUMBER(E265),E265,0)+F265,F265)*(30+G265)*100+F265,0)=AA265,1,0))))))</f>
        <v>0</v>
      </c>
      <c r="AC265" s="69" t="str">
        <f>IF(X265&gt;0,"A"&amp;X265,IF(Z265&gt;0,"B"&amp;Z265,IF(AB265&gt;0,"C"&amp;AB265,"")))</f>
        <v/>
      </c>
    </row>
    <row r="266" spans="1:29" ht="15" customHeight="1">
      <c r="A266" s="81" t="s">
        <v>174</v>
      </c>
      <c r="B266" s="73"/>
      <c r="C266" s="73"/>
      <c r="D266" s="73"/>
      <c r="E266" s="73"/>
      <c r="F266" s="73"/>
      <c r="G266" s="73"/>
      <c r="H266" s="73"/>
      <c r="I266" s="73"/>
      <c r="J266" s="73"/>
      <c r="K266" s="73"/>
      <c r="L266" s="73"/>
      <c r="M266" s="73"/>
      <c r="N266" s="73"/>
      <c r="O266" s="73"/>
      <c r="P266" s="73"/>
      <c r="Q266" s="73"/>
      <c r="R266" s="73"/>
      <c r="S266" s="73"/>
      <c r="T266" s="73"/>
      <c r="U266" s="73"/>
      <c r="V266" s="73"/>
      <c r="W266" s="69"/>
      <c r="X266" s="69"/>
      <c r="Y266" s="69"/>
      <c r="Z266" s="69"/>
      <c r="AA266" s="69"/>
      <c r="AB266" s="69"/>
      <c r="AC266" s="69"/>
    </row>
    <row r="267" spans="1:29" ht="20.100000000000001" customHeight="1">
      <c r="A267" s="14" t="s">
        <v>175</v>
      </c>
      <c r="B267" s="15" t="s">
        <v>176</v>
      </c>
      <c r="C267" s="16" t="str">
        <f>IFERROR(INDEX(EJERCICIOS!$D$3:$D$75,MATCH(A267&amp;"|"&amp;B267,EJERCICIOS!$G$3:$G$75,0)),"--")</f>
        <v>mancuerna</v>
      </c>
      <c r="D267" s="17">
        <v>3</v>
      </c>
      <c r="E267" s="18">
        <f>IFERROR(LOOKUP(2,1/(MEDIDAS_Y_PESO!$B$3:$B$13&lt;&gt;""),MEDIDAS_Y_PESO!$B$3:$B$13),"--")</f>
        <v>80</v>
      </c>
      <c r="F267" s="19"/>
      <c r="G267" s="20"/>
      <c r="H267" s="21"/>
      <c r="I267" s="19"/>
      <c r="J267" s="20"/>
      <c r="K267" s="21"/>
      <c r="L267" s="19"/>
      <c r="M267" s="20"/>
      <c r="N267" s="21"/>
      <c r="O267" s="19"/>
      <c r="P267" s="20"/>
      <c r="Q267" s="21"/>
      <c r="R267" s="19"/>
      <c r="S267" s="20"/>
      <c r="T267" s="21"/>
      <c r="U267" s="22" t="str">
        <f>IFERROR(IF(IF(X267&gt;0,X267,IF(Z267&gt;0,Z267,IF(AB267&gt;0,AB267,0)))=0,"--",ROUND(CHOOSE(IF(X267&gt;0,X267,IF(Z267&gt;0,Z267,IF(AB267&gt;0,AB267,0))),IF(C267="peso_corporal",IF(ISNUMBER(E267),E267,0)+F267,F267)*(1+G267/30),IF(C267="peso_corporal",IF(ISNUMBER(E267),E267,0)+I267,I267)*(1+J267/30),IF(C267="peso_corporal",IF(ISNUMBER(E267),E267,0)+L267,L267)*(1+M267/30),IF(C267="peso_corporal",IF(ISNUMBER(E267),E267,0)+O267,O267)*(1+P267/30),IF(C267="peso_corporal",IF(ISNUMBER(E267),E267,0)+R267,R267)*(1+S267/30)),1)),"--")</f>
        <v>--</v>
      </c>
      <c r="V267" s="23" t="str">
        <f>IF(SUGERENCIAS!N693="SIN","Sin datos anteriores",IF(SUGERENCIAS!N693="SUBIR_F","^ SUBIR FUERTE | Kg:"&amp;ROUND(SUGERENCIAS!K693,1)&amp;" R:"&amp;ROUND(SUGERENCIAS!L693,0)&amp;" RIR:"&amp;ROUND(SUGERENCIAS!M693,0),IF(SUGERENCIAS!N693="SUBIR_E","^ SUBIR (Est.) | Kg:"&amp;ROUND(SUGERENCIAS!K693,1)&amp;" R:"&amp;ROUND(SUGERENCIAS!L693,0)&amp;" RIR:"&amp;ROUND(SUGERENCIAS!M693,0),IF(SUGERENCIAS!N693="SUBIR","^ SUBIR | Kg:"&amp;ROUND(SUGERENCIAS!K693,1)&amp;" R:"&amp;ROUND(SUGERENCIAS!L693,0)&amp;" RIR:"&amp;ROUND(SUGERENCIAS!M693,0),IF(SUGERENCIAS!N693="BAJAR","v BAJAR | Kg:"&amp;ROUND(SUGERENCIAS!K693,1)&amp;" R:"&amp;ROUND(SUGERENCIAS!L693,0)&amp;" RIR:"&amp;ROUND(SUGERENCIAS!M693,0),"= MANT | Kg:"&amp;ROUND(SUGERENCIAS!K693,1)&amp;" R:"&amp;ROUND(SUGERENCIAS!L693,0)&amp;" RIR:"&amp;ROUND(SUGERENCIAS!M693,0))))))</f>
        <v>Sin datos anteriores</v>
      </c>
      <c r="W267" s="69">
        <f>MAX(IF((G267&gt;0)*(IF(H267="",-1,H267)&gt;=0)*(IF(H267="",-1,H267)&lt;=1),IF(C267="peso_corporal",IF(ISNUMBER(E267),E267,0)+F267,F267)*G267*1000+F267,0),IF((J267&gt;0)*(IF(K267="",-1,K267)&gt;=0)*(IF(K267="",-1,K267)&lt;=1),IF(C267="peso_corporal",IF(ISNUMBER(E267),E267,0)+I267,I267)*J267*1000+I267,0),IF((M267&gt;0)*(IF(N267="",-1,N267)&gt;=0)*(IF(N267="",-1,N267)&lt;=1),IF(C267="peso_corporal",IF(ISNUMBER(E267),E267,0)+L267,L267)*M267*1000+L267,0),IF((P267&gt;0)*(IF(Q267="",-1,Q267)&gt;=0)*(IF(Q267="",-1,Q267)&lt;=1),IF(C267="peso_corporal",IF(ISNUMBER(E267),E267,0)+O267,O267)*P267*1000+O267,0),IF((S267&gt;0)*(IF(T267="",-1,T267)&gt;=0)*(IF(T267="",-1,T267)&lt;=1),IF(C267="peso_corporal",IF(ISNUMBER(E267),E267,0)+R267,R267)*S267*1000+R267,0))</f>
        <v>0</v>
      </c>
      <c r="X267" s="69">
        <f>IF(W267=0,0,IF(IF((S267&gt;0)*(IF(T267="",-1,T267)&gt;=0)*(IF(T267="",-1,T267)&lt;=1),IF(C267="peso_corporal",IF(ISNUMBER(E267),E267,0)+R267,R267)*S267*1000+R267,0)=W267,5,IF(IF((P267&gt;0)*(IF(Q267="",-1,Q267)&gt;=0)*(IF(Q267="",-1,Q267)&lt;=1),IF(C267="peso_corporal",IF(ISNUMBER(E267),E267,0)+O267,O267)*P267*1000+O267,0)=W267,4,IF(IF((M267&gt;0)*(IF(N267="",-1,N267)&gt;=0)*(IF(N267="",-1,N267)&lt;=1),IF(C267="peso_corporal",IF(ISNUMBER(E267),E267,0)+L267,L267)*M267*1000+L267,0)=W267,3,IF(IF((J267&gt;0)*(IF(K267="",-1,K267)&gt;=0)*(IF(K267="",-1,K267)&lt;=1),IF(C267="peso_corporal",IF(ISNUMBER(E267),E267,0)+I267,I267)*J267*1000+I267,0)=W267,2,IF(IF((G267&gt;0)*(IF(H267="",-1,H267)&gt;=0)*(IF(H267="",-1,H267)&lt;=1),IF(C267="peso_corporal",IF(ISNUMBER(E267),E267,0)+F267,F267)*G267*1000+F267,0)=W267,1,0))))))</f>
        <v>0</v>
      </c>
      <c r="Y267" s="69">
        <f>MAX(IF((G267&gt;0)*(IF(H267="",-1,H267)=0)*(1-(IF(H267="",-1,H267)&gt;=0)*(IF(H267="",-1,H267)&lt;=1)),IF(C267="peso_corporal",IF(ISNUMBER(E267),E267,0)+F267,F267)*G267*1000+F267,0),IF((J267&gt;0)*(IF(K267="",-1,K267)=0)*(1-(IF(K267="",-1,K267)&gt;=0)*(IF(K267="",-1,K267)&lt;=1)),IF(C267="peso_corporal",IF(ISNUMBER(E267),E267,0)+I267,I267)*J267*1000+I267,0),IF((M267&gt;0)*(IF(N267="",-1,N267)=0)*(1-(IF(N267="",-1,N267)&gt;=0)*(IF(N267="",-1,N267)&lt;=1)),IF(C267="peso_corporal",IF(ISNUMBER(E267),E267,0)+L267,L267)*M267*1000+L267,0),IF((P267&gt;0)*(IF(Q267="",-1,Q267)=0)*(1-(IF(Q267="",-1,Q267)&gt;=0)*(IF(Q267="",-1,Q267)&lt;=1)),IF(C267="peso_corporal",IF(ISNUMBER(E267),E267,0)+O267,O267)*P267*1000+O267,0),IF((S267&gt;0)*(IF(T267="",-1,T267)=0)*(1-(IF(T267="",-1,T267)&gt;=0)*(IF(T267="",-1,T267)&lt;=1)),IF(C267="peso_corporal",IF(ISNUMBER(E267),E267,0)+R267,R267)*S267*1000+R267,0))</f>
        <v>0</v>
      </c>
      <c r="Z267" s="69">
        <f>IF(Y267=0,0,IF(IF((S267&gt;0)*(IF(T267="",-1,T267)=0)*(1-(IF(T267="",-1,T267)&gt;=0)*(IF(T267="",-1,T267)&lt;=1)),IF(C267="peso_corporal",IF(ISNUMBER(E267),E267,0)+R267,R267)*S267*1000+R267,0)=Y267,5,IF(IF((P267&gt;0)*(IF(Q267="",-1,Q267)=0)*(1-(IF(Q267="",-1,Q267)&gt;=0)*(IF(Q267="",-1,Q267)&lt;=1)),IF(C267="peso_corporal",IF(ISNUMBER(E267),E267,0)+O267,O267)*P267*1000+O267,0)=Y267,4,IF(IF((M267&gt;0)*(IF(N267="",-1,N267)=0)*(1-(IF(N267="",-1,N267)&gt;=0)*(IF(N267="",-1,N267)&lt;=1)),IF(C267="peso_corporal",IF(ISNUMBER(E267),E267,0)+L267,L267)*M267*1000+L267,0)=Y267,3,IF(IF((J267&gt;0)*(IF(K267="",-1,K267)=0)*(1-(IF(K267="",-1,K267)&gt;=0)*(IF(K267="",-1,K267)&lt;=1)),IF(C267="peso_corporal",IF(ISNUMBER(E267),E267,0)+I267,I267)*J267*1000+I267,0)=Y267,2,IF(IF((G267&gt;0)*(IF(H267="",-1,H267)=0)*(1-(IF(H267="",-1,H267)&gt;=0)*(IF(H267="",-1,H267)&lt;=1)),IF(C267="peso_corporal",IF(ISNUMBER(E267),E267,0)+F267,F267)*G267*1000+F267,0)=Y267,1,0))))))</f>
        <v>0</v>
      </c>
      <c r="AA267" s="69">
        <f>MAX(IF((G267&gt;=3)*(1-(IF(H267="",-1,H267)&gt;=0)*(IF(H267="",-1,H267)&lt;=1))*(1-(IF(H267="",-1,H267)=0)),IF(C267="peso_corporal",IF(ISNUMBER(E267),E267,0)+F267,F267)*(30+G267)*100+F267,0),IF((J267&gt;=3)*(1-(IF(K267="",-1,K267)&gt;=0)*(IF(K267="",-1,K267)&lt;=1))*(1-(IF(K267="",-1,K267)=0)),IF(C267="peso_corporal",IF(ISNUMBER(E267),E267,0)+I267,I267)*(30+J267)*100+I267,0),IF((M267&gt;=3)*(1-(IF(N267="",-1,N267)&gt;=0)*(IF(N267="",-1,N267)&lt;=1))*(1-(IF(N267="",-1,N267)=0)),IF(C267="peso_corporal",IF(ISNUMBER(E267),E267,0)+L267,L267)*(30+M267)*100+L267,0),IF((P267&gt;=3)*(1-(IF(Q267="",-1,Q267)&gt;=0)*(IF(Q267="",-1,Q267)&lt;=1))*(1-(IF(Q267="",-1,Q267)=0)),IF(C267="peso_corporal",IF(ISNUMBER(E267),E267,0)+O267,O267)*(30+P267)*100+O267,0),IF((S267&gt;=3)*(1-(IF(T267="",-1,T267)&gt;=0)*(IF(T267="",-1,T267)&lt;=1))*(1-(IF(T267="",-1,T267)=0)),IF(C267="peso_corporal",IF(ISNUMBER(E267),E267,0)+R267,R267)*(30+S267)*100+R267,0))</f>
        <v>0</v>
      </c>
      <c r="AB267" s="69">
        <f>IF(AA267=0,0,IF(IF((S267&gt;=3)*(1-(IF(T267="",-1,T267)&gt;=0)*(IF(T267="",-1,T267)&lt;=1))*(1-(IF(T267="",-1,T267)=0)),IF(C267="peso_corporal",IF(ISNUMBER(E267),E267,0)+R267,R267)*(30+S267)*100+R267,0)=AA267,5,IF(IF((P267&gt;=3)*(1-(IF(Q267="",-1,Q267)&gt;=0)*(IF(Q267="",-1,Q267)&lt;=1))*(1-(IF(Q267="",-1,Q267)=0)),IF(C267="peso_corporal",IF(ISNUMBER(E267),E267,0)+O267,O267)*(30+P267)*100+O267,0)=AA267,4,IF(IF((M267&gt;=3)*(1-(IF(N267="",-1,N267)&gt;=0)*(IF(N267="",-1,N267)&lt;=1))*(1-(IF(N267="",-1,N267)=0)),IF(C267="peso_corporal",IF(ISNUMBER(E267),E267,0)+L267,L267)*(30+M267)*100+L267,0)=AA267,3,IF(IF((J267&gt;=3)*(1-(IF(K267="",-1,K267)&gt;=0)*(IF(K267="",-1,K267)&lt;=1))*(1-(IF(K267="",-1,K267)=0)),IF(C267="peso_corporal",IF(ISNUMBER(E267),E267,0)+I267,I267)*(30+J267)*100+I267,0)=AA267,2,IF(IF((G267&gt;=3)*(1-(IF(H267="",-1,H267)&gt;=0)*(IF(H267="",-1,H267)&lt;=1))*(1-(IF(H267="",-1,H267)=0)),IF(C267="peso_corporal",IF(ISNUMBER(E267),E267,0)+F267,F267)*(30+G267)*100+F267,0)=AA267,1,0))))))</f>
        <v>0</v>
      </c>
      <c r="AC267" s="69" t="str">
        <f>IF(X267&gt;0,"A"&amp;X267,IF(Z267&gt;0,"B"&amp;Z267,IF(AB267&gt;0,"C"&amp;AB267,"")))</f>
        <v/>
      </c>
    </row>
    <row r="268" spans="1:29" ht="20.100000000000001" customHeight="1">
      <c r="A268" s="14" t="s">
        <v>109</v>
      </c>
      <c r="B268" s="15" t="s">
        <v>110</v>
      </c>
      <c r="C268" s="16" t="str">
        <f>IFERROR(INDEX(EJERCICIOS!$D$3:$D$75,MATCH(A268&amp;"|"&amp;B268,EJERCICIOS!$G$3:$G$75,0)),"--")</f>
        <v>polea</v>
      </c>
      <c r="D268" s="17">
        <v>3</v>
      </c>
      <c r="E268" s="18">
        <f>IFERROR(LOOKUP(2,1/(MEDIDAS_Y_PESO!$B$3:$B$13&lt;&gt;""),MEDIDAS_Y_PESO!$B$3:$B$13),"--")</f>
        <v>80</v>
      </c>
      <c r="F268" s="19"/>
      <c r="G268" s="20"/>
      <c r="H268" s="21"/>
      <c r="I268" s="19"/>
      <c r="J268" s="20"/>
      <c r="K268" s="21"/>
      <c r="L268" s="19"/>
      <c r="M268" s="20"/>
      <c r="N268" s="21"/>
      <c r="O268" s="19"/>
      <c r="P268" s="20"/>
      <c r="Q268" s="21"/>
      <c r="R268" s="19"/>
      <c r="S268" s="20"/>
      <c r="T268" s="21"/>
      <c r="U268" s="22" t="str">
        <f>IFERROR(IF(IF(X268&gt;0,X268,IF(Z268&gt;0,Z268,IF(AB268&gt;0,AB268,0)))=0,"--",ROUND(CHOOSE(IF(X268&gt;0,X268,IF(Z268&gt;0,Z268,IF(AB268&gt;0,AB268,0))),IF(C268="peso_corporal",IF(ISNUMBER(E268),E268,0)+F268,F268)*(1+G268/30),IF(C268="peso_corporal",IF(ISNUMBER(E268),E268,0)+I268,I268)*(1+J268/30),IF(C268="peso_corporal",IF(ISNUMBER(E268),E268,0)+L268,L268)*(1+M268/30),IF(C268="peso_corporal",IF(ISNUMBER(E268),E268,0)+O268,O268)*(1+P268/30),IF(C268="peso_corporal",IF(ISNUMBER(E268),E268,0)+R268,R268)*(1+S268/30)),1)),"--")</f>
        <v>--</v>
      </c>
      <c r="V268" s="23" t="str">
        <f>IF(SUGERENCIAS!N694="SIN","Sin datos anteriores",IF(SUGERENCIAS!N694="SUBIR_F","^ SUBIR FUERTE | Kg:"&amp;ROUND(SUGERENCIAS!K694,1)&amp;" R:"&amp;ROUND(SUGERENCIAS!L694,0)&amp;" RIR:"&amp;ROUND(SUGERENCIAS!M694,0),IF(SUGERENCIAS!N694="SUBIR_E","^ SUBIR (Est.) | Kg:"&amp;ROUND(SUGERENCIAS!K694,1)&amp;" R:"&amp;ROUND(SUGERENCIAS!L694,0)&amp;" RIR:"&amp;ROUND(SUGERENCIAS!M694,0),IF(SUGERENCIAS!N694="SUBIR","^ SUBIR | Kg:"&amp;ROUND(SUGERENCIAS!K694,1)&amp;" R:"&amp;ROUND(SUGERENCIAS!L694,0)&amp;" RIR:"&amp;ROUND(SUGERENCIAS!M694,0),IF(SUGERENCIAS!N694="BAJAR","v BAJAR | Kg:"&amp;ROUND(SUGERENCIAS!K694,1)&amp;" R:"&amp;ROUND(SUGERENCIAS!L694,0)&amp;" RIR:"&amp;ROUND(SUGERENCIAS!M694,0),"= MANT | Kg:"&amp;ROUND(SUGERENCIAS!K694,1)&amp;" R:"&amp;ROUND(SUGERENCIAS!L694,0)&amp;" RIR:"&amp;ROUND(SUGERENCIAS!M694,0))))))</f>
        <v>Sin datos anteriores</v>
      </c>
      <c r="W268" s="69">
        <f>MAX(IF((G268&gt;0)*(IF(H268="",-1,H268)&gt;=0)*(IF(H268="",-1,H268)&lt;=1),IF(C268="peso_corporal",IF(ISNUMBER(E268),E268,0)+F268,F268)*G268*1000+F268,0),IF((J268&gt;0)*(IF(K268="",-1,K268)&gt;=0)*(IF(K268="",-1,K268)&lt;=1),IF(C268="peso_corporal",IF(ISNUMBER(E268),E268,0)+I268,I268)*J268*1000+I268,0),IF((M268&gt;0)*(IF(N268="",-1,N268)&gt;=0)*(IF(N268="",-1,N268)&lt;=1),IF(C268="peso_corporal",IF(ISNUMBER(E268),E268,0)+L268,L268)*M268*1000+L268,0),IF((P268&gt;0)*(IF(Q268="",-1,Q268)&gt;=0)*(IF(Q268="",-1,Q268)&lt;=1),IF(C268="peso_corporal",IF(ISNUMBER(E268),E268,0)+O268,O268)*P268*1000+O268,0),IF((S268&gt;0)*(IF(T268="",-1,T268)&gt;=0)*(IF(T268="",-1,T268)&lt;=1),IF(C268="peso_corporal",IF(ISNUMBER(E268),E268,0)+R268,R268)*S268*1000+R268,0))</f>
        <v>0</v>
      </c>
      <c r="X268" s="69">
        <f>IF(W268=0,0,IF(IF((S268&gt;0)*(IF(T268="",-1,T268)&gt;=0)*(IF(T268="",-1,T268)&lt;=1),IF(C268="peso_corporal",IF(ISNUMBER(E268),E268,0)+R268,R268)*S268*1000+R268,0)=W268,5,IF(IF((P268&gt;0)*(IF(Q268="",-1,Q268)&gt;=0)*(IF(Q268="",-1,Q268)&lt;=1),IF(C268="peso_corporal",IF(ISNUMBER(E268),E268,0)+O268,O268)*P268*1000+O268,0)=W268,4,IF(IF((M268&gt;0)*(IF(N268="",-1,N268)&gt;=0)*(IF(N268="",-1,N268)&lt;=1),IF(C268="peso_corporal",IF(ISNUMBER(E268),E268,0)+L268,L268)*M268*1000+L268,0)=W268,3,IF(IF((J268&gt;0)*(IF(K268="",-1,K268)&gt;=0)*(IF(K268="",-1,K268)&lt;=1),IF(C268="peso_corporal",IF(ISNUMBER(E268),E268,0)+I268,I268)*J268*1000+I268,0)=W268,2,IF(IF((G268&gt;0)*(IF(H268="",-1,H268)&gt;=0)*(IF(H268="",-1,H268)&lt;=1),IF(C268="peso_corporal",IF(ISNUMBER(E268),E268,0)+F268,F268)*G268*1000+F268,0)=W268,1,0))))))</f>
        <v>0</v>
      </c>
      <c r="Y268" s="69">
        <f>MAX(IF((G268&gt;0)*(IF(H268="",-1,H268)=0)*(1-(IF(H268="",-1,H268)&gt;=0)*(IF(H268="",-1,H268)&lt;=1)),IF(C268="peso_corporal",IF(ISNUMBER(E268),E268,0)+F268,F268)*G268*1000+F268,0),IF((J268&gt;0)*(IF(K268="",-1,K268)=0)*(1-(IF(K268="",-1,K268)&gt;=0)*(IF(K268="",-1,K268)&lt;=1)),IF(C268="peso_corporal",IF(ISNUMBER(E268),E268,0)+I268,I268)*J268*1000+I268,0),IF((M268&gt;0)*(IF(N268="",-1,N268)=0)*(1-(IF(N268="",-1,N268)&gt;=0)*(IF(N268="",-1,N268)&lt;=1)),IF(C268="peso_corporal",IF(ISNUMBER(E268),E268,0)+L268,L268)*M268*1000+L268,0),IF((P268&gt;0)*(IF(Q268="",-1,Q268)=0)*(1-(IF(Q268="",-1,Q268)&gt;=0)*(IF(Q268="",-1,Q268)&lt;=1)),IF(C268="peso_corporal",IF(ISNUMBER(E268),E268,0)+O268,O268)*P268*1000+O268,0),IF((S268&gt;0)*(IF(T268="",-1,T268)=0)*(1-(IF(T268="",-1,T268)&gt;=0)*(IF(T268="",-1,T268)&lt;=1)),IF(C268="peso_corporal",IF(ISNUMBER(E268),E268,0)+R268,R268)*S268*1000+R268,0))</f>
        <v>0</v>
      </c>
      <c r="Z268" s="69">
        <f>IF(Y268=0,0,IF(IF((S268&gt;0)*(IF(T268="",-1,T268)=0)*(1-(IF(T268="",-1,T268)&gt;=0)*(IF(T268="",-1,T268)&lt;=1)),IF(C268="peso_corporal",IF(ISNUMBER(E268),E268,0)+R268,R268)*S268*1000+R268,0)=Y268,5,IF(IF((P268&gt;0)*(IF(Q268="",-1,Q268)=0)*(1-(IF(Q268="",-1,Q268)&gt;=0)*(IF(Q268="",-1,Q268)&lt;=1)),IF(C268="peso_corporal",IF(ISNUMBER(E268),E268,0)+O268,O268)*P268*1000+O268,0)=Y268,4,IF(IF((M268&gt;0)*(IF(N268="",-1,N268)=0)*(1-(IF(N268="",-1,N268)&gt;=0)*(IF(N268="",-1,N268)&lt;=1)),IF(C268="peso_corporal",IF(ISNUMBER(E268),E268,0)+L268,L268)*M268*1000+L268,0)=Y268,3,IF(IF((J268&gt;0)*(IF(K268="",-1,K268)=0)*(1-(IF(K268="",-1,K268)&gt;=0)*(IF(K268="",-1,K268)&lt;=1)),IF(C268="peso_corporal",IF(ISNUMBER(E268),E268,0)+I268,I268)*J268*1000+I268,0)=Y268,2,IF(IF((G268&gt;0)*(IF(H268="",-1,H268)=0)*(1-(IF(H268="",-1,H268)&gt;=0)*(IF(H268="",-1,H268)&lt;=1)),IF(C268="peso_corporal",IF(ISNUMBER(E268),E268,0)+F268,F268)*G268*1000+F268,0)=Y268,1,0))))))</f>
        <v>0</v>
      </c>
      <c r="AA268" s="69">
        <f>MAX(IF((G268&gt;=3)*(1-(IF(H268="",-1,H268)&gt;=0)*(IF(H268="",-1,H268)&lt;=1))*(1-(IF(H268="",-1,H268)=0)),IF(C268="peso_corporal",IF(ISNUMBER(E268),E268,0)+F268,F268)*(30+G268)*100+F268,0),IF((J268&gt;=3)*(1-(IF(K268="",-1,K268)&gt;=0)*(IF(K268="",-1,K268)&lt;=1))*(1-(IF(K268="",-1,K268)=0)),IF(C268="peso_corporal",IF(ISNUMBER(E268),E268,0)+I268,I268)*(30+J268)*100+I268,0),IF((M268&gt;=3)*(1-(IF(N268="",-1,N268)&gt;=0)*(IF(N268="",-1,N268)&lt;=1))*(1-(IF(N268="",-1,N268)=0)),IF(C268="peso_corporal",IF(ISNUMBER(E268),E268,0)+L268,L268)*(30+M268)*100+L268,0),IF((P268&gt;=3)*(1-(IF(Q268="",-1,Q268)&gt;=0)*(IF(Q268="",-1,Q268)&lt;=1))*(1-(IF(Q268="",-1,Q268)=0)),IF(C268="peso_corporal",IF(ISNUMBER(E268),E268,0)+O268,O268)*(30+P268)*100+O268,0),IF((S268&gt;=3)*(1-(IF(T268="",-1,T268)&gt;=0)*(IF(T268="",-1,T268)&lt;=1))*(1-(IF(T268="",-1,T268)=0)),IF(C268="peso_corporal",IF(ISNUMBER(E268),E268,0)+R268,R268)*(30+S268)*100+R268,0))</f>
        <v>0</v>
      </c>
      <c r="AB268" s="69">
        <f>IF(AA268=0,0,IF(IF((S268&gt;=3)*(1-(IF(T268="",-1,T268)&gt;=0)*(IF(T268="",-1,T268)&lt;=1))*(1-(IF(T268="",-1,T268)=0)),IF(C268="peso_corporal",IF(ISNUMBER(E268),E268,0)+R268,R268)*(30+S268)*100+R268,0)=AA268,5,IF(IF((P268&gt;=3)*(1-(IF(Q268="",-1,Q268)&gt;=0)*(IF(Q268="",-1,Q268)&lt;=1))*(1-(IF(Q268="",-1,Q268)=0)),IF(C268="peso_corporal",IF(ISNUMBER(E268),E268,0)+O268,O268)*(30+P268)*100+O268,0)=AA268,4,IF(IF((M268&gt;=3)*(1-(IF(N268="",-1,N268)&gt;=0)*(IF(N268="",-1,N268)&lt;=1))*(1-(IF(N268="",-1,N268)=0)),IF(C268="peso_corporal",IF(ISNUMBER(E268),E268,0)+L268,L268)*(30+M268)*100+L268,0)=AA268,3,IF(IF((J268&gt;=3)*(1-(IF(K268="",-1,K268)&gt;=0)*(IF(K268="",-1,K268)&lt;=1))*(1-(IF(K268="",-1,K268)=0)),IF(C268="peso_corporal",IF(ISNUMBER(E268),E268,0)+I268,I268)*(30+J268)*100+I268,0)=AA268,2,IF(IF((G268&gt;=3)*(1-(IF(H268="",-1,H268)&gt;=0)*(IF(H268="",-1,H268)&lt;=1))*(1-(IF(H268="",-1,H268)=0)),IF(C268="peso_corporal",IF(ISNUMBER(E268),E268,0)+F268,F268)*(30+G268)*100+F268,0)=AA268,1,0))))))</f>
        <v>0</v>
      </c>
      <c r="AC268" s="69" t="str">
        <f>IF(X268&gt;0,"A"&amp;X268,IF(Z268&gt;0,"B"&amp;Z268,IF(AB268&gt;0,"C"&amp;AB268,"")))</f>
        <v/>
      </c>
    </row>
    <row r="269" spans="1:29" ht="15" customHeight="1">
      <c r="A269" s="90" t="s">
        <v>142</v>
      </c>
      <c r="B269" s="73"/>
      <c r="C269" s="73"/>
      <c r="D269" s="73"/>
      <c r="E269" s="73"/>
      <c r="F269" s="73"/>
      <c r="G269" s="73"/>
      <c r="H269" s="73"/>
      <c r="I269" s="73"/>
      <c r="J269" s="73"/>
      <c r="K269" s="73"/>
      <c r="L269" s="73"/>
      <c r="M269" s="73"/>
      <c r="N269" s="73"/>
      <c r="O269" s="73"/>
      <c r="P269" s="73"/>
      <c r="Q269" s="73"/>
      <c r="R269" s="73"/>
      <c r="S269" s="73"/>
      <c r="T269" s="73"/>
      <c r="U269" s="73"/>
      <c r="V269" s="73"/>
      <c r="W269" s="69"/>
      <c r="X269" s="69"/>
      <c r="Y269" s="69"/>
      <c r="Z269" s="69"/>
      <c r="AA269" s="69"/>
      <c r="AB269" s="69"/>
      <c r="AC269" s="69"/>
    </row>
    <row r="270" spans="1:29" ht="20.100000000000001" customHeight="1">
      <c r="A270" s="14" t="s">
        <v>24</v>
      </c>
      <c r="B270" s="15" t="s">
        <v>143</v>
      </c>
      <c r="C270" s="16" t="str">
        <f>IFERROR(INDEX(EJERCICIOS!$D$3:$D$75,MATCH(A270&amp;"|"&amp;B270,EJERCICIOS!$G$3:$G$75,0)),"--")</f>
        <v>peso_corporal</v>
      </c>
      <c r="D270" s="17">
        <v>3</v>
      </c>
      <c r="E270" s="18">
        <f>IFERROR(LOOKUP(2,1/(MEDIDAS_Y_PESO!$B$3:$B$13&lt;&gt;""),MEDIDAS_Y_PESO!$B$3:$B$13),"--")</f>
        <v>80</v>
      </c>
      <c r="F270" s="19"/>
      <c r="G270" s="20"/>
      <c r="H270" s="21"/>
      <c r="I270" s="19"/>
      <c r="J270" s="20"/>
      <c r="K270" s="21"/>
      <c r="L270" s="19"/>
      <c r="M270" s="20"/>
      <c r="N270" s="21"/>
      <c r="O270" s="19"/>
      <c r="P270" s="20"/>
      <c r="Q270" s="21"/>
      <c r="R270" s="19"/>
      <c r="S270" s="20"/>
      <c r="T270" s="21"/>
      <c r="U270" s="22" t="str">
        <f>IFERROR(IF(IF(X270&gt;0,X270,IF(Z270&gt;0,Z270,IF(AB270&gt;0,AB270,0)))=0,"--",ROUND(CHOOSE(IF(X270&gt;0,X270,IF(Z270&gt;0,Z270,IF(AB270&gt;0,AB270,0))),IF(C270="peso_corporal",IF(ISNUMBER(E270),E270,0)+F270,F270)*(1+G270/30),IF(C270="peso_corporal",IF(ISNUMBER(E270),E270,0)+I270,I270)*(1+J270/30),IF(C270="peso_corporal",IF(ISNUMBER(E270),E270,0)+L270,L270)*(1+M270/30),IF(C270="peso_corporal",IF(ISNUMBER(E270),E270,0)+O270,O270)*(1+P270/30),IF(C270="peso_corporal",IF(ISNUMBER(E270),E270,0)+R270,R270)*(1+S270/30)),1)),"--")</f>
        <v>--</v>
      </c>
      <c r="V270" s="23" t="str">
        <f>IF(SUGERENCIAS!N695="SIN","Sin datos anteriores",IF(SUGERENCIAS!N695="SUBIR_F","^ SUBIR FUERTE | Kg:"&amp;ROUND(SUGERENCIAS!K695,1)&amp;" R:"&amp;ROUND(SUGERENCIAS!L695,0)&amp;" RIR:"&amp;ROUND(SUGERENCIAS!M695,0),IF(SUGERENCIAS!N695="SUBIR_E","^ SUBIR (Est.) | Kg:"&amp;ROUND(SUGERENCIAS!K695,1)&amp;" R:"&amp;ROUND(SUGERENCIAS!L695,0)&amp;" RIR:"&amp;ROUND(SUGERENCIAS!M695,0),IF(SUGERENCIAS!N695="SUBIR","^ SUBIR | Kg:"&amp;ROUND(SUGERENCIAS!K695,1)&amp;" R:"&amp;ROUND(SUGERENCIAS!L695,0)&amp;" RIR:"&amp;ROUND(SUGERENCIAS!M695,0),IF(SUGERENCIAS!N695="BAJAR","v BAJAR | Kg:"&amp;ROUND(SUGERENCIAS!K695,1)&amp;" R:"&amp;ROUND(SUGERENCIAS!L695,0)&amp;" RIR:"&amp;ROUND(SUGERENCIAS!M695,0),"= MANT | Kg:"&amp;ROUND(SUGERENCIAS!K695,1)&amp;" R:"&amp;ROUND(SUGERENCIAS!L695,0)&amp;" RIR:"&amp;ROUND(SUGERENCIAS!M695,0))))))</f>
        <v>Sin datos anteriores</v>
      </c>
      <c r="W270" s="69">
        <f>MAX(IF((G270&gt;0)*(IF(H270="",-1,H270)&gt;=0)*(IF(H270="",-1,H270)&lt;=1),IF(C270="peso_corporal",IF(ISNUMBER(E270),E270,0)+F270,F270)*G270*1000+F270,0),IF((J270&gt;0)*(IF(K270="",-1,K270)&gt;=0)*(IF(K270="",-1,K270)&lt;=1),IF(C270="peso_corporal",IF(ISNUMBER(E270),E270,0)+I270,I270)*J270*1000+I270,0),IF((M270&gt;0)*(IF(N270="",-1,N270)&gt;=0)*(IF(N270="",-1,N270)&lt;=1),IF(C270="peso_corporal",IF(ISNUMBER(E270),E270,0)+L270,L270)*M270*1000+L270,0),IF((P270&gt;0)*(IF(Q270="",-1,Q270)&gt;=0)*(IF(Q270="",-1,Q270)&lt;=1),IF(C270="peso_corporal",IF(ISNUMBER(E270),E270,0)+O270,O270)*P270*1000+O270,0),IF((S270&gt;0)*(IF(T270="",-1,T270)&gt;=0)*(IF(T270="",-1,T270)&lt;=1),IF(C270="peso_corporal",IF(ISNUMBER(E270),E270,0)+R270,R270)*S270*1000+R270,0))</f>
        <v>0</v>
      </c>
      <c r="X270" s="69">
        <f>IF(W270=0,0,IF(IF((S270&gt;0)*(IF(T270="",-1,T270)&gt;=0)*(IF(T270="",-1,T270)&lt;=1),IF(C270="peso_corporal",IF(ISNUMBER(E270),E270,0)+R270,R270)*S270*1000+R270,0)=W270,5,IF(IF((P270&gt;0)*(IF(Q270="",-1,Q270)&gt;=0)*(IF(Q270="",-1,Q270)&lt;=1),IF(C270="peso_corporal",IF(ISNUMBER(E270),E270,0)+O270,O270)*P270*1000+O270,0)=W270,4,IF(IF((M270&gt;0)*(IF(N270="",-1,N270)&gt;=0)*(IF(N270="",-1,N270)&lt;=1),IF(C270="peso_corporal",IF(ISNUMBER(E270),E270,0)+L270,L270)*M270*1000+L270,0)=W270,3,IF(IF((J270&gt;0)*(IF(K270="",-1,K270)&gt;=0)*(IF(K270="",-1,K270)&lt;=1),IF(C270="peso_corporal",IF(ISNUMBER(E270),E270,0)+I270,I270)*J270*1000+I270,0)=W270,2,IF(IF((G270&gt;0)*(IF(H270="",-1,H270)&gt;=0)*(IF(H270="",-1,H270)&lt;=1),IF(C270="peso_corporal",IF(ISNUMBER(E270),E270,0)+F270,F270)*G270*1000+F270,0)=W270,1,0))))))</f>
        <v>0</v>
      </c>
      <c r="Y270" s="69">
        <f>MAX(IF((G270&gt;0)*(IF(H270="",-1,H270)=0)*(1-(IF(H270="",-1,H270)&gt;=0)*(IF(H270="",-1,H270)&lt;=1)),IF(C270="peso_corporal",IF(ISNUMBER(E270),E270,0)+F270,F270)*G270*1000+F270,0),IF((J270&gt;0)*(IF(K270="",-1,K270)=0)*(1-(IF(K270="",-1,K270)&gt;=0)*(IF(K270="",-1,K270)&lt;=1)),IF(C270="peso_corporal",IF(ISNUMBER(E270),E270,0)+I270,I270)*J270*1000+I270,0),IF((M270&gt;0)*(IF(N270="",-1,N270)=0)*(1-(IF(N270="",-1,N270)&gt;=0)*(IF(N270="",-1,N270)&lt;=1)),IF(C270="peso_corporal",IF(ISNUMBER(E270),E270,0)+L270,L270)*M270*1000+L270,0),IF((P270&gt;0)*(IF(Q270="",-1,Q270)=0)*(1-(IF(Q270="",-1,Q270)&gt;=0)*(IF(Q270="",-1,Q270)&lt;=1)),IF(C270="peso_corporal",IF(ISNUMBER(E270),E270,0)+O270,O270)*P270*1000+O270,0),IF((S270&gt;0)*(IF(T270="",-1,T270)=0)*(1-(IF(T270="",-1,T270)&gt;=0)*(IF(T270="",-1,T270)&lt;=1)),IF(C270="peso_corporal",IF(ISNUMBER(E270),E270,0)+R270,R270)*S270*1000+R270,0))</f>
        <v>0</v>
      </c>
      <c r="Z270" s="69">
        <f>IF(Y270=0,0,IF(IF((S270&gt;0)*(IF(T270="",-1,T270)=0)*(1-(IF(T270="",-1,T270)&gt;=0)*(IF(T270="",-1,T270)&lt;=1)),IF(C270="peso_corporal",IF(ISNUMBER(E270),E270,0)+R270,R270)*S270*1000+R270,0)=Y270,5,IF(IF((P270&gt;0)*(IF(Q270="",-1,Q270)=0)*(1-(IF(Q270="",-1,Q270)&gt;=0)*(IF(Q270="",-1,Q270)&lt;=1)),IF(C270="peso_corporal",IF(ISNUMBER(E270),E270,0)+O270,O270)*P270*1000+O270,0)=Y270,4,IF(IF((M270&gt;0)*(IF(N270="",-1,N270)=0)*(1-(IF(N270="",-1,N270)&gt;=0)*(IF(N270="",-1,N270)&lt;=1)),IF(C270="peso_corporal",IF(ISNUMBER(E270),E270,0)+L270,L270)*M270*1000+L270,0)=Y270,3,IF(IF((J270&gt;0)*(IF(K270="",-1,K270)=0)*(1-(IF(K270="",-1,K270)&gt;=0)*(IF(K270="",-1,K270)&lt;=1)),IF(C270="peso_corporal",IF(ISNUMBER(E270),E270,0)+I270,I270)*J270*1000+I270,0)=Y270,2,IF(IF((G270&gt;0)*(IF(H270="",-1,H270)=0)*(1-(IF(H270="",-1,H270)&gt;=0)*(IF(H270="",-1,H270)&lt;=1)),IF(C270="peso_corporal",IF(ISNUMBER(E270),E270,0)+F270,F270)*G270*1000+F270,0)=Y270,1,0))))))</f>
        <v>0</v>
      </c>
      <c r="AA270" s="69">
        <f>MAX(IF((G270&gt;=3)*(1-(IF(H270="",-1,H270)&gt;=0)*(IF(H270="",-1,H270)&lt;=1))*(1-(IF(H270="",-1,H270)=0)),IF(C270="peso_corporal",IF(ISNUMBER(E270),E270,0)+F270,F270)*(30+G270)*100+F270,0),IF((J270&gt;=3)*(1-(IF(K270="",-1,K270)&gt;=0)*(IF(K270="",-1,K270)&lt;=1))*(1-(IF(K270="",-1,K270)=0)),IF(C270="peso_corporal",IF(ISNUMBER(E270),E270,0)+I270,I270)*(30+J270)*100+I270,0),IF((M270&gt;=3)*(1-(IF(N270="",-1,N270)&gt;=0)*(IF(N270="",-1,N270)&lt;=1))*(1-(IF(N270="",-1,N270)=0)),IF(C270="peso_corporal",IF(ISNUMBER(E270),E270,0)+L270,L270)*(30+M270)*100+L270,0),IF((P270&gt;=3)*(1-(IF(Q270="",-1,Q270)&gt;=0)*(IF(Q270="",-1,Q270)&lt;=1))*(1-(IF(Q270="",-1,Q270)=0)),IF(C270="peso_corporal",IF(ISNUMBER(E270),E270,0)+O270,O270)*(30+P270)*100+O270,0),IF((S270&gt;=3)*(1-(IF(T270="",-1,T270)&gt;=0)*(IF(T270="",-1,T270)&lt;=1))*(1-(IF(T270="",-1,T270)=0)),IF(C270="peso_corporal",IF(ISNUMBER(E270),E270,0)+R270,R270)*(30+S270)*100+R270,0))</f>
        <v>0</v>
      </c>
      <c r="AB270" s="69">
        <f>IF(AA270=0,0,IF(IF((S270&gt;=3)*(1-(IF(T270="",-1,T270)&gt;=0)*(IF(T270="",-1,T270)&lt;=1))*(1-(IF(T270="",-1,T270)=0)),IF(C270="peso_corporal",IF(ISNUMBER(E270),E270,0)+R270,R270)*(30+S270)*100+R270,0)=AA270,5,IF(IF((P270&gt;=3)*(1-(IF(Q270="",-1,Q270)&gt;=0)*(IF(Q270="",-1,Q270)&lt;=1))*(1-(IF(Q270="",-1,Q270)=0)),IF(C270="peso_corporal",IF(ISNUMBER(E270),E270,0)+O270,O270)*(30+P270)*100+O270,0)=AA270,4,IF(IF((M270&gt;=3)*(1-(IF(N270="",-1,N270)&gt;=0)*(IF(N270="",-1,N270)&lt;=1))*(1-(IF(N270="",-1,N270)=0)),IF(C270="peso_corporal",IF(ISNUMBER(E270),E270,0)+L270,L270)*(30+M270)*100+L270,0)=AA270,3,IF(IF((J270&gt;=3)*(1-(IF(K270="",-1,K270)&gt;=0)*(IF(K270="",-1,K270)&lt;=1))*(1-(IF(K270="",-1,K270)=0)),IF(C270="peso_corporal",IF(ISNUMBER(E270),E270,0)+I270,I270)*(30+J270)*100+I270,0)=AA270,2,IF(IF((G270&gt;=3)*(1-(IF(H270="",-1,H270)&gt;=0)*(IF(H270="",-1,H270)&lt;=1))*(1-(IF(H270="",-1,H270)=0)),IF(C270="peso_corporal",IF(ISNUMBER(E270),E270,0)+F270,F270)*(30+G270)*100+F270,0)=AA270,1,0))))))</f>
        <v>0</v>
      </c>
      <c r="AC270" s="69" t="str">
        <f>IF(X270&gt;0,"A"&amp;X270,IF(Z270&gt;0,"B"&amp;Z270,IF(AB270&gt;0,"C"&amp;AB270,"")))</f>
        <v/>
      </c>
    </row>
    <row r="271" spans="1:29" ht="15" customHeight="1">
      <c r="A271" s="72" t="s">
        <v>56</v>
      </c>
      <c r="B271" s="73"/>
      <c r="C271" s="73"/>
      <c r="D271" s="73"/>
      <c r="E271" s="73"/>
      <c r="F271" s="73"/>
      <c r="G271" s="73"/>
      <c r="H271" s="73"/>
      <c r="I271" s="73"/>
      <c r="J271" s="73"/>
      <c r="K271" s="73"/>
      <c r="L271" s="73"/>
      <c r="M271" s="73"/>
      <c r="N271" s="73"/>
      <c r="O271" s="73"/>
      <c r="P271" s="73"/>
      <c r="Q271" s="73"/>
      <c r="R271" s="73"/>
      <c r="S271" s="73"/>
      <c r="T271" s="73"/>
      <c r="U271" s="73"/>
      <c r="V271" s="73"/>
      <c r="W271" s="69"/>
      <c r="X271" s="69"/>
      <c r="Y271" s="69"/>
      <c r="Z271" s="69"/>
      <c r="AA271" s="69"/>
      <c r="AB271" s="69"/>
      <c r="AC271" s="69"/>
    </row>
    <row r="272" spans="1:29" ht="20.100000000000001" customHeight="1">
      <c r="A272" s="14" t="s">
        <v>57</v>
      </c>
      <c r="B272" s="15" t="s">
        <v>58</v>
      </c>
      <c r="C272" s="16" t="str">
        <f>IFERROR(INDEX(EJERCICIOS!$D$3:$D$75,MATCH(A272&amp;"|"&amp;B272,EJERCICIOS!$G$3:$G$75,0)),"--")</f>
        <v>polea</v>
      </c>
      <c r="D272" s="17">
        <v>3</v>
      </c>
      <c r="E272" s="18">
        <f>IFERROR(LOOKUP(2,1/(MEDIDAS_Y_PESO!$B$3:$B$13&lt;&gt;""),MEDIDAS_Y_PESO!$B$3:$B$13),"--")</f>
        <v>80</v>
      </c>
      <c r="F272" s="19"/>
      <c r="G272" s="20"/>
      <c r="H272" s="21"/>
      <c r="I272" s="19"/>
      <c r="J272" s="20"/>
      <c r="K272" s="21"/>
      <c r="L272" s="19"/>
      <c r="M272" s="20"/>
      <c r="N272" s="21"/>
      <c r="O272" s="19"/>
      <c r="P272" s="20"/>
      <c r="Q272" s="21"/>
      <c r="R272" s="19"/>
      <c r="S272" s="20"/>
      <c r="T272" s="21"/>
      <c r="U272" s="22" t="str">
        <f>IFERROR(IF(IF(X272&gt;0,X272,IF(Z272&gt;0,Z272,IF(AB272&gt;0,AB272,0)))=0,"--",ROUND(CHOOSE(IF(X272&gt;0,X272,IF(Z272&gt;0,Z272,IF(AB272&gt;0,AB272,0))),IF(C272="peso_corporal",IF(ISNUMBER(E272),E272,0)+F272,F272)*(1+G272/30),IF(C272="peso_corporal",IF(ISNUMBER(E272),E272,0)+I272,I272)*(1+J272/30),IF(C272="peso_corporal",IF(ISNUMBER(E272),E272,0)+L272,L272)*(1+M272/30),IF(C272="peso_corporal",IF(ISNUMBER(E272),E272,0)+O272,O272)*(1+P272/30),IF(C272="peso_corporal",IF(ISNUMBER(E272),E272,0)+R272,R272)*(1+S272/30)),1)),"--")</f>
        <v>--</v>
      </c>
      <c r="V272" s="23" t="str">
        <f>IF(SUGERENCIAS!N696="SIN","Sin datos anteriores",IF(SUGERENCIAS!N696="SUBIR_F","^ SUBIR FUERTE | Kg:"&amp;ROUND(SUGERENCIAS!K696,1)&amp;" R:"&amp;ROUND(SUGERENCIAS!L696,0)&amp;" RIR:"&amp;ROUND(SUGERENCIAS!M696,0),IF(SUGERENCIAS!N696="SUBIR_E","^ SUBIR (Est.) | Kg:"&amp;ROUND(SUGERENCIAS!K696,1)&amp;" R:"&amp;ROUND(SUGERENCIAS!L696,0)&amp;" RIR:"&amp;ROUND(SUGERENCIAS!M696,0),IF(SUGERENCIAS!N696="SUBIR","^ SUBIR | Kg:"&amp;ROUND(SUGERENCIAS!K696,1)&amp;" R:"&amp;ROUND(SUGERENCIAS!L696,0)&amp;" RIR:"&amp;ROUND(SUGERENCIAS!M696,0),IF(SUGERENCIAS!N696="BAJAR","v BAJAR | Kg:"&amp;ROUND(SUGERENCIAS!K696,1)&amp;" R:"&amp;ROUND(SUGERENCIAS!L696,0)&amp;" RIR:"&amp;ROUND(SUGERENCIAS!M696,0),"= MANT | Kg:"&amp;ROUND(SUGERENCIAS!K696,1)&amp;" R:"&amp;ROUND(SUGERENCIAS!L696,0)&amp;" RIR:"&amp;ROUND(SUGERENCIAS!M696,0))))))</f>
        <v>Sin datos anteriores</v>
      </c>
      <c r="W272" s="69">
        <f>MAX(IF((G272&gt;0)*(IF(H272="",-1,H272)&gt;=0)*(IF(H272="",-1,H272)&lt;=1),IF(C272="peso_corporal",IF(ISNUMBER(E272),E272,0)+F272,F272)*G272*1000+F272,0),IF((J272&gt;0)*(IF(K272="",-1,K272)&gt;=0)*(IF(K272="",-1,K272)&lt;=1),IF(C272="peso_corporal",IF(ISNUMBER(E272),E272,0)+I272,I272)*J272*1000+I272,0),IF((M272&gt;0)*(IF(N272="",-1,N272)&gt;=0)*(IF(N272="",-1,N272)&lt;=1),IF(C272="peso_corporal",IF(ISNUMBER(E272),E272,0)+L272,L272)*M272*1000+L272,0),IF((P272&gt;0)*(IF(Q272="",-1,Q272)&gt;=0)*(IF(Q272="",-1,Q272)&lt;=1),IF(C272="peso_corporal",IF(ISNUMBER(E272),E272,0)+O272,O272)*P272*1000+O272,0),IF((S272&gt;0)*(IF(T272="",-1,T272)&gt;=0)*(IF(T272="",-1,T272)&lt;=1),IF(C272="peso_corporal",IF(ISNUMBER(E272),E272,0)+R272,R272)*S272*1000+R272,0))</f>
        <v>0</v>
      </c>
      <c r="X272" s="69">
        <f>IF(W272=0,0,IF(IF((S272&gt;0)*(IF(T272="",-1,T272)&gt;=0)*(IF(T272="",-1,T272)&lt;=1),IF(C272="peso_corporal",IF(ISNUMBER(E272),E272,0)+R272,R272)*S272*1000+R272,0)=W272,5,IF(IF((P272&gt;0)*(IF(Q272="",-1,Q272)&gt;=0)*(IF(Q272="",-1,Q272)&lt;=1),IF(C272="peso_corporal",IF(ISNUMBER(E272),E272,0)+O272,O272)*P272*1000+O272,0)=W272,4,IF(IF((M272&gt;0)*(IF(N272="",-1,N272)&gt;=0)*(IF(N272="",-1,N272)&lt;=1),IF(C272="peso_corporal",IF(ISNUMBER(E272),E272,0)+L272,L272)*M272*1000+L272,0)=W272,3,IF(IF((J272&gt;0)*(IF(K272="",-1,K272)&gt;=0)*(IF(K272="",-1,K272)&lt;=1),IF(C272="peso_corporal",IF(ISNUMBER(E272),E272,0)+I272,I272)*J272*1000+I272,0)=W272,2,IF(IF((G272&gt;0)*(IF(H272="",-1,H272)&gt;=0)*(IF(H272="",-1,H272)&lt;=1),IF(C272="peso_corporal",IF(ISNUMBER(E272),E272,0)+F272,F272)*G272*1000+F272,0)=W272,1,0))))))</f>
        <v>0</v>
      </c>
      <c r="Y272" s="69">
        <f>MAX(IF((G272&gt;0)*(IF(H272="",-1,H272)=0)*(1-(IF(H272="",-1,H272)&gt;=0)*(IF(H272="",-1,H272)&lt;=1)),IF(C272="peso_corporal",IF(ISNUMBER(E272),E272,0)+F272,F272)*G272*1000+F272,0),IF((J272&gt;0)*(IF(K272="",-1,K272)=0)*(1-(IF(K272="",-1,K272)&gt;=0)*(IF(K272="",-1,K272)&lt;=1)),IF(C272="peso_corporal",IF(ISNUMBER(E272),E272,0)+I272,I272)*J272*1000+I272,0),IF((M272&gt;0)*(IF(N272="",-1,N272)=0)*(1-(IF(N272="",-1,N272)&gt;=0)*(IF(N272="",-1,N272)&lt;=1)),IF(C272="peso_corporal",IF(ISNUMBER(E272),E272,0)+L272,L272)*M272*1000+L272,0),IF((P272&gt;0)*(IF(Q272="",-1,Q272)=0)*(1-(IF(Q272="",-1,Q272)&gt;=0)*(IF(Q272="",-1,Q272)&lt;=1)),IF(C272="peso_corporal",IF(ISNUMBER(E272),E272,0)+O272,O272)*P272*1000+O272,0),IF((S272&gt;0)*(IF(T272="",-1,T272)=0)*(1-(IF(T272="",-1,T272)&gt;=0)*(IF(T272="",-1,T272)&lt;=1)),IF(C272="peso_corporal",IF(ISNUMBER(E272),E272,0)+R272,R272)*S272*1000+R272,0))</f>
        <v>0</v>
      </c>
      <c r="Z272" s="69">
        <f>IF(Y272=0,0,IF(IF((S272&gt;0)*(IF(T272="",-1,T272)=0)*(1-(IF(T272="",-1,T272)&gt;=0)*(IF(T272="",-1,T272)&lt;=1)),IF(C272="peso_corporal",IF(ISNUMBER(E272),E272,0)+R272,R272)*S272*1000+R272,0)=Y272,5,IF(IF((P272&gt;0)*(IF(Q272="",-1,Q272)=0)*(1-(IF(Q272="",-1,Q272)&gt;=0)*(IF(Q272="",-1,Q272)&lt;=1)),IF(C272="peso_corporal",IF(ISNUMBER(E272),E272,0)+O272,O272)*P272*1000+O272,0)=Y272,4,IF(IF((M272&gt;0)*(IF(N272="",-1,N272)=0)*(1-(IF(N272="",-1,N272)&gt;=0)*(IF(N272="",-1,N272)&lt;=1)),IF(C272="peso_corporal",IF(ISNUMBER(E272),E272,0)+L272,L272)*M272*1000+L272,0)=Y272,3,IF(IF((J272&gt;0)*(IF(K272="",-1,K272)=0)*(1-(IF(K272="",-1,K272)&gt;=0)*(IF(K272="",-1,K272)&lt;=1)),IF(C272="peso_corporal",IF(ISNUMBER(E272),E272,0)+I272,I272)*J272*1000+I272,0)=Y272,2,IF(IF((G272&gt;0)*(IF(H272="",-1,H272)=0)*(1-(IF(H272="",-1,H272)&gt;=0)*(IF(H272="",-1,H272)&lt;=1)),IF(C272="peso_corporal",IF(ISNUMBER(E272),E272,0)+F272,F272)*G272*1000+F272,0)=Y272,1,0))))))</f>
        <v>0</v>
      </c>
      <c r="AA272" s="69">
        <f>MAX(IF((G272&gt;=3)*(1-(IF(H272="",-1,H272)&gt;=0)*(IF(H272="",-1,H272)&lt;=1))*(1-(IF(H272="",-1,H272)=0)),IF(C272="peso_corporal",IF(ISNUMBER(E272),E272,0)+F272,F272)*(30+G272)*100+F272,0),IF((J272&gt;=3)*(1-(IF(K272="",-1,K272)&gt;=0)*(IF(K272="",-1,K272)&lt;=1))*(1-(IF(K272="",-1,K272)=0)),IF(C272="peso_corporal",IF(ISNUMBER(E272),E272,0)+I272,I272)*(30+J272)*100+I272,0),IF((M272&gt;=3)*(1-(IF(N272="",-1,N272)&gt;=0)*(IF(N272="",-1,N272)&lt;=1))*(1-(IF(N272="",-1,N272)=0)),IF(C272="peso_corporal",IF(ISNUMBER(E272),E272,0)+L272,L272)*(30+M272)*100+L272,0),IF((P272&gt;=3)*(1-(IF(Q272="",-1,Q272)&gt;=0)*(IF(Q272="",-1,Q272)&lt;=1))*(1-(IF(Q272="",-1,Q272)=0)),IF(C272="peso_corporal",IF(ISNUMBER(E272),E272,0)+O272,O272)*(30+P272)*100+O272,0),IF((S272&gt;=3)*(1-(IF(T272="",-1,T272)&gt;=0)*(IF(T272="",-1,T272)&lt;=1))*(1-(IF(T272="",-1,T272)=0)),IF(C272="peso_corporal",IF(ISNUMBER(E272),E272,0)+R272,R272)*(30+S272)*100+R272,0))</f>
        <v>0</v>
      </c>
      <c r="AB272" s="69">
        <f>IF(AA272=0,0,IF(IF((S272&gt;=3)*(1-(IF(T272="",-1,T272)&gt;=0)*(IF(T272="",-1,T272)&lt;=1))*(1-(IF(T272="",-1,T272)=0)),IF(C272="peso_corporal",IF(ISNUMBER(E272),E272,0)+R272,R272)*(30+S272)*100+R272,0)=AA272,5,IF(IF((P272&gt;=3)*(1-(IF(Q272="",-1,Q272)&gt;=0)*(IF(Q272="",-1,Q272)&lt;=1))*(1-(IF(Q272="",-1,Q272)=0)),IF(C272="peso_corporal",IF(ISNUMBER(E272),E272,0)+O272,O272)*(30+P272)*100+O272,0)=AA272,4,IF(IF((M272&gt;=3)*(1-(IF(N272="",-1,N272)&gt;=0)*(IF(N272="",-1,N272)&lt;=1))*(1-(IF(N272="",-1,N272)=0)),IF(C272="peso_corporal",IF(ISNUMBER(E272),E272,0)+L272,L272)*(30+M272)*100+L272,0)=AA272,3,IF(IF((J272&gt;=3)*(1-(IF(K272="",-1,K272)&gt;=0)*(IF(K272="",-1,K272)&lt;=1))*(1-(IF(K272="",-1,K272)=0)),IF(C272="peso_corporal",IF(ISNUMBER(E272),E272,0)+I272,I272)*(30+J272)*100+I272,0)=AA272,2,IF(IF((G272&gt;=3)*(1-(IF(H272="",-1,H272)&gt;=0)*(IF(H272="",-1,H272)&lt;=1))*(1-(IF(H272="",-1,H272)=0)),IF(C272="peso_corporal",IF(ISNUMBER(E272),E272,0)+F272,F272)*(30+G272)*100+F272,0)=AA272,1,0))))))</f>
        <v>0</v>
      </c>
      <c r="AC272" s="69" t="str">
        <f>IF(X272&gt;0,"A"&amp;X272,IF(Z272&gt;0,"B"&amp;Z272,IF(AB272&gt;0,"C"&amp;AB272,"")))</f>
        <v/>
      </c>
    </row>
    <row r="273" spans="1:29" ht="6"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69"/>
      <c r="X273" s="69"/>
      <c r="Y273" s="69"/>
      <c r="Z273" s="69"/>
      <c r="AA273" s="69"/>
      <c r="AB273" s="69"/>
      <c r="AC273" s="69"/>
    </row>
    <row r="274" spans="1:29" ht="18" customHeight="1">
      <c r="A274" s="85" t="s">
        <v>77</v>
      </c>
      <c r="B274" s="73"/>
      <c r="C274" s="73"/>
      <c r="D274" s="73"/>
      <c r="E274" s="73"/>
      <c r="F274" s="73"/>
      <c r="G274" s="73"/>
      <c r="H274" s="73"/>
      <c r="I274" s="73"/>
      <c r="J274" s="73"/>
      <c r="K274" s="73"/>
      <c r="L274" s="73"/>
      <c r="M274" s="73"/>
      <c r="N274" s="73"/>
      <c r="O274" s="73"/>
      <c r="P274" s="73"/>
      <c r="Q274" s="73"/>
      <c r="R274" s="73"/>
      <c r="S274" s="73"/>
      <c r="T274" s="73"/>
      <c r="U274" s="73"/>
      <c r="V274" s="73"/>
      <c r="W274" s="69"/>
      <c r="X274" s="69"/>
      <c r="Y274" s="69"/>
      <c r="Z274" s="69"/>
      <c r="AA274" s="69"/>
      <c r="AB274" s="69"/>
      <c r="AC274" s="69"/>
    </row>
    <row r="275" spans="1:29" ht="15" customHeight="1">
      <c r="A275" s="75" t="s">
        <v>88</v>
      </c>
      <c r="B275" s="73"/>
      <c r="C275" s="73"/>
      <c r="D275" s="73"/>
      <c r="E275" s="73"/>
      <c r="F275" s="73"/>
      <c r="G275" s="73"/>
      <c r="H275" s="73"/>
      <c r="I275" s="73"/>
      <c r="J275" s="73"/>
      <c r="K275" s="73"/>
      <c r="L275" s="73"/>
      <c r="M275" s="73"/>
      <c r="N275" s="73"/>
      <c r="O275" s="73"/>
      <c r="P275" s="73"/>
      <c r="Q275" s="73"/>
      <c r="R275" s="73"/>
      <c r="S275" s="73"/>
      <c r="T275" s="73"/>
      <c r="U275" s="73"/>
      <c r="V275" s="73"/>
      <c r="W275" s="69"/>
      <c r="X275" s="69"/>
      <c r="Y275" s="69"/>
      <c r="Z275" s="69"/>
      <c r="AA275" s="69"/>
      <c r="AB275" s="69"/>
      <c r="AC275" s="69"/>
    </row>
    <row r="276" spans="1:29" ht="11.1" customHeight="1">
      <c r="A276" s="76" t="s">
        <v>89</v>
      </c>
      <c r="B276" s="73"/>
      <c r="C276" s="73"/>
      <c r="D276" s="73"/>
      <c r="E276" s="73"/>
      <c r="F276" s="73"/>
      <c r="G276" s="73"/>
      <c r="H276" s="73"/>
      <c r="I276" s="73"/>
      <c r="J276" s="73"/>
      <c r="K276" s="73"/>
      <c r="L276" s="73"/>
      <c r="M276" s="73"/>
      <c r="N276" s="73"/>
      <c r="O276" s="73"/>
      <c r="P276" s="73"/>
      <c r="Q276" s="73"/>
      <c r="R276" s="73"/>
      <c r="S276" s="73"/>
      <c r="T276" s="73"/>
      <c r="U276" s="73"/>
      <c r="V276" s="73"/>
      <c r="W276" s="69"/>
      <c r="X276" s="69"/>
      <c r="Y276" s="69"/>
      <c r="Z276" s="69"/>
      <c r="AA276" s="69"/>
      <c r="AB276" s="69"/>
      <c r="AC276" s="69"/>
    </row>
    <row r="277" spans="1:29" ht="20.100000000000001" customHeight="1">
      <c r="A277" s="14" t="s">
        <v>92</v>
      </c>
      <c r="B277" s="15" t="s">
        <v>108</v>
      </c>
      <c r="C277" s="16" t="str">
        <f>IFERROR(INDEX(EJERCICIOS!$D$3:$D$75,MATCH(A277&amp;"|"&amp;B277,EJERCICIOS!$G$3:$G$75,0)),"--")</f>
        <v>polea</v>
      </c>
      <c r="D277" s="17">
        <v>3</v>
      </c>
      <c r="E277" s="18">
        <f>IFERROR(LOOKUP(2,1/(MEDIDAS_Y_PESO!$B$3:$B$14&lt;&gt;""),MEDIDAS_Y_PESO!$B$3:$B$14),"--")</f>
        <v>80</v>
      </c>
      <c r="F277" s="19"/>
      <c r="G277" s="20"/>
      <c r="H277" s="21"/>
      <c r="I277" s="19"/>
      <c r="J277" s="20"/>
      <c r="K277" s="21"/>
      <c r="L277" s="19"/>
      <c r="M277" s="20"/>
      <c r="N277" s="21"/>
      <c r="O277" s="19"/>
      <c r="P277" s="20"/>
      <c r="Q277" s="21"/>
      <c r="R277" s="19"/>
      <c r="S277" s="20"/>
      <c r="T277" s="21"/>
      <c r="U277" s="22" t="str">
        <f>IFERROR(IF(IF(X277&gt;0,X277,IF(Z277&gt;0,Z277,IF(AB277&gt;0,AB277,0)))=0,"--",ROUND(CHOOSE(IF(X277&gt;0,X277,IF(Z277&gt;0,Z277,IF(AB277&gt;0,AB277,0))),IF(C277="peso_corporal",IF(ISNUMBER(E277),E277,0)+F277,F277)*(1+G277/30),IF(C277="peso_corporal",IF(ISNUMBER(E277),E277,0)+I277,I277)*(1+J277/30),IF(C277="peso_corporal",IF(ISNUMBER(E277),E277,0)+L277,L277)*(1+M277/30),IF(C277="peso_corporal",IF(ISNUMBER(E277),E277,0)+O277,O277)*(1+P277/30),IF(C277="peso_corporal",IF(ISNUMBER(E277),E277,0)+R277,R277)*(1+S277/30)),1)),"--")</f>
        <v>--</v>
      </c>
      <c r="V277" s="23" t="str">
        <f>IF(SUGERENCIAS!N747="SIN","Sin datos anteriores",IF(SUGERENCIAS!N747="SUBIR_F","^ SUBIR FUERTE | Kg:"&amp;ROUND(SUGERENCIAS!K747,1)&amp;" R:"&amp;ROUND(SUGERENCIAS!L747,0)&amp;" RIR:"&amp;ROUND(SUGERENCIAS!M747,0),IF(SUGERENCIAS!N747="SUBIR_E","^ SUBIR (Est.) | Kg:"&amp;ROUND(SUGERENCIAS!K747,1)&amp;" R:"&amp;ROUND(SUGERENCIAS!L747,0)&amp;" RIR:"&amp;ROUND(SUGERENCIAS!M747,0),IF(SUGERENCIAS!N747="SUBIR","^ SUBIR | Kg:"&amp;ROUND(SUGERENCIAS!K747,1)&amp;" R:"&amp;ROUND(SUGERENCIAS!L747,0)&amp;" RIR:"&amp;ROUND(SUGERENCIAS!M747,0),IF(SUGERENCIAS!N747="BAJAR","v BAJAR | Kg:"&amp;ROUND(SUGERENCIAS!K747,1)&amp;" R:"&amp;ROUND(SUGERENCIAS!L747,0)&amp;" RIR:"&amp;ROUND(SUGERENCIAS!M747,0),"= MANT | Kg:"&amp;ROUND(SUGERENCIAS!K747,1)&amp;" R:"&amp;ROUND(SUGERENCIAS!L747,0)&amp;" RIR:"&amp;ROUND(SUGERENCIAS!M747,0))))))</f>
        <v>Sin datos anteriores</v>
      </c>
      <c r="W277" s="69">
        <f>MAX(IF((G277&gt;0)*(IF(H277="",-1,H277)&gt;=3)*(IF(H277="",-1,H277)&lt;=4),IF(C277="peso_corporal",IF(ISNUMBER(E277),E277,0)+F277,F277)*G277*1000+F277,0),IF((J277&gt;0)*(IF(K277="",-1,K277)&gt;=3)*(IF(K277="",-1,K277)&lt;=4),IF(C277="peso_corporal",IF(ISNUMBER(E277),E277,0)+I277,I277)*J277*1000+I277,0),IF((M277&gt;0)*(IF(N277="",-1,N277)&gt;=3)*(IF(N277="",-1,N277)&lt;=4),IF(C277="peso_corporal",IF(ISNUMBER(E277),E277,0)+L277,L277)*M277*1000+L277,0),IF((P277&gt;0)*(IF(Q277="",-1,Q277)&gt;=3)*(IF(Q277="",-1,Q277)&lt;=4),IF(C277="peso_corporal",IF(ISNUMBER(E277),E277,0)+O277,O277)*P277*1000+O277,0),IF((S277&gt;0)*(IF(T277="",-1,T277)&gt;=3)*(IF(T277="",-1,T277)&lt;=4),IF(C277="peso_corporal",IF(ISNUMBER(E277),E277,0)+R277,R277)*S277*1000+R277,0))</f>
        <v>0</v>
      </c>
      <c r="X277" s="69">
        <f>IF(W277=0,0,IF(IF((S277&gt;0)*(IF(T277="",-1,T277)&gt;=3)*(IF(T277="",-1,T277)&lt;=4),IF(C277="peso_corporal",IF(ISNUMBER(E277),E277,0)+R277,R277)*S277*1000+R277,0)=W277,5,IF(IF((P277&gt;0)*(IF(Q277="",-1,Q277)&gt;=3)*(IF(Q277="",-1,Q277)&lt;=4),IF(C277="peso_corporal",IF(ISNUMBER(E277),E277,0)+O277,O277)*P277*1000+O277,0)=W277,4,IF(IF((M277&gt;0)*(IF(N277="",-1,N277)&gt;=3)*(IF(N277="",-1,N277)&lt;=4),IF(C277="peso_corporal",IF(ISNUMBER(E277),E277,0)+L277,L277)*M277*1000+L277,0)=W277,3,IF(IF((J277&gt;0)*(IF(K277="",-1,K277)&gt;=3)*(IF(K277="",-1,K277)&lt;=4),IF(C277="peso_corporal",IF(ISNUMBER(E277),E277,0)+I277,I277)*J277*1000+I277,0)=W277,2,IF(IF((G277&gt;0)*(IF(H277="",-1,H277)&gt;=3)*(IF(H277="",-1,H277)&lt;=4),IF(C277="peso_corporal",IF(ISNUMBER(E277),E277,0)+F277,F277)*G277*1000+F277,0)=W277,1,0))))))</f>
        <v>0</v>
      </c>
      <c r="Y277" s="69">
        <f>MAX(IF((G277&gt;0)*(IF(H277="",-1,H277)=0)*(1-(IF(H277="",-1,H277)&gt;=3)*(IF(H277="",-1,H277)&lt;=4)),IF(C277="peso_corporal",IF(ISNUMBER(E277),E277,0)+F277,F277)*G277*1000+F277,0),IF((J277&gt;0)*(IF(K277="",-1,K277)=0)*(1-(IF(K277="",-1,K277)&gt;=3)*(IF(K277="",-1,K277)&lt;=4)),IF(C277="peso_corporal",IF(ISNUMBER(E277),E277,0)+I277,I277)*J277*1000+I277,0),IF((M277&gt;0)*(IF(N277="",-1,N277)=0)*(1-(IF(N277="",-1,N277)&gt;=3)*(IF(N277="",-1,N277)&lt;=4)),IF(C277="peso_corporal",IF(ISNUMBER(E277),E277,0)+L277,L277)*M277*1000+L277,0),IF((P277&gt;0)*(IF(Q277="",-1,Q277)=0)*(1-(IF(Q277="",-1,Q277)&gt;=3)*(IF(Q277="",-1,Q277)&lt;=4)),IF(C277="peso_corporal",IF(ISNUMBER(E277),E277,0)+O277,O277)*P277*1000+O277,0),IF((S277&gt;0)*(IF(T277="",-1,T277)=0)*(1-(IF(T277="",-1,T277)&gt;=3)*(IF(T277="",-1,T277)&lt;=4)),IF(C277="peso_corporal",IF(ISNUMBER(E277),E277,0)+R277,R277)*S277*1000+R277,0))</f>
        <v>0</v>
      </c>
      <c r="Z277" s="69">
        <f>IF(Y277=0,0,IF(IF((S277&gt;0)*(IF(T277="",-1,T277)=0)*(1-(IF(T277="",-1,T277)&gt;=3)*(IF(T277="",-1,T277)&lt;=4)),IF(C277="peso_corporal",IF(ISNUMBER(E277),E277,0)+R277,R277)*S277*1000+R277,0)=Y277,5,IF(IF((P277&gt;0)*(IF(Q277="",-1,Q277)=0)*(1-(IF(Q277="",-1,Q277)&gt;=3)*(IF(Q277="",-1,Q277)&lt;=4)),IF(C277="peso_corporal",IF(ISNUMBER(E277),E277,0)+O277,O277)*P277*1000+O277,0)=Y277,4,IF(IF((M277&gt;0)*(IF(N277="",-1,N277)=0)*(1-(IF(N277="",-1,N277)&gt;=3)*(IF(N277="",-1,N277)&lt;=4)),IF(C277="peso_corporal",IF(ISNUMBER(E277),E277,0)+L277,L277)*M277*1000+L277,0)=Y277,3,IF(IF((J277&gt;0)*(IF(K277="",-1,K277)=0)*(1-(IF(K277="",-1,K277)&gt;=3)*(IF(K277="",-1,K277)&lt;=4)),IF(C277="peso_corporal",IF(ISNUMBER(E277),E277,0)+I277,I277)*J277*1000+I277,0)=Y277,2,IF(IF((G277&gt;0)*(IF(H277="",-1,H277)=0)*(1-(IF(H277="",-1,H277)&gt;=3)*(IF(H277="",-1,H277)&lt;=4)),IF(C277="peso_corporal",IF(ISNUMBER(E277),E277,0)+F277,F277)*G277*1000+F277,0)=Y277,1,0))))))</f>
        <v>0</v>
      </c>
      <c r="AA277" s="69">
        <f>MAX(IF((G277&gt;=12)*(1-(IF(H277="",-1,H277)&gt;=3)*(IF(H277="",-1,H277)&lt;=4))*(1-(IF(H277="",-1,H277)=0)),IF(C277="peso_corporal",IF(ISNUMBER(E277),E277,0)+F277,F277)*(30+G277)*100+F277,0),IF((J277&gt;=12)*(1-(IF(K277="",-1,K277)&gt;=3)*(IF(K277="",-1,K277)&lt;=4))*(1-(IF(K277="",-1,K277)=0)),IF(C277="peso_corporal",IF(ISNUMBER(E277),E277,0)+I277,I277)*(30+J277)*100+I277,0),IF((M277&gt;=12)*(1-(IF(N277="",-1,N277)&gt;=3)*(IF(N277="",-1,N277)&lt;=4))*(1-(IF(N277="",-1,N277)=0)),IF(C277="peso_corporal",IF(ISNUMBER(E277),E277,0)+L277,L277)*(30+M277)*100+L277,0),IF((P277&gt;=12)*(1-(IF(Q277="",-1,Q277)&gt;=3)*(IF(Q277="",-1,Q277)&lt;=4))*(1-(IF(Q277="",-1,Q277)=0)),IF(C277="peso_corporal",IF(ISNUMBER(E277),E277,0)+O277,O277)*(30+P277)*100+O277,0),IF((S277&gt;=12)*(1-(IF(T277="",-1,T277)&gt;=3)*(IF(T277="",-1,T277)&lt;=4))*(1-(IF(T277="",-1,T277)=0)),IF(C277="peso_corporal",IF(ISNUMBER(E277),E277,0)+R277,R277)*(30+S277)*100+R277,0))</f>
        <v>0</v>
      </c>
      <c r="AB277" s="69">
        <f>IF(AA277=0,0,IF(IF((S277&gt;=12)*(1-(IF(T277="",-1,T277)&gt;=3)*(IF(T277="",-1,T277)&lt;=4))*(1-(IF(T277="",-1,T277)=0)),IF(C277="peso_corporal",IF(ISNUMBER(E277),E277,0)+R277,R277)*(30+S277)*100+R277,0)=AA277,5,IF(IF((P277&gt;=12)*(1-(IF(Q277="",-1,Q277)&gt;=3)*(IF(Q277="",-1,Q277)&lt;=4))*(1-(IF(Q277="",-1,Q277)=0)),IF(C277="peso_corporal",IF(ISNUMBER(E277),E277,0)+O277,O277)*(30+P277)*100+O277,0)=AA277,4,IF(IF((M277&gt;=12)*(1-(IF(N277="",-1,N277)&gt;=3)*(IF(N277="",-1,N277)&lt;=4))*(1-(IF(N277="",-1,N277)=0)),IF(C277="peso_corporal",IF(ISNUMBER(E277),E277,0)+L277,L277)*(30+M277)*100+L277,0)=AA277,3,IF(IF((J277&gt;=12)*(1-(IF(K277="",-1,K277)&gt;=3)*(IF(K277="",-1,K277)&lt;=4))*(1-(IF(K277="",-1,K277)=0)),IF(C277="peso_corporal",IF(ISNUMBER(E277),E277,0)+I277,I277)*(30+J277)*100+I277,0)=AA277,2,IF(IF((G277&gt;=12)*(1-(IF(H277="",-1,H277)&gt;=3)*(IF(H277="",-1,H277)&lt;=4))*(1-(IF(H277="",-1,H277)=0)),IF(C277="peso_corporal",IF(ISNUMBER(E277),E277,0)+F277,F277)*(30+G277)*100+F277,0)=AA277,1,0))))))</f>
        <v>0</v>
      </c>
      <c r="AC277" s="69" t="str">
        <f>IF(X277&gt;0,"A"&amp;X277,IF(Z277&gt;0,"B"&amp;Z277,IF(AB277&gt;0,"C"&amp;AB277,"")))</f>
        <v/>
      </c>
    </row>
    <row r="278" spans="1:29" ht="11.1" customHeight="1">
      <c r="A278" s="84" t="s">
        <v>94</v>
      </c>
      <c r="B278" s="73"/>
      <c r="C278" s="73"/>
      <c r="D278" s="73"/>
      <c r="E278" s="73"/>
      <c r="F278" s="73"/>
      <c r="G278" s="73"/>
      <c r="H278" s="73"/>
      <c r="I278" s="73"/>
      <c r="J278" s="73"/>
      <c r="K278" s="73"/>
      <c r="L278" s="73"/>
      <c r="M278" s="73"/>
      <c r="N278" s="73"/>
      <c r="O278" s="73"/>
      <c r="P278" s="73"/>
      <c r="Q278" s="73"/>
      <c r="R278" s="73"/>
      <c r="S278" s="73"/>
      <c r="T278" s="73"/>
      <c r="U278" s="73"/>
      <c r="V278" s="73"/>
      <c r="W278" s="69"/>
      <c r="X278" s="69"/>
      <c r="Y278" s="69"/>
      <c r="Z278" s="69"/>
      <c r="AA278" s="69"/>
      <c r="AB278" s="69"/>
      <c r="AC278" s="69"/>
    </row>
    <row r="279" spans="1:29" ht="20.100000000000001" customHeight="1">
      <c r="A279" s="14" t="s">
        <v>95</v>
      </c>
      <c r="B279" s="15" t="s">
        <v>172</v>
      </c>
      <c r="C279" s="16" t="str">
        <f>IFERROR(INDEX(EJERCICIOS!$D$3:$D$75,MATCH(A279&amp;"|"&amp;B279,EJERCICIOS!$G$3:$G$75,0)),"--")</f>
        <v>polea</v>
      </c>
      <c r="D279" s="17">
        <v>3</v>
      </c>
      <c r="E279" s="18">
        <f>IFERROR(LOOKUP(2,1/(MEDIDAS_Y_PESO!$B$3:$B$14&lt;&gt;""),MEDIDAS_Y_PESO!$B$3:$B$14),"--")</f>
        <v>80</v>
      </c>
      <c r="F279" s="19"/>
      <c r="G279" s="20"/>
      <c r="H279" s="21"/>
      <c r="I279" s="19"/>
      <c r="J279" s="20"/>
      <c r="K279" s="21"/>
      <c r="L279" s="19"/>
      <c r="M279" s="20"/>
      <c r="N279" s="21"/>
      <c r="O279" s="19"/>
      <c r="P279" s="20"/>
      <c r="Q279" s="21"/>
      <c r="R279" s="19"/>
      <c r="S279" s="20"/>
      <c r="T279" s="21"/>
      <c r="U279" s="22" t="str">
        <f>IFERROR(IF(IF(X279&gt;0,X279,IF(Z279&gt;0,Z279,IF(AB279&gt;0,AB279,0)))=0,"--",ROUND(CHOOSE(IF(X279&gt;0,X279,IF(Z279&gt;0,Z279,IF(AB279&gt;0,AB279,0))),IF(C279="peso_corporal",IF(ISNUMBER(E279),E279,0)+F279,F279)*(1+G279/30),IF(C279="peso_corporal",IF(ISNUMBER(E279),E279,0)+I279,I279)*(1+J279/30),IF(C279="peso_corporal",IF(ISNUMBER(E279),E279,0)+L279,L279)*(1+M279/30),IF(C279="peso_corporal",IF(ISNUMBER(E279),E279,0)+O279,O279)*(1+P279/30),IF(C279="peso_corporal",IF(ISNUMBER(E279),E279,0)+R279,R279)*(1+S279/30)),1)),"--")</f>
        <v>--</v>
      </c>
      <c r="V279" s="23" t="str">
        <f>IF(SUGERENCIAS!N748="SIN","Sin datos anteriores",IF(SUGERENCIAS!N748="SUBIR_F","^ SUBIR FUERTE | Kg:"&amp;ROUND(SUGERENCIAS!K748,1)&amp;" R:"&amp;ROUND(SUGERENCIAS!L748,0)&amp;" RIR:"&amp;ROUND(SUGERENCIAS!M748,0),IF(SUGERENCIAS!N748="SUBIR_E","^ SUBIR (Est.) | Kg:"&amp;ROUND(SUGERENCIAS!K748,1)&amp;" R:"&amp;ROUND(SUGERENCIAS!L748,0)&amp;" RIR:"&amp;ROUND(SUGERENCIAS!M748,0),IF(SUGERENCIAS!N748="SUBIR","^ SUBIR | Kg:"&amp;ROUND(SUGERENCIAS!K748,1)&amp;" R:"&amp;ROUND(SUGERENCIAS!L748,0)&amp;" RIR:"&amp;ROUND(SUGERENCIAS!M748,0),IF(SUGERENCIAS!N748="BAJAR","v BAJAR | Kg:"&amp;ROUND(SUGERENCIAS!K748,1)&amp;" R:"&amp;ROUND(SUGERENCIAS!L748,0)&amp;" RIR:"&amp;ROUND(SUGERENCIAS!M748,0),"= MANT | Kg:"&amp;ROUND(SUGERENCIAS!K748,1)&amp;" R:"&amp;ROUND(SUGERENCIAS!L748,0)&amp;" RIR:"&amp;ROUND(SUGERENCIAS!M748,0))))))</f>
        <v>Sin datos anteriores</v>
      </c>
      <c r="W279" s="69">
        <f>MAX(IF((G279&gt;0)*(IF(H279="",-1,H279)&gt;=3)*(IF(H279="",-1,H279)&lt;=4),IF(C279="peso_corporal",IF(ISNUMBER(E279),E279,0)+F279,F279)*G279*1000+F279,0),IF((J279&gt;0)*(IF(K279="",-1,K279)&gt;=3)*(IF(K279="",-1,K279)&lt;=4),IF(C279="peso_corporal",IF(ISNUMBER(E279),E279,0)+I279,I279)*J279*1000+I279,0),IF((M279&gt;0)*(IF(N279="",-1,N279)&gt;=3)*(IF(N279="",-1,N279)&lt;=4),IF(C279="peso_corporal",IF(ISNUMBER(E279),E279,0)+L279,L279)*M279*1000+L279,0),IF((P279&gt;0)*(IF(Q279="",-1,Q279)&gt;=3)*(IF(Q279="",-1,Q279)&lt;=4),IF(C279="peso_corporal",IF(ISNUMBER(E279),E279,0)+O279,O279)*P279*1000+O279,0),IF((S279&gt;0)*(IF(T279="",-1,T279)&gt;=3)*(IF(T279="",-1,T279)&lt;=4),IF(C279="peso_corporal",IF(ISNUMBER(E279),E279,0)+R279,R279)*S279*1000+R279,0))</f>
        <v>0</v>
      </c>
      <c r="X279" s="69">
        <f>IF(W279=0,0,IF(IF((S279&gt;0)*(IF(T279="",-1,T279)&gt;=3)*(IF(T279="",-1,T279)&lt;=4),IF(C279="peso_corporal",IF(ISNUMBER(E279),E279,0)+R279,R279)*S279*1000+R279,0)=W279,5,IF(IF((P279&gt;0)*(IF(Q279="",-1,Q279)&gt;=3)*(IF(Q279="",-1,Q279)&lt;=4),IF(C279="peso_corporal",IF(ISNUMBER(E279),E279,0)+O279,O279)*P279*1000+O279,0)=W279,4,IF(IF((M279&gt;0)*(IF(N279="",-1,N279)&gt;=3)*(IF(N279="",-1,N279)&lt;=4),IF(C279="peso_corporal",IF(ISNUMBER(E279),E279,0)+L279,L279)*M279*1000+L279,0)=W279,3,IF(IF((J279&gt;0)*(IF(K279="",-1,K279)&gt;=3)*(IF(K279="",-1,K279)&lt;=4),IF(C279="peso_corporal",IF(ISNUMBER(E279),E279,0)+I279,I279)*J279*1000+I279,0)=W279,2,IF(IF((G279&gt;0)*(IF(H279="",-1,H279)&gt;=3)*(IF(H279="",-1,H279)&lt;=4),IF(C279="peso_corporal",IF(ISNUMBER(E279),E279,0)+F279,F279)*G279*1000+F279,0)=W279,1,0))))))</f>
        <v>0</v>
      </c>
      <c r="Y279" s="69">
        <f>MAX(IF((G279&gt;0)*(IF(H279="",-1,H279)=0)*(1-(IF(H279="",-1,H279)&gt;=3)*(IF(H279="",-1,H279)&lt;=4)),IF(C279="peso_corporal",IF(ISNUMBER(E279),E279,0)+F279,F279)*G279*1000+F279,0),IF((J279&gt;0)*(IF(K279="",-1,K279)=0)*(1-(IF(K279="",-1,K279)&gt;=3)*(IF(K279="",-1,K279)&lt;=4)),IF(C279="peso_corporal",IF(ISNUMBER(E279),E279,0)+I279,I279)*J279*1000+I279,0),IF((M279&gt;0)*(IF(N279="",-1,N279)=0)*(1-(IF(N279="",-1,N279)&gt;=3)*(IF(N279="",-1,N279)&lt;=4)),IF(C279="peso_corporal",IF(ISNUMBER(E279),E279,0)+L279,L279)*M279*1000+L279,0),IF((P279&gt;0)*(IF(Q279="",-1,Q279)=0)*(1-(IF(Q279="",-1,Q279)&gt;=3)*(IF(Q279="",-1,Q279)&lt;=4)),IF(C279="peso_corporal",IF(ISNUMBER(E279),E279,0)+O279,O279)*P279*1000+O279,0),IF((S279&gt;0)*(IF(T279="",-1,T279)=0)*(1-(IF(T279="",-1,T279)&gt;=3)*(IF(T279="",-1,T279)&lt;=4)),IF(C279="peso_corporal",IF(ISNUMBER(E279),E279,0)+R279,R279)*S279*1000+R279,0))</f>
        <v>0</v>
      </c>
      <c r="Z279" s="69">
        <f>IF(Y279=0,0,IF(IF((S279&gt;0)*(IF(T279="",-1,T279)=0)*(1-(IF(T279="",-1,T279)&gt;=3)*(IF(T279="",-1,T279)&lt;=4)),IF(C279="peso_corporal",IF(ISNUMBER(E279),E279,0)+R279,R279)*S279*1000+R279,0)=Y279,5,IF(IF((P279&gt;0)*(IF(Q279="",-1,Q279)=0)*(1-(IF(Q279="",-1,Q279)&gt;=3)*(IF(Q279="",-1,Q279)&lt;=4)),IF(C279="peso_corporal",IF(ISNUMBER(E279),E279,0)+O279,O279)*P279*1000+O279,0)=Y279,4,IF(IF((M279&gt;0)*(IF(N279="",-1,N279)=0)*(1-(IF(N279="",-1,N279)&gt;=3)*(IF(N279="",-1,N279)&lt;=4)),IF(C279="peso_corporal",IF(ISNUMBER(E279),E279,0)+L279,L279)*M279*1000+L279,0)=Y279,3,IF(IF((J279&gt;0)*(IF(K279="",-1,K279)=0)*(1-(IF(K279="",-1,K279)&gt;=3)*(IF(K279="",-1,K279)&lt;=4)),IF(C279="peso_corporal",IF(ISNUMBER(E279),E279,0)+I279,I279)*J279*1000+I279,0)=Y279,2,IF(IF((G279&gt;0)*(IF(H279="",-1,H279)=0)*(1-(IF(H279="",-1,H279)&gt;=3)*(IF(H279="",-1,H279)&lt;=4)),IF(C279="peso_corporal",IF(ISNUMBER(E279),E279,0)+F279,F279)*G279*1000+F279,0)=Y279,1,0))))))</f>
        <v>0</v>
      </c>
      <c r="AA279" s="69">
        <f>MAX(IF((G279&gt;=12)*(1-(IF(H279="",-1,H279)&gt;=3)*(IF(H279="",-1,H279)&lt;=4))*(1-(IF(H279="",-1,H279)=0)),IF(C279="peso_corporal",IF(ISNUMBER(E279),E279,0)+F279,F279)*(30+G279)*100+F279,0),IF((J279&gt;=12)*(1-(IF(K279="",-1,K279)&gt;=3)*(IF(K279="",-1,K279)&lt;=4))*(1-(IF(K279="",-1,K279)=0)),IF(C279="peso_corporal",IF(ISNUMBER(E279),E279,0)+I279,I279)*(30+J279)*100+I279,0),IF((M279&gt;=12)*(1-(IF(N279="",-1,N279)&gt;=3)*(IF(N279="",-1,N279)&lt;=4))*(1-(IF(N279="",-1,N279)=0)),IF(C279="peso_corporal",IF(ISNUMBER(E279),E279,0)+L279,L279)*(30+M279)*100+L279,0),IF((P279&gt;=12)*(1-(IF(Q279="",-1,Q279)&gt;=3)*(IF(Q279="",-1,Q279)&lt;=4))*(1-(IF(Q279="",-1,Q279)=0)),IF(C279="peso_corporal",IF(ISNUMBER(E279),E279,0)+O279,O279)*(30+P279)*100+O279,0),IF((S279&gt;=12)*(1-(IF(T279="",-1,T279)&gt;=3)*(IF(T279="",-1,T279)&lt;=4))*(1-(IF(T279="",-1,T279)=0)),IF(C279="peso_corporal",IF(ISNUMBER(E279),E279,0)+R279,R279)*(30+S279)*100+R279,0))</f>
        <v>0</v>
      </c>
      <c r="AB279" s="69">
        <f>IF(AA279=0,0,IF(IF((S279&gt;=12)*(1-(IF(T279="",-1,T279)&gt;=3)*(IF(T279="",-1,T279)&lt;=4))*(1-(IF(T279="",-1,T279)=0)),IF(C279="peso_corporal",IF(ISNUMBER(E279),E279,0)+R279,R279)*(30+S279)*100+R279,0)=AA279,5,IF(IF((P279&gt;=12)*(1-(IF(Q279="",-1,Q279)&gt;=3)*(IF(Q279="",-1,Q279)&lt;=4))*(1-(IF(Q279="",-1,Q279)=0)),IF(C279="peso_corporal",IF(ISNUMBER(E279),E279,0)+O279,O279)*(30+P279)*100+O279,0)=AA279,4,IF(IF((M279&gt;=12)*(1-(IF(N279="",-1,N279)&gt;=3)*(IF(N279="",-1,N279)&lt;=4))*(1-(IF(N279="",-1,N279)=0)),IF(C279="peso_corporal",IF(ISNUMBER(E279),E279,0)+L279,L279)*(30+M279)*100+L279,0)=AA279,3,IF(IF((J279&gt;=12)*(1-(IF(K279="",-1,K279)&gt;=3)*(IF(K279="",-1,K279)&lt;=4))*(1-(IF(K279="",-1,K279)=0)),IF(C279="peso_corporal",IF(ISNUMBER(E279),E279,0)+I279,I279)*(30+J279)*100+I279,0)=AA279,2,IF(IF((G279&gt;=12)*(1-(IF(H279="",-1,H279)&gt;=3)*(IF(H279="",-1,H279)&lt;=4))*(1-(IF(H279="",-1,H279)=0)),IF(C279="peso_corporal",IF(ISNUMBER(E279),E279,0)+F279,F279)*(30+G279)*100+F279,0)=AA279,1,0))))))</f>
        <v>0</v>
      </c>
      <c r="AC279" s="69" t="str">
        <f>IF(X279&gt;0,"A"&amp;X279,IF(Z279&gt;0,"B"&amp;Z279,IF(AB279&gt;0,"C"&amp;AB279,"")))</f>
        <v/>
      </c>
    </row>
    <row r="280" spans="1:29" ht="20.100000000000001" customHeight="1">
      <c r="A280" s="14" t="s">
        <v>95</v>
      </c>
      <c r="B280" s="15" t="s">
        <v>173</v>
      </c>
      <c r="C280" s="16" t="str">
        <f>IFERROR(INDEX(EJERCICIOS!$D$3:$D$75,MATCH(A280&amp;"|"&amp;B280,EJERCICIOS!$G$3:$G$75,0)),"--")</f>
        <v>polea</v>
      </c>
      <c r="D280" s="17">
        <v>3</v>
      </c>
      <c r="E280" s="18">
        <f>IFERROR(LOOKUP(2,1/(MEDIDAS_Y_PESO!$B$3:$B$14&lt;&gt;""),MEDIDAS_Y_PESO!$B$3:$B$14),"--")</f>
        <v>80</v>
      </c>
      <c r="F280" s="19"/>
      <c r="G280" s="20"/>
      <c r="H280" s="21"/>
      <c r="I280" s="19"/>
      <c r="J280" s="20"/>
      <c r="K280" s="21"/>
      <c r="L280" s="19"/>
      <c r="M280" s="20"/>
      <c r="N280" s="21"/>
      <c r="O280" s="19"/>
      <c r="P280" s="20"/>
      <c r="Q280" s="21"/>
      <c r="R280" s="19"/>
      <c r="S280" s="20"/>
      <c r="T280" s="21"/>
      <c r="U280" s="22" t="str">
        <f>IFERROR(IF(IF(X280&gt;0,X280,IF(Z280&gt;0,Z280,IF(AB280&gt;0,AB280,0)))=0,"--",ROUND(CHOOSE(IF(X280&gt;0,X280,IF(Z280&gt;0,Z280,IF(AB280&gt;0,AB280,0))),IF(C280="peso_corporal",IF(ISNUMBER(E280),E280,0)+F280,F280)*(1+G280/30),IF(C280="peso_corporal",IF(ISNUMBER(E280),E280,0)+I280,I280)*(1+J280/30),IF(C280="peso_corporal",IF(ISNUMBER(E280),E280,0)+L280,L280)*(1+M280/30),IF(C280="peso_corporal",IF(ISNUMBER(E280),E280,0)+O280,O280)*(1+P280/30),IF(C280="peso_corporal",IF(ISNUMBER(E280),E280,0)+R280,R280)*(1+S280/30)),1)),"--")</f>
        <v>--</v>
      </c>
      <c r="V280" s="23" t="str">
        <f>IF(SUGERENCIAS!N749="SIN","Sin datos anteriores",IF(SUGERENCIAS!N749="SUBIR_F","^ SUBIR FUERTE | Kg:"&amp;ROUND(SUGERENCIAS!K749,1)&amp;" R:"&amp;ROUND(SUGERENCIAS!L749,0)&amp;" RIR:"&amp;ROUND(SUGERENCIAS!M749,0),IF(SUGERENCIAS!N749="SUBIR_E","^ SUBIR (Est.) | Kg:"&amp;ROUND(SUGERENCIAS!K749,1)&amp;" R:"&amp;ROUND(SUGERENCIAS!L749,0)&amp;" RIR:"&amp;ROUND(SUGERENCIAS!M749,0),IF(SUGERENCIAS!N749="SUBIR","^ SUBIR | Kg:"&amp;ROUND(SUGERENCIAS!K749,1)&amp;" R:"&amp;ROUND(SUGERENCIAS!L749,0)&amp;" RIR:"&amp;ROUND(SUGERENCIAS!M749,0),IF(SUGERENCIAS!N749="BAJAR","v BAJAR | Kg:"&amp;ROUND(SUGERENCIAS!K749,1)&amp;" R:"&amp;ROUND(SUGERENCIAS!L749,0)&amp;" RIR:"&amp;ROUND(SUGERENCIAS!M749,0),"= MANT | Kg:"&amp;ROUND(SUGERENCIAS!K749,1)&amp;" R:"&amp;ROUND(SUGERENCIAS!L749,0)&amp;" RIR:"&amp;ROUND(SUGERENCIAS!M749,0))))))</f>
        <v>Sin datos anteriores</v>
      </c>
      <c r="W280" s="69">
        <f>MAX(IF((G280&gt;0)*(IF(H280="",-1,H280)&gt;=3)*(IF(H280="",-1,H280)&lt;=4),IF(C280="peso_corporal",IF(ISNUMBER(E280),E280,0)+F280,F280)*G280*1000+F280,0),IF((J280&gt;0)*(IF(K280="",-1,K280)&gt;=3)*(IF(K280="",-1,K280)&lt;=4),IF(C280="peso_corporal",IF(ISNUMBER(E280),E280,0)+I280,I280)*J280*1000+I280,0),IF((M280&gt;0)*(IF(N280="",-1,N280)&gt;=3)*(IF(N280="",-1,N280)&lt;=4),IF(C280="peso_corporal",IF(ISNUMBER(E280),E280,0)+L280,L280)*M280*1000+L280,0),IF((P280&gt;0)*(IF(Q280="",-1,Q280)&gt;=3)*(IF(Q280="",-1,Q280)&lt;=4),IF(C280="peso_corporal",IF(ISNUMBER(E280),E280,0)+O280,O280)*P280*1000+O280,0),IF((S280&gt;0)*(IF(T280="",-1,T280)&gt;=3)*(IF(T280="",-1,T280)&lt;=4),IF(C280="peso_corporal",IF(ISNUMBER(E280),E280,0)+R280,R280)*S280*1000+R280,0))</f>
        <v>0</v>
      </c>
      <c r="X280" s="69">
        <f>IF(W280=0,0,IF(IF((S280&gt;0)*(IF(T280="",-1,T280)&gt;=3)*(IF(T280="",-1,T280)&lt;=4),IF(C280="peso_corporal",IF(ISNUMBER(E280),E280,0)+R280,R280)*S280*1000+R280,0)=W280,5,IF(IF((P280&gt;0)*(IF(Q280="",-1,Q280)&gt;=3)*(IF(Q280="",-1,Q280)&lt;=4),IF(C280="peso_corporal",IF(ISNUMBER(E280),E280,0)+O280,O280)*P280*1000+O280,0)=W280,4,IF(IF((M280&gt;0)*(IF(N280="",-1,N280)&gt;=3)*(IF(N280="",-1,N280)&lt;=4),IF(C280="peso_corporal",IF(ISNUMBER(E280),E280,0)+L280,L280)*M280*1000+L280,0)=W280,3,IF(IF((J280&gt;0)*(IF(K280="",-1,K280)&gt;=3)*(IF(K280="",-1,K280)&lt;=4),IF(C280="peso_corporal",IF(ISNUMBER(E280),E280,0)+I280,I280)*J280*1000+I280,0)=W280,2,IF(IF((G280&gt;0)*(IF(H280="",-1,H280)&gt;=3)*(IF(H280="",-1,H280)&lt;=4),IF(C280="peso_corporal",IF(ISNUMBER(E280),E280,0)+F280,F280)*G280*1000+F280,0)=W280,1,0))))))</f>
        <v>0</v>
      </c>
      <c r="Y280" s="69">
        <f>MAX(IF((G280&gt;0)*(IF(H280="",-1,H280)=0)*(1-(IF(H280="",-1,H280)&gt;=3)*(IF(H280="",-1,H280)&lt;=4)),IF(C280="peso_corporal",IF(ISNUMBER(E280),E280,0)+F280,F280)*G280*1000+F280,0),IF((J280&gt;0)*(IF(K280="",-1,K280)=0)*(1-(IF(K280="",-1,K280)&gt;=3)*(IF(K280="",-1,K280)&lt;=4)),IF(C280="peso_corporal",IF(ISNUMBER(E280),E280,0)+I280,I280)*J280*1000+I280,0),IF((M280&gt;0)*(IF(N280="",-1,N280)=0)*(1-(IF(N280="",-1,N280)&gt;=3)*(IF(N280="",-1,N280)&lt;=4)),IF(C280="peso_corporal",IF(ISNUMBER(E280),E280,0)+L280,L280)*M280*1000+L280,0),IF((P280&gt;0)*(IF(Q280="",-1,Q280)=0)*(1-(IF(Q280="",-1,Q280)&gt;=3)*(IF(Q280="",-1,Q280)&lt;=4)),IF(C280="peso_corporal",IF(ISNUMBER(E280),E280,0)+O280,O280)*P280*1000+O280,0),IF((S280&gt;0)*(IF(T280="",-1,T280)=0)*(1-(IF(T280="",-1,T280)&gt;=3)*(IF(T280="",-1,T280)&lt;=4)),IF(C280="peso_corporal",IF(ISNUMBER(E280),E280,0)+R280,R280)*S280*1000+R280,0))</f>
        <v>0</v>
      </c>
      <c r="Z280" s="69">
        <f>IF(Y280=0,0,IF(IF((S280&gt;0)*(IF(T280="",-1,T280)=0)*(1-(IF(T280="",-1,T280)&gt;=3)*(IF(T280="",-1,T280)&lt;=4)),IF(C280="peso_corporal",IF(ISNUMBER(E280),E280,0)+R280,R280)*S280*1000+R280,0)=Y280,5,IF(IF((P280&gt;0)*(IF(Q280="",-1,Q280)=0)*(1-(IF(Q280="",-1,Q280)&gt;=3)*(IF(Q280="",-1,Q280)&lt;=4)),IF(C280="peso_corporal",IF(ISNUMBER(E280),E280,0)+O280,O280)*P280*1000+O280,0)=Y280,4,IF(IF((M280&gt;0)*(IF(N280="",-1,N280)=0)*(1-(IF(N280="",-1,N280)&gt;=3)*(IF(N280="",-1,N280)&lt;=4)),IF(C280="peso_corporal",IF(ISNUMBER(E280),E280,0)+L280,L280)*M280*1000+L280,0)=Y280,3,IF(IF((J280&gt;0)*(IF(K280="",-1,K280)=0)*(1-(IF(K280="",-1,K280)&gt;=3)*(IF(K280="",-1,K280)&lt;=4)),IF(C280="peso_corporal",IF(ISNUMBER(E280),E280,0)+I280,I280)*J280*1000+I280,0)=Y280,2,IF(IF((G280&gt;0)*(IF(H280="",-1,H280)=0)*(1-(IF(H280="",-1,H280)&gt;=3)*(IF(H280="",-1,H280)&lt;=4)),IF(C280="peso_corporal",IF(ISNUMBER(E280),E280,0)+F280,F280)*G280*1000+F280,0)=Y280,1,0))))))</f>
        <v>0</v>
      </c>
      <c r="AA280" s="69">
        <f>MAX(IF((G280&gt;=12)*(1-(IF(H280="",-1,H280)&gt;=3)*(IF(H280="",-1,H280)&lt;=4))*(1-(IF(H280="",-1,H280)=0)),IF(C280="peso_corporal",IF(ISNUMBER(E280),E280,0)+F280,F280)*(30+G280)*100+F280,0),IF((J280&gt;=12)*(1-(IF(K280="",-1,K280)&gt;=3)*(IF(K280="",-1,K280)&lt;=4))*(1-(IF(K280="",-1,K280)=0)),IF(C280="peso_corporal",IF(ISNUMBER(E280),E280,0)+I280,I280)*(30+J280)*100+I280,0),IF((M280&gt;=12)*(1-(IF(N280="",-1,N280)&gt;=3)*(IF(N280="",-1,N280)&lt;=4))*(1-(IF(N280="",-1,N280)=0)),IF(C280="peso_corporal",IF(ISNUMBER(E280),E280,0)+L280,L280)*(30+M280)*100+L280,0),IF((P280&gt;=12)*(1-(IF(Q280="",-1,Q280)&gt;=3)*(IF(Q280="",-1,Q280)&lt;=4))*(1-(IF(Q280="",-1,Q280)=0)),IF(C280="peso_corporal",IF(ISNUMBER(E280),E280,0)+O280,O280)*(30+P280)*100+O280,0),IF((S280&gt;=12)*(1-(IF(T280="",-1,T280)&gt;=3)*(IF(T280="",-1,T280)&lt;=4))*(1-(IF(T280="",-1,T280)=0)),IF(C280="peso_corporal",IF(ISNUMBER(E280),E280,0)+R280,R280)*(30+S280)*100+R280,0))</f>
        <v>0</v>
      </c>
      <c r="AB280" s="69">
        <f>IF(AA280=0,0,IF(IF((S280&gt;=12)*(1-(IF(T280="",-1,T280)&gt;=3)*(IF(T280="",-1,T280)&lt;=4))*(1-(IF(T280="",-1,T280)=0)),IF(C280="peso_corporal",IF(ISNUMBER(E280),E280,0)+R280,R280)*(30+S280)*100+R280,0)=AA280,5,IF(IF((P280&gt;=12)*(1-(IF(Q280="",-1,Q280)&gt;=3)*(IF(Q280="",-1,Q280)&lt;=4))*(1-(IF(Q280="",-1,Q280)=0)),IF(C280="peso_corporal",IF(ISNUMBER(E280),E280,0)+O280,O280)*(30+P280)*100+O280,0)=AA280,4,IF(IF((M280&gt;=12)*(1-(IF(N280="",-1,N280)&gt;=3)*(IF(N280="",-1,N280)&lt;=4))*(1-(IF(N280="",-1,N280)=0)),IF(C280="peso_corporal",IF(ISNUMBER(E280),E280,0)+L280,L280)*(30+M280)*100+L280,0)=AA280,3,IF(IF((J280&gt;=12)*(1-(IF(K280="",-1,K280)&gt;=3)*(IF(K280="",-1,K280)&lt;=4))*(1-(IF(K280="",-1,K280)=0)),IF(C280="peso_corporal",IF(ISNUMBER(E280),E280,0)+I280,I280)*(30+J280)*100+I280,0)=AA280,2,IF(IF((G280&gt;=12)*(1-(IF(H280="",-1,H280)&gt;=3)*(IF(H280="",-1,H280)&lt;=4))*(1-(IF(H280="",-1,H280)=0)),IF(C280="peso_corporal",IF(ISNUMBER(E280),E280,0)+F280,F280)*(30+G280)*100+F280,0)=AA280,1,0))))))</f>
        <v>0</v>
      </c>
      <c r="AC280" s="69" t="str">
        <f>IF(X280&gt;0,"A"&amp;X280,IF(Z280&gt;0,"B"&amp;Z280,IF(AB280&gt;0,"C"&amp;AB280,"")))</f>
        <v/>
      </c>
    </row>
    <row r="281" spans="1:29" ht="20.100000000000001" customHeight="1">
      <c r="A281" s="14" t="s">
        <v>163</v>
      </c>
      <c r="B281" s="15" t="s">
        <v>52</v>
      </c>
      <c r="C281" s="16" t="str">
        <f>IFERROR(INDEX(EJERCICIOS!$D$3:$D$75,MATCH(A281&amp;"|"&amp;B281,EJERCICIOS!$G$3:$G$75,0)),"--")</f>
        <v>polea</v>
      </c>
      <c r="D281" s="17">
        <v>3</v>
      </c>
      <c r="E281" s="18">
        <f>IFERROR(LOOKUP(2,1/(MEDIDAS_Y_PESO!$B$3:$B$14&lt;&gt;""),MEDIDAS_Y_PESO!$B$3:$B$14),"--")</f>
        <v>80</v>
      </c>
      <c r="F281" s="19"/>
      <c r="G281" s="20"/>
      <c r="H281" s="21"/>
      <c r="I281" s="19"/>
      <c r="J281" s="20"/>
      <c r="K281" s="21"/>
      <c r="L281" s="19"/>
      <c r="M281" s="20"/>
      <c r="N281" s="21"/>
      <c r="O281" s="19"/>
      <c r="P281" s="20"/>
      <c r="Q281" s="21"/>
      <c r="R281" s="19"/>
      <c r="S281" s="20"/>
      <c r="T281" s="21"/>
      <c r="U281" s="22" t="str">
        <f>IFERROR(IF(IF(X281&gt;0,X281,IF(Z281&gt;0,Z281,IF(AB281&gt;0,AB281,0)))=0,"--",ROUND(CHOOSE(IF(X281&gt;0,X281,IF(Z281&gt;0,Z281,IF(AB281&gt;0,AB281,0))),IF(C281="peso_corporal",IF(ISNUMBER(E281),E281,0)+F281,F281)*(1+G281/30),IF(C281="peso_corporal",IF(ISNUMBER(E281),E281,0)+I281,I281)*(1+J281/30),IF(C281="peso_corporal",IF(ISNUMBER(E281),E281,0)+L281,L281)*(1+M281/30),IF(C281="peso_corporal",IF(ISNUMBER(E281),E281,0)+O281,O281)*(1+P281/30),IF(C281="peso_corporal",IF(ISNUMBER(E281),E281,0)+R281,R281)*(1+S281/30)),1)),"--")</f>
        <v>--</v>
      </c>
      <c r="V281" s="23" t="str">
        <f>IF(SUGERENCIAS!N750="SIN","Sin datos anteriores",IF(SUGERENCIAS!N750="SUBIR_F","^ SUBIR FUERTE | Kg:"&amp;ROUND(SUGERENCIAS!K750,1)&amp;" R:"&amp;ROUND(SUGERENCIAS!L750,0)&amp;" RIR:"&amp;ROUND(SUGERENCIAS!M750,0),IF(SUGERENCIAS!N750="SUBIR_E","^ SUBIR (Est.) | Kg:"&amp;ROUND(SUGERENCIAS!K750,1)&amp;" R:"&amp;ROUND(SUGERENCIAS!L750,0)&amp;" RIR:"&amp;ROUND(SUGERENCIAS!M750,0),IF(SUGERENCIAS!N750="SUBIR","^ SUBIR | Kg:"&amp;ROUND(SUGERENCIAS!K750,1)&amp;" R:"&amp;ROUND(SUGERENCIAS!L750,0)&amp;" RIR:"&amp;ROUND(SUGERENCIAS!M750,0),IF(SUGERENCIAS!N750="BAJAR","v BAJAR | Kg:"&amp;ROUND(SUGERENCIAS!K750,1)&amp;" R:"&amp;ROUND(SUGERENCIAS!L750,0)&amp;" RIR:"&amp;ROUND(SUGERENCIAS!M750,0),"= MANT | Kg:"&amp;ROUND(SUGERENCIAS!K750,1)&amp;" R:"&amp;ROUND(SUGERENCIAS!L750,0)&amp;" RIR:"&amp;ROUND(SUGERENCIAS!M750,0))))))</f>
        <v>Sin datos anteriores</v>
      </c>
      <c r="W281" s="69">
        <f>MAX(IF((G281&gt;0)*(IF(H281="",-1,H281)&gt;=3)*(IF(H281="",-1,H281)&lt;=4),IF(C281="peso_corporal",IF(ISNUMBER(E281),E281,0)+F281,F281)*G281*1000+F281,0),IF((J281&gt;0)*(IF(K281="",-1,K281)&gt;=3)*(IF(K281="",-1,K281)&lt;=4),IF(C281="peso_corporal",IF(ISNUMBER(E281),E281,0)+I281,I281)*J281*1000+I281,0),IF((M281&gt;0)*(IF(N281="",-1,N281)&gt;=3)*(IF(N281="",-1,N281)&lt;=4),IF(C281="peso_corporal",IF(ISNUMBER(E281),E281,0)+L281,L281)*M281*1000+L281,0),IF((P281&gt;0)*(IF(Q281="",-1,Q281)&gt;=3)*(IF(Q281="",-1,Q281)&lt;=4),IF(C281="peso_corporal",IF(ISNUMBER(E281),E281,0)+O281,O281)*P281*1000+O281,0),IF((S281&gt;0)*(IF(T281="",-1,T281)&gt;=3)*(IF(T281="",-1,T281)&lt;=4),IF(C281="peso_corporal",IF(ISNUMBER(E281),E281,0)+R281,R281)*S281*1000+R281,0))</f>
        <v>0</v>
      </c>
      <c r="X281" s="69">
        <f>IF(W281=0,0,IF(IF((S281&gt;0)*(IF(T281="",-1,T281)&gt;=3)*(IF(T281="",-1,T281)&lt;=4),IF(C281="peso_corporal",IF(ISNUMBER(E281),E281,0)+R281,R281)*S281*1000+R281,0)=W281,5,IF(IF((P281&gt;0)*(IF(Q281="",-1,Q281)&gt;=3)*(IF(Q281="",-1,Q281)&lt;=4),IF(C281="peso_corporal",IF(ISNUMBER(E281),E281,0)+O281,O281)*P281*1000+O281,0)=W281,4,IF(IF((M281&gt;0)*(IF(N281="",-1,N281)&gt;=3)*(IF(N281="",-1,N281)&lt;=4),IF(C281="peso_corporal",IF(ISNUMBER(E281),E281,0)+L281,L281)*M281*1000+L281,0)=W281,3,IF(IF((J281&gt;0)*(IF(K281="",-1,K281)&gt;=3)*(IF(K281="",-1,K281)&lt;=4),IF(C281="peso_corporal",IF(ISNUMBER(E281),E281,0)+I281,I281)*J281*1000+I281,0)=W281,2,IF(IF((G281&gt;0)*(IF(H281="",-1,H281)&gt;=3)*(IF(H281="",-1,H281)&lt;=4),IF(C281="peso_corporal",IF(ISNUMBER(E281),E281,0)+F281,F281)*G281*1000+F281,0)=W281,1,0))))))</f>
        <v>0</v>
      </c>
      <c r="Y281" s="69">
        <f>MAX(IF((G281&gt;0)*(IF(H281="",-1,H281)=0)*(1-(IF(H281="",-1,H281)&gt;=3)*(IF(H281="",-1,H281)&lt;=4)),IF(C281="peso_corporal",IF(ISNUMBER(E281),E281,0)+F281,F281)*G281*1000+F281,0),IF((J281&gt;0)*(IF(K281="",-1,K281)=0)*(1-(IF(K281="",-1,K281)&gt;=3)*(IF(K281="",-1,K281)&lt;=4)),IF(C281="peso_corporal",IF(ISNUMBER(E281),E281,0)+I281,I281)*J281*1000+I281,0),IF((M281&gt;0)*(IF(N281="",-1,N281)=0)*(1-(IF(N281="",-1,N281)&gt;=3)*(IF(N281="",-1,N281)&lt;=4)),IF(C281="peso_corporal",IF(ISNUMBER(E281),E281,0)+L281,L281)*M281*1000+L281,0),IF((P281&gt;0)*(IF(Q281="",-1,Q281)=0)*(1-(IF(Q281="",-1,Q281)&gt;=3)*(IF(Q281="",-1,Q281)&lt;=4)),IF(C281="peso_corporal",IF(ISNUMBER(E281),E281,0)+O281,O281)*P281*1000+O281,0),IF((S281&gt;0)*(IF(T281="",-1,T281)=0)*(1-(IF(T281="",-1,T281)&gt;=3)*(IF(T281="",-1,T281)&lt;=4)),IF(C281="peso_corporal",IF(ISNUMBER(E281),E281,0)+R281,R281)*S281*1000+R281,0))</f>
        <v>0</v>
      </c>
      <c r="Z281" s="69">
        <f>IF(Y281=0,0,IF(IF((S281&gt;0)*(IF(T281="",-1,T281)=0)*(1-(IF(T281="",-1,T281)&gt;=3)*(IF(T281="",-1,T281)&lt;=4)),IF(C281="peso_corporal",IF(ISNUMBER(E281),E281,0)+R281,R281)*S281*1000+R281,0)=Y281,5,IF(IF((P281&gt;0)*(IF(Q281="",-1,Q281)=0)*(1-(IF(Q281="",-1,Q281)&gt;=3)*(IF(Q281="",-1,Q281)&lt;=4)),IF(C281="peso_corporal",IF(ISNUMBER(E281),E281,0)+O281,O281)*P281*1000+O281,0)=Y281,4,IF(IF((M281&gt;0)*(IF(N281="",-1,N281)=0)*(1-(IF(N281="",-1,N281)&gt;=3)*(IF(N281="",-1,N281)&lt;=4)),IF(C281="peso_corporal",IF(ISNUMBER(E281),E281,0)+L281,L281)*M281*1000+L281,0)=Y281,3,IF(IF((J281&gt;0)*(IF(K281="",-1,K281)=0)*(1-(IF(K281="",-1,K281)&gt;=3)*(IF(K281="",-1,K281)&lt;=4)),IF(C281="peso_corporal",IF(ISNUMBER(E281),E281,0)+I281,I281)*J281*1000+I281,0)=Y281,2,IF(IF((G281&gt;0)*(IF(H281="",-1,H281)=0)*(1-(IF(H281="",-1,H281)&gt;=3)*(IF(H281="",-1,H281)&lt;=4)),IF(C281="peso_corporal",IF(ISNUMBER(E281),E281,0)+F281,F281)*G281*1000+F281,0)=Y281,1,0))))))</f>
        <v>0</v>
      </c>
      <c r="AA281" s="69">
        <f>MAX(IF((G281&gt;=12)*(1-(IF(H281="",-1,H281)&gt;=3)*(IF(H281="",-1,H281)&lt;=4))*(1-(IF(H281="",-1,H281)=0)),IF(C281="peso_corporal",IF(ISNUMBER(E281),E281,0)+F281,F281)*(30+G281)*100+F281,0),IF((J281&gt;=12)*(1-(IF(K281="",-1,K281)&gt;=3)*(IF(K281="",-1,K281)&lt;=4))*(1-(IF(K281="",-1,K281)=0)),IF(C281="peso_corporal",IF(ISNUMBER(E281),E281,0)+I281,I281)*(30+J281)*100+I281,0),IF((M281&gt;=12)*(1-(IF(N281="",-1,N281)&gt;=3)*(IF(N281="",-1,N281)&lt;=4))*(1-(IF(N281="",-1,N281)=0)),IF(C281="peso_corporal",IF(ISNUMBER(E281),E281,0)+L281,L281)*(30+M281)*100+L281,0),IF((P281&gt;=12)*(1-(IF(Q281="",-1,Q281)&gt;=3)*(IF(Q281="",-1,Q281)&lt;=4))*(1-(IF(Q281="",-1,Q281)=0)),IF(C281="peso_corporal",IF(ISNUMBER(E281),E281,0)+O281,O281)*(30+P281)*100+O281,0),IF((S281&gt;=12)*(1-(IF(T281="",-1,T281)&gt;=3)*(IF(T281="",-1,T281)&lt;=4))*(1-(IF(T281="",-1,T281)=0)),IF(C281="peso_corporal",IF(ISNUMBER(E281),E281,0)+R281,R281)*(30+S281)*100+R281,0))</f>
        <v>0</v>
      </c>
      <c r="AB281" s="69">
        <f>IF(AA281=0,0,IF(IF((S281&gt;=12)*(1-(IF(T281="",-1,T281)&gt;=3)*(IF(T281="",-1,T281)&lt;=4))*(1-(IF(T281="",-1,T281)=0)),IF(C281="peso_corporal",IF(ISNUMBER(E281),E281,0)+R281,R281)*(30+S281)*100+R281,0)=AA281,5,IF(IF((P281&gt;=12)*(1-(IF(Q281="",-1,Q281)&gt;=3)*(IF(Q281="",-1,Q281)&lt;=4))*(1-(IF(Q281="",-1,Q281)=0)),IF(C281="peso_corporal",IF(ISNUMBER(E281),E281,0)+O281,O281)*(30+P281)*100+O281,0)=AA281,4,IF(IF((M281&gt;=12)*(1-(IF(N281="",-1,N281)&gt;=3)*(IF(N281="",-1,N281)&lt;=4))*(1-(IF(N281="",-1,N281)=0)),IF(C281="peso_corporal",IF(ISNUMBER(E281),E281,0)+L281,L281)*(30+M281)*100+L281,0)=AA281,3,IF(IF((J281&gt;=12)*(1-(IF(K281="",-1,K281)&gt;=3)*(IF(K281="",-1,K281)&lt;=4))*(1-(IF(K281="",-1,K281)=0)),IF(C281="peso_corporal",IF(ISNUMBER(E281),E281,0)+I281,I281)*(30+J281)*100+I281,0)=AA281,2,IF(IF((G281&gt;=12)*(1-(IF(H281="",-1,H281)&gt;=3)*(IF(H281="",-1,H281)&lt;=4))*(1-(IF(H281="",-1,H281)=0)),IF(C281="peso_corporal",IF(ISNUMBER(E281),E281,0)+F281,F281)*(30+G281)*100+F281,0)=AA281,1,0))))))</f>
        <v>0</v>
      </c>
      <c r="AC281" s="69" t="str">
        <f>IF(X281&gt;0,"A"&amp;X281,IF(Z281&gt;0,"B"&amp;Z281,IF(AB281&gt;0,"C"&amp;AB281,"")))</f>
        <v/>
      </c>
    </row>
    <row r="282" spans="1:29" ht="15" customHeight="1">
      <c r="A282" s="81" t="s">
        <v>53</v>
      </c>
      <c r="B282" s="73"/>
      <c r="C282" s="73"/>
      <c r="D282" s="73"/>
      <c r="E282" s="73"/>
      <c r="F282" s="73"/>
      <c r="G282" s="73"/>
      <c r="H282" s="73"/>
      <c r="I282" s="73"/>
      <c r="J282" s="73"/>
      <c r="K282" s="73"/>
      <c r="L282" s="73"/>
      <c r="M282" s="73"/>
      <c r="N282" s="73"/>
      <c r="O282" s="73"/>
      <c r="P282" s="73"/>
      <c r="Q282" s="73"/>
      <c r="R282" s="73"/>
      <c r="S282" s="73"/>
      <c r="T282" s="73"/>
      <c r="U282" s="73"/>
      <c r="V282" s="73"/>
      <c r="W282" s="69"/>
      <c r="X282" s="69"/>
      <c r="Y282" s="69"/>
      <c r="Z282" s="69"/>
      <c r="AA282" s="69"/>
      <c r="AB282" s="69"/>
      <c r="AC282" s="69"/>
    </row>
    <row r="283" spans="1:29" ht="20.100000000000001" customHeight="1">
      <c r="A283" s="14" t="s">
        <v>54</v>
      </c>
      <c r="B283" s="15" t="s">
        <v>115</v>
      </c>
      <c r="C283" s="16" t="str">
        <f>IFERROR(INDEX(EJERCICIOS!$D$3:$D$75,MATCH(A283&amp;"|"&amp;B283,EJERCICIOS!$G$3:$G$75,0)),"--")</f>
        <v>polea</v>
      </c>
      <c r="D283" s="17">
        <v>3</v>
      </c>
      <c r="E283" s="18">
        <f>IFERROR(LOOKUP(2,1/(MEDIDAS_Y_PESO!$B$3:$B$14&lt;&gt;""),MEDIDAS_Y_PESO!$B$3:$B$14),"--")</f>
        <v>80</v>
      </c>
      <c r="F283" s="19"/>
      <c r="G283" s="20"/>
      <c r="H283" s="21"/>
      <c r="I283" s="19"/>
      <c r="J283" s="20"/>
      <c r="K283" s="21"/>
      <c r="L283" s="19"/>
      <c r="M283" s="20"/>
      <c r="N283" s="21"/>
      <c r="O283" s="19"/>
      <c r="P283" s="20"/>
      <c r="Q283" s="21"/>
      <c r="R283" s="19"/>
      <c r="S283" s="20"/>
      <c r="T283" s="21"/>
      <c r="U283" s="22" t="str">
        <f>IFERROR(IF(IF(X283&gt;0,X283,IF(Z283&gt;0,Z283,IF(AB283&gt;0,AB283,0)))=0,"--",ROUND(CHOOSE(IF(X283&gt;0,X283,IF(Z283&gt;0,Z283,IF(AB283&gt;0,AB283,0))),IF(C283="peso_corporal",IF(ISNUMBER(E283),E283,0)+F283,F283)*(1+G283/30),IF(C283="peso_corporal",IF(ISNUMBER(E283),E283,0)+I283,I283)*(1+J283/30),IF(C283="peso_corporal",IF(ISNUMBER(E283),E283,0)+L283,L283)*(1+M283/30),IF(C283="peso_corporal",IF(ISNUMBER(E283),E283,0)+O283,O283)*(1+P283/30),IF(C283="peso_corporal",IF(ISNUMBER(E283),E283,0)+R283,R283)*(1+S283/30)),1)),"--")</f>
        <v>--</v>
      </c>
      <c r="V283" s="23" t="str">
        <f>IF(SUGERENCIAS!N751="SIN","Sin datos anteriores",IF(SUGERENCIAS!N751="SUBIR_F","^ SUBIR FUERTE | Kg:"&amp;ROUND(SUGERENCIAS!K751,1)&amp;" R:"&amp;ROUND(SUGERENCIAS!L751,0)&amp;" RIR:"&amp;ROUND(SUGERENCIAS!M751,0),IF(SUGERENCIAS!N751="SUBIR_E","^ SUBIR (Est.) | Kg:"&amp;ROUND(SUGERENCIAS!K751,1)&amp;" R:"&amp;ROUND(SUGERENCIAS!L751,0)&amp;" RIR:"&amp;ROUND(SUGERENCIAS!M751,0),IF(SUGERENCIAS!N751="SUBIR","^ SUBIR | Kg:"&amp;ROUND(SUGERENCIAS!K751,1)&amp;" R:"&amp;ROUND(SUGERENCIAS!L751,0)&amp;" RIR:"&amp;ROUND(SUGERENCIAS!M751,0),IF(SUGERENCIAS!N751="BAJAR","v BAJAR | Kg:"&amp;ROUND(SUGERENCIAS!K751,1)&amp;" R:"&amp;ROUND(SUGERENCIAS!L751,0)&amp;" RIR:"&amp;ROUND(SUGERENCIAS!M751,0),"= MANT | Kg:"&amp;ROUND(SUGERENCIAS!K751,1)&amp;" R:"&amp;ROUND(SUGERENCIAS!L751,0)&amp;" RIR:"&amp;ROUND(SUGERENCIAS!M751,0))))))</f>
        <v>= MANT | Kg:40 R:7 RIR:2</v>
      </c>
      <c r="W283" s="69">
        <f>MAX(IF((G283&gt;0)*(IF(H283="",-1,H283)&gt;=3)*(IF(H283="",-1,H283)&lt;=4),IF(C283="peso_corporal",IF(ISNUMBER(E283),E283,0)+F283,F283)*G283*1000+F283,0),IF((J283&gt;0)*(IF(K283="",-1,K283)&gt;=3)*(IF(K283="",-1,K283)&lt;=4),IF(C283="peso_corporal",IF(ISNUMBER(E283),E283,0)+I283,I283)*J283*1000+I283,0),IF((M283&gt;0)*(IF(N283="",-1,N283)&gt;=3)*(IF(N283="",-1,N283)&lt;=4),IF(C283="peso_corporal",IF(ISNUMBER(E283),E283,0)+L283,L283)*M283*1000+L283,0),IF((P283&gt;0)*(IF(Q283="",-1,Q283)&gt;=3)*(IF(Q283="",-1,Q283)&lt;=4),IF(C283="peso_corporal",IF(ISNUMBER(E283),E283,0)+O283,O283)*P283*1000+O283,0),IF((S283&gt;0)*(IF(T283="",-1,T283)&gt;=3)*(IF(T283="",-1,T283)&lt;=4),IF(C283="peso_corporal",IF(ISNUMBER(E283),E283,0)+R283,R283)*S283*1000+R283,0))</f>
        <v>0</v>
      </c>
      <c r="X283" s="69">
        <f>IF(W283=0,0,IF(IF((S283&gt;0)*(IF(T283="",-1,T283)&gt;=3)*(IF(T283="",-1,T283)&lt;=4),IF(C283="peso_corporal",IF(ISNUMBER(E283),E283,0)+R283,R283)*S283*1000+R283,0)=W283,5,IF(IF((P283&gt;0)*(IF(Q283="",-1,Q283)&gt;=3)*(IF(Q283="",-1,Q283)&lt;=4),IF(C283="peso_corporal",IF(ISNUMBER(E283),E283,0)+O283,O283)*P283*1000+O283,0)=W283,4,IF(IF((M283&gt;0)*(IF(N283="",-1,N283)&gt;=3)*(IF(N283="",-1,N283)&lt;=4),IF(C283="peso_corporal",IF(ISNUMBER(E283),E283,0)+L283,L283)*M283*1000+L283,0)=W283,3,IF(IF((J283&gt;0)*(IF(K283="",-1,K283)&gt;=3)*(IF(K283="",-1,K283)&lt;=4),IF(C283="peso_corporal",IF(ISNUMBER(E283),E283,0)+I283,I283)*J283*1000+I283,0)=W283,2,IF(IF((G283&gt;0)*(IF(H283="",-1,H283)&gt;=3)*(IF(H283="",-1,H283)&lt;=4),IF(C283="peso_corporal",IF(ISNUMBER(E283),E283,0)+F283,F283)*G283*1000+F283,0)=W283,1,0))))))</f>
        <v>0</v>
      </c>
      <c r="Y283" s="69">
        <f>MAX(IF((G283&gt;0)*(IF(H283="",-1,H283)=0)*(1-(IF(H283="",-1,H283)&gt;=3)*(IF(H283="",-1,H283)&lt;=4)),IF(C283="peso_corporal",IF(ISNUMBER(E283),E283,0)+F283,F283)*G283*1000+F283,0),IF((J283&gt;0)*(IF(K283="",-1,K283)=0)*(1-(IF(K283="",-1,K283)&gt;=3)*(IF(K283="",-1,K283)&lt;=4)),IF(C283="peso_corporal",IF(ISNUMBER(E283),E283,0)+I283,I283)*J283*1000+I283,0),IF((M283&gt;0)*(IF(N283="",-1,N283)=0)*(1-(IF(N283="",-1,N283)&gt;=3)*(IF(N283="",-1,N283)&lt;=4)),IF(C283="peso_corporal",IF(ISNUMBER(E283),E283,0)+L283,L283)*M283*1000+L283,0),IF((P283&gt;0)*(IF(Q283="",-1,Q283)=0)*(1-(IF(Q283="",-1,Q283)&gt;=3)*(IF(Q283="",-1,Q283)&lt;=4)),IF(C283="peso_corporal",IF(ISNUMBER(E283),E283,0)+O283,O283)*P283*1000+O283,0),IF((S283&gt;0)*(IF(T283="",-1,T283)=0)*(1-(IF(T283="",-1,T283)&gt;=3)*(IF(T283="",-1,T283)&lt;=4)),IF(C283="peso_corporal",IF(ISNUMBER(E283),E283,0)+R283,R283)*S283*1000+R283,0))</f>
        <v>0</v>
      </c>
      <c r="Z283" s="69">
        <f>IF(Y283=0,0,IF(IF((S283&gt;0)*(IF(T283="",-1,T283)=0)*(1-(IF(T283="",-1,T283)&gt;=3)*(IF(T283="",-1,T283)&lt;=4)),IF(C283="peso_corporal",IF(ISNUMBER(E283),E283,0)+R283,R283)*S283*1000+R283,0)=Y283,5,IF(IF((P283&gt;0)*(IF(Q283="",-1,Q283)=0)*(1-(IF(Q283="",-1,Q283)&gt;=3)*(IF(Q283="",-1,Q283)&lt;=4)),IF(C283="peso_corporal",IF(ISNUMBER(E283),E283,0)+O283,O283)*P283*1000+O283,0)=Y283,4,IF(IF((M283&gt;0)*(IF(N283="",-1,N283)=0)*(1-(IF(N283="",-1,N283)&gt;=3)*(IF(N283="",-1,N283)&lt;=4)),IF(C283="peso_corporal",IF(ISNUMBER(E283),E283,0)+L283,L283)*M283*1000+L283,0)=Y283,3,IF(IF((J283&gt;0)*(IF(K283="",-1,K283)=0)*(1-(IF(K283="",-1,K283)&gt;=3)*(IF(K283="",-1,K283)&lt;=4)),IF(C283="peso_corporal",IF(ISNUMBER(E283),E283,0)+I283,I283)*J283*1000+I283,0)=Y283,2,IF(IF((G283&gt;0)*(IF(H283="",-1,H283)=0)*(1-(IF(H283="",-1,H283)&gt;=3)*(IF(H283="",-1,H283)&lt;=4)),IF(C283="peso_corporal",IF(ISNUMBER(E283),E283,0)+F283,F283)*G283*1000+F283,0)=Y283,1,0))))))</f>
        <v>0</v>
      </c>
      <c r="AA283" s="69">
        <f>MAX(IF((G283&gt;=12)*(1-(IF(H283="",-1,H283)&gt;=3)*(IF(H283="",-1,H283)&lt;=4))*(1-(IF(H283="",-1,H283)=0)),IF(C283="peso_corporal",IF(ISNUMBER(E283),E283,0)+F283,F283)*(30+G283)*100+F283,0),IF((J283&gt;=12)*(1-(IF(K283="",-1,K283)&gt;=3)*(IF(K283="",-1,K283)&lt;=4))*(1-(IF(K283="",-1,K283)=0)),IF(C283="peso_corporal",IF(ISNUMBER(E283),E283,0)+I283,I283)*(30+J283)*100+I283,0),IF((M283&gt;=12)*(1-(IF(N283="",-1,N283)&gt;=3)*(IF(N283="",-1,N283)&lt;=4))*(1-(IF(N283="",-1,N283)=0)),IF(C283="peso_corporal",IF(ISNUMBER(E283),E283,0)+L283,L283)*(30+M283)*100+L283,0),IF((P283&gt;=12)*(1-(IF(Q283="",-1,Q283)&gt;=3)*(IF(Q283="",-1,Q283)&lt;=4))*(1-(IF(Q283="",-1,Q283)=0)),IF(C283="peso_corporal",IF(ISNUMBER(E283),E283,0)+O283,O283)*(30+P283)*100+O283,0),IF((S283&gt;=12)*(1-(IF(T283="",-1,T283)&gt;=3)*(IF(T283="",-1,T283)&lt;=4))*(1-(IF(T283="",-1,T283)=0)),IF(C283="peso_corporal",IF(ISNUMBER(E283),E283,0)+R283,R283)*(30+S283)*100+R283,0))</f>
        <v>0</v>
      </c>
      <c r="AB283" s="69">
        <f>IF(AA283=0,0,IF(IF((S283&gt;=12)*(1-(IF(T283="",-1,T283)&gt;=3)*(IF(T283="",-1,T283)&lt;=4))*(1-(IF(T283="",-1,T283)=0)),IF(C283="peso_corporal",IF(ISNUMBER(E283),E283,0)+R283,R283)*(30+S283)*100+R283,0)=AA283,5,IF(IF((P283&gt;=12)*(1-(IF(Q283="",-1,Q283)&gt;=3)*(IF(Q283="",-1,Q283)&lt;=4))*(1-(IF(Q283="",-1,Q283)=0)),IF(C283="peso_corporal",IF(ISNUMBER(E283),E283,0)+O283,O283)*(30+P283)*100+O283,0)=AA283,4,IF(IF((M283&gt;=12)*(1-(IF(N283="",-1,N283)&gt;=3)*(IF(N283="",-1,N283)&lt;=4))*(1-(IF(N283="",-1,N283)=0)),IF(C283="peso_corporal",IF(ISNUMBER(E283),E283,0)+L283,L283)*(30+M283)*100+L283,0)=AA283,3,IF(IF((J283&gt;=12)*(1-(IF(K283="",-1,K283)&gt;=3)*(IF(K283="",-1,K283)&lt;=4))*(1-(IF(K283="",-1,K283)=0)),IF(C283="peso_corporal",IF(ISNUMBER(E283),E283,0)+I283,I283)*(30+J283)*100+I283,0)=AA283,2,IF(IF((G283&gt;=12)*(1-(IF(H283="",-1,H283)&gt;=3)*(IF(H283="",-1,H283)&lt;=4))*(1-(IF(H283="",-1,H283)=0)),IF(C283="peso_corporal",IF(ISNUMBER(E283),E283,0)+F283,F283)*(30+G283)*100+F283,0)=AA283,1,0))))))</f>
        <v>0</v>
      </c>
      <c r="AC283" s="69" t="str">
        <f>IF(X283&gt;0,"A"&amp;X283,IF(Z283&gt;0,"B"&amp;Z283,IF(AB283&gt;0,"C"&amp;AB283,"")))</f>
        <v/>
      </c>
    </row>
    <row r="284" spans="1:29" ht="20.100000000000001" customHeight="1">
      <c r="A284" s="14" t="s">
        <v>116</v>
      </c>
      <c r="B284" s="15" t="s">
        <v>114</v>
      </c>
      <c r="C284" s="16" t="str">
        <f>IFERROR(INDEX(EJERCICIOS!$D$3:$D$75,MATCH(A284&amp;"|"&amp;B284,EJERCICIOS!$G$3:$G$75,0)),"--")</f>
        <v>polea</v>
      </c>
      <c r="D284" s="17">
        <v>3</v>
      </c>
      <c r="E284" s="18">
        <f>IFERROR(LOOKUP(2,1/(MEDIDAS_Y_PESO!$B$3:$B$14&lt;&gt;""),MEDIDAS_Y_PESO!$B$3:$B$14),"--")</f>
        <v>80</v>
      </c>
      <c r="F284" s="19"/>
      <c r="G284" s="20"/>
      <c r="H284" s="21"/>
      <c r="I284" s="19"/>
      <c r="J284" s="20"/>
      <c r="K284" s="21"/>
      <c r="L284" s="19"/>
      <c r="M284" s="20"/>
      <c r="N284" s="21"/>
      <c r="O284" s="19"/>
      <c r="P284" s="20"/>
      <c r="Q284" s="21"/>
      <c r="R284" s="19"/>
      <c r="S284" s="20"/>
      <c r="T284" s="21"/>
      <c r="U284" s="22" t="str">
        <f>IFERROR(IF(IF(X284&gt;0,X284,IF(Z284&gt;0,Z284,IF(AB284&gt;0,AB284,0)))=0,"--",ROUND(CHOOSE(IF(X284&gt;0,X284,IF(Z284&gt;0,Z284,IF(AB284&gt;0,AB284,0))),IF(C284="peso_corporal",IF(ISNUMBER(E284),E284,0)+F284,F284)*(1+G284/30),IF(C284="peso_corporal",IF(ISNUMBER(E284),E284,0)+I284,I284)*(1+J284/30),IF(C284="peso_corporal",IF(ISNUMBER(E284),E284,0)+L284,L284)*(1+M284/30),IF(C284="peso_corporal",IF(ISNUMBER(E284),E284,0)+O284,O284)*(1+P284/30),IF(C284="peso_corporal",IF(ISNUMBER(E284),E284,0)+R284,R284)*(1+S284/30)),1)),"--")</f>
        <v>--</v>
      </c>
      <c r="V284" s="23" t="str">
        <f>IF(SUGERENCIAS!N752="SIN","Sin datos anteriores",IF(SUGERENCIAS!N752="SUBIR_F","^ SUBIR FUERTE | Kg:"&amp;ROUND(SUGERENCIAS!K752,1)&amp;" R:"&amp;ROUND(SUGERENCIAS!L752,0)&amp;" RIR:"&amp;ROUND(SUGERENCIAS!M752,0),IF(SUGERENCIAS!N752="SUBIR_E","^ SUBIR (Est.) | Kg:"&amp;ROUND(SUGERENCIAS!K752,1)&amp;" R:"&amp;ROUND(SUGERENCIAS!L752,0)&amp;" RIR:"&amp;ROUND(SUGERENCIAS!M752,0),IF(SUGERENCIAS!N752="SUBIR","^ SUBIR | Kg:"&amp;ROUND(SUGERENCIAS!K752,1)&amp;" R:"&amp;ROUND(SUGERENCIAS!L752,0)&amp;" RIR:"&amp;ROUND(SUGERENCIAS!M752,0),IF(SUGERENCIAS!N752="BAJAR","v BAJAR | Kg:"&amp;ROUND(SUGERENCIAS!K752,1)&amp;" R:"&amp;ROUND(SUGERENCIAS!L752,0)&amp;" RIR:"&amp;ROUND(SUGERENCIAS!M752,0),"= MANT | Kg:"&amp;ROUND(SUGERENCIAS!K752,1)&amp;" R:"&amp;ROUND(SUGERENCIAS!L752,0)&amp;" RIR:"&amp;ROUND(SUGERENCIAS!M752,0))))))</f>
        <v>^ SUBIR | Kg:20 R:6 RIR:2</v>
      </c>
      <c r="W284" s="69">
        <f>MAX(IF((G284&gt;0)*(IF(H284="",-1,H284)&gt;=3)*(IF(H284="",-1,H284)&lt;=4),IF(C284="peso_corporal",IF(ISNUMBER(E284),E284,0)+F284,F284)*G284*1000+F284,0),IF((J284&gt;0)*(IF(K284="",-1,K284)&gt;=3)*(IF(K284="",-1,K284)&lt;=4),IF(C284="peso_corporal",IF(ISNUMBER(E284),E284,0)+I284,I284)*J284*1000+I284,0),IF((M284&gt;0)*(IF(N284="",-1,N284)&gt;=3)*(IF(N284="",-1,N284)&lt;=4),IF(C284="peso_corporal",IF(ISNUMBER(E284),E284,0)+L284,L284)*M284*1000+L284,0),IF((P284&gt;0)*(IF(Q284="",-1,Q284)&gt;=3)*(IF(Q284="",-1,Q284)&lt;=4),IF(C284="peso_corporal",IF(ISNUMBER(E284),E284,0)+O284,O284)*P284*1000+O284,0),IF((S284&gt;0)*(IF(T284="",-1,T284)&gt;=3)*(IF(T284="",-1,T284)&lt;=4),IF(C284="peso_corporal",IF(ISNUMBER(E284),E284,0)+R284,R284)*S284*1000+R284,0))</f>
        <v>0</v>
      </c>
      <c r="X284" s="69">
        <f>IF(W284=0,0,IF(IF((S284&gt;0)*(IF(T284="",-1,T284)&gt;=3)*(IF(T284="",-1,T284)&lt;=4),IF(C284="peso_corporal",IF(ISNUMBER(E284),E284,0)+R284,R284)*S284*1000+R284,0)=W284,5,IF(IF((P284&gt;0)*(IF(Q284="",-1,Q284)&gt;=3)*(IF(Q284="",-1,Q284)&lt;=4),IF(C284="peso_corporal",IF(ISNUMBER(E284),E284,0)+O284,O284)*P284*1000+O284,0)=W284,4,IF(IF((M284&gt;0)*(IF(N284="",-1,N284)&gt;=3)*(IF(N284="",-1,N284)&lt;=4),IF(C284="peso_corporal",IF(ISNUMBER(E284),E284,0)+L284,L284)*M284*1000+L284,0)=W284,3,IF(IF((J284&gt;0)*(IF(K284="",-1,K284)&gt;=3)*(IF(K284="",-1,K284)&lt;=4),IF(C284="peso_corporal",IF(ISNUMBER(E284),E284,0)+I284,I284)*J284*1000+I284,0)=W284,2,IF(IF((G284&gt;0)*(IF(H284="",-1,H284)&gt;=3)*(IF(H284="",-1,H284)&lt;=4),IF(C284="peso_corporal",IF(ISNUMBER(E284),E284,0)+F284,F284)*G284*1000+F284,0)=W284,1,0))))))</f>
        <v>0</v>
      </c>
      <c r="Y284" s="69">
        <f>MAX(IF((G284&gt;0)*(IF(H284="",-1,H284)=0)*(1-(IF(H284="",-1,H284)&gt;=3)*(IF(H284="",-1,H284)&lt;=4)),IF(C284="peso_corporal",IF(ISNUMBER(E284),E284,0)+F284,F284)*G284*1000+F284,0),IF((J284&gt;0)*(IF(K284="",-1,K284)=0)*(1-(IF(K284="",-1,K284)&gt;=3)*(IF(K284="",-1,K284)&lt;=4)),IF(C284="peso_corporal",IF(ISNUMBER(E284),E284,0)+I284,I284)*J284*1000+I284,0),IF((M284&gt;0)*(IF(N284="",-1,N284)=0)*(1-(IF(N284="",-1,N284)&gt;=3)*(IF(N284="",-1,N284)&lt;=4)),IF(C284="peso_corporal",IF(ISNUMBER(E284),E284,0)+L284,L284)*M284*1000+L284,0),IF((P284&gt;0)*(IF(Q284="",-1,Q284)=0)*(1-(IF(Q284="",-1,Q284)&gt;=3)*(IF(Q284="",-1,Q284)&lt;=4)),IF(C284="peso_corporal",IF(ISNUMBER(E284),E284,0)+O284,O284)*P284*1000+O284,0),IF((S284&gt;0)*(IF(T284="",-1,T284)=0)*(1-(IF(T284="",-1,T284)&gt;=3)*(IF(T284="",-1,T284)&lt;=4)),IF(C284="peso_corporal",IF(ISNUMBER(E284),E284,0)+R284,R284)*S284*1000+R284,0))</f>
        <v>0</v>
      </c>
      <c r="Z284" s="69">
        <f>IF(Y284=0,0,IF(IF((S284&gt;0)*(IF(T284="",-1,T284)=0)*(1-(IF(T284="",-1,T284)&gt;=3)*(IF(T284="",-1,T284)&lt;=4)),IF(C284="peso_corporal",IF(ISNUMBER(E284),E284,0)+R284,R284)*S284*1000+R284,0)=Y284,5,IF(IF((P284&gt;0)*(IF(Q284="",-1,Q284)=0)*(1-(IF(Q284="",-1,Q284)&gt;=3)*(IF(Q284="",-1,Q284)&lt;=4)),IF(C284="peso_corporal",IF(ISNUMBER(E284),E284,0)+O284,O284)*P284*1000+O284,0)=Y284,4,IF(IF((M284&gt;0)*(IF(N284="",-1,N284)=0)*(1-(IF(N284="",-1,N284)&gt;=3)*(IF(N284="",-1,N284)&lt;=4)),IF(C284="peso_corporal",IF(ISNUMBER(E284),E284,0)+L284,L284)*M284*1000+L284,0)=Y284,3,IF(IF((J284&gt;0)*(IF(K284="",-1,K284)=0)*(1-(IF(K284="",-1,K284)&gt;=3)*(IF(K284="",-1,K284)&lt;=4)),IF(C284="peso_corporal",IF(ISNUMBER(E284),E284,0)+I284,I284)*J284*1000+I284,0)=Y284,2,IF(IF((G284&gt;0)*(IF(H284="",-1,H284)=0)*(1-(IF(H284="",-1,H284)&gt;=3)*(IF(H284="",-1,H284)&lt;=4)),IF(C284="peso_corporal",IF(ISNUMBER(E284),E284,0)+F284,F284)*G284*1000+F284,0)=Y284,1,0))))))</f>
        <v>0</v>
      </c>
      <c r="AA284" s="69">
        <f>MAX(IF((G284&gt;=12)*(1-(IF(H284="",-1,H284)&gt;=3)*(IF(H284="",-1,H284)&lt;=4))*(1-(IF(H284="",-1,H284)=0)),IF(C284="peso_corporal",IF(ISNUMBER(E284),E284,0)+F284,F284)*(30+G284)*100+F284,0),IF((J284&gt;=12)*(1-(IF(K284="",-1,K284)&gt;=3)*(IF(K284="",-1,K284)&lt;=4))*(1-(IF(K284="",-1,K284)=0)),IF(C284="peso_corporal",IF(ISNUMBER(E284),E284,0)+I284,I284)*(30+J284)*100+I284,0),IF((M284&gt;=12)*(1-(IF(N284="",-1,N284)&gt;=3)*(IF(N284="",-1,N284)&lt;=4))*(1-(IF(N284="",-1,N284)=0)),IF(C284="peso_corporal",IF(ISNUMBER(E284),E284,0)+L284,L284)*(30+M284)*100+L284,0),IF((P284&gt;=12)*(1-(IF(Q284="",-1,Q284)&gt;=3)*(IF(Q284="",-1,Q284)&lt;=4))*(1-(IF(Q284="",-1,Q284)=0)),IF(C284="peso_corporal",IF(ISNUMBER(E284),E284,0)+O284,O284)*(30+P284)*100+O284,0),IF((S284&gt;=12)*(1-(IF(T284="",-1,T284)&gt;=3)*(IF(T284="",-1,T284)&lt;=4))*(1-(IF(T284="",-1,T284)=0)),IF(C284="peso_corporal",IF(ISNUMBER(E284),E284,0)+R284,R284)*(30+S284)*100+R284,0))</f>
        <v>0</v>
      </c>
      <c r="AB284" s="69">
        <f>IF(AA284=0,0,IF(IF((S284&gt;=12)*(1-(IF(T284="",-1,T284)&gt;=3)*(IF(T284="",-1,T284)&lt;=4))*(1-(IF(T284="",-1,T284)=0)),IF(C284="peso_corporal",IF(ISNUMBER(E284),E284,0)+R284,R284)*(30+S284)*100+R284,0)=AA284,5,IF(IF((P284&gt;=12)*(1-(IF(Q284="",-1,Q284)&gt;=3)*(IF(Q284="",-1,Q284)&lt;=4))*(1-(IF(Q284="",-1,Q284)=0)),IF(C284="peso_corporal",IF(ISNUMBER(E284),E284,0)+O284,O284)*(30+P284)*100+O284,0)=AA284,4,IF(IF((M284&gt;=12)*(1-(IF(N284="",-1,N284)&gt;=3)*(IF(N284="",-1,N284)&lt;=4))*(1-(IF(N284="",-1,N284)=0)),IF(C284="peso_corporal",IF(ISNUMBER(E284),E284,0)+L284,L284)*(30+M284)*100+L284,0)=AA284,3,IF(IF((J284&gt;=12)*(1-(IF(K284="",-1,K284)&gt;=3)*(IF(K284="",-1,K284)&lt;=4))*(1-(IF(K284="",-1,K284)=0)),IF(C284="peso_corporal",IF(ISNUMBER(E284),E284,0)+I284,I284)*(30+J284)*100+I284,0)=AA284,2,IF(IF((G284&gt;=12)*(1-(IF(H284="",-1,H284)&gt;=3)*(IF(H284="",-1,H284)&lt;=4))*(1-(IF(H284="",-1,H284)=0)),IF(C284="peso_corporal",IF(ISNUMBER(E284),E284,0)+F284,F284)*(30+G284)*100+F284,0)=AA284,1,0))))))</f>
        <v>0</v>
      </c>
      <c r="AC284" s="69" t="str">
        <f>IF(X284&gt;0,"A"&amp;X284,IF(Z284&gt;0,"B"&amp;Z284,IF(AB284&gt;0,"C"&amp;AB284,"")))</f>
        <v/>
      </c>
    </row>
    <row r="285" spans="1:29" ht="15" customHeight="1">
      <c r="A285" s="83" t="s">
        <v>99</v>
      </c>
      <c r="B285" s="73"/>
      <c r="C285" s="73"/>
      <c r="D285" s="73"/>
      <c r="E285" s="73"/>
      <c r="F285" s="73"/>
      <c r="G285" s="73"/>
      <c r="H285" s="73"/>
      <c r="I285" s="73"/>
      <c r="J285" s="73"/>
      <c r="K285" s="73"/>
      <c r="L285" s="73"/>
      <c r="M285" s="73"/>
      <c r="N285" s="73"/>
      <c r="O285" s="73"/>
      <c r="P285" s="73"/>
      <c r="Q285" s="73"/>
      <c r="R285" s="73"/>
      <c r="S285" s="73"/>
      <c r="T285" s="73"/>
      <c r="U285" s="73"/>
      <c r="V285" s="73"/>
      <c r="W285" s="69"/>
      <c r="X285" s="69"/>
      <c r="Y285" s="69"/>
      <c r="Z285" s="69"/>
      <c r="AA285" s="69"/>
      <c r="AB285" s="69"/>
      <c r="AC285" s="69"/>
    </row>
    <row r="286" spans="1:29" ht="20.100000000000001" customHeight="1">
      <c r="A286" s="14" t="s">
        <v>100</v>
      </c>
      <c r="B286" s="15" t="s">
        <v>101</v>
      </c>
      <c r="C286" s="16" t="str">
        <f>IFERROR(INDEX(EJERCICIOS!$D$3:$D$75,MATCH(A286&amp;"|"&amp;B286,EJERCICIOS!$G$3:$G$75,0)),"--")</f>
        <v>mancuerna</v>
      </c>
      <c r="D286" s="17">
        <v>3</v>
      </c>
      <c r="E286" s="18">
        <f>IFERROR(LOOKUP(2,1/(MEDIDAS_Y_PESO!$B$3:$B$14&lt;&gt;""),MEDIDAS_Y_PESO!$B$3:$B$14),"--")</f>
        <v>80</v>
      </c>
      <c r="F286" s="19"/>
      <c r="G286" s="20"/>
      <c r="H286" s="21"/>
      <c r="I286" s="19"/>
      <c r="J286" s="20"/>
      <c r="K286" s="21"/>
      <c r="L286" s="19"/>
      <c r="M286" s="20"/>
      <c r="N286" s="21"/>
      <c r="O286" s="19"/>
      <c r="P286" s="20"/>
      <c r="Q286" s="21"/>
      <c r="R286" s="19"/>
      <c r="S286" s="20"/>
      <c r="T286" s="21"/>
      <c r="U286" s="22" t="str">
        <f>IFERROR(IF(IF(X286&gt;0,X286,IF(Z286&gt;0,Z286,IF(AB286&gt;0,AB286,0)))=0,"--",ROUND(CHOOSE(IF(X286&gt;0,X286,IF(Z286&gt;0,Z286,IF(AB286&gt;0,AB286,0))),IF(C286="peso_corporal",IF(ISNUMBER(E286),E286,0)+F286,F286)*(1+G286/30),IF(C286="peso_corporal",IF(ISNUMBER(E286),E286,0)+I286,I286)*(1+J286/30),IF(C286="peso_corporal",IF(ISNUMBER(E286),E286,0)+L286,L286)*(1+M286/30),IF(C286="peso_corporal",IF(ISNUMBER(E286),E286,0)+O286,O286)*(1+P286/30),IF(C286="peso_corporal",IF(ISNUMBER(E286),E286,0)+R286,R286)*(1+S286/30)),1)),"--")</f>
        <v>--</v>
      </c>
      <c r="V286" s="23" t="str">
        <f>IF(SUGERENCIAS!N753="SIN","Sin datos anteriores",IF(SUGERENCIAS!N753="SUBIR_F","^ SUBIR FUERTE | Kg:"&amp;ROUND(SUGERENCIAS!K753,1)&amp;" R:"&amp;ROUND(SUGERENCIAS!L753,0)&amp;" RIR:"&amp;ROUND(SUGERENCIAS!M753,0),IF(SUGERENCIAS!N753="SUBIR_E","^ SUBIR (Est.) | Kg:"&amp;ROUND(SUGERENCIAS!K753,1)&amp;" R:"&amp;ROUND(SUGERENCIAS!L753,0)&amp;" RIR:"&amp;ROUND(SUGERENCIAS!M753,0),IF(SUGERENCIAS!N753="SUBIR","^ SUBIR | Kg:"&amp;ROUND(SUGERENCIAS!K753,1)&amp;" R:"&amp;ROUND(SUGERENCIAS!L753,0)&amp;" RIR:"&amp;ROUND(SUGERENCIAS!M753,0),IF(SUGERENCIAS!N753="BAJAR","v BAJAR | Kg:"&amp;ROUND(SUGERENCIAS!K753,1)&amp;" R:"&amp;ROUND(SUGERENCIAS!L753,0)&amp;" RIR:"&amp;ROUND(SUGERENCIAS!M753,0),"= MANT | Kg:"&amp;ROUND(SUGERENCIAS!K753,1)&amp;" R:"&amp;ROUND(SUGERENCIAS!L753,0)&amp;" RIR:"&amp;ROUND(SUGERENCIAS!M753,0))))))</f>
        <v>Sin datos anteriores</v>
      </c>
      <c r="W286" s="69">
        <f>MAX(IF((G286&gt;0)*(IF(H286="",-1,H286)&gt;=3)*(IF(H286="",-1,H286)&lt;=4),IF(C286="peso_corporal",IF(ISNUMBER(E286),E286,0)+F286,F286)*G286*1000+F286,0),IF((J286&gt;0)*(IF(K286="",-1,K286)&gt;=3)*(IF(K286="",-1,K286)&lt;=4),IF(C286="peso_corporal",IF(ISNUMBER(E286),E286,0)+I286,I286)*J286*1000+I286,0),IF((M286&gt;0)*(IF(N286="",-1,N286)&gt;=3)*(IF(N286="",-1,N286)&lt;=4),IF(C286="peso_corporal",IF(ISNUMBER(E286),E286,0)+L286,L286)*M286*1000+L286,0),IF((P286&gt;0)*(IF(Q286="",-1,Q286)&gt;=3)*(IF(Q286="",-1,Q286)&lt;=4),IF(C286="peso_corporal",IF(ISNUMBER(E286),E286,0)+O286,O286)*P286*1000+O286,0),IF((S286&gt;0)*(IF(T286="",-1,T286)&gt;=3)*(IF(T286="",-1,T286)&lt;=4),IF(C286="peso_corporal",IF(ISNUMBER(E286),E286,0)+R286,R286)*S286*1000+R286,0))</f>
        <v>0</v>
      </c>
      <c r="X286" s="69">
        <f>IF(W286=0,0,IF(IF((S286&gt;0)*(IF(T286="",-1,T286)&gt;=3)*(IF(T286="",-1,T286)&lt;=4),IF(C286="peso_corporal",IF(ISNUMBER(E286),E286,0)+R286,R286)*S286*1000+R286,0)=W286,5,IF(IF((P286&gt;0)*(IF(Q286="",-1,Q286)&gt;=3)*(IF(Q286="",-1,Q286)&lt;=4),IF(C286="peso_corporal",IF(ISNUMBER(E286),E286,0)+O286,O286)*P286*1000+O286,0)=W286,4,IF(IF((M286&gt;0)*(IF(N286="",-1,N286)&gt;=3)*(IF(N286="",-1,N286)&lt;=4),IF(C286="peso_corporal",IF(ISNUMBER(E286),E286,0)+L286,L286)*M286*1000+L286,0)=W286,3,IF(IF((J286&gt;0)*(IF(K286="",-1,K286)&gt;=3)*(IF(K286="",-1,K286)&lt;=4),IF(C286="peso_corporal",IF(ISNUMBER(E286),E286,0)+I286,I286)*J286*1000+I286,0)=W286,2,IF(IF((G286&gt;0)*(IF(H286="",-1,H286)&gt;=3)*(IF(H286="",-1,H286)&lt;=4),IF(C286="peso_corporal",IF(ISNUMBER(E286),E286,0)+F286,F286)*G286*1000+F286,0)=W286,1,0))))))</f>
        <v>0</v>
      </c>
      <c r="Y286" s="69">
        <f>MAX(IF((G286&gt;0)*(IF(H286="",-1,H286)=0)*(1-(IF(H286="",-1,H286)&gt;=3)*(IF(H286="",-1,H286)&lt;=4)),IF(C286="peso_corporal",IF(ISNUMBER(E286),E286,0)+F286,F286)*G286*1000+F286,0),IF((J286&gt;0)*(IF(K286="",-1,K286)=0)*(1-(IF(K286="",-1,K286)&gt;=3)*(IF(K286="",-1,K286)&lt;=4)),IF(C286="peso_corporal",IF(ISNUMBER(E286),E286,0)+I286,I286)*J286*1000+I286,0),IF((M286&gt;0)*(IF(N286="",-1,N286)=0)*(1-(IF(N286="",-1,N286)&gt;=3)*(IF(N286="",-1,N286)&lt;=4)),IF(C286="peso_corporal",IF(ISNUMBER(E286),E286,0)+L286,L286)*M286*1000+L286,0),IF((P286&gt;0)*(IF(Q286="",-1,Q286)=0)*(1-(IF(Q286="",-1,Q286)&gt;=3)*(IF(Q286="",-1,Q286)&lt;=4)),IF(C286="peso_corporal",IF(ISNUMBER(E286),E286,0)+O286,O286)*P286*1000+O286,0),IF((S286&gt;0)*(IF(T286="",-1,T286)=0)*(1-(IF(T286="",-1,T286)&gt;=3)*(IF(T286="",-1,T286)&lt;=4)),IF(C286="peso_corporal",IF(ISNUMBER(E286),E286,0)+R286,R286)*S286*1000+R286,0))</f>
        <v>0</v>
      </c>
      <c r="Z286" s="69">
        <f>IF(Y286=0,0,IF(IF((S286&gt;0)*(IF(T286="",-1,T286)=0)*(1-(IF(T286="",-1,T286)&gt;=3)*(IF(T286="",-1,T286)&lt;=4)),IF(C286="peso_corporal",IF(ISNUMBER(E286),E286,0)+R286,R286)*S286*1000+R286,0)=Y286,5,IF(IF((P286&gt;0)*(IF(Q286="",-1,Q286)=0)*(1-(IF(Q286="",-1,Q286)&gt;=3)*(IF(Q286="",-1,Q286)&lt;=4)),IF(C286="peso_corporal",IF(ISNUMBER(E286),E286,0)+O286,O286)*P286*1000+O286,0)=Y286,4,IF(IF((M286&gt;0)*(IF(N286="",-1,N286)=0)*(1-(IF(N286="",-1,N286)&gt;=3)*(IF(N286="",-1,N286)&lt;=4)),IF(C286="peso_corporal",IF(ISNUMBER(E286),E286,0)+L286,L286)*M286*1000+L286,0)=Y286,3,IF(IF((J286&gt;0)*(IF(K286="",-1,K286)=0)*(1-(IF(K286="",-1,K286)&gt;=3)*(IF(K286="",-1,K286)&lt;=4)),IF(C286="peso_corporal",IF(ISNUMBER(E286),E286,0)+I286,I286)*J286*1000+I286,0)=Y286,2,IF(IF((G286&gt;0)*(IF(H286="",-1,H286)=0)*(1-(IF(H286="",-1,H286)&gt;=3)*(IF(H286="",-1,H286)&lt;=4)),IF(C286="peso_corporal",IF(ISNUMBER(E286),E286,0)+F286,F286)*G286*1000+F286,0)=Y286,1,0))))))</f>
        <v>0</v>
      </c>
      <c r="AA286" s="69">
        <f>MAX(IF((G286&gt;=12)*(1-(IF(H286="",-1,H286)&gt;=3)*(IF(H286="",-1,H286)&lt;=4))*(1-(IF(H286="",-1,H286)=0)),IF(C286="peso_corporal",IF(ISNUMBER(E286),E286,0)+F286,F286)*(30+G286)*100+F286,0),IF((J286&gt;=12)*(1-(IF(K286="",-1,K286)&gt;=3)*(IF(K286="",-1,K286)&lt;=4))*(1-(IF(K286="",-1,K286)=0)),IF(C286="peso_corporal",IF(ISNUMBER(E286),E286,0)+I286,I286)*(30+J286)*100+I286,0),IF((M286&gt;=12)*(1-(IF(N286="",-1,N286)&gt;=3)*(IF(N286="",-1,N286)&lt;=4))*(1-(IF(N286="",-1,N286)=0)),IF(C286="peso_corporal",IF(ISNUMBER(E286),E286,0)+L286,L286)*(30+M286)*100+L286,0),IF((P286&gt;=12)*(1-(IF(Q286="",-1,Q286)&gt;=3)*(IF(Q286="",-1,Q286)&lt;=4))*(1-(IF(Q286="",-1,Q286)=0)),IF(C286="peso_corporal",IF(ISNUMBER(E286),E286,0)+O286,O286)*(30+P286)*100+O286,0),IF((S286&gt;=12)*(1-(IF(T286="",-1,T286)&gt;=3)*(IF(T286="",-1,T286)&lt;=4))*(1-(IF(T286="",-1,T286)=0)),IF(C286="peso_corporal",IF(ISNUMBER(E286),E286,0)+R286,R286)*(30+S286)*100+R286,0))</f>
        <v>0</v>
      </c>
      <c r="AB286" s="69">
        <f>IF(AA286=0,0,IF(IF((S286&gt;=12)*(1-(IF(T286="",-1,T286)&gt;=3)*(IF(T286="",-1,T286)&lt;=4))*(1-(IF(T286="",-1,T286)=0)),IF(C286="peso_corporal",IF(ISNUMBER(E286),E286,0)+R286,R286)*(30+S286)*100+R286,0)=AA286,5,IF(IF((P286&gt;=12)*(1-(IF(Q286="",-1,Q286)&gt;=3)*(IF(Q286="",-1,Q286)&lt;=4))*(1-(IF(Q286="",-1,Q286)=0)),IF(C286="peso_corporal",IF(ISNUMBER(E286),E286,0)+O286,O286)*(30+P286)*100+O286,0)=AA286,4,IF(IF((M286&gt;=12)*(1-(IF(N286="",-1,N286)&gt;=3)*(IF(N286="",-1,N286)&lt;=4))*(1-(IF(N286="",-1,N286)=0)),IF(C286="peso_corporal",IF(ISNUMBER(E286),E286,0)+L286,L286)*(30+M286)*100+L286,0)=AA286,3,IF(IF((J286&gt;=12)*(1-(IF(K286="",-1,K286)&gt;=3)*(IF(K286="",-1,K286)&lt;=4))*(1-(IF(K286="",-1,K286)=0)),IF(C286="peso_corporal",IF(ISNUMBER(E286),E286,0)+I286,I286)*(30+J286)*100+I286,0)=AA286,2,IF(IF((G286&gt;=12)*(1-(IF(H286="",-1,H286)&gt;=3)*(IF(H286="",-1,H286)&lt;=4))*(1-(IF(H286="",-1,H286)=0)),IF(C286="peso_corporal",IF(ISNUMBER(E286),E286,0)+F286,F286)*(30+G286)*100+F286,0)=AA286,1,0))))))</f>
        <v>0</v>
      </c>
      <c r="AC286" s="69" t="str">
        <f>IF(X286&gt;0,"A"&amp;X286,IF(Z286&gt;0,"B"&amp;Z286,IF(AB286&gt;0,"C"&amp;AB286,"")))</f>
        <v/>
      </c>
    </row>
    <row r="287" spans="1:29" ht="20.100000000000001" customHeight="1">
      <c r="A287" s="14" t="s">
        <v>100</v>
      </c>
      <c r="B287" s="15" t="s">
        <v>102</v>
      </c>
      <c r="C287" s="16" t="str">
        <f>IFERROR(INDEX(EJERCICIOS!$D$3:$D$75,MATCH(A287&amp;"|"&amp;B287,EJERCICIOS!$G$3:$G$75,0)),"--")</f>
        <v>mancuerna</v>
      </c>
      <c r="D287" s="17">
        <v>3</v>
      </c>
      <c r="E287" s="18">
        <f>IFERROR(LOOKUP(2,1/(MEDIDAS_Y_PESO!$B$3:$B$14&lt;&gt;""),MEDIDAS_Y_PESO!$B$3:$B$14),"--")</f>
        <v>80</v>
      </c>
      <c r="F287" s="19"/>
      <c r="G287" s="20"/>
      <c r="H287" s="21"/>
      <c r="I287" s="19"/>
      <c r="J287" s="20"/>
      <c r="K287" s="21"/>
      <c r="L287" s="19"/>
      <c r="M287" s="20"/>
      <c r="N287" s="21"/>
      <c r="O287" s="19"/>
      <c r="P287" s="20"/>
      <c r="Q287" s="21"/>
      <c r="R287" s="19"/>
      <c r="S287" s="20"/>
      <c r="T287" s="21"/>
      <c r="U287" s="22" t="str">
        <f>IFERROR(IF(IF(X287&gt;0,X287,IF(Z287&gt;0,Z287,IF(AB287&gt;0,AB287,0)))=0,"--",ROUND(CHOOSE(IF(X287&gt;0,X287,IF(Z287&gt;0,Z287,IF(AB287&gt;0,AB287,0))),IF(C287="peso_corporal",IF(ISNUMBER(E287),E287,0)+F287,F287)*(1+G287/30),IF(C287="peso_corporal",IF(ISNUMBER(E287),E287,0)+I287,I287)*(1+J287/30),IF(C287="peso_corporal",IF(ISNUMBER(E287),E287,0)+L287,L287)*(1+M287/30),IF(C287="peso_corporal",IF(ISNUMBER(E287),E287,0)+O287,O287)*(1+P287/30),IF(C287="peso_corporal",IF(ISNUMBER(E287),E287,0)+R287,R287)*(1+S287/30)),1)),"--")</f>
        <v>--</v>
      </c>
      <c r="V287" s="23" t="str">
        <f>IF(SUGERENCIAS!N754="SIN","Sin datos anteriores",IF(SUGERENCIAS!N754="SUBIR_F","^ SUBIR FUERTE | Kg:"&amp;ROUND(SUGERENCIAS!K754,1)&amp;" R:"&amp;ROUND(SUGERENCIAS!L754,0)&amp;" RIR:"&amp;ROUND(SUGERENCIAS!M754,0),IF(SUGERENCIAS!N754="SUBIR_E","^ SUBIR (Est.) | Kg:"&amp;ROUND(SUGERENCIAS!K754,1)&amp;" R:"&amp;ROUND(SUGERENCIAS!L754,0)&amp;" RIR:"&amp;ROUND(SUGERENCIAS!M754,0),IF(SUGERENCIAS!N754="SUBIR","^ SUBIR | Kg:"&amp;ROUND(SUGERENCIAS!K754,1)&amp;" R:"&amp;ROUND(SUGERENCIAS!L754,0)&amp;" RIR:"&amp;ROUND(SUGERENCIAS!M754,0),IF(SUGERENCIAS!N754="BAJAR","v BAJAR | Kg:"&amp;ROUND(SUGERENCIAS!K754,1)&amp;" R:"&amp;ROUND(SUGERENCIAS!L754,0)&amp;" RIR:"&amp;ROUND(SUGERENCIAS!M754,0),"= MANT | Kg:"&amp;ROUND(SUGERENCIAS!K754,1)&amp;" R:"&amp;ROUND(SUGERENCIAS!L754,0)&amp;" RIR:"&amp;ROUND(SUGERENCIAS!M754,0))))))</f>
        <v>Sin datos anteriores</v>
      </c>
      <c r="W287" s="69">
        <f>MAX(IF((G287&gt;0)*(IF(H287="",-1,H287)&gt;=3)*(IF(H287="",-1,H287)&lt;=4),IF(C287="peso_corporal",IF(ISNUMBER(E287),E287,0)+F287,F287)*G287*1000+F287,0),IF((J287&gt;0)*(IF(K287="",-1,K287)&gt;=3)*(IF(K287="",-1,K287)&lt;=4),IF(C287="peso_corporal",IF(ISNUMBER(E287),E287,0)+I287,I287)*J287*1000+I287,0),IF((M287&gt;0)*(IF(N287="",-1,N287)&gt;=3)*(IF(N287="",-1,N287)&lt;=4),IF(C287="peso_corporal",IF(ISNUMBER(E287),E287,0)+L287,L287)*M287*1000+L287,0),IF((P287&gt;0)*(IF(Q287="",-1,Q287)&gt;=3)*(IF(Q287="",-1,Q287)&lt;=4),IF(C287="peso_corporal",IF(ISNUMBER(E287),E287,0)+O287,O287)*P287*1000+O287,0),IF((S287&gt;0)*(IF(T287="",-1,T287)&gt;=3)*(IF(T287="",-1,T287)&lt;=4),IF(C287="peso_corporal",IF(ISNUMBER(E287),E287,0)+R287,R287)*S287*1000+R287,0))</f>
        <v>0</v>
      </c>
      <c r="X287" s="69">
        <f>IF(W287=0,0,IF(IF((S287&gt;0)*(IF(T287="",-1,T287)&gt;=3)*(IF(T287="",-1,T287)&lt;=4),IF(C287="peso_corporal",IF(ISNUMBER(E287),E287,0)+R287,R287)*S287*1000+R287,0)=W287,5,IF(IF((P287&gt;0)*(IF(Q287="",-1,Q287)&gt;=3)*(IF(Q287="",-1,Q287)&lt;=4),IF(C287="peso_corporal",IF(ISNUMBER(E287),E287,0)+O287,O287)*P287*1000+O287,0)=W287,4,IF(IF((M287&gt;0)*(IF(N287="",-1,N287)&gt;=3)*(IF(N287="",-1,N287)&lt;=4),IF(C287="peso_corporal",IF(ISNUMBER(E287),E287,0)+L287,L287)*M287*1000+L287,0)=W287,3,IF(IF((J287&gt;0)*(IF(K287="",-1,K287)&gt;=3)*(IF(K287="",-1,K287)&lt;=4),IF(C287="peso_corporal",IF(ISNUMBER(E287),E287,0)+I287,I287)*J287*1000+I287,0)=W287,2,IF(IF((G287&gt;0)*(IF(H287="",-1,H287)&gt;=3)*(IF(H287="",-1,H287)&lt;=4),IF(C287="peso_corporal",IF(ISNUMBER(E287),E287,0)+F287,F287)*G287*1000+F287,0)=W287,1,0))))))</f>
        <v>0</v>
      </c>
      <c r="Y287" s="69">
        <f>MAX(IF((G287&gt;0)*(IF(H287="",-1,H287)=0)*(1-(IF(H287="",-1,H287)&gt;=3)*(IF(H287="",-1,H287)&lt;=4)),IF(C287="peso_corporal",IF(ISNUMBER(E287),E287,0)+F287,F287)*G287*1000+F287,0),IF((J287&gt;0)*(IF(K287="",-1,K287)=0)*(1-(IF(K287="",-1,K287)&gt;=3)*(IF(K287="",-1,K287)&lt;=4)),IF(C287="peso_corporal",IF(ISNUMBER(E287),E287,0)+I287,I287)*J287*1000+I287,0),IF((M287&gt;0)*(IF(N287="",-1,N287)=0)*(1-(IF(N287="",-1,N287)&gt;=3)*(IF(N287="",-1,N287)&lt;=4)),IF(C287="peso_corporal",IF(ISNUMBER(E287),E287,0)+L287,L287)*M287*1000+L287,0),IF((P287&gt;0)*(IF(Q287="",-1,Q287)=0)*(1-(IF(Q287="",-1,Q287)&gt;=3)*(IF(Q287="",-1,Q287)&lt;=4)),IF(C287="peso_corporal",IF(ISNUMBER(E287),E287,0)+O287,O287)*P287*1000+O287,0),IF((S287&gt;0)*(IF(T287="",-1,T287)=0)*(1-(IF(T287="",-1,T287)&gt;=3)*(IF(T287="",-1,T287)&lt;=4)),IF(C287="peso_corporal",IF(ISNUMBER(E287),E287,0)+R287,R287)*S287*1000+R287,0))</f>
        <v>0</v>
      </c>
      <c r="Z287" s="69">
        <f>IF(Y287=0,0,IF(IF((S287&gt;0)*(IF(T287="",-1,T287)=0)*(1-(IF(T287="",-1,T287)&gt;=3)*(IF(T287="",-1,T287)&lt;=4)),IF(C287="peso_corporal",IF(ISNUMBER(E287),E287,0)+R287,R287)*S287*1000+R287,0)=Y287,5,IF(IF((P287&gt;0)*(IF(Q287="",-1,Q287)=0)*(1-(IF(Q287="",-1,Q287)&gt;=3)*(IF(Q287="",-1,Q287)&lt;=4)),IF(C287="peso_corporal",IF(ISNUMBER(E287),E287,0)+O287,O287)*P287*1000+O287,0)=Y287,4,IF(IF((M287&gt;0)*(IF(N287="",-1,N287)=0)*(1-(IF(N287="",-1,N287)&gt;=3)*(IF(N287="",-1,N287)&lt;=4)),IF(C287="peso_corporal",IF(ISNUMBER(E287),E287,0)+L287,L287)*M287*1000+L287,0)=Y287,3,IF(IF((J287&gt;0)*(IF(K287="",-1,K287)=0)*(1-(IF(K287="",-1,K287)&gt;=3)*(IF(K287="",-1,K287)&lt;=4)),IF(C287="peso_corporal",IF(ISNUMBER(E287),E287,0)+I287,I287)*J287*1000+I287,0)=Y287,2,IF(IF((G287&gt;0)*(IF(H287="",-1,H287)=0)*(1-(IF(H287="",-1,H287)&gt;=3)*(IF(H287="",-1,H287)&lt;=4)),IF(C287="peso_corporal",IF(ISNUMBER(E287),E287,0)+F287,F287)*G287*1000+F287,0)=Y287,1,0))))))</f>
        <v>0</v>
      </c>
      <c r="AA287" s="69">
        <f>MAX(IF((G287&gt;=12)*(1-(IF(H287="",-1,H287)&gt;=3)*(IF(H287="",-1,H287)&lt;=4))*(1-(IF(H287="",-1,H287)=0)),IF(C287="peso_corporal",IF(ISNUMBER(E287),E287,0)+F287,F287)*(30+G287)*100+F287,0),IF((J287&gt;=12)*(1-(IF(K287="",-1,K287)&gt;=3)*(IF(K287="",-1,K287)&lt;=4))*(1-(IF(K287="",-1,K287)=0)),IF(C287="peso_corporal",IF(ISNUMBER(E287),E287,0)+I287,I287)*(30+J287)*100+I287,0),IF((M287&gt;=12)*(1-(IF(N287="",-1,N287)&gt;=3)*(IF(N287="",-1,N287)&lt;=4))*(1-(IF(N287="",-1,N287)=0)),IF(C287="peso_corporal",IF(ISNUMBER(E287),E287,0)+L287,L287)*(30+M287)*100+L287,0),IF((P287&gt;=12)*(1-(IF(Q287="",-1,Q287)&gt;=3)*(IF(Q287="",-1,Q287)&lt;=4))*(1-(IF(Q287="",-1,Q287)=0)),IF(C287="peso_corporal",IF(ISNUMBER(E287),E287,0)+O287,O287)*(30+P287)*100+O287,0),IF((S287&gt;=12)*(1-(IF(T287="",-1,T287)&gt;=3)*(IF(T287="",-1,T287)&lt;=4))*(1-(IF(T287="",-1,T287)=0)),IF(C287="peso_corporal",IF(ISNUMBER(E287),E287,0)+R287,R287)*(30+S287)*100+R287,0))</f>
        <v>0</v>
      </c>
      <c r="AB287" s="69">
        <f>IF(AA287=0,0,IF(IF((S287&gt;=12)*(1-(IF(T287="",-1,T287)&gt;=3)*(IF(T287="",-1,T287)&lt;=4))*(1-(IF(T287="",-1,T287)=0)),IF(C287="peso_corporal",IF(ISNUMBER(E287),E287,0)+R287,R287)*(30+S287)*100+R287,0)=AA287,5,IF(IF((P287&gt;=12)*(1-(IF(Q287="",-1,Q287)&gt;=3)*(IF(Q287="",-1,Q287)&lt;=4))*(1-(IF(Q287="",-1,Q287)=0)),IF(C287="peso_corporal",IF(ISNUMBER(E287),E287,0)+O287,O287)*(30+P287)*100+O287,0)=AA287,4,IF(IF((M287&gt;=12)*(1-(IF(N287="",-1,N287)&gt;=3)*(IF(N287="",-1,N287)&lt;=4))*(1-(IF(N287="",-1,N287)=0)),IF(C287="peso_corporal",IF(ISNUMBER(E287),E287,0)+L287,L287)*(30+M287)*100+L287,0)=AA287,3,IF(IF((J287&gt;=12)*(1-(IF(K287="",-1,K287)&gt;=3)*(IF(K287="",-1,K287)&lt;=4))*(1-(IF(K287="",-1,K287)=0)),IF(C287="peso_corporal",IF(ISNUMBER(E287),E287,0)+I287,I287)*(30+J287)*100+I287,0)=AA287,2,IF(IF((G287&gt;=12)*(1-(IF(H287="",-1,H287)&gt;=3)*(IF(H287="",-1,H287)&lt;=4))*(1-(IF(H287="",-1,H287)=0)),IF(C287="peso_corporal",IF(ISNUMBER(E287),E287,0)+F287,F287)*(30+G287)*100+F287,0)=AA287,1,0))))))</f>
        <v>0</v>
      </c>
      <c r="AC287" s="69" t="str">
        <f>IF(X287&gt;0,"A"&amp;X287,IF(Z287&gt;0,"B"&amp;Z287,IF(AB287&gt;0,"C"&amp;AB287,"")))</f>
        <v/>
      </c>
    </row>
    <row r="288" spans="1:29" ht="15" customHeight="1">
      <c r="A288" s="81" t="s">
        <v>42</v>
      </c>
      <c r="B288" s="73"/>
      <c r="C288" s="73"/>
      <c r="D288" s="73"/>
      <c r="E288" s="73"/>
      <c r="F288" s="73"/>
      <c r="G288" s="73"/>
      <c r="H288" s="73"/>
      <c r="I288" s="73"/>
      <c r="J288" s="73"/>
      <c r="K288" s="73"/>
      <c r="L288" s="73"/>
      <c r="M288" s="73"/>
      <c r="N288" s="73"/>
      <c r="O288" s="73"/>
      <c r="P288" s="73"/>
      <c r="Q288" s="73"/>
      <c r="R288" s="73"/>
      <c r="S288" s="73"/>
      <c r="T288" s="73"/>
      <c r="U288" s="73"/>
      <c r="V288" s="73"/>
      <c r="W288" s="69"/>
      <c r="X288" s="69"/>
      <c r="Y288" s="69"/>
      <c r="Z288" s="69"/>
      <c r="AA288" s="69"/>
      <c r="AB288" s="69"/>
      <c r="AC288" s="69"/>
    </row>
    <row r="289" spans="1:29" ht="20.100000000000001" customHeight="1">
      <c r="A289" s="14" t="s">
        <v>43</v>
      </c>
      <c r="B289" s="15" t="s">
        <v>44</v>
      </c>
      <c r="C289" s="16" t="str">
        <f>IFERROR(INDEX(EJERCICIOS!$D$3:$D$75,MATCH(A289&amp;"|"&amp;B289,EJERCICIOS!$G$3:$G$75,0)),"--")</f>
        <v>polea</v>
      </c>
      <c r="D289" s="17">
        <v>3</v>
      </c>
      <c r="E289" s="18">
        <f>IFERROR(LOOKUP(2,1/(MEDIDAS_Y_PESO!$B$3:$B$14&lt;&gt;""),MEDIDAS_Y_PESO!$B$3:$B$14),"--")</f>
        <v>80</v>
      </c>
      <c r="F289" s="19"/>
      <c r="G289" s="20"/>
      <c r="H289" s="21"/>
      <c r="I289" s="19"/>
      <c r="J289" s="20"/>
      <c r="K289" s="21"/>
      <c r="L289" s="19"/>
      <c r="M289" s="20"/>
      <c r="N289" s="21"/>
      <c r="O289" s="19"/>
      <c r="P289" s="20"/>
      <c r="Q289" s="21"/>
      <c r="R289" s="19"/>
      <c r="S289" s="20"/>
      <c r="T289" s="21"/>
      <c r="U289" s="22" t="str">
        <f>IFERROR(IF(IF(X289&gt;0,X289,IF(Z289&gt;0,Z289,IF(AB289&gt;0,AB289,0)))=0,"--",ROUND(CHOOSE(IF(X289&gt;0,X289,IF(Z289&gt;0,Z289,IF(AB289&gt;0,AB289,0))),IF(C289="peso_corporal",IF(ISNUMBER(E289),E289,0)+F289,F289)*(1+G289/30),IF(C289="peso_corporal",IF(ISNUMBER(E289),E289,0)+I289,I289)*(1+J289/30),IF(C289="peso_corporal",IF(ISNUMBER(E289),E289,0)+L289,L289)*(1+M289/30),IF(C289="peso_corporal",IF(ISNUMBER(E289),E289,0)+O289,O289)*(1+P289/30),IF(C289="peso_corporal",IF(ISNUMBER(E289),E289,0)+R289,R289)*(1+S289/30)),1)),"--")</f>
        <v>--</v>
      </c>
      <c r="V289" s="23" t="str">
        <f>IF(SUGERENCIAS!N755="SIN","Sin datos anteriores",IF(SUGERENCIAS!N755="SUBIR_F","^ SUBIR FUERTE | Kg:"&amp;ROUND(SUGERENCIAS!K755,1)&amp;" R:"&amp;ROUND(SUGERENCIAS!L755,0)&amp;" RIR:"&amp;ROUND(SUGERENCIAS!M755,0),IF(SUGERENCIAS!N755="SUBIR_E","^ SUBIR (Est.) | Kg:"&amp;ROUND(SUGERENCIAS!K755,1)&amp;" R:"&amp;ROUND(SUGERENCIAS!L755,0)&amp;" RIR:"&amp;ROUND(SUGERENCIAS!M755,0),IF(SUGERENCIAS!N755="SUBIR","^ SUBIR | Kg:"&amp;ROUND(SUGERENCIAS!K755,1)&amp;" R:"&amp;ROUND(SUGERENCIAS!L755,0)&amp;" RIR:"&amp;ROUND(SUGERENCIAS!M755,0),IF(SUGERENCIAS!N755="BAJAR","v BAJAR | Kg:"&amp;ROUND(SUGERENCIAS!K755,1)&amp;" R:"&amp;ROUND(SUGERENCIAS!L755,0)&amp;" RIR:"&amp;ROUND(SUGERENCIAS!M755,0),"= MANT | Kg:"&amp;ROUND(SUGERENCIAS!K755,1)&amp;" R:"&amp;ROUND(SUGERENCIAS!L755,0)&amp;" RIR:"&amp;ROUND(SUGERENCIAS!M755,0))))))</f>
        <v>Sin datos anteriores</v>
      </c>
      <c r="W289" s="69">
        <f>MAX(IF((G289&gt;0)*(IF(H289="",-1,H289)&gt;=3)*(IF(H289="",-1,H289)&lt;=4),IF(C289="peso_corporal",IF(ISNUMBER(E289),E289,0)+F289,F289)*G289*1000+F289,0),IF((J289&gt;0)*(IF(K289="",-1,K289)&gt;=3)*(IF(K289="",-1,K289)&lt;=4),IF(C289="peso_corporal",IF(ISNUMBER(E289),E289,0)+I289,I289)*J289*1000+I289,0),IF((M289&gt;0)*(IF(N289="",-1,N289)&gt;=3)*(IF(N289="",-1,N289)&lt;=4),IF(C289="peso_corporal",IF(ISNUMBER(E289),E289,0)+L289,L289)*M289*1000+L289,0),IF((P289&gt;0)*(IF(Q289="",-1,Q289)&gt;=3)*(IF(Q289="",-1,Q289)&lt;=4),IF(C289="peso_corporal",IF(ISNUMBER(E289),E289,0)+O289,O289)*P289*1000+O289,0),IF((S289&gt;0)*(IF(T289="",-1,T289)&gt;=3)*(IF(T289="",-1,T289)&lt;=4),IF(C289="peso_corporal",IF(ISNUMBER(E289),E289,0)+R289,R289)*S289*1000+R289,0))</f>
        <v>0</v>
      </c>
      <c r="X289" s="69">
        <f>IF(W289=0,0,IF(IF((S289&gt;0)*(IF(T289="",-1,T289)&gt;=3)*(IF(T289="",-1,T289)&lt;=4),IF(C289="peso_corporal",IF(ISNUMBER(E289),E289,0)+R289,R289)*S289*1000+R289,0)=W289,5,IF(IF((P289&gt;0)*(IF(Q289="",-1,Q289)&gt;=3)*(IF(Q289="",-1,Q289)&lt;=4),IF(C289="peso_corporal",IF(ISNUMBER(E289),E289,0)+O289,O289)*P289*1000+O289,0)=W289,4,IF(IF((M289&gt;0)*(IF(N289="",-1,N289)&gt;=3)*(IF(N289="",-1,N289)&lt;=4),IF(C289="peso_corporal",IF(ISNUMBER(E289),E289,0)+L289,L289)*M289*1000+L289,0)=W289,3,IF(IF((J289&gt;0)*(IF(K289="",-1,K289)&gt;=3)*(IF(K289="",-1,K289)&lt;=4),IF(C289="peso_corporal",IF(ISNUMBER(E289),E289,0)+I289,I289)*J289*1000+I289,0)=W289,2,IF(IF((G289&gt;0)*(IF(H289="",-1,H289)&gt;=3)*(IF(H289="",-1,H289)&lt;=4),IF(C289="peso_corporal",IF(ISNUMBER(E289),E289,0)+F289,F289)*G289*1000+F289,0)=W289,1,0))))))</f>
        <v>0</v>
      </c>
      <c r="Y289" s="69">
        <f>MAX(IF((G289&gt;0)*(IF(H289="",-1,H289)=0)*(1-(IF(H289="",-1,H289)&gt;=3)*(IF(H289="",-1,H289)&lt;=4)),IF(C289="peso_corporal",IF(ISNUMBER(E289),E289,0)+F289,F289)*G289*1000+F289,0),IF((J289&gt;0)*(IF(K289="",-1,K289)=0)*(1-(IF(K289="",-1,K289)&gt;=3)*(IF(K289="",-1,K289)&lt;=4)),IF(C289="peso_corporal",IF(ISNUMBER(E289),E289,0)+I289,I289)*J289*1000+I289,0),IF((M289&gt;0)*(IF(N289="",-1,N289)=0)*(1-(IF(N289="",-1,N289)&gt;=3)*(IF(N289="",-1,N289)&lt;=4)),IF(C289="peso_corporal",IF(ISNUMBER(E289),E289,0)+L289,L289)*M289*1000+L289,0),IF((P289&gt;0)*(IF(Q289="",-1,Q289)=0)*(1-(IF(Q289="",-1,Q289)&gt;=3)*(IF(Q289="",-1,Q289)&lt;=4)),IF(C289="peso_corporal",IF(ISNUMBER(E289),E289,0)+O289,O289)*P289*1000+O289,0),IF((S289&gt;0)*(IF(T289="",-1,T289)=0)*(1-(IF(T289="",-1,T289)&gt;=3)*(IF(T289="",-1,T289)&lt;=4)),IF(C289="peso_corporal",IF(ISNUMBER(E289),E289,0)+R289,R289)*S289*1000+R289,0))</f>
        <v>0</v>
      </c>
      <c r="Z289" s="69">
        <f>IF(Y289=0,0,IF(IF((S289&gt;0)*(IF(T289="",-1,T289)=0)*(1-(IF(T289="",-1,T289)&gt;=3)*(IF(T289="",-1,T289)&lt;=4)),IF(C289="peso_corporal",IF(ISNUMBER(E289),E289,0)+R289,R289)*S289*1000+R289,0)=Y289,5,IF(IF((P289&gt;0)*(IF(Q289="",-1,Q289)=0)*(1-(IF(Q289="",-1,Q289)&gt;=3)*(IF(Q289="",-1,Q289)&lt;=4)),IF(C289="peso_corporal",IF(ISNUMBER(E289),E289,0)+O289,O289)*P289*1000+O289,0)=Y289,4,IF(IF((M289&gt;0)*(IF(N289="",-1,N289)=0)*(1-(IF(N289="",-1,N289)&gt;=3)*(IF(N289="",-1,N289)&lt;=4)),IF(C289="peso_corporal",IF(ISNUMBER(E289),E289,0)+L289,L289)*M289*1000+L289,0)=Y289,3,IF(IF((J289&gt;0)*(IF(K289="",-1,K289)=0)*(1-(IF(K289="",-1,K289)&gt;=3)*(IF(K289="",-1,K289)&lt;=4)),IF(C289="peso_corporal",IF(ISNUMBER(E289),E289,0)+I289,I289)*J289*1000+I289,0)=Y289,2,IF(IF((G289&gt;0)*(IF(H289="",-1,H289)=0)*(1-(IF(H289="",-1,H289)&gt;=3)*(IF(H289="",-1,H289)&lt;=4)),IF(C289="peso_corporal",IF(ISNUMBER(E289),E289,0)+F289,F289)*G289*1000+F289,0)=Y289,1,0))))))</f>
        <v>0</v>
      </c>
      <c r="AA289" s="69">
        <f>MAX(IF((G289&gt;=12)*(1-(IF(H289="",-1,H289)&gt;=3)*(IF(H289="",-1,H289)&lt;=4))*(1-(IF(H289="",-1,H289)=0)),IF(C289="peso_corporal",IF(ISNUMBER(E289),E289,0)+F289,F289)*(30+G289)*100+F289,0),IF((J289&gt;=12)*(1-(IF(K289="",-1,K289)&gt;=3)*(IF(K289="",-1,K289)&lt;=4))*(1-(IF(K289="",-1,K289)=0)),IF(C289="peso_corporal",IF(ISNUMBER(E289),E289,0)+I289,I289)*(30+J289)*100+I289,0),IF((M289&gt;=12)*(1-(IF(N289="",-1,N289)&gt;=3)*(IF(N289="",-1,N289)&lt;=4))*(1-(IF(N289="",-1,N289)=0)),IF(C289="peso_corporal",IF(ISNUMBER(E289),E289,0)+L289,L289)*(30+M289)*100+L289,0),IF((P289&gt;=12)*(1-(IF(Q289="",-1,Q289)&gt;=3)*(IF(Q289="",-1,Q289)&lt;=4))*(1-(IF(Q289="",-1,Q289)=0)),IF(C289="peso_corporal",IF(ISNUMBER(E289),E289,0)+O289,O289)*(30+P289)*100+O289,0),IF((S289&gt;=12)*(1-(IF(T289="",-1,T289)&gt;=3)*(IF(T289="",-1,T289)&lt;=4))*(1-(IF(T289="",-1,T289)=0)),IF(C289="peso_corporal",IF(ISNUMBER(E289),E289,0)+R289,R289)*(30+S289)*100+R289,0))</f>
        <v>0</v>
      </c>
      <c r="AB289" s="69">
        <f>IF(AA289=0,0,IF(IF((S289&gt;=12)*(1-(IF(T289="",-1,T289)&gt;=3)*(IF(T289="",-1,T289)&lt;=4))*(1-(IF(T289="",-1,T289)=0)),IF(C289="peso_corporal",IF(ISNUMBER(E289),E289,0)+R289,R289)*(30+S289)*100+R289,0)=AA289,5,IF(IF((P289&gt;=12)*(1-(IF(Q289="",-1,Q289)&gt;=3)*(IF(Q289="",-1,Q289)&lt;=4))*(1-(IF(Q289="",-1,Q289)=0)),IF(C289="peso_corporal",IF(ISNUMBER(E289),E289,0)+O289,O289)*(30+P289)*100+O289,0)=AA289,4,IF(IF((M289&gt;=12)*(1-(IF(N289="",-1,N289)&gt;=3)*(IF(N289="",-1,N289)&lt;=4))*(1-(IF(N289="",-1,N289)=0)),IF(C289="peso_corporal",IF(ISNUMBER(E289),E289,0)+L289,L289)*(30+M289)*100+L289,0)=AA289,3,IF(IF((J289&gt;=12)*(1-(IF(K289="",-1,K289)&gt;=3)*(IF(K289="",-1,K289)&lt;=4))*(1-(IF(K289="",-1,K289)=0)),IF(C289="peso_corporal",IF(ISNUMBER(E289),E289,0)+I289,I289)*(30+J289)*100+I289,0)=AA289,2,IF(IF((G289&gt;=12)*(1-(IF(H289="",-1,H289)&gt;=3)*(IF(H289="",-1,H289)&lt;=4))*(1-(IF(H289="",-1,H289)=0)),IF(C289="peso_corporal",IF(ISNUMBER(E289),E289,0)+F289,F289)*(30+G289)*100+F289,0)=AA289,1,0))))))</f>
        <v>0</v>
      </c>
      <c r="AC289" s="69" t="str">
        <f>IF(X289&gt;0,"A"&amp;X289,IF(Z289&gt;0,"B"&amp;Z289,IF(AB289&gt;0,"C"&amp;AB289,"")))</f>
        <v/>
      </c>
    </row>
    <row r="290" spans="1:29" ht="15" customHeight="1">
      <c r="A290" s="81" t="s">
        <v>174</v>
      </c>
      <c r="B290" s="73"/>
      <c r="C290" s="73"/>
      <c r="D290" s="73"/>
      <c r="E290" s="73"/>
      <c r="F290" s="73"/>
      <c r="G290" s="73"/>
      <c r="H290" s="73"/>
      <c r="I290" s="73"/>
      <c r="J290" s="73"/>
      <c r="K290" s="73"/>
      <c r="L290" s="73"/>
      <c r="M290" s="73"/>
      <c r="N290" s="73"/>
      <c r="O290" s="73"/>
      <c r="P290" s="73"/>
      <c r="Q290" s="73"/>
      <c r="R290" s="73"/>
      <c r="S290" s="73"/>
      <c r="T290" s="73"/>
      <c r="U290" s="73"/>
      <c r="V290" s="73"/>
      <c r="W290" s="69"/>
      <c r="X290" s="69"/>
      <c r="Y290" s="69"/>
      <c r="Z290" s="69"/>
      <c r="AA290" s="69"/>
      <c r="AB290" s="69"/>
      <c r="AC290" s="69"/>
    </row>
    <row r="291" spans="1:29" ht="20.100000000000001" customHeight="1">
      <c r="A291" s="14" t="s">
        <v>175</v>
      </c>
      <c r="B291" s="15" t="s">
        <v>176</v>
      </c>
      <c r="C291" s="16" t="str">
        <f>IFERROR(INDEX(EJERCICIOS!$D$3:$D$75,MATCH(A291&amp;"|"&amp;B291,EJERCICIOS!$G$3:$G$75,0)),"--")</f>
        <v>mancuerna</v>
      </c>
      <c r="D291" s="17">
        <v>3</v>
      </c>
      <c r="E291" s="18">
        <f>IFERROR(LOOKUP(2,1/(MEDIDAS_Y_PESO!$B$3:$B$14&lt;&gt;""),MEDIDAS_Y_PESO!$B$3:$B$14),"--")</f>
        <v>80</v>
      </c>
      <c r="F291" s="19"/>
      <c r="G291" s="20"/>
      <c r="H291" s="21"/>
      <c r="I291" s="19"/>
      <c r="J291" s="20"/>
      <c r="K291" s="21"/>
      <c r="L291" s="19"/>
      <c r="M291" s="20"/>
      <c r="N291" s="21"/>
      <c r="O291" s="19"/>
      <c r="P291" s="20"/>
      <c r="Q291" s="21"/>
      <c r="R291" s="19"/>
      <c r="S291" s="20"/>
      <c r="T291" s="21"/>
      <c r="U291" s="22" t="str">
        <f>IFERROR(IF(IF(X291&gt;0,X291,IF(Z291&gt;0,Z291,IF(AB291&gt;0,AB291,0)))=0,"--",ROUND(CHOOSE(IF(X291&gt;0,X291,IF(Z291&gt;0,Z291,IF(AB291&gt;0,AB291,0))),IF(C291="peso_corporal",IF(ISNUMBER(E291),E291,0)+F291,F291)*(1+G291/30),IF(C291="peso_corporal",IF(ISNUMBER(E291),E291,0)+I291,I291)*(1+J291/30),IF(C291="peso_corporal",IF(ISNUMBER(E291),E291,0)+L291,L291)*(1+M291/30),IF(C291="peso_corporal",IF(ISNUMBER(E291),E291,0)+O291,O291)*(1+P291/30),IF(C291="peso_corporal",IF(ISNUMBER(E291),E291,0)+R291,R291)*(1+S291/30)),1)),"--")</f>
        <v>--</v>
      </c>
      <c r="V291" s="23" t="str">
        <f>IF(SUGERENCIAS!N756="SIN","Sin datos anteriores",IF(SUGERENCIAS!N756="SUBIR_F","^ SUBIR FUERTE | Kg:"&amp;ROUND(SUGERENCIAS!K756,1)&amp;" R:"&amp;ROUND(SUGERENCIAS!L756,0)&amp;" RIR:"&amp;ROUND(SUGERENCIAS!M756,0),IF(SUGERENCIAS!N756="SUBIR_E","^ SUBIR (Est.) | Kg:"&amp;ROUND(SUGERENCIAS!K756,1)&amp;" R:"&amp;ROUND(SUGERENCIAS!L756,0)&amp;" RIR:"&amp;ROUND(SUGERENCIAS!M756,0),IF(SUGERENCIAS!N756="SUBIR","^ SUBIR | Kg:"&amp;ROUND(SUGERENCIAS!K756,1)&amp;" R:"&amp;ROUND(SUGERENCIAS!L756,0)&amp;" RIR:"&amp;ROUND(SUGERENCIAS!M756,0),IF(SUGERENCIAS!N756="BAJAR","v BAJAR | Kg:"&amp;ROUND(SUGERENCIAS!K756,1)&amp;" R:"&amp;ROUND(SUGERENCIAS!L756,0)&amp;" RIR:"&amp;ROUND(SUGERENCIAS!M756,0),"= MANT | Kg:"&amp;ROUND(SUGERENCIAS!K756,1)&amp;" R:"&amp;ROUND(SUGERENCIAS!L756,0)&amp;" RIR:"&amp;ROUND(SUGERENCIAS!M756,0))))))</f>
        <v>Sin datos anteriores</v>
      </c>
      <c r="W291" s="69">
        <f>MAX(IF((G291&gt;0)*(IF(H291="",-1,H291)&gt;=3)*(IF(H291="",-1,H291)&lt;=4),IF(C291="peso_corporal",IF(ISNUMBER(E291),E291,0)+F291,F291)*G291*1000+F291,0),IF((J291&gt;0)*(IF(K291="",-1,K291)&gt;=3)*(IF(K291="",-1,K291)&lt;=4),IF(C291="peso_corporal",IF(ISNUMBER(E291),E291,0)+I291,I291)*J291*1000+I291,0),IF((M291&gt;0)*(IF(N291="",-1,N291)&gt;=3)*(IF(N291="",-1,N291)&lt;=4),IF(C291="peso_corporal",IF(ISNUMBER(E291),E291,0)+L291,L291)*M291*1000+L291,0),IF((P291&gt;0)*(IF(Q291="",-1,Q291)&gt;=3)*(IF(Q291="",-1,Q291)&lt;=4),IF(C291="peso_corporal",IF(ISNUMBER(E291),E291,0)+O291,O291)*P291*1000+O291,0),IF((S291&gt;0)*(IF(T291="",-1,T291)&gt;=3)*(IF(T291="",-1,T291)&lt;=4),IF(C291="peso_corporal",IF(ISNUMBER(E291),E291,0)+R291,R291)*S291*1000+R291,0))</f>
        <v>0</v>
      </c>
      <c r="X291" s="69">
        <f>IF(W291=0,0,IF(IF((S291&gt;0)*(IF(T291="",-1,T291)&gt;=3)*(IF(T291="",-1,T291)&lt;=4),IF(C291="peso_corporal",IF(ISNUMBER(E291),E291,0)+R291,R291)*S291*1000+R291,0)=W291,5,IF(IF((P291&gt;0)*(IF(Q291="",-1,Q291)&gt;=3)*(IF(Q291="",-1,Q291)&lt;=4),IF(C291="peso_corporal",IF(ISNUMBER(E291),E291,0)+O291,O291)*P291*1000+O291,0)=W291,4,IF(IF((M291&gt;0)*(IF(N291="",-1,N291)&gt;=3)*(IF(N291="",-1,N291)&lt;=4),IF(C291="peso_corporal",IF(ISNUMBER(E291),E291,0)+L291,L291)*M291*1000+L291,0)=W291,3,IF(IF((J291&gt;0)*(IF(K291="",-1,K291)&gt;=3)*(IF(K291="",-1,K291)&lt;=4),IF(C291="peso_corporal",IF(ISNUMBER(E291),E291,0)+I291,I291)*J291*1000+I291,0)=W291,2,IF(IF((G291&gt;0)*(IF(H291="",-1,H291)&gt;=3)*(IF(H291="",-1,H291)&lt;=4),IF(C291="peso_corporal",IF(ISNUMBER(E291),E291,0)+F291,F291)*G291*1000+F291,0)=W291,1,0))))))</f>
        <v>0</v>
      </c>
      <c r="Y291" s="69">
        <f>MAX(IF((G291&gt;0)*(IF(H291="",-1,H291)=0)*(1-(IF(H291="",-1,H291)&gt;=3)*(IF(H291="",-1,H291)&lt;=4)),IF(C291="peso_corporal",IF(ISNUMBER(E291),E291,0)+F291,F291)*G291*1000+F291,0),IF((J291&gt;0)*(IF(K291="",-1,K291)=0)*(1-(IF(K291="",-1,K291)&gt;=3)*(IF(K291="",-1,K291)&lt;=4)),IF(C291="peso_corporal",IF(ISNUMBER(E291),E291,0)+I291,I291)*J291*1000+I291,0),IF((M291&gt;0)*(IF(N291="",-1,N291)=0)*(1-(IF(N291="",-1,N291)&gt;=3)*(IF(N291="",-1,N291)&lt;=4)),IF(C291="peso_corporal",IF(ISNUMBER(E291),E291,0)+L291,L291)*M291*1000+L291,0),IF((P291&gt;0)*(IF(Q291="",-1,Q291)=0)*(1-(IF(Q291="",-1,Q291)&gt;=3)*(IF(Q291="",-1,Q291)&lt;=4)),IF(C291="peso_corporal",IF(ISNUMBER(E291),E291,0)+O291,O291)*P291*1000+O291,0),IF((S291&gt;0)*(IF(T291="",-1,T291)=0)*(1-(IF(T291="",-1,T291)&gt;=3)*(IF(T291="",-1,T291)&lt;=4)),IF(C291="peso_corporal",IF(ISNUMBER(E291),E291,0)+R291,R291)*S291*1000+R291,0))</f>
        <v>0</v>
      </c>
      <c r="Z291" s="69">
        <f>IF(Y291=0,0,IF(IF((S291&gt;0)*(IF(T291="",-1,T291)=0)*(1-(IF(T291="",-1,T291)&gt;=3)*(IF(T291="",-1,T291)&lt;=4)),IF(C291="peso_corporal",IF(ISNUMBER(E291),E291,0)+R291,R291)*S291*1000+R291,0)=Y291,5,IF(IF((P291&gt;0)*(IF(Q291="",-1,Q291)=0)*(1-(IF(Q291="",-1,Q291)&gt;=3)*(IF(Q291="",-1,Q291)&lt;=4)),IF(C291="peso_corporal",IF(ISNUMBER(E291),E291,0)+O291,O291)*P291*1000+O291,0)=Y291,4,IF(IF((M291&gt;0)*(IF(N291="",-1,N291)=0)*(1-(IF(N291="",-1,N291)&gt;=3)*(IF(N291="",-1,N291)&lt;=4)),IF(C291="peso_corporal",IF(ISNUMBER(E291),E291,0)+L291,L291)*M291*1000+L291,0)=Y291,3,IF(IF((J291&gt;0)*(IF(K291="",-1,K291)=0)*(1-(IF(K291="",-1,K291)&gt;=3)*(IF(K291="",-1,K291)&lt;=4)),IF(C291="peso_corporal",IF(ISNUMBER(E291),E291,0)+I291,I291)*J291*1000+I291,0)=Y291,2,IF(IF((G291&gt;0)*(IF(H291="",-1,H291)=0)*(1-(IF(H291="",-1,H291)&gt;=3)*(IF(H291="",-1,H291)&lt;=4)),IF(C291="peso_corporal",IF(ISNUMBER(E291),E291,0)+F291,F291)*G291*1000+F291,0)=Y291,1,0))))))</f>
        <v>0</v>
      </c>
      <c r="AA291" s="69">
        <f>MAX(IF((G291&gt;=12)*(1-(IF(H291="",-1,H291)&gt;=3)*(IF(H291="",-1,H291)&lt;=4))*(1-(IF(H291="",-1,H291)=0)),IF(C291="peso_corporal",IF(ISNUMBER(E291),E291,0)+F291,F291)*(30+G291)*100+F291,0),IF((J291&gt;=12)*(1-(IF(K291="",-1,K291)&gt;=3)*(IF(K291="",-1,K291)&lt;=4))*(1-(IF(K291="",-1,K291)=0)),IF(C291="peso_corporal",IF(ISNUMBER(E291),E291,0)+I291,I291)*(30+J291)*100+I291,0),IF((M291&gt;=12)*(1-(IF(N291="",-1,N291)&gt;=3)*(IF(N291="",-1,N291)&lt;=4))*(1-(IF(N291="",-1,N291)=0)),IF(C291="peso_corporal",IF(ISNUMBER(E291),E291,0)+L291,L291)*(30+M291)*100+L291,0),IF((P291&gt;=12)*(1-(IF(Q291="",-1,Q291)&gt;=3)*(IF(Q291="",-1,Q291)&lt;=4))*(1-(IF(Q291="",-1,Q291)=0)),IF(C291="peso_corporal",IF(ISNUMBER(E291),E291,0)+O291,O291)*(30+P291)*100+O291,0),IF((S291&gt;=12)*(1-(IF(T291="",-1,T291)&gt;=3)*(IF(T291="",-1,T291)&lt;=4))*(1-(IF(T291="",-1,T291)=0)),IF(C291="peso_corporal",IF(ISNUMBER(E291),E291,0)+R291,R291)*(30+S291)*100+R291,0))</f>
        <v>0</v>
      </c>
      <c r="AB291" s="69">
        <f>IF(AA291=0,0,IF(IF((S291&gt;=12)*(1-(IF(T291="",-1,T291)&gt;=3)*(IF(T291="",-1,T291)&lt;=4))*(1-(IF(T291="",-1,T291)=0)),IF(C291="peso_corporal",IF(ISNUMBER(E291),E291,0)+R291,R291)*(30+S291)*100+R291,0)=AA291,5,IF(IF((P291&gt;=12)*(1-(IF(Q291="",-1,Q291)&gt;=3)*(IF(Q291="",-1,Q291)&lt;=4))*(1-(IF(Q291="",-1,Q291)=0)),IF(C291="peso_corporal",IF(ISNUMBER(E291),E291,0)+O291,O291)*(30+P291)*100+O291,0)=AA291,4,IF(IF((M291&gt;=12)*(1-(IF(N291="",-1,N291)&gt;=3)*(IF(N291="",-1,N291)&lt;=4))*(1-(IF(N291="",-1,N291)=0)),IF(C291="peso_corporal",IF(ISNUMBER(E291),E291,0)+L291,L291)*(30+M291)*100+L291,0)=AA291,3,IF(IF((J291&gt;=12)*(1-(IF(K291="",-1,K291)&gt;=3)*(IF(K291="",-1,K291)&lt;=4))*(1-(IF(K291="",-1,K291)=0)),IF(C291="peso_corporal",IF(ISNUMBER(E291),E291,0)+I291,I291)*(30+J291)*100+I291,0)=AA291,2,IF(IF((G291&gt;=12)*(1-(IF(H291="",-1,H291)&gt;=3)*(IF(H291="",-1,H291)&lt;=4))*(1-(IF(H291="",-1,H291)=0)),IF(C291="peso_corporal",IF(ISNUMBER(E291),E291,0)+F291,F291)*(30+G291)*100+F291,0)=AA291,1,0))))))</f>
        <v>0</v>
      </c>
      <c r="AC291" s="69" t="str">
        <f>IF(X291&gt;0,"A"&amp;X291,IF(Z291&gt;0,"B"&amp;Z291,IF(AB291&gt;0,"C"&amp;AB291,"")))</f>
        <v/>
      </c>
    </row>
    <row r="292" spans="1:29" ht="20.100000000000001" customHeight="1">
      <c r="A292" s="14" t="s">
        <v>109</v>
      </c>
      <c r="B292" s="15" t="s">
        <v>110</v>
      </c>
      <c r="C292" s="16" t="str">
        <f>IFERROR(INDEX(EJERCICIOS!$D$3:$D$75,MATCH(A292&amp;"|"&amp;B292,EJERCICIOS!$G$3:$G$75,0)),"--")</f>
        <v>polea</v>
      </c>
      <c r="D292" s="17">
        <v>3</v>
      </c>
      <c r="E292" s="18">
        <f>IFERROR(LOOKUP(2,1/(MEDIDAS_Y_PESO!$B$3:$B$14&lt;&gt;""),MEDIDAS_Y_PESO!$B$3:$B$14),"--")</f>
        <v>80</v>
      </c>
      <c r="F292" s="19"/>
      <c r="G292" s="20"/>
      <c r="H292" s="21"/>
      <c r="I292" s="19"/>
      <c r="J292" s="20"/>
      <c r="K292" s="21"/>
      <c r="L292" s="19"/>
      <c r="M292" s="20"/>
      <c r="N292" s="21"/>
      <c r="O292" s="19"/>
      <c r="P292" s="20"/>
      <c r="Q292" s="21"/>
      <c r="R292" s="19"/>
      <c r="S292" s="20"/>
      <c r="T292" s="21"/>
      <c r="U292" s="22" t="str">
        <f>IFERROR(IF(IF(X292&gt;0,X292,IF(Z292&gt;0,Z292,IF(AB292&gt;0,AB292,0)))=0,"--",ROUND(CHOOSE(IF(X292&gt;0,X292,IF(Z292&gt;0,Z292,IF(AB292&gt;0,AB292,0))),IF(C292="peso_corporal",IF(ISNUMBER(E292),E292,0)+F292,F292)*(1+G292/30),IF(C292="peso_corporal",IF(ISNUMBER(E292),E292,0)+I292,I292)*(1+J292/30),IF(C292="peso_corporal",IF(ISNUMBER(E292),E292,0)+L292,L292)*(1+M292/30),IF(C292="peso_corporal",IF(ISNUMBER(E292),E292,0)+O292,O292)*(1+P292/30),IF(C292="peso_corporal",IF(ISNUMBER(E292),E292,0)+R292,R292)*(1+S292/30)),1)),"--")</f>
        <v>--</v>
      </c>
      <c r="V292" s="23" t="str">
        <f>IF(SUGERENCIAS!N757="SIN","Sin datos anteriores",IF(SUGERENCIAS!N757="SUBIR_F","^ SUBIR FUERTE | Kg:"&amp;ROUND(SUGERENCIAS!K757,1)&amp;" R:"&amp;ROUND(SUGERENCIAS!L757,0)&amp;" RIR:"&amp;ROUND(SUGERENCIAS!M757,0),IF(SUGERENCIAS!N757="SUBIR_E","^ SUBIR (Est.) | Kg:"&amp;ROUND(SUGERENCIAS!K757,1)&amp;" R:"&amp;ROUND(SUGERENCIAS!L757,0)&amp;" RIR:"&amp;ROUND(SUGERENCIAS!M757,0),IF(SUGERENCIAS!N757="SUBIR","^ SUBIR | Kg:"&amp;ROUND(SUGERENCIAS!K757,1)&amp;" R:"&amp;ROUND(SUGERENCIAS!L757,0)&amp;" RIR:"&amp;ROUND(SUGERENCIAS!M757,0),IF(SUGERENCIAS!N757="BAJAR","v BAJAR | Kg:"&amp;ROUND(SUGERENCIAS!K757,1)&amp;" R:"&amp;ROUND(SUGERENCIAS!L757,0)&amp;" RIR:"&amp;ROUND(SUGERENCIAS!M757,0),"= MANT | Kg:"&amp;ROUND(SUGERENCIAS!K757,1)&amp;" R:"&amp;ROUND(SUGERENCIAS!L757,0)&amp;" RIR:"&amp;ROUND(SUGERENCIAS!M757,0))))))</f>
        <v>Sin datos anteriores</v>
      </c>
      <c r="W292" s="69">
        <f>MAX(IF((G292&gt;0)*(IF(H292="",-1,H292)&gt;=3)*(IF(H292="",-1,H292)&lt;=4),IF(C292="peso_corporal",IF(ISNUMBER(E292),E292,0)+F292,F292)*G292*1000+F292,0),IF((J292&gt;0)*(IF(K292="",-1,K292)&gt;=3)*(IF(K292="",-1,K292)&lt;=4),IF(C292="peso_corporal",IF(ISNUMBER(E292),E292,0)+I292,I292)*J292*1000+I292,0),IF((M292&gt;0)*(IF(N292="",-1,N292)&gt;=3)*(IF(N292="",-1,N292)&lt;=4),IF(C292="peso_corporal",IF(ISNUMBER(E292),E292,0)+L292,L292)*M292*1000+L292,0),IF((P292&gt;0)*(IF(Q292="",-1,Q292)&gt;=3)*(IF(Q292="",-1,Q292)&lt;=4),IF(C292="peso_corporal",IF(ISNUMBER(E292),E292,0)+O292,O292)*P292*1000+O292,0),IF((S292&gt;0)*(IF(T292="",-1,T292)&gt;=3)*(IF(T292="",-1,T292)&lt;=4),IF(C292="peso_corporal",IF(ISNUMBER(E292),E292,0)+R292,R292)*S292*1000+R292,0))</f>
        <v>0</v>
      </c>
      <c r="X292" s="69">
        <f>IF(W292=0,0,IF(IF((S292&gt;0)*(IF(T292="",-1,T292)&gt;=3)*(IF(T292="",-1,T292)&lt;=4),IF(C292="peso_corporal",IF(ISNUMBER(E292),E292,0)+R292,R292)*S292*1000+R292,0)=W292,5,IF(IF((P292&gt;0)*(IF(Q292="",-1,Q292)&gt;=3)*(IF(Q292="",-1,Q292)&lt;=4),IF(C292="peso_corporal",IF(ISNUMBER(E292),E292,0)+O292,O292)*P292*1000+O292,0)=W292,4,IF(IF((M292&gt;0)*(IF(N292="",-1,N292)&gt;=3)*(IF(N292="",-1,N292)&lt;=4),IF(C292="peso_corporal",IF(ISNUMBER(E292),E292,0)+L292,L292)*M292*1000+L292,0)=W292,3,IF(IF((J292&gt;0)*(IF(K292="",-1,K292)&gt;=3)*(IF(K292="",-1,K292)&lt;=4),IF(C292="peso_corporal",IF(ISNUMBER(E292),E292,0)+I292,I292)*J292*1000+I292,0)=W292,2,IF(IF((G292&gt;0)*(IF(H292="",-1,H292)&gt;=3)*(IF(H292="",-1,H292)&lt;=4),IF(C292="peso_corporal",IF(ISNUMBER(E292),E292,0)+F292,F292)*G292*1000+F292,0)=W292,1,0))))))</f>
        <v>0</v>
      </c>
      <c r="Y292" s="69">
        <f>MAX(IF((G292&gt;0)*(IF(H292="",-1,H292)=0)*(1-(IF(H292="",-1,H292)&gt;=3)*(IF(H292="",-1,H292)&lt;=4)),IF(C292="peso_corporal",IF(ISNUMBER(E292),E292,0)+F292,F292)*G292*1000+F292,0),IF((J292&gt;0)*(IF(K292="",-1,K292)=0)*(1-(IF(K292="",-1,K292)&gt;=3)*(IF(K292="",-1,K292)&lt;=4)),IF(C292="peso_corporal",IF(ISNUMBER(E292),E292,0)+I292,I292)*J292*1000+I292,0),IF((M292&gt;0)*(IF(N292="",-1,N292)=0)*(1-(IF(N292="",-1,N292)&gt;=3)*(IF(N292="",-1,N292)&lt;=4)),IF(C292="peso_corporal",IF(ISNUMBER(E292),E292,0)+L292,L292)*M292*1000+L292,0),IF((P292&gt;0)*(IF(Q292="",-1,Q292)=0)*(1-(IF(Q292="",-1,Q292)&gt;=3)*(IF(Q292="",-1,Q292)&lt;=4)),IF(C292="peso_corporal",IF(ISNUMBER(E292),E292,0)+O292,O292)*P292*1000+O292,0),IF((S292&gt;0)*(IF(T292="",-1,T292)=0)*(1-(IF(T292="",-1,T292)&gt;=3)*(IF(T292="",-1,T292)&lt;=4)),IF(C292="peso_corporal",IF(ISNUMBER(E292),E292,0)+R292,R292)*S292*1000+R292,0))</f>
        <v>0</v>
      </c>
      <c r="Z292" s="69">
        <f>IF(Y292=0,0,IF(IF((S292&gt;0)*(IF(T292="",-1,T292)=0)*(1-(IF(T292="",-1,T292)&gt;=3)*(IF(T292="",-1,T292)&lt;=4)),IF(C292="peso_corporal",IF(ISNUMBER(E292),E292,0)+R292,R292)*S292*1000+R292,0)=Y292,5,IF(IF((P292&gt;0)*(IF(Q292="",-1,Q292)=0)*(1-(IF(Q292="",-1,Q292)&gt;=3)*(IF(Q292="",-1,Q292)&lt;=4)),IF(C292="peso_corporal",IF(ISNUMBER(E292),E292,0)+O292,O292)*P292*1000+O292,0)=Y292,4,IF(IF((M292&gt;0)*(IF(N292="",-1,N292)=0)*(1-(IF(N292="",-1,N292)&gt;=3)*(IF(N292="",-1,N292)&lt;=4)),IF(C292="peso_corporal",IF(ISNUMBER(E292),E292,0)+L292,L292)*M292*1000+L292,0)=Y292,3,IF(IF((J292&gt;0)*(IF(K292="",-1,K292)=0)*(1-(IF(K292="",-1,K292)&gt;=3)*(IF(K292="",-1,K292)&lt;=4)),IF(C292="peso_corporal",IF(ISNUMBER(E292),E292,0)+I292,I292)*J292*1000+I292,0)=Y292,2,IF(IF((G292&gt;0)*(IF(H292="",-1,H292)=0)*(1-(IF(H292="",-1,H292)&gt;=3)*(IF(H292="",-1,H292)&lt;=4)),IF(C292="peso_corporal",IF(ISNUMBER(E292),E292,0)+F292,F292)*G292*1000+F292,0)=Y292,1,0))))))</f>
        <v>0</v>
      </c>
      <c r="AA292" s="69">
        <f>MAX(IF((G292&gt;=12)*(1-(IF(H292="",-1,H292)&gt;=3)*(IF(H292="",-1,H292)&lt;=4))*(1-(IF(H292="",-1,H292)=0)),IF(C292="peso_corporal",IF(ISNUMBER(E292),E292,0)+F292,F292)*(30+G292)*100+F292,0),IF((J292&gt;=12)*(1-(IF(K292="",-1,K292)&gt;=3)*(IF(K292="",-1,K292)&lt;=4))*(1-(IF(K292="",-1,K292)=0)),IF(C292="peso_corporal",IF(ISNUMBER(E292),E292,0)+I292,I292)*(30+J292)*100+I292,0),IF((M292&gt;=12)*(1-(IF(N292="",-1,N292)&gt;=3)*(IF(N292="",-1,N292)&lt;=4))*(1-(IF(N292="",-1,N292)=0)),IF(C292="peso_corporal",IF(ISNUMBER(E292),E292,0)+L292,L292)*(30+M292)*100+L292,0),IF((P292&gt;=12)*(1-(IF(Q292="",-1,Q292)&gt;=3)*(IF(Q292="",-1,Q292)&lt;=4))*(1-(IF(Q292="",-1,Q292)=0)),IF(C292="peso_corporal",IF(ISNUMBER(E292),E292,0)+O292,O292)*(30+P292)*100+O292,0),IF((S292&gt;=12)*(1-(IF(T292="",-1,T292)&gt;=3)*(IF(T292="",-1,T292)&lt;=4))*(1-(IF(T292="",-1,T292)=0)),IF(C292="peso_corporal",IF(ISNUMBER(E292),E292,0)+R292,R292)*(30+S292)*100+R292,0))</f>
        <v>0</v>
      </c>
      <c r="AB292" s="69">
        <f>IF(AA292=0,0,IF(IF((S292&gt;=12)*(1-(IF(T292="",-1,T292)&gt;=3)*(IF(T292="",-1,T292)&lt;=4))*(1-(IF(T292="",-1,T292)=0)),IF(C292="peso_corporal",IF(ISNUMBER(E292),E292,0)+R292,R292)*(30+S292)*100+R292,0)=AA292,5,IF(IF((P292&gt;=12)*(1-(IF(Q292="",-1,Q292)&gt;=3)*(IF(Q292="",-1,Q292)&lt;=4))*(1-(IF(Q292="",-1,Q292)=0)),IF(C292="peso_corporal",IF(ISNUMBER(E292),E292,0)+O292,O292)*(30+P292)*100+O292,0)=AA292,4,IF(IF((M292&gt;=12)*(1-(IF(N292="",-1,N292)&gt;=3)*(IF(N292="",-1,N292)&lt;=4))*(1-(IF(N292="",-1,N292)=0)),IF(C292="peso_corporal",IF(ISNUMBER(E292),E292,0)+L292,L292)*(30+M292)*100+L292,0)=AA292,3,IF(IF((J292&gt;=12)*(1-(IF(K292="",-1,K292)&gt;=3)*(IF(K292="",-1,K292)&lt;=4))*(1-(IF(K292="",-1,K292)=0)),IF(C292="peso_corporal",IF(ISNUMBER(E292),E292,0)+I292,I292)*(30+J292)*100+I292,0)=AA292,2,IF(IF((G292&gt;=12)*(1-(IF(H292="",-1,H292)&gt;=3)*(IF(H292="",-1,H292)&lt;=4))*(1-(IF(H292="",-1,H292)=0)),IF(C292="peso_corporal",IF(ISNUMBER(E292),E292,0)+F292,F292)*(30+G292)*100+F292,0)=AA292,1,0))))))</f>
        <v>0</v>
      </c>
      <c r="AC292" s="69" t="str">
        <f>IF(X292&gt;0,"A"&amp;X292,IF(Z292&gt;0,"B"&amp;Z292,IF(AB292&gt;0,"C"&amp;AB292,"")))</f>
        <v/>
      </c>
    </row>
    <row r="293" spans="1:29" ht="15" customHeight="1">
      <c r="A293" s="90" t="s">
        <v>142</v>
      </c>
      <c r="B293" s="73"/>
      <c r="C293" s="73"/>
      <c r="D293" s="73"/>
      <c r="E293" s="73"/>
      <c r="F293" s="73"/>
      <c r="G293" s="73"/>
      <c r="H293" s="73"/>
      <c r="I293" s="73"/>
      <c r="J293" s="73"/>
      <c r="K293" s="73"/>
      <c r="L293" s="73"/>
      <c r="M293" s="73"/>
      <c r="N293" s="73"/>
      <c r="O293" s="73"/>
      <c r="P293" s="73"/>
      <c r="Q293" s="73"/>
      <c r="R293" s="73"/>
      <c r="S293" s="73"/>
      <c r="T293" s="73"/>
      <c r="U293" s="73"/>
      <c r="V293" s="73"/>
      <c r="W293" s="69"/>
      <c r="X293" s="69"/>
      <c r="Y293" s="69"/>
      <c r="Z293" s="69"/>
      <c r="AA293" s="69"/>
      <c r="AB293" s="69"/>
      <c r="AC293" s="69"/>
    </row>
    <row r="294" spans="1:29" ht="20.100000000000001" customHeight="1">
      <c r="A294" s="14" t="s">
        <v>24</v>
      </c>
      <c r="B294" s="15" t="s">
        <v>143</v>
      </c>
      <c r="C294" s="16" t="str">
        <f>IFERROR(INDEX(EJERCICIOS!$D$3:$D$75,MATCH(A294&amp;"|"&amp;B294,EJERCICIOS!$G$3:$G$75,0)),"--")</f>
        <v>peso_corporal</v>
      </c>
      <c r="D294" s="17">
        <v>3</v>
      </c>
      <c r="E294" s="18">
        <f>IFERROR(LOOKUP(2,1/(MEDIDAS_Y_PESO!$B$3:$B$14&lt;&gt;""),MEDIDAS_Y_PESO!$B$3:$B$14),"--")</f>
        <v>80</v>
      </c>
      <c r="F294" s="19"/>
      <c r="G294" s="20"/>
      <c r="H294" s="21"/>
      <c r="I294" s="19"/>
      <c r="J294" s="20"/>
      <c r="K294" s="21"/>
      <c r="L294" s="19"/>
      <c r="M294" s="20"/>
      <c r="N294" s="21"/>
      <c r="O294" s="19"/>
      <c r="P294" s="20"/>
      <c r="Q294" s="21"/>
      <c r="R294" s="19"/>
      <c r="S294" s="20"/>
      <c r="T294" s="21"/>
      <c r="U294" s="22" t="str">
        <f>IFERROR(IF(IF(X294&gt;0,X294,IF(Z294&gt;0,Z294,IF(AB294&gt;0,AB294,0)))=0,"--",ROUND(CHOOSE(IF(X294&gt;0,X294,IF(Z294&gt;0,Z294,IF(AB294&gt;0,AB294,0))),IF(C294="peso_corporal",IF(ISNUMBER(E294),E294,0)+F294,F294)*(1+G294/30),IF(C294="peso_corporal",IF(ISNUMBER(E294),E294,0)+I294,I294)*(1+J294/30),IF(C294="peso_corporal",IF(ISNUMBER(E294),E294,0)+L294,L294)*(1+M294/30),IF(C294="peso_corporal",IF(ISNUMBER(E294),E294,0)+O294,O294)*(1+P294/30),IF(C294="peso_corporal",IF(ISNUMBER(E294),E294,0)+R294,R294)*(1+S294/30)),1)),"--")</f>
        <v>--</v>
      </c>
      <c r="V294" s="23" t="str">
        <f>IF(SUGERENCIAS!N758="SIN","Sin datos anteriores",IF(SUGERENCIAS!N758="SUBIR_F","^ SUBIR FUERTE | Kg:"&amp;ROUND(SUGERENCIAS!K758,1)&amp;" R:"&amp;ROUND(SUGERENCIAS!L758,0)&amp;" RIR:"&amp;ROUND(SUGERENCIAS!M758,0),IF(SUGERENCIAS!N758="SUBIR_E","^ SUBIR (Est.) | Kg:"&amp;ROUND(SUGERENCIAS!K758,1)&amp;" R:"&amp;ROUND(SUGERENCIAS!L758,0)&amp;" RIR:"&amp;ROUND(SUGERENCIAS!M758,0),IF(SUGERENCIAS!N758="SUBIR","^ SUBIR | Kg:"&amp;ROUND(SUGERENCIAS!K758,1)&amp;" R:"&amp;ROUND(SUGERENCIAS!L758,0)&amp;" RIR:"&amp;ROUND(SUGERENCIAS!M758,0),IF(SUGERENCIAS!N758="BAJAR","v BAJAR | Kg:"&amp;ROUND(SUGERENCIAS!K758,1)&amp;" R:"&amp;ROUND(SUGERENCIAS!L758,0)&amp;" RIR:"&amp;ROUND(SUGERENCIAS!M758,0),"= MANT | Kg:"&amp;ROUND(SUGERENCIAS!K758,1)&amp;" R:"&amp;ROUND(SUGERENCIAS!L758,0)&amp;" RIR:"&amp;ROUND(SUGERENCIAS!M758,0))))))</f>
        <v>Sin datos anteriores</v>
      </c>
      <c r="W294" s="69">
        <f>MAX(IF((G294&gt;0)*(IF(H294="",-1,H294)&gt;=3)*(IF(H294="",-1,H294)&lt;=4),IF(C294="peso_corporal",IF(ISNUMBER(E294),E294,0)+F294,F294)*G294*1000+F294,0),IF((J294&gt;0)*(IF(K294="",-1,K294)&gt;=3)*(IF(K294="",-1,K294)&lt;=4),IF(C294="peso_corporal",IF(ISNUMBER(E294),E294,0)+I294,I294)*J294*1000+I294,0),IF((M294&gt;0)*(IF(N294="",-1,N294)&gt;=3)*(IF(N294="",-1,N294)&lt;=4),IF(C294="peso_corporal",IF(ISNUMBER(E294),E294,0)+L294,L294)*M294*1000+L294,0),IF((P294&gt;0)*(IF(Q294="",-1,Q294)&gt;=3)*(IF(Q294="",-1,Q294)&lt;=4),IF(C294="peso_corporal",IF(ISNUMBER(E294),E294,0)+O294,O294)*P294*1000+O294,0),IF((S294&gt;0)*(IF(T294="",-1,T294)&gt;=3)*(IF(T294="",-1,T294)&lt;=4),IF(C294="peso_corporal",IF(ISNUMBER(E294),E294,0)+R294,R294)*S294*1000+R294,0))</f>
        <v>0</v>
      </c>
      <c r="X294" s="69">
        <f>IF(W294=0,0,IF(IF((S294&gt;0)*(IF(T294="",-1,T294)&gt;=3)*(IF(T294="",-1,T294)&lt;=4),IF(C294="peso_corporal",IF(ISNUMBER(E294),E294,0)+R294,R294)*S294*1000+R294,0)=W294,5,IF(IF((P294&gt;0)*(IF(Q294="",-1,Q294)&gt;=3)*(IF(Q294="",-1,Q294)&lt;=4),IF(C294="peso_corporal",IF(ISNUMBER(E294),E294,0)+O294,O294)*P294*1000+O294,0)=W294,4,IF(IF((M294&gt;0)*(IF(N294="",-1,N294)&gt;=3)*(IF(N294="",-1,N294)&lt;=4),IF(C294="peso_corporal",IF(ISNUMBER(E294),E294,0)+L294,L294)*M294*1000+L294,0)=W294,3,IF(IF((J294&gt;0)*(IF(K294="",-1,K294)&gt;=3)*(IF(K294="",-1,K294)&lt;=4),IF(C294="peso_corporal",IF(ISNUMBER(E294),E294,0)+I294,I294)*J294*1000+I294,0)=W294,2,IF(IF((G294&gt;0)*(IF(H294="",-1,H294)&gt;=3)*(IF(H294="",-1,H294)&lt;=4),IF(C294="peso_corporal",IF(ISNUMBER(E294),E294,0)+F294,F294)*G294*1000+F294,0)=W294,1,0))))))</f>
        <v>0</v>
      </c>
      <c r="Y294" s="69">
        <f>MAX(IF((G294&gt;0)*(IF(H294="",-1,H294)=0)*(1-(IF(H294="",-1,H294)&gt;=3)*(IF(H294="",-1,H294)&lt;=4)),IF(C294="peso_corporal",IF(ISNUMBER(E294),E294,0)+F294,F294)*G294*1000+F294,0),IF((J294&gt;0)*(IF(K294="",-1,K294)=0)*(1-(IF(K294="",-1,K294)&gt;=3)*(IF(K294="",-1,K294)&lt;=4)),IF(C294="peso_corporal",IF(ISNUMBER(E294),E294,0)+I294,I294)*J294*1000+I294,0),IF((M294&gt;0)*(IF(N294="",-1,N294)=0)*(1-(IF(N294="",-1,N294)&gt;=3)*(IF(N294="",-1,N294)&lt;=4)),IF(C294="peso_corporal",IF(ISNUMBER(E294),E294,0)+L294,L294)*M294*1000+L294,0),IF((P294&gt;0)*(IF(Q294="",-1,Q294)=0)*(1-(IF(Q294="",-1,Q294)&gt;=3)*(IF(Q294="",-1,Q294)&lt;=4)),IF(C294="peso_corporal",IF(ISNUMBER(E294),E294,0)+O294,O294)*P294*1000+O294,0),IF((S294&gt;0)*(IF(T294="",-1,T294)=0)*(1-(IF(T294="",-1,T294)&gt;=3)*(IF(T294="",-1,T294)&lt;=4)),IF(C294="peso_corporal",IF(ISNUMBER(E294),E294,0)+R294,R294)*S294*1000+R294,0))</f>
        <v>0</v>
      </c>
      <c r="Z294" s="69">
        <f>IF(Y294=0,0,IF(IF((S294&gt;0)*(IF(T294="",-1,T294)=0)*(1-(IF(T294="",-1,T294)&gt;=3)*(IF(T294="",-1,T294)&lt;=4)),IF(C294="peso_corporal",IF(ISNUMBER(E294),E294,0)+R294,R294)*S294*1000+R294,0)=Y294,5,IF(IF((P294&gt;0)*(IF(Q294="",-1,Q294)=0)*(1-(IF(Q294="",-1,Q294)&gt;=3)*(IF(Q294="",-1,Q294)&lt;=4)),IF(C294="peso_corporal",IF(ISNUMBER(E294),E294,0)+O294,O294)*P294*1000+O294,0)=Y294,4,IF(IF((M294&gt;0)*(IF(N294="",-1,N294)=0)*(1-(IF(N294="",-1,N294)&gt;=3)*(IF(N294="",-1,N294)&lt;=4)),IF(C294="peso_corporal",IF(ISNUMBER(E294),E294,0)+L294,L294)*M294*1000+L294,0)=Y294,3,IF(IF((J294&gt;0)*(IF(K294="",-1,K294)=0)*(1-(IF(K294="",-1,K294)&gt;=3)*(IF(K294="",-1,K294)&lt;=4)),IF(C294="peso_corporal",IF(ISNUMBER(E294),E294,0)+I294,I294)*J294*1000+I294,0)=Y294,2,IF(IF((G294&gt;0)*(IF(H294="",-1,H294)=0)*(1-(IF(H294="",-1,H294)&gt;=3)*(IF(H294="",-1,H294)&lt;=4)),IF(C294="peso_corporal",IF(ISNUMBER(E294),E294,0)+F294,F294)*G294*1000+F294,0)=Y294,1,0))))))</f>
        <v>0</v>
      </c>
      <c r="AA294" s="69">
        <f>MAX(IF((G294&gt;=12)*(1-(IF(H294="",-1,H294)&gt;=3)*(IF(H294="",-1,H294)&lt;=4))*(1-(IF(H294="",-1,H294)=0)),IF(C294="peso_corporal",IF(ISNUMBER(E294),E294,0)+F294,F294)*(30+G294)*100+F294,0),IF((J294&gt;=12)*(1-(IF(K294="",-1,K294)&gt;=3)*(IF(K294="",-1,K294)&lt;=4))*(1-(IF(K294="",-1,K294)=0)),IF(C294="peso_corporal",IF(ISNUMBER(E294),E294,0)+I294,I294)*(30+J294)*100+I294,0),IF((M294&gt;=12)*(1-(IF(N294="",-1,N294)&gt;=3)*(IF(N294="",-1,N294)&lt;=4))*(1-(IF(N294="",-1,N294)=0)),IF(C294="peso_corporal",IF(ISNUMBER(E294),E294,0)+L294,L294)*(30+M294)*100+L294,0),IF((P294&gt;=12)*(1-(IF(Q294="",-1,Q294)&gt;=3)*(IF(Q294="",-1,Q294)&lt;=4))*(1-(IF(Q294="",-1,Q294)=0)),IF(C294="peso_corporal",IF(ISNUMBER(E294),E294,0)+O294,O294)*(30+P294)*100+O294,0),IF((S294&gt;=12)*(1-(IF(T294="",-1,T294)&gt;=3)*(IF(T294="",-1,T294)&lt;=4))*(1-(IF(T294="",-1,T294)=0)),IF(C294="peso_corporal",IF(ISNUMBER(E294),E294,0)+R294,R294)*(30+S294)*100+R294,0))</f>
        <v>0</v>
      </c>
      <c r="AB294" s="69">
        <f>IF(AA294=0,0,IF(IF((S294&gt;=12)*(1-(IF(T294="",-1,T294)&gt;=3)*(IF(T294="",-1,T294)&lt;=4))*(1-(IF(T294="",-1,T294)=0)),IF(C294="peso_corporal",IF(ISNUMBER(E294),E294,0)+R294,R294)*(30+S294)*100+R294,0)=AA294,5,IF(IF((P294&gt;=12)*(1-(IF(Q294="",-1,Q294)&gt;=3)*(IF(Q294="",-1,Q294)&lt;=4))*(1-(IF(Q294="",-1,Q294)=0)),IF(C294="peso_corporal",IF(ISNUMBER(E294),E294,0)+O294,O294)*(30+P294)*100+O294,0)=AA294,4,IF(IF((M294&gt;=12)*(1-(IF(N294="",-1,N294)&gt;=3)*(IF(N294="",-1,N294)&lt;=4))*(1-(IF(N294="",-1,N294)=0)),IF(C294="peso_corporal",IF(ISNUMBER(E294),E294,0)+L294,L294)*(30+M294)*100+L294,0)=AA294,3,IF(IF((J294&gt;=12)*(1-(IF(K294="",-1,K294)&gt;=3)*(IF(K294="",-1,K294)&lt;=4))*(1-(IF(K294="",-1,K294)=0)),IF(C294="peso_corporal",IF(ISNUMBER(E294),E294,0)+I294,I294)*(30+J294)*100+I294,0)=AA294,2,IF(IF((G294&gt;=12)*(1-(IF(H294="",-1,H294)&gt;=3)*(IF(H294="",-1,H294)&lt;=4))*(1-(IF(H294="",-1,H294)=0)),IF(C294="peso_corporal",IF(ISNUMBER(E294),E294,0)+F294,F294)*(30+G294)*100+F294,0)=AA294,1,0))))))</f>
        <v>0</v>
      </c>
      <c r="AC294" s="69" t="str">
        <f>IF(X294&gt;0,"A"&amp;X294,IF(Z294&gt;0,"B"&amp;Z294,IF(AB294&gt;0,"C"&amp;AB294,"")))</f>
        <v/>
      </c>
    </row>
    <row r="295" spans="1:29" ht="15" customHeight="1">
      <c r="A295" s="72" t="s">
        <v>56</v>
      </c>
      <c r="B295" s="73"/>
      <c r="C295" s="73"/>
      <c r="D295" s="73"/>
      <c r="E295" s="73"/>
      <c r="F295" s="73"/>
      <c r="G295" s="73"/>
      <c r="H295" s="73"/>
      <c r="I295" s="73"/>
      <c r="J295" s="73"/>
      <c r="K295" s="73"/>
      <c r="L295" s="73"/>
      <c r="M295" s="73"/>
      <c r="N295" s="73"/>
      <c r="O295" s="73"/>
      <c r="P295" s="73"/>
      <c r="Q295" s="73"/>
      <c r="R295" s="73"/>
      <c r="S295" s="73"/>
      <c r="T295" s="73"/>
      <c r="U295" s="73"/>
      <c r="V295" s="73"/>
      <c r="W295" s="69"/>
      <c r="X295" s="69"/>
      <c r="Y295" s="69"/>
      <c r="Z295" s="69"/>
      <c r="AA295" s="69"/>
      <c r="AB295" s="69"/>
      <c r="AC295" s="69"/>
    </row>
    <row r="296" spans="1:29" ht="20.100000000000001" customHeight="1">
      <c r="A296" s="14" t="s">
        <v>57</v>
      </c>
      <c r="B296" s="15" t="s">
        <v>58</v>
      </c>
      <c r="C296" s="16" t="str">
        <f>IFERROR(INDEX(EJERCICIOS!$D$3:$D$75,MATCH(A296&amp;"|"&amp;B296,EJERCICIOS!$G$3:$G$75,0)),"--")</f>
        <v>polea</v>
      </c>
      <c r="D296" s="17">
        <v>3</v>
      </c>
      <c r="E296" s="18">
        <f>IFERROR(LOOKUP(2,1/(MEDIDAS_Y_PESO!$B$3:$B$14&lt;&gt;""),MEDIDAS_Y_PESO!$B$3:$B$14),"--")</f>
        <v>80</v>
      </c>
      <c r="F296" s="19"/>
      <c r="G296" s="20"/>
      <c r="H296" s="21"/>
      <c r="I296" s="19"/>
      <c r="J296" s="20"/>
      <c r="K296" s="21"/>
      <c r="L296" s="19"/>
      <c r="M296" s="20"/>
      <c r="N296" s="21"/>
      <c r="O296" s="19"/>
      <c r="P296" s="20"/>
      <c r="Q296" s="21"/>
      <c r="R296" s="19"/>
      <c r="S296" s="20"/>
      <c r="T296" s="21"/>
      <c r="U296" s="22" t="str">
        <f>IFERROR(IF(IF(X296&gt;0,X296,IF(Z296&gt;0,Z296,IF(AB296&gt;0,AB296,0)))=0,"--",ROUND(CHOOSE(IF(X296&gt;0,X296,IF(Z296&gt;0,Z296,IF(AB296&gt;0,AB296,0))),IF(C296="peso_corporal",IF(ISNUMBER(E296),E296,0)+F296,F296)*(1+G296/30),IF(C296="peso_corporal",IF(ISNUMBER(E296),E296,0)+I296,I296)*(1+J296/30),IF(C296="peso_corporal",IF(ISNUMBER(E296),E296,0)+L296,L296)*(1+M296/30),IF(C296="peso_corporal",IF(ISNUMBER(E296),E296,0)+O296,O296)*(1+P296/30),IF(C296="peso_corporal",IF(ISNUMBER(E296),E296,0)+R296,R296)*(1+S296/30)),1)),"--")</f>
        <v>--</v>
      </c>
      <c r="V296" s="23" t="str">
        <f>IF(SUGERENCIAS!N759="SIN","Sin datos anteriores",IF(SUGERENCIAS!N759="SUBIR_F","^ SUBIR FUERTE | Kg:"&amp;ROUND(SUGERENCIAS!K759,1)&amp;" R:"&amp;ROUND(SUGERENCIAS!L759,0)&amp;" RIR:"&amp;ROUND(SUGERENCIAS!M759,0),IF(SUGERENCIAS!N759="SUBIR_E","^ SUBIR (Est.) | Kg:"&amp;ROUND(SUGERENCIAS!K759,1)&amp;" R:"&amp;ROUND(SUGERENCIAS!L759,0)&amp;" RIR:"&amp;ROUND(SUGERENCIAS!M759,0),IF(SUGERENCIAS!N759="SUBIR","^ SUBIR | Kg:"&amp;ROUND(SUGERENCIAS!K759,1)&amp;" R:"&amp;ROUND(SUGERENCIAS!L759,0)&amp;" RIR:"&amp;ROUND(SUGERENCIAS!M759,0),IF(SUGERENCIAS!N759="BAJAR","v BAJAR | Kg:"&amp;ROUND(SUGERENCIAS!K759,1)&amp;" R:"&amp;ROUND(SUGERENCIAS!L759,0)&amp;" RIR:"&amp;ROUND(SUGERENCIAS!M759,0),"= MANT | Kg:"&amp;ROUND(SUGERENCIAS!K759,1)&amp;" R:"&amp;ROUND(SUGERENCIAS!L759,0)&amp;" RIR:"&amp;ROUND(SUGERENCIAS!M759,0))))))</f>
        <v>Sin datos anteriores</v>
      </c>
      <c r="W296" s="69">
        <f>MAX(IF((G296&gt;0)*(IF(H296="",-1,H296)&gt;=3)*(IF(H296="",-1,H296)&lt;=4),IF(C296="peso_corporal",IF(ISNUMBER(E296),E296,0)+F296,F296)*G296*1000+F296,0),IF((J296&gt;0)*(IF(K296="",-1,K296)&gt;=3)*(IF(K296="",-1,K296)&lt;=4),IF(C296="peso_corporal",IF(ISNUMBER(E296),E296,0)+I296,I296)*J296*1000+I296,0),IF((M296&gt;0)*(IF(N296="",-1,N296)&gt;=3)*(IF(N296="",-1,N296)&lt;=4),IF(C296="peso_corporal",IF(ISNUMBER(E296),E296,0)+L296,L296)*M296*1000+L296,0),IF((P296&gt;0)*(IF(Q296="",-1,Q296)&gt;=3)*(IF(Q296="",-1,Q296)&lt;=4),IF(C296="peso_corporal",IF(ISNUMBER(E296),E296,0)+O296,O296)*P296*1000+O296,0),IF((S296&gt;0)*(IF(T296="",-1,T296)&gt;=3)*(IF(T296="",-1,T296)&lt;=4),IF(C296="peso_corporal",IF(ISNUMBER(E296),E296,0)+R296,R296)*S296*1000+R296,0))</f>
        <v>0</v>
      </c>
      <c r="X296" s="69">
        <f>IF(W296=0,0,IF(IF((S296&gt;0)*(IF(T296="",-1,T296)&gt;=3)*(IF(T296="",-1,T296)&lt;=4),IF(C296="peso_corporal",IF(ISNUMBER(E296),E296,0)+R296,R296)*S296*1000+R296,0)=W296,5,IF(IF((P296&gt;0)*(IF(Q296="",-1,Q296)&gt;=3)*(IF(Q296="",-1,Q296)&lt;=4),IF(C296="peso_corporal",IF(ISNUMBER(E296),E296,0)+O296,O296)*P296*1000+O296,0)=W296,4,IF(IF((M296&gt;0)*(IF(N296="",-1,N296)&gt;=3)*(IF(N296="",-1,N296)&lt;=4),IF(C296="peso_corporal",IF(ISNUMBER(E296),E296,0)+L296,L296)*M296*1000+L296,0)=W296,3,IF(IF((J296&gt;0)*(IF(K296="",-1,K296)&gt;=3)*(IF(K296="",-1,K296)&lt;=4),IF(C296="peso_corporal",IF(ISNUMBER(E296),E296,0)+I296,I296)*J296*1000+I296,0)=W296,2,IF(IF((G296&gt;0)*(IF(H296="",-1,H296)&gt;=3)*(IF(H296="",-1,H296)&lt;=4),IF(C296="peso_corporal",IF(ISNUMBER(E296),E296,0)+F296,F296)*G296*1000+F296,0)=W296,1,0))))))</f>
        <v>0</v>
      </c>
      <c r="Y296" s="69">
        <f>MAX(IF((G296&gt;0)*(IF(H296="",-1,H296)=0)*(1-(IF(H296="",-1,H296)&gt;=3)*(IF(H296="",-1,H296)&lt;=4)),IF(C296="peso_corporal",IF(ISNUMBER(E296),E296,0)+F296,F296)*G296*1000+F296,0),IF((J296&gt;0)*(IF(K296="",-1,K296)=0)*(1-(IF(K296="",-1,K296)&gt;=3)*(IF(K296="",-1,K296)&lt;=4)),IF(C296="peso_corporal",IF(ISNUMBER(E296),E296,0)+I296,I296)*J296*1000+I296,0),IF((M296&gt;0)*(IF(N296="",-1,N296)=0)*(1-(IF(N296="",-1,N296)&gt;=3)*(IF(N296="",-1,N296)&lt;=4)),IF(C296="peso_corporal",IF(ISNUMBER(E296),E296,0)+L296,L296)*M296*1000+L296,0),IF((P296&gt;0)*(IF(Q296="",-1,Q296)=0)*(1-(IF(Q296="",-1,Q296)&gt;=3)*(IF(Q296="",-1,Q296)&lt;=4)),IF(C296="peso_corporal",IF(ISNUMBER(E296),E296,0)+O296,O296)*P296*1000+O296,0),IF((S296&gt;0)*(IF(T296="",-1,T296)=0)*(1-(IF(T296="",-1,T296)&gt;=3)*(IF(T296="",-1,T296)&lt;=4)),IF(C296="peso_corporal",IF(ISNUMBER(E296),E296,0)+R296,R296)*S296*1000+R296,0))</f>
        <v>0</v>
      </c>
      <c r="Z296" s="69">
        <f>IF(Y296=0,0,IF(IF((S296&gt;0)*(IF(T296="",-1,T296)=0)*(1-(IF(T296="",-1,T296)&gt;=3)*(IF(T296="",-1,T296)&lt;=4)),IF(C296="peso_corporal",IF(ISNUMBER(E296),E296,0)+R296,R296)*S296*1000+R296,0)=Y296,5,IF(IF((P296&gt;0)*(IF(Q296="",-1,Q296)=0)*(1-(IF(Q296="",-1,Q296)&gt;=3)*(IF(Q296="",-1,Q296)&lt;=4)),IF(C296="peso_corporal",IF(ISNUMBER(E296),E296,0)+O296,O296)*P296*1000+O296,0)=Y296,4,IF(IF((M296&gt;0)*(IF(N296="",-1,N296)=0)*(1-(IF(N296="",-1,N296)&gt;=3)*(IF(N296="",-1,N296)&lt;=4)),IF(C296="peso_corporal",IF(ISNUMBER(E296),E296,0)+L296,L296)*M296*1000+L296,0)=Y296,3,IF(IF((J296&gt;0)*(IF(K296="",-1,K296)=0)*(1-(IF(K296="",-1,K296)&gt;=3)*(IF(K296="",-1,K296)&lt;=4)),IF(C296="peso_corporal",IF(ISNUMBER(E296),E296,0)+I296,I296)*J296*1000+I296,0)=Y296,2,IF(IF((G296&gt;0)*(IF(H296="",-1,H296)=0)*(1-(IF(H296="",-1,H296)&gt;=3)*(IF(H296="",-1,H296)&lt;=4)),IF(C296="peso_corporal",IF(ISNUMBER(E296),E296,0)+F296,F296)*G296*1000+F296,0)=Y296,1,0))))))</f>
        <v>0</v>
      </c>
      <c r="AA296" s="69">
        <f>MAX(IF((G296&gt;=12)*(1-(IF(H296="",-1,H296)&gt;=3)*(IF(H296="",-1,H296)&lt;=4))*(1-(IF(H296="",-1,H296)=0)),IF(C296="peso_corporal",IF(ISNUMBER(E296),E296,0)+F296,F296)*(30+G296)*100+F296,0),IF((J296&gt;=12)*(1-(IF(K296="",-1,K296)&gt;=3)*(IF(K296="",-1,K296)&lt;=4))*(1-(IF(K296="",-1,K296)=0)),IF(C296="peso_corporal",IF(ISNUMBER(E296),E296,0)+I296,I296)*(30+J296)*100+I296,0),IF((M296&gt;=12)*(1-(IF(N296="",-1,N296)&gt;=3)*(IF(N296="",-1,N296)&lt;=4))*(1-(IF(N296="",-1,N296)=0)),IF(C296="peso_corporal",IF(ISNUMBER(E296),E296,0)+L296,L296)*(30+M296)*100+L296,0),IF((P296&gt;=12)*(1-(IF(Q296="",-1,Q296)&gt;=3)*(IF(Q296="",-1,Q296)&lt;=4))*(1-(IF(Q296="",-1,Q296)=0)),IF(C296="peso_corporal",IF(ISNUMBER(E296),E296,0)+O296,O296)*(30+P296)*100+O296,0),IF((S296&gt;=12)*(1-(IF(T296="",-1,T296)&gt;=3)*(IF(T296="",-1,T296)&lt;=4))*(1-(IF(T296="",-1,T296)=0)),IF(C296="peso_corporal",IF(ISNUMBER(E296),E296,0)+R296,R296)*(30+S296)*100+R296,0))</f>
        <v>0</v>
      </c>
      <c r="AB296" s="69">
        <f>IF(AA296=0,0,IF(IF((S296&gt;=12)*(1-(IF(T296="",-1,T296)&gt;=3)*(IF(T296="",-1,T296)&lt;=4))*(1-(IF(T296="",-1,T296)=0)),IF(C296="peso_corporal",IF(ISNUMBER(E296),E296,0)+R296,R296)*(30+S296)*100+R296,0)=AA296,5,IF(IF((P296&gt;=12)*(1-(IF(Q296="",-1,Q296)&gt;=3)*(IF(Q296="",-1,Q296)&lt;=4))*(1-(IF(Q296="",-1,Q296)=0)),IF(C296="peso_corporal",IF(ISNUMBER(E296),E296,0)+O296,O296)*(30+P296)*100+O296,0)=AA296,4,IF(IF((M296&gt;=12)*(1-(IF(N296="",-1,N296)&gt;=3)*(IF(N296="",-1,N296)&lt;=4))*(1-(IF(N296="",-1,N296)=0)),IF(C296="peso_corporal",IF(ISNUMBER(E296),E296,0)+L296,L296)*(30+M296)*100+L296,0)=AA296,3,IF(IF((J296&gt;=12)*(1-(IF(K296="",-1,K296)&gt;=3)*(IF(K296="",-1,K296)&lt;=4))*(1-(IF(K296="",-1,K296)=0)),IF(C296="peso_corporal",IF(ISNUMBER(E296),E296,0)+I296,I296)*(30+J296)*100+I296,0)=AA296,2,IF(IF((G296&gt;=12)*(1-(IF(H296="",-1,H296)&gt;=3)*(IF(H296="",-1,H296)&lt;=4))*(1-(IF(H296="",-1,H296)=0)),IF(C296="peso_corporal",IF(ISNUMBER(E296),E296,0)+F296,F296)*(30+G296)*100+F296,0)=AA296,1,0))))))</f>
        <v>0</v>
      </c>
      <c r="AC296" s="69" t="str">
        <f>IF(X296&gt;0,"A"&amp;X296,IF(Z296&gt;0,"B"&amp;Z296,IF(AB296&gt;0,"C"&amp;AB296,"")))</f>
        <v/>
      </c>
    </row>
    <row r="297" spans="1:29" ht="6"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69"/>
      <c r="X297" s="69"/>
      <c r="Y297" s="69"/>
      <c r="Z297" s="69"/>
      <c r="AA297" s="69"/>
      <c r="AB297" s="69"/>
      <c r="AC297" s="69"/>
    </row>
  </sheetData>
  <mergeCells count="128">
    <mergeCell ref="A293:V293"/>
    <mergeCell ref="A93:V93"/>
    <mergeCell ref="A173:V173"/>
    <mergeCell ref="A130:V130"/>
    <mergeCell ref="A77:V77"/>
    <mergeCell ref="A83:V83"/>
    <mergeCell ref="A261:V261"/>
    <mergeCell ref="A34:V34"/>
    <mergeCell ref="O2:Q2"/>
    <mergeCell ref="A275:V275"/>
    <mergeCell ref="A138:V138"/>
    <mergeCell ref="A132:V132"/>
    <mergeCell ref="A110:V110"/>
    <mergeCell ref="A69:V69"/>
    <mergeCell ref="A66:V66"/>
    <mergeCell ref="A158:V158"/>
    <mergeCell ref="A264:V264"/>
    <mergeCell ref="A50:V50"/>
    <mergeCell ref="A120:V120"/>
    <mergeCell ref="A55:V55"/>
    <mergeCell ref="A12:V12"/>
    <mergeCell ref="A285:V285"/>
    <mergeCell ref="A242:V242"/>
    <mergeCell ref="A251:V251"/>
    <mergeCell ref="A295:V295"/>
    <mergeCell ref="A245:V245"/>
    <mergeCell ref="A276:V276"/>
    <mergeCell ref="A48:V48"/>
    <mergeCell ref="A36:V36"/>
    <mergeCell ref="R2:T2"/>
    <mergeCell ref="A11:V11"/>
    <mergeCell ref="A1:V1"/>
    <mergeCell ref="A45:V45"/>
    <mergeCell ref="A103:V103"/>
    <mergeCell ref="A216:V216"/>
    <mergeCell ref="A168:V168"/>
    <mergeCell ref="L2:N2"/>
    <mergeCell ref="A271:V271"/>
    <mergeCell ref="A218:V218"/>
    <mergeCell ref="A282:V282"/>
    <mergeCell ref="A192:V192"/>
    <mergeCell ref="A21:V21"/>
    <mergeCell ref="A26:V26"/>
    <mergeCell ref="A210:V210"/>
    <mergeCell ref="A179:V179"/>
    <mergeCell ref="A247:V247"/>
    <mergeCell ref="A194:V194"/>
    <mergeCell ref="A234:V234"/>
    <mergeCell ref="A269:V269"/>
    <mergeCell ref="A131:V131"/>
    <mergeCell ref="A53:V53"/>
    <mergeCell ref="A35:V35"/>
    <mergeCell ref="A180:V180"/>
    <mergeCell ref="A240:V240"/>
    <mergeCell ref="A117:V117"/>
    <mergeCell ref="A230:V230"/>
    <mergeCell ref="A156:V156"/>
    <mergeCell ref="A165:V165"/>
    <mergeCell ref="A155:V155"/>
    <mergeCell ref="A197:V197"/>
    <mergeCell ref="A228:V228"/>
    <mergeCell ref="A146:V146"/>
    <mergeCell ref="A237:V237"/>
    <mergeCell ref="A252:V252"/>
    <mergeCell ref="A221:V221"/>
    <mergeCell ref="A72:V72"/>
    <mergeCell ref="A134:V134"/>
    <mergeCell ref="A199:V199"/>
    <mergeCell ref="A162:V162"/>
    <mergeCell ref="I2:K2"/>
    <mergeCell ref="A108:V108"/>
    <mergeCell ref="A84:V84"/>
    <mergeCell ref="A149:V149"/>
    <mergeCell ref="A18:V18"/>
    <mergeCell ref="A5:V5"/>
    <mergeCell ref="F2:H2"/>
    <mergeCell ref="A227:V227"/>
    <mergeCell ref="A90:V90"/>
    <mergeCell ref="A74:V74"/>
    <mergeCell ref="A203:V203"/>
    <mergeCell ref="A189:V189"/>
    <mergeCell ref="A223:V223"/>
    <mergeCell ref="A101:V101"/>
    <mergeCell ref="A204:V204"/>
    <mergeCell ref="A86:V86"/>
    <mergeCell ref="A42:V42"/>
    <mergeCell ref="A59:V59"/>
    <mergeCell ref="A154:V154"/>
    <mergeCell ref="A10:V10"/>
    <mergeCell ref="A175:V175"/>
    <mergeCell ref="A14:V14"/>
    <mergeCell ref="A213:V213"/>
    <mergeCell ref="A151:V151"/>
    <mergeCell ref="A141:V141"/>
    <mergeCell ref="A206:V206"/>
    <mergeCell ref="A62:V62"/>
    <mergeCell ref="A144:V144"/>
    <mergeCell ref="A127:V127"/>
    <mergeCell ref="A114:V114"/>
    <mergeCell ref="A182:V182"/>
    <mergeCell ref="A98:V98"/>
    <mergeCell ref="A107:V107"/>
    <mergeCell ref="A178:V178"/>
    <mergeCell ref="A79:V79"/>
    <mergeCell ref="A290:V290"/>
    <mergeCell ref="A106:V106"/>
    <mergeCell ref="A29:V29"/>
    <mergeCell ref="A4:V4"/>
    <mergeCell ref="A96:V96"/>
    <mergeCell ref="A38:V38"/>
    <mergeCell ref="A274:V274"/>
    <mergeCell ref="A288:V288"/>
    <mergeCell ref="A170:V170"/>
    <mergeCell ref="A31:V31"/>
    <mergeCell ref="A202:V202"/>
    <mergeCell ref="A58:V58"/>
    <mergeCell ref="A258:V258"/>
    <mergeCell ref="A186:V186"/>
    <mergeCell ref="A24:V24"/>
    <mergeCell ref="A226:V226"/>
    <mergeCell ref="A266:V266"/>
    <mergeCell ref="A82:V82"/>
    <mergeCell ref="A60:V60"/>
    <mergeCell ref="A250:V250"/>
    <mergeCell ref="A278:V278"/>
    <mergeCell ref="A254:V254"/>
    <mergeCell ref="A122:V122"/>
    <mergeCell ref="A125:V125"/>
  </mergeCells>
  <conditionalFormatting sqref="I13">
    <cfRule type="expression" dxfId="2174" priority="4">
      <formula>$D$13&lt;2</formula>
    </cfRule>
  </conditionalFormatting>
  <conditionalFormatting sqref="I15">
    <cfRule type="expression" dxfId="2173" priority="19">
      <formula>$D$15&lt;2</formula>
    </cfRule>
  </conditionalFormatting>
  <conditionalFormatting sqref="I16">
    <cfRule type="expression" dxfId="2172" priority="34">
      <formula>$D$16&lt;2</formula>
    </cfRule>
  </conditionalFormatting>
  <conditionalFormatting sqref="I17">
    <cfRule type="expression" dxfId="2171" priority="49">
      <formula>$D$17&lt;2</formula>
    </cfRule>
  </conditionalFormatting>
  <conditionalFormatting sqref="I19">
    <cfRule type="expression" dxfId="2170" priority="64">
      <formula>$D$19&lt;2</formula>
    </cfRule>
  </conditionalFormatting>
  <conditionalFormatting sqref="I20">
    <cfRule type="expression" dxfId="2169" priority="79">
      <formula>$D$20&lt;2</formula>
    </cfRule>
  </conditionalFormatting>
  <conditionalFormatting sqref="I22">
    <cfRule type="expression" dxfId="2168" priority="94">
      <formula>$D$22&lt;2</formula>
    </cfRule>
  </conditionalFormatting>
  <conditionalFormatting sqref="I23">
    <cfRule type="expression" dxfId="2167" priority="109">
      <formula>$D$23&lt;2</formula>
    </cfRule>
  </conditionalFormatting>
  <conditionalFormatting sqref="I25">
    <cfRule type="expression" dxfId="2166" priority="124">
      <formula>$D$25&lt;2</formula>
    </cfRule>
  </conditionalFormatting>
  <conditionalFormatting sqref="I27">
    <cfRule type="expression" dxfId="2165" priority="139">
      <formula>$D$27&lt;2</formula>
    </cfRule>
  </conditionalFormatting>
  <conditionalFormatting sqref="I28">
    <cfRule type="expression" dxfId="2164" priority="154">
      <formula>$D$28&lt;2</formula>
    </cfRule>
  </conditionalFormatting>
  <conditionalFormatting sqref="I30">
    <cfRule type="expression" dxfId="2163" priority="169">
      <formula>$D$30&lt;2</formula>
    </cfRule>
  </conditionalFormatting>
  <conditionalFormatting sqref="I32">
    <cfRule type="expression" dxfId="2162" priority="184">
      <formula>$D$32&lt;2</formula>
    </cfRule>
  </conditionalFormatting>
  <conditionalFormatting sqref="I37">
    <cfRule type="expression" dxfId="2161" priority="199">
      <formula>$D$37&lt;2</formula>
    </cfRule>
  </conditionalFormatting>
  <conditionalFormatting sqref="I39">
    <cfRule type="expression" dxfId="2160" priority="214">
      <formula>$D$39&lt;2</formula>
    </cfRule>
  </conditionalFormatting>
  <conditionalFormatting sqref="I40">
    <cfRule type="expression" dxfId="2159" priority="229">
      <formula>$D$40&lt;2</formula>
    </cfRule>
  </conditionalFormatting>
  <conditionalFormatting sqref="I41">
    <cfRule type="expression" dxfId="2158" priority="244">
      <formula>$D$41&lt;2</formula>
    </cfRule>
  </conditionalFormatting>
  <conditionalFormatting sqref="I43">
    <cfRule type="expression" dxfId="2157" priority="259">
      <formula>$D$43&lt;2</formula>
    </cfRule>
  </conditionalFormatting>
  <conditionalFormatting sqref="I44">
    <cfRule type="expression" dxfId="2156" priority="274">
      <formula>$D$44&lt;2</formula>
    </cfRule>
  </conditionalFormatting>
  <conditionalFormatting sqref="I46">
    <cfRule type="expression" dxfId="2155" priority="289">
      <formula>$D$46&lt;2</formula>
    </cfRule>
  </conditionalFormatting>
  <conditionalFormatting sqref="I47">
    <cfRule type="expression" dxfId="2154" priority="304">
      <formula>$D$47&lt;2</formula>
    </cfRule>
  </conditionalFormatting>
  <conditionalFormatting sqref="I49">
    <cfRule type="expression" dxfId="2153" priority="319">
      <formula>$D$49&lt;2</formula>
    </cfRule>
  </conditionalFormatting>
  <conditionalFormatting sqref="I51">
    <cfRule type="expression" dxfId="2152" priority="334">
      <formula>$D$51&lt;2</formula>
    </cfRule>
  </conditionalFormatting>
  <conditionalFormatting sqref="I52">
    <cfRule type="expression" dxfId="2151" priority="349">
      <formula>$D$52&lt;2</formula>
    </cfRule>
  </conditionalFormatting>
  <conditionalFormatting sqref="I54">
    <cfRule type="expression" dxfId="2150" priority="364">
      <formula>$D$54&lt;2</formula>
    </cfRule>
  </conditionalFormatting>
  <conditionalFormatting sqref="I56">
    <cfRule type="expression" dxfId="2149" priority="379">
      <formula>$D$56&lt;2</formula>
    </cfRule>
  </conditionalFormatting>
  <conditionalFormatting sqref="I61">
    <cfRule type="expression" dxfId="2148" priority="394">
      <formula>$D$61&lt;2</formula>
    </cfRule>
  </conditionalFormatting>
  <conditionalFormatting sqref="I63">
    <cfRule type="expression" dxfId="2147" priority="409">
      <formula>$D$63&lt;2</formula>
    </cfRule>
  </conditionalFormatting>
  <conditionalFormatting sqref="I64">
    <cfRule type="expression" dxfId="2146" priority="424">
      <formula>$D$64&lt;2</formula>
    </cfRule>
  </conditionalFormatting>
  <conditionalFormatting sqref="I65">
    <cfRule type="expression" dxfId="2145" priority="439">
      <formula>$D$65&lt;2</formula>
    </cfRule>
  </conditionalFormatting>
  <conditionalFormatting sqref="I67">
    <cfRule type="expression" dxfId="2144" priority="454">
      <formula>$D$67&lt;2</formula>
    </cfRule>
  </conditionalFormatting>
  <conditionalFormatting sqref="I68">
    <cfRule type="expression" dxfId="2143" priority="469">
      <formula>$D$68&lt;2</formula>
    </cfRule>
  </conditionalFormatting>
  <conditionalFormatting sqref="I70">
    <cfRule type="expression" dxfId="2142" priority="484">
      <formula>$D$70&lt;2</formula>
    </cfRule>
  </conditionalFormatting>
  <conditionalFormatting sqref="I71">
    <cfRule type="expression" dxfId="2141" priority="499">
      <formula>$D$71&lt;2</formula>
    </cfRule>
  </conditionalFormatting>
  <conditionalFormatting sqref="I73">
    <cfRule type="expression" dxfId="2140" priority="514">
      <formula>$D$73&lt;2</formula>
    </cfRule>
  </conditionalFormatting>
  <conditionalFormatting sqref="I75">
    <cfRule type="expression" dxfId="2139" priority="529">
      <formula>$D$75&lt;2</formula>
    </cfRule>
  </conditionalFormatting>
  <conditionalFormatting sqref="I76">
    <cfRule type="expression" dxfId="2138" priority="544">
      <formula>$D$76&lt;2</formula>
    </cfRule>
  </conditionalFormatting>
  <conditionalFormatting sqref="I78">
    <cfRule type="expression" dxfId="2137" priority="559">
      <formula>$D$78&lt;2</formula>
    </cfRule>
  </conditionalFormatting>
  <conditionalFormatting sqref="I80">
    <cfRule type="expression" dxfId="2136" priority="574">
      <formula>$D$80&lt;2</formula>
    </cfRule>
  </conditionalFormatting>
  <conditionalFormatting sqref="I85">
    <cfRule type="expression" dxfId="2135" priority="589">
      <formula>$D$85&lt;2</formula>
    </cfRule>
  </conditionalFormatting>
  <conditionalFormatting sqref="I87">
    <cfRule type="expression" dxfId="2134" priority="604">
      <formula>$D$87&lt;2</formula>
    </cfRule>
  </conditionalFormatting>
  <conditionalFormatting sqref="I88">
    <cfRule type="expression" dxfId="2133" priority="619">
      <formula>$D$88&lt;2</formula>
    </cfRule>
  </conditionalFormatting>
  <conditionalFormatting sqref="I89">
    <cfRule type="expression" dxfId="2132" priority="634">
      <formula>$D$89&lt;2</formula>
    </cfRule>
  </conditionalFormatting>
  <conditionalFormatting sqref="I91">
    <cfRule type="expression" dxfId="2131" priority="649">
      <formula>$D$91&lt;2</formula>
    </cfRule>
  </conditionalFormatting>
  <conditionalFormatting sqref="I92">
    <cfRule type="expression" dxfId="2130" priority="664">
      <formula>$D$92&lt;2</formula>
    </cfRule>
  </conditionalFormatting>
  <conditionalFormatting sqref="I94">
    <cfRule type="expression" dxfId="2129" priority="679">
      <formula>$D$94&lt;2</formula>
    </cfRule>
  </conditionalFormatting>
  <conditionalFormatting sqref="I95">
    <cfRule type="expression" dxfId="2128" priority="694">
      <formula>$D$95&lt;2</formula>
    </cfRule>
  </conditionalFormatting>
  <conditionalFormatting sqref="I97">
    <cfRule type="expression" dxfId="2127" priority="709">
      <formula>$D$97&lt;2</formula>
    </cfRule>
  </conditionalFormatting>
  <conditionalFormatting sqref="I99">
    <cfRule type="expression" dxfId="2126" priority="724">
      <formula>$D$99&lt;2</formula>
    </cfRule>
  </conditionalFormatting>
  <conditionalFormatting sqref="I100">
    <cfRule type="expression" dxfId="2125" priority="739">
      <formula>$D$100&lt;2</formula>
    </cfRule>
  </conditionalFormatting>
  <conditionalFormatting sqref="I102">
    <cfRule type="expression" dxfId="2124" priority="754">
      <formula>$D$102&lt;2</formula>
    </cfRule>
  </conditionalFormatting>
  <conditionalFormatting sqref="I104">
    <cfRule type="expression" dxfId="2123" priority="769">
      <formula>$D$104&lt;2</formula>
    </cfRule>
  </conditionalFormatting>
  <conditionalFormatting sqref="I109">
    <cfRule type="expression" dxfId="2122" priority="784">
      <formula>$D$109&lt;2</formula>
    </cfRule>
  </conditionalFormatting>
  <conditionalFormatting sqref="I111">
    <cfRule type="expression" dxfId="2121" priority="799">
      <formula>$D$111&lt;2</formula>
    </cfRule>
  </conditionalFormatting>
  <conditionalFormatting sqref="I112">
    <cfRule type="expression" dxfId="2120" priority="814">
      <formula>$D$112&lt;2</formula>
    </cfRule>
  </conditionalFormatting>
  <conditionalFormatting sqref="I113">
    <cfRule type="expression" dxfId="2119" priority="829">
      <formula>$D$113&lt;2</formula>
    </cfRule>
  </conditionalFormatting>
  <conditionalFormatting sqref="I115">
    <cfRule type="expression" dxfId="2118" priority="844">
      <formula>$D$115&lt;2</formula>
    </cfRule>
  </conditionalFormatting>
  <conditionalFormatting sqref="I116">
    <cfRule type="expression" dxfId="2117" priority="859">
      <formula>$D$116&lt;2</formula>
    </cfRule>
  </conditionalFormatting>
  <conditionalFormatting sqref="I118">
    <cfRule type="expression" dxfId="2116" priority="874">
      <formula>$D$118&lt;2</formula>
    </cfRule>
  </conditionalFormatting>
  <conditionalFormatting sqref="I119">
    <cfRule type="expression" dxfId="2115" priority="889">
      <formula>$D$119&lt;2</formula>
    </cfRule>
  </conditionalFormatting>
  <conditionalFormatting sqref="I121">
    <cfRule type="expression" dxfId="2114" priority="904">
      <formula>$D$121&lt;2</formula>
    </cfRule>
  </conditionalFormatting>
  <conditionalFormatting sqref="I123">
    <cfRule type="expression" dxfId="2113" priority="919">
      <formula>$D$123&lt;2</formula>
    </cfRule>
  </conditionalFormatting>
  <conditionalFormatting sqref="I124">
    <cfRule type="expression" dxfId="2112" priority="934">
      <formula>$D$124&lt;2</formula>
    </cfRule>
  </conditionalFormatting>
  <conditionalFormatting sqref="I126">
    <cfRule type="expression" dxfId="2111" priority="949">
      <formula>$D$126&lt;2</formula>
    </cfRule>
  </conditionalFormatting>
  <conditionalFormatting sqref="I128">
    <cfRule type="expression" dxfId="2110" priority="964">
      <formula>$D$128&lt;2</formula>
    </cfRule>
  </conditionalFormatting>
  <conditionalFormatting sqref="I133">
    <cfRule type="expression" dxfId="2109" priority="979">
      <formula>$D$133&lt;2</formula>
    </cfRule>
  </conditionalFormatting>
  <conditionalFormatting sqref="I135">
    <cfRule type="expression" dxfId="2108" priority="994">
      <formula>$D$135&lt;2</formula>
    </cfRule>
  </conditionalFormatting>
  <conditionalFormatting sqref="I136">
    <cfRule type="expression" dxfId="2107" priority="1009">
      <formula>$D$136&lt;2</formula>
    </cfRule>
  </conditionalFormatting>
  <conditionalFormatting sqref="I137">
    <cfRule type="expression" dxfId="2106" priority="1024">
      <formula>$D$137&lt;2</formula>
    </cfRule>
  </conditionalFormatting>
  <conditionalFormatting sqref="I139">
    <cfRule type="expression" dxfId="2105" priority="1039">
      <formula>$D$139&lt;2</formula>
    </cfRule>
  </conditionalFormatting>
  <conditionalFormatting sqref="I140">
    <cfRule type="expression" dxfId="2104" priority="1054">
      <formula>$D$140&lt;2</formula>
    </cfRule>
  </conditionalFormatting>
  <conditionalFormatting sqref="I142">
    <cfRule type="expression" dxfId="2103" priority="1069">
      <formula>$D$142&lt;2</formula>
    </cfRule>
  </conditionalFormatting>
  <conditionalFormatting sqref="I143">
    <cfRule type="expression" dxfId="2102" priority="1084">
      <formula>$D$143&lt;2</formula>
    </cfRule>
  </conditionalFormatting>
  <conditionalFormatting sqref="I145">
    <cfRule type="expression" dxfId="2101" priority="1099">
      <formula>$D$145&lt;2</formula>
    </cfRule>
  </conditionalFormatting>
  <conditionalFormatting sqref="I147">
    <cfRule type="expression" dxfId="2100" priority="1114">
      <formula>$D$147&lt;2</formula>
    </cfRule>
  </conditionalFormatting>
  <conditionalFormatting sqref="I148">
    <cfRule type="expression" dxfId="2099" priority="1129">
      <formula>$D$148&lt;2</formula>
    </cfRule>
  </conditionalFormatting>
  <conditionalFormatting sqref="I150">
    <cfRule type="expression" dxfId="2098" priority="1144">
      <formula>$D$150&lt;2</formula>
    </cfRule>
  </conditionalFormatting>
  <conditionalFormatting sqref="I152">
    <cfRule type="expression" dxfId="2097" priority="1159">
      <formula>$D$152&lt;2</formula>
    </cfRule>
  </conditionalFormatting>
  <conditionalFormatting sqref="I157">
    <cfRule type="expression" dxfId="2096" priority="1174">
      <formula>$D$157&lt;2</formula>
    </cfRule>
  </conditionalFormatting>
  <conditionalFormatting sqref="I159">
    <cfRule type="expression" dxfId="2095" priority="1189">
      <formula>$D$159&lt;2</formula>
    </cfRule>
  </conditionalFormatting>
  <conditionalFormatting sqref="I160">
    <cfRule type="expression" dxfId="2094" priority="1204">
      <formula>$D$160&lt;2</formula>
    </cfRule>
  </conditionalFormatting>
  <conditionalFormatting sqref="I161">
    <cfRule type="expression" dxfId="2093" priority="1219">
      <formula>$D$161&lt;2</formula>
    </cfRule>
  </conditionalFormatting>
  <conditionalFormatting sqref="I163">
    <cfRule type="expression" dxfId="2092" priority="1234">
      <formula>$D$163&lt;2</formula>
    </cfRule>
  </conditionalFormatting>
  <conditionalFormatting sqref="I164">
    <cfRule type="expression" dxfId="2091" priority="1249">
      <formula>$D$164&lt;2</formula>
    </cfRule>
  </conditionalFormatting>
  <conditionalFormatting sqref="I166">
    <cfRule type="expression" dxfId="2090" priority="1264">
      <formula>$D$166&lt;2</formula>
    </cfRule>
  </conditionalFormatting>
  <conditionalFormatting sqref="I167">
    <cfRule type="expression" dxfId="2089" priority="1279">
      <formula>$D$167&lt;2</formula>
    </cfRule>
  </conditionalFormatting>
  <conditionalFormatting sqref="I169">
    <cfRule type="expression" dxfId="2088" priority="1294">
      <formula>$D$169&lt;2</formula>
    </cfRule>
  </conditionalFormatting>
  <conditionalFormatting sqref="I171">
    <cfRule type="expression" dxfId="2087" priority="1309">
      <formula>$D$171&lt;2</formula>
    </cfRule>
  </conditionalFormatting>
  <conditionalFormatting sqref="I172">
    <cfRule type="expression" dxfId="2086" priority="1324">
      <formula>$D$172&lt;2</formula>
    </cfRule>
  </conditionalFormatting>
  <conditionalFormatting sqref="I174">
    <cfRule type="expression" dxfId="2085" priority="1339">
      <formula>$D$174&lt;2</formula>
    </cfRule>
  </conditionalFormatting>
  <conditionalFormatting sqref="I176">
    <cfRule type="expression" dxfId="2084" priority="1354">
      <formula>$D$176&lt;2</formula>
    </cfRule>
  </conditionalFormatting>
  <conditionalFormatting sqref="I181">
    <cfRule type="expression" dxfId="2083" priority="1369">
      <formula>$D$181&lt;2</formula>
    </cfRule>
  </conditionalFormatting>
  <conditionalFormatting sqref="I183">
    <cfRule type="expression" dxfId="2082" priority="1384">
      <formula>$D$183&lt;2</formula>
    </cfRule>
  </conditionalFormatting>
  <conditionalFormatting sqref="I184">
    <cfRule type="expression" dxfId="2081" priority="1399">
      <formula>$D$184&lt;2</formula>
    </cfRule>
  </conditionalFormatting>
  <conditionalFormatting sqref="I185">
    <cfRule type="expression" dxfId="2080" priority="1414">
      <formula>$D$185&lt;2</formula>
    </cfRule>
  </conditionalFormatting>
  <conditionalFormatting sqref="I187">
    <cfRule type="expression" dxfId="2079" priority="1429">
      <formula>$D$187&lt;2</formula>
    </cfRule>
  </conditionalFormatting>
  <conditionalFormatting sqref="I188">
    <cfRule type="expression" dxfId="2078" priority="1444">
      <formula>$D$188&lt;2</formula>
    </cfRule>
  </conditionalFormatting>
  <conditionalFormatting sqref="I190">
    <cfRule type="expression" dxfId="2077" priority="1459">
      <formula>$D$190&lt;2</formula>
    </cfRule>
  </conditionalFormatting>
  <conditionalFormatting sqref="I191">
    <cfRule type="expression" dxfId="2076" priority="1474">
      <formula>$D$191&lt;2</formula>
    </cfRule>
  </conditionalFormatting>
  <conditionalFormatting sqref="I193">
    <cfRule type="expression" dxfId="2075" priority="1489">
      <formula>$D$193&lt;2</formula>
    </cfRule>
  </conditionalFormatting>
  <conditionalFormatting sqref="I195">
    <cfRule type="expression" dxfId="2074" priority="1504">
      <formula>$D$195&lt;2</formula>
    </cfRule>
  </conditionalFormatting>
  <conditionalFormatting sqref="I196:K196">
    <cfRule type="expression" dxfId="2073" priority="1519">
      <formula>$D$196&lt;2</formula>
    </cfRule>
  </conditionalFormatting>
  <conditionalFormatting sqref="I198:K198">
    <cfRule type="expression" dxfId="2072" priority="1534">
      <formula>$D$198&lt;2</formula>
    </cfRule>
  </conditionalFormatting>
  <conditionalFormatting sqref="I200:K200">
    <cfRule type="expression" dxfId="2071" priority="1549">
      <formula>$D$200&lt;2</formula>
    </cfRule>
  </conditionalFormatting>
  <conditionalFormatting sqref="I205:K205">
    <cfRule type="expression" dxfId="2070" priority="1564">
      <formula>$D$205&lt;2</formula>
    </cfRule>
  </conditionalFormatting>
  <conditionalFormatting sqref="I207:K207">
    <cfRule type="expression" dxfId="2069" priority="1579">
      <formula>$D$207&lt;2</formula>
    </cfRule>
  </conditionalFormatting>
  <conditionalFormatting sqref="I208:K208">
    <cfRule type="expression" dxfId="2068" priority="1594">
      <formula>$D$208&lt;2</formula>
    </cfRule>
  </conditionalFormatting>
  <conditionalFormatting sqref="I209:K209">
    <cfRule type="expression" dxfId="2067" priority="1609">
      <formula>$D$209&lt;2</formula>
    </cfRule>
  </conditionalFormatting>
  <conditionalFormatting sqref="I211:K211">
    <cfRule type="expression" dxfId="2066" priority="1624">
      <formula>$D$211&lt;2</formula>
    </cfRule>
  </conditionalFormatting>
  <conditionalFormatting sqref="I212:K212">
    <cfRule type="expression" dxfId="2065" priority="1639">
      <formula>$D$212&lt;2</formula>
    </cfRule>
  </conditionalFormatting>
  <conditionalFormatting sqref="I214:K214">
    <cfRule type="expression" dxfId="2064" priority="1654">
      <formula>$D$214&lt;2</formula>
    </cfRule>
  </conditionalFormatting>
  <conditionalFormatting sqref="I215:K215">
    <cfRule type="expression" dxfId="2063" priority="1669">
      <formula>$D$215&lt;2</formula>
    </cfRule>
  </conditionalFormatting>
  <conditionalFormatting sqref="I217:K217">
    <cfRule type="expression" dxfId="2062" priority="1684">
      <formula>$D$217&lt;2</formula>
    </cfRule>
  </conditionalFormatting>
  <conditionalFormatting sqref="I219:K219">
    <cfRule type="expression" dxfId="2061" priority="1699">
      <formula>$D$219&lt;2</formula>
    </cfRule>
  </conditionalFormatting>
  <conditionalFormatting sqref="I220:K220">
    <cfRule type="expression" dxfId="2060" priority="1714">
      <formula>$D$220&lt;2</formula>
    </cfRule>
  </conditionalFormatting>
  <conditionalFormatting sqref="I222:K222">
    <cfRule type="expression" dxfId="2059" priority="1729">
      <formula>$D$222&lt;2</formula>
    </cfRule>
  </conditionalFormatting>
  <conditionalFormatting sqref="I224:K224">
    <cfRule type="expression" dxfId="2058" priority="1744">
      <formula>$D$224&lt;2</formula>
    </cfRule>
  </conditionalFormatting>
  <conditionalFormatting sqref="I229:K229">
    <cfRule type="expression" dxfId="2057" priority="1759">
      <formula>$D$229&lt;2</formula>
    </cfRule>
  </conditionalFormatting>
  <conditionalFormatting sqref="I231:K231">
    <cfRule type="expression" dxfId="2056" priority="1774">
      <formula>$D$231&lt;2</formula>
    </cfRule>
  </conditionalFormatting>
  <conditionalFormatting sqref="I232:K232">
    <cfRule type="expression" dxfId="2055" priority="1789">
      <formula>$D$232&lt;2</formula>
    </cfRule>
  </conditionalFormatting>
  <conditionalFormatting sqref="I233:K233">
    <cfRule type="expression" dxfId="2054" priority="1804">
      <formula>$D$233&lt;2</formula>
    </cfRule>
  </conditionalFormatting>
  <conditionalFormatting sqref="I235:K235">
    <cfRule type="expression" dxfId="2053" priority="1819">
      <formula>$D$235&lt;2</formula>
    </cfRule>
  </conditionalFormatting>
  <conditionalFormatting sqref="I236:K236">
    <cfRule type="expression" dxfId="2052" priority="1834">
      <formula>$D$236&lt;2</formula>
    </cfRule>
  </conditionalFormatting>
  <conditionalFormatting sqref="I238:K238">
    <cfRule type="expression" dxfId="2051" priority="1849">
      <formula>$D$238&lt;2</formula>
    </cfRule>
  </conditionalFormatting>
  <conditionalFormatting sqref="I239:K239">
    <cfRule type="expression" dxfId="2050" priority="1864">
      <formula>$D$239&lt;2</formula>
    </cfRule>
  </conditionalFormatting>
  <conditionalFormatting sqref="I241:K241">
    <cfRule type="expression" dxfId="2049" priority="1879">
      <formula>$D$241&lt;2</formula>
    </cfRule>
  </conditionalFormatting>
  <conditionalFormatting sqref="I243:K243">
    <cfRule type="expression" dxfId="2048" priority="1894">
      <formula>$D$243&lt;2</formula>
    </cfRule>
  </conditionalFormatting>
  <conditionalFormatting sqref="I244:K244">
    <cfRule type="expression" dxfId="2047" priority="1909">
      <formula>$D$244&lt;2</formula>
    </cfRule>
  </conditionalFormatting>
  <conditionalFormatting sqref="I246:K246">
    <cfRule type="expression" dxfId="2046" priority="1924">
      <formula>$D$246&lt;2</formula>
    </cfRule>
  </conditionalFormatting>
  <conditionalFormatting sqref="I248:K248">
    <cfRule type="expression" dxfId="2045" priority="1939">
      <formula>$D$248&lt;2</formula>
    </cfRule>
  </conditionalFormatting>
  <conditionalFormatting sqref="I253:K253">
    <cfRule type="expression" dxfId="2044" priority="1954">
      <formula>$D$253&lt;2</formula>
    </cfRule>
  </conditionalFormatting>
  <conditionalFormatting sqref="I255:K255">
    <cfRule type="expression" dxfId="2043" priority="1969">
      <formula>$D$255&lt;2</formula>
    </cfRule>
  </conditionalFormatting>
  <conditionalFormatting sqref="I256:K256">
    <cfRule type="expression" dxfId="2042" priority="1984">
      <formula>$D$256&lt;2</formula>
    </cfRule>
  </conditionalFormatting>
  <conditionalFormatting sqref="I257:K257">
    <cfRule type="expression" dxfId="2041" priority="1999">
      <formula>$D$257&lt;2</formula>
    </cfRule>
  </conditionalFormatting>
  <conditionalFormatting sqref="I259:K259">
    <cfRule type="expression" dxfId="2040" priority="2014">
      <formula>$D$259&lt;2</formula>
    </cfRule>
  </conditionalFormatting>
  <conditionalFormatting sqref="I260:K260">
    <cfRule type="expression" dxfId="2039" priority="2029">
      <formula>$D$260&lt;2</formula>
    </cfRule>
  </conditionalFormatting>
  <conditionalFormatting sqref="I262:K262">
    <cfRule type="expression" dxfId="2038" priority="2044">
      <formula>$D$262&lt;2</formula>
    </cfRule>
  </conditionalFormatting>
  <conditionalFormatting sqref="I263:K263">
    <cfRule type="expression" dxfId="2037" priority="2059">
      <formula>$D$263&lt;2</formula>
    </cfRule>
  </conditionalFormatting>
  <conditionalFormatting sqref="I265:K265">
    <cfRule type="expression" dxfId="2036" priority="2074">
      <formula>$D$265&lt;2</formula>
    </cfRule>
  </conditionalFormatting>
  <conditionalFormatting sqref="I267:K267">
    <cfRule type="expression" dxfId="2035" priority="2089">
      <formula>$D$267&lt;2</formula>
    </cfRule>
  </conditionalFormatting>
  <conditionalFormatting sqref="I268:K268">
    <cfRule type="expression" dxfId="2034" priority="2104">
      <formula>$D$268&lt;2</formula>
    </cfRule>
  </conditionalFormatting>
  <conditionalFormatting sqref="I270:K270">
    <cfRule type="expression" dxfId="2033" priority="2119">
      <formula>$D$270&lt;2</formula>
    </cfRule>
  </conditionalFormatting>
  <conditionalFormatting sqref="I272:K272">
    <cfRule type="expression" dxfId="2032" priority="2134">
      <formula>$D$272&lt;2</formula>
    </cfRule>
  </conditionalFormatting>
  <conditionalFormatting sqref="I277:K277">
    <cfRule type="expression" dxfId="2031" priority="2149">
      <formula>$D$277&lt;2</formula>
    </cfRule>
  </conditionalFormatting>
  <conditionalFormatting sqref="I279:K279">
    <cfRule type="expression" dxfId="2030" priority="2164">
      <formula>$D$279&lt;2</formula>
    </cfRule>
  </conditionalFormatting>
  <conditionalFormatting sqref="I280:K280">
    <cfRule type="expression" dxfId="2029" priority="2179">
      <formula>$D$280&lt;2</formula>
    </cfRule>
  </conditionalFormatting>
  <conditionalFormatting sqref="I281:K281">
    <cfRule type="expression" dxfId="2028" priority="2194">
      <formula>$D$281&lt;2</formula>
    </cfRule>
  </conditionalFormatting>
  <conditionalFormatting sqref="I283:K283">
    <cfRule type="expression" dxfId="2027" priority="2209">
      <formula>$D$283&lt;2</formula>
    </cfRule>
  </conditionalFormatting>
  <conditionalFormatting sqref="I284:K284">
    <cfRule type="expression" dxfId="2026" priority="2224">
      <formula>$D$284&lt;2</formula>
    </cfRule>
  </conditionalFormatting>
  <conditionalFormatting sqref="I286:K286">
    <cfRule type="expression" dxfId="2025" priority="2239">
      <formula>$D$286&lt;2</formula>
    </cfRule>
  </conditionalFormatting>
  <conditionalFormatting sqref="I287:K287">
    <cfRule type="expression" dxfId="2024" priority="2254">
      <formula>$D$287&lt;2</formula>
    </cfRule>
  </conditionalFormatting>
  <conditionalFormatting sqref="I289:K289">
    <cfRule type="expression" dxfId="2023" priority="2269">
      <formula>$D$289&lt;2</formula>
    </cfRule>
  </conditionalFormatting>
  <conditionalFormatting sqref="I291:K291">
    <cfRule type="expression" dxfId="2022" priority="2284">
      <formula>$D$291&lt;2</formula>
    </cfRule>
  </conditionalFormatting>
  <conditionalFormatting sqref="I292:K292">
    <cfRule type="expression" dxfId="2021" priority="2299">
      <formula>$D$292&lt;2</formula>
    </cfRule>
  </conditionalFormatting>
  <conditionalFormatting sqref="I294:K294">
    <cfRule type="expression" dxfId="2020" priority="2314">
      <formula>$D$294&lt;2</formula>
    </cfRule>
  </conditionalFormatting>
  <conditionalFormatting sqref="I296:K296">
    <cfRule type="expression" dxfId="2019" priority="2329">
      <formula>$D$296&lt;2</formula>
    </cfRule>
  </conditionalFormatting>
  <conditionalFormatting sqref="J13">
    <cfRule type="expression" dxfId="2018" priority="5">
      <formula>$D$13&lt;2</formula>
    </cfRule>
  </conditionalFormatting>
  <conditionalFormatting sqref="J15">
    <cfRule type="expression" dxfId="2017" priority="20">
      <formula>$D$15&lt;2</formula>
    </cfRule>
  </conditionalFormatting>
  <conditionalFormatting sqref="J16">
    <cfRule type="expression" dxfId="2016" priority="35">
      <formula>$D$16&lt;2</formula>
    </cfRule>
  </conditionalFormatting>
  <conditionalFormatting sqref="J17">
    <cfRule type="expression" dxfId="2015" priority="50">
      <formula>$D$17&lt;2</formula>
    </cfRule>
  </conditionalFormatting>
  <conditionalFormatting sqref="J19">
    <cfRule type="expression" dxfId="2014" priority="65">
      <formula>$D$19&lt;2</formula>
    </cfRule>
  </conditionalFormatting>
  <conditionalFormatting sqref="J20">
    <cfRule type="expression" dxfId="2013" priority="80">
      <formula>$D$20&lt;2</formula>
    </cfRule>
  </conditionalFormatting>
  <conditionalFormatting sqref="J22">
    <cfRule type="expression" dxfId="2012" priority="95">
      <formula>$D$22&lt;2</formula>
    </cfRule>
  </conditionalFormatting>
  <conditionalFormatting sqref="J23">
    <cfRule type="expression" dxfId="2011" priority="110">
      <formula>$D$23&lt;2</formula>
    </cfRule>
  </conditionalFormatting>
  <conditionalFormatting sqref="J25">
    <cfRule type="expression" dxfId="2010" priority="125">
      <formula>$D$25&lt;2</formula>
    </cfRule>
  </conditionalFormatting>
  <conditionalFormatting sqref="J27">
    <cfRule type="expression" dxfId="2009" priority="140">
      <formula>$D$27&lt;2</formula>
    </cfRule>
  </conditionalFormatting>
  <conditionalFormatting sqref="J28">
    <cfRule type="expression" dxfId="2008" priority="155">
      <formula>$D$28&lt;2</formula>
    </cfRule>
  </conditionalFormatting>
  <conditionalFormatting sqref="J30">
    <cfRule type="expression" dxfId="2007" priority="170">
      <formula>$D$30&lt;2</formula>
    </cfRule>
  </conditionalFormatting>
  <conditionalFormatting sqref="J32">
    <cfRule type="expression" dxfId="2006" priority="185">
      <formula>$D$32&lt;2</formula>
    </cfRule>
  </conditionalFormatting>
  <conditionalFormatting sqref="J37">
    <cfRule type="expression" dxfId="2005" priority="200">
      <formula>$D$37&lt;2</formula>
    </cfRule>
  </conditionalFormatting>
  <conditionalFormatting sqref="J39">
    <cfRule type="expression" dxfId="2004" priority="215">
      <formula>$D$39&lt;2</formula>
    </cfRule>
  </conditionalFormatting>
  <conditionalFormatting sqref="J40">
    <cfRule type="expression" dxfId="2003" priority="230">
      <formula>$D$40&lt;2</formula>
    </cfRule>
  </conditionalFormatting>
  <conditionalFormatting sqref="J41">
    <cfRule type="expression" dxfId="2002" priority="245">
      <formula>$D$41&lt;2</formula>
    </cfRule>
  </conditionalFormatting>
  <conditionalFormatting sqref="J43">
    <cfRule type="expression" dxfId="2001" priority="260">
      <formula>$D$43&lt;2</formula>
    </cfRule>
  </conditionalFormatting>
  <conditionalFormatting sqref="J44">
    <cfRule type="expression" dxfId="2000" priority="275">
      <formula>$D$44&lt;2</formula>
    </cfRule>
  </conditionalFormatting>
  <conditionalFormatting sqref="J46">
    <cfRule type="expression" dxfId="1999" priority="290">
      <formula>$D$46&lt;2</formula>
    </cfRule>
  </conditionalFormatting>
  <conditionalFormatting sqref="J47">
    <cfRule type="expression" dxfId="1998" priority="305">
      <formula>$D$47&lt;2</formula>
    </cfRule>
  </conditionalFormatting>
  <conditionalFormatting sqref="J49">
    <cfRule type="expression" dxfId="1997" priority="320">
      <formula>$D$49&lt;2</formula>
    </cfRule>
  </conditionalFormatting>
  <conditionalFormatting sqref="J51">
    <cfRule type="expression" dxfId="1996" priority="335">
      <formula>$D$51&lt;2</formula>
    </cfRule>
  </conditionalFormatting>
  <conditionalFormatting sqref="J52">
    <cfRule type="expression" dxfId="1995" priority="350">
      <formula>$D$52&lt;2</formula>
    </cfRule>
  </conditionalFormatting>
  <conditionalFormatting sqref="J54">
    <cfRule type="expression" dxfId="1994" priority="365">
      <formula>$D$54&lt;2</formula>
    </cfRule>
  </conditionalFormatting>
  <conditionalFormatting sqref="J56">
    <cfRule type="expression" dxfId="1993" priority="380">
      <formula>$D$56&lt;2</formula>
    </cfRule>
  </conditionalFormatting>
  <conditionalFormatting sqref="J61">
    <cfRule type="expression" dxfId="1992" priority="395">
      <formula>$D$61&lt;2</formula>
    </cfRule>
  </conditionalFormatting>
  <conditionalFormatting sqref="J63">
    <cfRule type="expression" dxfId="1991" priority="410">
      <formula>$D$63&lt;2</formula>
    </cfRule>
  </conditionalFormatting>
  <conditionalFormatting sqref="J64">
    <cfRule type="expression" dxfId="1990" priority="425">
      <formula>$D$64&lt;2</formula>
    </cfRule>
  </conditionalFormatting>
  <conditionalFormatting sqref="J65">
    <cfRule type="expression" dxfId="1989" priority="440">
      <formula>$D$65&lt;2</formula>
    </cfRule>
  </conditionalFormatting>
  <conditionalFormatting sqref="J67">
    <cfRule type="expression" dxfId="1988" priority="455">
      <formula>$D$67&lt;2</formula>
    </cfRule>
  </conditionalFormatting>
  <conditionalFormatting sqref="J68">
    <cfRule type="expression" dxfId="1987" priority="470">
      <formula>$D$68&lt;2</formula>
    </cfRule>
  </conditionalFormatting>
  <conditionalFormatting sqref="J70">
    <cfRule type="expression" dxfId="1986" priority="485">
      <formula>$D$70&lt;2</formula>
    </cfRule>
  </conditionalFormatting>
  <conditionalFormatting sqref="J71">
    <cfRule type="expression" dxfId="1985" priority="500">
      <formula>$D$71&lt;2</formula>
    </cfRule>
  </conditionalFormatting>
  <conditionalFormatting sqref="J73">
    <cfRule type="expression" dxfId="1984" priority="515">
      <formula>$D$73&lt;2</formula>
    </cfRule>
  </conditionalFormatting>
  <conditionalFormatting sqref="J75">
    <cfRule type="expression" dxfId="1983" priority="530">
      <formula>$D$75&lt;2</formula>
    </cfRule>
  </conditionalFormatting>
  <conditionalFormatting sqref="J76">
    <cfRule type="expression" dxfId="1982" priority="545">
      <formula>$D$76&lt;2</formula>
    </cfRule>
  </conditionalFormatting>
  <conditionalFormatting sqref="J78">
    <cfRule type="expression" dxfId="1981" priority="560">
      <formula>$D$78&lt;2</formula>
    </cfRule>
  </conditionalFormatting>
  <conditionalFormatting sqref="J80">
    <cfRule type="expression" dxfId="1980" priority="575">
      <formula>$D$80&lt;2</formula>
    </cfRule>
  </conditionalFormatting>
  <conditionalFormatting sqref="J85">
    <cfRule type="expression" dxfId="1979" priority="590">
      <formula>$D$85&lt;2</formula>
    </cfRule>
  </conditionalFormatting>
  <conditionalFormatting sqref="J87">
    <cfRule type="expression" dxfId="1978" priority="605">
      <formula>$D$87&lt;2</formula>
    </cfRule>
  </conditionalFormatting>
  <conditionalFormatting sqref="J88">
    <cfRule type="expression" dxfId="1977" priority="620">
      <formula>$D$88&lt;2</formula>
    </cfRule>
  </conditionalFormatting>
  <conditionalFormatting sqref="J89">
    <cfRule type="expression" dxfId="1976" priority="635">
      <formula>$D$89&lt;2</formula>
    </cfRule>
  </conditionalFormatting>
  <conditionalFormatting sqref="J91">
    <cfRule type="expression" dxfId="1975" priority="650">
      <formula>$D$91&lt;2</formula>
    </cfRule>
  </conditionalFormatting>
  <conditionalFormatting sqref="J92">
    <cfRule type="expression" dxfId="1974" priority="665">
      <formula>$D$92&lt;2</formula>
    </cfRule>
  </conditionalFormatting>
  <conditionalFormatting sqref="J94">
    <cfRule type="expression" dxfId="1973" priority="680">
      <formula>$D$94&lt;2</formula>
    </cfRule>
  </conditionalFormatting>
  <conditionalFormatting sqref="J95">
    <cfRule type="expression" dxfId="1972" priority="695">
      <formula>$D$95&lt;2</formula>
    </cfRule>
  </conditionalFormatting>
  <conditionalFormatting sqref="J97">
    <cfRule type="expression" dxfId="1971" priority="710">
      <formula>$D$97&lt;2</formula>
    </cfRule>
  </conditionalFormatting>
  <conditionalFormatting sqref="J99">
    <cfRule type="expression" dxfId="1970" priority="725">
      <formula>$D$99&lt;2</formula>
    </cfRule>
  </conditionalFormatting>
  <conditionalFormatting sqref="J100">
    <cfRule type="expression" dxfId="1969" priority="740">
      <formula>$D$100&lt;2</formula>
    </cfRule>
  </conditionalFormatting>
  <conditionalFormatting sqref="J102">
    <cfRule type="expression" dxfId="1968" priority="755">
      <formula>$D$102&lt;2</formula>
    </cfRule>
  </conditionalFormatting>
  <conditionalFormatting sqref="J104">
    <cfRule type="expression" dxfId="1967" priority="770">
      <formula>$D$104&lt;2</formula>
    </cfRule>
  </conditionalFormatting>
  <conditionalFormatting sqref="J109">
    <cfRule type="expression" dxfId="1966" priority="785">
      <formula>$D$109&lt;2</formula>
    </cfRule>
  </conditionalFormatting>
  <conditionalFormatting sqref="J111">
    <cfRule type="expression" dxfId="1965" priority="800">
      <formula>$D$111&lt;2</formula>
    </cfRule>
  </conditionalFormatting>
  <conditionalFormatting sqref="J112">
    <cfRule type="expression" dxfId="1964" priority="815">
      <formula>$D$112&lt;2</formula>
    </cfRule>
  </conditionalFormatting>
  <conditionalFormatting sqref="J113">
    <cfRule type="expression" dxfId="1963" priority="830">
      <formula>$D$113&lt;2</formula>
    </cfRule>
  </conditionalFormatting>
  <conditionalFormatting sqref="J115">
    <cfRule type="expression" dxfId="1962" priority="845">
      <formula>$D$115&lt;2</formula>
    </cfRule>
  </conditionalFormatting>
  <conditionalFormatting sqref="J116">
    <cfRule type="expression" dxfId="1961" priority="860">
      <formula>$D$116&lt;2</formula>
    </cfRule>
  </conditionalFormatting>
  <conditionalFormatting sqref="J118">
    <cfRule type="expression" dxfId="1960" priority="875">
      <formula>$D$118&lt;2</formula>
    </cfRule>
  </conditionalFormatting>
  <conditionalFormatting sqref="J119">
    <cfRule type="expression" dxfId="1959" priority="890">
      <formula>$D$119&lt;2</formula>
    </cfRule>
  </conditionalFormatting>
  <conditionalFormatting sqref="J121">
    <cfRule type="expression" dxfId="1958" priority="905">
      <formula>$D$121&lt;2</formula>
    </cfRule>
  </conditionalFormatting>
  <conditionalFormatting sqref="J123">
    <cfRule type="expression" dxfId="1957" priority="920">
      <formula>$D$123&lt;2</formula>
    </cfRule>
  </conditionalFormatting>
  <conditionalFormatting sqref="J124">
    <cfRule type="expression" dxfId="1956" priority="935">
      <formula>$D$124&lt;2</formula>
    </cfRule>
  </conditionalFormatting>
  <conditionalFormatting sqref="J126">
    <cfRule type="expression" dxfId="1955" priority="950">
      <formula>$D$126&lt;2</formula>
    </cfRule>
  </conditionalFormatting>
  <conditionalFormatting sqref="J128">
    <cfRule type="expression" dxfId="1954" priority="965">
      <formula>$D$128&lt;2</formula>
    </cfRule>
  </conditionalFormatting>
  <conditionalFormatting sqref="J133">
    <cfRule type="expression" dxfId="1953" priority="980">
      <formula>$D$133&lt;2</formula>
    </cfRule>
  </conditionalFormatting>
  <conditionalFormatting sqref="J135">
    <cfRule type="expression" dxfId="1952" priority="995">
      <formula>$D$135&lt;2</formula>
    </cfRule>
  </conditionalFormatting>
  <conditionalFormatting sqref="J136">
    <cfRule type="expression" dxfId="1951" priority="1010">
      <formula>$D$136&lt;2</formula>
    </cfRule>
  </conditionalFormatting>
  <conditionalFormatting sqref="J137">
    <cfRule type="expression" dxfId="1950" priority="1025">
      <formula>$D$137&lt;2</formula>
    </cfRule>
  </conditionalFormatting>
  <conditionalFormatting sqref="J139">
    <cfRule type="expression" dxfId="1949" priority="1040">
      <formula>$D$139&lt;2</formula>
    </cfRule>
  </conditionalFormatting>
  <conditionalFormatting sqref="J140">
    <cfRule type="expression" dxfId="1948" priority="1055">
      <formula>$D$140&lt;2</formula>
    </cfRule>
  </conditionalFormatting>
  <conditionalFormatting sqref="J142">
    <cfRule type="expression" dxfId="1947" priority="1070">
      <formula>$D$142&lt;2</formula>
    </cfRule>
  </conditionalFormatting>
  <conditionalFormatting sqref="J143">
    <cfRule type="expression" dxfId="1946" priority="1085">
      <formula>$D$143&lt;2</formula>
    </cfRule>
  </conditionalFormatting>
  <conditionalFormatting sqref="J145">
    <cfRule type="expression" dxfId="1945" priority="1100">
      <formula>$D$145&lt;2</formula>
    </cfRule>
  </conditionalFormatting>
  <conditionalFormatting sqref="J147">
    <cfRule type="expression" dxfId="1944" priority="1115">
      <formula>$D$147&lt;2</formula>
    </cfRule>
  </conditionalFormatting>
  <conditionalFormatting sqref="J148">
    <cfRule type="expression" dxfId="1943" priority="1130">
      <formula>$D$148&lt;2</formula>
    </cfRule>
  </conditionalFormatting>
  <conditionalFormatting sqref="J150">
    <cfRule type="expression" dxfId="1942" priority="1145">
      <formula>$D$150&lt;2</formula>
    </cfRule>
  </conditionalFormatting>
  <conditionalFormatting sqref="J152">
    <cfRule type="expression" dxfId="1941" priority="1160">
      <formula>$D$152&lt;2</formula>
    </cfRule>
  </conditionalFormatting>
  <conditionalFormatting sqref="J157">
    <cfRule type="expression" dxfId="1940" priority="1175">
      <formula>$D$157&lt;2</formula>
    </cfRule>
  </conditionalFormatting>
  <conditionalFormatting sqref="J159">
    <cfRule type="expression" dxfId="1939" priority="1190">
      <formula>$D$159&lt;2</formula>
    </cfRule>
  </conditionalFormatting>
  <conditionalFormatting sqref="J160">
    <cfRule type="expression" dxfId="1938" priority="1205">
      <formula>$D$160&lt;2</formula>
    </cfRule>
  </conditionalFormatting>
  <conditionalFormatting sqref="J161">
    <cfRule type="expression" dxfId="1937" priority="1220">
      <formula>$D$161&lt;2</formula>
    </cfRule>
  </conditionalFormatting>
  <conditionalFormatting sqref="J163">
    <cfRule type="expression" dxfId="1936" priority="1235">
      <formula>$D$163&lt;2</formula>
    </cfRule>
  </conditionalFormatting>
  <conditionalFormatting sqref="J164">
    <cfRule type="expression" dxfId="1935" priority="1250">
      <formula>$D$164&lt;2</formula>
    </cfRule>
  </conditionalFormatting>
  <conditionalFormatting sqref="J166">
    <cfRule type="expression" dxfId="1934" priority="1265">
      <formula>$D$166&lt;2</formula>
    </cfRule>
  </conditionalFormatting>
  <conditionalFormatting sqref="J167">
    <cfRule type="expression" dxfId="1933" priority="1280">
      <formula>$D$167&lt;2</formula>
    </cfRule>
  </conditionalFormatting>
  <conditionalFormatting sqref="J169">
    <cfRule type="expression" dxfId="1932" priority="1295">
      <formula>$D$169&lt;2</formula>
    </cfRule>
  </conditionalFormatting>
  <conditionalFormatting sqref="J171">
    <cfRule type="expression" dxfId="1931" priority="1310">
      <formula>$D$171&lt;2</formula>
    </cfRule>
  </conditionalFormatting>
  <conditionalFormatting sqref="J172">
    <cfRule type="expression" dxfId="1930" priority="1325">
      <formula>$D$172&lt;2</formula>
    </cfRule>
  </conditionalFormatting>
  <conditionalFormatting sqref="J174">
    <cfRule type="expression" dxfId="1929" priority="1340">
      <formula>$D$174&lt;2</formula>
    </cfRule>
  </conditionalFormatting>
  <conditionalFormatting sqref="J176">
    <cfRule type="expression" dxfId="1928" priority="1355">
      <formula>$D$176&lt;2</formula>
    </cfRule>
  </conditionalFormatting>
  <conditionalFormatting sqref="J181">
    <cfRule type="expression" dxfId="1927" priority="1370">
      <formula>$D$181&lt;2</formula>
    </cfRule>
  </conditionalFormatting>
  <conditionalFormatting sqref="J183">
    <cfRule type="expression" dxfId="1926" priority="1385">
      <formula>$D$183&lt;2</formula>
    </cfRule>
  </conditionalFormatting>
  <conditionalFormatting sqref="J184">
    <cfRule type="expression" dxfId="1925" priority="1400">
      <formula>$D$184&lt;2</formula>
    </cfRule>
  </conditionalFormatting>
  <conditionalFormatting sqref="J185">
    <cfRule type="expression" dxfId="1924" priority="1415">
      <formula>$D$185&lt;2</formula>
    </cfRule>
  </conditionalFormatting>
  <conditionalFormatting sqref="J187">
    <cfRule type="expression" dxfId="1923" priority="1430">
      <formula>$D$187&lt;2</formula>
    </cfRule>
  </conditionalFormatting>
  <conditionalFormatting sqref="J188">
    <cfRule type="expression" dxfId="1922" priority="1445">
      <formula>$D$188&lt;2</formula>
    </cfRule>
  </conditionalFormatting>
  <conditionalFormatting sqref="J190">
    <cfRule type="expression" dxfId="1921" priority="1460">
      <formula>$D$190&lt;2</formula>
    </cfRule>
  </conditionalFormatting>
  <conditionalFormatting sqref="J191">
    <cfRule type="expression" dxfId="1920" priority="1475">
      <formula>$D$191&lt;2</formula>
    </cfRule>
  </conditionalFormatting>
  <conditionalFormatting sqref="J193">
    <cfRule type="expression" dxfId="1919" priority="1490">
      <formula>$D$193&lt;2</formula>
    </cfRule>
  </conditionalFormatting>
  <conditionalFormatting sqref="J195">
    <cfRule type="expression" dxfId="1918" priority="1505">
      <formula>$D$195&lt;2</formula>
    </cfRule>
  </conditionalFormatting>
  <conditionalFormatting sqref="K13">
    <cfRule type="expression" dxfId="1917" priority="6">
      <formula>$D$13&lt;2</formula>
    </cfRule>
  </conditionalFormatting>
  <conditionalFormatting sqref="K15">
    <cfRule type="expression" dxfId="1916" priority="21">
      <formula>$D$15&lt;2</formula>
    </cfRule>
  </conditionalFormatting>
  <conditionalFormatting sqref="K16">
    <cfRule type="expression" dxfId="1915" priority="36">
      <formula>$D$16&lt;2</formula>
    </cfRule>
  </conditionalFormatting>
  <conditionalFormatting sqref="K17">
    <cfRule type="expression" dxfId="1914" priority="51">
      <formula>$D$17&lt;2</formula>
    </cfRule>
  </conditionalFormatting>
  <conditionalFormatting sqref="K19">
    <cfRule type="expression" dxfId="1913" priority="66">
      <formula>$D$19&lt;2</formula>
    </cfRule>
  </conditionalFormatting>
  <conditionalFormatting sqref="K20">
    <cfRule type="expression" dxfId="1912" priority="81">
      <formula>$D$20&lt;2</formula>
    </cfRule>
  </conditionalFormatting>
  <conditionalFormatting sqref="K22">
    <cfRule type="expression" dxfId="1911" priority="96">
      <formula>$D$22&lt;2</formula>
    </cfRule>
  </conditionalFormatting>
  <conditionalFormatting sqref="K23">
    <cfRule type="expression" dxfId="1910" priority="111">
      <formula>$D$23&lt;2</formula>
    </cfRule>
  </conditionalFormatting>
  <conditionalFormatting sqref="K25">
    <cfRule type="expression" dxfId="1909" priority="126">
      <formula>$D$25&lt;2</formula>
    </cfRule>
  </conditionalFormatting>
  <conditionalFormatting sqref="K27">
    <cfRule type="expression" dxfId="1908" priority="141">
      <formula>$D$27&lt;2</formula>
    </cfRule>
  </conditionalFormatting>
  <conditionalFormatting sqref="K28">
    <cfRule type="expression" dxfId="1907" priority="156">
      <formula>$D$28&lt;2</formula>
    </cfRule>
  </conditionalFormatting>
  <conditionalFormatting sqref="K30">
    <cfRule type="expression" dxfId="1906" priority="171">
      <formula>$D$30&lt;2</formula>
    </cfRule>
  </conditionalFormatting>
  <conditionalFormatting sqref="K32">
    <cfRule type="expression" dxfId="1905" priority="186">
      <formula>$D$32&lt;2</formula>
    </cfRule>
  </conditionalFormatting>
  <conditionalFormatting sqref="K37">
    <cfRule type="expression" dxfId="1904" priority="201">
      <formula>$D$37&lt;2</formula>
    </cfRule>
  </conditionalFormatting>
  <conditionalFormatting sqref="K39">
    <cfRule type="expression" dxfId="1903" priority="216">
      <formula>$D$39&lt;2</formula>
    </cfRule>
  </conditionalFormatting>
  <conditionalFormatting sqref="K40">
    <cfRule type="expression" dxfId="1902" priority="231">
      <formula>$D$40&lt;2</formula>
    </cfRule>
  </conditionalFormatting>
  <conditionalFormatting sqref="K41">
    <cfRule type="expression" dxfId="1901" priority="246">
      <formula>$D$41&lt;2</formula>
    </cfRule>
  </conditionalFormatting>
  <conditionalFormatting sqref="K43">
    <cfRule type="expression" dxfId="1900" priority="261">
      <formula>$D$43&lt;2</formula>
    </cfRule>
  </conditionalFormatting>
  <conditionalFormatting sqref="K44">
    <cfRule type="expression" dxfId="1899" priority="276">
      <formula>$D$44&lt;2</formula>
    </cfRule>
  </conditionalFormatting>
  <conditionalFormatting sqref="K46">
    <cfRule type="expression" dxfId="1898" priority="291">
      <formula>$D$46&lt;2</formula>
    </cfRule>
  </conditionalFormatting>
  <conditionalFormatting sqref="K47">
    <cfRule type="expression" dxfId="1897" priority="306">
      <formula>$D$47&lt;2</formula>
    </cfRule>
  </conditionalFormatting>
  <conditionalFormatting sqref="K49">
    <cfRule type="expression" dxfId="1896" priority="321">
      <formula>$D$49&lt;2</formula>
    </cfRule>
  </conditionalFormatting>
  <conditionalFormatting sqref="K51">
    <cfRule type="expression" dxfId="1895" priority="336">
      <formula>$D$51&lt;2</formula>
    </cfRule>
  </conditionalFormatting>
  <conditionalFormatting sqref="K52">
    <cfRule type="expression" dxfId="1894" priority="351">
      <formula>$D$52&lt;2</formula>
    </cfRule>
  </conditionalFormatting>
  <conditionalFormatting sqref="K54">
    <cfRule type="expression" dxfId="1893" priority="366">
      <formula>$D$54&lt;2</formula>
    </cfRule>
  </conditionalFormatting>
  <conditionalFormatting sqref="K56">
    <cfRule type="expression" dxfId="1892" priority="381">
      <formula>$D$56&lt;2</formula>
    </cfRule>
  </conditionalFormatting>
  <conditionalFormatting sqref="K61">
    <cfRule type="expression" dxfId="1891" priority="396">
      <formula>$D$61&lt;2</formula>
    </cfRule>
  </conditionalFormatting>
  <conditionalFormatting sqref="K63">
    <cfRule type="expression" dxfId="1890" priority="411">
      <formula>$D$63&lt;2</formula>
    </cfRule>
  </conditionalFormatting>
  <conditionalFormatting sqref="K64">
    <cfRule type="expression" dxfId="1889" priority="426">
      <formula>$D$64&lt;2</formula>
    </cfRule>
  </conditionalFormatting>
  <conditionalFormatting sqref="K65">
    <cfRule type="expression" dxfId="1888" priority="441">
      <formula>$D$65&lt;2</formula>
    </cfRule>
  </conditionalFormatting>
  <conditionalFormatting sqref="K67">
    <cfRule type="expression" dxfId="1887" priority="456">
      <formula>$D$67&lt;2</formula>
    </cfRule>
  </conditionalFormatting>
  <conditionalFormatting sqref="K68">
    <cfRule type="expression" dxfId="1886" priority="471">
      <formula>$D$68&lt;2</formula>
    </cfRule>
  </conditionalFormatting>
  <conditionalFormatting sqref="K70">
    <cfRule type="expression" dxfId="1885" priority="486">
      <formula>$D$70&lt;2</formula>
    </cfRule>
  </conditionalFormatting>
  <conditionalFormatting sqref="K71">
    <cfRule type="expression" dxfId="1884" priority="501">
      <formula>$D$71&lt;2</formula>
    </cfRule>
  </conditionalFormatting>
  <conditionalFormatting sqref="K73">
    <cfRule type="expression" dxfId="1883" priority="516">
      <formula>$D$73&lt;2</formula>
    </cfRule>
  </conditionalFormatting>
  <conditionalFormatting sqref="K75">
    <cfRule type="expression" dxfId="1882" priority="531">
      <formula>$D$75&lt;2</formula>
    </cfRule>
  </conditionalFormatting>
  <conditionalFormatting sqref="K76">
    <cfRule type="expression" dxfId="1881" priority="546">
      <formula>$D$76&lt;2</formula>
    </cfRule>
  </conditionalFormatting>
  <conditionalFormatting sqref="K78">
    <cfRule type="expression" dxfId="1880" priority="561">
      <formula>$D$78&lt;2</formula>
    </cfRule>
  </conditionalFormatting>
  <conditionalFormatting sqref="K80">
    <cfRule type="expression" dxfId="1879" priority="576">
      <formula>$D$80&lt;2</formula>
    </cfRule>
  </conditionalFormatting>
  <conditionalFormatting sqref="K85">
    <cfRule type="expression" dxfId="1878" priority="591">
      <formula>$D$85&lt;2</formula>
    </cfRule>
  </conditionalFormatting>
  <conditionalFormatting sqref="K87">
    <cfRule type="expression" dxfId="1877" priority="606">
      <formula>$D$87&lt;2</formula>
    </cfRule>
  </conditionalFormatting>
  <conditionalFormatting sqref="K88">
    <cfRule type="expression" dxfId="1876" priority="621">
      <formula>$D$88&lt;2</formula>
    </cfRule>
  </conditionalFormatting>
  <conditionalFormatting sqref="K89">
    <cfRule type="expression" dxfId="1875" priority="636">
      <formula>$D$89&lt;2</formula>
    </cfRule>
  </conditionalFormatting>
  <conditionalFormatting sqref="K91">
    <cfRule type="expression" dxfId="1874" priority="651">
      <formula>$D$91&lt;2</formula>
    </cfRule>
  </conditionalFormatting>
  <conditionalFormatting sqref="K92">
    <cfRule type="expression" dxfId="1873" priority="666">
      <formula>$D$92&lt;2</formula>
    </cfRule>
  </conditionalFormatting>
  <conditionalFormatting sqref="K94">
    <cfRule type="expression" dxfId="1872" priority="681">
      <formula>$D$94&lt;2</formula>
    </cfRule>
  </conditionalFormatting>
  <conditionalFormatting sqref="K95">
    <cfRule type="expression" dxfId="1871" priority="696">
      <formula>$D$95&lt;2</formula>
    </cfRule>
  </conditionalFormatting>
  <conditionalFormatting sqref="K97">
    <cfRule type="expression" dxfId="1870" priority="711">
      <formula>$D$97&lt;2</formula>
    </cfRule>
  </conditionalFormatting>
  <conditionalFormatting sqref="K99">
    <cfRule type="expression" dxfId="1869" priority="726">
      <formula>$D$99&lt;2</formula>
    </cfRule>
  </conditionalFormatting>
  <conditionalFormatting sqref="K100">
    <cfRule type="expression" dxfId="1868" priority="741">
      <formula>$D$100&lt;2</formula>
    </cfRule>
  </conditionalFormatting>
  <conditionalFormatting sqref="K102">
    <cfRule type="expression" dxfId="1867" priority="756">
      <formula>$D$102&lt;2</formula>
    </cfRule>
  </conditionalFormatting>
  <conditionalFormatting sqref="K104">
    <cfRule type="expression" dxfId="1866" priority="771">
      <formula>$D$104&lt;2</formula>
    </cfRule>
  </conditionalFormatting>
  <conditionalFormatting sqref="K109">
    <cfRule type="expression" dxfId="1865" priority="786">
      <formula>$D$109&lt;2</formula>
    </cfRule>
  </conditionalFormatting>
  <conditionalFormatting sqref="K111">
    <cfRule type="expression" dxfId="1864" priority="801">
      <formula>$D$111&lt;2</formula>
    </cfRule>
  </conditionalFormatting>
  <conditionalFormatting sqref="K112">
    <cfRule type="expression" dxfId="1863" priority="816">
      <formula>$D$112&lt;2</formula>
    </cfRule>
  </conditionalFormatting>
  <conditionalFormatting sqref="K113">
    <cfRule type="expression" dxfId="1862" priority="831">
      <formula>$D$113&lt;2</formula>
    </cfRule>
  </conditionalFormatting>
  <conditionalFormatting sqref="K115">
    <cfRule type="expression" dxfId="1861" priority="846">
      <formula>$D$115&lt;2</formula>
    </cfRule>
  </conditionalFormatting>
  <conditionalFormatting sqref="K116">
    <cfRule type="expression" dxfId="1860" priority="861">
      <formula>$D$116&lt;2</formula>
    </cfRule>
  </conditionalFormatting>
  <conditionalFormatting sqref="K118">
    <cfRule type="expression" dxfId="1859" priority="876">
      <formula>$D$118&lt;2</formula>
    </cfRule>
  </conditionalFormatting>
  <conditionalFormatting sqref="K119">
    <cfRule type="expression" dxfId="1858" priority="891">
      <formula>$D$119&lt;2</formula>
    </cfRule>
  </conditionalFormatting>
  <conditionalFormatting sqref="K121">
    <cfRule type="expression" dxfId="1857" priority="906">
      <formula>$D$121&lt;2</formula>
    </cfRule>
  </conditionalFormatting>
  <conditionalFormatting sqref="K123">
    <cfRule type="expression" dxfId="1856" priority="921">
      <formula>$D$123&lt;2</formula>
    </cfRule>
  </conditionalFormatting>
  <conditionalFormatting sqref="K124">
    <cfRule type="expression" dxfId="1855" priority="936">
      <formula>$D$124&lt;2</formula>
    </cfRule>
  </conditionalFormatting>
  <conditionalFormatting sqref="K126">
    <cfRule type="expression" dxfId="1854" priority="951">
      <formula>$D$126&lt;2</formula>
    </cfRule>
  </conditionalFormatting>
  <conditionalFormatting sqref="K128">
    <cfRule type="expression" dxfId="1853" priority="966">
      <formula>$D$128&lt;2</formula>
    </cfRule>
  </conditionalFormatting>
  <conditionalFormatting sqref="K133">
    <cfRule type="expression" dxfId="1852" priority="981">
      <formula>$D$133&lt;2</formula>
    </cfRule>
  </conditionalFormatting>
  <conditionalFormatting sqref="K135">
    <cfRule type="expression" dxfId="1851" priority="996">
      <formula>$D$135&lt;2</formula>
    </cfRule>
  </conditionalFormatting>
  <conditionalFormatting sqref="K136">
    <cfRule type="expression" dxfId="1850" priority="1011">
      <formula>$D$136&lt;2</formula>
    </cfRule>
  </conditionalFormatting>
  <conditionalFormatting sqref="K137">
    <cfRule type="expression" dxfId="1849" priority="1026">
      <formula>$D$137&lt;2</formula>
    </cfRule>
  </conditionalFormatting>
  <conditionalFormatting sqref="K139">
    <cfRule type="expression" dxfId="1848" priority="1041">
      <formula>$D$139&lt;2</formula>
    </cfRule>
  </conditionalFormatting>
  <conditionalFormatting sqref="K140">
    <cfRule type="expression" dxfId="1847" priority="1056">
      <formula>$D$140&lt;2</formula>
    </cfRule>
  </conditionalFormatting>
  <conditionalFormatting sqref="K142">
    <cfRule type="expression" dxfId="1846" priority="1071">
      <formula>$D$142&lt;2</formula>
    </cfRule>
  </conditionalFormatting>
  <conditionalFormatting sqref="K143">
    <cfRule type="expression" dxfId="1845" priority="1086">
      <formula>$D$143&lt;2</formula>
    </cfRule>
  </conditionalFormatting>
  <conditionalFormatting sqref="K145">
    <cfRule type="expression" dxfId="1844" priority="1101">
      <formula>$D$145&lt;2</formula>
    </cfRule>
  </conditionalFormatting>
  <conditionalFormatting sqref="K147">
    <cfRule type="expression" dxfId="1843" priority="1116">
      <formula>$D$147&lt;2</formula>
    </cfRule>
  </conditionalFormatting>
  <conditionalFormatting sqref="K148">
    <cfRule type="expression" dxfId="1842" priority="1131">
      <formula>$D$148&lt;2</formula>
    </cfRule>
  </conditionalFormatting>
  <conditionalFormatting sqref="K150">
    <cfRule type="expression" dxfId="1841" priority="1146">
      <formula>$D$150&lt;2</formula>
    </cfRule>
  </conditionalFormatting>
  <conditionalFormatting sqref="K152">
    <cfRule type="expression" dxfId="1840" priority="1161">
      <formula>$D$152&lt;2</formula>
    </cfRule>
  </conditionalFormatting>
  <conditionalFormatting sqref="K157">
    <cfRule type="expression" dxfId="1839" priority="1176">
      <formula>$D$157&lt;2</formula>
    </cfRule>
  </conditionalFormatting>
  <conditionalFormatting sqref="K159">
    <cfRule type="expression" dxfId="1838" priority="1191">
      <formula>$D$159&lt;2</formula>
    </cfRule>
  </conditionalFormatting>
  <conditionalFormatting sqref="K160">
    <cfRule type="expression" dxfId="1837" priority="1206">
      <formula>$D$160&lt;2</formula>
    </cfRule>
  </conditionalFormatting>
  <conditionalFormatting sqref="K161">
    <cfRule type="expression" dxfId="1836" priority="1221">
      <formula>$D$161&lt;2</formula>
    </cfRule>
  </conditionalFormatting>
  <conditionalFormatting sqref="K163">
    <cfRule type="expression" dxfId="1835" priority="1236">
      <formula>$D$163&lt;2</formula>
    </cfRule>
  </conditionalFormatting>
  <conditionalFormatting sqref="K164">
    <cfRule type="expression" dxfId="1834" priority="1251">
      <formula>$D$164&lt;2</formula>
    </cfRule>
  </conditionalFormatting>
  <conditionalFormatting sqref="K166">
    <cfRule type="expression" dxfId="1833" priority="1266">
      <formula>$D$166&lt;2</formula>
    </cfRule>
  </conditionalFormatting>
  <conditionalFormatting sqref="K167">
    <cfRule type="expression" dxfId="1832" priority="1281">
      <formula>$D$167&lt;2</formula>
    </cfRule>
  </conditionalFormatting>
  <conditionalFormatting sqref="K169">
    <cfRule type="expression" dxfId="1831" priority="1296">
      <formula>$D$169&lt;2</formula>
    </cfRule>
  </conditionalFormatting>
  <conditionalFormatting sqref="K171">
    <cfRule type="expression" dxfId="1830" priority="1311">
      <formula>$D$171&lt;2</formula>
    </cfRule>
  </conditionalFormatting>
  <conditionalFormatting sqref="K172">
    <cfRule type="expression" dxfId="1829" priority="1326">
      <formula>$D$172&lt;2</formula>
    </cfRule>
  </conditionalFormatting>
  <conditionalFormatting sqref="K174">
    <cfRule type="expression" dxfId="1828" priority="1341">
      <formula>$D$174&lt;2</formula>
    </cfRule>
  </conditionalFormatting>
  <conditionalFormatting sqref="K176">
    <cfRule type="expression" dxfId="1827" priority="1356">
      <formula>$D$176&lt;2</formula>
    </cfRule>
  </conditionalFormatting>
  <conditionalFormatting sqref="K181">
    <cfRule type="expression" dxfId="1826" priority="1371">
      <formula>$D$181&lt;2</formula>
    </cfRule>
  </conditionalFormatting>
  <conditionalFormatting sqref="K183">
    <cfRule type="expression" dxfId="1825" priority="1386">
      <formula>$D$183&lt;2</formula>
    </cfRule>
  </conditionalFormatting>
  <conditionalFormatting sqref="K184">
    <cfRule type="expression" dxfId="1824" priority="1401">
      <formula>$D$184&lt;2</formula>
    </cfRule>
  </conditionalFormatting>
  <conditionalFormatting sqref="K185">
    <cfRule type="expression" dxfId="1823" priority="1416">
      <formula>$D$185&lt;2</formula>
    </cfRule>
  </conditionalFormatting>
  <conditionalFormatting sqref="K187">
    <cfRule type="expression" dxfId="1822" priority="1431">
      <formula>$D$187&lt;2</formula>
    </cfRule>
  </conditionalFormatting>
  <conditionalFormatting sqref="K188">
    <cfRule type="expression" dxfId="1821" priority="1446">
      <formula>$D$188&lt;2</formula>
    </cfRule>
  </conditionalFormatting>
  <conditionalFormatting sqref="K190">
    <cfRule type="expression" dxfId="1820" priority="1461">
      <formula>$D$190&lt;2</formula>
    </cfRule>
  </conditionalFormatting>
  <conditionalFormatting sqref="K191">
    <cfRule type="expression" dxfId="1819" priority="1476">
      <formula>$D$191&lt;2</formula>
    </cfRule>
  </conditionalFormatting>
  <conditionalFormatting sqref="K193">
    <cfRule type="expression" dxfId="1818" priority="1491">
      <formula>$D$193&lt;2</formula>
    </cfRule>
  </conditionalFormatting>
  <conditionalFormatting sqref="K195">
    <cfRule type="expression" dxfId="1817" priority="1506">
      <formula>$D$195&lt;2</formula>
    </cfRule>
  </conditionalFormatting>
  <conditionalFormatting sqref="L13">
    <cfRule type="expression" dxfId="1816" priority="7">
      <formula>$D$13&lt;3</formula>
    </cfRule>
  </conditionalFormatting>
  <conditionalFormatting sqref="L15">
    <cfRule type="expression" dxfId="1815" priority="22">
      <formula>$D$15&lt;3</formula>
    </cfRule>
  </conditionalFormatting>
  <conditionalFormatting sqref="L16">
    <cfRule type="expression" dxfId="1814" priority="37">
      <formula>$D$16&lt;3</formula>
    </cfRule>
  </conditionalFormatting>
  <conditionalFormatting sqref="L17">
    <cfRule type="expression" dxfId="1813" priority="52">
      <formula>$D$17&lt;3</formula>
    </cfRule>
  </conditionalFormatting>
  <conditionalFormatting sqref="L19">
    <cfRule type="expression" dxfId="1812" priority="67">
      <formula>$D$19&lt;3</formula>
    </cfRule>
  </conditionalFormatting>
  <conditionalFormatting sqref="L20">
    <cfRule type="expression" dxfId="1811" priority="82">
      <formula>$D$20&lt;3</formula>
    </cfRule>
  </conditionalFormatting>
  <conditionalFormatting sqref="L22">
    <cfRule type="expression" dxfId="1810" priority="97">
      <formula>$D$22&lt;3</formula>
    </cfRule>
  </conditionalFormatting>
  <conditionalFormatting sqref="L23">
    <cfRule type="expression" dxfId="1809" priority="112">
      <formula>$D$23&lt;3</formula>
    </cfRule>
  </conditionalFormatting>
  <conditionalFormatting sqref="L25">
    <cfRule type="expression" dxfId="1808" priority="127">
      <formula>$D$25&lt;3</formula>
    </cfRule>
  </conditionalFormatting>
  <conditionalFormatting sqref="L27">
    <cfRule type="expression" dxfId="1807" priority="142">
      <formula>$D$27&lt;3</formula>
    </cfRule>
  </conditionalFormatting>
  <conditionalFormatting sqref="L28">
    <cfRule type="expression" dxfId="1806" priority="157">
      <formula>$D$28&lt;3</formula>
    </cfRule>
  </conditionalFormatting>
  <conditionalFormatting sqref="L30">
    <cfRule type="expression" dxfId="1805" priority="172">
      <formula>$D$30&lt;3</formula>
    </cfRule>
  </conditionalFormatting>
  <conditionalFormatting sqref="L32">
    <cfRule type="expression" dxfId="1804" priority="187">
      <formula>$D$32&lt;3</formula>
    </cfRule>
  </conditionalFormatting>
  <conditionalFormatting sqref="L37">
    <cfRule type="expression" dxfId="1803" priority="202">
      <formula>$D$37&lt;3</formula>
    </cfRule>
  </conditionalFormatting>
  <conditionalFormatting sqref="L39">
    <cfRule type="expression" dxfId="1802" priority="217">
      <formula>$D$39&lt;3</formula>
    </cfRule>
  </conditionalFormatting>
  <conditionalFormatting sqref="L40">
    <cfRule type="expression" dxfId="1801" priority="232">
      <formula>$D$40&lt;3</formula>
    </cfRule>
  </conditionalFormatting>
  <conditionalFormatting sqref="L41">
    <cfRule type="expression" dxfId="1800" priority="247">
      <formula>$D$41&lt;3</formula>
    </cfRule>
  </conditionalFormatting>
  <conditionalFormatting sqref="L43">
    <cfRule type="expression" dxfId="1799" priority="262">
      <formula>$D$43&lt;3</formula>
    </cfRule>
  </conditionalFormatting>
  <conditionalFormatting sqref="L44">
    <cfRule type="expression" dxfId="1798" priority="277">
      <formula>$D$44&lt;3</formula>
    </cfRule>
  </conditionalFormatting>
  <conditionalFormatting sqref="L46">
    <cfRule type="expression" dxfId="1797" priority="292">
      <formula>$D$46&lt;3</formula>
    </cfRule>
  </conditionalFormatting>
  <conditionalFormatting sqref="L47">
    <cfRule type="expression" dxfId="1796" priority="307">
      <formula>$D$47&lt;3</formula>
    </cfRule>
  </conditionalFormatting>
  <conditionalFormatting sqref="L49">
    <cfRule type="expression" dxfId="1795" priority="322">
      <formula>$D$49&lt;3</formula>
    </cfRule>
  </conditionalFormatting>
  <conditionalFormatting sqref="L51">
    <cfRule type="expression" dxfId="1794" priority="337">
      <formula>$D$51&lt;3</formula>
    </cfRule>
  </conditionalFormatting>
  <conditionalFormatting sqref="L52">
    <cfRule type="expression" dxfId="1793" priority="352">
      <formula>$D$52&lt;3</formula>
    </cfRule>
  </conditionalFormatting>
  <conditionalFormatting sqref="L54">
    <cfRule type="expression" dxfId="1792" priority="367">
      <formula>$D$54&lt;3</formula>
    </cfRule>
  </conditionalFormatting>
  <conditionalFormatting sqref="L56">
    <cfRule type="expression" dxfId="1791" priority="382">
      <formula>$D$56&lt;3</formula>
    </cfRule>
  </conditionalFormatting>
  <conditionalFormatting sqref="L61">
    <cfRule type="expression" dxfId="1790" priority="397">
      <formula>$D$61&lt;3</formula>
    </cfRule>
  </conditionalFormatting>
  <conditionalFormatting sqref="L63">
    <cfRule type="expression" dxfId="1789" priority="412">
      <formula>$D$63&lt;3</formula>
    </cfRule>
  </conditionalFormatting>
  <conditionalFormatting sqref="L64">
    <cfRule type="expression" dxfId="1788" priority="427">
      <formula>$D$64&lt;3</formula>
    </cfRule>
  </conditionalFormatting>
  <conditionalFormatting sqref="L65">
    <cfRule type="expression" dxfId="1787" priority="442">
      <formula>$D$65&lt;3</formula>
    </cfRule>
  </conditionalFormatting>
  <conditionalFormatting sqref="L67">
    <cfRule type="expression" dxfId="1786" priority="457">
      <formula>$D$67&lt;3</formula>
    </cfRule>
  </conditionalFormatting>
  <conditionalFormatting sqref="L68">
    <cfRule type="expression" dxfId="1785" priority="472">
      <formula>$D$68&lt;3</formula>
    </cfRule>
  </conditionalFormatting>
  <conditionalFormatting sqref="L70">
    <cfRule type="expression" dxfId="1784" priority="487">
      <formula>$D$70&lt;3</formula>
    </cfRule>
  </conditionalFormatting>
  <conditionalFormatting sqref="L71">
    <cfRule type="expression" dxfId="1783" priority="502">
      <formula>$D$71&lt;3</formula>
    </cfRule>
  </conditionalFormatting>
  <conditionalFormatting sqref="L73">
    <cfRule type="expression" dxfId="1782" priority="517">
      <formula>$D$73&lt;3</formula>
    </cfRule>
  </conditionalFormatting>
  <conditionalFormatting sqref="L75">
    <cfRule type="expression" dxfId="1781" priority="532">
      <formula>$D$75&lt;3</formula>
    </cfRule>
  </conditionalFormatting>
  <conditionalFormatting sqref="L76">
    <cfRule type="expression" dxfId="1780" priority="547">
      <formula>$D$76&lt;3</formula>
    </cfRule>
  </conditionalFormatting>
  <conditionalFormatting sqref="L78">
    <cfRule type="expression" dxfId="1779" priority="562">
      <formula>$D$78&lt;3</formula>
    </cfRule>
  </conditionalFormatting>
  <conditionalFormatting sqref="L80">
    <cfRule type="expression" dxfId="1778" priority="577">
      <formula>$D$80&lt;3</formula>
    </cfRule>
  </conditionalFormatting>
  <conditionalFormatting sqref="L85">
    <cfRule type="expression" dxfId="1777" priority="592">
      <formula>$D$85&lt;3</formula>
    </cfRule>
  </conditionalFormatting>
  <conditionalFormatting sqref="L87">
    <cfRule type="expression" dxfId="1776" priority="607">
      <formula>$D$87&lt;3</formula>
    </cfRule>
  </conditionalFormatting>
  <conditionalFormatting sqref="L88">
    <cfRule type="expression" dxfId="1775" priority="622">
      <formula>$D$88&lt;3</formula>
    </cfRule>
  </conditionalFormatting>
  <conditionalFormatting sqref="L89">
    <cfRule type="expression" dxfId="1774" priority="637">
      <formula>$D$89&lt;3</formula>
    </cfRule>
  </conditionalFormatting>
  <conditionalFormatting sqref="L91">
    <cfRule type="expression" dxfId="1773" priority="652">
      <formula>$D$91&lt;3</formula>
    </cfRule>
  </conditionalFormatting>
  <conditionalFormatting sqref="L92">
    <cfRule type="expression" dxfId="1772" priority="667">
      <formula>$D$92&lt;3</formula>
    </cfRule>
  </conditionalFormatting>
  <conditionalFormatting sqref="L94">
    <cfRule type="expression" dxfId="1771" priority="682">
      <formula>$D$94&lt;3</formula>
    </cfRule>
  </conditionalFormatting>
  <conditionalFormatting sqref="L95">
    <cfRule type="expression" dxfId="1770" priority="697">
      <formula>$D$95&lt;3</formula>
    </cfRule>
  </conditionalFormatting>
  <conditionalFormatting sqref="L97">
    <cfRule type="expression" dxfId="1769" priority="712">
      <formula>$D$97&lt;3</formula>
    </cfRule>
  </conditionalFormatting>
  <conditionalFormatting sqref="L99">
    <cfRule type="expression" dxfId="1768" priority="727">
      <formula>$D$99&lt;3</formula>
    </cfRule>
  </conditionalFormatting>
  <conditionalFormatting sqref="L100">
    <cfRule type="expression" dxfId="1767" priority="742">
      <formula>$D$100&lt;3</formula>
    </cfRule>
  </conditionalFormatting>
  <conditionalFormatting sqref="L102">
    <cfRule type="expression" dxfId="1766" priority="757">
      <formula>$D$102&lt;3</formula>
    </cfRule>
  </conditionalFormatting>
  <conditionalFormatting sqref="L104">
    <cfRule type="expression" dxfId="1765" priority="772">
      <formula>$D$104&lt;3</formula>
    </cfRule>
  </conditionalFormatting>
  <conditionalFormatting sqref="L109">
    <cfRule type="expression" dxfId="1764" priority="787">
      <formula>$D$109&lt;3</formula>
    </cfRule>
  </conditionalFormatting>
  <conditionalFormatting sqref="L111">
    <cfRule type="expression" dxfId="1763" priority="802">
      <formula>$D$111&lt;3</formula>
    </cfRule>
  </conditionalFormatting>
  <conditionalFormatting sqref="L112">
    <cfRule type="expression" dxfId="1762" priority="817">
      <formula>$D$112&lt;3</formula>
    </cfRule>
  </conditionalFormatting>
  <conditionalFormatting sqref="L113">
    <cfRule type="expression" dxfId="1761" priority="832">
      <formula>$D$113&lt;3</formula>
    </cfRule>
  </conditionalFormatting>
  <conditionalFormatting sqref="L115">
    <cfRule type="expression" dxfId="1760" priority="847">
      <formula>$D$115&lt;3</formula>
    </cfRule>
  </conditionalFormatting>
  <conditionalFormatting sqref="L116">
    <cfRule type="expression" dxfId="1759" priority="862">
      <formula>$D$116&lt;3</formula>
    </cfRule>
  </conditionalFormatting>
  <conditionalFormatting sqref="L118">
    <cfRule type="expression" dxfId="1758" priority="877">
      <formula>$D$118&lt;3</formula>
    </cfRule>
  </conditionalFormatting>
  <conditionalFormatting sqref="L119">
    <cfRule type="expression" dxfId="1757" priority="892">
      <formula>$D$119&lt;3</formula>
    </cfRule>
  </conditionalFormatting>
  <conditionalFormatting sqref="L121">
    <cfRule type="expression" dxfId="1756" priority="907">
      <formula>$D$121&lt;3</formula>
    </cfRule>
  </conditionalFormatting>
  <conditionalFormatting sqref="L123">
    <cfRule type="expression" dxfId="1755" priority="922">
      <formula>$D$123&lt;3</formula>
    </cfRule>
  </conditionalFormatting>
  <conditionalFormatting sqref="L124">
    <cfRule type="expression" dxfId="1754" priority="937">
      <formula>$D$124&lt;3</formula>
    </cfRule>
  </conditionalFormatting>
  <conditionalFormatting sqref="L126">
    <cfRule type="expression" dxfId="1753" priority="952">
      <formula>$D$126&lt;3</formula>
    </cfRule>
  </conditionalFormatting>
  <conditionalFormatting sqref="L128">
    <cfRule type="expression" dxfId="1752" priority="967">
      <formula>$D$128&lt;3</formula>
    </cfRule>
  </conditionalFormatting>
  <conditionalFormatting sqref="L133">
    <cfRule type="expression" dxfId="1751" priority="982">
      <formula>$D$133&lt;3</formula>
    </cfRule>
  </conditionalFormatting>
  <conditionalFormatting sqref="L135">
    <cfRule type="expression" dxfId="1750" priority="997">
      <formula>$D$135&lt;3</formula>
    </cfRule>
  </conditionalFormatting>
  <conditionalFormatting sqref="L136">
    <cfRule type="expression" dxfId="1749" priority="1012">
      <formula>$D$136&lt;3</formula>
    </cfRule>
  </conditionalFormatting>
  <conditionalFormatting sqref="L137">
    <cfRule type="expression" dxfId="1748" priority="1027">
      <formula>$D$137&lt;3</formula>
    </cfRule>
  </conditionalFormatting>
  <conditionalFormatting sqref="L139">
    <cfRule type="expression" dxfId="1747" priority="1042">
      <formula>$D$139&lt;3</formula>
    </cfRule>
  </conditionalFormatting>
  <conditionalFormatting sqref="L140">
    <cfRule type="expression" dxfId="1746" priority="1057">
      <formula>$D$140&lt;3</formula>
    </cfRule>
  </conditionalFormatting>
  <conditionalFormatting sqref="L142">
    <cfRule type="expression" dxfId="1745" priority="1072">
      <formula>$D$142&lt;3</formula>
    </cfRule>
  </conditionalFormatting>
  <conditionalFormatting sqref="L143">
    <cfRule type="expression" dxfId="1744" priority="1087">
      <formula>$D$143&lt;3</formula>
    </cfRule>
  </conditionalFormatting>
  <conditionalFormatting sqref="L145">
    <cfRule type="expression" dxfId="1743" priority="1102">
      <formula>$D$145&lt;3</formula>
    </cfRule>
  </conditionalFormatting>
  <conditionalFormatting sqref="L147">
    <cfRule type="expression" dxfId="1742" priority="1117">
      <formula>$D$147&lt;3</formula>
    </cfRule>
  </conditionalFormatting>
  <conditionalFormatting sqref="L148">
    <cfRule type="expression" dxfId="1741" priority="1132">
      <formula>$D$148&lt;3</formula>
    </cfRule>
  </conditionalFormatting>
  <conditionalFormatting sqref="L150">
    <cfRule type="expression" dxfId="1740" priority="1147">
      <formula>$D$150&lt;3</formula>
    </cfRule>
  </conditionalFormatting>
  <conditionalFormatting sqref="L152">
    <cfRule type="expression" dxfId="1739" priority="1162">
      <formula>$D$152&lt;3</formula>
    </cfRule>
  </conditionalFormatting>
  <conditionalFormatting sqref="L157">
    <cfRule type="expression" dxfId="1738" priority="1177">
      <formula>$D$157&lt;3</formula>
    </cfRule>
  </conditionalFormatting>
  <conditionalFormatting sqref="L159">
    <cfRule type="expression" dxfId="1737" priority="1192">
      <formula>$D$159&lt;3</formula>
    </cfRule>
  </conditionalFormatting>
  <conditionalFormatting sqref="L160">
    <cfRule type="expression" dxfId="1736" priority="1207">
      <formula>$D$160&lt;3</formula>
    </cfRule>
  </conditionalFormatting>
  <conditionalFormatting sqref="L161">
    <cfRule type="expression" dxfId="1735" priority="1222">
      <formula>$D$161&lt;3</formula>
    </cfRule>
  </conditionalFormatting>
  <conditionalFormatting sqref="L163">
    <cfRule type="expression" dxfId="1734" priority="1237">
      <formula>$D$163&lt;3</formula>
    </cfRule>
  </conditionalFormatting>
  <conditionalFormatting sqref="L164">
    <cfRule type="expression" dxfId="1733" priority="1252">
      <formula>$D$164&lt;3</formula>
    </cfRule>
  </conditionalFormatting>
  <conditionalFormatting sqref="L166">
    <cfRule type="expression" dxfId="1732" priority="1267">
      <formula>$D$166&lt;3</formula>
    </cfRule>
  </conditionalFormatting>
  <conditionalFormatting sqref="L167">
    <cfRule type="expression" dxfId="1731" priority="1282">
      <formula>$D$167&lt;3</formula>
    </cfRule>
  </conditionalFormatting>
  <conditionalFormatting sqref="L169">
    <cfRule type="expression" dxfId="1730" priority="1297">
      <formula>$D$169&lt;3</formula>
    </cfRule>
  </conditionalFormatting>
  <conditionalFormatting sqref="L171">
    <cfRule type="expression" dxfId="1729" priority="1312">
      <formula>$D$171&lt;3</formula>
    </cfRule>
  </conditionalFormatting>
  <conditionalFormatting sqref="L172">
    <cfRule type="expression" dxfId="1728" priority="1327">
      <formula>$D$172&lt;3</formula>
    </cfRule>
  </conditionalFormatting>
  <conditionalFormatting sqref="L174">
    <cfRule type="expression" dxfId="1727" priority="1342">
      <formula>$D$174&lt;3</formula>
    </cfRule>
  </conditionalFormatting>
  <conditionalFormatting sqref="L176">
    <cfRule type="expression" dxfId="1726" priority="1357">
      <formula>$D$176&lt;3</formula>
    </cfRule>
  </conditionalFormatting>
  <conditionalFormatting sqref="L181">
    <cfRule type="expression" dxfId="1725" priority="1372">
      <formula>$D$181&lt;3</formula>
    </cfRule>
  </conditionalFormatting>
  <conditionalFormatting sqref="L183">
    <cfRule type="expression" dxfId="1724" priority="1387">
      <formula>$D$183&lt;3</formula>
    </cfRule>
  </conditionalFormatting>
  <conditionalFormatting sqref="L184">
    <cfRule type="expression" dxfId="1723" priority="1402">
      <formula>$D$184&lt;3</formula>
    </cfRule>
  </conditionalFormatting>
  <conditionalFormatting sqref="L185">
    <cfRule type="expression" dxfId="1722" priority="1417">
      <formula>$D$185&lt;3</formula>
    </cfRule>
  </conditionalFormatting>
  <conditionalFormatting sqref="L187">
    <cfRule type="expression" dxfId="1721" priority="1432">
      <formula>$D$187&lt;3</formula>
    </cfRule>
  </conditionalFormatting>
  <conditionalFormatting sqref="L188">
    <cfRule type="expression" dxfId="1720" priority="1447">
      <formula>$D$188&lt;3</formula>
    </cfRule>
  </conditionalFormatting>
  <conditionalFormatting sqref="L190">
    <cfRule type="expression" dxfId="1719" priority="1462">
      <formula>$D$190&lt;3</formula>
    </cfRule>
  </conditionalFormatting>
  <conditionalFormatting sqref="L191">
    <cfRule type="expression" dxfId="1718" priority="1477">
      <formula>$D$191&lt;3</formula>
    </cfRule>
  </conditionalFormatting>
  <conditionalFormatting sqref="L193">
    <cfRule type="expression" dxfId="1717" priority="1492">
      <formula>$D$193&lt;3</formula>
    </cfRule>
  </conditionalFormatting>
  <conditionalFormatting sqref="L195">
    <cfRule type="expression" dxfId="1716" priority="1507">
      <formula>$D$195&lt;3</formula>
    </cfRule>
  </conditionalFormatting>
  <conditionalFormatting sqref="L196:N196">
    <cfRule type="expression" dxfId="1715" priority="1522">
      <formula>$D$196&lt;3</formula>
    </cfRule>
  </conditionalFormatting>
  <conditionalFormatting sqref="L198:N198">
    <cfRule type="expression" dxfId="1714" priority="1537">
      <formula>$D$198&lt;3</formula>
    </cfRule>
  </conditionalFormatting>
  <conditionalFormatting sqref="L200:N200">
    <cfRule type="expression" dxfId="1713" priority="1552">
      <formula>$D$200&lt;3</formula>
    </cfRule>
  </conditionalFormatting>
  <conditionalFormatting sqref="L205:N205">
    <cfRule type="expression" dxfId="1712" priority="1567">
      <formula>$D$205&lt;3</formula>
    </cfRule>
  </conditionalFormatting>
  <conditionalFormatting sqref="L207:N207">
    <cfRule type="expression" dxfId="1711" priority="1582">
      <formula>$D$207&lt;3</formula>
    </cfRule>
  </conditionalFormatting>
  <conditionalFormatting sqref="L208:N208">
    <cfRule type="expression" dxfId="1710" priority="1597">
      <formula>$D$208&lt;3</formula>
    </cfRule>
  </conditionalFormatting>
  <conditionalFormatting sqref="L209:N209">
    <cfRule type="expression" dxfId="1709" priority="1612">
      <formula>$D$209&lt;3</formula>
    </cfRule>
  </conditionalFormatting>
  <conditionalFormatting sqref="L211:N211">
    <cfRule type="expression" dxfId="1708" priority="1627">
      <formula>$D$211&lt;3</formula>
    </cfRule>
  </conditionalFormatting>
  <conditionalFormatting sqref="L212:N212">
    <cfRule type="expression" dxfId="1707" priority="1642">
      <formula>$D$212&lt;3</formula>
    </cfRule>
  </conditionalFormatting>
  <conditionalFormatting sqref="L214:N214">
    <cfRule type="expression" dxfId="1706" priority="1657">
      <formula>$D$214&lt;3</formula>
    </cfRule>
  </conditionalFormatting>
  <conditionalFormatting sqref="L215:N215">
    <cfRule type="expression" dxfId="1705" priority="1672">
      <formula>$D$215&lt;3</formula>
    </cfRule>
  </conditionalFormatting>
  <conditionalFormatting sqref="L217:N217">
    <cfRule type="expression" dxfId="1704" priority="1687">
      <formula>$D$217&lt;3</formula>
    </cfRule>
  </conditionalFormatting>
  <conditionalFormatting sqref="L219:N219">
    <cfRule type="expression" dxfId="1703" priority="1702">
      <formula>$D$219&lt;3</formula>
    </cfRule>
  </conditionalFormatting>
  <conditionalFormatting sqref="L220:N220">
    <cfRule type="expression" dxfId="1702" priority="1717">
      <formula>$D$220&lt;3</formula>
    </cfRule>
  </conditionalFormatting>
  <conditionalFormatting sqref="L222:N222">
    <cfRule type="expression" dxfId="1701" priority="1732">
      <formula>$D$222&lt;3</formula>
    </cfRule>
  </conditionalFormatting>
  <conditionalFormatting sqref="L224:N224">
    <cfRule type="expression" dxfId="1700" priority="1747">
      <formula>$D$224&lt;3</formula>
    </cfRule>
  </conditionalFormatting>
  <conditionalFormatting sqref="L229:N229">
    <cfRule type="expression" dxfId="1699" priority="1762">
      <formula>$D$229&lt;3</formula>
    </cfRule>
  </conditionalFormatting>
  <conditionalFormatting sqref="L231:N231">
    <cfRule type="expression" dxfId="1698" priority="1777">
      <formula>$D$231&lt;3</formula>
    </cfRule>
  </conditionalFormatting>
  <conditionalFormatting sqref="L232:N232">
    <cfRule type="expression" dxfId="1697" priority="1792">
      <formula>$D$232&lt;3</formula>
    </cfRule>
  </conditionalFormatting>
  <conditionalFormatting sqref="L233:N233">
    <cfRule type="expression" dxfId="1696" priority="1807">
      <formula>$D$233&lt;3</formula>
    </cfRule>
  </conditionalFormatting>
  <conditionalFormatting sqref="L235:N235">
    <cfRule type="expression" dxfId="1695" priority="1822">
      <formula>$D$235&lt;3</formula>
    </cfRule>
  </conditionalFormatting>
  <conditionalFormatting sqref="L236:N236">
    <cfRule type="expression" dxfId="1694" priority="1837">
      <formula>$D$236&lt;3</formula>
    </cfRule>
  </conditionalFormatting>
  <conditionalFormatting sqref="L238:N238">
    <cfRule type="expression" dxfId="1693" priority="1852">
      <formula>$D$238&lt;3</formula>
    </cfRule>
  </conditionalFormatting>
  <conditionalFormatting sqref="L239:N239">
    <cfRule type="expression" dxfId="1692" priority="1867">
      <formula>$D$239&lt;3</formula>
    </cfRule>
  </conditionalFormatting>
  <conditionalFormatting sqref="L241:N241">
    <cfRule type="expression" dxfId="1691" priority="1882">
      <formula>$D$241&lt;3</formula>
    </cfRule>
  </conditionalFormatting>
  <conditionalFormatting sqref="L243:N243">
    <cfRule type="expression" dxfId="1690" priority="1897">
      <formula>$D$243&lt;3</formula>
    </cfRule>
  </conditionalFormatting>
  <conditionalFormatting sqref="L244:N244">
    <cfRule type="expression" dxfId="1689" priority="1912">
      <formula>$D$244&lt;3</formula>
    </cfRule>
  </conditionalFormatting>
  <conditionalFormatting sqref="L246:N246">
    <cfRule type="expression" dxfId="1688" priority="1927">
      <formula>$D$246&lt;3</formula>
    </cfRule>
  </conditionalFormatting>
  <conditionalFormatting sqref="L248:N248">
    <cfRule type="expression" dxfId="1687" priority="1942">
      <formula>$D$248&lt;3</formula>
    </cfRule>
  </conditionalFormatting>
  <conditionalFormatting sqref="L253:N253">
    <cfRule type="expression" dxfId="1686" priority="1957">
      <formula>$D$253&lt;3</formula>
    </cfRule>
  </conditionalFormatting>
  <conditionalFormatting sqref="L255:N255">
    <cfRule type="expression" dxfId="1685" priority="1972">
      <formula>$D$255&lt;3</formula>
    </cfRule>
  </conditionalFormatting>
  <conditionalFormatting sqref="L256:N256">
    <cfRule type="expression" dxfId="1684" priority="1987">
      <formula>$D$256&lt;3</formula>
    </cfRule>
  </conditionalFormatting>
  <conditionalFormatting sqref="L257:N257">
    <cfRule type="expression" dxfId="1683" priority="2002">
      <formula>$D$257&lt;3</formula>
    </cfRule>
  </conditionalFormatting>
  <conditionalFormatting sqref="L259:N259">
    <cfRule type="expression" dxfId="1682" priority="2017">
      <formula>$D$259&lt;3</formula>
    </cfRule>
  </conditionalFormatting>
  <conditionalFormatting sqref="L260:N260">
    <cfRule type="expression" dxfId="1681" priority="2032">
      <formula>$D$260&lt;3</formula>
    </cfRule>
  </conditionalFormatting>
  <conditionalFormatting sqref="L262:N262">
    <cfRule type="expression" dxfId="1680" priority="2047">
      <formula>$D$262&lt;3</formula>
    </cfRule>
  </conditionalFormatting>
  <conditionalFormatting sqref="L263:N263">
    <cfRule type="expression" dxfId="1679" priority="2062">
      <formula>$D$263&lt;3</formula>
    </cfRule>
  </conditionalFormatting>
  <conditionalFormatting sqref="L265:N265">
    <cfRule type="expression" dxfId="1678" priority="2077">
      <formula>$D$265&lt;3</formula>
    </cfRule>
  </conditionalFormatting>
  <conditionalFormatting sqref="L267:N267">
    <cfRule type="expression" dxfId="1677" priority="2092">
      <formula>$D$267&lt;3</formula>
    </cfRule>
  </conditionalFormatting>
  <conditionalFormatting sqref="L268:N268">
    <cfRule type="expression" dxfId="1676" priority="2107">
      <formula>$D$268&lt;3</formula>
    </cfRule>
  </conditionalFormatting>
  <conditionalFormatting sqref="L270:N270">
    <cfRule type="expression" dxfId="1675" priority="2122">
      <formula>$D$270&lt;3</formula>
    </cfRule>
  </conditionalFormatting>
  <conditionalFormatting sqref="L272:N272">
    <cfRule type="expression" dxfId="1674" priority="2137">
      <formula>$D$272&lt;3</formula>
    </cfRule>
  </conditionalFormatting>
  <conditionalFormatting sqref="L277:N277">
    <cfRule type="expression" dxfId="1673" priority="2152">
      <formula>$D$277&lt;3</formula>
    </cfRule>
  </conditionalFormatting>
  <conditionalFormatting sqref="L279:N279">
    <cfRule type="expression" dxfId="1672" priority="2167">
      <formula>$D$279&lt;3</formula>
    </cfRule>
  </conditionalFormatting>
  <conditionalFormatting sqref="L280:N280">
    <cfRule type="expression" dxfId="1671" priority="2182">
      <formula>$D$280&lt;3</formula>
    </cfRule>
  </conditionalFormatting>
  <conditionalFormatting sqref="L281:N281">
    <cfRule type="expression" dxfId="1670" priority="2197">
      <formula>$D$281&lt;3</formula>
    </cfRule>
  </conditionalFormatting>
  <conditionalFormatting sqref="L283:N283">
    <cfRule type="expression" dxfId="1669" priority="2212">
      <formula>$D$283&lt;3</formula>
    </cfRule>
  </conditionalFormatting>
  <conditionalFormatting sqref="L284:N284">
    <cfRule type="expression" dxfId="1668" priority="2227">
      <formula>$D$284&lt;3</formula>
    </cfRule>
  </conditionalFormatting>
  <conditionalFormatting sqref="L286:N286">
    <cfRule type="expression" dxfId="1667" priority="2242">
      <formula>$D$286&lt;3</formula>
    </cfRule>
  </conditionalFormatting>
  <conditionalFormatting sqref="L287:N287">
    <cfRule type="expression" dxfId="1666" priority="2257">
      <formula>$D$287&lt;3</formula>
    </cfRule>
  </conditionalFormatting>
  <conditionalFormatting sqref="L289:N289">
    <cfRule type="expression" dxfId="1665" priority="2272">
      <formula>$D$289&lt;3</formula>
    </cfRule>
  </conditionalFormatting>
  <conditionalFormatting sqref="L291:N291">
    <cfRule type="expression" dxfId="1664" priority="2287">
      <formula>$D$291&lt;3</formula>
    </cfRule>
  </conditionalFormatting>
  <conditionalFormatting sqref="L292:N292">
    <cfRule type="expression" dxfId="1663" priority="2302">
      <formula>$D$292&lt;3</formula>
    </cfRule>
  </conditionalFormatting>
  <conditionalFormatting sqref="L294:N294">
    <cfRule type="expression" dxfId="1662" priority="2317">
      <formula>$D$294&lt;3</formula>
    </cfRule>
  </conditionalFormatting>
  <conditionalFormatting sqref="L296:N296">
    <cfRule type="expression" dxfId="1661" priority="2332">
      <formula>$D$296&lt;3</formula>
    </cfRule>
  </conditionalFormatting>
  <conditionalFormatting sqref="M13">
    <cfRule type="expression" dxfId="1660" priority="8">
      <formula>$D$13&lt;3</formula>
    </cfRule>
  </conditionalFormatting>
  <conditionalFormatting sqref="M15">
    <cfRule type="expression" dxfId="1659" priority="23">
      <formula>$D$15&lt;3</formula>
    </cfRule>
  </conditionalFormatting>
  <conditionalFormatting sqref="M16">
    <cfRule type="expression" dxfId="1658" priority="38">
      <formula>$D$16&lt;3</formula>
    </cfRule>
  </conditionalFormatting>
  <conditionalFormatting sqref="M17">
    <cfRule type="expression" dxfId="1657" priority="53">
      <formula>$D$17&lt;3</formula>
    </cfRule>
  </conditionalFormatting>
  <conditionalFormatting sqref="M19">
    <cfRule type="expression" dxfId="1656" priority="68">
      <formula>$D$19&lt;3</formula>
    </cfRule>
  </conditionalFormatting>
  <conditionalFormatting sqref="M20">
    <cfRule type="expression" dxfId="1655" priority="83">
      <formula>$D$20&lt;3</formula>
    </cfRule>
  </conditionalFormatting>
  <conditionalFormatting sqref="M22">
    <cfRule type="expression" dxfId="1654" priority="98">
      <formula>$D$22&lt;3</formula>
    </cfRule>
  </conditionalFormatting>
  <conditionalFormatting sqref="M23">
    <cfRule type="expression" dxfId="1653" priority="113">
      <formula>$D$23&lt;3</formula>
    </cfRule>
  </conditionalFormatting>
  <conditionalFormatting sqref="M25">
    <cfRule type="expression" dxfId="1652" priority="128">
      <formula>$D$25&lt;3</formula>
    </cfRule>
  </conditionalFormatting>
  <conditionalFormatting sqref="M27">
    <cfRule type="expression" dxfId="1651" priority="143">
      <formula>$D$27&lt;3</formula>
    </cfRule>
  </conditionalFormatting>
  <conditionalFormatting sqref="M28">
    <cfRule type="expression" dxfId="1650" priority="158">
      <formula>$D$28&lt;3</formula>
    </cfRule>
  </conditionalFormatting>
  <conditionalFormatting sqref="M30">
    <cfRule type="expression" dxfId="1649" priority="173">
      <formula>$D$30&lt;3</formula>
    </cfRule>
  </conditionalFormatting>
  <conditionalFormatting sqref="M32">
    <cfRule type="expression" dxfId="1648" priority="188">
      <formula>$D$32&lt;3</formula>
    </cfRule>
  </conditionalFormatting>
  <conditionalFormatting sqref="M37">
    <cfRule type="expression" dxfId="1647" priority="203">
      <formula>$D$37&lt;3</formula>
    </cfRule>
  </conditionalFormatting>
  <conditionalFormatting sqref="M39">
    <cfRule type="expression" dxfId="1646" priority="218">
      <formula>$D$39&lt;3</formula>
    </cfRule>
  </conditionalFormatting>
  <conditionalFormatting sqref="M40">
    <cfRule type="expression" dxfId="1645" priority="233">
      <formula>$D$40&lt;3</formula>
    </cfRule>
  </conditionalFormatting>
  <conditionalFormatting sqref="M41">
    <cfRule type="expression" dxfId="1644" priority="248">
      <formula>$D$41&lt;3</formula>
    </cfRule>
  </conditionalFormatting>
  <conditionalFormatting sqref="M43">
    <cfRule type="expression" dxfId="1643" priority="263">
      <formula>$D$43&lt;3</formula>
    </cfRule>
  </conditionalFormatting>
  <conditionalFormatting sqref="M44">
    <cfRule type="expression" dxfId="1642" priority="278">
      <formula>$D$44&lt;3</formula>
    </cfRule>
  </conditionalFormatting>
  <conditionalFormatting sqref="M46">
    <cfRule type="expression" dxfId="1641" priority="293">
      <formula>$D$46&lt;3</formula>
    </cfRule>
  </conditionalFormatting>
  <conditionalFormatting sqref="M47">
    <cfRule type="expression" dxfId="1640" priority="308">
      <formula>$D$47&lt;3</formula>
    </cfRule>
  </conditionalFormatting>
  <conditionalFormatting sqref="M49">
    <cfRule type="expression" dxfId="1639" priority="323">
      <formula>$D$49&lt;3</formula>
    </cfRule>
  </conditionalFormatting>
  <conditionalFormatting sqref="M51">
    <cfRule type="expression" dxfId="1638" priority="338">
      <formula>$D$51&lt;3</formula>
    </cfRule>
  </conditionalFormatting>
  <conditionalFormatting sqref="M52">
    <cfRule type="expression" dxfId="1637" priority="353">
      <formula>$D$52&lt;3</formula>
    </cfRule>
  </conditionalFormatting>
  <conditionalFormatting sqref="M54">
    <cfRule type="expression" dxfId="1636" priority="368">
      <formula>$D$54&lt;3</formula>
    </cfRule>
  </conditionalFormatting>
  <conditionalFormatting sqref="M56">
    <cfRule type="expression" dxfId="1635" priority="383">
      <formula>$D$56&lt;3</formula>
    </cfRule>
  </conditionalFormatting>
  <conditionalFormatting sqref="M61">
    <cfRule type="expression" dxfId="1634" priority="398">
      <formula>$D$61&lt;3</formula>
    </cfRule>
  </conditionalFormatting>
  <conditionalFormatting sqref="M63">
    <cfRule type="expression" dxfId="1633" priority="413">
      <formula>$D$63&lt;3</formula>
    </cfRule>
  </conditionalFormatting>
  <conditionalFormatting sqref="M64">
    <cfRule type="expression" dxfId="1632" priority="428">
      <formula>$D$64&lt;3</formula>
    </cfRule>
  </conditionalFormatting>
  <conditionalFormatting sqref="M65">
    <cfRule type="expression" dxfId="1631" priority="443">
      <formula>$D$65&lt;3</formula>
    </cfRule>
  </conditionalFormatting>
  <conditionalFormatting sqref="M67">
    <cfRule type="expression" dxfId="1630" priority="458">
      <formula>$D$67&lt;3</formula>
    </cfRule>
  </conditionalFormatting>
  <conditionalFormatting sqref="M68">
    <cfRule type="expression" dxfId="1629" priority="473">
      <formula>$D$68&lt;3</formula>
    </cfRule>
  </conditionalFormatting>
  <conditionalFormatting sqref="M70">
    <cfRule type="expression" dxfId="1628" priority="488">
      <formula>$D$70&lt;3</formula>
    </cfRule>
  </conditionalFormatting>
  <conditionalFormatting sqref="M71">
    <cfRule type="expression" dxfId="1627" priority="503">
      <formula>$D$71&lt;3</formula>
    </cfRule>
  </conditionalFormatting>
  <conditionalFormatting sqref="M73">
    <cfRule type="expression" dxfId="1626" priority="518">
      <formula>$D$73&lt;3</formula>
    </cfRule>
  </conditionalFormatting>
  <conditionalFormatting sqref="M75">
    <cfRule type="expression" dxfId="1625" priority="533">
      <formula>$D$75&lt;3</formula>
    </cfRule>
  </conditionalFormatting>
  <conditionalFormatting sqref="M76">
    <cfRule type="expression" dxfId="1624" priority="548">
      <formula>$D$76&lt;3</formula>
    </cfRule>
  </conditionalFormatting>
  <conditionalFormatting sqref="M78">
    <cfRule type="expression" dxfId="1623" priority="563">
      <formula>$D$78&lt;3</formula>
    </cfRule>
  </conditionalFormatting>
  <conditionalFormatting sqref="M80">
    <cfRule type="expression" dxfId="1622" priority="578">
      <formula>$D$80&lt;3</formula>
    </cfRule>
  </conditionalFormatting>
  <conditionalFormatting sqref="M85">
    <cfRule type="expression" dxfId="1621" priority="593">
      <formula>$D$85&lt;3</formula>
    </cfRule>
  </conditionalFormatting>
  <conditionalFormatting sqref="M87">
    <cfRule type="expression" dxfId="1620" priority="608">
      <formula>$D$87&lt;3</formula>
    </cfRule>
  </conditionalFormatting>
  <conditionalFormatting sqref="M88">
    <cfRule type="expression" dxfId="1619" priority="623">
      <formula>$D$88&lt;3</formula>
    </cfRule>
  </conditionalFormatting>
  <conditionalFormatting sqref="M89">
    <cfRule type="expression" dxfId="1618" priority="638">
      <formula>$D$89&lt;3</formula>
    </cfRule>
  </conditionalFormatting>
  <conditionalFormatting sqref="M91">
    <cfRule type="expression" dxfId="1617" priority="653">
      <formula>$D$91&lt;3</formula>
    </cfRule>
  </conditionalFormatting>
  <conditionalFormatting sqref="M92">
    <cfRule type="expression" dxfId="1616" priority="668">
      <formula>$D$92&lt;3</formula>
    </cfRule>
  </conditionalFormatting>
  <conditionalFormatting sqref="M94">
    <cfRule type="expression" dxfId="1615" priority="683">
      <formula>$D$94&lt;3</formula>
    </cfRule>
  </conditionalFormatting>
  <conditionalFormatting sqref="M95">
    <cfRule type="expression" dxfId="1614" priority="698">
      <formula>$D$95&lt;3</formula>
    </cfRule>
  </conditionalFormatting>
  <conditionalFormatting sqref="M97">
    <cfRule type="expression" dxfId="1613" priority="713">
      <formula>$D$97&lt;3</formula>
    </cfRule>
  </conditionalFormatting>
  <conditionalFormatting sqref="M99">
    <cfRule type="expression" dxfId="1612" priority="728">
      <formula>$D$99&lt;3</formula>
    </cfRule>
  </conditionalFormatting>
  <conditionalFormatting sqref="M100">
    <cfRule type="expression" dxfId="1611" priority="743">
      <formula>$D$100&lt;3</formula>
    </cfRule>
  </conditionalFormatting>
  <conditionalFormatting sqref="M102">
    <cfRule type="expression" dxfId="1610" priority="758">
      <formula>$D$102&lt;3</formula>
    </cfRule>
  </conditionalFormatting>
  <conditionalFormatting sqref="M104">
    <cfRule type="expression" dxfId="1609" priority="773">
      <formula>$D$104&lt;3</formula>
    </cfRule>
  </conditionalFormatting>
  <conditionalFormatting sqref="M109">
    <cfRule type="expression" dxfId="1608" priority="788">
      <formula>$D$109&lt;3</formula>
    </cfRule>
  </conditionalFormatting>
  <conditionalFormatting sqref="M111">
    <cfRule type="expression" dxfId="1607" priority="803">
      <formula>$D$111&lt;3</formula>
    </cfRule>
  </conditionalFormatting>
  <conditionalFormatting sqref="M112">
    <cfRule type="expression" dxfId="1606" priority="818">
      <formula>$D$112&lt;3</formula>
    </cfRule>
  </conditionalFormatting>
  <conditionalFormatting sqref="M113">
    <cfRule type="expression" dxfId="1605" priority="833">
      <formula>$D$113&lt;3</formula>
    </cfRule>
  </conditionalFormatting>
  <conditionalFormatting sqref="M115">
    <cfRule type="expression" dxfId="1604" priority="848">
      <formula>$D$115&lt;3</formula>
    </cfRule>
  </conditionalFormatting>
  <conditionalFormatting sqref="M116">
    <cfRule type="expression" dxfId="1603" priority="863">
      <formula>$D$116&lt;3</formula>
    </cfRule>
  </conditionalFormatting>
  <conditionalFormatting sqref="M118">
    <cfRule type="expression" dxfId="1602" priority="878">
      <formula>$D$118&lt;3</formula>
    </cfRule>
  </conditionalFormatting>
  <conditionalFormatting sqref="M119">
    <cfRule type="expression" dxfId="1601" priority="893">
      <formula>$D$119&lt;3</formula>
    </cfRule>
  </conditionalFormatting>
  <conditionalFormatting sqref="M121">
    <cfRule type="expression" dxfId="1600" priority="908">
      <formula>$D$121&lt;3</formula>
    </cfRule>
  </conditionalFormatting>
  <conditionalFormatting sqref="M123">
    <cfRule type="expression" dxfId="1599" priority="923">
      <formula>$D$123&lt;3</formula>
    </cfRule>
  </conditionalFormatting>
  <conditionalFormatting sqref="M124">
    <cfRule type="expression" dxfId="1598" priority="938">
      <formula>$D$124&lt;3</formula>
    </cfRule>
  </conditionalFormatting>
  <conditionalFormatting sqref="M126">
    <cfRule type="expression" dxfId="1597" priority="953">
      <formula>$D$126&lt;3</formula>
    </cfRule>
  </conditionalFormatting>
  <conditionalFormatting sqref="M128">
    <cfRule type="expression" dxfId="1596" priority="968">
      <formula>$D$128&lt;3</formula>
    </cfRule>
  </conditionalFormatting>
  <conditionalFormatting sqref="M133">
    <cfRule type="expression" dxfId="1595" priority="983">
      <formula>$D$133&lt;3</formula>
    </cfRule>
  </conditionalFormatting>
  <conditionalFormatting sqref="M135">
    <cfRule type="expression" dxfId="1594" priority="998">
      <formula>$D$135&lt;3</formula>
    </cfRule>
  </conditionalFormatting>
  <conditionalFormatting sqref="M136">
    <cfRule type="expression" dxfId="1593" priority="1013">
      <formula>$D$136&lt;3</formula>
    </cfRule>
  </conditionalFormatting>
  <conditionalFormatting sqref="M137">
    <cfRule type="expression" dxfId="1592" priority="1028">
      <formula>$D$137&lt;3</formula>
    </cfRule>
  </conditionalFormatting>
  <conditionalFormatting sqref="M139">
    <cfRule type="expression" dxfId="1591" priority="1043">
      <formula>$D$139&lt;3</formula>
    </cfRule>
  </conditionalFormatting>
  <conditionalFormatting sqref="M140">
    <cfRule type="expression" dxfId="1590" priority="1058">
      <formula>$D$140&lt;3</formula>
    </cfRule>
  </conditionalFormatting>
  <conditionalFormatting sqref="M142">
    <cfRule type="expression" dxfId="1589" priority="1073">
      <formula>$D$142&lt;3</formula>
    </cfRule>
  </conditionalFormatting>
  <conditionalFormatting sqref="M143">
    <cfRule type="expression" dxfId="1588" priority="1088">
      <formula>$D$143&lt;3</formula>
    </cfRule>
  </conditionalFormatting>
  <conditionalFormatting sqref="M145">
    <cfRule type="expression" dxfId="1587" priority="1103">
      <formula>$D$145&lt;3</formula>
    </cfRule>
  </conditionalFormatting>
  <conditionalFormatting sqref="M147">
    <cfRule type="expression" dxfId="1586" priority="1118">
      <formula>$D$147&lt;3</formula>
    </cfRule>
  </conditionalFormatting>
  <conditionalFormatting sqref="M148">
    <cfRule type="expression" dxfId="1585" priority="1133">
      <formula>$D$148&lt;3</formula>
    </cfRule>
  </conditionalFormatting>
  <conditionalFormatting sqref="M150">
    <cfRule type="expression" dxfId="1584" priority="1148">
      <formula>$D$150&lt;3</formula>
    </cfRule>
  </conditionalFormatting>
  <conditionalFormatting sqref="M152">
    <cfRule type="expression" dxfId="1583" priority="1163">
      <formula>$D$152&lt;3</formula>
    </cfRule>
  </conditionalFormatting>
  <conditionalFormatting sqref="M157">
    <cfRule type="expression" dxfId="1582" priority="1178">
      <formula>$D$157&lt;3</formula>
    </cfRule>
  </conditionalFormatting>
  <conditionalFormatting sqref="M159">
    <cfRule type="expression" dxfId="1581" priority="1193">
      <formula>$D$159&lt;3</formula>
    </cfRule>
  </conditionalFormatting>
  <conditionalFormatting sqref="M160">
    <cfRule type="expression" dxfId="1580" priority="1208">
      <formula>$D$160&lt;3</formula>
    </cfRule>
  </conditionalFormatting>
  <conditionalFormatting sqref="M161">
    <cfRule type="expression" dxfId="1579" priority="1223">
      <formula>$D$161&lt;3</formula>
    </cfRule>
  </conditionalFormatting>
  <conditionalFormatting sqref="M163">
    <cfRule type="expression" dxfId="1578" priority="1238">
      <formula>$D$163&lt;3</formula>
    </cfRule>
  </conditionalFormatting>
  <conditionalFormatting sqref="M164">
    <cfRule type="expression" dxfId="1577" priority="1253">
      <formula>$D$164&lt;3</formula>
    </cfRule>
  </conditionalFormatting>
  <conditionalFormatting sqref="M166">
    <cfRule type="expression" dxfId="1576" priority="1268">
      <formula>$D$166&lt;3</formula>
    </cfRule>
  </conditionalFormatting>
  <conditionalFormatting sqref="M167">
    <cfRule type="expression" dxfId="1575" priority="1283">
      <formula>$D$167&lt;3</formula>
    </cfRule>
  </conditionalFormatting>
  <conditionalFormatting sqref="M169">
    <cfRule type="expression" dxfId="1574" priority="1298">
      <formula>$D$169&lt;3</formula>
    </cfRule>
  </conditionalFormatting>
  <conditionalFormatting sqref="M171">
    <cfRule type="expression" dxfId="1573" priority="1313">
      <formula>$D$171&lt;3</formula>
    </cfRule>
  </conditionalFormatting>
  <conditionalFormatting sqref="M172">
    <cfRule type="expression" dxfId="1572" priority="1328">
      <formula>$D$172&lt;3</formula>
    </cfRule>
  </conditionalFormatting>
  <conditionalFormatting sqref="M174">
    <cfRule type="expression" dxfId="1571" priority="1343">
      <formula>$D$174&lt;3</formula>
    </cfRule>
  </conditionalFormatting>
  <conditionalFormatting sqref="M176">
    <cfRule type="expression" dxfId="1570" priority="1358">
      <formula>$D$176&lt;3</formula>
    </cfRule>
  </conditionalFormatting>
  <conditionalFormatting sqref="M181">
    <cfRule type="expression" dxfId="1569" priority="1373">
      <formula>$D$181&lt;3</formula>
    </cfRule>
  </conditionalFormatting>
  <conditionalFormatting sqref="M183">
    <cfRule type="expression" dxfId="1568" priority="1388">
      <formula>$D$183&lt;3</formula>
    </cfRule>
  </conditionalFormatting>
  <conditionalFormatting sqref="M184">
    <cfRule type="expression" dxfId="1567" priority="1403">
      <formula>$D$184&lt;3</formula>
    </cfRule>
  </conditionalFormatting>
  <conditionalFormatting sqref="M185">
    <cfRule type="expression" dxfId="1566" priority="1418">
      <formula>$D$185&lt;3</formula>
    </cfRule>
  </conditionalFormatting>
  <conditionalFormatting sqref="M187">
    <cfRule type="expression" dxfId="1565" priority="1433">
      <formula>$D$187&lt;3</formula>
    </cfRule>
  </conditionalFormatting>
  <conditionalFormatting sqref="M188">
    <cfRule type="expression" dxfId="1564" priority="1448">
      <formula>$D$188&lt;3</formula>
    </cfRule>
  </conditionalFormatting>
  <conditionalFormatting sqref="M190">
    <cfRule type="expression" dxfId="1563" priority="1463">
      <formula>$D$190&lt;3</formula>
    </cfRule>
  </conditionalFormatting>
  <conditionalFormatting sqref="M191">
    <cfRule type="expression" dxfId="1562" priority="1478">
      <formula>$D$191&lt;3</formula>
    </cfRule>
  </conditionalFormatting>
  <conditionalFormatting sqref="M193">
    <cfRule type="expression" dxfId="1561" priority="1493">
      <formula>$D$193&lt;3</formula>
    </cfRule>
  </conditionalFormatting>
  <conditionalFormatting sqref="M195">
    <cfRule type="expression" dxfId="1560" priority="1508">
      <formula>$D$195&lt;3</formula>
    </cfRule>
  </conditionalFormatting>
  <conditionalFormatting sqref="N13">
    <cfRule type="expression" dxfId="1559" priority="9">
      <formula>$D$13&lt;3</formula>
    </cfRule>
  </conditionalFormatting>
  <conditionalFormatting sqref="N15">
    <cfRule type="expression" dxfId="1558" priority="24">
      <formula>$D$15&lt;3</formula>
    </cfRule>
  </conditionalFormatting>
  <conditionalFormatting sqref="N16">
    <cfRule type="expression" dxfId="1557" priority="39">
      <formula>$D$16&lt;3</formula>
    </cfRule>
  </conditionalFormatting>
  <conditionalFormatting sqref="N17">
    <cfRule type="expression" dxfId="1556" priority="54">
      <formula>$D$17&lt;3</formula>
    </cfRule>
  </conditionalFormatting>
  <conditionalFormatting sqref="N19">
    <cfRule type="expression" dxfId="1555" priority="69">
      <formula>$D$19&lt;3</formula>
    </cfRule>
  </conditionalFormatting>
  <conditionalFormatting sqref="N20">
    <cfRule type="expression" dxfId="1554" priority="84">
      <formula>$D$20&lt;3</formula>
    </cfRule>
  </conditionalFormatting>
  <conditionalFormatting sqref="N22">
    <cfRule type="expression" dxfId="1553" priority="99">
      <formula>$D$22&lt;3</formula>
    </cfRule>
  </conditionalFormatting>
  <conditionalFormatting sqref="N23">
    <cfRule type="expression" dxfId="1552" priority="114">
      <formula>$D$23&lt;3</formula>
    </cfRule>
  </conditionalFormatting>
  <conditionalFormatting sqref="N25">
    <cfRule type="expression" dxfId="1551" priority="129">
      <formula>$D$25&lt;3</formula>
    </cfRule>
  </conditionalFormatting>
  <conditionalFormatting sqref="N27">
    <cfRule type="expression" dxfId="1550" priority="144">
      <formula>$D$27&lt;3</formula>
    </cfRule>
  </conditionalFormatting>
  <conditionalFormatting sqref="N28">
    <cfRule type="expression" dxfId="1549" priority="159">
      <formula>$D$28&lt;3</formula>
    </cfRule>
  </conditionalFormatting>
  <conditionalFormatting sqref="N30">
    <cfRule type="expression" dxfId="1548" priority="174">
      <formula>$D$30&lt;3</formula>
    </cfRule>
  </conditionalFormatting>
  <conditionalFormatting sqref="N32">
    <cfRule type="expression" dxfId="1547" priority="189">
      <formula>$D$32&lt;3</formula>
    </cfRule>
  </conditionalFormatting>
  <conditionalFormatting sqref="N37">
    <cfRule type="expression" dxfId="1546" priority="204">
      <formula>$D$37&lt;3</formula>
    </cfRule>
  </conditionalFormatting>
  <conditionalFormatting sqref="N39">
    <cfRule type="expression" dxfId="1545" priority="219">
      <formula>$D$39&lt;3</formula>
    </cfRule>
  </conditionalFormatting>
  <conditionalFormatting sqref="N40">
    <cfRule type="expression" dxfId="1544" priority="234">
      <formula>$D$40&lt;3</formula>
    </cfRule>
  </conditionalFormatting>
  <conditionalFormatting sqref="N41">
    <cfRule type="expression" dxfId="1543" priority="249">
      <formula>$D$41&lt;3</formula>
    </cfRule>
  </conditionalFormatting>
  <conditionalFormatting sqref="N43">
    <cfRule type="expression" dxfId="1542" priority="264">
      <formula>$D$43&lt;3</formula>
    </cfRule>
  </conditionalFormatting>
  <conditionalFormatting sqref="N44">
    <cfRule type="expression" dxfId="1541" priority="279">
      <formula>$D$44&lt;3</formula>
    </cfRule>
  </conditionalFormatting>
  <conditionalFormatting sqref="N46">
    <cfRule type="expression" dxfId="1540" priority="294">
      <formula>$D$46&lt;3</formula>
    </cfRule>
  </conditionalFormatting>
  <conditionalFormatting sqref="N47">
    <cfRule type="expression" dxfId="1539" priority="309">
      <formula>$D$47&lt;3</formula>
    </cfRule>
  </conditionalFormatting>
  <conditionalFormatting sqref="N49">
    <cfRule type="expression" dxfId="1538" priority="324">
      <formula>$D$49&lt;3</formula>
    </cfRule>
  </conditionalFormatting>
  <conditionalFormatting sqref="N51">
    <cfRule type="expression" dxfId="1537" priority="339">
      <formula>$D$51&lt;3</formula>
    </cfRule>
  </conditionalFormatting>
  <conditionalFormatting sqref="N52">
    <cfRule type="expression" dxfId="1536" priority="354">
      <formula>$D$52&lt;3</formula>
    </cfRule>
  </conditionalFormatting>
  <conditionalFormatting sqref="N54">
    <cfRule type="expression" dxfId="1535" priority="369">
      <formula>$D$54&lt;3</formula>
    </cfRule>
  </conditionalFormatting>
  <conditionalFormatting sqref="N56">
    <cfRule type="expression" dxfId="1534" priority="384">
      <formula>$D$56&lt;3</formula>
    </cfRule>
  </conditionalFormatting>
  <conditionalFormatting sqref="N61">
    <cfRule type="expression" dxfId="1533" priority="399">
      <formula>$D$61&lt;3</formula>
    </cfRule>
  </conditionalFormatting>
  <conditionalFormatting sqref="N63">
    <cfRule type="expression" dxfId="1532" priority="414">
      <formula>$D$63&lt;3</formula>
    </cfRule>
  </conditionalFormatting>
  <conditionalFormatting sqref="N64">
    <cfRule type="expression" dxfId="1531" priority="429">
      <formula>$D$64&lt;3</formula>
    </cfRule>
  </conditionalFormatting>
  <conditionalFormatting sqref="N65">
    <cfRule type="expression" dxfId="1530" priority="444">
      <formula>$D$65&lt;3</formula>
    </cfRule>
  </conditionalFormatting>
  <conditionalFormatting sqref="N67">
    <cfRule type="expression" dxfId="1529" priority="459">
      <formula>$D$67&lt;3</formula>
    </cfRule>
  </conditionalFormatting>
  <conditionalFormatting sqref="N68">
    <cfRule type="expression" dxfId="1528" priority="474">
      <formula>$D$68&lt;3</formula>
    </cfRule>
  </conditionalFormatting>
  <conditionalFormatting sqref="N70">
    <cfRule type="expression" dxfId="1527" priority="489">
      <formula>$D$70&lt;3</formula>
    </cfRule>
  </conditionalFormatting>
  <conditionalFormatting sqref="N71">
    <cfRule type="expression" dxfId="1526" priority="504">
      <formula>$D$71&lt;3</formula>
    </cfRule>
  </conditionalFormatting>
  <conditionalFormatting sqref="N73">
    <cfRule type="expression" dxfId="1525" priority="519">
      <formula>$D$73&lt;3</formula>
    </cfRule>
  </conditionalFormatting>
  <conditionalFormatting sqref="N75">
    <cfRule type="expression" dxfId="1524" priority="534">
      <formula>$D$75&lt;3</formula>
    </cfRule>
  </conditionalFormatting>
  <conditionalFormatting sqref="N76">
    <cfRule type="expression" dxfId="1523" priority="549">
      <formula>$D$76&lt;3</formula>
    </cfRule>
  </conditionalFormatting>
  <conditionalFormatting sqref="N78">
    <cfRule type="expression" dxfId="1522" priority="564">
      <formula>$D$78&lt;3</formula>
    </cfRule>
  </conditionalFormatting>
  <conditionalFormatting sqref="N80">
    <cfRule type="expression" dxfId="1521" priority="579">
      <formula>$D$80&lt;3</formula>
    </cfRule>
  </conditionalFormatting>
  <conditionalFormatting sqref="N85">
    <cfRule type="expression" dxfId="1520" priority="594">
      <formula>$D$85&lt;3</formula>
    </cfRule>
  </conditionalFormatting>
  <conditionalFormatting sqref="N87">
    <cfRule type="expression" dxfId="1519" priority="609">
      <formula>$D$87&lt;3</formula>
    </cfRule>
  </conditionalFormatting>
  <conditionalFormatting sqref="N88">
    <cfRule type="expression" dxfId="1518" priority="624">
      <formula>$D$88&lt;3</formula>
    </cfRule>
  </conditionalFormatting>
  <conditionalFormatting sqref="N89">
    <cfRule type="expression" dxfId="1517" priority="639">
      <formula>$D$89&lt;3</formula>
    </cfRule>
  </conditionalFormatting>
  <conditionalFormatting sqref="N91">
    <cfRule type="expression" dxfId="1516" priority="654">
      <formula>$D$91&lt;3</formula>
    </cfRule>
  </conditionalFormatting>
  <conditionalFormatting sqref="N92">
    <cfRule type="expression" dxfId="1515" priority="669">
      <formula>$D$92&lt;3</formula>
    </cfRule>
  </conditionalFormatting>
  <conditionalFormatting sqref="N94">
    <cfRule type="expression" dxfId="1514" priority="684">
      <formula>$D$94&lt;3</formula>
    </cfRule>
  </conditionalFormatting>
  <conditionalFormatting sqref="N95">
    <cfRule type="expression" dxfId="1513" priority="699">
      <formula>$D$95&lt;3</formula>
    </cfRule>
  </conditionalFormatting>
  <conditionalFormatting sqref="N97">
    <cfRule type="expression" dxfId="1512" priority="714">
      <formula>$D$97&lt;3</formula>
    </cfRule>
  </conditionalFormatting>
  <conditionalFormatting sqref="N99">
    <cfRule type="expression" dxfId="1511" priority="729">
      <formula>$D$99&lt;3</formula>
    </cfRule>
  </conditionalFormatting>
  <conditionalFormatting sqref="N100">
    <cfRule type="expression" dxfId="1510" priority="744">
      <formula>$D$100&lt;3</formula>
    </cfRule>
  </conditionalFormatting>
  <conditionalFormatting sqref="N102">
    <cfRule type="expression" dxfId="1509" priority="759">
      <formula>$D$102&lt;3</formula>
    </cfRule>
  </conditionalFormatting>
  <conditionalFormatting sqref="N104">
    <cfRule type="expression" dxfId="1508" priority="774">
      <formula>$D$104&lt;3</formula>
    </cfRule>
  </conditionalFormatting>
  <conditionalFormatting sqref="N109">
    <cfRule type="expression" dxfId="1507" priority="789">
      <formula>$D$109&lt;3</formula>
    </cfRule>
  </conditionalFormatting>
  <conditionalFormatting sqref="N111">
    <cfRule type="expression" dxfId="1506" priority="804">
      <formula>$D$111&lt;3</formula>
    </cfRule>
  </conditionalFormatting>
  <conditionalFormatting sqref="N112">
    <cfRule type="expression" dxfId="1505" priority="819">
      <formula>$D$112&lt;3</formula>
    </cfRule>
  </conditionalFormatting>
  <conditionalFormatting sqref="N113">
    <cfRule type="expression" dxfId="1504" priority="834">
      <formula>$D$113&lt;3</formula>
    </cfRule>
  </conditionalFormatting>
  <conditionalFormatting sqref="N115">
    <cfRule type="expression" dxfId="1503" priority="849">
      <formula>$D$115&lt;3</formula>
    </cfRule>
  </conditionalFormatting>
  <conditionalFormatting sqref="N116">
    <cfRule type="expression" dxfId="1502" priority="864">
      <formula>$D$116&lt;3</formula>
    </cfRule>
  </conditionalFormatting>
  <conditionalFormatting sqref="N118">
    <cfRule type="expression" dxfId="1501" priority="879">
      <formula>$D$118&lt;3</formula>
    </cfRule>
  </conditionalFormatting>
  <conditionalFormatting sqref="N119">
    <cfRule type="expression" dxfId="1500" priority="894">
      <formula>$D$119&lt;3</formula>
    </cfRule>
  </conditionalFormatting>
  <conditionalFormatting sqref="N121">
    <cfRule type="expression" dxfId="1499" priority="909">
      <formula>$D$121&lt;3</formula>
    </cfRule>
  </conditionalFormatting>
  <conditionalFormatting sqref="N123">
    <cfRule type="expression" dxfId="1498" priority="924">
      <formula>$D$123&lt;3</formula>
    </cfRule>
  </conditionalFormatting>
  <conditionalFormatting sqref="N124">
    <cfRule type="expression" dxfId="1497" priority="939">
      <formula>$D$124&lt;3</formula>
    </cfRule>
  </conditionalFormatting>
  <conditionalFormatting sqref="N126">
    <cfRule type="expression" dxfId="1496" priority="954">
      <formula>$D$126&lt;3</formula>
    </cfRule>
  </conditionalFormatting>
  <conditionalFormatting sqref="N128">
    <cfRule type="expression" dxfId="1495" priority="969">
      <formula>$D$128&lt;3</formula>
    </cfRule>
  </conditionalFormatting>
  <conditionalFormatting sqref="N133">
    <cfRule type="expression" dxfId="1494" priority="984">
      <formula>$D$133&lt;3</formula>
    </cfRule>
  </conditionalFormatting>
  <conditionalFormatting sqref="N135">
    <cfRule type="expression" dxfId="1493" priority="999">
      <formula>$D$135&lt;3</formula>
    </cfRule>
  </conditionalFormatting>
  <conditionalFormatting sqref="N136">
    <cfRule type="expression" dxfId="1492" priority="1014">
      <formula>$D$136&lt;3</formula>
    </cfRule>
  </conditionalFormatting>
  <conditionalFormatting sqref="N137">
    <cfRule type="expression" dxfId="1491" priority="1029">
      <formula>$D$137&lt;3</formula>
    </cfRule>
  </conditionalFormatting>
  <conditionalFormatting sqref="N139">
    <cfRule type="expression" dxfId="1490" priority="1044">
      <formula>$D$139&lt;3</formula>
    </cfRule>
  </conditionalFormatting>
  <conditionalFormatting sqref="N140">
    <cfRule type="expression" dxfId="1489" priority="1059">
      <formula>$D$140&lt;3</formula>
    </cfRule>
  </conditionalFormatting>
  <conditionalFormatting sqref="N142">
    <cfRule type="expression" dxfId="1488" priority="1074">
      <formula>$D$142&lt;3</formula>
    </cfRule>
  </conditionalFormatting>
  <conditionalFormatting sqref="N143">
    <cfRule type="expression" dxfId="1487" priority="1089">
      <formula>$D$143&lt;3</formula>
    </cfRule>
  </conditionalFormatting>
  <conditionalFormatting sqref="N145">
    <cfRule type="expression" dxfId="1486" priority="1104">
      <formula>$D$145&lt;3</formula>
    </cfRule>
  </conditionalFormatting>
  <conditionalFormatting sqref="N147">
    <cfRule type="expression" dxfId="1485" priority="1119">
      <formula>$D$147&lt;3</formula>
    </cfRule>
  </conditionalFormatting>
  <conditionalFormatting sqref="N148">
    <cfRule type="expression" dxfId="1484" priority="1134">
      <formula>$D$148&lt;3</formula>
    </cfRule>
  </conditionalFormatting>
  <conditionalFormatting sqref="N150">
    <cfRule type="expression" dxfId="1483" priority="1149">
      <formula>$D$150&lt;3</formula>
    </cfRule>
  </conditionalFormatting>
  <conditionalFormatting sqref="N152">
    <cfRule type="expression" dxfId="1482" priority="1164">
      <formula>$D$152&lt;3</formula>
    </cfRule>
  </conditionalFormatting>
  <conditionalFormatting sqref="N157">
    <cfRule type="expression" dxfId="1481" priority="1179">
      <formula>$D$157&lt;3</formula>
    </cfRule>
  </conditionalFormatting>
  <conditionalFormatting sqref="N159">
    <cfRule type="expression" dxfId="1480" priority="1194">
      <formula>$D$159&lt;3</formula>
    </cfRule>
  </conditionalFormatting>
  <conditionalFormatting sqref="N160">
    <cfRule type="expression" dxfId="1479" priority="1209">
      <formula>$D$160&lt;3</formula>
    </cfRule>
  </conditionalFormatting>
  <conditionalFormatting sqref="N161">
    <cfRule type="expression" dxfId="1478" priority="1224">
      <formula>$D$161&lt;3</formula>
    </cfRule>
  </conditionalFormatting>
  <conditionalFormatting sqref="N163">
    <cfRule type="expression" dxfId="1477" priority="1239">
      <formula>$D$163&lt;3</formula>
    </cfRule>
  </conditionalFormatting>
  <conditionalFormatting sqref="N164">
    <cfRule type="expression" dxfId="1476" priority="1254">
      <formula>$D$164&lt;3</formula>
    </cfRule>
  </conditionalFormatting>
  <conditionalFormatting sqref="N166">
    <cfRule type="expression" dxfId="1475" priority="1269">
      <formula>$D$166&lt;3</formula>
    </cfRule>
  </conditionalFormatting>
  <conditionalFormatting sqref="N167">
    <cfRule type="expression" dxfId="1474" priority="1284">
      <formula>$D$167&lt;3</formula>
    </cfRule>
  </conditionalFormatting>
  <conditionalFormatting sqref="N169">
    <cfRule type="expression" dxfId="1473" priority="1299">
      <formula>$D$169&lt;3</formula>
    </cfRule>
  </conditionalFormatting>
  <conditionalFormatting sqref="N171">
    <cfRule type="expression" dxfId="1472" priority="1314">
      <formula>$D$171&lt;3</formula>
    </cfRule>
  </conditionalFormatting>
  <conditionalFormatting sqref="N172">
    <cfRule type="expression" dxfId="1471" priority="1329">
      <formula>$D$172&lt;3</formula>
    </cfRule>
  </conditionalFormatting>
  <conditionalFormatting sqref="N174">
    <cfRule type="expression" dxfId="1470" priority="1344">
      <formula>$D$174&lt;3</formula>
    </cfRule>
  </conditionalFormatting>
  <conditionalFormatting sqref="N176">
    <cfRule type="expression" dxfId="1469" priority="1359">
      <formula>$D$176&lt;3</formula>
    </cfRule>
  </conditionalFormatting>
  <conditionalFormatting sqref="N181">
    <cfRule type="expression" dxfId="1468" priority="1374">
      <formula>$D$181&lt;3</formula>
    </cfRule>
  </conditionalFormatting>
  <conditionalFormatting sqref="N183">
    <cfRule type="expression" dxfId="1467" priority="1389">
      <formula>$D$183&lt;3</formula>
    </cfRule>
  </conditionalFormatting>
  <conditionalFormatting sqref="N184">
    <cfRule type="expression" dxfId="1466" priority="1404">
      <formula>$D$184&lt;3</formula>
    </cfRule>
  </conditionalFormatting>
  <conditionalFormatting sqref="N185">
    <cfRule type="expression" dxfId="1465" priority="1419">
      <formula>$D$185&lt;3</formula>
    </cfRule>
  </conditionalFormatting>
  <conditionalFormatting sqref="N187">
    <cfRule type="expression" dxfId="1464" priority="1434">
      <formula>$D$187&lt;3</formula>
    </cfRule>
  </conditionalFormatting>
  <conditionalFormatting sqref="N188">
    <cfRule type="expression" dxfId="1463" priority="1449">
      <formula>$D$188&lt;3</formula>
    </cfRule>
  </conditionalFormatting>
  <conditionalFormatting sqref="N190">
    <cfRule type="expression" dxfId="1462" priority="1464">
      <formula>$D$190&lt;3</formula>
    </cfRule>
  </conditionalFormatting>
  <conditionalFormatting sqref="N191">
    <cfRule type="expression" dxfId="1461" priority="1479">
      <formula>$D$191&lt;3</formula>
    </cfRule>
  </conditionalFormatting>
  <conditionalFormatting sqref="N193">
    <cfRule type="expression" dxfId="1460" priority="1494">
      <formula>$D$193&lt;3</formula>
    </cfRule>
  </conditionalFormatting>
  <conditionalFormatting sqref="N195">
    <cfRule type="expression" dxfId="1459" priority="1509">
      <formula>$D$195&lt;3</formula>
    </cfRule>
  </conditionalFormatting>
  <conditionalFormatting sqref="O13">
    <cfRule type="expression" dxfId="1458" priority="10">
      <formula>$D$13&lt;4</formula>
    </cfRule>
  </conditionalFormatting>
  <conditionalFormatting sqref="O15">
    <cfRule type="expression" dxfId="1457" priority="25">
      <formula>$D$15&lt;4</formula>
    </cfRule>
  </conditionalFormatting>
  <conditionalFormatting sqref="O16">
    <cfRule type="expression" dxfId="1456" priority="40">
      <formula>$D$16&lt;4</formula>
    </cfRule>
  </conditionalFormatting>
  <conditionalFormatting sqref="O17">
    <cfRule type="expression" dxfId="1455" priority="55">
      <formula>$D$17&lt;4</formula>
    </cfRule>
  </conditionalFormatting>
  <conditionalFormatting sqref="O19">
    <cfRule type="expression" dxfId="1454" priority="70">
      <formula>$D$19&lt;4</formula>
    </cfRule>
  </conditionalFormatting>
  <conditionalFormatting sqref="O20">
    <cfRule type="expression" dxfId="1453" priority="85">
      <formula>$D$20&lt;4</formula>
    </cfRule>
  </conditionalFormatting>
  <conditionalFormatting sqref="O22">
    <cfRule type="expression" dxfId="1452" priority="100">
      <formula>$D$22&lt;4</formula>
    </cfRule>
  </conditionalFormatting>
  <conditionalFormatting sqref="O23">
    <cfRule type="expression" dxfId="1451" priority="115">
      <formula>$D$23&lt;4</formula>
    </cfRule>
  </conditionalFormatting>
  <conditionalFormatting sqref="O25">
    <cfRule type="expression" dxfId="1450" priority="130">
      <formula>$D$25&lt;4</formula>
    </cfRule>
  </conditionalFormatting>
  <conditionalFormatting sqref="O27">
    <cfRule type="expression" dxfId="1449" priority="145">
      <formula>$D$27&lt;4</formula>
    </cfRule>
  </conditionalFormatting>
  <conditionalFormatting sqref="O28">
    <cfRule type="expression" dxfId="1448" priority="160">
      <formula>$D$28&lt;4</formula>
    </cfRule>
  </conditionalFormatting>
  <conditionalFormatting sqref="O30">
    <cfRule type="expression" dxfId="1447" priority="175">
      <formula>$D$30&lt;4</formula>
    </cfRule>
  </conditionalFormatting>
  <conditionalFormatting sqref="O32">
    <cfRule type="expression" dxfId="1446" priority="190">
      <formula>$D$32&lt;4</formula>
    </cfRule>
  </conditionalFormatting>
  <conditionalFormatting sqref="O37">
    <cfRule type="expression" dxfId="1445" priority="205">
      <formula>$D$37&lt;4</formula>
    </cfRule>
  </conditionalFormatting>
  <conditionalFormatting sqref="O39">
    <cfRule type="expression" dxfId="1444" priority="220">
      <formula>$D$39&lt;4</formula>
    </cfRule>
  </conditionalFormatting>
  <conditionalFormatting sqref="O40">
    <cfRule type="expression" dxfId="1443" priority="235">
      <formula>$D$40&lt;4</formula>
    </cfRule>
  </conditionalFormatting>
  <conditionalFormatting sqref="O41">
    <cfRule type="expression" dxfId="1442" priority="250">
      <formula>$D$41&lt;4</formula>
    </cfRule>
  </conditionalFormatting>
  <conditionalFormatting sqref="O43">
    <cfRule type="expression" dxfId="1441" priority="265">
      <formula>$D$43&lt;4</formula>
    </cfRule>
  </conditionalFormatting>
  <conditionalFormatting sqref="O44">
    <cfRule type="expression" dxfId="1440" priority="280">
      <formula>$D$44&lt;4</formula>
    </cfRule>
  </conditionalFormatting>
  <conditionalFormatting sqref="O46">
    <cfRule type="expression" dxfId="1439" priority="295">
      <formula>$D$46&lt;4</formula>
    </cfRule>
  </conditionalFormatting>
  <conditionalFormatting sqref="O47">
    <cfRule type="expression" dxfId="1438" priority="310">
      <formula>$D$47&lt;4</formula>
    </cfRule>
  </conditionalFormatting>
  <conditionalFormatting sqref="O49">
    <cfRule type="expression" dxfId="1437" priority="325">
      <formula>$D$49&lt;4</formula>
    </cfRule>
  </conditionalFormatting>
  <conditionalFormatting sqref="O51">
    <cfRule type="expression" dxfId="1436" priority="340">
      <formula>$D$51&lt;4</formula>
    </cfRule>
  </conditionalFormatting>
  <conditionalFormatting sqref="O52">
    <cfRule type="expression" dxfId="1435" priority="355">
      <formula>$D$52&lt;4</formula>
    </cfRule>
  </conditionalFormatting>
  <conditionalFormatting sqref="O54">
    <cfRule type="expression" dxfId="1434" priority="370">
      <formula>$D$54&lt;4</formula>
    </cfRule>
  </conditionalFormatting>
  <conditionalFormatting sqref="O56">
    <cfRule type="expression" dxfId="1433" priority="385">
      <formula>$D$56&lt;4</formula>
    </cfRule>
  </conditionalFormatting>
  <conditionalFormatting sqref="O61">
    <cfRule type="expression" dxfId="1432" priority="400">
      <formula>$D$61&lt;4</formula>
    </cfRule>
  </conditionalFormatting>
  <conditionalFormatting sqref="O63">
    <cfRule type="expression" dxfId="1431" priority="415">
      <formula>$D$63&lt;4</formula>
    </cfRule>
  </conditionalFormatting>
  <conditionalFormatting sqref="O64">
    <cfRule type="expression" dxfId="1430" priority="430">
      <formula>$D$64&lt;4</formula>
    </cfRule>
  </conditionalFormatting>
  <conditionalFormatting sqref="O65">
    <cfRule type="expression" dxfId="1429" priority="445">
      <formula>$D$65&lt;4</formula>
    </cfRule>
  </conditionalFormatting>
  <conditionalFormatting sqref="O67">
    <cfRule type="expression" dxfId="1428" priority="460">
      <formula>$D$67&lt;4</formula>
    </cfRule>
  </conditionalFormatting>
  <conditionalFormatting sqref="O68">
    <cfRule type="expression" dxfId="1427" priority="475">
      <formula>$D$68&lt;4</formula>
    </cfRule>
  </conditionalFormatting>
  <conditionalFormatting sqref="O70">
    <cfRule type="expression" dxfId="1426" priority="490">
      <formula>$D$70&lt;4</formula>
    </cfRule>
  </conditionalFormatting>
  <conditionalFormatting sqref="O71">
    <cfRule type="expression" dxfId="1425" priority="505">
      <formula>$D$71&lt;4</formula>
    </cfRule>
  </conditionalFormatting>
  <conditionalFormatting sqref="O73">
    <cfRule type="expression" dxfId="1424" priority="520">
      <formula>$D$73&lt;4</formula>
    </cfRule>
  </conditionalFormatting>
  <conditionalFormatting sqref="O75">
    <cfRule type="expression" dxfId="1423" priority="535">
      <formula>$D$75&lt;4</formula>
    </cfRule>
  </conditionalFormatting>
  <conditionalFormatting sqref="O76">
    <cfRule type="expression" dxfId="1422" priority="550">
      <formula>$D$76&lt;4</formula>
    </cfRule>
  </conditionalFormatting>
  <conditionalFormatting sqref="O78">
    <cfRule type="expression" dxfId="1421" priority="565">
      <formula>$D$78&lt;4</formula>
    </cfRule>
  </conditionalFormatting>
  <conditionalFormatting sqref="O80">
    <cfRule type="expression" dxfId="1420" priority="580">
      <formula>$D$80&lt;4</formula>
    </cfRule>
  </conditionalFormatting>
  <conditionalFormatting sqref="O85">
    <cfRule type="expression" dxfId="1419" priority="595">
      <formula>$D$85&lt;4</formula>
    </cfRule>
  </conditionalFormatting>
  <conditionalFormatting sqref="O87">
    <cfRule type="expression" dxfId="1418" priority="610">
      <formula>$D$87&lt;4</formula>
    </cfRule>
  </conditionalFormatting>
  <conditionalFormatting sqref="O88">
    <cfRule type="expression" dxfId="1417" priority="625">
      <formula>$D$88&lt;4</formula>
    </cfRule>
  </conditionalFormatting>
  <conditionalFormatting sqref="O89">
    <cfRule type="expression" dxfId="1416" priority="640">
      <formula>$D$89&lt;4</formula>
    </cfRule>
  </conditionalFormatting>
  <conditionalFormatting sqref="O91">
    <cfRule type="expression" dxfId="1415" priority="655">
      <formula>$D$91&lt;4</formula>
    </cfRule>
  </conditionalFormatting>
  <conditionalFormatting sqref="O92">
    <cfRule type="expression" dxfId="1414" priority="670">
      <formula>$D$92&lt;4</formula>
    </cfRule>
  </conditionalFormatting>
  <conditionalFormatting sqref="O94">
    <cfRule type="expression" dxfId="1413" priority="685">
      <formula>$D$94&lt;4</formula>
    </cfRule>
  </conditionalFormatting>
  <conditionalFormatting sqref="O95">
    <cfRule type="expression" dxfId="1412" priority="700">
      <formula>$D$95&lt;4</formula>
    </cfRule>
  </conditionalFormatting>
  <conditionalFormatting sqref="O97">
    <cfRule type="expression" dxfId="1411" priority="715">
      <formula>$D$97&lt;4</formula>
    </cfRule>
  </conditionalFormatting>
  <conditionalFormatting sqref="O99">
    <cfRule type="expression" dxfId="1410" priority="730">
      <formula>$D$99&lt;4</formula>
    </cfRule>
  </conditionalFormatting>
  <conditionalFormatting sqref="O100">
    <cfRule type="expression" dxfId="1409" priority="745">
      <formula>$D$100&lt;4</formula>
    </cfRule>
  </conditionalFormatting>
  <conditionalFormatting sqref="O102">
    <cfRule type="expression" dxfId="1408" priority="760">
      <formula>$D$102&lt;4</formula>
    </cfRule>
  </conditionalFormatting>
  <conditionalFormatting sqref="O104">
    <cfRule type="expression" dxfId="1407" priority="775">
      <formula>$D$104&lt;4</formula>
    </cfRule>
  </conditionalFormatting>
  <conditionalFormatting sqref="O109">
    <cfRule type="expression" dxfId="1406" priority="790">
      <formula>$D$109&lt;4</formula>
    </cfRule>
  </conditionalFormatting>
  <conditionalFormatting sqref="O111">
    <cfRule type="expression" dxfId="1405" priority="805">
      <formula>$D$111&lt;4</formula>
    </cfRule>
  </conditionalFormatting>
  <conditionalFormatting sqref="O112">
    <cfRule type="expression" dxfId="1404" priority="820">
      <formula>$D$112&lt;4</formula>
    </cfRule>
  </conditionalFormatting>
  <conditionalFormatting sqref="O113">
    <cfRule type="expression" dxfId="1403" priority="835">
      <formula>$D$113&lt;4</formula>
    </cfRule>
  </conditionalFormatting>
  <conditionalFormatting sqref="O115">
    <cfRule type="expression" dxfId="1402" priority="850">
      <formula>$D$115&lt;4</formula>
    </cfRule>
  </conditionalFormatting>
  <conditionalFormatting sqref="O116">
    <cfRule type="expression" dxfId="1401" priority="865">
      <formula>$D$116&lt;4</formula>
    </cfRule>
  </conditionalFormatting>
  <conditionalFormatting sqref="O118">
    <cfRule type="expression" dxfId="1400" priority="880">
      <formula>$D$118&lt;4</formula>
    </cfRule>
  </conditionalFormatting>
  <conditionalFormatting sqref="O119">
    <cfRule type="expression" dxfId="1399" priority="895">
      <formula>$D$119&lt;4</formula>
    </cfRule>
  </conditionalFormatting>
  <conditionalFormatting sqref="O121">
    <cfRule type="expression" dxfId="1398" priority="910">
      <formula>$D$121&lt;4</formula>
    </cfRule>
  </conditionalFormatting>
  <conditionalFormatting sqref="O123">
    <cfRule type="expression" dxfId="1397" priority="925">
      <formula>$D$123&lt;4</formula>
    </cfRule>
  </conditionalFormatting>
  <conditionalFormatting sqref="O124">
    <cfRule type="expression" dxfId="1396" priority="940">
      <formula>$D$124&lt;4</formula>
    </cfRule>
  </conditionalFormatting>
  <conditionalFormatting sqref="O126">
    <cfRule type="expression" dxfId="1395" priority="955">
      <formula>$D$126&lt;4</formula>
    </cfRule>
  </conditionalFormatting>
  <conditionalFormatting sqref="O128">
    <cfRule type="expression" dxfId="1394" priority="970">
      <formula>$D$128&lt;4</formula>
    </cfRule>
  </conditionalFormatting>
  <conditionalFormatting sqref="O133">
    <cfRule type="expression" dxfId="1393" priority="985">
      <formula>$D$133&lt;4</formula>
    </cfRule>
  </conditionalFormatting>
  <conditionalFormatting sqref="O135">
    <cfRule type="expression" dxfId="1392" priority="1000">
      <formula>$D$135&lt;4</formula>
    </cfRule>
  </conditionalFormatting>
  <conditionalFormatting sqref="O136">
    <cfRule type="expression" dxfId="1391" priority="1015">
      <formula>$D$136&lt;4</formula>
    </cfRule>
  </conditionalFormatting>
  <conditionalFormatting sqref="O137">
    <cfRule type="expression" dxfId="1390" priority="1030">
      <formula>$D$137&lt;4</formula>
    </cfRule>
  </conditionalFormatting>
  <conditionalFormatting sqref="O139">
    <cfRule type="expression" dxfId="1389" priority="1045">
      <formula>$D$139&lt;4</formula>
    </cfRule>
  </conditionalFormatting>
  <conditionalFormatting sqref="O140">
    <cfRule type="expression" dxfId="1388" priority="1060">
      <formula>$D$140&lt;4</formula>
    </cfRule>
  </conditionalFormatting>
  <conditionalFormatting sqref="O142">
    <cfRule type="expression" dxfId="1387" priority="1075">
      <formula>$D$142&lt;4</formula>
    </cfRule>
  </conditionalFormatting>
  <conditionalFormatting sqref="O143">
    <cfRule type="expression" dxfId="1386" priority="1090">
      <formula>$D$143&lt;4</formula>
    </cfRule>
  </conditionalFormatting>
  <conditionalFormatting sqref="O145">
    <cfRule type="expression" dxfId="1385" priority="1105">
      <formula>$D$145&lt;4</formula>
    </cfRule>
  </conditionalFormatting>
  <conditionalFormatting sqref="O147">
    <cfRule type="expression" dxfId="1384" priority="1120">
      <formula>$D$147&lt;4</formula>
    </cfRule>
  </conditionalFormatting>
  <conditionalFormatting sqref="O148">
    <cfRule type="expression" dxfId="1383" priority="1135">
      <formula>$D$148&lt;4</formula>
    </cfRule>
  </conditionalFormatting>
  <conditionalFormatting sqref="O150">
    <cfRule type="expression" dxfId="1382" priority="1150">
      <formula>$D$150&lt;4</formula>
    </cfRule>
  </conditionalFormatting>
  <conditionalFormatting sqref="O152">
    <cfRule type="expression" dxfId="1381" priority="1165">
      <formula>$D$152&lt;4</formula>
    </cfRule>
  </conditionalFormatting>
  <conditionalFormatting sqref="O157">
    <cfRule type="expression" dxfId="1380" priority="1180">
      <formula>$D$157&lt;4</formula>
    </cfRule>
  </conditionalFormatting>
  <conditionalFormatting sqref="O159">
    <cfRule type="expression" dxfId="1379" priority="1195">
      <formula>$D$159&lt;4</formula>
    </cfRule>
  </conditionalFormatting>
  <conditionalFormatting sqref="O160">
    <cfRule type="expression" dxfId="1378" priority="1210">
      <formula>$D$160&lt;4</formula>
    </cfRule>
  </conditionalFormatting>
  <conditionalFormatting sqref="O161">
    <cfRule type="expression" dxfId="1377" priority="1225">
      <formula>$D$161&lt;4</formula>
    </cfRule>
  </conditionalFormatting>
  <conditionalFormatting sqref="O163">
    <cfRule type="expression" dxfId="1376" priority="1240">
      <formula>$D$163&lt;4</formula>
    </cfRule>
  </conditionalFormatting>
  <conditionalFormatting sqref="O164">
    <cfRule type="expression" dxfId="1375" priority="1255">
      <formula>$D$164&lt;4</formula>
    </cfRule>
  </conditionalFormatting>
  <conditionalFormatting sqref="O166">
    <cfRule type="expression" dxfId="1374" priority="1270">
      <formula>$D$166&lt;4</formula>
    </cfRule>
  </conditionalFormatting>
  <conditionalFormatting sqref="O167">
    <cfRule type="expression" dxfId="1373" priority="1285">
      <formula>$D$167&lt;4</formula>
    </cfRule>
  </conditionalFormatting>
  <conditionalFormatting sqref="O169">
    <cfRule type="expression" dxfId="1372" priority="1300">
      <formula>$D$169&lt;4</formula>
    </cfRule>
  </conditionalFormatting>
  <conditionalFormatting sqref="O171">
    <cfRule type="expression" dxfId="1371" priority="1315">
      <formula>$D$171&lt;4</formula>
    </cfRule>
  </conditionalFormatting>
  <conditionalFormatting sqref="O172">
    <cfRule type="expression" dxfId="1370" priority="1330">
      <formula>$D$172&lt;4</formula>
    </cfRule>
  </conditionalFormatting>
  <conditionalFormatting sqref="O174">
    <cfRule type="expression" dxfId="1369" priority="1345">
      <formula>$D$174&lt;4</formula>
    </cfRule>
  </conditionalFormatting>
  <conditionalFormatting sqref="O176">
    <cfRule type="expression" dxfId="1368" priority="1360">
      <formula>$D$176&lt;4</formula>
    </cfRule>
  </conditionalFormatting>
  <conditionalFormatting sqref="O181">
    <cfRule type="expression" dxfId="1367" priority="1375">
      <formula>$D$181&lt;4</formula>
    </cfRule>
  </conditionalFormatting>
  <conditionalFormatting sqref="O183">
    <cfRule type="expression" dxfId="1366" priority="1390">
      <formula>$D$183&lt;4</formula>
    </cfRule>
  </conditionalFormatting>
  <conditionalFormatting sqref="O184">
    <cfRule type="expression" dxfId="1365" priority="1405">
      <formula>$D$184&lt;4</formula>
    </cfRule>
  </conditionalFormatting>
  <conditionalFormatting sqref="O185">
    <cfRule type="expression" dxfId="1364" priority="1420">
      <formula>$D$185&lt;4</formula>
    </cfRule>
  </conditionalFormatting>
  <conditionalFormatting sqref="O187">
    <cfRule type="expression" dxfId="1363" priority="1435">
      <formula>$D$187&lt;4</formula>
    </cfRule>
  </conditionalFormatting>
  <conditionalFormatting sqref="O188">
    <cfRule type="expression" dxfId="1362" priority="1450">
      <formula>$D$188&lt;4</formula>
    </cfRule>
  </conditionalFormatting>
  <conditionalFormatting sqref="O190">
    <cfRule type="expression" dxfId="1361" priority="1465">
      <formula>$D$190&lt;4</formula>
    </cfRule>
  </conditionalFormatting>
  <conditionalFormatting sqref="O191">
    <cfRule type="expression" dxfId="1360" priority="1480">
      <formula>$D$191&lt;4</formula>
    </cfRule>
  </conditionalFormatting>
  <conditionalFormatting sqref="O193">
    <cfRule type="expression" dxfId="1359" priority="1495">
      <formula>$D$193&lt;4</formula>
    </cfRule>
  </conditionalFormatting>
  <conditionalFormatting sqref="O195">
    <cfRule type="expression" dxfId="1358" priority="1510">
      <formula>$D$195&lt;4</formula>
    </cfRule>
  </conditionalFormatting>
  <conditionalFormatting sqref="O196:Q196">
    <cfRule type="expression" dxfId="1357" priority="1525">
      <formula>$D$196&lt;4</formula>
    </cfRule>
  </conditionalFormatting>
  <conditionalFormatting sqref="O198:Q198">
    <cfRule type="expression" dxfId="1356" priority="1540">
      <formula>$D$198&lt;4</formula>
    </cfRule>
  </conditionalFormatting>
  <conditionalFormatting sqref="O200:Q200">
    <cfRule type="expression" dxfId="1355" priority="1555">
      <formula>$D$200&lt;4</formula>
    </cfRule>
  </conditionalFormatting>
  <conditionalFormatting sqref="O205:Q205">
    <cfRule type="expression" dxfId="1354" priority="1570">
      <formula>$D$205&lt;4</formula>
    </cfRule>
  </conditionalFormatting>
  <conditionalFormatting sqref="O207:Q207">
    <cfRule type="expression" dxfId="1353" priority="1585">
      <formula>$D$207&lt;4</formula>
    </cfRule>
  </conditionalFormatting>
  <conditionalFormatting sqref="O208:Q208">
    <cfRule type="expression" dxfId="1352" priority="1600">
      <formula>$D$208&lt;4</formula>
    </cfRule>
  </conditionalFormatting>
  <conditionalFormatting sqref="O209:Q209">
    <cfRule type="expression" dxfId="1351" priority="1615">
      <formula>$D$209&lt;4</formula>
    </cfRule>
  </conditionalFormatting>
  <conditionalFormatting sqref="O211:Q211">
    <cfRule type="expression" dxfId="1350" priority="1630">
      <formula>$D$211&lt;4</formula>
    </cfRule>
  </conditionalFormatting>
  <conditionalFormatting sqref="O212:Q212">
    <cfRule type="expression" dxfId="1349" priority="1645">
      <formula>$D$212&lt;4</formula>
    </cfRule>
  </conditionalFormatting>
  <conditionalFormatting sqref="O214:Q214">
    <cfRule type="expression" dxfId="1348" priority="1660">
      <formula>$D$214&lt;4</formula>
    </cfRule>
  </conditionalFormatting>
  <conditionalFormatting sqref="O215:Q215">
    <cfRule type="expression" dxfId="1347" priority="1675">
      <formula>$D$215&lt;4</formula>
    </cfRule>
  </conditionalFormatting>
  <conditionalFormatting sqref="O217:Q217">
    <cfRule type="expression" dxfId="1346" priority="1690">
      <formula>$D$217&lt;4</formula>
    </cfRule>
  </conditionalFormatting>
  <conditionalFormatting sqref="O219:Q219">
    <cfRule type="expression" dxfId="1345" priority="1705">
      <formula>$D$219&lt;4</formula>
    </cfRule>
  </conditionalFormatting>
  <conditionalFormatting sqref="O220:Q220">
    <cfRule type="expression" dxfId="1344" priority="1720">
      <formula>$D$220&lt;4</formula>
    </cfRule>
  </conditionalFormatting>
  <conditionalFormatting sqref="O222:Q222">
    <cfRule type="expression" dxfId="1343" priority="1735">
      <formula>$D$222&lt;4</formula>
    </cfRule>
  </conditionalFormatting>
  <conditionalFormatting sqref="O224:Q224">
    <cfRule type="expression" dxfId="1342" priority="1750">
      <formula>$D$224&lt;4</formula>
    </cfRule>
  </conditionalFormatting>
  <conditionalFormatting sqref="O229:Q229">
    <cfRule type="expression" dxfId="1341" priority="1765">
      <formula>$D$229&lt;4</formula>
    </cfRule>
  </conditionalFormatting>
  <conditionalFormatting sqref="O231:Q231">
    <cfRule type="expression" dxfId="1340" priority="1780">
      <formula>$D$231&lt;4</formula>
    </cfRule>
  </conditionalFormatting>
  <conditionalFormatting sqref="O232:Q232">
    <cfRule type="expression" dxfId="1339" priority="1795">
      <formula>$D$232&lt;4</formula>
    </cfRule>
  </conditionalFormatting>
  <conditionalFormatting sqref="O233:Q233">
    <cfRule type="expression" dxfId="1338" priority="1810">
      <formula>$D$233&lt;4</formula>
    </cfRule>
  </conditionalFormatting>
  <conditionalFormatting sqref="O235:Q235">
    <cfRule type="expression" dxfId="1337" priority="1825">
      <formula>$D$235&lt;4</formula>
    </cfRule>
  </conditionalFormatting>
  <conditionalFormatting sqref="O236:Q236">
    <cfRule type="expression" dxfId="1336" priority="1840">
      <formula>$D$236&lt;4</formula>
    </cfRule>
  </conditionalFormatting>
  <conditionalFormatting sqref="O238:Q238">
    <cfRule type="expression" dxfId="1335" priority="1855">
      <formula>$D$238&lt;4</formula>
    </cfRule>
  </conditionalFormatting>
  <conditionalFormatting sqref="O239:Q239">
    <cfRule type="expression" dxfId="1334" priority="1870">
      <formula>$D$239&lt;4</formula>
    </cfRule>
  </conditionalFormatting>
  <conditionalFormatting sqref="O241:Q241">
    <cfRule type="expression" dxfId="1333" priority="1885">
      <formula>$D$241&lt;4</formula>
    </cfRule>
  </conditionalFormatting>
  <conditionalFormatting sqref="O243:Q243">
    <cfRule type="expression" dxfId="1332" priority="1900">
      <formula>$D$243&lt;4</formula>
    </cfRule>
  </conditionalFormatting>
  <conditionalFormatting sqref="O244:Q244">
    <cfRule type="expression" dxfId="1331" priority="1915">
      <formula>$D$244&lt;4</formula>
    </cfRule>
  </conditionalFormatting>
  <conditionalFormatting sqref="O246:Q246">
    <cfRule type="expression" dxfId="1330" priority="1930">
      <formula>$D$246&lt;4</formula>
    </cfRule>
  </conditionalFormatting>
  <conditionalFormatting sqref="O248:Q248">
    <cfRule type="expression" dxfId="1329" priority="1945">
      <formula>$D$248&lt;4</formula>
    </cfRule>
  </conditionalFormatting>
  <conditionalFormatting sqref="O253:Q253">
    <cfRule type="expression" dxfId="1328" priority="1960">
      <formula>$D$253&lt;4</formula>
    </cfRule>
  </conditionalFormatting>
  <conditionalFormatting sqref="O255:Q255">
    <cfRule type="expression" dxfId="1327" priority="1975">
      <formula>$D$255&lt;4</formula>
    </cfRule>
  </conditionalFormatting>
  <conditionalFormatting sqref="O256:Q256">
    <cfRule type="expression" dxfId="1326" priority="1990">
      <formula>$D$256&lt;4</formula>
    </cfRule>
  </conditionalFormatting>
  <conditionalFormatting sqref="O257:Q257">
    <cfRule type="expression" dxfId="1325" priority="2005">
      <formula>$D$257&lt;4</formula>
    </cfRule>
  </conditionalFormatting>
  <conditionalFormatting sqref="O259:Q259">
    <cfRule type="expression" dxfId="1324" priority="2020">
      <formula>$D$259&lt;4</formula>
    </cfRule>
  </conditionalFormatting>
  <conditionalFormatting sqref="O260:Q260">
    <cfRule type="expression" dxfId="1323" priority="2035">
      <formula>$D$260&lt;4</formula>
    </cfRule>
  </conditionalFormatting>
  <conditionalFormatting sqref="O262:Q262">
    <cfRule type="expression" dxfId="1322" priority="2050">
      <formula>$D$262&lt;4</formula>
    </cfRule>
  </conditionalFormatting>
  <conditionalFormatting sqref="O263:Q263">
    <cfRule type="expression" dxfId="1321" priority="2065">
      <formula>$D$263&lt;4</formula>
    </cfRule>
  </conditionalFormatting>
  <conditionalFormatting sqref="O265:Q265">
    <cfRule type="expression" dxfId="1320" priority="2080">
      <formula>$D$265&lt;4</formula>
    </cfRule>
  </conditionalFormatting>
  <conditionalFormatting sqref="O267:Q267">
    <cfRule type="expression" dxfId="1319" priority="2095">
      <formula>$D$267&lt;4</formula>
    </cfRule>
  </conditionalFormatting>
  <conditionalFormatting sqref="O268:Q268">
    <cfRule type="expression" dxfId="1318" priority="2110">
      <formula>$D$268&lt;4</formula>
    </cfRule>
  </conditionalFormatting>
  <conditionalFormatting sqref="O270:Q270">
    <cfRule type="expression" dxfId="1317" priority="2125">
      <formula>$D$270&lt;4</formula>
    </cfRule>
  </conditionalFormatting>
  <conditionalFormatting sqref="O272:Q272">
    <cfRule type="expression" dxfId="1316" priority="2140">
      <formula>$D$272&lt;4</formula>
    </cfRule>
  </conditionalFormatting>
  <conditionalFormatting sqref="O277:Q277">
    <cfRule type="expression" dxfId="1315" priority="2155">
      <formula>$D$277&lt;4</formula>
    </cfRule>
  </conditionalFormatting>
  <conditionalFormatting sqref="O279:Q279">
    <cfRule type="expression" dxfId="1314" priority="2170">
      <formula>$D$279&lt;4</formula>
    </cfRule>
  </conditionalFormatting>
  <conditionalFormatting sqref="O280:Q280">
    <cfRule type="expression" dxfId="1313" priority="2185">
      <formula>$D$280&lt;4</formula>
    </cfRule>
  </conditionalFormatting>
  <conditionalFormatting sqref="O281:Q281">
    <cfRule type="expression" dxfId="1312" priority="2200">
      <formula>$D$281&lt;4</formula>
    </cfRule>
  </conditionalFormatting>
  <conditionalFormatting sqref="O283:Q283">
    <cfRule type="expression" dxfId="1311" priority="2215">
      <formula>$D$283&lt;4</formula>
    </cfRule>
  </conditionalFormatting>
  <conditionalFormatting sqref="O284:Q284">
    <cfRule type="expression" dxfId="1310" priority="2230">
      <formula>$D$284&lt;4</formula>
    </cfRule>
  </conditionalFormatting>
  <conditionalFormatting sqref="O286:Q286">
    <cfRule type="expression" dxfId="1309" priority="2245">
      <formula>$D$286&lt;4</formula>
    </cfRule>
  </conditionalFormatting>
  <conditionalFormatting sqref="O287:Q287">
    <cfRule type="expression" dxfId="1308" priority="2260">
      <formula>$D$287&lt;4</formula>
    </cfRule>
  </conditionalFormatting>
  <conditionalFormatting sqref="O289:Q289">
    <cfRule type="expression" dxfId="1307" priority="2275">
      <formula>$D$289&lt;4</formula>
    </cfRule>
  </conditionalFormatting>
  <conditionalFormatting sqref="O291:Q291">
    <cfRule type="expression" dxfId="1306" priority="2290">
      <formula>$D$291&lt;4</formula>
    </cfRule>
  </conditionalFormatting>
  <conditionalFormatting sqref="O292:Q292">
    <cfRule type="expression" dxfId="1305" priority="2305">
      <formula>$D$292&lt;4</formula>
    </cfRule>
  </conditionalFormatting>
  <conditionalFormatting sqref="O294:Q294">
    <cfRule type="expression" dxfId="1304" priority="2320">
      <formula>$D$294&lt;4</formula>
    </cfRule>
  </conditionalFormatting>
  <conditionalFormatting sqref="O296:Q296">
    <cfRule type="expression" dxfId="1303" priority="2335">
      <formula>$D$296&lt;4</formula>
    </cfRule>
  </conditionalFormatting>
  <conditionalFormatting sqref="P13">
    <cfRule type="expression" dxfId="1302" priority="11">
      <formula>$D$13&lt;4</formula>
    </cfRule>
  </conditionalFormatting>
  <conditionalFormatting sqref="P15">
    <cfRule type="expression" dxfId="1301" priority="26">
      <formula>$D$15&lt;4</formula>
    </cfRule>
  </conditionalFormatting>
  <conditionalFormatting sqref="P16">
    <cfRule type="expression" dxfId="1300" priority="41">
      <formula>$D$16&lt;4</formula>
    </cfRule>
  </conditionalFormatting>
  <conditionalFormatting sqref="P17">
    <cfRule type="expression" dxfId="1299" priority="56">
      <formula>$D$17&lt;4</formula>
    </cfRule>
  </conditionalFormatting>
  <conditionalFormatting sqref="P19">
    <cfRule type="expression" dxfId="1298" priority="71">
      <formula>$D$19&lt;4</formula>
    </cfRule>
  </conditionalFormatting>
  <conditionalFormatting sqref="P20">
    <cfRule type="expression" dxfId="1297" priority="86">
      <formula>$D$20&lt;4</formula>
    </cfRule>
  </conditionalFormatting>
  <conditionalFormatting sqref="P22">
    <cfRule type="expression" dxfId="1296" priority="101">
      <formula>$D$22&lt;4</formula>
    </cfRule>
  </conditionalFormatting>
  <conditionalFormatting sqref="P23">
    <cfRule type="expression" dxfId="1295" priority="116">
      <formula>$D$23&lt;4</formula>
    </cfRule>
  </conditionalFormatting>
  <conditionalFormatting sqref="P25">
    <cfRule type="expression" dxfId="1294" priority="131">
      <formula>$D$25&lt;4</formula>
    </cfRule>
  </conditionalFormatting>
  <conditionalFormatting sqref="P27">
    <cfRule type="expression" dxfId="1293" priority="146">
      <formula>$D$27&lt;4</formula>
    </cfRule>
  </conditionalFormatting>
  <conditionalFormatting sqref="P28">
    <cfRule type="expression" dxfId="1292" priority="161">
      <formula>$D$28&lt;4</formula>
    </cfRule>
  </conditionalFormatting>
  <conditionalFormatting sqref="P30">
    <cfRule type="expression" dxfId="1291" priority="176">
      <formula>$D$30&lt;4</formula>
    </cfRule>
  </conditionalFormatting>
  <conditionalFormatting sqref="P32">
    <cfRule type="expression" dxfId="1290" priority="191">
      <formula>$D$32&lt;4</formula>
    </cfRule>
  </conditionalFormatting>
  <conditionalFormatting sqref="P37">
    <cfRule type="expression" dxfId="1289" priority="206">
      <formula>$D$37&lt;4</formula>
    </cfRule>
  </conditionalFormatting>
  <conditionalFormatting sqref="P39">
    <cfRule type="expression" dxfId="1288" priority="221">
      <formula>$D$39&lt;4</formula>
    </cfRule>
  </conditionalFormatting>
  <conditionalFormatting sqref="P40">
    <cfRule type="expression" dxfId="1287" priority="236">
      <formula>$D$40&lt;4</formula>
    </cfRule>
  </conditionalFormatting>
  <conditionalFormatting sqref="P41">
    <cfRule type="expression" dxfId="1286" priority="251">
      <formula>$D$41&lt;4</formula>
    </cfRule>
  </conditionalFormatting>
  <conditionalFormatting sqref="P43">
    <cfRule type="expression" dxfId="1285" priority="266">
      <formula>$D$43&lt;4</formula>
    </cfRule>
  </conditionalFormatting>
  <conditionalFormatting sqref="P44">
    <cfRule type="expression" dxfId="1284" priority="281">
      <formula>$D$44&lt;4</formula>
    </cfRule>
  </conditionalFormatting>
  <conditionalFormatting sqref="P46">
    <cfRule type="expression" dxfId="1283" priority="296">
      <formula>$D$46&lt;4</formula>
    </cfRule>
  </conditionalFormatting>
  <conditionalFormatting sqref="P47">
    <cfRule type="expression" dxfId="1282" priority="311">
      <formula>$D$47&lt;4</formula>
    </cfRule>
  </conditionalFormatting>
  <conditionalFormatting sqref="P49">
    <cfRule type="expression" dxfId="1281" priority="326">
      <formula>$D$49&lt;4</formula>
    </cfRule>
  </conditionalFormatting>
  <conditionalFormatting sqref="P51">
    <cfRule type="expression" dxfId="1280" priority="341">
      <formula>$D$51&lt;4</formula>
    </cfRule>
  </conditionalFormatting>
  <conditionalFormatting sqref="P52">
    <cfRule type="expression" dxfId="1279" priority="356">
      <formula>$D$52&lt;4</formula>
    </cfRule>
  </conditionalFormatting>
  <conditionalFormatting sqref="P54">
    <cfRule type="expression" dxfId="1278" priority="371">
      <formula>$D$54&lt;4</formula>
    </cfRule>
  </conditionalFormatting>
  <conditionalFormatting sqref="P56">
    <cfRule type="expression" dxfId="1277" priority="386">
      <formula>$D$56&lt;4</formula>
    </cfRule>
  </conditionalFormatting>
  <conditionalFormatting sqref="P61">
    <cfRule type="expression" dxfId="1276" priority="401">
      <formula>$D$61&lt;4</formula>
    </cfRule>
  </conditionalFormatting>
  <conditionalFormatting sqref="P63">
    <cfRule type="expression" dxfId="1275" priority="416">
      <formula>$D$63&lt;4</formula>
    </cfRule>
  </conditionalFormatting>
  <conditionalFormatting sqref="P64">
    <cfRule type="expression" dxfId="1274" priority="431">
      <formula>$D$64&lt;4</formula>
    </cfRule>
  </conditionalFormatting>
  <conditionalFormatting sqref="P65">
    <cfRule type="expression" dxfId="1273" priority="446">
      <formula>$D$65&lt;4</formula>
    </cfRule>
  </conditionalFormatting>
  <conditionalFormatting sqref="P67">
    <cfRule type="expression" dxfId="1272" priority="461">
      <formula>$D$67&lt;4</formula>
    </cfRule>
  </conditionalFormatting>
  <conditionalFormatting sqref="P68">
    <cfRule type="expression" dxfId="1271" priority="476">
      <formula>$D$68&lt;4</formula>
    </cfRule>
  </conditionalFormatting>
  <conditionalFormatting sqref="P70">
    <cfRule type="expression" dxfId="1270" priority="491">
      <formula>$D$70&lt;4</formula>
    </cfRule>
  </conditionalFormatting>
  <conditionalFormatting sqref="P71">
    <cfRule type="expression" dxfId="1269" priority="506">
      <formula>$D$71&lt;4</formula>
    </cfRule>
  </conditionalFormatting>
  <conditionalFormatting sqref="P73">
    <cfRule type="expression" dxfId="1268" priority="521">
      <formula>$D$73&lt;4</formula>
    </cfRule>
  </conditionalFormatting>
  <conditionalFormatting sqref="P75">
    <cfRule type="expression" dxfId="1267" priority="536">
      <formula>$D$75&lt;4</formula>
    </cfRule>
  </conditionalFormatting>
  <conditionalFormatting sqref="P76">
    <cfRule type="expression" dxfId="1266" priority="551">
      <formula>$D$76&lt;4</formula>
    </cfRule>
  </conditionalFormatting>
  <conditionalFormatting sqref="P78">
    <cfRule type="expression" dxfId="1265" priority="566">
      <formula>$D$78&lt;4</formula>
    </cfRule>
  </conditionalFormatting>
  <conditionalFormatting sqref="P80">
    <cfRule type="expression" dxfId="1264" priority="581">
      <formula>$D$80&lt;4</formula>
    </cfRule>
  </conditionalFormatting>
  <conditionalFormatting sqref="P85">
    <cfRule type="expression" dxfId="1263" priority="596">
      <formula>$D$85&lt;4</formula>
    </cfRule>
  </conditionalFormatting>
  <conditionalFormatting sqref="P87">
    <cfRule type="expression" dxfId="1262" priority="611">
      <formula>$D$87&lt;4</formula>
    </cfRule>
  </conditionalFormatting>
  <conditionalFormatting sqref="P88">
    <cfRule type="expression" dxfId="1261" priority="626">
      <formula>$D$88&lt;4</formula>
    </cfRule>
  </conditionalFormatting>
  <conditionalFormatting sqref="P89">
    <cfRule type="expression" dxfId="1260" priority="641">
      <formula>$D$89&lt;4</formula>
    </cfRule>
  </conditionalFormatting>
  <conditionalFormatting sqref="P91">
    <cfRule type="expression" dxfId="1259" priority="656">
      <formula>$D$91&lt;4</formula>
    </cfRule>
  </conditionalFormatting>
  <conditionalFormatting sqref="P92">
    <cfRule type="expression" dxfId="1258" priority="671">
      <formula>$D$92&lt;4</formula>
    </cfRule>
  </conditionalFormatting>
  <conditionalFormatting sqref="P94">
    <cfRule type="expression" dxfId="1257" priority="686">
      <formula>$D$94&lt;4</formula>
    </cfRule>
  </conditionalFormatting>
  <conditionalFormatting sqref="P95">
    <cfRule type="expression" dxfId="1256" priority="701">
      <formula>$D$95&lt;4</formula>
    </cfRule>
  </conditionalFormatting>
  <conditionalFormatting sqref="P97">
    <cfRule type="expression" dxfId="1255" priority="716">
      <formula>$D$97&lt;4</formula>
    </cfRule>
  </conditionalFormatting>
  <conditionalFormatting sqref="P99">
    <cfRule type="expression" dxfId="1254" priority="731">
      <formula>$D$99&lt;4</formula>
    </cfRule>
  </conditionalFormatting>
  <conditionalFormatting sqref="P100">
    <cfRule type="expression" dxfId="1253" priority="746">
      <formula>$D$100&lt;4</formula>
    </cfRule>
  </conditionalFormatting>
  <conditionalFormatting sqref="P102">
    <cfRule type="expression" dxfId="1252" priority="761">
      <formula>$D$102&lt;4</formula>
    </cfRule>
  </conditionalFormatting>
  <conditionalFormatting sqref="P104">
    <cfRule type="expression" dxfId="1251" priority="776">
      <formula>$D$104&lt;4</formula>
    </cfRule>
  </conditionalFormatting>
  <conditionalFormatting sqref="P109">
    <cfRule type="expression" dxfId="1250" priority="791">
      <formula>$D$109&lt;4</formula>
    </cfRule>
  </conditionalFormatting>
  <conditionalFormatting sqref="P111">
    <cfRule type="expression" dxfId="1249" priority="806">
      <formula>$D$111&lt;4</formula>
    </cfRule>
  </conditionalFormatting>
  <conditionalFormatting sqref="P112">
    <cfRule type="expression" dxfId="1248" priority="821">
      <formula>$D$112&lt;4</formula>
    </cfRule>
  </conditionalFormatting>
  <conditionalFormatting sqref="P113">
    <cfRule type="expression" dxfId="1247" priority="836">
      <formula>$D$113&lt;4</formula>
    </cfRule>
  </conditionalFormatting>
  <conditionalFormatting sqref="P115">
    <cfRule type="expression" dxfId="1246" priority="851">
      <formula>$D$115&lt;4</formula>
    </cfRule>
  </conditionalFormatting>
  <conditionalFormatting sqref="P116">
    <cfRule type="expression" dxfId="1245" priority="866">
      <formula>$D$116&lt;4</formula>
    </cfRule>
  </conditionalFormatting>
  <conditionalFormatting sqref="P118">
    <cfRule type="expression" dxfId="1244" priority="881">
      <formula>$D$118&lt;4</formula>
    </cfRule>
  </conditionalFormatting>
  <conditionalFormatting sqref="P119">
    <cfRule type="expression" dxfId="1243" priority="896">
      <formula>$D$119&lt;4</formula>
    </cfRule>
  </conditionalFormatting>
  <conditionalFormatting sqref="P121">
    <cfRule type="expression" dxfId="1242" priority="911">
      <formula>$D$121&lt;4</formula>
    </cfRule>
  </conditionalFormatting>
  <conditionalFormatting sqref="P123">
    <cfRule type="expression" dxfId="1241" priority="926">
      <formula>$D$123&lt;4</formula>
    </cfRule>
  </conditionalFormatting>
  <conditionalFormatting sqref="P124">
    <cfRule type="expression" dxfId="1240" priority="941">
      <formula>$D$124&lt;4</formula>
    </cfRule>
  </conditionalFormatting>
  <conditionalFormatting sqref="P126">
    <cfRule type="expression" dxfId="1239" priority="956">
      <formula>$D$126&lt;4</formula>
    </cfRule>
  </conditionalFormatting>
  <conditionalFormatting sqref="P128">
    <cfRule type="expression" dxfId="1238" priority="971">
      <formula>$D$128&lt;4</formula>
    </cfRule>
  </conditionalFormatting>
  <conditionalFormatting sqref="P133">
    <cfRule type="expression" dxfId="1237" priority="986">
      <formula>$D$133&lt;4</formula>
    </cfRule>
  </conditionalFormatting>
  <conditionalFormatting sqref="P135">
    <cfRule type="expression" dxfId="1236" priority="1001">
      <formula>$D$135&lt;4</formula>
    </cfRule>
  </conditionalFormatting>
  <conditionalFormatting sqref="P136">
    <cfRule type="expression" dxfId="1235" priority="1016">
      <formula>$D$136&lt;4</formula>
    </cfRule>
  </conditionalFormatting>
  <conditionalFormatting sqref="P137">
    <cfRule type="expression" dxfId="1234" priority="1031">
      <formula>$D$137&lt;4</formula>
    </cfRule>
  </conditionalFormatting>
  <conditionalFormatting sqref="P139">
    <cfRule type="expression" dxfId="1233" priority="1046">
      <formula>$D$139&lt;4</formula>
    </cfRule>
  </conditionalFormatting>
  <conditionalFormatting sqref="P140">
    <cfRule type="expression" dxfId="1232" priority="1061">
      <formula>$D$140&lt;4</formula>
    </cfRule>
  </conditionalFormatting>
  <conditionalFormatting sqref="P142">
    <cfRule type="expression" dxfId="1231" priority="1076">
      <formula>$D$142&lt;4</formula>
    </cfRule>
  </conditionalFormatting>
  <conditionalFormatting sqref="P143">
    <cfRule type="expression" dxfId="1230" priority="1091">
      <formula>$D$143&lt;4</formula>
    </cfRule>
  </conditionalFormatting>
  <conditionalFormatting sqref="P145">
    <cfRule type="expression" dxfId="1229" priority="1106">
      <formula>$D$145&lt;4</formula>
    </cfRule>
  </conditionalFormatting>
  <conditionalFormatting sqref="P147">
    <cfRule type="expression" dxfId="1228" priority="1121">
      <formula>$D$147&lt;4</formula>
    </cfRule>
  </conditionalFormatting>
  <conditionalFormatting sqref="P148">
    <cfRule type="expression" dxfId="1227" priority="1136">
      <formula>$D$148&lt;4</formula>
    </cfRule>
  </conditionalFormatting>
  <conditionalFormatting sqref="P150">
    <cfRule type="expression" dxfId="1226" priority="1151">
      <formula>$D$150&lt;4</formula>
    </cfRule>
  </conditionalFormatting>
  <conditionalFormatting sqref="P152">
    <cfRule type="expression" dxfId="1225" priority="1166">
      <formula>$D$152&lt;4</formula>
    </cfRule>
  </conditionalFormatting>
  <conditionalFormatting sqref="P157">
    <cfRule type="expression" dxfId="1224" priority="1181">
      <formula>$D$157&lt;4</formula>
    </cfRule>
  </conditionalFormatting>
  <conditionalFormatting sqref="P159">
    <cfRule type="expression" dxfId="1223" priority="1196">
      <formula>$D$159&lt;4</formula>
    </cfRule>
  </conditionalFormatting>
  <conditionalFormatting sqref="P160">
    <cfRule type="expression" dxfId="1222" priority="1211">
      <formula>$D$160&lt;4</formula>
    </cfRule>
  </conditionalFormatting>
  <conditionalFormatting sqref="P161">
    <cfRule type="expression" dxfId="1221" priority="1226">
      <formula>$D$161&lt;4</formula>
    </cfRule>
  </conditionalFormatting>
  <conditionalFormatting sqref="P163">
    <cfRule type="expression" dxfId="1220" priority="1241">
      <formula>$D$163&lt;4</formula>
    </cfRule>
  </conditionalFormatting>
  <conditionalFormatting sqref="P164">
    <cfRule type="expression" dxfId="1219" priority="1256">
      <formula>$D$164&lt;4</formula>
    </cfRule>
  </conditionalFormatting>
  <conditionalFormatting sqref="P166">
    <cfRule type="expression" dxfId="1218" priority="1271">
      <formula>$D$166&lt;4</formula>
    </cfRule>
  </conditionalFormatting>
  <conditionalFormatting sqref="P167">
    <cfRule type="expression" dxfId="1217" priority="1286">
      <formula>$D$167&lt;4</formula>
    </cfRule>
  </conditionalFormatting>
  <conditionalFormatting sqref="P169">
    <cfRule type="expression" dxfId="1216" priority="1301">
      <formula>$D$169&lt;4</formula>
    </cfRule>
  </conditionalFormatting>
  <conditionalFormatting sqref="P171">
    <cfRule type="expression" dxfId="1215" priority="1316">
      <formula>$D$171&lt;4</formula>
    </cfRule>
  </conditionalFormatting>
  <conditionalFormatting sqref="P172">
    <cfRule type="expression" dxfId="1214" priority="1331">
      <formula>$D$172&lt;4</formula>
    </cfRule>
  </conditionalFormatting>
  <conditionalFormatting sqref="P174">
    <cfRule type="expression" dxfId="1213" priority="1346">
      <formula>$D$174&lt;4</formula>
    </cfRule>
  </conditionalFormatting>
  <conditionalFormatting sqref="P176">
    <cfRule type="expression" dxfId="1212" priority="1361">
      <formula>$D$176&lt;4</formula>
    </cfRule>
  </conditionalFormatting>
  <conditionalFormatting sqref="P181">
    <cfRule type="expression" dxfId="1211" priority="1376">
      <formula>$D$181&lt;4</formula>
    </cfRule>
  </conditionalFormatting>
  <conditionalFormatting sqref="P183">
    <cfRule type="expression" dxfId="1210" priority="1391">
      <formula>$D$183&lt;4</formula>
    </cfRule>
  </conditionalFormatting>
  <conditionalFormatting sqref="P184">
    <cfRule type="expression" dxfId="1209" priority="1406">
      <formula>$D$184&lt;4</formula>
    </cfRule>
  </conditionalFormatting>
  <conditionalFormatting sqref="P185">
    <cfRule type="expression" dxfId="1208" priority="1421">
      <formula>$D$185&lt;4</formula>
    </cfRule>
  </conditionalFormatting>
  <conditionalFormatting sqref="P187">
    <cfRule type="expression" dxfId="1207" priority="1436">
      <formula>$D$187&lt;4</formula>
    </cfRule>
  </conditionalFormatting>
  <conditionalFormatting sqref="P188">
    <cfRule type="expression" dxfId="1206" priority="1451">
      <formula>$D$188&lt;4</formula>
    </cfRule>
  </conditionalFormatting>
  <conditionalFormatting sqref="P190">
    <cfRule type="expression" dxfId="1205" priority="1466">
      <formula>$D$190&lt;4</formula>
    </cfRule>
  </conditionalFormatting>
  <conditionalFormatting sqref="P191">
    <cfRule type="expression" dxfId="1204" priority="1481">
      <formula>$D$191&lt;4</formula>
    </cfRule>
  </conditionalFormatting>
  <conditionalFormatting sqref="P193">
    <cfRule type="expression" dxfId="1203" priority="1496">
      <formula>$D$193&lt;4</formula>
    </cfRule>
  </conditionalFormatting>
  <conditionalFormatting sqref="P195">
    <cfRule type="expression" dxfId="1202" priority="1511">
      <formula>$D$195&lt;4</formula>
    </cfRule>
  </conditionalFormatting>
  <conditionalFormatting sqref="Q13">
    <cfRule type="expression" dxfId="1201" priority="12">
      <formula>$D$13&lt;4</formula>
    </cfRule>
  </conditionalFormatting>
  <conditionalFormatting sqref="Q15">
    <cfRule type="expression" dxfId="1200" priority="27">
      <formula>$D$15&lt;4</formula>
    </cfRule>
  </conditionalFormatting>
  <conditionalFormatting sqref="Q16">
    <cfRule type="expression" dxfId="1199" priority="42">
      <formula>$D$16&lt;4</formula>
    </cfRule>
  </conditionalFormatting>
  <conditionalFormatting sqref="Q17">
    <cfRule type="expression" dxfId="1198" priority="57">
      <formula>$D$17&lt;4</formula>
    </cfRule>
  </conditionalFormatting>
  <conditionalFormatting sqref="Q19">
    <cfRule type="expression" dxfId="1197" priority="72">
      <formula>$D$19&lt;4</formula>
    </cfRule>
  </conditionalFormatting>
  <conditionalFormatting sqref="Q20">
    <cfRule type="expression" dxfId="1196" priority="87">
      <formula>$D$20&lt;4</formula>
    </cfRule>
  </conditionalFormatting>
  <conditionalFormatting sqref="Q22">
    <cfRule type="expression" dxfId="1195" priority="102">
      <formula>$D$22&lt;4</formula>
    </cfRule>
  </conditionalFormatting>
  <conditionalFormatting sqref="Q23">
    <cfRule type="expression" dxfId="1194" priority="117">
      <formula>$D$23&lt;4</formula>
    </cfRule>
  </conditionalFormatting>
  <conditionalFormatting sqref="Q25">
    <cfRule type="expression" dxfId="1193" priority="132">
      <formula>$D$25&lt;4</formula>
    </cfRule>
  </conditionalFormatting>
  <conditionalFormatting sqref="Q27">
    <cfRule type="expression" dxfId="1192" priority="147">
      <formula>$D$27&lt;4</formula>
    </cfRule>
  </conditionalFormatting>
  <conditionalFormatting sqref="Q28">
    <cfRule type="expression" dxfId="1191" priority="162">
      <formula>$D$28&lt;4</formula>
    </cfRule>
  </conditionalFormatting>
  <conditionalFormatting sqref="Q30">
    <cfRule type="expression" dxfId="1190" priority="177">
      <formula>$D$30&lt;4</formula>
    </cfRule>
  </conditionalFormatting>
  <conditionalFormatting sqref="Q32">
    <cfRule type="expression" dxfId="1189" priority="192">
      <formula>$D$32&lt;4</formula>
    </cfRule>
  </conditionalFormatting>
  <conditionalFormatting sqref="Q37">
    <cfRule type="expression" dxfId="1188" priority="207">
      <formula>$D$37&lt;4</formula>
    </cfRule>
  </conditionalFormatting>
  <conditionalFormatting sqref="Q39">
    <cfRule type="expression" dxfId="1187" priority="222">
      <formula>$D$39&lt;4</formula>
    </cfRule>
  </conditionalFormatting>
  <conditionalFormatting sqref="Q40">
    <cfRule type="expression" dxfId="1186" priority="237">
      <formula>$D$40&lt;4</formula>
    </cfRule>
  </conditionalFormatting>
  <conditionalFormatting sqref="Q41">
    <cfRule type="expression" dxfId="1185" priority="252">
      <formula>$D$41&lt;4</formula>
    </cfRule>
  </conditionalFormatting>
  <conditionalFormatting sqref="Q43">
    <cfRule type="expression" dxfId="1184" priority="267">
      <formula>$D$43&lt;4</formula>
    </cfRule>
  </conditionalFormatting>
  <conditionalFormatting sqref="Q44">
    <cfRule type="expression" dxfId="1183" priority="282">
      <formula>$D$44&lt;4</formula>
    </cfRule>
  </conditionalFormatting>
  <conditionalFormatting sqref="Q46">
    <cfRule type="expression" dxfId="1182" priority="297">
      <formula>$D$46&lt;4</formula>
    </cfRule>
  </conditionalFormatting>
  <conditionalFormatting sqref="Q47">
    <cfRule type="expression" dxfId="1181" priority="312">
      <formula>$D$47&lt;4</formula>
    </cfRule>
  </conditionalFormatting>
  <conditionalFormatting sqref="Q49">
    <cfRule type="expression" dxfId="1180" priority="327">
      <formula>$D$49&lt;4</formula>
    </cfRule>
  </conditionalFormatting>
  <conditionalFormatting sqref="Q51">
    <cfRule type="expression" dxfId="1179" priority="342">
      <formula>$D$51&lt;4</formula>
    </cfRule>
  </conditionalFormatting>
  <conditionalFormatting sqref="Q52">
    <cfRule type="expression" dxfId="1178" priority="357">
      <formula>$D$52&lt;4</formula>
    </cfRule>
  </conditionalFormatting>
  <conditionalFormatting sqref="Q54">
    <cfRule type="expression" dxfId="1177" priority="372">
      <formula>$D$54&lt;4</formula>
    </cfRule>
  </conditionalFormatting>
  <conditionalFormatting sqref="Q56">
    <cfRule type="expression" dxfId="1176" priority="387">
      <formula>$D$56&lt;4</formula>
    </cfRule>
  </conditionalFormatting>
  <conditionalFormatting sqref="Q61">
    <cfRule type="expression" dxfId="1175" priority="402">
      <formula>$D$61&lt;4</formula>
    </cfRule>
  </conditionalFormatting>
  <conditionalFormatting sqref="Q63">
    <cfRule type="expression" dxfId="1174" priority="417">
      <formula>$D$63&lt;4</formula>
    </cfRule>
  </conditionalFormatting>
  <conditionalFormatting sqref="Q64">
    <cfRule type="expression" dxfId="1173" priority="432">
      <formula>$D$64&lt;4</formula>
    </cfRule>
  </conditionalFormatting>
  <conditionalFormatting sqref="Q65">
    <cfRule type="expression" dxfId="1172" priority="447">
      <formula>$D$65&lt;4</formula>
    </cfRule>
  </conditionalFormatting>
  <conditionalFormatting sqref="Q67">
    <cfRule type="expression" dxfId="1171" priority="462">
      <formula>$D$67&lt;4</formula>
    </cfRule>
  </conditionalFormatting>
  <conditionalFormatting sqref="Q68">
    <cfRule type="expression" dxfId="1170" priority="477">
      <formula>$D$68&lt;4</formula>
    </cfRule>
  </conditionalFormatting>
  <conditionalFormatting sqref="Q70">
    <cfRule type="expression" dxfId="1169" priority="492">
      <formula>$D$70&lt;4</formula>
    </cfRule>
  </conditionalFormatting>
  <conditionalFormatting sqref="Q71">
    <cfRule type="expression" dxfId="1168" priority="507">
      <formula>$D$71&lt;4</formula>
    </cfRule>
  </conditionalFormatting>
  <conditionalFormatting sqref="Q73">
    <cfRule type="expression" dxfId="1167" priority="522">
      <formula>$D$73&lt;4</formula>
    </cfRule>
  </conditionalFormatting>
  <conditionalFormatting sqref="Q75">
    <cfRule type="expression" dxfId="1166" priority="537">
      <formula>$D$75&lt;4</formula>
    </cfRule>
  </conditionalFormatting>
  <conditionalFormatting sqref="Q76">
    <cfRule type="expression" dxfId="1165" priority="552">
      <formula>$D$76&lt;4</formula>
    </cfRule>
  </conditionalFormatting>
  <conditionalFormatting sqref="Q78">
    <cfRule type="expression" dxfId="1164" priority="567">
      <formula>$D$78&lt;4</formula>
    </cfRule>
  </conditionalFormatting>
  <conditionalFormatting sqref="Q80">
    <cfRule type="expression" dxfId="1163" priority="582">
      <formula>$D$80&lt;4</formula>
    </cfRule>
  </conditionalFormatting>
  <conditionalFormatting sqref="Q85">
    <cfRule type="expression" dxfId="1162" priority="597">
      <formula>$D$85&lt;4</formula>
    </cfRule>
  </conditionalFormatting>
  <conditionalFormatting sqref="Q87">
    <cfRule type="expression" dxfId="1161" priority="612">
      <formula>$D$87&lt;4</formula>
    </cfRule>
  </conditionalFormatting>
  <conditionalFormatting sqref="Q88">
    <cfRule type="expression" dxfId="1160" priority="627">
      <formula>$D$88&lt;4</formula>
    </cfRule>
  </conditionalFormatting>
  <conditionalFormatting sqref="Q89">
    <cfRule type="expression" dxfId="1159" priority="642">
      <formula>$D$89&lt;4</formula>
    </cfRule>
  </conditionalFormatting>
  <conditionalFormatting sqref="Q91">
    <cfRule type="expression" dxfId="1158" priority="657">
      <formula>$D$91&lt;4</formula>
    </cfRule>
  </conditionalFormatting>
  <conditionalFormatting sqref="Q92">
    <cfRule type="expression" dxfId="1157" priority="672">
      <formula>$D$92&lt;4</formula>
    </cfRule>
  </conditionalFormatting>
  <conditionalFormatting sqref="Q94">
    <cfRule type="expression" dxfId="1156" priority="687">
      <formula>$D$94&lt;4</formula>
    </cfRule>
  </conditionalFormatting>
  <conditionalFormatting sqref="Q95">
    <cfRule type="expression" dxfId="1155" priority="702">
      <formula>$D$95&lt;4</formula>
    </cfRule>
  </conditionalFormatting>
  <conditionalFormatting sqref="Q97">
    <cfRule type="expression" dxfId="1154" priority="717">
      <formula>$D$97&lt;4</formula>
    </cfRule>
  </conditionalFormatting>
  <conditionalFormatting sqref="Q99">
    <cfRule type="expression" dxfId="1153" priority="732">
      <formula>$D$99&lt;4</formula>
    </cfRule>
  </conditionalFormatting>
  <conditionalFormatting sqref="Q100">
    <cfRule type="expression" dxfId="1152" priority="747">
      <formula>$D$100&lt;4</formula>
    </cfRule>
  </conditionalFormatting>
  <conditionalFormatting sqref="Q102">
    <cfRule type="expression" dxfId="1151" priority="762">
      <formula>$D$102&lt;4</formula>
    </cfRule>
  </conditionalFormatting>
  <conditionalFormatting sqref="Q104">
    <cfRule type="expression" dxfId="1150" priority="777">
      <formula>$D$104&lt;4</formula>
    </cfRule>
  </conditionalFormatting>
  <conditionalFormatting sqref="Q109">
    <cfRule type="expression" dxfId="1149" priority="792">
      <formula>$D$109&lt;4</formula>
    </cfRule>
  </conditionalFormatting>
  <conditionalFormatting sqref="Q111">
    <cfRule type="expression" dxfId="1148" priority="807">
      <formula>$D$111&lt;4</formula>
    </cfRule>
  </conditionalFormatting>
  <conditionalFormatting sqref="Q112">
    <cfRule type="expression" dxfId="1147" priority="822">
      <formula>$D$112&lt;4</formula>
    </cfRule>
  </conditionalFormatting>
  <conditionalFormatting sqref="Q113">
    <cfRule type="expression" dxfId="1146" priority="837">
      <formula>$D$113&lt;4</formula>
    </cfRule>
  </conditionalFormatting>
  <conditionalFormatting sqref="Q115">
    <cfRule type="expression" dxfId="1145" priority="852">
      <formula>$D$115&lt;4</formula>
    </cfRule>
  </conditionalFormatting>
  <conditionalFormatting sqref="Q116">
    <cfRule type="expression" dxfId="1144" priority="867">
      <formula>$D$116&lt;4</formula>
    </cfRule>
  </conditionalFormatting>
  <conditionalFormatting sqref="Q118">
    <cfRule type="expression" dxfId="1143" priority="882">
      <formula>$D$118&lt;4</formula>
    </cfRule>
  </conditionalFormatting>
  <conditionalFormatting sqref="Q119">
    <cfRule type="expression" dxfId="1142" priority="897">
      <formula>$D$119&lt;4</formula>
    </cfRule>
  </conditionalFormatting>
  <conditionalFormatting sqref="Q121">
    <cfRule type="expression" dxfId="1141" priority="912">
      <formula>$D$121&lt;4</formula>
    </cfRule>
  </conditionalFormatting>
  <conditionalFormatting sqref="Q123">
    <cfRule type="expression" dxfId="1140" priority="927">
      <formula>$D$123&lt;4</formula>
    </cfRule>
  </conditionalFormatting>
  <conditionalFormatting sqref="Q124">
    <cfRule type="expression" dxfId="1139" priority="942">
      <formula>$D$124&lt;4</formula>
    </cfRule>
  </conditionalFormatting>
  <conditionalFormatting sqref="Q126">
    <cfRule type="expression" dxfId="1138" priority="957">
      <formula>$D$126&lt;4</formula>
    </cfRule>
  </conditionalFormatting>
  <conditionalFormatting sqref="Q128">
    <cfRule type="expression" dxfId="1137" priority="972">
      <formula>$D$128&lt;4</formula>
    </cfRule>
  </conditionalFormatting>
  <conditionalFormatting sqref="Q133">
    <cfRule type="expression" dxfId="1136" priority="987">
      <formula>$D$133&lt;4</formula>
    </cfRule>
  </conditionalFormatting>
  <conditionalFormatting sqref="Q135">
    <cfRule type="expression" dxfId="1135" priority="1002">
      <formula>$D$135&lt;4</formula>
    </cfRule>
  </conditionalFormatting>
  <conditionalFormatting sqref="Q136">
    <cfRule type="expression" dxfId="1134" priority="1017">
      <formula>$D$136&lt;4</formula>
    </cfRule>
  </conditionalFormatting>
  <conditionalFormatting sqref="Q137">
    <cfRule type="expression" dxfId="1133" priority="1032">
      <formula>$D$137&lt;4</formula>
    </cfRule>
  </conditionalFormatting>
  <conditionalFormatting sqref="Q139">
    <cfRule type="expression" dxfId="1132" priority="1047">
      <formula>$D$139&lt;4</formula>
    </cfRule>
  </conditionalFormatting>
  <conditionalFormatting sqref="Q140">
    <cfRule type="expression" dxfId="1131" priority="1062">
      <formula>$D$140&lt;4</formula>
    </cfRule>
  </conditionalFormatting>
  <conditionalFormatting sqref="Q142">
    <cfRule type="expression" dxfId="1130" priority="1077">
      <formula>$D$142&lt;4</formula>
    </cfRule>
  </conditionalFormatting>
  <conditionalFormatting sqref="Q143">
    <cfRule type="expression" dxfId="1129" priority="1092">
      <formula>$D$143&lt;4</formula>
    </cfRule>
  </conditionalFormatting>
  <conditionalFormatting sqref="Q145">
    <cfRule type="expression" dxfId="1128" priority="1107">
      <formula>$D$145&lt;4</formula>
    </cfRule>
  </conditionalFormatting>
  <conditionalFormatting sqref="Q147">
    <cfRule type="expression" dxfId="1127" priority="1122">
      <formula>$D$147&lt;4</formula>
    </cfRule>
  </conditionalFormatting>
  <conditionalFormatting sqref="Q148">
    <cfRule type="expression" dxfId="1126" priority="1137">
      <formula>$D$148&lt;4</formula>
    </cfRule>
  </conditionalFormatting>
  <conditionalFormatting sqref="Q150">
    <cfRule type="expression" dxfId="1125" priority="1152">
      <formula>$D$150&lt;4</formula>
    </cfRule>
  </conditionalFormatting>
  <conditionalFormatting sqref="Q152">
    <cfRule type="expression" dxfId="1124" priority="1167">
      <formula>$D$152&lt;4</formula>
    </cfRule>
  </conditionalFormatting>
  <conditionalFormatting sqref="Q157">
    <cfRule type="expression" dxfId="1123" priority="1182">
      <formula>$D$157&lt;4</formula>
    </cfRule>
  </conditionalFormatting>
  <conditionalFormatting sqref="Q159">
    <cfRule type="expression" dxfId="1122" priority="1197">
      <formula>$D$159&lt;4</formula>
    </cfRule>
  </conditionalFormatting>
  <conditionalFormatting sqref="Q160">
    <cfRule type="expression" dxfId="1121" priority="1212">
      <formula>$D$160&lt;4</formula>
    </cfRule>
  </conditionalFormatting>
  <conditionalFormatting sqref="Q161">
    <cfRule type="expression" dxfId="1120" priority="1227">
      <formula>$D$161&lt;4</formula>
    </cfRule>
  </conditionalFormatting>
  <conditionalFormatting sqref="Q163">
    <cfRule type="expression" dxfId="1119" priority="1242">
      <formula>$D$163&lt;4</formula>
    </cfRule>
  </conditionalFormatting>
  <conditionalFormatting sqref="Q164">
    <cfRule type="expression" dxfId="1118" priority="1257">
      <formula>$D$164&lt;4</formula>
    </cfRule>
  </conditionalFormatting>
  <conditionalFormatting sqref="Q166">
    <cfRule type="expression" dxfId="1117" priority="1272">
      <formula>$D$166&lt;4</formula>
    </cfRule>
  </conditionalFormatting>
  <conditionalFormatting sqref="Q167">
    <cfRule type="expression" dxfId="1116" priority="1287">
      <formula>$D$167&lt;4</formula>
    </cfRule>
  </conditionalFormatting>
  <conditionalFormatting sqref="Q169">
    <cfRule type="expression" dxfId="1115" priority="1302">
      <formula>$D$169&lt;4</formula>
    </cfRule>
  </conditionalFormatting>
  <conditionalFormatting sqref="Q171">
    <cfRule type="expression" dxfId="1114" priority="1317">
      <formula>$D$171&lt;4</formula>
    </cfRule>
  </conditionalFormatting>
  <conditionalFormatting sqref="Q172">
    <cfRule type="expression" dxfId="1113" priority="1332">
      <formula>$D$172&lt;4</formula>
    </cfRule>
  </conditionalFormatting>
  <conditionalFormatting sqref="Q174">
    <cfRule type="expression" dxfId="1112" priority="1347">
      <formula>$D$174&lt;4</formula>
    </cfRule>
  </conditionalFormatting>
  <conditionalFormatting sqref="Q176">
    <cfRule type="expression" dxfId="1111" priority="1362">
      <formula>$D$176&lt;4</formula>
    </cfRule>
  </conditionalFormatting>
  <conditionalFormatting sqref="Q181">
    <cfRule type="expression" dxfId="1110" priority="1377">
      <formula>$D$181&lt;4</formula>
    </cfRule>
  </conditionalFormatting>
  <conditionalFormatting sqref="Q183">
    <cfRule type="expression" dxfId="1109" priority="1392">
      <formula>$D$183&lt;4</formula>
    </cfRule>
  </conditionalFormatting>
  <conditionalFormatting sqref="Q184">
    <cfRule type="expression" dxfId="1108" priority="1407">
      <formula>$D$184&lt;4</formula>
    </cfRule>
  </conditionalFormatting>
  <conditionalFormatting sqref="Q185">
    <cfRule type="expression" dxfId="1107" priority="1422">
      <formula>$D$185&lt;4</formula>
    </cfRule>
  </conditionalFormatting>
  <conditionalFormatting sqref="Q187">
    <cfRule type="expression" dxfId="1106" priority="1437">
      <formula>$D$187&lt;4</formula>
    </cfRule>
  </conditionalFormatting>
  <conditionalFormatting sqref="Q188">
    <cfRule type="expression" dxfId="1105" priority="1452">
      <formula>$D$188&lt;4</formula>
    </cfRule>
  </conditionalFormatting>
  <conditionalFormatting sqref="Q190">
    <cfRule type="expression" dxfId="1104" priority="1467">
      <formula>$D$190&lt;4</formula>
    </cfRule>
  </conditionalFormatting>
  <conditionalFormatting sqref="Q191">
    <cfRule type="expression" dxfId="1103" priority="1482">
      <formula>$D$191&lt;4</formula>
    </cfRule>
  </conditionalFormatting>
  <conditionalFormatting sqref="Q193">
    <cfRule type="expression" dxfId="1102" priority="1497">
      <formula>$D$193&lt;4</formula>
    </cfRule>
  </conditionalFormatting>
  <conditionalFormatting sqref="Q195">
    <cfRule type="expression" dxfId="1101" priority="1512">
      <formula>$D$195&lt;4</formula>
    </cfRule>
  </conditionalFormatting>
  <conditionalFormatting sqref="R13">
    <cfRule type="expression" dxfId="1100" priority="13">
      <formula>$D$13&lt;5</formula>
    </cfRule>
  </conditionalFormatting>
  <conditionalFormatting sqref="R15">
    <cfRule type="expression" dxfId="1099" priority="28">
      <formula>$D$15&lt;5</formula>
    </cfRule>
  </conditionalFormatting>
  <conditionalFormatting sqref="R16">
    <cfRule type="expression" dxfId="1098" priority="43">
      <formula>$D$16&lt;5</formula>
    </cfRule>
  </conditionalFormatting>
  <conditionalFormatting sqref="R17">
    <cfRule type="expression" dxfId="1097" priority="58">
      <formula>$D$17&lt;5</formula>
    </cfRule>
  </conditionalFormatting>
  <conditionalFormatting sqref="R19">
    <cfRule type="expression" dxfId="1096" priority="73">
      <formula>$D$19&lt;5</formula>
    </cfRule>
  </conditionalFormatting>
  <conditionalFormatting sqref="R20">
    <cfRule type="expression" dxfId="1095" priority="88">
      <formula>$D$20&lt;5</formula>
    </cfRule>
  </conditionalFormatting>
  <conditionalFormatting sqref="R22">
    <cfRule type="expression" dxfId="1094" priority="103">
      <formula>$D$22&lt;5</formula>
    </cfRule>
  </conditionalFormatting>
  <conditionalFormatting sqref="R23">
    <cfRule type="expression" dxfId="1093" priority="118">
      <formula>$D$23&lt;5</formula>
    </cfRule>
  </conditionalFormatting>
  <conditionalFormatting sqref="R25">
    <cfRule type="expression" dxfId="1092" priority="133">
      <formula>$D$25&lt;5</formula>
    </cfRule>
  </conditionalFormatting>
  <conditionalFormatting sqref="R27">
    <cfRule type="expression" dxfId="1091" priority="148">
      <formula>$D$27&lt;5</formula>
    </cfRule>
  </conditionalFormatting>
  <conditionalFormatting sqref="R28">
    <cfRule type="expression" dxfId="1090" priority="163">
      <formula>$D$28&lt;5</formula>
    </cfRule>
  </conditionalFormatting>
  <conditionalFormatting sqref="R30">
    <cfRule type="expression" dxfId="1089" priority="178">
      <formula>$D$30&lt;5</formula>
    </cfRule>
  </conditionalFormatting>
  <conditionalFormatting sqref="R32">
    <cfRule type="expression" dxfId="1088" priority="193">
      <formula>$D$32&lt;5</formula>
    </cfRule>
  </conditionalFormatting>
  <conditionalFormatting sqref="R37">
    <cfRule type="expression" dxfId="1087" priority="208">
      <formula>$D$37&lt;5</formula>
    </cfRule>
  </conditionalFormatting>
  <conditionalFormatting sqref="R39">
    <cfRule type="expression" dxfId="1086" priority="223">
      <formula>$D$39&lt;5</formula>
    </cfRule>
  </conditionalFormatting>
  <conditionalFormatting sqref="R40">
    <cfRule type="expression" dxfId="1085" priority="238">
      <formula>$D$40&lt;5</formula>
    </cfRule>
  </conditionalFormatting>
  <conditionalFormatting sqref="R41">
    <cfRule type="expression" dxfId="1084" priority="253">
      <formula>$D$41&lt;5</formula>
    </cfRule>
  </conditionalFormatting>
  <conditionalFormatting sqref="R43">
    <cfRule type="expression" dxfId="1083" priority="268">
      <formula>$D$43&lt;5</formula>
    </cfRule>
  </conditionalFormatting>
  <conditionalFormatting sqref="R44">
    <cfRule type="expression" dxfId="1082" priority="283">
      <formula>$D$44&lt;5</formula>
    </cfRule>
  </conditionalFormatting>
  <conditionalFormatting sqref="R46">
    <cfRule type="expression" dxfId="1081" priority="298">
      <formula>$D$46&lt;5</formula>
    </cfRule>
  </conditionalFormatting>
  <conditionalFormatting sqref="R47">
    <cfRule type="expression" dxfId="1080" priority="313">
      <formula>$D$47&lt;5</formula>
    </cfRule>
  </conditionalFormatting>
  <conditionalFormatting sqref="R49">
    <cfRule type="expression" dxfId="1079" priority="328">
      <formula>$D$49&lt;5</formula>
    </cfRule>
  </conditionalFormatting>
  <conditionalFormatting sqref="R51">
    <cfRule type="expression" dxfId="1078" priority="343">
      <formula>$D$51&lt;5</formula>
    </cfRule>
  </conditionalFormatting>
  <conditionalFormatting sqref="R52">
    <cfRule type="expression" dxfId="1077" priority="358">
      <formula>$D$52&lt;5</formula>
    </cfRule>
  </conditionalFormatting>
  <conditionalFormatting sqref="R54">
    <cfRule type="expression" dxfId="1076" priority="373">
      <formula>$D$54&lt;5</formula>
    </cfRule>
  </conditionalFormatting>
  <conditionalFormatting sqref="R56">
    <cfRule type="expression" dxfId="1075" priority="388">
      <formula>$D$56&lt;5</formula>
    </cfRule>
  </conditionalFormatting>
  <conditionalFormatting sqref="R61">
    <cfRule type="expression" dxfId="1074" priority="403">
      <formula>$D$61&lt;5</formula>
    </cfRule>
  </conditionalFormatting>
  <conditionalFormatting sqref="R63">
    <cfRule type="expression" dxfId="1073" priority="418">
      <formula>$D$63&lt;5</formula>
    </cfRule>
  </conditionalFormatting>
  <conditionalFormatting sqref="R64">
    <cfRule type="expression" dxfId="1072" priority="433">
      <formula>$D$64&lt;5</formula>
    </cfRule>
  </conditionalFormatting>
  <conditionalFormatting sqref="R65">
    <cfRule type="expression" dxfId="1071" priority="448">
      <formula>$D$65&lt;5</formula>
    </cfRule>
  </conditionalFormatting>
  <conditionalFormatting sqref="R67">
    <cfRule type="expression" dxfId="1070" priority="463">
      <formula>$D$67&lt;5</formula>
    </cfRule>
  </conditionalFormatting>
  <conditionalFormatting sqref="R68">
    <cfRule type="expression" dxfId="1069" priority="478">
      <formula>$D$68&lt;5</formula>
    </cfRule>
  </conditionalFormatting>
  <conditionalFormatting sqref="R70">
    <cfRule type="expression" dxfId="1068" priority="493">
      <formula>$D$70&lt;5</formula>
    </cfRule>
  </conditionalFormatting>
  <conditionalFormatting sqref="R71">
    <cfRule type="expression" dxfId="1067" priority="508">
      <formula>$D$71&lt;5</formula>
    </cfRule>
  </conditionalFormatting>
  <conditionalFormatting sqref="R73">
    <cfRule type="expression" dxfId="1066" priority="523">
      <formula>$D$73&lt;5</formula>
    </cfRule>
  </conditionalFormatting>
  <conditionalFormatting sqref="R75">
    <cfRule type="expression" dxfId="1065" priority="538">
      <formula>$D$75&lt;5</formula>
    </cfRule>
  </conditionalFormatting>
  <conditionalFormatting sqref="R76">
    <cfRule type="expression" dxfId="1064" priority="553">
      <formula>$D$76&lt;5</formula>
    </cfRule>
  </conditionalFormatting>
  <conditionalFormatting sqref="R78">
    <cfRule type="expression" dxfId="1063" priority="568">
      <formula>$D$78&lt;5</formula>
    </cfRule>
  </conditionalFormatting>
  <conditionalFormatting sqref="R80">
    <cfRule type="expression" dxfId="1062" priority="583">
      <formula>$D$80&lt;5</formula>
    </cfRule>
  </conditionalFormatting>
  <conditionalFormatting sqref="R85">
    <cfRule type="expression" dxfId="1061" priority="598">
      <formula>$D$85&lt;5</formula>
    </cfRule>
  </conditionalFormatting>
  <conditionalFormatting sqref="R87">
    <cfRule type="expression" dxfId="1060" priority="613">
      <formula>$D$87&lt;5</formula>
    </cfRule>
  </conditionalFormatting>
  <conditionalFormatting sqref="R88">
    <cfRule type="expression" dxfId="1059" priority="628">
      <formula>$D$88&lt;5</formula>
    </cfRule>
  </conditionalFormatting>
  <conditionalFormatting sqref="R89">
    <cfRule type="expression" dxfId="1058" priority="643">
      <formula>$D$89&lt;5</formula>
    </cfRule>
  </conditionalFormatting>
  <conditionalFormatting sqref="R91">
    <cfRule type="expression" dxfId="1057" priority="658">
      <formula>$D$91&lt;5</formula>
    </cfRule>
  </conditionalFormatting>
  <conditionalFormatting sqref="R92">
    <cfRule type="expression" dxfId="1056" priority="673">
      <formula>$D$92&lt;5</formula>
    </cfRule>
  </conditionalFormatting>
  <conditionalFormatting sqref="R94">
    <cfRule type="expression" dxfId="1055" priority="688">
      <formula>$D$94&lt;5</formula>
    </cfRule>
  </conditionalFormatting>
  <conditionalFormatting sqref="R95">
    <cfRule type="expression" dxfId="1054" priority="703">
      <formula>$D$95&lt;5</formula>
    </cfRule>
  </conditionalFormatting>
  <conditionalFormatting sqref="R97">
    <cfRule type="expression" dxfId="1053" priority="718">
      <formula>$D$97&lt;5</formula>
    </cfRule>
  </conditionalFormatting>
  <conditionalFormatting sqref="R99">
    <cfRule type="expression" dxfId="1052" priority="733">
      <formula>$D$99&lt;5</formula>
    </cfRule>
  </conditionalFormatting>
  <conditionalFormatting sqref="R100">
    <cfRule type="expression" dxfId="1051" priority="748">
      <formula>$D$100&lt;5</formula>
    </cfRule>
  </conditionalFormatting>
  <conditionalFormatting sqref="R102">
    <cfRule type="expression" dxfId="1050" priority="763">
      <formula>$D$102&lt;5</formula>
    </cfRule>
  </conditionalFormatting>
  <conditionalFormatting sqref="R104">
    <cfRule type="expression" dxfId="1049" priority="778">
      <formula>$D$104&lt;5</formula>
    </cfRule>
  </conditionalFormatting>
  <conditionalFormatting sqref="R109">
    <cfRule type="expression" dxfId="1048" priority="793">
      <formula>$D$109&lt;5</formula>
    </cfRule>
  </conditionalFormatting>
  <conditionalFormatting sqref="R111">
    <cfRule type="expression" dxfId="1047" priority="808">
      <formula>$D$111&lt;5</formula>
    </cfRule>
  </conditionalFormatting>
  <conditionalFormatting sqref="R112">
    <cfRule type="expression" dxfId="1046" priority="823">
      <formula>$D$112&lt;5</formula>
    </cfRule>
  </conditionalFormatting>
  <conditionalFormatting sqref="R113">
    <cfRule type="expression" dxfId="1045" priority="838">
      <formula>$D$113&lt;5</formula>
    </cfRule>
  </conditionalFormatting>
  <conditionalFormatting sqref="R115">
    <cfRule type="expression" dxfId="1044" priority="853">
      <formula>$D$115&lt;5</formula>
    </cfRule>
  </conditionalFormatting>
  <conditionalFormatting sqref="R116">
    <cfRule type="expression" dxfId="1043" priority="868">
      <formula>$D$116&lt;5</formula>
    </cfRule>
  </conditionalFormatting>
  <conditionalFormatting sqref="R118">
    <cfRule type="expression" dxfId="1042" priority="883">
      <formula>$D$118&lt;5</formula>
    </cfRule>
  </conditionalFormatting>
  <conditionalFormatting sqref="R119">
    <cfRule type="expression" dxfId="1041" priority="898">
      <formula>$D$119&lt;5</formula>
    </cfRule>
  </conditionalFormatting>
  <conditionalFormatting sqref="R121">
    <cfRule type="expression" dxfId="1040" priority="913">
      <formula>$D$121&lt;5</formula>
    </cfRule>
  </conditionalFormatting>
  <conditionalFormatting sqref="R123">
    <cfRule type="expression" dxfId="1039" priority="928">
      <formula>$D$123&lt;5</formula>
    </cfRule>
  </conditionalFormatting>
  <conditionalFormatting sqref="R124">
    <cfRule type="expression" dxfId="1038" priority="943">
      <formula>$D$124&lt;5</formula>
    </cfRule>
  </conditionalFormatting>
  <conditionalFormatting sqref="R126">
    <cfRule type="expression" dxfId="1037" priority="958">
      <formula>$D$126&lt;5</formula>
    </cfRule>
  </conditionalFormatting>
  <conditionalFormatting sqref="R128">
    <cfRule type="expression" dxfId="1036" priority="973">
      <formula>$D$128&lt;5</formula>
    </cfRule>
  </conditionalFormatting>
  <conditionalFormatting sqref="R133">
    <cfRule type="expression" dxfId="1035" priority="988">
      <formula>$D$133&lt;5</formula>
    </cfRule>
  </conditionalFormatting>
  <conditionalFormatting sqref="R135">
    <cfRule type="expression" dxfId="1034" priority="1003">
      <formula>$D$135&lt;5</formula>
    </cfRule>
  </conditionalFormatting>
  <conditionalFormatting sqref="R136">
    <cfRule type="expression" dxfId="1033" priority="1018">
      <formula>$D$136&lt;5</formula>
    </cfRule>
  </conditionalFormatting>
  <conditionalFormatting sqref="R137">
    <cfRule type="expression" dxfId="1032" priority="1033">
      <formula>$D$137&lt;5</formula>
    </cfRule>
  </conditionalFormatting>
  <conditionalFormatting sqref="R139">
    <cfRule type="expression" dxfId="1031" priority="1048">
      <formula>$D$139&lt;5</formula>
    </cfRule>
  </conditionalFormatting>
  <conditionalFormatting sqref="R140">
    <cfRule type="expression" dxfId="1030" priority="1063">
      <formula>$D$140&lt;5</formula>
    </cfRule>
  </conditionalFormatting>
  <conditionalFormatting sqref="R142">
    <cfRule type="expression" dxfId="1029" priority="1078">
      <formula>$D$142&lt;5</formula>
    </cfRule>
  </conditionalFormatting>
  <conditionalFormatting sqref="R143">
    <cfRule type="expression" dxfId="1028" priority="1093">
      <formula>$D$143&lt;5</formula>
    </cfRule>
  </conditionalFormatting>
  <conditionalFormatting sqref="R145">
    <cfRule type="expression" dxfId="1027" priority="1108">
      <formula>$D$145&lt;5</formula>
    </cfRule>
  </conditionalFormatting>
  <conditionalFormatting sqref="R147">
    <cfRule type="expression" dxfId="1026" priority="1123">
      <formula>$D$147&lt;5</formula>
    </cfRule>
  </conditionalFormatting>
  <conditionalFormatting sqref="R148">
    <cfRule type="expression" dxfId="1025" priority="1138">
      <formula>$D$148&lt;5</formula>
    </cfRule>
  </conditionalFormatting>
  <conditionalFormatting sqref="R150">
    <cfRule type="expression" dxfId="1024" priority="1153">
      <formula>$D$150&lt;5</formula>
    </cfRule>
  </conditionalFormatting>
  <conditionalFormatting sqref="R152">
    <cfRule type="expression" dxfId="1023" priority="1168">
      <formula>$D$152&lt;5</formula>
    </cfRule>
  </conditionalFormatting>
  <conditionalFormatting sqref="R157">
    <cfRule type="expression" dxfId="1022" priority="1183">
      <formula>$D$157&lt;5</formula>
    </cfRule>
  </conditionalFormatting>
  <conditionalFormatting sqref="R159">
    <cfRule type="expression" dxfId="1021" priority="1198">
      <formula>$D$159&lt;5</formula>
    </cfRule>
  </conditionalFormatting>
  <conditionalFormatting sqref="R160">
    <cfRule type="expression" dxfId="1020" priority="1213">
      <formula>$D$160&lt;5</formula>
    </cfRule>
  </conditionalFormatting>
  <conditionalFormatting sqref="R161">
    <cfRule type="expression" dxfId="1019" priority="1228">
      <formula>$D$161&lt;5</formula>
    </cfRule>
  </conditionalFormatting>
  <conditionalFormatting sqref="R163">
    <cfRule type="expression" dxfId="1018" priority="1243">
      <formula>$D$163&lt;5</formula>
    </cfRule>
  </conditionalFormatting>
  <conditionalFormatting sqref="R164">
    <cfRule type="expression" dxfId="1017" priority="1258">
      <formula>$D$164&lt;5</formula>
    </cfRule>
  </conditionalFormatting>
  <conditionalFormatting sqref="R166">
    <cfRule type="expression" dxfId="1016" priority="1273">
      <formula>$D$166&lt;5</formula>
    </cfRule>
  </conditionalFormatting>
  <conditionalFormatting sqref="R167">
    <cfRule type="expression" dxfId="1015" priority="1288">
      <formula>$D$167&lt;5</formula>
    </cfRule>
  </conditionalFormatting>
  <conditionalFormatting sqref="R169">
    <cfRule type="expression" dxfId="1014" priority="1303">
      <formula>$D$169&lt;5</formula>
    </cfRule>
  </conditionalFormatting>
  <conditionalFormatting sqref="R171">
    <cfRule type="expression" dxfId="1013" priority="1318">
      <formula>$D$171&lt;5</formula>
    </cfRule>
  </conditionalFormatting>
  <conditionalFormatting sqref="R172">
    <cfRule type="expression" dxfId="1012" priority="1333">
      <formula>$D$172&lt;5</formula>
    </cfRule>
  </conditionalFormatting>
  <conditionalFormatting sqref="R174">
    <cfRule type="expression" dxfId="1011" priority="1348">
      <formula>$D$174&lt;5</formula>
    </cfRule>
  </conditionalFormatting>
  <conditionalFormatting sqref="R176">
    <cfRule type="expression" dxfId="1010" priority="1363">
      <formula>$D$176&lt;5</formula>
    </cfRule>
  </conditionalFormatting>
  <conditionalFormatting sqref="R181">
    <cfRule type="expression" dxfId="1009" priority="1378">
      <formula>$D$181&lt;5</formula>
    </cfRule>
  </conditionalFormatting>
  <conditionalFormatting sqref="R183">
    <cfRule type="expression" dxfId="1008" priority="1393">
      <formula>$D$183&lt;5</formula>
    </cfRule>
  </conditionalFormatting>
  <conditionalFormatting sqref="R184">
    <cfRule type="expression" dxfId="1007" priority="1408">
      <formula>$D$184&lt;5</formula>
    </cfRule>
  </conditionalFormatting>
  <conditionalFormatting sqref="R185">
    <cfRule type="expression" dxfId="1006" priority="1423">
      <formula>$D$185&lt;5</formula>
    </cfRule>
  </conditionalFormatting>
  <conditionalFormatting sqref="R187">
    <cfRule type="expression" dxfId="1005" priority="1438">
      <formula>$D$187&lt;5</formula>
    </cfRule>
  </conditionalFormatting>
  <conditionalFormatting sqref="R188">
    <cfRule type="expression" dxfId="1004" priority="1453">
      <formula>$D$188&lt;5</formula>
    </cfRule>
  </conditionalFormatting>
  <conditionalFormatting sqref="R190">
    <cfRule type="expression" dxfId="1003" priority="1468">
      <formula>$D$190&lt;5</formula>
    </cfRule>
  </conditionalFormatting>
  <conditionalFormatting sqref="R191">
    <cfRule type="expression" dxfId="1002" priority="1483">
      <formula>$D$191&lt;5</formula>
    </cfRule>
  </conditionalFormatting>
  <conditionalFormatting sqref="R193">
    <cfRule type="expression" dxfId="1001" priority="1498">
      <formula>$D$193&lt;5</formula>
    </cfRule>
  </conditionalFormatting>
  <conditionalFormatting sqref="R195:T195">
    <cfRule type="expression" dxfId="1000" priority="1513">
      <formula>$D$195&lt;5</formula>
    </cfRule>
  </conditionalFormatting>
  <conditionalFormatting sqref="R196:T196">
    <cfRule type="expression" dxfId="999" priority="1528">
      <formula>$D$196&lt;5</formula>
    </cfRule>
  </conditionalFormatting>
  <conditionalFormatting sqref="R198:T198">
    <cfRule type="expression" dxfId="998" priority="1543">
      <formula>$D$198&lt;5</formula>
    </cfRule>
  </conditionalFormatting>
  <conditionalFormatting sqref="R200:T200">
    <cfRule type="expression" dxfId="997" priority="1558">
      <formula>$D$200&lt;5</formula>
    </cfRule>
  </conditionalFormatting>
  <conditionalFormatting sqref="R205:T205">
    <cfRule type="expression" dxfId="996" priority="1573">
      <formula>$D$205&lt;5</formula>
    </cfRule>
  </conditionalFormatting>
  <conditionalFormatting sqref="R207:T207">
    <cfRule type="expression" dxfId="995" priority="1588">
      <formula>$D$207&lt;5</formula>
    </cfRule>
  </conditionalFormatting>
  <conditionalFormatting sqref="R208:T208">
    <cfRule type="expression" dxfId="994" priority="1603">
      <formula>$D$208&lt;5</formula>
    </cfRule>
  </conditionalFormatting>
  <conditionalFormatting sqref="R209:T209">
    <cfRule type="expression" dxfId="993" priority="1618">
      <formula>$D$209&lt;5</formula>
    </cfRule>
  </conditionalFormatting>
  <conditionalFormatting sqref="R211:T211">
    <cfRule type="expression" dxfId="992" priority="1633">
      <formula>$D$211&lt;5</formula>
    </cfRule>
  </conditionalFormatting>
  <conditionalFormatting sqref="R212:T212">
    <cfRule type="expression" dxfId="991" priority="1648">
      <formula>$D$212&lt;5</formula>
    </cfRule>
  </conditionalFormatting>
  <conditionalFormatting sqref="R214:T214">
    <cfRule type="expression" dxfId="990" priority="1663">
      <formula>$D$214&lt;5</formula>
    </cfRule>
  </conditionalFormatting>
  <conditionalFormatting sqref="R215:T215">
    <cfRule type="expression" dxfId="989" priority="1678">
      <formula>$D$215&lt;5</formula>
    </cfRule>
  </conditionalFormatting>
  <conditionalFormatting sqref="R217:T217">
    <cfRule type="expression" dxfId="988" priority="1693">
      <formula>$D$217&lt;5</formula>
    </cfRule>
  </conditionalFormatting>
  <conditionalFormatting sqref="R219:T219">
    <cfRule type="expression" dxfId="987" priority="1708">
      <formula>$D$219&lt;5</formula>
    </cfRule>
  </conditionalFormatting>
  <conditionalFormatting sqref="R220:T220">
    <cfRule type="expression" dxfId="986" priority="1723">
      <formula>$D$220&lt;5</formula>
    </cfRule>
  </conditionalFormatting>
  <conditionalFormatting sqref="R222:T222">
    <cfRule type="expression" dxfId="985" priority="1738">
      <formula>$D$222&lt;5</formula>
    </cfRule>
  </conditionalFormatting>
  <conditionalFormatting sqref="R224:T224">
    <cfRule type="expression" dxfId="984" priority="1753">
      <formula>$D$224&lt;5</formula>
    </cfRule>
  </conditionalFormatting>
  <conditionalFormatting sqref="R229:T229">
    <cfRule type="expression" dxfId="983" priority="1768">
      <formula>$D$229&lt;5</formula>
    </cfRule>
  </conditionalFormatting>
  <conditionalFormatting sqref="R231:T231">
    <cfRule type="expression" dxfId="982" priority="1783">
      <formula>$D$231&lt;5</formula>
    </cfRule>
  </conditionalFormatting>
  <conditionalFormatting sqref="R232:T232">
    <cfRule type="expression" dxfId="981" priority="1798">
      <formula>$D$232&lt;5</formula>
    </cfRule>
  </conditionalFormatting>
  <conditionalFormatting sqref="R233:T233">
    <cfRule type="expression" dxfId="980" priority="1813">
      <formula>$D$233&lt;5</formula>
    </cfRule>
  </conditionalFormatting>
  <conditionalFormatting sqref="R235:T235">
    <cfRule type="expression" dxfId="979" priority="1828">
      <formula>$D$235&lt;5</formula>
    </cfRule>
  </conditionalFormatting>
  <conditionalFormatting sqref="R236:T236">
    <cfRule type="expression" dxfId="978" priority="1843">
      <formula>$D$236&lt;5</formula>
    </cfRule>
  </conditionalFormatting>
  <conditionalFormatting sqref="R238:T238">
    <cfRule type="expression" dxfId="977" priority="1858">
      <formula>$D$238&lt;5</formula>
    </cfRule>
  </conditionalFormatting>
  <conditionalFormatting sqref="R239:T239">
    <cfRule type="expression" dxfId="976" priority="1873">
      <formula>$D$239&lt;5</formula>
    </cfRule>
  </conditionalFormatting>
  <conditionalFormatting sqref="R241:T241">
    <cfRule type="expression" dxfId="975" priority="1888">
      <formula>$D$241&lt;5</formula>
    </cfRule>
  </conditionalFormatting>
  <conditionalFormatting sqref="R243:T243">
    <cfRule type="expression" dxfId="974" priority="1903">
      <formula>$D$243&lt;5</formula>
    </cfRule>
  </conditionalFormatting>
  <conditionalFormatting sqref="R244:T244">
    <cfRule type="expression" dxfId="973" priority="1918">
      <formula>$D$244&lt;5</formula>
    </cfRule>
  </conditionalFormatting>
  <conditionalFormatting sqref="R246:T246">
    <cfRule type="expression" dxfId="972" priority="1933">
      <formula>$D$246&lt;5</formula>
    </cfRule>
  </conditionalFormatting>
  <conditionalFormatting sqref="R248:T248">
    <cfRule type="expression" dxfId="971" priority="1948">
      <formula>$D$248&lt;5</formula>
    </cfRule>
  </conditionalFormatting>
  <conditionalFormatting sqref="R253:T253">
    <cfRule type="expression" dxfId="970" priority="1963">
      <formula>$D$253&lt;5</formula>
    </cfRule>
  </conditionalFormatting>
  <conditionalFormatting sqref="R255:T255">
    <cfRule type="expression" dxfId="969" priority="1978">
      <formula>$D$255&lt;5</formula>
    </cfRule>
  </conditionalFormatting>
  <conditionalFormatting sqref="R256:T256">
    <cfRule type="expression" dxfId="968" priority="1993">
      <formula>$D$256&lt;5</formula>
    </cfRule>
  </conditionalFormatting>
  <conditionalFormatting sqref="R257:T257">
    <cfRule type="expression" dxfId="967" priority="2008">
      <formula>$D$257&lt;5</formula>
    </cfRule>
  </conditionalFormatting>
  <conditionalFormatting sqref="R259:T259">
    <cfRule type="expression" dxfId="966" priority="2023">
      <formula>$D$259&lt;5</formula>
    </cfRule>
  </conditionalFormatting>
  <conditionalFormatting sqref="R260:T260">
    <cfRule type="expression" dxfId="965" priority="2038">
      <formula>$D$260&lt;5</formula>
    </cfRule>
  </conditionalFormatting>
  <conditionalFormatting sqref="R262:T262">
    <cfRule type="expression" dxfId="964" priority="2053">
      <formula>$D$262&lt;5</formula>
    </cfRule>
  </conditionalFormatting>
  <conditionalFormatting sqref="R263:T263">
    <cfRule type="expression" dxfId="963" priority="2068">
      <formula>$D$263&lt;5</formula>
    </cfRule>
  </conditionalFormatting>
  <conditionalFormatting sqref="R265:T265">
    <cfRule type="expression" dxfId="962" priority="2083">
      <formula>$D$265&lt;5</formula>
    </cfRule>
  </conditionalFormatting>
  <conditionalFormatting sqref="R267:T267">
    <cfRule type="expression" dxfId="961" priority="2098">
      <formula>$D$267&lt;5</formula>
    </cfRule>
  </conditionalFormatting>
  <conditionalFormatting sqref="R268:T268">
    <cfRule type="expression" dxfId="960" priority="2113">
      <formula>$D$268&lt;5</formula>
    </cfRule>
  </conditionalFormatting>
  <conditionalFormatting sqref="R270:T270">
    <cfRule type="expression" dxfId="959" priority="2128">
      <formula>$D$270&lt;5</formula>
    </cfRule>
  </conditionalFormatting>
  <conditionalFormatting sqref="R272:T272">
    <cfRule type="expression" dxfId="958" priority="2143">
      <formula>$D$272&lt;5</formula>
    </cfRule>
  </conditionalFormatting>
  <conditionalFormatting sqref="R277:T277">
    <cfRule type="expression" dxfId="957" priority="2158">
      <formula>$D$277&lt;5</formula>
    </cfRule>
  </conditionalFormatting>
  <conditionalFormatting sqref="R279:T279">
    <cfRule type="expression" dxfId="956" priority="2173">
      <formula>$D$279&lt;5</formula>
    </cfRule>
  </conditionalFormatting>
  <conditionalFormatting sqref="R280:T280">
    <cfRule type="expression" dxfId="955" priority="2188">
      <formula>$D$280&lt;5</formula>
    </cfRule>
  </conditionalFormatting>
  <conditionalFormatting sqref="R281:T281">
    <cfRule type="expression" dxfId="954" priority="2203">
      <formula>$D$281&lt;5</formula>
    </cfRule>
  </conditionalFormatting>
  <conditionalFormatting sqref="R283:T283">
    <cfRule type="expression" dxfId="953" priority="2218">
      <formula>$D$283&lt;5</formula>
    </cfRule>
  </conditionalFormatting>
  <conditionalFormatting sqref="R284:T284">
    <cfRule type="expression" dxfId="952" priority="2233">
      <formula>$D$284&lt;5</formula>
    </cfRule>
  </conditionalFormatting>
  <conditionalFormatting sqref="R286:T286">
    <cfRule type="expression" dxfId="951" priority="2248">
      <formula>$D$286&lt;5</formula>
    </cfRule>
  </conditionalFormatting>
  <conditionalFormatting sqref="R287:T287">
    <cfRule type="expression" dxfId="950" priority="2263">
      <formula>$D$287&lt;5</formula>
    </cfRule>
  </conditionalFormatting>
  <conditionalFormatting sqref="R289:T289">
    <cfRule type="expression" dxfId="949" priority="2278">
      <formula>$D$289&lt;5</formula>
    </cfRule>
  </conditionalFormatting>
  <conditionalFormatting sqref="R291:T291">
    <cfRule type="expression" dxfId="948" priority="2293">
      <formula>$D$291&lt;5</formula>
    </cfRule>
  </conditionalFormatting>
  <conditionalFormatting sqref="R292:T292">
    <cfRule type="expression" dxfId="947" priority="2308">
      <formula>$D$292&lt;5</formula>
    </cfRule>
  </conditionalFormatting>
  <conditionalFormatting sqref="R294:T294">
    <cfRule type="expression" dxfId="946" priority="2323">
      <formula>$D$294&lt;5</formula>
    </cfRule>
  </conditionalFormatting>
  <conditionalFormatting sqref="R296:T296">
    <cfRule type="expression" dxfId="945" priority="2338">
      <formula>$D$296&lt;5</formula>
    </cfRule>
  </conditionalFormatting>
  <conditionalFormatting sqref="S13">
    <cfRule type="expression" dxfId="944" priority="14">
      <formula>$D$13&lt;5</formula>
    </cfRule>
  </conditionalFormatting>
  <conditionalFormatting sqref="S15">
    <cfRule type="expression" dxfId="943" priority="29">
      <formula>$D$15&lt;5</formula>
    </cfRule>
  </conditionalFormatting>
  <conditionalFormatting sqref="S16">
    <cfRule type="expression" dxfId="942" priority="44">
      <formula>$D$16&lt;5</formula>
    </cfRule>
  </conditionalFormatting>
  <conditionalFormatting sqref="S17">
    <cfRule type="expression" dxfId="941" priority="59">
      <formula>$D$17&lt;5</formula>
    </cfRule>
  </conditionalFormatting>
  <conditionalFormatting sqref="S19">
    <cfRule type="expression" dxfId="940" priority="74">
      <formula>$D$19&lt;5</formula>
    </cfRule>
  </conditionalFormatting>
  <conditionalFormatting sqref="S20">
    <cfRule type="expression" dxfId="939" priority="89">
      <formula>$D$20&lt;5</formula>
    </cfRule>
  </conditionalFormatting>
  <conditionalFormatting sqref="S22">
    <cfRule type="expression" dxfId="938" priority="104">
      <formula>$D$22&lt;5</formula>
    </cfRule>
  </conditionalFormatting>
  <conditionalFormatting sqref="S23">
    <cfRule type="expression" dxfId="937" priority="119">
      <formula>$D$23&lt;5</formula>
    </cfRule>
  </conditionalFormatting>
  <conditionalFormatting sqref="S25">
    <cfRule type="expression" dxfId="936" priority="134">
      <formula>$D$25&lt;5</formula>
    </cfRule>
  </conditionalFormatting>
  <conditionalFormatting sqref="S27">
    <cfRule type="expression" dxfId="935" priority="149">
      <formula>$D$27&lt;5</formula>
    </cfRule>
  </conditionalFormatting>
  <conditionalFormatting sqref="S28">
    <cfRule type="expression" dxfId="934" priority="164">
      <formula>$D$28&lt;5</formula>
    </cfRule>
  </conditionalFormatting>
  <conditionalFormatting sqref="S30">
    <cfRule type="expression" dxfId="933" priority="179">
      <formula>$D$30&lt;5</formula>
    </cfRule>
  </conditionalFormatting>
  <conditionalFormatting sqref="S32">
    <cfRule type="expression" dxfId="932" priority="194">
      <formula>$D$32&lt;5</formula>
    </cfRule>
  </conditionalFormatting>
  <conditionalFormatting sqref="S37">
    <cfRule type="expression" dxfId="931" priority="209">
      <formula>$D$37&lt;5</formula>
    </cfRule>
  </conditionalFormatting>
  <conditionalFormatting sqref="S39">
    <cfRule type="expression" dxfId="930" priority="224">
      <formula>$D$39&lt;5</formula>
    </cfRule>
  </conditionalFormatting>
  <conditionalFormatting sqref="S40">
    <cfRule type="expression" dxfId="929" priority="239">
      <formula>$D$40&lt;5</formula>
    </cfRule>
  </conditionalFormatting>
  <conditionalFormatting sqref="S41">
    <cfRule type="expression" dxfId="928" priority="254">
      <formula>$D$41&lt;5</formula>
    </cfRule>
  </conditionalFormatting>
  <conditionalFormatting sqref="S43">
    <cfRule type="expression" dxfId="927" priority="269">
      <formula>$D$43&lt;5</formula>
    </cfRule>
  </conditionalFormatting>
  <conditionalFormatting sqref="S44">
    <cfRule type="expression" dxfId="926" priority="284">
      <formula>$D$44&lt;5</formula>
    </cfRule>
  </conditionalFormatting>
  <conditionalFormatting sqref="S46">
    <cfRule type="expression" dxfId="925" priority="299">
      <formula>$D$46&lt;5</formula>
    </cfRule>
  </conditionalFormatting>
  <conditionalFormatting sqref="S47">
    <cfRule type="expression" dxfId="924" priority="314">
      <formula>$D$47&lt;5</formula>
    </cfRule>
  </conditionalFormatting>
  <conditionalFormatting sqref="S49">
    <cfRule type="expression" dxfId="923" priority="329">
      <formula>$D$49&lt;5</formula>
    </cfRule>
  </conditionalFormatting>
  <conditionalFormatting sqref="S51">
    <cfRule type="expression" dxfId="922" priority="344">
      <formula>$D$51&lt;5</formula>
    </cfRule>
  </conditionalFormatting>
  <conditionalFormatting sqref="S52">
    <cfRule type="expression" dxfId="921" priority="359">
      <formula>$D$52&lt;5</formula>
    </cfRule>
  </conditionalFormatting>
  <conditionalFormatting sqref="S54">
    <cfRule type="expression" dxfId="920" priority="374">
      <formula>$D$54&lt;5</formula>
    </cfRule>
  </conditionalFormatting>
  <conditionalFormatting sqref="S56">
    <cfRule type="expression" dxfId="919" priority="389">
      <formula>$D$56&lt;5</formula>
    </cfRule>
  </conditionalFormatting>
  <conditionalFormatting sqref="S61">
    <cfRule type="expression" dxfId="918" priority="404">
      <formula>$D$61&lt;5</formula>
    </cfRule>
  </conditionalFormatting>
  <conditionalFormatting sqref="S63">
    <cfRule type="expression" dxfId="917" priority="419">
      <formula>$D$63&lt;5</formula>
    </cfRule>
  </conditionalFormatting>
  <conditionalFormatting sqref="S64">
    <cfRule type="expression" dxfId="916" priority="434">
      <formula>$D$64&lt;5</formula>
    </cfRule>
  </conditionalFormatting>
  <conditionalFormatting sqref="S65">
    <cfRule type="expression" dxfId="915" priority="449">
      <formula>$D$65&lt;5</formula>
    </cfRule>
  </conditionalFormatting>
  <conditionalFormatting sqref="S67">
    <cfRule type="expression" dxfId="914" priority="464">
      <formula>$D$67&lt;5</formula>
    </cfRule>
  </conditionalFormatting>
  <conditionalFormatting sqref="S68">
    <cfRule type="expression" dxfId="913" priority="479">
      <formula>$D$68&lt;5</formula>
    </cfRule>
  </conditionalFormatting>
  <conditionalFormatting sqref="S70">
    <cfRule type="expression" dxfId="912" priority="494">
      <formula>$D$70&lt;5</formula>
    </cfRule>
  </conditionalFormatting>
  <conditionalFormatting sqref="S71">
    <cfRule type="expression" dxfId="911" priority="509">
      <formula>$D$71&lt;5</formula>
    </cfRule>
  </conditionalFormatting>
  <conditionalFormatting sqref="S73">
    <cfRule type="expression" dxfId="910" priority="524">
      <formula>$D$73&lt;5</formula>
    </cfRule>
  </conditionalFormatting>
  <conditionalFormatting sqref="S75">
    <cfRule type="expression" dxfId="909" priority="539">
      <formula>$D$75&lt;5</formula>
    </cfRule>
  </conditionalFormatting>
  <conditionalFormatting sqref="S76">
    <cfRule type="expression" dxfId="908" priority="554">
      <formula>$D$76&lt;5</formula>
    </cfRule>
  </conditionalFormatting>
  <conditionalFormatting sqref="S78">
    <cfRule type="expression" dxfId="907" priority="569">
      <formula>$D$78&lt;5</formula>
    </cfRule>
  </conditionalFormatting>
  <conditionalFormatting sqref="S80">
    <cfRule type="expression" dxfId="906" priority="584">
      <formula>$D$80&lt;5</formula>
    </cfRule>
  </conditionalFormatting>
  <conditionalFormatting sqref="S85">
    <cfRule type="expression" dxfId="905" priority="599">
      <formula>$D$85&lt;5</formula>
    </cfRule>
  </conditionalFormatting>
  <conditionalFormatting sqref="S87">
    <cfRule type="expression" dxfId="904" priority="614">
      <formula>$D$87&lt;5</formula>
    </cfRule>
  </conditionalFormatting>
  <conditionalFormatting sqref="S88">
    <cfRule type="expression" dxfId="903" priority="629">
      <formula>$D$88&lt;5</formula>
    </cfRule>
  </conditionalFormatting>
  <conditionalFormatting sqref="S89">
    <cfRule type="expression" dxfId="902" priority="644">
      <formula>$D$89&lt;5</formula>
    </cfRule>
  </conditionalFormatting>
  <conditionalFormatting sqref="S91">
    <cfRule type="expression" dxfId="901" priority="659">
      <formula>$D$91&lt;5</formula>
    </cfRule>
  </conditionalFormatting>
  <conditionalFormatting sqref="S92">
    <cfRule type="expression" dxfId="900" priority="674">
      <formula>$D$92&lt;5</formula>
    </cfRule>
  </conditionalFormatting>
  <conditionalFormatting sqref="S94">
    <cfRule type="expression" dxfId="899" priority="689">
      <formula>$D$94&lt;5</formula>
    </cfRule>
  </conditionalFormatting>
  <conditionalFormatting sqref="S95">
    <cfRule type="expression" dxfId="898" priority="704">
      <formula>$D$95&lt;5</formula>
    </cfRule>
  </conditionalFormatting>
  <conditionalFormatting sqref="S97">
    <cfRule type="expression" dxfId="897" priority="719">
      <formula>$D$97&lt;5</formula>
    </cfRule>
  </conditionalFormatting>
  <conditionalFormatting sqref="S99">
    <cfRule type="expression" dxfId="896" priority="734">
      <formula>$D$99&lt;5</formula>
    </cfRule>
  </conditionalFormatting>
  <conditionalFormatting sqref="S100">
    <cfRule type="expression" dxfId="895" priority="749">
      <formula>$D$100&lt;5</formula>
    </cfRule>
  </conditionalFormatting>
  <conditionalFormatting sqref="S102">
    <cfRule type="expression" dxfId="894" priority="764">
      <formula>$D$102&lt;5</formula>
    </cfRule>
  </conditionalFormatting>
  <conditionalFormatting sqref="S104">
    <cfRule type="expression" dxfId="893" priority="779">
      <formula>$D$104&lt;5</formula>
    </cfRule>
  </conditionalFormatting>
  <conditionalFormatting sqref="S109">
    <cfRule type="expression" dxfId="892" priority="794">
      <formula>$D$109&lt;5</formula>
    </cfRule>
  </conditionalFormatting>
  <conditionalFormatting sqref="S111">
    <cfRule type="expression" dxfId="891" priority="809">
      <formula>$D$111&lt;5</formula>
    </cfRule>
  </conditionalFormatting>
  <conditionalFormatting sqref="S112">
    <cfRule type="expression" dxfId="890" priority="824">
      <formula>$D$112&lt;5</formula>
    </cfRule>
  </conditionalFormatting>
  <conditionalFormatting sqref="S113">
    <cfRule type="expression" dxfId="889" priority="839">
      <formula>$D$113&lt;5</formula>
    </cfRule>
  </conditionalFormatting>
  <conditionalFormatting sqref="S115">
    <cfRule type="expression" dxfId="888" priority="854">
      <formula>$D$115&lt;5</formula>
    </cfRule>
  </conditionalFormatting>
  <conditionalFormatting sqref="S116">
    <cfRule type="expression" dxfId="887" priority="869">
      <formula>$D$116&lt;5</formula>
    </cfRule>
  </conditionalFormatting>
  <conditionalFormatting sqref="S118">
    <cfRule type="expression" dxfId="886" priority="884">
      <formula>$D$118&lt;5</formula>
    </cfRule>
  </conditionalFormatting>
  <conditionalFormatting sqref="S119">
    <cfRule type="expression" dxfId="885" priority="899">
      <formula>$D$119&lt;5</formula>
    </cfRule>
  </conditionalFormatting>
  <conditionalFormatting sqref="S121">
    <cfRule type="expression" dxfId="884" priority="914">
      <formula>$D$121&lt;5</formula>
    </cfRule>
  </conditionalFormatting>
  <conditionalFormatting sqref="S123">
    <cfRule type="expression" dxfId="883" priority="929">
      <formula>$D$123&lt;5</formula>
    </cfRule>
  </conditionalFormatting>
  <conditionalFormatting sqref="S124">
    <cfRule type="expression" dxfId="882" priority="944">
      <formula>$D$124&lt;5</formula>
    </cfRule>
  </conditionalFormatting>
  <conditionalFormatting sqref="S126">
    <cfRule type="expression" dxfId="881" priority="959">
      <formula>$D$126&lt;5</formula>
    </cfRule>
  </conditionalFormatting>
  <conditionalFormatting sqref="S128">
    <cfRule type="expression" dxfId="880" priority="974">
      <formula>$D$128&lt;5</formula>
    </cfRule>
  </conditionalFormatting>
  <conditionalFormatting sqref="S133">
    <cfRule type="expression" dxfId="879" priority="989">
      <formula>$D$133&lt;5</formula>
    </cfRule>
  </conditionalFormatting>
  <conditionalFormatting sqref="S135">
    <cfRule type="expression" dxfId="878" priority="1004">
      <formula>$D$135&lt;5</formula>
    </cfRule>
  </conditionalFormatting>
  <conditionalFormatting sqref="S136">
    <cfRule type="expression" dxfId="877" priority="1019">
      <formula>$D$136&lt;5</formula>
    </cfRule>
  </conditionalFormatting>
  <conditionalFormatting sqref="S137">
    <cfRule type="expression" dxfId="876" priority="1034">
      <formula>$D$137&lt;5</formula>
    </cfRule>
  </conditionalFormatting>
  <conditionalFormatting sqref="S139">
    <cfRule type="expression" dxfId="875" priority="1049">
      <formula>$D$139&lt;5</formula>
    </cfRule>
  </conditionalFormatting>
  <conditionalFormatting sqref="S140">
    <cfRule type="expression" dxfId="874" priority="1064">
      <formula>$D$140&lt;5</formula>
    </cfRule>
  </conditionalFormatting>
  <conditionalFormatting sqref="S142">
    <cfRule type="expression" dxfId="873" priority="1079">
      <formula>$D$142&lt;5</formula>
    </cfRule>
  </conditionalFormatting>
  <conditionalFormatting sqref="S143">
    <cfRule type="expression" dxfId="872" priority="1094">
      <formula>$D$143&lt;5</formula>
    </cfRule>
  </conditionalFormatting>
  <conditionalFormatting sqref="S145">
    <cfRule type="expression" dxfId="871" priority="1109">
      <formula>$D$145&lt;5</formula>
    </cfRule>
  </conditionalFormatting>
  <conditionalFormatting sqref="S147">
    <cfRule type="expression" dxfId="870" priority="1124">
      <formula>$D$147&lt;5</formula>
    </cfRule>
  </conditionalFormatting>
  <conditionalFormatting sqref="S148">
    <cfRule type="expression" dxfId="869" priority="1139">
      <formula>$D$148&lt;5</formula>
    </cfRule>
  </conditionalFormatting>
  <conditionalFormatting sqref="S150">
    <cfRule type="expression" dxfId="868" priority="1154">
      <formula>$D$150&lt;5</formula>
    </cfRule>
  </conditionalFormatting>
  <conditionalFormatting sqref="S152">
    <cfRule type="expression" dxfId="867" priority="1169">
      <formula>$D$152&lt;5</formula>
    </cfRule>
  </conditionalFormatting>
  <conditionalFormatting sqref="S157">
    <cfRule type="expression" dxfId="866" priority="1184">
      <formula>$D$157&lt;5</formula>
    </cfRule>
  </conditionalFormatting>
  <conditionalFormatting sqref="S159">
    <cfRule type="expression" dxfId="865" priority="1199">
      <formula>$D$159&lt;5</formula>
    </cfRule>
  </conditionalFormatting>
  <conditionalFormatting sqref="S160">
    <cfRule type="expression" dxfId="864" priority="1214">
      <formula>$D$160&lt;5</formula>
    </cfRule>
  </conditionalFormatting>
  <conditionalFormatting sqref="S161">
    <cfRule type="expression" dxfId="863" priority="1229">
      <formula>$D$161&lt;5</formula>
    </cfRule>
  </conditionalFormatting>
  <conditionalFormatting sqref="S163">
    <cfRule type="expression" dxfId="862" priority="1244">
      <formula>$D$163&lt;5</formula>
    </cfRule>
  </conditionalFormatting>
  <conditionalFormatting sqref="S164">
    <cfRule type="expression" dxfId="861" priority="1259">
      <formula>$D$164&lt;5</formula>
    </cfRule>
  </conditionalFormatting>
  <conditionalFormatting sqref="S166">
    <cfRule type="expression" dxfId="860" priority="1274">
      <formula>$D$166&lt;5</formula>
    </cfRule>
  </conditionalFormatting>
  <conditionalFormatting sqref="S167">
    <cfRule type="expression" dxfId="859" priority="1289">
      <formula>$D$167&lt;5</formula>
    </cfRule>
  </conditionalFormatting>
  <conditionalFormatting sqref="S169">
    <cfRule type="expression" dxfId="858" priority="1304">
      <formula>$D$169&lt;5</formula>
    </cfRule>
  </conditionalFormatting>
  <conditionalFormatting sqref="S171">
    <cfRule type="expression" dxfId="857" priority="1319">
      <formula>$D$171&lt;5</formula>
    </cfRule>
  </conditionalFormatting>
  <conditionalFormatting sqref="S172">
    <cfRule type="expression" dxfId="856" priority="1334">
      <formula>$D$172&lt;5</formula>
    </cfRule>
  </conditionalFormatting>
  <conditionalFormatting sqref="S174">
    <cfRule type="expression" dxfId="855" priority="1349">
      <formula>$D$174&lt;5</formula>
    </cfRule>
  </conditionalFormatting>
  <conditionalFormatting sqref="S176">
    <cfRule type="expression" dxfId="854" priority="1364">
      <formula>$D$176&lt;5</formula>
    </cfRule>
  </conditionalFormatting>
  <conditionalFormatting sqref="S181">
    <cfRule type="expression" dxfId="853" priority="1379">
      <formula>$D$181&lt;5</formula>
    </cfRule>
  </conditionalFormatting>
  <conditionalFormatting sqref="S183">
    <cfRule type="expression" dxfId="852" priority="1394">
      <formula>$D$183&lt;5</formula>
    </cfRule>
  </conditionalFormatting>
  <conditionalFormatting sqref="S184">
    <cfRule type="expression" dxfId="851" priority="1409">
      <formula>$D$184&lt;5</formula>
    </cfRule>
  </conditionalFormatting>
  <conditionalFormatting sqref="S185">
    <cfRule type="expression" dxfId="850" priority="1424">
      <formula>$D$185&lt;5</formula>
    </cfRule>
  </conditionalFormatting>
  <conditionalFormatting sqref="S187">
    <cfRule type="expression" dxfId="849" priority="1439">
      <formula>$D$187&lt;5</formula>
    </cfRule>
  </conditionalFormatting>
  <conditionalFormatting sqref="S188">
    <cfRule type="expression" dxfId="848" priority="1454">
      <formula>$D$188&lt;5</formula>
    </cfRule>
  </conditionalFormatting>
  <conditionalFormatting sqref="S190">
    <cfRule type="expression" dxfId="847" priority="1469">
      <formula>$D$190&lt;5</formula>
    </cfRule>
  </conditionalFormatting>
  <conditionalFormatting sqref="S191">
    <cfRule type="expression" dxfId="846" priority="1484">
      <formula>$D$191&lt;5</formula>
    </cfRule>
  </conditionalFormatting>
  <conditionalFormatting sqref="S193">
    <cfRule type="expression" dxfId="845" priority="1499">
      <formula>$D$193&lt;5</formula>
    </cfRule>
  </conditionalFormatting>
  <conditionalFormatting sqref="T13">
    <cfRule type="expression" dxfId="844" priority="15">
      <formula>$D$13&lt;5</formula>
    </cfRule>
  </conditionalFormatting>
  <conditionalFormatting sqref="T15">
    <cfRule type="expression" dxfId="843" priority="30">
      <formula>$D$15&lt;5</formula>
    </cfRule>
  </conditionalFormatting>
  <conditionalFormatting sqref="T16">
    <cfRule type="expression" dxfId="842" priority="45">
      <formula>$D$16&lt;5</formula>
    </cfRule>
  </conditionalFormatting>
  <conditionalFormatting sqref="T17">
    <cfRule type="expression" dxfId="841" priority="60">
      <formula>$D$17&lt;5</formula>
    </cfRule>
  </conditionalFormatting>
  <conditionalFormatting sqref="T19">
    <cfRule type="expression" dxfId="840" priority="75">
      <formula>$D$19&lt;5</formula>
    </cfRule>
  </conditionalFormatting>
  <conditionalFormatting sqref="T20">
    <cfRule type="expression" dxfId="839" priority="90">
      <formula>$D$20&lt;5</formula>
    </cfRule>
  </conditionalFormatting>
  <conditionalFormatting sqref="T22">
    <cfRule type="expression" dxfId="838" priority="105">
      <formula>$D$22&lt;5</formula>
    </cfRule>
  </conditionalFormatting>
  <conditionalFormatting sqref="T23">
    <cfRule type="expression" dxfId="837" priority="120">
      <formula>$D$23&lt;5</formula>
    </cfRule>
  </conditionalFormatting>
  <conditionalFormatting sqref="T25">
    <cfRule type="expression" dxfId="836" priority="135">
      <formula>$D$25&lt;5</formula>
    </cfRule>
  </conditionalFormatting>
  <conditionalFormatting sqref="T27">
    <cfRule type="expression" dxfId="835" priority="150">
      <formula>$D$27&lt;5</formula>
    </cfRule>
  </conditionalFormatting>
  <conditionalFormatting sqref="T28">
    <cfRule type="expression" dxfId="834" priority="165">
      <formula>$D$28&lt;5</formula>
    </cfRule>
  </conditionalFormatting>
  <conditionalFormatting sqref="T30">
    <cfRule type="expression" dxfId="833" priority="180">
      <formula>$D$30&lt;5</formula>
    </cfRule>
  </conditionalFormatting>
  <conditionalFormatting sqref="T32">
    <cfRule type="expression" dxfId="832" priority="195">
      <formula>$D$32&lt;5</formula>
    </cfRule>
  </conditionalFormatting>
  <conditionalFormatting sqref="T37">
    <cfRule type="expression" dxfId="831" priority="210">
      <formula>$D$37&lt;5</formula>
    </cfRule>
  </conditionalFormatting>
  <conditionalFormatting sqref="T39">
    <cfRule type="expression" dxfId="830" priority="225">
      <formula>$D$39&lt;5</formula>
    </cfRule>
  </conditionalFormatting>
  <conditionalFormatting sqref="T40">
    <cfRule type="expression" dxfId="829" priority="240">
      <formula>$D$40&lt;5</formula>
    </cfRule>
  </conditionalFormatting>
  <conditionalFormatting sqref="T41">
    <cfRule type="expression" dxfId="828" priority="255">
      <formula>$D$41&lt;5</formula>
    </cfRule>
  </conditionalFormatting>
  <conditionalFormatting sqref="T43">
    <cfRule type="expression" dxfId="827" priority="270">
      <formula>$D$43&lt;5</formula>
    </cfRule>
  </conditionalFormatting>
  <conditionalFormatting sqref="T44">
    <cfRule type="expression" dxfId="826" priority="285">
      <formula>$D$44&lt;5</formula>
    </cfRule>
  </conditionalFormatting>
  <conditionalFormatting sqref="T46">
    <cfRule type="expression" dxfId="825" priority="300">
      <formula>$D$46&lt;5</formula>
    </cfRule>
  </conditionalFormatting>
  <conditionalFormatting sqref="T47">
    <cfRule type="expression" dxfId="824" priority="315">
      <formula>$D$47&lt;5</formula>
    </cfRule>
  </conditionalFormatting>
  <conditionalFormatting sqref="T49">
    <cfRule type="expression" dxfId="823" priority="330">
      <formula>$D$49&lt;5</formula>
    </cfRule>
  </conditionalFormatting>
  <conditionalFormatting sqref="T51">
    <cfRule type="expression" dxfId="822" priority="345">
      <formula>$D$51&lt;5</formula>
    </cfRule>
  </conditionalFormatting>
  <conditionalFormatting sqref="T52">
    <cfRule type="expression" dxfId="821" priority="360">
      <formula>$D$52&lt;5</formula>
    </cfRule>
  </conditionalFormatting>
  <conditionalFormatting sqref="T54">
    <cfRule type="expression" dxfId="820" priority="375">
      <formula>$D$54&lt;5</formula>
    </cfRule>
  </conditionalFormatting>
  <conditionalFormatting sqref="T56">
    <cfRule type="expression" dxfId="819" priority="390">
      <formula>$D$56&lt;5</formula>
    </cfRule>
  </conditionalFormatting>
  <conditionalFormatting sqref="T61">
    <cfRule type="expression" dxfId="818" priority="405">
      <formula>$D$61&lt;5</formula>
    </cfRule>
  </conditionalFormatting>
  <conditionalFormatting sqref="T63">
    <cfRule type="expression" dxfId="817" priority="420">
      <formula>$D$63&lt;5</formula>
    </cfRule>
  </conditionalFormatting>
  <conditionalFormatting sqref="T64">
    <cfRule type="expression" dxfId="816" priority="435">
      <formula>$D$64&lt;5</formula>
    </cfRule>
  </conditionalFormatting>
  <conditionalFormatting sqref="T65">
    <cfRule type="expression" dxfId="815" priority="450">
      <formula>$D$65&lt;5</formula>
    </cfRule>
  </conditionalFormatting>
  <conditionalFormatting sqref="T67">
    <cfRule type="expression" dxfId="814" priority="465">
      <formula>$D$67&lt;5</formula>
    </cfRule>
  </conditionalFormatting>
  <conditionalFormatting sqref="T68">
    <cfRule type="expression" dxfId="813" priority="480">
      <formula>$D$68&lt;5</formula>
    </cfRule>
  </conditionalFormatting>
  <conditionalFormatting sqref="T70">
    <cfRule type="expression" dxfId="812" priority="495">
      <formula>$D$70&lt;5</formula>
    </cfRule>
  </conditionalFormatting>
  <conditionalFormatting sqref="T71">
    <cfRule type="expression" dxfId="811" priority="510">
      <formula>$D$71&lt;5</formula>
    </cfRule>
  </conditionalFormatting>
  <conditionalFormatting sqref="T73">
    <cfRule type="expression" dxfId="810" priority="525">
      <formula>$D$73&lt;5</formula>
    </cfRule>
  </conditionalFormatting>
  <conditionalFormatting sqref="T75">
    <cfRule type="expression" dxfId="809" priority="540">
      <formula>$D$75&lt;5</formula>
    </cfRule>
  </conditionalFormatting>
  <conditionalFormatting sqref="T76">
    <cfRule type="expression" dxfId="808" priority="555">
      <formula>$D$76&lt;5</formula>
    </cfRule>
  </conditionalFormatting>
  <conditionalFormatting sqref="T78">
    <cfRule type="expression" dxfId="807" priority="570">
      <formula>$D$78&lt;5</formula>
    </cfRule>
  </conditionalFormatting>
  <conditionalFormatting sqref="T80">
    <cfRule type="expression" dxfId="806" priority="585">
      <formula>$D$80&lt;5</formula>
    </cfRule>
  </conditionalFormatting>
  <conditionalFormatting sqref="T85">
    <cfRule type="expression" dxfId="805" priority="600">
      <formula>$D$85&lt;5</formula>
    </cfRule>
  </conditionalFormatting>
  <conditionalFormatting sqref="T87">
    <cfRule type="expression" dxfId="804" priority="615">
      <formula>$D$87&lt;5</formula>
    </cfRule>
  </conditionalFormatting>
  <conditionalFormatting sqref="T88">
    <cfRule type="expression" dxfId="803" priority="630">
      <formula>$D$88&lt;5</formula>
    </cfRule>
  </conditionalFormatting>
  <conditionalFormatting sqref="T89">
    <cfRule type="expression" dxfId="802" priority="645">
      <formula>$D$89&lt;5</formula>
    </cfRule>
  </conditionalFormatting>
  <conditionalFormatting sqref="T91">
    <cfRule type="expression" dxfId="801" priority="660">
      <formula>$D$91&lt;5</formula>
    </cfRule>
  </conditionalFormatting>
  <conditionalFormatting sqref="T92">
    <cfRule type="expression" dxfId="800" priority="675">
      <formula>$D$92&lt;5</formula>
    </cfRule>
  </conditionalFormatting>
  <conditionalFormatting sqref="T94">
    <cfRule type="expression" dxfId="799" priority="690">
      <formula>$D$94&lt;5</formula>
    </cfRule>
  </conditionalFormatting>
  <conditionalFormatting sqref="T95">
    <cfRule type="expression" dxfId="798" priority="705">
      <formula>$D$95&lt;5</formula>
    </cfRule>
  </conditionalFormatting>
  <conditionalFormatting sqref="T97">
    <cfRule type="expression" dxfId="797" priority="720">
      <formula>$D$97&lt;5</formula>
    </cfRule>
  </conditionalFormatting>
  <conditionalFormatting sqref="T99">
    <cfRule type="expression" dxfId="796" priority="735">
      <formula>$D$99&lt;5</formula>
    </cfRule>
  </conditionalFormatting>
  <conditionalFormatting sqref="T100">
    <cfRule type="expression" dxfId="795" priority="750">
      <formula>$D$100&lt;5</formula>
    </cfRule>
  </conditionalFormatting>
  <conditionalFormatting sqref="T102">
    <cfRule type="expression" dxfId="794" priority="765">
      <formula>$D$102&lt;5</formula>
    </cfRule>
  </conditionalFormatting>
  <conditionalFormatting sqref="T104">
    <cfRule type="expression" dxfId="793" priority="780">
      <formula>$D$104&lt;5</formula>
    </cfRule>
  </conditionalFormatting>
  <conditionalFormatting sqref="T109">
    <cfRule type="expression" dxfId="792" priority="795">
      <formula>$D$109&lt;5</formula>
    </cfRule>
  </conditionalFormatting>
  <conditionalFormatting sqref="T111">
    <cfRule type="expression" dxfId="791" priority="810">
      <formula>$D$111&lt;5</formula>
    </cfRule>
  </conditionalFormatting>
  <conditionalFormatting sqref="T112">
    <cfRule type="expression" dxfId="790" priority="825">
      <formula>$D$112&lt;5</formula>
    </cfRule>
  </conditionalFormatting>
  <conditionalFormatting sqref="T113">
    <cfRule type="expression" dxfId="789" priority="840">
      <formula>$D$113&lt;5</formula>
    </cfRule>
  </conditionalFormatting>
  <conditionalFormatting sqref="T115">
    <cfRule type="expression" dxfId="788" priority="855">
      <formula>$D$115&lt;5</formula>
    </cfRule>
  </conditionalFormatting>
  <conditionalFormatting sqref="T116">
    <cfRule type="expression" dxfId="787" priority="870">
      <formula>$D$116&lt;5</formula>
    </cfRule>
  </conditionalFormatting>
  <conditionalFormatting sqref="T118">
    <cfRule type="expression" dxfId="786" priority="885">
      <formula>$D$118&lt;5</formula>
    </cfRule>
  </conditionalFormatting>
  <conditionalFormatting sqref="T119">
    <cfRule type="expression" dxfId="785" priority="900">
      <formula>$D$119&lt;5</formula>
    </cfRule>
  </conditionalFormatting>
  <conditionalFormatting sqref="T121">
    <cfRule type="expression" dxfId="784" priority="915">
      <formula>$D$121&lt;5</formula>
    </cfRule>
  </conditionalFormatting>
  <conditionalFormatting sqref="T123">
    <cfRule type="expression" dxfId="783" priority="930">
      <formula>$D$123&lt;5</formula>
    </cfRule>
  </conditionalFormatting>
  <conditionalFormatting sqref="T124">
    <cfRule type="expression" dxfId="782" priority="945">
      <formula>$D$124&lt;5</formula>
    </cfRule>
  </conditionalFormatting>
  <conditionalFormatting sqref="T126">
    <cfRule type="expression" dxfId="781" priority="960">
      <formula>$D$126&lt;5</formula>
    </cfRule>
  </conditionalFormatting>
  <conditionalFormatting sqref="T128">
    <cfRule type="expression" dxfId="780" priority="975">
      <formula>$D$128&lt;5</formula>
    </cfRule>
  </conditionalFormatting>
  <conditionalFormatting sqref="T133">
    <cfRule type="expression" dxfId="779" priority="990">
      <formula>$D$133&lt;5</formula>
    </cfRule>
  </conditionalFormatting>
  <conditionalFormatting sqref="T135">
    <cfRule type="expression" dxfId="778" priority="1005">
      <formula>$D$135&lt;5</formula>
    </cfRule>
  </conditionalFormatting>
  <conditionalFormatting sqref="T136">
    <cfRule type="expression" dxfId="777" priority="1020">
      <formula>$D$136&lt;5</formula>
    </cfRule>
  </conditionalFormatting>
  <conditionalFormatting sqref="T137">
    <cfRule type="expression" dxfId="776" priority="1035">
      <formula>$D$137&lt;5</formula>
    </cfRule>
  </conditionalFormatting>
  <conditionalFormatting sqref="T139">
    <cfRule type="expression" dxfId="775" priority="1050">
      <formula>$D$139&lt;5</formula>
    </cfRule>
  </conditionalFormatting>
  <conditionalFormatting sqref="T140">
    <cfRule type="expression" dxfId="774" priority="1065">
      <formula>$D$140&lt;5</formula>
    </cfRule>
  </conditionalFormatting>
  <conditionalFormatting sqref="T142">
    <cfRule type="expression" dxfId="773" priority="1080">
      <formula>$D$142&lt;5</formula>
    </cfRule>
  </conditionalFormatting>
  <conditionalFormatting sqref="T143">
    <cfRule type="expression" dxfId="772" priority="1095">
      <formula>$D$143&lt;5</formula>
    </cfRule>
  </conditionalFormatting>
  <conditionalFormatting sqref="T145">
    <cfRule type="expression" dxfId="771" priority="1110">
      <formula>$D$145&lt;5</formula>
    </cfRule>
  </conditionalFormatting>
  <conditionalFormatting sqref="T147">
    <cfRule type="expression" dxfId="770" priority="1125">
      <formula>$D$147&lt;5</formula>
    </cfRule>
  </conditionalFormatting>
  <conditionalFormatting sqref="T148">
    <cfRule type="expression" dxfId="769" priority="1140">
      <formula>$D$148&lt;5</formula>
    </cfRule>
  </conditionalFormatting>
  <conditionalFormatting sqref="T150">
    <cfRule type="expression" dxfId="768" priority="1155">
      <formula>$D$150&lt;5</formula>
    </cfRule>
  </conditionalFormatting>
  <conditionalFormatting sqref="T152">
    <cfRule type="expression" dxfId="767" priority="1170">
      <formula>$D$152&lt;5</formula>
    </cfRule>
  </conditionalFormatting>
  <conditionalFormatting sqref="T157">
    <cfRule type="expression" dxfId="766" priority="1185">
      <formula>$D$157&lt;5</formula>
    </cfRule>
  </conditionalFormatting>
  <conditionalFormatting sqref="T159">
    <cfRule type="expression" dxfId="765" priority="1200">
      <formula>$D$159&lt;5</formula>
    </cfRule>
  </conditionalFormatting>
  <conditionalFormatting sqref="T160">
    <cfRule type="expression" dxfId="764" priority="1215">
      <formula>$D$160&lt;5</formula>
    </cfRule>
  </conditionalFormatting>
  <conditionalFormatting sqref="T161">
    <cfRule type="expression" dxfId="763" priority="1230">
      <formula>$D$161&lt;5</formula>
    </cfRule>
  </conditionalFormatting>
  <conditionalFormatting sqref="T163">
    <cfRule type="expression" dxfId="762" priority="1245">
      <formula>$D$163&lt;5</formula>
    </cfRule>
  </conditionalFormatting>
  <conditionalFormatting sqref="T164">
    <cfRule type="expression" dxfId="761" priority="1260">
      <formula>$D$164&lt;5</formula>
    </cfRule>
  </conditionalFormatting>
  <conditionalFormatting sqref="T166">
    <cfRule type="expression" dxfId="760" priority="1275">
      <formula>$D$166&lt;5</formula>
    </cfRule>
  </conditionalFormatting>
  <conditionalFormatting sqref="T167">
    <cfRule type="expression" dxfId="759" priority="1290">
      <formula>$D$167&lt;5</formula>
    </cfRule>
  </conditionalFormatting>
  <conditionalFormatting sqref="T169">
    <cfRule type="expression" dxfId="758" priority="1305">
      <formula>$D$169&lt;5</formula>
    </cfRule>
  </conditionalFormatting>
  <conditionalFormatting sqref="T171">
    <cfRule type="expression" dxfId="757" priority="1320">
      <formula>$D$171&lt;5</formula>
    </cfRule>
  </conditionalFormatting>
  <conditionalFormatting sqref="T172">
    <cfRule type="expression" dxfId="756" priority="1335">
      <formula>$D$172&lt;5</formula>
    </cfRule>
  </conditionalFormatting>
  <conditionalFormatting sqref="T174">
    <cfRule type="expression" dxfId="755" priority="1350">
      <formula>$D$174&lt;5</formula>
    </cfRule>
  </conditionalFormatting>
  <conditionalFormatting sqref="T176">
    <cfRule type="expression" dxfId="754" priority="1365">
      <formula>$D$176&lt;5</formula>
    </cfRule>
  </conditionalFormatting>
  <conditionalFormatting sqref="T181">
    <cfRule type="expression" dxfId="753" priority="1380">
      <formula>$D$181&lt;5</formula>
    </cfRule>
  </conditionalFormatting>
  <conditionalFormatting sqref="T183">
    <cfRule type="expression" dxfId="752" priority="1395">
      <formula>$D$183&lt;5</formula>
    </cfRule>
  </conditionalFormatting>
  <conditionalFormatting sqref="T184">
    <cfRule type="expression" dxfId="751" priority="1410">
      <formula>$D$184&lt;5</formula>
    </cfRule>
  </conditionalFormatting>
  <conditionalFormatting sqref="T185">
    <cfRule type="expression" dxfId="750" priority="1425">
      <formula>$D$185&lt;5</formula>
    </cfRule>
  </conditionalFormatting>
  <conditionalFormatting sqref="T187">
    <cfRule type="expression" dxfId="749" priority="1440">
      <formula>$D$187&lt;5</formula>
    </cfRule>
  </conditionalFormatting>
  <conditionalFormatting sqref="T188">
    <cfRule type="expression" dxfId="748" priority="1455">
      <formula>$D$188&lt;5</formula>
    </cfRule>
  </conditionalFormatting>
  <conditionalFormatting sqref="T190">
    <cfRule type="expression" dxfId="747" priority="1470">
      <formula>$D$190&lt;5</formula>
    </cfRule>
  </conditionalFormatting>
  <conditionalFormatting sqref="T191">
    <cfRule type="expression" dxfId="746" priority="1485">
      <formula>$D$191&lt;5</formula>
    </cfRule>
  </conditionalFormatting>
  <conditionalFormatting sqref="T193">
    <cfRule type="expression" dxfId="745" priority="1500">
      <formula>$D$193&lt;5</formula>
    </cfRule>
  </conditionalFormatting>
  <dataValidations count="8">
    <dataValidation type="list" allowBlank="1" sqref="A19:A20 A43:A44 A67:A68 A91:A92 A115:A116 A139:A140 A163:A164 A187:A188 A211:A212 A235:A236 A259:A260 A283:A284" xr:uid="{00000000-0002-0000-0400-000000000000}">
      <formula1>BASES_BICEPS</formula1>
    </dataValidation>
    <dataValidation type="list" allowBlank="1" sqref="A22:A23 A46:A47 A70:A71 A94:A95 A118:A119 A142:A143 A166:A167 A190:A191 A214:A215 A238:A239 A262:A263 A286:A287" xr:uid="{00000000-0002-0000-0400-000001000000}">
      <formula1>BASES_ANTEBRAZO</formula1>
    </dataValidation>
    <dataValidation type="list" allowBlank="1" sqref="A25 A49 A73 A97 A121 A145 A169 A193 A217 A241 A265 A289" xr:uid="{00000000-0002-0000-0400-000002000000}">
      <formula1>BASES_HOMBRO</formula1>
    </dataValidation>
    <dataValidation type="list" allowBlank="1" sqref="A27:A28 A51:A52 A75:A76 A99:A100 A123:A124 A147:A148 A171:A172 A195:A196 A219:A220 A243:A244 A267:A268 A291:A292" xr:uid="{00000000-0002-0000-0400-000003000000}">
      <formula1>BASES_TRAPECIOS</formula1>
    </dataValidation>
    <dataValidation type="list" allowBlank="1" sqref="A30 A54 A78 A102 A126 A150 A174 A198 A222 A246 A270 A294" xr:uid="{00000000-0002-0000-0400-000004000000}">
      <formula1>BASES_LUMBAR</formula1>
    </dataValidation>
    <dataValidation type="list" allowBlank="1" sqref="A32 A56 A80 A104 A128 A152 A176 A200 A224 A248 A272 A296" xr:uid="{00000000-0002-0000-0400-000005000000}">
      <formula1>BASES_CIERRE</formula1>
    </dataValidation>
    <dataValidation type="list" allowBlank="1" sqref="A13 A37 A61 A85 A109 A133 A157 A181 A205 A229 A253 A277" xr:uid="{00000000-0002-0000-0400-000006000000}">
      <formula1>BASES_ESPALDA_ANCHURA</formula1>
    </dataValidation>
    <dataValidation type="list" allowBlank="1" sqref="A15 A16 A17 A39 A40 A41 A63 A64 A65 A87 A88 A89 A111 A112 A113 A135 A136 A137 A159 A160 A161 A183 A184 A185 A207 A208 A209 A231 A232 A233 A255 A256 A257 A279 A280 A281" xr:uid="{00000000-0002-0000-0400-000007000000}">
      <formula1>BASES_ESPALDA_DENSIDAD</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xr:uid="{00000000-0002-0000-0400-000008000000}">
          <x14:formula1>
            <xm:f>INDIRECT(IFERROR(VLOOKUP(A6,EJERCICIOS!$B$3:$E$85,4,0),"BASES_LIST"))</xm:f>
          </x14:formula1>
          <xm:sqref>B296 B294 B291:B292 B289 B286:B287 B283:B284 B279:B281 B277 B272 B270 B267:B268 B265 B262:B263 B259:B260 B255:B257 B253 B248 B246 B243:B244 B241 B238:B239 B235:B236 B231:B233 B229 B224 B222 B219:B220 B217 B214:B215 B211:B212 B207:B209 B205 B200 B198 B195:B196 B193 B190:B191 B187:B188 B183:B185 B181 B176 B174 B171:B172 B169 B166:B167 B163:B164 B159:B161 B157 B152 B150 B147:B148 B145 B142:B143 B139:B140 B135:B137 B133 B128 B126 B123:B124 B121 B118:B119 B115:B116 B111:B113 B109 B104 B102 B99:B100 B97 B94:B95 B91:B92 B87:B89 B85 B80 B78 B75:B76 B73 B70:B71 B67:B68 B63:B65 B61 B56 B54 B51:B52 B49 B46:B47 B43:B44 B39:B41 B37 B32 B30 B27:B28 B25 B22:B23 B19:B20 B15:B17 B13 B6:B8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B0000"/>
  </sheetPr>
  <dimension ref="A1:G54"/>
  <sheetViews>
    <sheetView showGridLines="0" tabSelected="1" workbookViewId="0">
      <pane ySplit="2" topLeftCell="A3" activePane="bottomLeft" state="frozen"/>
      <selection pane="bottomLeft" activeCell="J7" sqref="J7"/>
    </sheetView>
  </sheetViews>
  <sheetFormatPr defaultColWidth="8.85546875" defaultRowHeight="15"/>
  <cols>
    <col min="1" max="1" width="14" style="68" customWidth="1"/>
    <col min="2" max="2" width="12" style="68" customWidth="1"/>
    <col min="3" max="4" width="14" style="68" customWidth="1"/>
    <col min="5" max="6" width="12" style="68" customWidth="1"/>
    <col min="7" max="7" width="13" style="68" customWidth="1"/>
  </cols>
  <sheetData>
    <row r="1" spans="1:7" ht="30" customHeight="1">
      <c r="A1" s="93" t="s">
        <v>177</v>
      </c>
      <c r="B1" s="78"/>
      <c r="C1" s="78"/>
      <c r="D1" s="78"/>
      <c r="E1" s="78"/>
      <c r="F1" s="78"/>
      <c r="G1" s="79"/>
    </row>
    <row r="2" spans="1:7">
      <c r="A2" s="24" t="s">
        <v>178</v>
      </c>
      <c r="B2" s="24" t="s">
        <v>179</v>
      </c>
      <c r="C2" s="24" t="s">
        <v>180</v>
      </c>
      <c r="D2" s="24" t="s">
        <v>181</v>
      </c>
      <c r="E2" s="24" t="s">
        <v>182</v>
      </c>
      <c r="F2" s="24" t="s">
        <v>183</v>
      </c>
      <c r="G2" s="24" t="s">
        <v>184</v>
      </c>
    </row>
    <row r="3" spans="1:7" ht="18" customHeight="1">
      <c r="A3" s="70">
        <v>46125</v>
      </c>
      <c r="B3" s="26">
        <v>80</v>
      </c>
      <c r="C3" s="26"/>
      <c r="D3" s="26"/>
      <c r="E3" s="26"/>
      <c r="F3" s="26"/>
      <c r="G3" s="26"/>
    </row>
    <row r="4" spans="1:7" ht="18" customHeight="1">
      <c r="A4" s="70">
        <v>46132</v>
      </c>
      <c r="B4" s="26"/>
      <c r="C4" s="26"/>
      <c r="D4" s="26"/>
      <c r="E4" s="26"/>
      <c r="F4" s="26"/>
      <c r="G4" s="26"/>
    </row>
    <row r="5" spans="1:7" ht="18" customHeight="1">
      <c r="A5" s="70">
        <v>46139</v>
      </c>
      <c r="B5" s="26"/>
      <c r="C5" s="26"/>
      <c r="D5" s="26"/>
      <c r="E5" s="26"/>
      <c r="F5" s="26"/>
      <c r="G5" s="26"/>
    </row>
    <row r="6" spans="1:7" ht="18" customHeight="1">
      <c r="A6" s="70">
        <v>46146</v>
      </c>
      <c r="B6" s="26"/>
      <c r="C6" s="26"/>
      <c r="D6" s="26"/>
      <c r="E6" s="26"/>
      <c r="F6" s="26"/>
      <c r="G6" s="26"/>
    </row>
    <row r="7" spans="1:7" ht="18" customHeight="1">
      <c r="A7" s="70">
        <v>46153</v>
      </c>
      <c r="B7" s="26"/>
      <c r="C7" s="26"/>
      <c r="D7" s="26"/>
      <c r="E7" s="26"/>
      <c r="F7" s="26"/>
      <c r="G7" s="26"/>
    </row>
    <row r="8" spans="1:7" ht="18" customHeight="1">
      <c r="A8" s="70">
        <v>46160</v>
      </c>
      <c r="B8" s="26"/>
      <c r="C8" s="26"/>
      <c r="D8" s="26"/>
      <c r="E8" s="26"/>
      <c r="F8" s="26"/>
      <c r="G8" s="26"/>
    </row>
    <row r="9" spans="1:7" ht="18" customHeight="1">
      <c r="A9" s="70">
        <v>46167</v>
      </c>
      <c r="B9" s="26"/>
      <c r="C9" s="26"/>
      <c r="D9" s="26"/>
      <c r="E9" s="26"/>
      <c r="F9" s="26"/>
      <c r="G9" s="26"/>
    </row>
    <row r="10" spans="1:7" ht="18" customHeight="1">
      <c r="A10" s="25"/>
      <c r="B10" s="26"/>
      <c r="C10" s="26"/>
      <c r="D10" s="26"/>
      <c r="E10" s="26"/>
      <c r="F10" s="26"/>
      <c r="G10" s="26"/>
    </row>
    <row r="11" spans="1:7" ht="18" customHeight="1">
      <c r="A11" s="25"/>
      <c r="B11" s="26"/>
      <c r="C11" s="26"/>
      <c r="D11" s="26"/>
      <c r="E11" s="26"/>
      <c r="F11" s="26"/>
      <c r="G11" s="26"/>
    </row>
    <row r="12" spans="1:7" ht="18" customHeight="1">
      <c r="A12" s="25"/>
      <c r="B12" s="26"/>
      <c r="C12" s="26"/>
      <c r="D12" s="26"/>
      <c r="E12" s="26"/>
      <c r="F12" s="26"/>
      <c r="G12" s="26"/>
    </row>
    <row r="13" spans="1:7" ht="18" customHeight="1">
      <c r="A13" s="25"/>
      <c r="B13" s="26"/>
      <c r="C13" s="26"/>
      <c r="D13" s="26"/>
      <c r="E13" s="26"/>
      <c r="F13" s="26"/>
      <c r="G13" s="26"/>
    </row>
    <row r="14" spans="1:7" ht="18" customHeight="1">
      <c r="A14" s="25"/>
      <c r="B14" s="26"/>
      <c r="C14" s="26"/>
      <c r="D14" s="26"/>
      <c r="E14" s="26"/>
      <c r="F14" s="26"/>
      <c r="G14" s="26"/>
    </row>
    <row r="15" spans="1:7" ht="18" customHeight="1">
      <c r="A15" s="25"/>
      <c r="B15" s="26"/>
      <c r="C15" s="26"/>
      <c r="D15" s="26"/>
      <c r="E15" s="26"/>
      <c r="F15" s="26"/>
      <c r="G15" s="26"/>
    </row>
    <row r="16" spans="1:7" ht="18" customHeight="1">
      <c r="A16" s="25"/>
      <c r="B16" s="26"/>
      <c r="C16" s="26"/>
      <c r="D16" s="26"/>
      <c r="E16" s="26"/>
      <c r="F16" s="26"/>
      <c r="G16" s="26"/>
    </row>
    <row r="17" spans="1:7" ht="18" customHeight="1">
      <c r="A17" s="25"/>
      <c r="B17" s="26"/>
      <c r="C17" s="26"/>
      <c r="D17" s="26"/>
      <c r="E17" s="26"/>
      <c r="F17" s="26"/>
      <c r="G17" s="26"/>
    </row>
    <row r="18" spans="1:7" ht="18" customHeight="1">
      <c r="A18" s="25"/>
      <c r="B18" s="26"/>
      <c r="C18" s="26"/>
      <c r="D18" s="26"/>
      <c r="E18" s="26"/>
      <c r="F18" s="26"/>
      <c r="G18" s="26"/>
    </row>
    <row r="19" spans="1:7" ht="18" customHeight="1">
      <c r="A19" s="25"/>
      <c r="B19" s="26"/>
      <c r="C19" s="26"/>
      <c r="D19" s="26"/>
      <c r="E19" s="26"/>
      <c r="F19" s="26"/>
      <c r="G19" s="26"/>
    </row>
    <row r="20" spans="1:7" ht="18" customHeight="1">
      <c r="A20" s="25"/>
      <c r="B20" s="26"/>
      <c r="C20" s="26"/>
      <c r="D20" s="26"/>
      <c r="E20" s="26"/>
      <c r="F20" s="26"/>
      <c r="G20" s="26"/>
    </row>
    <row r="21" spans="1:7" ht="18" customHeight="1">
      <c r="A21" s="25"/>
      <c r="B21" s="26"/>
      <c r="C21" s="26"/>
      <c r="D21" s="26"/>
      <c r="E21" s="26"/>
      <c r="F21" s="26"/>
      <c r="G21" s="26"/>
    </row>
    <row r="22" spans="1:7" ht="18" customHeight="1">
      <c r="A22" s="25"/>
      <c r="B22" s="26"/>
      <c r="C22" s="26"/>
      <c r="D22" s="26"/>
      <c r="E22" s="26"/>
      <c r="F22" s="26"/>
      <c r="G22" s="26"/>
    </row>
    <row r="23" spans="1:7" ht="18" customHeight="1">
      <c r="A23" s="25"/>
      <c r="B23" s="26"/>
      <c r="C23" s="26"/>
      <c r="D23" s="26"/>
      <c r="E23" s="26"/>
      <c r="F23" s="26"/>
      <c r="G23" s="26"/>
    </row>
    <row r="24" spans="1:7" ht="18" customHeight="1">
      <c r="A24" s="25"/>
      <c r="B24" s="26"/>
      <c r="C24" s="26"/>
      <c r="D24" s="26"/>
      <c r="E24" s="26"/>
      <c r="F24" s="26"/>
      <c r="G24" s="26"/>
    </row>
    <row r="25" spans="1:7" ht="18" customHeight="1">
      <c r="A25" s="25"/>
      <c r="B25" s="26"/>
      <c r="C25" s="26"/>
      <c r="D25" s="26"/>
      <c r="E25" s="26"/>
      <c r="F25" s="26"/>
      <c r="G25" s="26"/>
    </row>
    <row r="26" spans="1:7" ht="18" customHeight="1">
      <c r="A26" s="25"/>
      <c r="B26" s="26"/>
      <c r="C26" s="26"/>
      <c r="D26" s="26"/>
      <c r="E26" s="26"/>
      <c r="F26" s="26"/>
      <c r="G26" s="26"/>
    </row>
    <row r="27" spans="1:7" ht="18" customHeight="1">
      <c r="A27" s="25"/>
      <c r="B27" s="26"/>
      <c r="C27" s="26"/>
      <c r="D27" s="26"/>
      <c r="E27" s="26"/>
      <c r="F27" s="26"/>
      <c r="G27" s="26"/>
    </row>
    <row r="28" spans="1:7" ht="18" customHeight="1">
      <c r="A28" s="25"/>
      <c r="B28" s="26"/>
      <c r="C28" s="26"/>
      <c r="D28" s="26"/>
      <c r="E28" s="26"/>
      <c r="F28" s="26"/>
      <c r="G28" s="26"/>
    </row>
    <row r="29" spans="1:7" ht="18" customHeight="1">
      <c r="A29" s="25"/>
      <c r="B29" s="26"/>
      <c r="C29" s="26"/>
      <c r="D29" s="26"/>
      <c r="E29" s="26"/>
      <c r="F29" s="26"/>
      <c r="G29" s="26"/>
    </row>
    <row r="30" spans="1:7" ht="18" customHeight="1">
      <c r="A30" s="25"/>
      <c r="B30" s="26"/>
      <c r="C30" s="26"/>
      <c r="D30" s="26"/>
      <c r="E30" s="26"/>
      <c r="F30" s="26"/>
      <c r="G30" s="26"/>
    </row>
    <row r="31" spans="1:7" ht="18" customHeight="1">
      <c r="A31" s="25"/>
      <c r="B31" s="26"/>
      <c r="C31" s="26"/>
      <c r="D31" s="26"/>
      <c r="E31" s="26"/>
      <c r="F31" s="26"/>
      <c r="G31" s="26"/>
    </row>
    <row r="32" spans="1:7" ht="18" customHeight="1">
      <c r="A32" s="25"/>
      <c r="B32" s="26"/>
      <c r="C32" s="26"/>
      <c r="D32" s="26"/>
      <c r="E32" s="26"/>
      <c r="F32" s="26"/>
      <c r="G32" s="26"/>
    </row>
    <row r="33" spans="1:7" ht="18" customHeight="1">
      <c r="A33" s="25"/>
      <c r="B33" s="26"/>
      <c r="C33" s="26"/>
      <c r="D33" s="26"/>
      <c r="E33" s="26"/>
      <c r="F33" s="26"/>
      <c r="G33" s="26"/>
    </row>
    <row r="34" spans="1:7" ht="18" customHeight="1">
      <c r="A34" s="25"/>
      <c r="B34" s="26"/>
      <c r="C34" s="26"/>
      <c r="D34" s="26"/>
      <c r="E34" s="26"/>
      <c r="F34" s="26"/>
      <c r="G34" s="26"/>
    </row>
    <row r="35" spans="1:7" ht="18" customHeight="1">
      <c r="A35" s="25"/>
      <c r="B35" s="26"/>
      <c r="C35" s="26"/>
      <c r="D35" s="26"/>
      <c r="E35" s="26"/>
      <c r="F35" s="26"/>
      <c r="G35" s="26"/>
    </row>
    <row r="36" spans="1:7" ht="18" customHeight="1">
      <c r="A36" s="25"/>
      <c r="B36" s="26"/>
      <c r="C36" s="26"/>
      <c r="D36" s="26"/>
      <c r="E36" s="26"/>
      <c r="F36" s="26"/>
      <c r="G36" s="26"/>
    </row>
    <row r="37" spans="1:7" ht="18" customHeight="1">
      <c r="A37" s="25"/>
      <c r="B37" s="26"/>
      <c r="C37" s="26"/>
      <c r="D37" s="26"/>
      <c r="E37" s="26"/>
      <c r="F37" s="26"/>
      <c r="G37" s="26"/>
    </row>
    <row r="38" spans="1:7" ht="18" customHeight="1">
      <c r="A38" s="25"/>
      <c r="B38" s="26"/>
      <c r="C38" s="26"/>
      <c r="D38" s="26"/>
      <c r="E38" s="26"/>
      <c r="F38" s="26"/>
      <c r="G38" s="26"/>
    </row>
    <row r="39" spans="1:7" ht="18" customHeight="1">
      <c r="A39" s="25"/>
      <c r="B39" s="26"/>
      <c r="C39" s="26"/>
      <c r="D39" s="26"/>
      <c r="E39" s="26"/>
      <c r="F39" s="26"/>
      <c r="G39" s="26"/>
    </row>
    <row r="40" spans="1:7" ht="18" customHeight="1">
      <c r="A40" s="25"/>
      <c r="B40" s="26"/>
      <c r="C40" s="26"/>
      <c r="D40" s="26"/>
      <c r="E40" s="26"/>
      <c r="F40" s="26"/>
      <c r="G40" s="26"/>
    </row>
    <row r="41" spans="1:7" ht="18" customHeight="1">
      <c r="A41" s="25"/>
      <c r="B41" s="26"/>
      <c r="C41" s="26"/>
      <c r="D41" s="26"/>
      <c r="E41" s="26"/>
      <c r="F41" s="26"/>
      <c r="G41" s="26"/>
    </row>
    <row r="42" spans="1:7" ht="18" customHeight="1">
      <c r="A42" s="25"/>
      <c r="B42" s="26"/>
      <c r="C42" s="26"/>
      <c r="D42" s="26"/>
      <c r="E42" s="26"/>
      <c r="F42" s="26"/>
      <c r="G42" s="26"/>
    </row>
    <row r="43" spans="1:7" ht="18" customHeight="1">
      <c r="A43" s="25"/>
      <c r="B43" s="26"/>
      <c r="C43" s="26"/>
      <c r="D43" s="26"/>
      <c r="E43" s="26"/>
      <c r="F43" s="26"/>
      <c r="G43" s="26"/>
    </row>
    <row r="44" spans="1:7" ht="18" customHeight="1">
      <c r="A44" s="25"/>
      <c r="B44" s="26"/>
      <c r="C44" s="26"/>
      <c r="D44" s="26"/>
      <c r="E44" s="26"/>
      <c r="F44" s="26"/>
      <c r="G44" s="26"/>
    </row>
    <row r="45" spans="1:7" ht="18" customHeight="1">
      <c r="A45" s="25"/>
      <c r="B45" s="26"/>
      <c r="C45" s="26"/>
      <c r="D45" s="26"/>
      <c r="E45" s="26"/>
      <c r="F45" s="26"/>
      <c r="G45" s="26"/>
    </row>
    <row r="46" spans="1:7" ht="18" customHeight="1">
      <c r="A46" s="25"/>
      <c r="B46" s="26"/>
      <c r="C46" s="26"/>
      <c r="D46" s="26"/>
      <c r="E46" s="26"/>
      <c r="F46" s="26"/>
      <c r="G46" s="26"/>
    </row>
    <row r="47" spans="1:7" ht="18" customHeight="1">
      <c r="A47" s="25"/>
      <c r="B47" s="26"/>
      <c r="C47" s="26"/>
      <c r="D47" s="26"/>
      <c r="E47" s="26"/>
      <c r="F47" s="26"/>
      <c r="G47" s="26"/>
    </row>
    <row r="48" spans="1:7" ht="18" customHeight="1">
      <c r="A48" s="25"/>
      <c r="B48" s="26"/>
      <c r="C48" s="26"/>
      <c r="D48" s="26"/>
      <c r="E48" s="26"/>
      <c r="F48" s="26"/>
      <c r="G48" s="26"/>
    </row>
    <row r="49" spans="1:7" ht="18" customHeight="1">
      <c r="A49" s="25"/>
      <c r="B49" s="26"/>
      <c r="C49" s="26"/>
      <c r="D49" s="26"/>
      <c r="E49" s="26"/>
      <c r="F49" s="26"/>
      <c r="G49" s="26"/>
    </row>
    <row r="50" spans="1:7" ht="18" customHeight="1">
      <c r="A50" s="25"/>
      <c r="B50" s="26"/>
      <c r="C50" s="26"/>
      <c r="D50" s="26"/>
      <c r="E50" s="26"/>
      <c r="F50" s="26"/>
      <c r="G50" s="26"/>
    </row>
    <row r="51" spans="1:7" ht="18" customHeight="1">
      <c r="A51" s="25"/>
      <c r="B51" s="26"/>
      <c r="C51" s="26"/>
      <c r="D51" s="26"/>
      <c r="E51" s="26"/>
      <c r="F51" s="26"/>
      <c r="G51" s="26"/>
    </row>
    <row r="52" spans="1:7" ht="18" customHeight="1">
      <c r="A52" s="25"/>
      <c r="B52" s="26"/>
      <c r="C52" s="26"/>
      <c r="D52" s="26"/>
      <c r="E52" s="26"/>
      <c r="F52" s="26"/>
      <c r="G52" s="26"/>
    </row>
    <row r="53" spans="1:7" ht="18" customHeight="1">
      <c r="A53" s="25"/>
      <c r="B53" s="26"/>
      <c r="C53" s="26"/>
      <c r="D53" s="26"/>
      <c r="E53" s="26"/>
      <c r="F53" s="26"/>
      <c r="G53" s="26"/>
    </row>
    <row r="54" spans="1:7" ht="18" customHeight="1">
      <c r="A54" s="25"/>
      <c r="B54" s="26"/>
      <c r="C54" s="26"/>
      <c r="D54" s="26"/>
      <c r="E54" s="26"/>
      <c r="F54" s="26"/>
      <c r="G54" s="26"/>
    </row>
  </sheetData>
  <mergeCells count="1">
    <mergeCell ref="A1:G1"/>
  </mergeCells>
  <conditionalFormatting sqref="C4:C200">
    <cfRule type="expression" dxfId="744" priority="1">
      <formula>AND(C4&lt;&gt;"",C3&lt;&gt;"",C4&gt;C3)</formula>
    </cfRule>
  </conditionalFormatting>
  <conditionalFormatting sqref="C4:C200">
    <cfRule type="expression" dxfId="743" priority="2">
      <formula>AND(C4&lt;&gt;"",C3&lt;&gt;"",C4&lt;C3)</formula>
    </cfRule>
  </conditionalFormatting>
  <conditionalFormatting sqref="E4:E200">
    <cfRule type="expression" dxfId="742" priority="3">
      <formula>AND(E4&lt;&gt;"",E3&lt;&gt;"",E4&gt;E3)</formula>
    </cfRule>
  </conditionalFormatting>
  <conditionalFormatting sqref="E4:E200">
    <cfRule type="expression" dxfId="741" priority="4">
      <formula>AND(E4&lt;&gt;"",E3&lt;&gt;"",E4&lt;E3)</formula>
    </cfRule>
  </conditionalFormatting>
  <conditionalFormatting sqref="F4:F200">
    <cfRule type="expression" dxfId="740" priority="5">
      <formula>AND(F4&lt;&gt;"",F3&lt;&gt;"",F4&gt;F3)</formula>
    </cfRule>
  </conditionalFormatting>
  <conditionalFormatting sqref="F4:F200">
    <cfRule type="expression" dxfId="739" priority="6">
      <formula>AND(F4&lt;&gt;"",F3&lt;&gt;"",F4&lt;F3)</formula>
    </cfRule>
  </conditionalFormatting>
  <conditionalFormatting sqref="G4:G200">
    <cfRule type="expression" dxfId="738" priority="7">
      <formula>AND(G4&lt;&gt;"",G3&lt;&gt;"",G4&gt;G3)</formula>
    </cfRule>
  </conditionalFormatting>
  <conditionalFormatting sqref="G4:G200">
    <cfRule type="expression" dxfId="737" priority="8">
      <formula>AND(G4&lt;&gt;"",G3&lt;&gt;"",G4&lt;G3)</formula>
    </cfRule>
  </conditionalFormatting>
  <conditionalFormatting sqref="D4:D200">
    <cfRule type="expression" dxfId="736" priority="9">
      <formula>AND(D4&lt;&gt;"",D3&lt;&gt;"",D4&lt;D3)</formula>
    </cfRule>
  </conditionalFormatting>
  <conditionalFormatting sqref="D4:D200">
    <cfRule type="expression" dxfId="735" priority="10">
      <formula>AND(D4&lt;&gt;"",D3&lt;&gt;"",D4&gt;D3)</formula>
    </cfRule>
  </conditionalFormatting>
  <conditionalFormatting sqref="B4:B200">
    <cfRule type="expression" dxfId="734" priority="11">
      <formula>AND(B4&lt;&gt;"",B3&lt;&gt;"",B4&gt;B3,OR(D3="",D4&lt;=D3))</formula>
    </cfRule>
  </conditionalFormatting>
  <conditionalFormatting sqref="B4:B200">
    <cfRule type="expression" dxfId="733" priority="12">
      <formula>AND(B4&lt;&gt;"",B3&lt;&gt;"",B4&gt;B3,D4&lt;&gt;"",D3&lt;&gt;"",D4-D3&gt;1)</formula>
    </cfRule>
  </conditionalFormatting>
  <conditionalFormatting sqref="B4:B200">
    <cfRule type="expression" dxfId="732" priority="13">
      <formula>AND(B4&lt;&gt;"",B3&lt;&gt;"",B4&lt;B3,((IF(C3&lt;&gt;"",IF(C4&gt;=C3,1,0),1)+IF(E3&lt;&gt;"",IF(E4&gt;=E3,1,0),1)+IF(F3&lt;&gt;"",IF(F4&gt;=F3,1,0),1)+IF(G3&lt;&gt;"",IF(G4&gt;=G3,1,0),1))&gt;=3))</formula>
    </cfRule>
  </conditionalFormatting>
  <conditionalFormatting sqref="B4:B200">
    <cfRule type="expression" dxfId="731" priority="14">
      <formula>AND(B4&lt;&gt;"",B3&lt;&gt;"",B4&lt;B3,((IF(C3&lt;&gt;"",IF(C4&lt;C3,1,0),0)+IF(E3&lt;&gt;"",IF(E4&lt;E3,1,0),0)+IF(F3&lt;&gt;"",IF(F4&lt;F3,1,0),0)+IF(G3&lt;&gt;"",IF(G4&lt;G3,1,0),0))&gt;=3))</formula>
    </cfRule>
  </conditionalFormatting>
  <conditionalFormatting sqref="B4:B200">
    <cfRule type="expression" dxfId="730" priority="15">
      <formula>AND(B4&lt;&gt;"",B3&lt;&gt;"",B4=B3,(IF(C3&lt;&gt;"",C4&gt;=C3,TRUE)+IF(E3&lt;&gt;"",E4&gt;=E3,TRUE)+IF(F3&lt;&gt;"",F4&gt;=F3,TRUE)+IF(G3&lt;&gt;"",G4&gt;=G3,TRUE))=4,OR(D3="",D4&lt;=D3))</formula>
    </cfRule>
  </conditionalFormatting>
  <conditionalFormatting sqref="B4:B200">
    <cfRule type="expression" dxfId="729" priority="16">
      <formula>AND(B4&lt;&gt;"",B3&lt;&gt;"",B4=B3,OR(AND(D3&lt;&gt;"",D4&gt;D3),AND(C3&lt;&gt;"",C4&lt;C3),AND(E3&lt;&gt;"",E4&lt;E3),AND(F3&lt;&gt;"",F4&lt;F3),AND(G3&lt;&gt;"",G4&lt;G3)))</formula>
    </cfRule>
  </conditionalFormatting>
  <conditionalFormatting sqref="B4:B200">
    <cfRule type="expression" dxfId="728" priority="17">
      <formula>AND(B4&lt;&gt;"",B3&lt;&gt;"",B4=B3,OR(C3="",C4=C3),OR(D3="",D4=D3),OR(E3="",E4=E3),OR(F3="",F4=F3),OR(G3="",G4=G3))</formula>
    </cfRule>
  </conditionalFormatting>
  <pageMargins left="0.75" right="0.75" top="1" bottom="1" header="0.5" footer="0.5"/>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C000"/>
  </sheetPr>
  <dimension ref="A1:E40"/>
  <sheetViews>
    <sheetView showGridLines="0" topLeftCell="A14" workbookViewId="0">
      <selection activeCell="C39" sqref="C39"/>
    </sheetView>
  </sheetViews>
  <sheetFormatPr defaultColWidth="8.85546875" defaultRowHeight="15"/>
  <cols>
    <col min="1" max="1" width="18" style="68" customWidth="1"/>
    <col min="2" max="2" width="12" style="68" customWidth="1"/>
    <col min="3" max="3" width="30" style="68" customWidth="1"/>
    <col min="4" max="5" width="14" style="68" customWidth="1"/>
  </cols>
  <sheetData>
    <row r="1" spans="1:5" ht="30" customHeight="1">
      <c r="A1" s="93" t="s">
        <v>185</v>
      </c>
      <c r="B1" s="78"/>
      <c r="C1" s="78"/>
      <c r="D1" s="78"/>
      <c r="E1" s="79"/>
    </row>
    <row r="2" spans="1:5">
      <c r="A2" s="27" t="s">
        <v>186</v>
      </c>
      <c r="B2" s="28">
        <v>1</v>
      </c>
      <c r="C2" s="29" t="s">
        <v>187</v>
      </c>
      <c r="D2" s="27" t="s">
        <v>188</v>
      </c>
      <c r="E2" s="30" t="str">
        <f>IFERROR(VLOOKUP(B2,$A$10:$B$21,2,0),"")</f>
        <v>HIP</v>
      </c>
    </row>
    <row r="4" spans="1:5">
      <c r="A4" s="94" t="s">
        <v>189</v>
      </c>
      <c r="B4" s="78"/>
      <c r="C4" s="78"/>
      <c r="D4" s="78"/>
      <c r="E4" s="79"/>
    </row>
    <row r="5" spans="1:5">
      <c r="A5" s="31" t="s">
        <v>190</v>
      </c>
      <c r="B5" s="31" t="s">
        <v>191</v>
      </c>
      <c r="C5" s="31" t="s">
        <v>192</v>
      </c>
      <c r="D5" s="31" t="s">
        <v>193</v>
      </c>
      <c r="E5" s="31" t="s">
        <v>194</v>
      </c>
    </row>
    <row r="6" spans="1:5">
      <c r="A6" s="32" t="s">
        <v>195</v>
      </c>
      <c r="B6" s="26">
        <v>6</v>
      </c>
      <c r="C6" s="26">
        <v>12</v>
      </c>
      <c r="D6" s="26">
        <v>1</v>
      </c>
      <c r="E6" s="26">
        <v>3</v>
      </c>
    </row>
    <row r="7" spans="1:5">
      <c r="A7" s="32" t="s">
        <v>196</v>
      </c>
      <c r="B7" s="26">
        <v>3</v>
      </c>
      <c r="C7" s="26">
        <v>6</v>
      </c>
      <c r="D7" s="26">
        <v>0</v>
      </c>
      <c r="E7" s="26">
        <v>2</v>
      </c>
    </row>
    <row r="8" spans="1:5">
      <c r="A8" s="94" t="s">
        <v>197</v>
      </c>
      <c r="B8" s="79"/>
      <c r="C8" s="26">
        <v>20</v>
      </c>
      <c r="D8" s="26">
        <v>3</v>
      </c>
      <c r="E8" s="26">
        <v>4</v>
      </c>
    </row>
    <row r="9" spans="1:5">
      <c r="A9" s="31" t="s">
        <v>198</v>
      </c>
      <c r="B9" s="31" t="s">
        <v>3</v>
      </c>
      <c r="C9" s="69"/>
      <c r="D9" s="69"/>
      <c r="E9" s="69"/>
    </row>
    <row r="10" spans="1:5">
      <c r="A10" s="25">
        <v>1</v>
      </c>
      <c r="B10" s="17" t="s">
        <v>195</v>
      </c>
      <c r="C10" s="69"/>
      <c r="D10" s="69"/>
      <c r="E10" s="69"/>
    </row>
    <row r="11" spans="1:5">
      <c r="A11" s="25">
        <v>2</v>
      </c>
      <c r="B11" s="17" t="s">
        <v>195</v>
      </c>
      <c r="C11" s="69"/>
      <c r="D11" s="69"/>
      <c r="E11" s="69"/>
    </row>
    <row r="12" spans="1:5">
      <c r="A12" s="25">
        <v>3</v>
      </c>
      <c r="B12" s="33" t="s">
        <v>196</v>
      </c>
      <c r="C12" s="69"/>
      <c r="D12" s="69"/>
      <c r="E12" s="69"/>
    </row>
    <row r="13" spans="1:5">
      <c r="A13" s="25">
        <v>4</v>
      </c>
      <c r="B13" s="17" t="s">
        <v>195</v>
      </c>
      <c r="C13" s="69"/>
      <c r="D13" s="69"/>
      <c r="E13" s="69"/>
    </row>
    <row r="14" spans="1:5">
      <c r="A14" s="25">
        <v>5</v>
      </c>
      <c r="B14" s="17" t="s">
        <v>195</v>
      </c>
      <c r="C14" s="69"/>
      <c r="D14" s="69"/>
      <c r="E14" s="69"/>
    </row>
    <row r="15" spans="1:5">
      <c r="A15" s="25">
        <v>6</v>
      </c>
      <c r="B15" s="33" t="s">
        <v>196</v>
      </c>
      <c r="C15" s="69"/>
      <c r="D15" s="69"/>
      <c r="E15" s="69"/>
    </row>
    <row r="16" spans="1:5">
      <c r="A16" s="25">
        <v>7</v>
      </c>
      <c r="B16" s="17" t="s">
        <v>195</v>
      </c>
      <c r="C16" s="69"/>
      <c r="D16" s="69"/>
      <c r="E16" s="69"/>
    </row>
    <row r="17" spans="1:2">
      <c r="A17" s="25">
        <v>8</v>
      </c>
      <c r="B17" s="17" t="s">
        <v>195</v>
      </c>
    </row>
    <row r="18" spans="1:2">
      <c r="A18" s="25">
        <v>9</v>
      </c>
      <c r="B18" s="33" t="s">
        <v>196</v>
      </c>
    </row>
    <row r="19" spans="1:2">
      <c r="A19" s="25">
        <v>10</v>
      </c>
      <c r="B19" s="17" t="s">
        <v>195</v>
      </c>
    </row>
    <row r="20" spans="1:2">
      <c r="A20" s="25">
        <v>11</v>
      </c>
      <c r="B20" s="33" t="s">
        <v>196</v>
      </c>
    </row>
    <row r="21" spans="1:2">
      <c r="A21" s="25">
        <v>12</v>
      </c>
      <c r="B21" s="34" t="s">
        <v>199</v>
      </c>
    </row>
    <row r="23" spans="1:2">
      <c r="A23" s="94" t="s">
        <v>200</v>
      </c>
      <c r="B23" s="79"/>
    </row>
    <row r="24" spans="1:2">
      <c r="A24" s="31" t="s">
        <v>201</v>
      </c>
      <c r="B24" s="31" t="s">
        <v>13</v>
      </c>
    </row>
    <row r="25" spans="1:2">
      <c r="A25" s="25">
        <v>1</v>
      </c>
      <c r="B25" s="26">
        <v>5</v>
      </c>
    </row>
    <row r="26" spans="1:2">
      <c r="A26" s="25">
        <v>2</v>
      </c>
      <c r="B26" s="26">
        <v>10</v>
      </c>
    </row>
    <row r="27" spans="1:2">
      <c r="A27" s="25">
        <v>3</v>
      </c>
      <c r="B27" s="26">
        <v>17.5</v>
      </c>
    </row>
    <row r="28" spans="1:2">
      <c r="A28" s="25">
        <v>4</v>
      </c>
      <c r="B28" s="26">
        <v>25</v>
      </c>
    </row>
    <row r="29" spans="1:2">
      <c r="A29" s="25">
        <v>5</v>
      </c>
      <c r="B29" s="26">
        <v>32.5</v>
      </c>
    </row>
    <row r="30" spans="1:2">
      <c r="A30" s="25">
        <v>6</v>
      </c>
      <c r="B30" s="26">
        <v>40</v>
      </c>
    </row>
    <row r="31" spans="1:2">
      <c r="A31" s="25">
        <v>7</v>
      </c>
      <c r="B31" s="26">
        <v>45</v>
      </c>
    </row>
    <row r="32" spans="1:2">
      <c r="A32" s="25">
        <v>8</v>
      </c>
      <c r="B32" s="26">
        <v>52.5</v>
      </c>
    </row>
    <row r="33" spans="1:2">
      <c r="A33" s="25">
        <v>9</v>
      </c>
      <c r="B33" s="26">
        <v>60</v>
      </c>
    </row>
    <row r="34" spans="1:2">
      <c r="A34" s="25">
        <v>10</v>
      </c>
      <c r="B34" s="26">
        <v>67.5</v>
      </c>
    </row>
    <row r="35" spans="1:2">
      <c r="A35" s="25">
        <v>11</v>
      </c>
      <c r="B35" s="26">
        <v>75</v>
      </c>
    </row>
    <row r="36" spans="1:2">
      <c r="A36" s="25">
        <v>12</v>
      </c>
      <c r="B36" s="26">
        <v>80</v>
      </c>
    </row>
    <row r="37" spans="1:2">
      <c r="A37" s="25">
        <v>13</v>
      </c>
      <c r="B37" s="26">
        <v>87.5</v>
      </c>
    </row>
    <row r="38" spans="1:2">
      <c r="A38" s="25">
        <v>14</v>
      </c>
      <c r="B38" s="26">
        <v>95</v>
      </c>
    </row>
    <row r="39" spans="1:2">
      <c r="A39" s="25">
        <v>15</v>
      </c>
      <c r="B39" s="26">
        <v>102.5</v>
      </c>
    </row>
    <row r="40" spans="1:2">
      <c r="A40" s="25">
        <v>16</v>
      </c>
      <c r="B40" s="26">
        <v>110</v>
      </c>
    </row>
  </sheetData>
  <mergeCells count="4">
    <mergeCell ref="A8:B8"/>
    <mergeCell ref="A1:E1"/>
    <mergeCell ref="A4:E4"/>
    <mergeCell ref="A23:B23"/>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375623"/>
  </sheetPr>
  <dimension ref="A1:I80"/>
  <sheetViews>
    <sheetView showGridLines="0" workbookViewId="0">
      <pane ySplit="2" topLeftCell="A3" activePane="bottomLeft" state="frozen"/>
      <selection pane="bottomLeft" activeCell="F5" sqref="F5"/>
    </sheetView>
  </sheetViews>
  <sheetFormatPr defaultColWidth="8.85546875" defaultRowHeight="15"/>
  <cols>
    <col min="1" max="1" width="6" style="68" customWidth="1"/>
    <col min="2" max="2" width="28" style="68" customWidth="1"/>
    <col min="3" max="3" width="30" style="68" customWidth="1"/>
    <col min="4" max="4" width="14" style="68" customWidth="1"/>
    <col min="5" max="5" width="18" style="68" customWidth="1"/>
    <col min="6" max="6" width="26" style="68" customWidth="1"/>
    <col min="7" max="7" width="32" style="68" customWidth="1"/>
    <col min="8" max="8" width="14" style="68" customWidth="1"/>
    <col min="9" max="9" width="28" style="68" customWidth="1"/>
  </cols>
  <sheetData>
    <row r="1" spans="1:9" ht="30" customHeight="1">
      <c r="A1" s="93" t="s">
        <v>202</v>
      </c>
      <c r="B1" s="78"/>
      <c r="C1" s="78"/>
      <c r="D1" s="78"/>
      <c r="E1" s="78"/>
      <c r="F1" s="78"/>
      <c r="G1" s="79"/>
      <c r="H1" s="69"/>
      <c r="I1" s="69"/>
    </row>
    <row r="2" spans="1:9">
      <c r="A2" s="24" t="s">
        <v>203</v>
      </c>
      <c r="B2" s="24" t="s">
        <v>1</v>
      </c>
      <c r="C2" s="24" t="s">
        <v>2</v>
      </c>
      <c r="D2" s="24" t="s">
        <v>3</v>
      </c>
      <c r="E2" s="24" t="s">
        <v>204</v>
      </c>
      <c r="F2" s="35" t="s">
        <v>62</v>
      </c>
      <c r="G2" s="24" t="s">
        <v>205</v>
      </c>
      <c r="H2" s="36" t="s">
        <v>206</v>
      </c>
      <c r="I2" s="36" t="s">
        <v>207</v>
      </c>
    </row>
    <row r="3" spans="1:9" ht="15.95" customHeight="1">
      <c r="A3" s="37">
        <v>1</v>
      </c>
      <c r="B3" s="14" t="s">
        <v>33</v>
      </c>
      <c r="C3" s="38" t="s">
        <v>34</v>
      </c>
      <c r="D3" s="37" t="s">
        <v>208</v>
      </c>
      <c r="E3" s="39" t="s">
        <v>209</v>
      </c>
      <c r="F3" s="40" t="s">
        <v>83</v>
      </c>
      <c r="G3" s="41" t="str">
        <f>"Aperturas Inclinado|Mancuernas Inclinado"</f>
        <v>Aperturas Inclinado|Mancuernas Inclinado</v>
      </c>
      <c r="H3" s="42" t="s">
        <v>210</v>
      </c>
      <c r="I3" s="43" t="s">
        <v>104</v>
      </c>
    </row>
    <row r="4" spans="1:9" ht="15.95" customHeight="1">
      <c r="A4" s="37">
        <v>2</v>
      </c>
      <c r="B4" s="14" t="s">
        <v>211</v>
      </c>
      <c r="C4" s="38" t="s">
        <v>63</v>
      </c>
      <c r="D4" s="37" t="s">
        <v>212</v>
      </c>
      <c r="E4" s="39" t="s">
        <v>213</v>
      </c>
      <c r="F4" s="40" t="s">
        <v>57</v>
      </c>
      <c r="G4" s="41" t="str">
        <f>"Aperturas Medio|Pec Deck Maquina"</f>
        <v>Aperturas Medio|Pec Deck Maquina</v>
      </c>
      <c r="H4" s="42" t="s">
        <v>214</v>
      </c>
      <c r="I4" s="43" t="s">
        <v>100</v>
      </c>
    </row>
    <row r="5" spans="1:9" ht="15.95" customHeight="1">
      <c r="A5" s="37"/>
      <c r="B5" s="14" t="s">
        <v>211</v>
      </c>
      <c r="C5" s="38" t="s">
        <v>215</v>
      </c>
      <c r="D5" s="37" t="s">
        <v>208</v>
      </c>
      <c r="E5" s="39" t="s">
        <v>213</v>
      </c>
      <c r="F5" s="40"/>
      <c r="G5" s="41" t="str">
        <f>"Aperturas Medio|Mancuernas Plano"</f>
        <v>Aperturas Medio|Mancuernas Plano</v>
      </c>
      <c r="H5" s="42"/>
      <c r="I5" s="43" t="s">
        <v>54</v>
      </c>
    </row>
    <row r="6" spans="1:9" ht="15.95" customHeight="1">
      <c r="A6" s="37">
        <v>3</v>
      </c>
      <c r="B6" s="14" t="s">
        <v>38</v>
      </c>
      <c r="C6" s="38" t="s">
        <v>39</v>
      </c>
      <c r="D6" s="37" t="s">
        <v>212</v>
      </c>
      <c r="E6" s="39" t="s">
        <v>216</v>
      </c>
      <c r="F6" s="40" t="s">
        <v>54</v>
      </c>
      <c r="G6" s="41" t="str">
        <f>"Aperturas Bajo|Polea Baja Crossover"</f>
        <v>Aperturas Bajo|Polea Baja Crossover</v>
      </c>
      <c r="H6" s="42" t="s">
        <v>217</v>
      </c>
      <c r="I6" s="43" t="s">
        <v>116</v>
      </c>
    </row>
    <row r="7" spans="1:9" ht="15.95" customHeight="1">
      <c r="A7" s="37">
        <v>4</v>
      </c>
      <c r="B7" s="14" t="s">
        <v>83</v>
      </c>
      <c r="C7" s="38" t="s">
        <v>84</v>
      </c>
      <c r="D7" s="37" t="s">
        <v>218</v>
      </c>
      <c r="E7" s="39" t="s">
        <v>219</v>
      </c>
      <c r="F7" s="40" t="s">
        <v>130</v>
      </c>
      <c r="G7" s="41" t="str">
        <f>"Band Pull-Apart|Elastico"</f>
        <v>Band Pull-Apart|Elastico</v>
      </c>
      <c r="H7" s="69"/>
      <c r="I7" s="43" t="s">
        <v>57</v>
      </c>
    </row>
    <row r="8" spans="1:9" ht="15.95" customHeight="1">
      <c r="A8" s="37">
        <v>5</v>
      </c>
      <c r="B8" s="14" t="s">
        <v>57</v>
      </c>
      <c r="C8" s="38" t="s">
        <v>58</v>
      </c>
      <c r="D8" s="37" t="s">
        <v>212</v>
      </c>
      <c r="E8" s="39" t="s">
        <v>57</v>
      </c>
      <c r="F8" s="40" t="s">
        <v>116</v>
      </c>
      <c r="G8" s="41" t="str">
        <f>"Crunch|Polea"</f>
        <v>Crunch|Polea</v>
      </c>
      <c r="H8" s="42" t="s">
        <v>220</v>
      </c>
      <c r="I8" s="43" t="s">
        <v>150</v>
      </c>
    </row>
    <row r="9" spans="1:9" ht="15.95" customHeight="1">
      <c r="A9" s="37"/>
      <c r="B9" s="14" t="s">
        <v>57</v>
      </c>
      <c r="C9" s="38" t="s">
        <v>52</v>
      </c>
      <c r="D9" s="37" t="s">
        <v>212</v>
      </c>
      <c r="E9" s="39" t="s">
        <v>57</v>
      </c>
      <c r="F9" s="40"/>
      <c r="G9" s="41" t="str">
        <f>"Crunch|Maquina"</f>
        <v>Crunch|Maquina</v>
      </c>
      <c r="H9" s="42"/>
      <c r="I9" s="43" t="s">
        <v>146</v>
      </c>
    </row>
    <row r="10" spans="1:9" ht="15.95" customHeight="1">
      <c r="A10" s="37">
        <v>6</v>
      </c>
      <c r="B10" s="14" t="s">
        <v>54</v>
      </c>
      <c r="C10" s="38" t="s">
        <v>55</v>
      </c>
      <c r="D10" s="37" t="s">
        <v>212</v>
      </c>
      <c r="E10" s="39" t="s">
        <v>221</v>
      </c>
      <c r="F10" s="40" t="s">
        <v>100</v>
      </c>
      <c r="G10" s="41" t="str">
        <f>"Curl Biceps|Barra Recta Polea"</f>
        <v>Curl Biceps|Barra Recta Polea</v>
      </c>
      <c r="H10" s="69"/>
      <c r="I10" s="43" t="s">
        <v>148</v>
      </c>
    </row>
    <row r="11" spans="1:9" ht="15.95" customHeight="1">
      <c r="A11" s="37">
        <v>7</v>
      </c>
      <c r="B11" s="14" t="s">
        <v>54</v>
      </c>
      <c r="C11" s="38" t="s">
        <v>222</v>
      </c>
      <c r="D11" s="37" t="s">
        <v>212</v>
      </c>
      <c r="E11" s="39" t="s">
        <v>221</v>
      </c>
      <c r="F11" s="40" t="s">
        <v>133</v>
      </c>
      <c r="G11" s="41" t="str">
        <f>"Curl Biceps|Bayesian Polea Individual"</f>
        <v>Curl Biceps|Bayesian Polea Individual</v>
      </c>
      <c r="H11" s="69"/>
      <c r="I11" s="43" t="s">
        <v>57</v>
      </c>
    </row>
    <row r="12" spans="1:9" ht="15.95" customHeight="1">
      <c r="A12" s="37">
        <v>8</v>
      </c>
      <c r="B12" s="14" t="s">
        <v>54</v>
      </c>
      <c r="C12" s="38" t="s">
        <v>115</v>
      </c>
      <c r="D12" s="37" t="s">
        <v>212</v>
      </c>
      <c r="E12" s="39" t="s">
        <v>221</v>
      </c>
      <c r="F12" s="40" t="s">
        <v>90</v>
      </c>
      <c r="G12" s="41" t="str">
        <f>"Curl Biceps|Concentrado Maquina"</f>
        <v>Curl Biceps|Concentrado Maquina</v>
      </c>
      <c r="H12" s="69"/>
      <c r="I12" s="43" t="s">
        <v>150</v>
      </c>
    </row>
    <row r="13" spans="1:9" ht="15.95" customHeight="1">
      <c r="A13" s="37">
        <v>9</v>
      </c>
      <c r="B13" s="14" t="s">
        <v>54</v>
      </c>
      <c r="C13" s="38" t="s">
        <v>67</v>
      </c>
      <c r="D13" s="37" t="s">
        <v>208</v>
      </c>
      <c r="E13" s="39" t="s">
        <v>221</v>
      </c>
      <c r="F13" s="40" t="s">
        <v>139</v>
      </c>
      <c r="G13" s="41" t="str">
        <f>"Curl Biceps|Inclinado Banco Mancuernas"</f>
        <v>Curl Biceps|Inclinado Banco Mancuernas</v>
      </c>
      <c r="H13" s="42" t="s">
        <v>223</v>
      </c>
      <c r="I13" s="43" t="s">
        <v>146</v>
      </c>
    </row>
    <row r="14" spans="1:9" ht="15.95" customHeight="1">
      <c r="A14" s="37">
        <v>11</v>
      </c>
      <c r="B14" s="14" t="s">
        <v>54</v>
      </c>
      <c r="C14" s="38" t="s">
        <v>98</v>
      </c>
      <c r="D14" s="37" t="s">
        <v>212</v>
      </c>
      <c r="E14" s="39" t="s">
        <v>221</v>
      </c>
      <c r="F14" s="40" t="s">
        <v>224</v>
      </c>
      <c r="G14" s="41" t="str">
        <f>"Curl Biceps|Polea Baja Supino"</f>
        <v>Curl Biceps|Polea Baja Supino</v>
      </c>
      <c r="H14" s="69"/>
      <c r="I14" s="43" t="s">
        <v>148</v>
      </c>
    </row>
    <row r="15" spans="1:9" ht="15.95" customHeight="1">
      <c r="A15" s="37"/>
      <c r="B15" s="14" t="s">
        <v>54</v>
      </c>
      <c r="C15" s="38" t="s">
        <v>225</v>
      </c>
      <c r="D15" s="37" t="s">
        <v>208</v>
      </c>
      <c r="E15" s="39" t="s">
        <v>221</v>
      </c>
      <c r="F15" s="40"/>
      <c r="G15" s="41" t="str">
        <f>"Curl Biceps|Mancuerna"</f>
        <v>Curl Biceps|Mancuerna</v>
      </c>
      <c r="H15" s="69"/>
      <c r="I15" s="43" t="s">
        <v>65</v>
      </c>
    </row>
    <row r="16" spans="1:9" ht="15.95" customHeight="1">
      <c r="A16" s="37">
        <v>12</v>
      </c>
      <c r="B16" s="14" t="s">
        <v>130</v>
      </c>
      <c r="C16" s="38" t="s">
        <v>132</v>
      </c>
      <c r="D16" s="37" t="s">
        <v>212</v>
      </c>
      <c r="E16" s="39" t="s">
        <v>226</v>
      </c>
      <c r="F16" s="40" t="s">
        <v>43</v>
      </c>
      <c r="G16" s="41" t="str">
        <f>"Curl Femoral|Sentado Maquina"</f>
        <v>Curl Femoral|Sentado Maquina</v>
      </c>
      <c r="H16" s="69"/>
      <c r="I16" s="43" t="s">
        <v>135</v>
      </c>
    </row>
    <row r="17" spans="1:9" ht="15.95" customHeight="1">
      <c r="A17" s="37">
        <v>13</v>
      </c>
      <c r="B17" s="14" t="s">
        <v>130</v>
      </c>
      <c r="C17" s="38" t="s">
        <v>131</v>
      </c>
      <c r="D17" s="37" t="s">
        <v>212</v>
      </c>
      <c r="E17" s="39" t="s">
        <v>226</v>
      </c>
      <c r="F17" s="40" t="s">
        <v>164</v>
      </c>
      <c r="G17" s="41" t="str">
        <f>"Curl Femoral|Tumbado Maquina"</f>
        <v>Curl Femoral|Tumbado Maquina</v>
      </c>
      <c r="H17" s="42" t="s">
        <v>227</v>
      </c>
      <c r="I17" s="43" t="s">
        <v>51</v>
      </c>
    </row>
    <row r="18" spans="1:9" ht="15.95" customHeight="1">
      <c r="A18" s="37">
        <v>14</v>
      </c>
      <c r="B18" s="14" t="s">
        <v>116</v>
      </c>
      <c r="C18" s="38" t="s">
        <v>114</v>
      </c>
      <c r="D18" s="37" t="s">
        <v>212</v>
      </c>
      <c r="E18" s="39" t="s">
        <v>228</v>
      </c>
      <c r="F18" s="40" t="s">
        <v>175</v>
      </c>
      <c r="G18" s="41" t="str">
        <f>"Curl Martillo|Polea Individual"</f>
        <v>Curl Martillo|Polea Individual</v>
      </c>
      <c r="H18" s="69"/>
      <c r="I18" s="43" t="s">
        <v>90</v>
      </c>
    </row>
    <row r="19" spans="1:9" ht="15.95" customHeight="1">
      <c r="A19" s="37">
        <v>15</v>
      </c>
      <c r="B19" s="14" t="s">
        <v>100</v>
      </c>
      <c r="C19" s="38" t="s">
        <v>102</v>
      </c>
      <c r="D19" s="37" t="s">
        <v>208</v>
      </c>
      <c r="E19" s="39" t="s">
        <v>229</v>
      </c>
      <c r="F19" s="40" t="s">
        <v>126</v>
      </c>
      <c r="G19" s="41" t="str">
        <f>"Curl Muneca|Pronado"</f>
        <v>Curl Muneca|Pronado</v>
      </c>
      <c r="H19" s="69"/>
      <c r="I19" s="43" t="s">
        <v>109</v>
      </c>
    </row>
    <row r="20" spans="1:9" ht="15.95" customHeight="1">
      <c r="A20" s="37">
        <v>16</v>
      </c>
      <c r="B20" s="14" t="s">
        <v>100</v>
      </c>
      <c r="C20" s="38" t="s">
        <v>101</v>
      </c>
      <c r="D20" s="37" t="s">
        <v>208</v>
      </c>
      <c r="E20" s="39" t="s">
        <v>229</v>
      </c>
      <c r="F20" s="40" t="s">
        <v>65</v>
      </c>
      <c r="G20" s="41" t="str">
        <f>"Curl Muneca|Supinado"</f>
        <v>Curl Muneca|Supinado</v>
      </c>
      <c r="H20" s="42" t="s">
        <v>230</v>
      </c>
      <c r="I20" s="43" t="s">
        <v>111</v>
      </c>
    </row>
    <row r="21" spans="1:9" ht="15.95" customHeight="1">
      <c r="A21" s="37"/>
      <c r="B21" s="14" t="s">
        <v>100</v>
      </c>
      <c r="C21" s="38" t="s">
        <v>117</v>
      </c>
      <c r="D21" s="37" t="s">
        <v>212</v>
      </c>
      <c r="E21" s="39" t="s">
        <v>229</v>
      </c>
      <c r="F21" s="40"/>
      <c r="G21" s="41" t="str">
        <f>"Curl Muneca|Sulek Polea"</f>
        <v>Curl Muneca|Sulek Polea</v>
      </c>
      <c r="H21" s="42"/>
      <c r="I21" s="43" t="s">
        <v>163</v>
      </c>
    </row>
    <row r="22" spans="1:9" ht="15.95" customHeight="1">
      <c r="A22" s="37">
        <v>17</v>
      </c>
      <c r="B22" s="14" t="s">
        <v>133</v>
      </c>
      <c r="C22" s="38" t="s">
        <v>31</v>
      </c>
      <c r="D22" s="37" t="s">
        <v>208</v>
      </c>
      <c r="E22" s="39" t="s">
        <v>231</v>
      </c>
      <c r="F22" s="40" t="s">
        <v>48</v>
      </c>
      <c r="G22" s="41" t="str">
        <f>"Curl Rumano|Mancuernas"</f>
        <v>Curl Rumano|Mancuernas</v>
      </c>
      <c r="H22" s="69"/>
      <c r="I22" s="43" t="s">
        <v>92</v>
      </c>
    </row>
    <row r="23" spans="1:9" ht="15.95" customHeight="1">
      <c r="A23" s="37">
        <v>18</v>
      </c>
      <c r="B23" s="14" t="s">
        <v>90</v>
      </c>
      <c r="C23" s="38" t="s">
        <v>91</v>
      </c>
      <c r="D23" s="37" t="s">
        <v>218</v>
      </c>
      <c r="E23" s="39" t="s">
        <v>90</v>
      </c>
      <c r="F23" s="40" t="s">
        <v>109</v>
      </c>
      <c r="G23" s="41" t="str">
        <f>"Dominadas|Polea Alta Prono Ancho"</f>
        <v>Dominadas|Polea Alta Prono Ancho</v>
      </c>
      <c r="H23" s="69"/>
      <c r="I23" s="43" t="s">
        <v>95</v>
      </c>
    </row>
    <row r="24" spans="1:9" ht="15.95" customHeight="1">
      <c r="A24" s="37">
        <v>19</v>
      </c>
      <c r="B24" s="14" t="s">
        <v>139</v>
      </c>
      <c r="C24" s="38" t="s">
        <v>141</v>
      </c>
      <c r="D24" s="37" t="s">
        <v>232</v>
      </c>
      <c r="E24" s="39" t="s">
        <v>233</v>
      </c>
      <c r="F24" s="40" t="s">
        <v>104</v>
      </c>
      <c r="G24" s="41" t="str">
        <f>"Elevacion Gemelo|De Pie"</f>
        <v>Elevacion Gemelo|De Pie</v>
      </c>
      <c r="H24" s="69"/>
      <c r="I24" s="43" t="s">
        <v>130</v>
      </c>
    </row>
    <row r="25" spans="1:9" ht="15.95" customHeight="1">
      <c r="A25" s="37">
        <v>20</v>
      </c>
      <c r="B25" s="14" t="s">
        <v>139</v>
      </c>
      <c r="C25" s="38" t="s">
        <v>140</v>
      </c>
      <c r="D25" s="37" t="s">
        <v>232</v>
      </c>
      <c r="E25" s="39" t="s">
        <v>233</v>
      </c>
      <c r="F25" s="40" t="s">
        <v>36</v>
      </c>
      <c r="G25" s="41" t="str">
        <f>"Elevacion Gemelo|Sentado"</f>
        <v>Elevacion Gemelo|Sentado</v>
      </c>
      <c r="H25" s="69"/>
      <c r="I25" s="43" t="s">
        <v>133</v>
      </c>
    </row>
    <row r="26" spans="1:9" ht="15.95" customHeight="1">
      <c r="A26" s="37">
        <v>21</v>
      </c>
      <c r="B26" s="14" t="s">
        <v>150</v>
      </c>
      <c r="C26" s="38" t="s">
        <v>151</v>
      </c>
      <c r="D26" s="37" t="s">
        <v>218</v>
      </c>
      <c r="E26" s="39" t="s">
        <v>234</v>
      </c>
      <c r="F26" s="40" t="s">
        <v>121</v>
      </c>
      <c r="G26" s="41" t="str">
        <f>"Elevacion Piernas|Colgado"</f>
        <v>Elevacion Piernas|Colgado</v>
      </c>
      <c r="H26" s="69"/>
      <c r="I26" s="43" t="s">
        <v>139</v>
      </c>
    </row>
    <row r="27" spans="1:9" ht="15.95" customHeight="1">
      <c r="A27" s="37">
        <v>22</v>
      </c>
      <c r="B27" s="14" t="s">
        <v>224</v>
      </c>
      <c r="C27" s="38" t="s">
        <v>235</v>
      </c>
      <c r="D27" s="37" t="s">
        <v>212</v>
      </c>
      <c r="E27" s="39" t="s">
        <v>236</v>
      </c>
      <c r="F27" s="40" t="s">
        <v>24</v>
      </c>
      <c r="G27" s="41" t="str">
        <f>"Elevacion Talones|De Pie Maquina"</f>
        <v>Elevacion Talones|De Pie Maquina</v>
      </c>
      <c r="H27" s="42" t="s">
        <v>237</v>
      </c>
      <c r="I27" s="43" t="s">
        <v>224</v>
      </c>
    </row>
    <row r="28" spans="1:9" ht="15.95" customHeight="1">
      <c r="A28" s="37">
        <v>23</v>
      </c>
      <c r="B28" s="14" t="s">
        <v>43</v>
      </c>
      <c r="C28" s="38" t="s">
        <v>44</v>
      </c>
      <c r="D28" s="37" t="s">
        <v>212</v>
      </c>
      <c r="E28" s="39" t="s">
        <v>238</v>
      </c>
      <c r="F28" s="40" t="s">
        <v>111</v>
      </c>
      <c r="G28" s="41" t="str">
        <f>"Elevaciones Laterales|Cable Polea Individual"</f>
        <v>Elevaciones Laterales|Cable Polea Individual</v>
      </c>
      <c r="H28" s="69"/>
      <c r="I28" s="43" t="s">
        <v>43</v>
      </c>
    </row>
    <row r="29" spans="1:9" ht="15.95" customHeight="1">
      <c r="A29" s="37">
        <v>26</v>
      </c>
      <c r="B29" s="14" t="s">
        <v>43</v>
      </c>
      <c r="C29" s="38" t="s">
        <v>225</v>
      </c>
      <c r="D29" s="37" t="s">
        <v>208</v>
      </c>
      <c r="E29" s="39" t="s">
        <v>238</v>
      </c>
      <c r="F29" s="40" t="s">
        <v>163</v>
      </c>
      <c r="G29" s="41" t="str">
        <f>"Elevaciones Laterales|Mancuerna"</f>
        <v>Elevaciones Laterales|Mancuerna</v>
      </c>
      <c r="H29" s="42" t="s">
        <v>239</v>
      </c>
      <c r="I29" s="43" t="s">
        <v>164</v>
      </c>
    </row>
    <row r="30" spans="1:9" ht="15.95" customHeight="1">
      <c r="A30" s="37"/>
      <c r="B30" s="14" t="s">
        <v>43</v>
      </c>
      <c r="C30" s="38" t="s">
        <v>52</v>
      </c>
      <c r="D30" s="37" t="s">
        <v>232</v>
      </c>
      <c r="E30" s="39" t="s">
        <v>238</v>
      </c>
      <c r="F30" s="40"/>
      <c r="G30" s="41" t="str">
        <f>"Elevaciones Laterales|Maquina"</f>
        <v>Elevaciones Laterales|Maquina</v>
      </c>
      <c r="H30" s="42"/>
      <c r="I30" s="43" t="s">
        <v>109</v>
      </c>
    </row>
    <row r="31" spans="1:9" ht="15.95" customHeight="1">
      <c r="A31" s="37">
        <v>27</v>
      </c>
      <c r="B31" s="14" t="s">
        <v>164</v>
      </c>
      <c r="C31" s="38" t="s">
        <v>114</v>
      </c>
      <c r="D31" s="37" t="s">
        <v>212</v>
      </c>
      <c r="E31" s="39" t="s">
        <v>240</v>
      </c>
      <c r="F31" s="40" t="s">
        <v>18</v>
      </c>
      <c r="G31" s="41" t="str">
        <f>"Elevaciones Posteriores|Polea Individual"</f>
        <v>Elevaciones Posteriores|Polea Individual</v>
      </c>
      <c r="H31" s="69"/>
      <c r="I31" s="43" t="s">
        <v>161</v>
      </c>
    </row>
    <row r="32" spans="1:9" ht="15.95" customHeight="1">
      <c r="A32" s="37">
        <v>28</v>
      </c>
      <c r="B32" s="14" t="s">
        <v>175</v>
      </c>
      <c r="C32" s="38" t="s">
        <v>176</v>
      </c>
      <c r="D32" s="37" t="s">
        <v>208</v>
      </c>
      <c r="E32" s="39" t="s">
        <v>175</v>
      </c>
      <c r="F32" s="40" t="s">
        <v>144</v>
      </c>
      <c r="G32" s="41" t="str">
        <f>"Encogimientos|Mancuernas Trapecio"</f>
        <v>Encogimientos|Mancuernas Trapecio</v>
      </c>
      <c r="H32" s="69"/>
      <c r="I32" s="43" t="s">
        <v>163</v>
      </c>
    </row>
    <row r="33" spans="1:9" ht="15.95" customHeight="1">
      <c r="A33" s="37">
        <v>29</v>
      </c>
      <c r="B33" s="14" t="s">
        <v>126</v>
      </c>
      <c r="C33" s="38" t="s">
        <v>127</v>
      </c>
      <c r="D33" s="37" t="s">
        <v>218</v>
      </c>
      <c r="E33" s="39" t="s">
        <v>126</v>
      </c>
      <c r="F33" s="40" t="s">
        <v>135</v>
      </c>
      <c r="G33" s="41" t="str">
        <f>"Estiramiento|Piriforme Tumbado"</f>
        <v>Estiramiento|Piriforme Tumbado</v>
      </c>
      <c r="H33" s="69"/>
      <c r="I33" s="43" t="s">
        <v>45</v>
      </c>
    </row>
    <row r="34" spans="1:9" ht="15.95" customHeight="1">
      <c r="A34" s="37">
        <v>30</v>
      </c>
      <c r="B34" s="14" t="s">
        <v>65</v>
      </c>
      <c r="C34" s="38" t="s">
        <v>52</v>
      </c>
      <c r="D34" s="37" t="s">
        <v>212</v>
      </c>
      <c r="E34" s="39" t="s">
        <v>241</v>
      </c>
      <c r="F34" s="40" t="s">
        <v>242</v>
      </c>
      <c r="G34" s="41" t="str">
        <f>"Extension Cuadriceps|Maquina"</f>
        <v>Extension Cuadriceps|Maquina</v>
      </c>
      <c r="H34" s="69"/>
      <c r="I34" s="43" t="s">
        <v>24</v>
      </c>
    </row>
    <row r="35" spans="1:9" ht="15.95" customHeight="1">
      <c r="A35" s="37">
        <v>31</v>
      </c>
      <c r="B35" s="14" t="s">
        <v>65</v>
      </c>
      <c r="C35" s="38" t="s">
        <v>243</v>
      </c>
      <c r="D35" s="37" t="s">
        <v>212</v>
      </c>
      <c r="E35" s="39" t="s">
        <v>241</v>
      </c>
      <c r="F35" s="40" t="s">
        <v>244</v>
      </c>
      <c r="G35" s="41" t="str">
        <f>"Extension Cuadriceps|Maquina Individual"</f>
        <v>Extension Cuadriceps|Maquina Individual</v>
      </c>
      <c r="H35" s="69"/>
      <c r="I35" s="43" t="s">
        <v>144</v>
      </c>
    </row>
    <row r="36" spans="1:9" ht="15.95" customHeight="1">
      <c r="A36" s="37"/>
      <c r="B36" s="14" t="s">
        <v>48</v>
      </c>
      <c r="C36" s="38" t="s">
        <v>49</v>
      </c>
      <c r="D36" s="37" t="s">
        <v>212</v>
      </c>
      <c r="E36" s="39" t="s">
        <v>245</v>
      </c>
      <c r="F36" s="40"/>
      <c r="G36" s="41" t="str">
        <f>"Extension Triceps|Katana"</f>
        <v>Extension Triceps|Katana</v>
      </c>
      <c r="H36" s="69"/>
      <c r="I36" s="43" t="s">
        <v>33</v>
      </c>
    </row>
    <row r="37" spans="1:9" ht="15.95" customHeight="1">
      <c r="A37" s="37"/>
      <c r="B37" s="14" t="s">
        <v>48</v>
      </c>
      <c r="C37" s="38" t="s">
        <v>246</v>
      </c>
      <c r="D37" s="37" t="s">
        <v>212</v>
      </c>
      <c r="E37" s="39" t="s">
        <v>245</v>
      </c>
      <c r="F37" s="40"/>
      <c r="G37" s="41" t="str">
        <f>"Extension Triceps|Press Barra Recta"</f>
        <v>Extension Triceps|Press Barra Recta</v>
      </c>
      <c r="H37" s="69"/>
      <c r="I37" s="43" t="s">
        <v>211</v>
      </c>
    </row>
    <row r="38" spans="1:9" ht="15.95" customHeight="1">
      <c r="A38" s="37"/>
      <c r="B38" s="14" t="s">
        <v>48</v>
      </c>
      <c r="C38" s="38" t="s">
        <v>247</v>
      </c>
      <c r="D38" s="37" t="s">
        <v>212</v>
      </c>
      <c r="E38" s="39" t="s">
        <v>245</v>
      </c>
      <c r="F38" s="40"/>
      <c r="G38" s="41" t="str">
        <f>"Extension Triceps|Press Barra V"</f>
        <v>Extension Triceps|Press Barra V</v>
      </c>
      <c r="H38" s="69"/>
      <c r="I38" s="43" t="s">
        <v>38</v>
      </c>
    </row>
    <row r="39" spans="1:9" ht="15.95" customHeight="1">
      <c r="A39" s="37"/>
      <c r="B39" s="14" t="s">
        <v>48</v>
      </c>
      <c r="C39" s="38" t="s">
        <v>118</v>
      </c>
      <c r="D39" s="37" t="s">
        <v>212</v>
      </c>
      <c r="E39" s="39" t="s">
        <v>245</v>
      </c>
      <c r="F39" s="40"/>
      <c r="G39" s="41" t="str">
        <f>"Extension Triceps|Extension Polea Individual"</f>
        <v>Extension Triceps|Extension Polea Individual</v>
      </c>
      <c r="H39" s="69"/>
      <c r="I39" s="43" t="s">
        <v>36</v>
      </c>
    </row>
    <row r="40" spans="1:9" ht="15.95" customHeight="1">
      <c r="A40" s="37">
        <v>35</v>
      </c>
      <c r="B40" s="14" t="s">
        <v>109</v>
      </c>
      <c r="C40" s="38" t="s">
        <v>157</v>
      </c>
      <c r="D40" s="37" t="s">
        <v>218</v>
      </c>
      <c r="E40" s="39" t="s">
        <v>248</v>
      </c>
      <c r="F40" s="40" t="s">
        <v>92</v>
      </c>
      <c r="G40" s="41" t="str">
        <f>"Face Pull|Elastico (calent.)"</f>
        <v>Face Pull|Elastico (calent.)</v>
      </c>
      <c r="H40" s="69"/>
      <c r="I40" s="43" t="s">
        <v>61</v>
      </c>
    </row>
    <row r="41" spans="1:9" ht="15.95" customHeight="1">
      <c r="A41" s="37">
        <v>36</v>
      </c>
      <c r="B41" s="14" t="s">
        <v>109</v>
      </c>
      <c r="C41" s="38" t="s">
        <v>110</v>
      </c>
      <c r="D41" s="37" t="s">
        <v>212</v>
      </c>
      <c r="E41" s="39" t="s">
        <v>248</v>
      </c>
      <c r="F41" s="40" t="s">
        <v>95</v>
      </c>
      <c r="G41" s="41" t="str">
        <f>"Face Pull|Polea Alta Cuerda"</f>
        <v>Face Pull|Polea Alta Cuerda</v>
      </c>
      <c r="H41" s="69"/>
      <c r="I41" s="43" t="s">
        <v>30</v>
      </c>
    </row>
    <row r="42" spans="1:9" ht="15.95" customHeight="1">
      <c r="A42" s="37">
        <v>37</v>
      </c>
      <c r="B42" s="14" t="s">
        <v>104</v>
      </c>
      <c r="C42" s="38" t="s">
        <v>105</v>
      </c>
      <c r="D42" s="37" t="s">
        <v>208</v>
      </c>
      <c r="E42" s="39" t="s">
        <v>249</v>
      </c>
      <c r="F42" s="40" t="s">
        <v>80</v>
      </c>
      <c r="G42" s="41" t="str">
        <f>"Farmer Carry|Libre"</f>
        <v>Farmer Carry|Libre</v>
      </c>
      <c r="H42" s="69"/>
      <c r="I42" s="43" t="s">
        <v>40</v>
      </c>
    </row>
    <row r="43" spans="1:9" ht="15.95" customHeight="1">
      <c r="A43" s="37">
        <v>38</v>
      </c>
      <c r="B43" s="14" t="s">
        <v>36</v>
      </c>
      <c r="C43" s="38" t="s">
        <v>37</v>
      </c>
      <c r="D43" s="37" t="s">
        <v>218</v>
      </c>
      <c r="E43" s="39" t="s">
        <v>36</v>
      </c>
      <c r="F43" s="40" t="s">
        <v>148</v>
      </c>
      <c r="G43" s="41" t="str">
        <f>"Fondos|Paralelas"</f>
        <v>Fondos|Paralelas</v>
      </c>
      <c r="H43" s="69"/>
      <c r="I43" s="43" t="s">
        <v>175</v>
      </c>
    </row>
    <row r="44" spans="1:9" ht="15.95" customHeight="1">
      <c r="A44" s="37">
        <v>39</v>
      </c>
      <c r="B44" s="14" t="s">
        <v>121</v>
      </c>
      <c r="C44" s="38" t="s">
        <v>122</v>
      </c>
      <c r="D44" s="37" t="s">
        <v>218</v>
      </c>
      <c r="E44" s="39" t="s">
        <v>250</v>
      </c>
      <c r="F44" s="40" t="s">
        <v>51</v>
      </c>
      <c r="G44" s="41" t="str">
        <f>"Hip Circle|En Suelo"</f>
        <v>Hip Circle|En Suelo</v>
      </c>
      <c r="H44" s="69"/>
      <c r="I44" s="43" t="s">
        <v>109</v>
      </c>
    </row>
    <row r="45" spans="1:9" ht="15.95" customHeight="1">
      <c r="A45" s="37">
        <v>40</v>
      </c>
      <c r="B45" s="14" t="s">
        <v>24</v>
      </c>
      <c r="C45" s="38" t="s">
        <v>143</v>
      </c>
      <c r="D45" s="37" t="s">
        <v>218</v>
      </c>
      <c r="E45" s="39" t="s">
        <v>24</v>
      </c>
      <c r="F45" s="40" t="s">
        <v>106</v>
      </c>
      <c r="G45" s="41" t="str">
        <f>"Hiperextension|Banco Romano"</f>
        <v>Hiperextension|Banco Romano</v>
      </c>
      <c r="H45" s="42" t="s">
        <v>251</v>
      </c>
      <c r="I45" s="43" t="s">
        <v>95</v>
      </c>
    </row>
    <row r="46" spans="1:9" ht="15.95" customHeight="1">
      <c r="A46" s="37"/>
      <c r="B46" s="14" t="s">
        <v>252</v>
      </c>
      <c r="C46" s="38" t="s">
        <v>93</v>
      </c>
      <c r="D46" s="37" t="s">
        <v>232</v>
      </c>
      <c r="E46" s="39" t="s">
        <v>253</v>
      </c>
      <c r="F46" s="69"/>
      <c r="G46" s="41" t="str">
        <f>"JM Press|Multipower"</f>
        <v>JM Press|Multipower</v>
      </c>
      <c r="H46" s="69"/>
      <c r="I46" s="43" t="s">
        <v>48</v>
      </c>
    </row>
    <row r="47" spans="1:9" ht="15.95" customHeight="1">
      <c r="A47" s="37">
        <v>42</v>
      </c>
      <c r="B47" s="14" t="s">
        <v>111</v>
      </c>
      <c r="C47" s="38" t="s">
        <v>169</v>
      </c>
      <c r="D47" s="37" t="s">
        <v>212</v>
      </c>
      <c r="E47" s="39" t="s">
        <v>111</v>
      </c>
      <c r="F47" s="69"/>
      <c r="G47" s="41" t="str">
        <f>"Jalon|Elastico (calentamiento)"</f>
        <v>Jalon|Elastico (calentamiento)</v>
      </c>
      <c r="H47" s="69"/>
      <c r="I47" s="43" t="s">
        <v>252</v>
      </c>
    </row>
    <row r="48" spans="1:9" ht="15.95" customHeight="1">
      <c r="A48" s="37">
        <v>43</v>
      </c>
      <c r="B48" s="14" t="s">
        <v>111</v>
      </c>
      <c r="C48" s="38" t="s">
        <v>91</v>
      </c>
      <c r="D48" s="37" t="s">
        <v>212</v>
      </c>
      <c r="E48" s="39" t="s">
        <v>111</v>
      </c>
      <c r="F48" s="69"/>
      <c r="G48" s="41" t="str">
        <f>"Jalon|Polea Alta Prono Ancho"</f>
        <v>Jalon|Polea Alta Prono Ancho</v>
      </c>
      <c r="H48" s="42" t="s">
        <v>254</v>
      </c>
      <c r="I48" s="43" t="s">
        <v>106</v>
      </c>
    </row>
    <row r="49" spans="1:9" ht="15.95" customHeight="1">
      <c r="A49" s="37">
        <v>44</v>
      </c>
      <c r="B49" s="14" t="s">
        <v>111</v>
      </c>
      <c r="C49" s="38" t="s">
        <v>112</v>
      </c>
      <c r="D49" s="37" t="s">
        <v>212</v>
      </c>
      <c r="E49" s="39" t="s">
        <v>111</v>
      </c>
      <c r="F49" s="69"/>
      <c r="G49" s="41" t="str">
        <f>"Jalon|Polea Alta Supino Estrecho"</f>
        <v>Jalon|Polea Alta Supino Estrecho</v>
      </c>
      <c r="H49" s="69"/>
      <c r="I49" s="43" t="s">
        <v>30</v>
      </c>
    </row>
    <row r="50" spans="1:9" ht="15.95" customHeight="1">
      <c r="A50" s="37">
        <v>45</v>
      </c>
      <c r="B50" s="14" t="s">
        <v>21</v>
      </c>
      <c r="C50" s="38" t="s">
        <v>22</v>
      </c>
      <c r="D50" s="37" t="s">
        <v>218</v>
      </c>
      <c r="E50" s="39" t="s">
        <v>21</v>
      </c>
      <c r="F50" s="69"/>
      <c r="G50" s="41" t="str">
        <f>"Lagartija|Calentamiento"</f>
        <v>Lagartija|Calentamiento</v>
      </c>
      <c r="H50" s="69"/>
      <c r="I50" s="69" t="s">
        <v>211</v>
      </c>
    </row>
    <row r="51" spans="1:9" ht="15.95" customHeight="1">
      <c r="A51" s="37">
        <v>46</v>
      </c>
      <c r="B51" s="14" t="s">
        <v>161</v>
      </c>
      <c r="C51" s="38" t="s">
        <v>162</v>
      </c>
      <c r="D51" s="37" t="s">
        <v>208</v>
      </c>
      <c r="E51" s="39" t="s">
        <v>161</v>
      </c>
      <c r="F51" s="69"/>
      <c r="G51" s="41" t="str">
        <f>"Pajaro|Elevacion Posterior"</f>
        <v>Pajaro|Elevacion Posterior</v>
      </c>
      <c r="H51" s="69"/>
      <c r="I51" s="69" t="s">
        <v>61</v>
      </c>
    </row>
    <row r="52" spans="1:9" ht="15.95" customHeight="1">
      <c r="A52" s="37">
        <v>47</v>
      </c>
      <c r="B52" s="14" t="s">
        <v>163</v>
      </c>
      <c r="C52" s="38" t="s">
        <v>52</v>
      </c>
      <c r="D52" s="37" t="s">
        <v>212</v>
      </c>
      <c r="E52" s="39" t="s">
        <v>255</v>
      </c>
      <c r="F52" s="69"/>
      <c r="G52" s="41" t="str">
        <f>"Peck Deck Invertida|Maquina"</f>
        <v>Peck Deck Invertida|Maquina</v>
      </c>
      <c r="H52" s="69"/>
      <c r="I52" s="69" t="s">
        <v>33</v>
      </c>
    </row>
    <row r="53" spans="1:9" ht="15.95" customHeight="1">
      <c r="A53" s="37">
        <v>48</v>
      </c>
      <c r="B53" s="14" t="s">
        <v>18</v>
      </c>
      <c r="C53" s="38" t="s">
        <v>19</v>
      </c>
      <c r="D53" s="37" t="s">
        <v>218</v>
      </c>
      <c r="E53" s="39" t="s">
        <v>18</v>
      </c>
      <c r="F53" s="69"/>
      <c r="G53" s="41" t="str">
        <f>"Perro|Postura Yoga"</f>
        <v>Perro|Postura Yoga</v>
      </c>
      <c r="H53" s="69"/>
      <c r="I53" s="69" t="s">
        <v>38</v>
      </c>
    </row>
    <row r="54" spans="1:9" ht="15.95" customHeight="1">
      <c r="A54" s="37">
        <v>49</v>
      </c>
      <c r="B54" s="14" t="s">
        <v>144</v>
      </c>
      <c r="C54" s="38" t="s">
        <v>60</v>
      </c>
      <c r="D54" s="37" t="s">
        <v>232</v>
      </c>
      <c r="E54" s="39" t="s">
        <v>256</v>
      </c>
      <c r="F54" s="69"/>
      <c r="G54" s="41" t="str">
        <f>"Peso Muerto Parcial|Barra"</f>
        <v>Peso Muerto Parcial|Barra</v>
      </c>
      <c r="H54" s="69"/>
      <c r="I54" s="69" t="s">
        <v>36</v>
      </c>
    </row>
    <row r="55" spans="1:9" ht="15.95" customHeight="1">
      <c r="A55" s="37">
        <v>50</v>
      </c>
      <c r="B55" s="14" t="s">
        <v>135</v>
      </c>
      <c r="C55" s="38" t="s">
        <v>257</v>
      </c>
      <c r="D55" s="37" t="s">
        <v>212</v>
      </c>
      <c r="E55" s="39" t="s">
        <v>258</v>
      </c>
      <c r="F55" s="69"/>
      <c r="G55" s="41" t="str">
        <f>"Prensa Pierna|Ambos Pies"</f>
        <v>Prensa Pierna|Ambos Pies</v>
      </c>
      <c r="H55" s="69"/>
      <c r="I55" s="69" t="s">
        <v>40</v>
      </c>
    </row>
    <row r="56" spans="1:9" ht="15.95" customHeight="1">
      <c r="A56" s="37">
        <v>51</v>
      </c>
      <c r="B56" s="14" t="s">
        <v>135</v>
      </c>
      <c r="C56" s="38" t="s">
        <v>259</v>
      </c>
      <c r="D56" s="37" t="s">
        <v>212</v>
      </c>
      <c r="E56" s="39" t="s">
        <v>258</v>
      </c>
      <c r="F56" s="69"/>
      <c r="G56" s="41" t="str">
        <f>"Prensa Pierna|Individual"</f>
        <v>Prensa Pierna|Individual</v>
      </c>
      <c r="H56" s="69"/>
      <c r="I56" s="69" t="s">
        <v>90</v>
      </c>
    </row>
    <row r="57" spans="1:9" ht="15.95" customHeight="1">
      <c r="A57" s="37">
        <v>53</v>
      </c>
      <c r="B57" s="14" t="s">
        <v>30</v>
      </c>
      <c r="C57" s="38" t="s">
        <v>60</v>
      </c>
      <c r="D57" s="37" t="s">
        <v>232</v>
      </c>
      <c r="E57" s="39" t="s">
        <v>260</v>
      </c>
      <c r="F57" s="69"/>
      <c r="G57" s="41" t="str">
        <f>"Press Plano|Barra"</f>
        <v>Press Plano|Barra</v>
      </c>
      <c r="H57" s="69"/>
      <c r="I57" s="69" t="s">
        <v>111</v>
      </c>
    </row>
    <row r="58" spans="1:9" ht="15.95" customHeight="1">
      <c r="A58" s="37">
        <v>54</v>
      </c>
      <c r="B58" s="14" t="s">
        <v>30</v>
      </c>
      <c r="C58" s="38" t="s">
        <v>31</v>
      </c>
      <c r="D58" s="37" t="s">
        <v>208</v>
      </c>
      <c r="E58" s="39" t="s">
        <v>260</v>
      </c>
      <c r="F58" s="69"/>
      <c r="G58" s="41" t="str">
        <f>"Press Plano|Mancuernas"</f>
        <v>Press Plano|Mancuernas</v>
      </c>
      <c r="H58" s="69"/>
      <c r="I58" s="69" t="s">
        <v>92</v>
      </c>
    </row>
    <row r="59" spans="1:9" ht="15.95" customHeight="1">
      <c r="A59" s="37">
        <v>55</v>
      </c>
      <c r="B59" s="14" t="s">
        <v>30</v>
      </c>
      <c r="C59" s="38" t="s">
        <v>93</v>
      </c>
      <c r="D59" s="37" t="s">
        <v>232</v>
      </c>
      <c r="E59" s="39" t="s">
        <v>260</v>
      </c>
      <c r="F59" s="69"/>
      <c r="G59" s="41" t="str">
        <f>"Press Plano|Multipower"</f>
        <v>Press Plano|Multipower</v>
      </c>
      <c r="H59" s="69"/>
      <c r="I59" s="69" t="s">
        <v>95</v>
      </c>
    </row>
    <row r="60" spans="1:9" ht="15.95" customHeight="1">
      <c r="A60" s="37"/>
      <c r="B60" s="14" t="s">
        <v>30</v>
      </c>
      <c r="C60" s="38" t="s">
        <v>52</v>
      </c>
      <c r="D60" s="37" t="s">
        <v>212</v>
      </c>
      <c r="E60" s="39" t="s">
        <v>260</v>
      </c>
      <c r="F60" s="69"/>
      <c r="G60" s="41" t="str">
        <f>"Press Plano|Maquina"</f>
        <v>Press Plano|Maquina</v>
      </c>
      <c r="H60" s="69"/>
      <c r="I60" s="69" t="s">
        <v>163</v>
      </c>
    </row>
    <row r="61" spans="1:9" ht="15.95" customHeight="1">
      <c r="A61" s="37">
        <v>56</v>
      </c>
      <c r="B61" s="14" t="s">
        <v>61</v>
      </c>
      <c r="C61" s="38" t="s">
        <v>93</v>
      </c>
      <c r="D61" s="37" t="s">
        <v>232</v>
      </c>
      <c r="E61" s="39" t="s">
        <v>261</v>
      </c>
      <c r="F61" s="69"/>
      <c r="G61" s="41" t="str">
        <f>"Press Inclinado|Multipower"</f>
        <v>Press Inclinado|Multipower</v>
      </c>
      <c r="H61" s="69"/>
      <c r="I61" s="69" t="s">
        <v>109</v>
      </c>
    </row>
    <row r="62" spans="1:9" ht="15.95" customHeight="1">
      <c r="A62" s="37"/>
      <c r="B62" s="14" t="s">
        <v>61</v>
      </c>
      <c r="C62" s="38" t="s">
        <v>60</v>
      </c>
      <c r="D62" s="37" t="s">
        <v>232</v>
      </c>
      <c r="E62" s="39" t="s">
        <v>261</v>
      </c>
      <c r="F62" s="69"/>
      <c r="G62" s="41" t="str">
        <f>"Press Inclinado|Barra"</f>
        <v>Press Inclinado|Barra</v>
      </c>
      <c r="H62" s="69"/>
      <c r="I62" s="69"/>
    </row>
    <row r="63" spans="1:9" ht="15.95" customHeight="1">
      <c r="A63" s="37"/>
      <c r="B63" s="14" t="s">
        <v>61</v>
      </c>
      <c r="C63" s="38" t="s">
        <v>31</v>
      </c>
      <c r="D63" s="37" t="s">
        <v>208</v>
      </c>
      <c r="E63" s="39" t="s">
        <v>261</v>
      </c>
      <c r="F63" s="69"/>
      <c r="G63" s="41" t="str">
        <f>"Press Inclinado|Mancuernas"</f>
        <v>Press Inclinado|Mancuernas</v>
      </c>
      <c r="H63" s="69"/>
      <c r="I63" s="69"/>
    </row>
    <row r="64" spans="1:9" ht="15.95" customHeight="1">
      <c r="A64" s="37"/>
      <c r="B64" s="14" t="s">
        <v>61</v>
      </c>
      <c r="C64" s="38" t="s">
        <v>52</v>
      </c>
      <c r="D64" s="37" t="s">
        <v>212</v>
      </c>
      <c r="E64" s="39" t="s">
        <v>261</v>
      </c>
      <c r="F64" s="69"/>
      <c r="G64" s="41" t="str">
        <f>"Press Inclinado|Maquina"</f>
        <v>Press Inclinado|Maquina</v>
      </c>
      <c r="H64" s="69"/>
      <c r="I64" s="69"/>
    </row>
    <row r="65" spans="1:7" ht="15.95" customHeight="1">
      <c r="A65" s="37">
        <v>57</v>
      </c>
      <c r="B65" s="14" t="s">
        <v>45</v>
      </c>
      <c r="C65" s="38" t="s">
        <v>46</v>
      </c>
      <c r="D65" s="37" t="s">
        <v>208</v>
      </c>
      <c r="E65" s="39" t="s">
        <v>262</v>
      </c>
      <c r="F65" s="69"/>
      <c r="G65" s="41" t="str">
        <f>"Press Militar|Mancuernas Sentado"</f>
        <v>Press Militar|Mancuernas Sentado</v>
      </c>
    </row>
    <row r="66" spans="1:7" ht="15.95" customHeight="1">
      <c r="A66" s="37">
        <v>59</v>
      </c>
      <c r="B66" s="14" t="s">
        <v>40</v>
      </c>
      <c r="C66" s="38" t="s">
        <v>41</v>
      </c>
      <c r="D66" s="37" t="s">
        <v>212</v>
      </c>
      <c r="E66" s="39" t="s">
        <v>263</v>
      </c>
      <c r="F66" s="69"/>
      <c r="G66" s="41" t="str">
        <f>"Press Polea|Barra Recta Diagonal Arriba"</f>
        <v>Press Polea|Barra Recta Diagonal Arriba</v>
      </c>
    </row>
    <row r="67" spans="1:7" ht="15.95" customHeight="1">
      <c r="A67" s="37">
        <v>60</v>
      </c>
      <c r="B67" s="14" t="s">
        <v>92</v>
      </c>
      <c r="C67" s="38" t="s">
        <v>108</v>
      </c>
      <c r="D67" s="37" t="s">
        <v>212</v>
      </c>
      <c r="E67" s="39" t="s">
        <v>92</v>
      </c>
      <c r="F67" s="69"/>
      <c r="G67" s="41" t="str">
        <f>"Pulldown|Polea Alta Brazos Rectos Prono"</f>
        <v>Pulldown|Polea Alta Brazos Rectos Prono</v>
      </c>
    </row>
    <row r="68" spans="1:7" ht="15.95" customHeight="1">
      <c r="A68" s="37">
        <v>61</v>
      </c>
      <c r="B68" s="14" t="s">
        <v>95</v>
      </c>
      <c r="C68" s="38" t="s">
        <v>96</v>
      </c>
      <c r="D68" s="37" t="s">
        <v>212</v>
      </c>
      <c r="E68" s="39" t="s">
        <v>95</v>
      </c>
      <c r="F68" s="69"/>
      <c r="G68" s="41" t="str">
        <f>"Remo|Maquina Hammer Neutro Unilateral"</f>
        <v>Remo|Maquina Hammer Neutro Unilateral</v>
      </c>
    </row>
    <row r="69" spans="1:7" ht="15.95" customHeight="1">
      <c r="A69" s="37">
        <v>62</v>
      </c>
      <c r="B69" s="14" t="s">
        <v>95</v>
      </c>
      <c r="C69" s="38" t="s">
        <v>173</v>
      </c>
      <c r="D69" s="37" t="s">
        <v>212</v>
      </c>
      <c r="E69" s="39" t="s">
        <v>95</v>
      </c>
      <c r="F69" s="69"/>
      <c r="G69" s="41" t="str">
        <f>"Remo|Maquina Neutro Ancho"</f>
        <v>Remo|Maquina Neutro Ancho</v>
      </c>
    </row>
    <row r="70" spans="1:7" ht="15.95" customHeight="1">
      <c r="A70" s="37">
        <v>63</v>
      </c>
      <c r="B70" s="14" t="s">
        <v>95</v>
      </c>
      <c r="C70" s="38" t="s">
        <v>172</v>
      </c>
      <c r="D70" s="37" t="s">
        <v>212</v>
      </c>
      <c r="E70" s="39" t="s">
        <v>95</v>
      </c>
      <c r="F70" s="69"/>
      <c r="G70" s="41" t="str">
        <f>"Remo|Maquina Neutro Estrecho"</f>
        <v>Remo|Maquina Neutro Estrecho</v>
      </c>
    </row>
    <row r="71" spans="1:7" ht="15.95" customHeight="1">
      <c r="A71" s="37">
        <v>64</v>
      </c>
      <c r="B71" s="14" t="s">
        <v>95</v>
      </c>
      <c r="C71" s="38" t="s">
        <v>97</v>
      </c>
      <c r="D71" s="37" t="s">
        <v>212</v>
      </c>
      <c r="E71" s="39" t="s">
        <v>95</v>
      </c>
      <c r="F71" s="69"/>
      <c r="G71" s="41" t="str">
        <f>"Remo|Maquina Prono"</f>
        <v>Remo|Maquina Prono</v>
      </c>
    </row>
    <row r="72" spans="1:7" ht="15.95" customHeight="1">
      <c r="A72" s="37">
        <v>65</v>
      </c>
      <c r="B72" s="14" t="s">
        <v>95</v>
      </c>
      <c r="C72" s="38" t="s">
        <v>264</v>
      </c>
      <c r="D72" s="37" t="s">
        <v>232</v>
      </c>
      <c r="E72" s="39" t="s">
        <v>95</v>
      </c>
      <c r="F72" s="69"/>
      <c r="G72" s="41" t="str">
        <f>"Remo|Multipower Barra"</f>
        <v>Remo|Multipower Barra</v>
      </c>
    </row>
    <row r="73" spans="1:7" ht="15.95" customHeight="1">
      <c r="A73" s="37">
        <v>66</v>
      </c>
      <c r="B73" s="14" t="s">
        <v>95</v>
      </c>
      <c r="C73" s="38" t="s">
        <v>113</v>
      </c>
      <c r="D73" s="37" t="s">
        <v>212</v>
      </c>
      <c r="E73" s="39" t="s">
        <v>95</v>
      </c>
      <c r="F73" s="69"/>
      <c r="G73" s="41" t="str">
        <f>"Remo|Polea Baja Ancho Supino Trapecio"</f>
        <v>Remo|Polea Baja Ancho Supino Trapecio</v>
      </c>
    </row>
    <row r="74" spans="1:7" ht="15.95" customHeight="1">
      <c r="A74" s="37">
        <v>67</v>
      </c>
      <c r="B74" s="14" t="s">
        <v>95</v>
      </c>
      <c r="C74" s="38" t="s">
        <v>114</v>
      </c>
      <c r="D74" s="37" t="s">
        <v>212</v>
      </c>
      <c r="E74" s="39" t="s">
        <v>95</v>
      </c>
      <c r="F74" s="69"/>
      <c r="G74" s="41" t="str">
        <f>"Remo|Polea Individual"</f>
        <v>Remo|Polea Individual</v>
      </c>
    </row>
    <row r="75" spans="1:7" ht="15.95" customHeight="1">
      <c r="A75" s="37">
        <v>68</v>
      </c>
      <c r="B75" s="14" t="s">
        <v>80</v>
      </c>
      <c r="C75" s="38" t="s">
        <v>81</v>
      </c>
      <c r="D75" s="37" t="s">
        <v>218</v>
      </c>
      <c r="E75" s="39" t="s">
        <v>80</v>
      </c>
      <c r="F75" s="69"/>
      <c r="G75" s="41" t="str">
        <f>"Rotacion|Hombros Circulos"</f>
        <v>Rotacion|Hombros Circulos</v>
      </c>
    </row>
    <row r="76" spans="1:7">
      <c r="A76" s="37">
        <v>69</v>
      </c>
      <c r="B76" s="14" t="s">
        <v>80</v>
      </c>
      <c r="C76" s="38" t="s">
        <v>155</v>
      </c>
      <c r="D76" s="37" t="s">
        <v>218</v>
      </c>
      <c r="E76" s="39" t="s">
        <v>80</v>
      </c>
      <c r="F76" s="69"/>
      <c r="G76" s="41" t="str">
        <f>"Rotacion|Manguito Rotador"</f>
        <v>Rotacion|Manguito Rotador</v>
      </c>
    </row>
    <row r="77" spans="1:7">
      <c r="A77" s="37"/>
      <c r="B77" s="14" t="s">
        <v>146</v>
      </c>
      <c r="C77" s="38" t="s">
        <v>147</v>
      </c>
      <c r="D77" s="37" t="s">
        <v>218</v>
      </c>
      <c r="E77" s="39" t="s">
        <v>146</v>
      </c>
      <c r="F77" s="69"/>
      <c r="G77" s="41" t="str">
        <f>"Plancha|Tumbado"</f>
        <v>Plancha|Tumbado</v>
      </c>
    </row>
    <row r="78" spans="1:7">
      <c r="A78" s="37">
        <v>70</v>
      </c>
      <c r="B78" s="14" t="s">
        <v>148</v>
      </c>
      <c r="C78" s="38" t="s">
        <v>149</v>
      </c>
      <c r="D78" s="37" t="s">
        <v>218</v>
      </c>
      <c r="E78" s="39" t="s">
        <v>265</v>
      </c>
      <c r="F78" s="69"/>
      <c r="G78" s="41" t="str">
        <f>"Rueda Abdominal|Ab Wheel"</f>
        <v>Rueda Abdominal|Ab Wheel</v>
      </c>
    </row>
    <row r="79" spans="1:7">
      <c r="A79" s="37">
        <v>72</v>
      </c>
      <c r="B79" s="14" t="s">
        <v>51</v>
      </c>
      <c r="C79" s="38" t="s">
        <v>134</v>
      </c>
      <c r="D79" s="37" t="s">
        <v>232</v>
      </c>
      <c r="E79" s="39" t="s">
        <v>51</v>
      </c>
      <c r="F79" s="69"/>
      <c r="G79" s="41" t="str">
        <f>"Sentadilla|Multipower Cuna Talones"</f>
        <v>Sentadilla|Multipower Cuna Talones</v>
      </c>
    </row>
    <row r="80" spans="1:7">
      <c r="A80" s="37">
        <v>73</v>
      </c>
      <c r="B80" s="14" t="s">
        <v>106</v>
      </c>
      <c r="C80" s="38" t="s">
        <v>107</v>
      </c>
      <c r="D80" s="37" t="s">
        <v>208</v>
      </c>
      <c r="E80" s="39" t="s">
        <v>106</v>
      </c>
      <c r="F80" s="69"/>
      <c r="G80" s="41" t="str">
        <f>"Skullcrusher|Mancuerna Tumbado"</f>
        <v>Skullcrusher|Mancuerna Tumbado</v>
      </c>
    </row>
  </sheetData>
  <mergeCells count="1">
    <mergeCell ref="A1:G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2E5FA3"/>
  </sheetPr>
  <dimension ref="A1:P758"/>
  <sheetViews>
    <sheetView showGridLines="0" workbookViewId="0">
      <pane ySplit="2" topLeftCell="A3" activePane="bottomLeft" state="frozen"/>
      <selection pane="bottomLeft" sqref="A1:P1"/>
    </sheetView>
  </sheetViews>
  <sheetFormatPr defaultColWidth="8.85546875" defaultRowHeight="15"/>
  <cols>
    <col min="1" max="1" width="9" style="68" customWidth="1"/>
    <col min="2" max="2" width="12" style="68" customWidth="1"/>
    <col min="3" max="3" width="26" style="68" customWidth="1"/>
    <col min="4" max="4" width="28" style="68" customWidth="1"/>
    <col min="5" max="5" width="14" style="68" customWidth="1"/>
    <col min="6" max="8" width="9" style="68" customWidth="1"/>
    <col min="9" max="12" width="10" style="68" customWidth="1"/>
    <col min="13" max="14" width="11" style="68" customWidth="1"/>
    <col min="15" max="16" width="13" style="68" hidden="1" customWidth="1"/>
  </cols>
  <sheetData>
    <row r="1" spans="1:16" ht="30" customHeight="1">
      <c r="A1" s="93" t="s">
        <v>266</v>
      </c>
      <c r="B1" s="78"/>
      <c r="C1" s="78"/>
      <c r="D1" s="78"/>
      <c r="E1" s="78"/>
      <c r="F1" s="78"/>
      <c r="G1" s="78"/>
      <c r="H1" s="78"/>
      <c r="I1" s="78"/>
      <c r="J1" s="78"/>
      <c r="K1" s="78"/>
      <c r="L1" s="78"/>
      <c r="M1" s="78"/>
      <c r="N1" s="78"/>
      <c r="O1" s="78"/>
      <c r="P1" s="79"/>
    </row>
    <row r="2" spans="1:16">
      <c r="A2" s="24" t="s">
        <v>198</v>
      </c>
      <c r="B2" s="24" t="s">
        <v>267</v>
      </c>
      <c r="C2" s="24" t="s">
        <v>1</v>
      </c>
      <c r="D2" s="24" t="s">
        <v>2</v>
      </c>
      <c r="E2" s="24" t="s">
        <v>3</v>
      </c>
      <c r="F2" s="24" t="s">
        <v>268</v>
      </c>
      <c r="G2" s="24" t="s">
        <v>269</v>
      </c>
      <c r="H2" s="24" t="s">
        <v>270</v>
      </c>
      <c r="I2" s="24" t="s">
        <v>271</v>
      </c>
      <c r="J2" s="24" t="s">
        <v>272</v>
      </c>
      <c r="K2" s="24" t="s">
        <v>11</v>
      </c>
      <c r="L2" s="24" t="s">
        <v>5</v>
      </c>
      <c r="M2" s="24" t="s">
        <v>273</v>
      </c>
      <c r="N2" s="24" t="s">
        <v>274</v>
      </c>
      <c r="O2" s="24" t="s">
        <v>275</v>
      </c>
      <c r="P2" s="24" t="s">
        <v>276</v>
      </c>
    </row>
    <row r="3" spans="1:16" ht="14.1" customHeight="1">
      <c r="A3" s="37">
        <v>1</v>
      </c>
      <c r="B3" s="37" t="s">
        <v>277</v>
      </c>
      <c r="C3" s="44" t="str">
        <f>LUNES!$A$13</f>
        <v>Press Plano</v>
      </c>
      <c r="D3" s="45" t="str">
        <f>LUNES!$B$13</f>
        <v>Mancuernas</v>
      </c>
      <c r="E3" s="37" t="str">
        <f>LUNES!$C$13</f>
        <v>mancuerna</v>
      </c>
      <c r="F3" s="46" t="str">
        <f>IF(P3="","",IFERROR(CHOOSE(VALUE(RIGHT(P3,1)),LUNES!F13,LUNES!I13,LUNES!L13,LUNES!O13,LUNES!R13),""))</f>
        <v/>
      </c>
      <c r="G3" s="47" t="str">
        <f>IF(P3="","",IFERROR(CHOOSE(VALUE(RIGHT(P3,1)),LUNES!G13,LUNES!J13,LUNES!M13,LUNES!P13,LUNES!S13),""))</f>
        <v/>
      </c>
      <c r="H3" s="48" t="str">
        <f>IF(P3="","",IFERROR(CHOOSE(VALUE(RIGHT(P3,1)),LUNES!H13,LUNES!K13,LUNES!N13,LUNES!Q13,LUNES!T13),""))</f>
        <v/>
      </c>
      <c r="I3" s="49" t="str">
        <f t="shared" ref="I3:I66" si="0">IF(P3="","",LEFT(P3,1))</f>
        <v/>
      </c>
      <c r="J3" s="50" t="str">
        <f>IF(P3="","",IFERROR(ROUND(CHOOSE(VALUE(RIGHT(P3,1)),IF(LUNES!C13="peso_corporal",IF(ISNUMBER(LUNES!E13),LUNES!E13,0)+LUNES!F13,LUNES!F13)*LUNES!G13,IF(LUNES!C13="peso_corporal",IF(ISNUMBER(LUNES!E13),LUNES!E13,0)+LUNES!I13,LUNES!I13)*LUNES!J13,IF(LUNES!C13="peso_corporal",IF(ISNUMBER(LUNES!E13),LUNES!E13,0)+LUNES!L13,LUNES!L13)*LUNES!M13,IF(LUNES!C13="peso_corporal",IF(ISNUMBER(LUNES!E13),LUNES!E13,0)+LUNES!O13,LUNES!O13)*LUNES!P13,IF(LUNES!C13="peso_corporal",IF(ISNUMBER(LUNES!E13),LUNES!E13,0)+LUNES!R13,LUNES!R13)*LUNES!S13),1),""))</f>
        <v/>
      </c>
      <c r="K3" s="51" t="str">
        <f>IF(P3="","",IFERROR(ROUND(CHOOSE(VALUE(RIGHT(P3,1)),(IF(LUNES!C13="peso_corporal",IF(ISNUMBER(LUNES!E13),LUNES!E13,0)+LUNES!F13,LUNES!F13))*(1+LUNES!G13/30),(IF(LUNES!C13="peso_corporal",IF(ISNUMBER(LUNES!E13),LUNES!E13,0)+LUNES!I13,LUNES!I13))*(1+LUNES!J13/30),(IF(LUNES!C13="peso_corporal",IF(ISNUMBER(LUNES!E13),LUNES!E13,0)+LUNES!L13,LUNES!L13))*(1+LUNES!M13/30),(IF(LUNES!C13="peso_corporal",IF(ISNUMBER(LUNES!E13),LUNES!E13,0)+LUNES!O13,LUNES!O13))*(1+LUNES!P13/30),(IF(LUNES!C13="peso_corporal",IF(ISNUMBER(LUNES!E13),LUNES!E13,0)+LUNES!R13,LUNES!R13))*(1+LUNES!S13/30)),1),""))</f>
        <v/>
      </c>
      <c r="L3" s="52">
        <f>IFERROR(LUNES!E13,"")</f>
        <v>80</v>
      </c>
      <c r="M3" s="53" t="str">
        <f>"-"</f>
        <v>-</v>
      </c>
      <c r="N3" s="54" t="str">
        <f>IFERROR(VLOOKUP(A3,CONFIG!$A$10:$B$21,2,0),"")</f>
        <v>HIP</v>
      </c>
      <c r="O3" s="55" t="str">
        <f t="shared" ref="O3:O66" si="1">C3&amp;"|"&amp;D3</f>
        <v>Press Plano|Mancuernas</v>
      </c>
      <c r="P3" s="69" t="str">
        <f>LUNES!AC13</f>
        <v/>
      </c>
    </row>
    <row r="4" spans="1:16" ht="14.1" customHeight="1">
      <c r="A4" s="37">
        <v>1</v>
      </c>
      <c r="B4" s="37" t="s">
        <v>277</v>
      </c>
      <c r="C4" s="44" t="str">
        <f>LUNES!$A$15</f>
        <v>Aperturas Inclinado</v>
      </c>
      <c r="D4" s="45" t="str">
        <f>LUNES!$B$15</f>
        <v>Mancuernas Inclinado</v>
      </c>
      <c r="E4" s="37" t="str">
        <f>LUNES!$C$15</f>
        <v>mancuerna</v>
      </c>
      <c r="F4" s="46" t="str">
        <f>IF(P4="","",IFERROR(CHOOSE(VALUE(RIGHT(P4,1)),LUNES!F15,LUNES!I15,LUNES!L15,LUNES!O15,LUNES!R15),""))</f>
        <v/>
      </c>
      <c r="G4" s="47" t="str">
        <f>IF(P4="","",IFERROR(CHOOSE(VALUE(RIGHT(P4,1)),LUNES!G15,LUNES!J15,LUNES!M15,LUNES!P15,LUNES!S15),""))</f>
        <v/>
      </c>
      <c r="H4" s="48" t="str">
        <f>IF(P4="","",IFERROR(CHOOSE(VALUE(RIGHT(P4,1)),LUNES!H15,LUNES!K15,LUNES!N15,LUNES!Q15,LUNES!T15),""))</f>
        <v/>
      </c>
      <c r="I4" s="49" t="str">
        <f t="shared" si="0"/>
        <v/>
      </c>
      <c r="J4" s="50" t="str">
        <f>IF(P4="","",IFERROR(ROUND(CHOOSE(VALUE(RIGHT(P4,1)),IF(LUNES!C15="peso_corporal",IF(ISNUMBER(LUNES!E15),LUNES!E15,0)+LUNES!F15,LUNES!F15)*LUNES!G15,IF(LUNES!C15="peso_corporal",IF(ISNUMBER(LUNES!E15),LUNES!E15,0)+LUNES!I15,LUNES!I15)*LUNES!J15,IF(LUNES!C15="peso_corporal",IF(ISNUMBER(LUNES!E15),LUNES!E15,0)+LUNES!L15,LUNES!L15)*LUNES!M15,IF(LUNES!C15="peso_corporal",IF(ISNUMBER(LUNES!E15),LUNES!E15,0)+LUNES!O15,LUNES!O15)*LUNES!P15,IF(LUNES!C15="peso_corporal",IF(ISNUMBER(LUNES!E15),LUNES!E15,0)+LUNES!R15,LUNES!R15)*LUNES!S15),1),""))</f>
        <v/>
      </c>
      <c r="K4" s="51" t="str">
        <f>IF(P4="","",IFERROR(ROUND(CHOOSE(VALUE(RIGHT(P4,1)),(IF(LUNES!C15="peso_corporal",IF(ISNUMBER(LUNES!E15),LUNES!E15,0)+LUNES!F15,LUNES!F15))*(1+LUNES!G15/30),(IF(LUNES!C15="peso_corporal",IF(ISNUMBER(LUNES!E15),LUNES!E15,0)+LUNES!I15,LUNES!I15))*(1+LUNES!J15/30),(IF(LUNES!C15="peso_corporal",IF(ISNUMBER(LUNES!E15),LUNES!E15,0)+LUNES!L15,LUNES!L15))*(1+LUNES!M15/30),(IF(LUNES!C15="peso_corporal",IF(ISNUMBER(LUNES!E15),LUNES!E15,0)+LUNES!O15,LUNES!O15))*(1+LUNES!P15/30),(IF(LUNES!C15="peso_corporal",IF(ISNUMBER(LUNES!E15),LUNES!E15,0)+LUNES!R15,LUNES!R15))*(1+LUNES!S15/30)),1),""))</f>
        <v/>
      </c>
      <c r="L4" s="52">
        <f>IFERROR(LUNES!E15,"")</f>
        <v>80</v>
      </c>
      <c r="M4" s="53" t="str">
        <f>IFERROR(IF(K4="","-",IF(ISNUMBER(LOOKUP(2,1/((HISTORIAL!$O$3:$O$3=O4)*(HISTORIAL!$F$3:$F$3&lt;&gt;"")),HISTORIAL!$K$3:$K$3)),IF(K4&gt;LOOKUP(2,1/((HISTORIAL!$O$3:$O$3=O4)*(HISTORIAL!$F$3:$F$3&lt;&gt;"")),HISTORIAL!$K$3:$K$3),"^",IF(K4&lt;LOOKUP(2,1/((HISTORIAL!$O$3:$O$3=O4)*(HISTORIAL!$F$3:$F$3&lt;&gt;"")),HISTORIAL!$K$3:$K$3),"v","-")),"-")),"-")</f>
        <v>-</v>
      </c>
      <c r="N4" s="54" t="str">
        <f>IFERROR(VLOOKUP(A4,CONFIG!$A$10:$B$21,2,0),"")</f>
        <v>HIP</v>
      </c>
      <c r="O4" s="55" t="str">
        <f t="shared" si="1"/>
        <v>Aperturas Inclinado|Mancuernas Inclinado</v>
      </c>
      <c r="P4" s="69" t="str">
        <f>LUNES!AC15</f>
        <v/>
      </c>
    </row>
    <row r="5" spans="1:16" ht="14.1" customHeight="1">
      <c r="A5" s="37">
        <v>1</v>
      </c>
      <c r="B5" s="37" t="s">
        <v>277</v>
      </c>
      <c r="C5" s="44" t="str">
        <f>LUNES!$A$17</f>
        <v>Fondos</v>
      </c>
      <c r="D5" s="45" t="str">
        <f>LUNES!$B$17</f>
        <v>Paralelas</v>
      </c>
      <c r="E5" s="37" t="str">
        <f>LUNES!$C$17</f>
        <v>peso_corporal</v>
      </c>
      <c r="F5" s="46">
        <f>IF(P5="","",IFERROR(CHOOSE(VALUE(RIGHT(P5,1)),LUNES!F17,LUNES!I17,LUNES!L17,LUNES!O17,LUNES!R17),""))</f>
        <v>0</v>
      </c>
      <c r="G5" s="47">
        <f>IF(P5="","",IFERROR(CHOOSE(VALUE(RIGHT(P5,1)),LUNES!G17,LUNES!J17,LUNES!M17,LUNES!P17,LUNES!S17),""))</f>
        <v>12</v>
      </c>
      <c r="H5" s="48">
        <f>IF(P5="","",IFERROR(CHOOSE(VALUE(RIGHT(P5,1)),LUNES!H17,LUNES!K17,LUNES!N17,LUNES!Q17,LUNES!T17),""))</f>
        <v>0</v>
      </c>
      <c r="I5" s="49" t="str">
        <f t="shared" si="0"/>
        <v>B</v>
      </c>
      <c r="J5" s="50">
        <f>IF(P5="","",IFERROR(ROUND(CHOOSE(VALUE(RIGHT(P5,1)),IF(LUNES!C17="peso_corporal",IF(ISNUMBER(LUNES!E17),LUNES!E17,0)+LUNES!F17,LUNES!F17)*LUNES!G17,IF(LUNES!C17="peso_corporal",IF(ISNUMBER(LUNES!E17),LUNES!E17,0)+LUNES!I17,LUNES!I17)*LUNES!J17,IF(LUNES!C17="peso_corporal",IF(ISNUMBER(LUNES!E17),LUNES!E17,0)+LUNES!L17,LUNES!L17)*LUNES!M17,IF(LUNES!C17="peso_corporal",IF(ISNUMBER(LUNES!E17),LUNES!E17,0)+LUNES!O17,LUNES!O17)*LUNES!P17,IF(LUNES!C17="peso_corporal",IF(ISNUMBER(LUNES!E17),LUNES!E17,0)+LUNES!R17,LUNES!R17)*LUNES!S17),1),""))</f>
        <v>960</v>
      </c>
      <c r="K5" s="51">
        <f>IF(P5="","",IFERROR(ROUND(CHOOSE(VALUE(RIGHT(P5,1)),(IF(LUNES!C17="peso_corporal",IF(ISNUMBER(LUNES!E17),LUNES!E17,0)+LUNES!F17,LUNES!F17))*(1+LUNES!G17/30),(IF(LUNES!C17="peso_corporal",IF(ISNUMBER(LUNES!E17),LUNES!E17,0)+LUNES!I17,LUNES!I17))*(1+LUNES!J17/30),(IF(LUNES!C17="peso_corporal",IF(ISNUMBER(LUNES!E17),LUNES!E17,0)+LUNES!L17,LUNES!L17))*(1+LUNES!M17/30),(IF(LUNES!C17="peso_corporal",IF(ISNUMBER(LUNES!E17),LUNES!E17,0)+LUNES!O17,LUNES!O17))*(1+LUNES!P17/30),(IF(LUNES!C17="peso_corporal",IF(ISNUMBER(LUNES!E17),LUNES!E17,0)+LUNES!R17,LUNES!R17))*(1+LUNES!S17/30)),1),""))</f>
        <v>112</v>
      </c>
      <c r="L5" s="52">
        <f>IFERROR(LUNES!E17,"")</f>
        <v>80</v>
      </c>
      <c r="M5" s="53" t="str">
        <f>IFERROR(IF(K5="","-",IF(ISNUMBER(LOOKUP(2,1/((HISTORIAL!$O$3:$O$4=O5)*(HISTORIAL!$F$3:$F$4&lt;&gt;"")),HISTORIAL!$K$3:$K$4)),IF(K5&gt;LOOKUP(2,1/((HISTORIAL!$O$3:$O$4=O5)*(HISTORIAL!$F$3:$F$4&lt;&gt;"")),HISTORIAL!$K$3:$K$4),"^",IF(K5&lt;LOOKUP(2,1/((HISTORIAL!$O$3:$O$4=O5)*(HISTORIAL!$F$3:$F$4&lt;&gt;"")),HISTORIAL!$K$3:$K$4),"v","-")),"-")),"-")</f>
        <v>-</v>
      </c>
      <c r="N5" s="54" t="str">
        <f>IFERROR(VLOOKUP(A5,CONFIG!$A$10:$B$21,2,0),"")</f>
        <v>HIP</v>
      </c>
      <c r="O5" s="55" t="str">
        <f t="shared" si="1"/>
        <v>Fondos|Paralelas</v>
      </c>
      <c r="P5" s="69" t="str">
        <f>LUNES!AC17</f>
        <v>B1</v>
      </c>
    </row>
    <row r="6" spans="1:16" ht="14.1" customHeight="1">
      <c r="A6" s="37">
        <v>1</v>
      </c>
      <c r="B6" s="37" t="s">
        <v>277</v>
      </c>
      <c r="C6" s="44" t="str">
        <f>LUNES!$A$18</f>
        <v>Aperturas Bajo</v>
      </c>
      <c r="D6" s="45" t="str">
        <f>LUNES!$B$18</f>
        <v>Polea Baja Crossover</v>
      </c>
      <c r="E6" s="37" t="str">
        <f>LUNES!$C$18</f>
        <v>polea</v>
      </c>
      <c r="F6" s="46" t="str">
        <f>IF(P6="","",IFERROR(CHOOSE(VALUE(RIGHT(P6,1)),LUNES!F18,LUNES!I18,LUNES!L18,LUNES!O18,LUNES!R18),""))</f>
        <v/>
      </c>
      <c r="G6" s="47" t="str">
        <f>IF(P6="","",IFERROR(CHOOSE(VALUE(RIGHT(P6,1)),LUNES!G18,LUNES!J18,LUNES!M18,LUNES!P18,LUNES!S18),""))</f>
        <v/>
      </c>
      <c r="H6" s="48" t="str">
        <f>IF(P6="","",IFERROR(CHOOSE(VALUE(RIGHT(P6,1)),LUNES!H18,LUNES!K18,LUNES!N18,LUNES!Q18,LUNES!T18),""))</f>
        <v/>
      </c>
      <c r="I6" s="49" t="str">
        <f t="shared" si="0"/>
        <v/>
      </c>
      <c r="J6" s="50" t="str">
        <f>IF(P6="","",IFERROR(ROUND(CHOOSE(VALUE(RIGHT(P6,1)),IF(LUNES!C18="peso_corporal",IF(ISNUMBER(LUNES!E18),LUNES!E18,0)+LUNES!F18,LUNES!F18)*LUNES!G18,IF(LUNES!C18="peso_corporal",IF(ISNUMBER(LUNES!E18),LUNES!E18,0)+LUNES!I18,LUNES!I18)*LUNES!J18,IF(LUNES!C18="peso_corporal",IF(ISNUMBER(LUNES!E18),LUNES!E18,0)+LUNES!L18,LUNES!L18)*LUNES!M18,IF(LUNES!C18="peso_corporal",IF(ISNUMBER(LUNES!E18),LUNES!E18,0)+LUNES!O18,LUNES!O18)*LUNES!P18,IF(LUNES!C18="peso_corporal",IF(ISNUMBER(LUNES!E18),LUNES!E18,0)+LUNES!R18,LUNES!R18)*LUNES!S18),1),""))</f>
        <v/>
      </c>
      <c r="K6" s="51" t="str">
        <f>IF(P6="","",IFERROR(ROUND(CHOOSE(VALUE(RIGHT(P6,1)),(IF(LUNES!C18="peso_corporal",IF(ISNUMBER(LUNES!E18),LUNES!E18,0)+LUNES!F18,LUNES!F18))*(1+LUNES!G18/30),(IF(LUNES!C18="peso_corporal",IF(ISNUMBER(LUNES!E18),LUNES!E18,0)+LUNES!I18,LUNES!I18))*(1+LUNES!J18/30),(IF(LUNES!C18="peso_corporal",IF(ISNUMBER(LUNES!E18),LUNES!E18,0)+LUNES!L18,LUNES!L18))*(1+LUNES!M18/30),(IF(LUNES!C18="peso_corporal",IF(ISNUMBER(LUNES!E18),LUNES!E18,0)+LUNES!O18,LUNES!O18))*(1+LUNES!P18/30),(IF(LUNES!C18="peso_corporal",IF(ISNUMBER(LUNES!E18),LUNES!E18,0)+LUNES!R18,LUNES!R18))*(1+LUNES!S18/30)),1),""))</f>
        <v/>
      </c>
      <c r="L6" s="52">
        <f>IFERROR(LUNES!E18,"")</f>
        <v>80</v>
      </c>
      <c r="M6" s="53" t="str">
        <f>IFERROR(IF(K6="","-",IF(ISNUMBER(LOOKUP(2,1/((HISTORIAL!$O$3:$O$5=O6)*(HISTORIAL!$F$3:$F$5&lt;&gt;"")),HISTORIAL!$K$3:$K$5)),IF(K6&gt;LOOKUP(2,1/((HISTORIAL!$O$3:$O$5=O6)*(HISTORIAL!$F$3:$F$5&lt;&gt;"")),HISTORIAL!$K$3:$K$5),"^",IF(K6&lt;LOOKUP(2,1/((HISTORIAL!$O$3:$O$5=O6)*(HISTORIAL!$F$3:$F$5&lt;&gt;"")),HISTORIAL!$K$3:$K$5),"v","-")),"-")),"-")</f>
        <v>-</v>
      </c>
      <c r="N6" s="54" t="str">
        <f>IFERROR(VLOOKUP(A6,CONFIG!$A$10:$B$21,2,0),"")</f>
        <v>HIP</v>
      </c>
      <c r="O6" s="55" t="str">
        <f t="shared" si="1"/>
        <v>Aperturas Bajo|Polea Baja Crossover</v>
      </c>
      <c r="P6" s="69" t="str">
        <f>LUNES!AC18</f>
        <v/>
      </c>
    </row>
    <row r="7" spans="1:16" ht="14.1" customHeight="1">
      <c r="A7" s="37">
        <v>1</v>
      </c>
      <c r="B7" s="37" t="s">
        <v>277</v>
      </c>
      <c r="C7" s="44" t="str">
        <f>LUNES!$A$19</f>
        <v>Press Polea</v>
      </c>
      <c r="D7" s="45" t="str">
        <f>LUNES!$B$19</f>
        <v>Barra Recta Diagonal Arriba</v>
      </c>
      <c r="E7" s="37" t="str">
        <f>LUNES!$C$19</f>
        <v>polea</v>
      </c>
      <c r="F7" s="46" t="str">
        <f>IF(P7="","",IFERROR(CHOOSE(VALUE(RIGHT(P7,1)),LUNES!F19,LUNES!I19,LUNES!L19,LUNES!O19,LUNES!R19),""))</f>
        <v/>
      </c>
      <c r="G7" s="47" t="str">
        <f>IF(P7="","",IFERROR(CHOOSE(VALUE(RIGHT(P7,1)),LUNES!G19,LUNES!J19,LUNES!M19,LUNES!P19,LUNES!S19),""))</f>
        <v/>
      </c>
      <c r="H7" s="48" t="str">
        <f>IF(P7="","",IFERROR(CHOOSE(VALUE(RIGHT(P7,1)),LUNES!H19,LUNES!K19,LUNES!N19,LUNES!Q19,LUNES!T19),""))</f>
        <v/>
      </c>
      <c r="I7" s="49" t="str">
        <f t="shared" si="0"/>
        <v/>
      </c>
      <c r="J7" s="50" t="str">
        <f>IF(P7="","",IFERROR(ROUND(CHOOSE(VALUE(RIGHT(P7,1)),IF(LUNES!C19="peso_corporal",IF(ISNUMBER(LUNES!E19),LUNES!E19,0)+LUNES!F19,LUNES!F19)*LUNES!G19,IF(LUNES!C19="peso_corporal",IF(ISNUMBER(LUNES!E19),LUNES!E19,0)+LUNES!I19,LUNES!I19)*LUNES!J19,IF(LUNES!C19="peso_corporal",IF(ISNUMBER(LUNES!E19),LUNES!E19,0)+LUNES!L19,LUNES!L19)*LUNES!M19,IF(LUNES!C19="peso_corporal",IF(ISNUMBER(LUNES!E19),LUNES!E19,0)+LUNES!O19,LUNES!O19)*LUNES!P19,IF(LUNES!C19="peso_corporal",IF(ISNUMBER(LUNES!E19),LUNES!E19,0)+LUNES!R19,LUNES!R19)*LUNES!S19),1),""))</f>
        <v/>
      </c>
      <c r="K7" s="51" t="str">
        <f>IF(P7="","",IFERROR(ROUND(CHOOSE(VALUE(RIGHT(P7,1)),(IF(LUNES!C19="peso_corporal",IF(ISNUMBER(LUNES!E19),LUNES!E19,0)+LUNES!F19,LUNES!F19))*(1+LUNES!G19/30),(IF(LUNES!C19="peso_corporal",IF(ISNUMBER(LUNES!E19),LUNES!E19,0)+LUNES!I19,LUNES!I19))*(1+LUNES!J19/30),(IF(LUNES!C19="peso_corporal",IF(ISNUMBER(LUNES!E19),LUNES!E19,0)+LUNES!L19,LUNES!L19))*(1+LUNES!M19/30),(IF(LUNES!C19="peso_corporal",IF(ISNUMBER(LUNES!E19),LUNES!E19,0)+LUNES!O19,LUNES!O19))*(1+LUNES!P19/30),(IF(LUNES!C19="peso_corporal",IF(ISNUMBER(LUNES!E19),LUNES!E19,0)+LUNES!R19,LUNES!R19))*(1+LUNES!S19/30)),1),""))</f>
        <v/>
      </c>
      <c r="L7" s="52">
        <f>IFERROR(LUNES!E19,"")</f>
        <v>80</v>
      </c>
      <c r="M7" s="53" t="str">
        <f>IFERROR(IF(K7="","-",IF(ISNUMBER(LOOKUP(2,1/((HISTORIAL!$O$3:$O$6=O7)*(HISTORIAL!$F$3:$F$6&lt;&gt;"")),HISTORIAL!$K$3:$K$6)),IF(K7&gt;LOOKUP(2,1/((HISTORIAL!$O$3:$O$6=O7)*(HISTORIAL!$F$3:$F$6&lt;&gt;"")),HISTORIAL!$K$3:$K$6),"^",IF(K7&lt;LOOKUP(2,1/((HISTORIAL!$O$3:$O$6=O7)*(HISTORIAL!$F$3:$F$6&lt;&gt;"")),HISTORIAL!$K$3:$K$6),"v","-")),"-")),"-")</f>
        <v>-</v>
      </c>
      <c r="N7" s="54" t="str">
        <f>IFERROR(VLOOKUP(A7,CONFIG!$A$10:$B$21,2,0),"")</f>
        <v>HIP</v>
      </c>
      <c r="O7" s="55" t="str">
        <f t="shared" si="1"/>
        <v>Press Polea|Barra Recta Diagonal Arriba</v>
      </c>
      <c r="P7" s="69" t="str">
        <f>LUNES!AC19</f>
        <v/>
      </c>
    </row>
    <row r="8" spans="1:16" ht="14.1" customHeight="1">
      <c r="A8" s="37">
        <v>1</v>
      </c>
      <c r="B8" s="37" t="s">
        <v>277</v>
      </c>
      <c r="C8" s="44" t="str">
        <f>LUNES!$A$21</f>
        <v>Elevaciones Laterales</v>
      </c>
      <c r="D8" s="45" t="str">
        <f>LUNES!$B$21</f>
        <v>Cable Polea Individual</v>
      </c>
      <c r="E8" s="37" t="str">
        <f>LUNES!$C$21</f>
        <v>polea</v>
      </c>
      <c r="F8" s="46" t="str">
        <f>IF(P8="","",IFERROR(CHOOSE(VALUE(RIGHT(P8,1)),LUNES!F21,LUNES!I21,LUNES!L21,LUNES!O21,LUNES!R21),""))</f>
        <v/>
      </c>
      <c r="G8" s="47" t="str">
        <f>IF(P8="","",IFERROR(CHOOSE(VALUE(RIGHT(P8,1)),LUNES!G21,LUNES!J21,LUNES!M21,LUNES!P21,LUNES!S21),""))</f>
        <v/>
      </c>
      <c r="H8" s="48" t="str">
        <f>IF(P8="","",IFERROR(CHOOSE(VALUE(RIGHT(P8,1)),LUNES!H21,LUNES!K21,LUNES!N21,LUNES!Q21,LUNES!T21),""))</f>
        <v/>
      </c>
      <c r="I8" s="49" t="str">
        <f t="shared" si="0"/>
        <v/>
      </c>
      <c r="J8" s="50" t="str">
        <f>IF(P8="","",IFERROR(ROUND(CHOOSE(VALUE(RIGHT(P8,1)),IF(LUNES!C21="peso_corporal",IF(ISNUMBER(LUNES!E21),LUNES!E21,0)+LUNES!F21,LUNES!F21)*LUNES!G21,IF(LUNES!C21="peso_corporal",IF(ISNUMBER(LUNES!E21),LUNES!E21,0)+LUNES!I21,LUNES!I21)*LUNES!J21,IF(LUNES!C21="peso_corporal",IF(ISNUMBER(LUNES!E21),LUNES!E21,0)+LUNES!L21,LUNES!L21)*LUNES!M21,IF(LUNES!C21="peso_corporal",IF(ISNUMBER(LUNES!E21),LUNES!E21,0)+LUNES!O21,LUNES!O21)*LUNES!P21,IF(LUNES!C21="peso_corporal",IF(ISNUMBER(LUNES!E21),LUNES!E21,0)+LUNES!R21,LUNES!R21)*LUNES!S21),1),""))</f>
        <v/>
      </c>
      <c r="K8" s="51" t="str">
        <f>IF(P8="","",IFERROR(ROUND(CHOOSE(VALUE(RIGHT(P8,1)),(IF(LUNES!C21="peso_corporal",IF(ISNUMBER(LUNES!E21),LUNES!E21,0)+LUNES!F21,LUNES!F21))*(1+LUNES!G21/30),(IF(LUNES!C21="peso_corporal",IF(ISNUMBER(LUNES!E21),LUNES!E21,0)+LUNES!I21,LUNES!I21))*(1+LUNES!J21/30),(IF(LUNES!C21="peso_corporal",IF(ISNUMBER(LUNES!E21),LUNES!E21,0)+LUNES!L21,LUNES!L21))*(1+LUNES!M21/30),(IF(LUNES!C21="peso_corporal",IF(ISNUMBER(LUNES!E21),LUNES!E21,0)+LUNES!O21,LUNES!O21))*(1+LUNES!P21/30),(IF(LUNES!C21="peso_corporal",IF(ISNUMBER(LUNES!E21),LUNES!E21,0)+LUNES!R21,LUNES!R21))*(1+LUNES!S21/30)),1),""))</f>
        <v/>
      </c>
      <c r="L8" s="52">
        <f>IFERROR(LUNES!E21,"")</f>
        <v>80</v>
      </c>
      <c r="M8" s="53" t="str">
        <f>IFERROR(IF(K8="","-",IF(ISNUMBER(LOOKUP(2,1/((HISTORIAL!$O$3:$O$7=O8)*(HISTORIAL!$F$3:$F$7&lt;&gt;"")),HISTORIAL!$K$3:$K$7)),IF(K8&gt;LOOKUP(2,1/((HISTORIAL!$O$3:$O$7=O8)*(HISTORIAL!$F$3:$F$7&lt;&gt;"")),HISTORIAL!$K$3:$K$7),"^",IF(K8&lt;LOOKUP(2,1/((HISTORIAL!$O$3:$O$7=O8)*(HISTORIAL!$F$3:$F$7&lt;&gt;"")),HISTORIAL!$K$3:$K$7),"v","-")),"-")),"-")</f>
        <v>-</v>
      </c>
      <c r="N8" s="54" t="str">
        <f>IFERROR(VLOOKUP(A8,CONFIG!$A$10:$B$21,2,0),"")</f>
        <v>HIP</v>
      </c>
      <c r="O8" s="55" t="str">
        <f t="shared" si="1"/>
        <v>Elevaciones Laterales|Cable Polea Individual</v>
      </c>
      <c r="P8" s="69" t="str">
        <f>LUNES!AC21</f>
        <v/>
      </c>
    </row>
    <row r="9" spans="1:16" ht="14.1" customHeight="1">
      <c r="A9" s="37">
        <v>1</v>
      </c>
      <c r="B9" s="37" t="s">
        <v>277</v>
      </c>
      <c r="C9" s="44" t="str">
        <f>LUNES!$A$22</f>
        <v>Press Militar</v>
      </c>
      <c r="D9" s="45" t="str">
        <f>LUNES!$B$22</f>
        <v>Mancuernas Sentado</v>
      </c>
      <c r="E9" s="37" t="str">
        <f>LUNES!$C$22</f>
        <v>mancuerna</v>
      </c>
      <c r="F9" s="46" t="str">
        <f>IF(P9="","",IFERROR(CHOOSE(VALUE(RIGHT(P9,1)),LUNES!F22,LUNES!I22,LUNES!L22,LUNES!O22,LUNES!R22),""))</f>
        <v/>
      </c>
      <c r="G9" s="47" t="str">
        <f>IF(P9="","",IFERROR(CHOOSE(VALUE(RIGHT(P9,1)),LUNES!G22,LUNES!J22,LUNES!M22,LUNES!P22,LUNES!S22),""))</f>
        <v/>
      </c>
      <c r="H9" s="48" t="str">
        <f>IF(P9="","",IFERROR(CHOOSE(VALUE(RIGHT(P9,1)),LUNES!H22,LUNES!K22,LUNES!N22,LUNES!Q22,LUNES!T22),""))</f>
        <v/>
      </c>
      <c r="I9" s="49" t="str">
        <f t="shared" si="0"/>
        <v/>
      </c>
      <c r="J9" s="50" t="str">
        <f>IF(P9="","",IFERROR(ROUND(CHOOSE(VALUE(RIGHT(P9,1)),IF(LUNES!C22="peso_corporal",IF(ISNUMBER(LUNES!E22),LUNES!E22,0)+LUNES!F22,LUNES!F22)*LUNES!G22,IF(LUNES!C22="peso_corporal",IF(ISNUMBER(LUNES!E22),LUNES!E22,0)+LUNES!I22,LUNES!I22)*LUNES!J22,IF(LUNES!C22="peso_corporal",IF(ISNUMBER(LUNES!E22),LUNES!E22,0)+LUNES!L22,LUNES!L22)*LUNES!M22,IF(LUNES!C22="peso_corporal",IF(ISNUMBER(LUNES!E22),LUNES!E22,0)+LUNES!O22,LUNES!O22)*LUNES!P22,IF(LUNES!C22="peso_corporal",IF(ISNUMBER(LUNES!E22),LUNES!E22,0)+LUNES!R22,LUNES!R22)*LUNES!S22),1),""))</f>
        <v/>
      </c>
      <c r="K9" s="51" t="str">
        <f>IF(P9="","",IFERROR(ROUND(CHOOSE(VALUE(RIGHT(P9,1)),(IF(LUNES!C22="peso_corporal",IF(ISNUMBER(LUNES!E22),LUNES!E22,0)+LUNES!F22,LUNES!F22))*(1+LUNES!G22/30),(IF(LUNES!C22="peso_corporal",IF(ISNUMBER(LUNES!E22),LUNES!E22,0)+LUNES!I22,LUNES!I22))*(1+LUNES!J22/30),(IF(LUNES!C22="peso_corporal",IF(ISNUMBER(LUNES!E22),LUNES!E22,0)+LUNES!L22,LUNES!L22))*(1+LUNES!M22/30),(IF(LUNES!C22="peso_corporal",IF(ISNUMBER(LUNES!E22),LUNES!E22,0)+LUNES!O22,LUNES!O22))*(1+LUNES!P22/30),(IF(LUNES!C22="peso_corporal",IF(ISNUMBER(LUNES!E22),LUNES!E22,0)+LUNES!R22,LUNES!R22))*(1+LUNES!S22/30)),1),""))</f>
        <v/>
      </c>
      <c r="L9" s="52">
        <f>IFERROR(LUNES!E22,"")</f>
        <v>80</v>
      </c>
      <c r="M9" s="53" t="str">
        <f>IFERROR(IF(K9="","-",IF(ISNUMBER(LOOKUP(2,1/((HISTORIAL!$O$3:$O$8=O9)*(HISTORIAL!$F$3:$F$8&lt;&gt;"")),HISTORIAL!$K$3:$K$8)),IF(K9&gt;LOOKUP(2,1/((HISTORIAL!$O$3:$O$8=O9)*(HISTORIAL!$F$3:$F$8&lt;&gt;"")),HISTORIAL!$K$3:$K$8),"^",IF(K9&lt;LOOKUP(2,1/((HISTORIAL!$O$3:$O$8=O9)*(HISTORIAL!$F$3:$F$8&lt;&gt;"")),HISTORIAL!$K$3:$K$8),"v","-")),"-")),"-")</f>
        <v>-</v>
      </c>
      <c r="N9" s="54" t="str">
        <f>IFERROR(VLOOKUP(A9,CONFIG!$A$10:$B$21,2,0),"")</f>
        <v>HIP</v>
      </c>
      <c r="O9" s="55" t="str">
        <f t="shared" si="1"/>
        <v>Press Militar|Mancuernas Sentado</v>
      </c>
      <c r="P9" s="69" t="str">
        <f>LUNES!AC22</f>
        <v/>
      </c>
    </row>
    <row r="10" spans="1:16" ht="14.1" customHeight="1">
      <c r="A10" s="37">
        <v>1</v>
      </c>
      <c r="B10" s="37" t="s">
        <v>277</v>
      </c>
      <c r="C10" s="44" t="str">
        <f>LUNES!$A$24</f>
        <v>Extension Triceps</v>
      </c>
      <c r="D10" s="45" t="str">
        <f>LUNES!$B$24</f>
        <v>Katana</v>
      </c>
      <c r="E10" s="37" t="str">
        <f>LUNES!$C$24</f>
        <v>polea</v>
      </c>
      <c r="F10" s="46" t="str">
        <f>IF(P10="","",IFERROR(CHOOSE(VALUE(RIGHT(P10,1)),LUNES!F24,LUNES!I24,LUNES!L24,LUNES!O24,LUNES!R24),""))</f>
        <v/>
      </c>
      <c r="G10" s="47" t="str">
        <f>IF(P10="","",IFERROR(CHOOSE(VALUE(RIGHT(P10,1)),LUNES!G24,LUNES!J24,LUNES!M24,LUNES!P24,LUNES!S24),""))</f>
        <v/>
      </c>
      <c r="H10" s="48" t="str">
        <f>IF(P10="","",IFERROR(CHOOSE(VALUE(RIGHT(P10,1)),LUNES!H24,LUNES!K24,LUNES!N24,LUNES!Q24,LUNES!T24),""))</f>
        <v/>
      </c>
      <c r="I10" s="49" t="str">
        <f t="shared" si="0"/>
        <v/>
      </c>
      <c r="J10" s="50" t="str">
        <f>IF(P10="","",IFERROR(ROUND(CHOOSE(VALUE(RIGHT(P10,1)),IF(LUNES!C24="peso_corporal",IF(ISNUMBER(LUNES!E24),LUNES!E24,0)+LUNES!F24,LUNES!F24)*LUNES!G24,IF(LUNES!C24="peso_corporal",IF(ISNUMBER(LUNES!E24),LUNES!E24,0)+LUNES!I24,LUNES!I24)*LUNES!J24,IF(LUNES!C24="peso_corporal",IF(ISNUMBER(LUNES!E24),LUNES!E24,0)+LUNES!L24,LUNES!L24)*LUNES!M24,IF(LUNES!C24="peso_corporal",IF(ISNUMBER(LUNES!E24),LUNES!E24,0)+LUNES!O24,LUNES!O24)*LUNES!P24,IF(LUNES!C24="peso_corporal",IF(ISNUMBER(LUNES!E24),LUNES!E24,0)+LUNES!R24,LUNES!R24)*LUNES!S24),1),""))</f>
        <v/>
      </c>
      <c r="K10" s="51" t="str">
        <f>IF(P10="","",IFERROR(ROUND(CHOOSE(VALUE(RIGHT(P10,1)),(IF(LUNES!C24="peso_corporal",IF(ISNUMBER(LUNES!E24),LUNES!E24,0)+LUNES!F24,LUNES!F24))*(1+LUNES!G24/30),(IF(LUNES!C24="peso_corporal",IF(ISNUMBER(LUNES!E24),LUNES!E24,0)+LUNES!I24,LUNES!I24))*(1+LUNES!J24/30),(IF(LUNES!C24="peso_corporal",IF(ISNUMBER(LUNES!E24),LUNES!E24,0)+LUNES!L24,LUNES!L24))*(1+LUNES!M24/30),(IF(LUNES!C24="peso_corporal",IF(ISNUMBER(LUNES!E24),LUNES!E24,0)+LUNES!O24,LUNES!O24))*(1+LUNES!P24/30),(IF(LUNES!C24="peso_corporal",IF(ISNUMBER(LUNES!E24),LUNES!E24,0)+LUNES!R24,LUNES!R24))*(1+LUNES!S24/30)),1),""))</f>
        <v/>
      </c>
      <c r="L10" s="52">
        <f>IFERROR(LUNES!E24,"")</f>
        <v>80</v>
      </c>
      <c r="M10" s="53" t="str">
        <f>IFERROR(IF(K10="","-",IF(ISNUMBER(LOOKUP(2,1/((HISTORIAL!$O$3:$O$9=O10)*(HISTORIAL!$F$3:$F$9&lt;&gt;"")),HISTORIAL!$K$3:$K$9)),IF(K10&gt;LOOKUP(2,1/((HISTORIAL!$O$3:$O$9=O10)*(HISTORIAL!$F$3:$F$9&lt;&gt;"")),HISTORIAL!$K$3:$K$9),"^",IF(K10&lt;LOOKUP(2,1/((HISTORIAL!$O$3:$O$9=O10)*(HISTORIAL!$F$3:$F$9&lt;&gt;"")),HISTORIAL!$K$3:$K$9),"v","-")),"-")),"-")</f>
        <v>-</v>
      </c>
      <c r="N10" s="54" t="str">
        <f>IFERROR(VLOOKUP(A10,CONFIG!$A$10:$B$21,2,0),"")</f>
        <v>HIP</v>
      </c>
      <c r="O10" s="55" t="str">
        <f t="shared" si="1"/>
        <v>Extension Triceps|Katana</v>
      </c>
      <c r="P10" s="69" t="str">
        <f>LUNES!AC24</f>
        <v/>
      </c>
    </row>
    <row r="11" spans="1:16" ht="14.1" customHeight="1">
      <c r="A11" s="37">
        <v>1</v>
      </c>
      <c r="B11" s="37" t="s">
        <v>277</v>
      </c>
      <c r="C11" s="44" t="str">
        <f>LUNES!$A$26</f>
        <v>Sentadilla</v>
      </c>
      <c r="D11" s="45" t="str">
        <f>LUNES!$B$26</f>
        <v>Maquina</v>
      </c>
      <c r="E11" s="37" t="str">
        <f>LUNES!$C$26</f>
        <v>--</v>
      </c>
      <c r="F11" s="46" t="str">
        <f>IF(P11="","",IFERROR(CHOOSE(VALUE(RIGHT(P11,1)),LUNES!F26,LUNES!I26,LUNES!L26,LUNES!O26,LUNES!R26),""))</f>
        <v/>
      </c>
      <c r="G11" s="47" t="str">
        <f>IF(P11="","",IFERROR(CHOOSE(VALUE(RIGHT(P11,1)),LUNES!G26,LUNES!J26,LUNES!M26,LUNES!P26,LUNES!S26),""))</f>
        <v/>
      </c>
      <c r="H11" s="48" t="str">
        <f>IF(P11="","",IFERROR(CHOOSE(VALUE(RIGHT(P11,1)),LUNES!H26,LUNES!K26,LUNES!N26,LUNES!Q26,LUNES!T26),""))</f>
        <v/>
      </c>
      <c r="I11" s="49" t="str">
        <f t="shared" si="0"/>
        <v/>
      </c>
      <c r="J11" s="50" t="str">
        <f>IF(P11="","",IFERROR(ROUND(CHOOSE(VALUE(RIGHT(P11,1)),IF(LUNES!C26="peso_corporal",IF(ISNUMBER(LUNES!E26),LUNES!E26,0)+LUNES!F26,LUNES!F26)*LUNES!G26,IF(LUNES!C26="peso_corporal",IF(ISNUMBER(LUNES!E26),LUNES!E26,0)+LUNES!I26,LUNES!I26)*LUNES!J26,IF(LUNES!C26="peso_corporal",IF(ISNUMBER(LUNES!E26),LUNES!E26,0)+LUNES!L26,LUNES!L26)*LUNES!M26,IF(LUNES!C26="peso_corporal",IF(ISNUMBER(LUNES!E26),LUNES!E26,0)+LUNES!O26,LUNES!O26)*LUNES!P26,IF(LUNES!C26="peso_corporal",IF(ISNUMBER(LUNES!E26),LUNES!E26,0)+LUNES!R26,LUNES!R26)*LUNES!S26),1),""))</f>
        <v/>
      </c>
      <c r="K11" s="51" t="str">
        <f>IF(P11="","",IFERROR(ROUND(CHOOSE(VALUE(RIGHT(P11,1)),(IF(LUNES!C26="peso_corporal",IF(ISNUMBER(LUNES!E26),LUNES!E26,0)+LUNES!F26,LUNES!F26))*(1+LUNES!G26/30),(IF(LUNES!C26="peso_corporal",IF(ISNUMBER(LUNES!E26),LUNES!E26,0)+LUNES!I26,LUNES!I26))*(1+LUNES!J26/30),(IF(LUNES!C26="peso_corporal",IF(ISNUMBER(LUNES!E26),LUNES!E26,0)+LUNES!L26,LUNES!L26))*(1+LUNES!M26/30),(IF(LUNES!C26="peso_corporal",IF(ISNUMBER(LUNES!E26),LUNES!E26,0)+LUNES!O26,LUNES!O26))*(1+LUNES!P26/30),(IF(LUNES!C26="peso_corporal",IF(ISNUMBER(LUNES!E26),LUNES!E26,0)+LUNES!R26,LUNES!R26))*(1+LUNES!S26/30)),1),""))</f>
        <v/>
      </c>
      <c r="L11" s="52">
        <f>IFERROR(LUNES!E26,"")</f>
        <v>80</v>
      </c>
      <c r="M11" s="53" t="str">
        <f>IFERROR(IF(K11="","-",IF(ISNUMBER(LOOKUP(2,1/((HISTORIAL!$O$3:$O$10=O11)*(HISTORIAL!$F$3:$F$10&lt;&gt;"")),HISTORIAL!$K$3:$K$10)),IF(K11&gt;LOOKUP(2,1/((HISTORIAL!$O$3:$O$10=O11)*(HISTORIAL!$F$3:$F$10&lt;&gt;"")),HISTORIAL!$K$3:$K$10),"^",IF(K11&lt;LOOKUP(2,1/((HISTORIAL!$O$3:$O$10=O11)*(HISTORIAL!$F$3:$F$10&lt;&gt;"")),HISTORIAL!$K$3:$K$10),"v","-")),"-")),"-")</f>
        <v>-</v>
      </c>
      <c r="N11" s="54" t="str">
        <f>IFERROR(VLOOKUP(A11,CONFIG!$A$10:$B$21,2,0),"")</f>
        <v>HIP</v>
      </c>
      <c r="O11" s="55" t="str">
        <f t="shared" si="1"/>
        <v>Sentadilla|Maquina</v>
      </c>
      <c r="P11" s="69" t="str">
        <f>LUNES!AC26</f>
        <v/>
      </c>
    </row>
    <row r="12" spans="1:16" ht="14.1" customHeight="1">
      <c r="A12" s="37">
        <v>1</v>
      </c>
      <c r="B12" s="37" t="s">
        <v>277</v>
      </c>
      <c r="C12" s="44" t="str">
        <f>LUNES!$A$28</f>
        <v>Curl Biceps</v>
      </c>
      <c r="D12" s="45" t="str">
        <f>LUNES!$B$28</f>
        <v>Barra Recta Polea</v>
      </c>
      <c r="E12" s="37" t="str">
        <f>LUNES!$C$28</f>
        <v>polea</v>
      </c>
      <c r="F12" s="46" t="str">
        <f>IF(P12="","",IFERROR(CHOOSE(VALUE(RIGHT(P12,1)),LUNES!F28,LUNES!I28,LUNES!L28,LUNES!O28,LUNES!R28),""))</f>
        <v/>
      </c>
      <c r="G12" s="47" t="str">
        <f>IF(P12="","",IFERROR(CHOOSE(VALUE(RIGHT(P12,1)),LUNES!G28,LUNES!J28,LUNES!M28,LUNES!P28,LUNES!S28),""))</f>
        <v/>
      </c>
      <c r="H12" s="48" t="str">
        <f>IF(P12="","",IFERROR(CHOOSE(VALUE(RIGHT(P12,1)),LUNES!H28,LUNES!K28,LUNES!N28,LUNES!Q28,LUNES!T28),""))</f>
        <v/>
      </c>
      <c r="I12" s="49" t="str">
        <f t="shared" si="0"/>
        <v/>
      </c>
      <c r="J12" s="50" t="str">
        <f>IF(P12="","",IFERROR(ROUND(CHOOSE(VALUE(RIGHT(P12,1)),IF(LUNES!C28="peso_corporal",IF(ISNUMBER(LUNES!E28),LUNES!E28,0)+LUNES!F28,LUNES!F28)*LUNES!G28,IF(LUNES!C28="peso_corporal",IF(ISNUMBER(LUNES!E28),LUNES!E28,0)+LUNES!I28,LUNES!I28)*LUNES!J28,IF(LUNES!C28="peso_corporal",IF(ISNUMBER(LUNES!E28),LUNES!E28,0)+LUNES!L28,LUNES!L28)*LUNES!M28,IF(LUNES!C28="peso_corporal",IF(ISNUMBER(LUNES!E28),LUNES!E28,0)+LUNES!O28,LUNES!O28)*LUNES!P28,IF(LUNES!C28="peso_corporal",IF(ISNUMBER(LUNES!E28),LUNES!E28,0)+LUNES!R28,LUNES!R28)*LUNES!S28),1),""))</f>
        <v/>
      </c>
      <c r="K12" s="51" t="str">
        <f>IF(P12="","",IFERROR(ROUND(CHOOSE(VALUE(RIGHT(P12,1)),(IF(LUNES!C28="peso_corporal",IF(ISNUMBER(LUNES!E28),LUNES!E28,0)+LUNES!F28,LUNES!F28))*(1+LUNES!G28/30),(IF(LUNES!C28="peso_corporal",IF(ISNUMBER(LUNES!E28),LUNES!E28,0)+LUNES!I28,LUNES!I28))*(1+LUNES!J28/30),(IF(LUNES!C28="peso_corporal",IF(ISNUMBER(LUNES!E28),LUNES!E28,0)+LUNES!L28,LUNES!L28))*(1+LUNES!M28/30),(IF(LUNES!C28="peso_corporal",IF(ISNUMBER(LUNES!E28),LUNES!E28,0)+LUNES!O28,LUNES!O28))*(1+LUNES!P28/30),(IF(LUNES!C28="peso_corporal",IF(ISNUMBER(LUNES!E28),LUNES!E28,0)+LUNES!R28,LUNES!R28))*(1+LUNES!S28/30)),1),""))</f>
        <v/>
      </c>
      <c r="L12" s="52">
        <f>IFERROR(LUNES!E28,"")</f>
        <v>80</v>
      </c>
      <c r="M12" s="53" t="str">
        <f>IFERROR(IF(K12="","-",IF(ISNUMBER(LOOKUP(2,1/((HISTORIAL!$O$3:$O$11=O12)*(HISTORIAL!$F$3:$F$11&lt;&gt;"")),HISTORIAL!$K$3:$K$11)),IF(K12&gt;LOOKUP(2,1/((HISTORIAL!$O$3:$O$11=O12)*(HISTORIAL!$F$3:$F$11&lt;&gt;"")),HISTORIAL!$K$3:$K$11),"^",IF(K12&lt;LOOKUP(2,1/((HISTORIAL!$O$3:$O$11=O12)*(HISTORIAL!$F$3:$F$11&lt;&gt;"")),HISTORIAL!$K$3:$K$11),"v","-")),"-")),"-")</f>
        <v>-</v>
      </c>
      <c r="N12" s="54" t="str">
        <f>IFERROR(VLOOKUP(A12,CONFIG!$A$10:$B$21,2,0),"")</f>
        <v>HIP</v>
      </c>
      <c r="O12" s="55" t="str">
        <f t="shared" si="1"/>
        <v>Curl Biceps|Barra Recta Polea</v>
      </c>
      <c r="P12" s="69" t="str">
        <f>LUNES!AC28</f>
        <v/>
      </c>
    </row>
    <row r="13" spans="1:16" ht="14.1" customHeight="1">
      <c r="A13" s="37">
        <v>1</v>
      </c>
      <c r="B13" s="37" t="s">
        <v>277</v>
      </c>
      <c r="C13" s="44" t="str">
        <f>LUNES!$A$30</f>
        <v>Crunch</v>
      </c>
      <c r="D13" s="45" t="str">
        <f>LUNES!$B$30</f>
        <v>Polea</v>
      </c>
      <c r="E13" s="37" t="str">
        <f>LUNES!$C$30</f>
        <v>polea</v>
      </c>
      <c r="F13" s="46" t="str">
        <f>IF(P13="","",IFERROR(CHOOSE(VALUE(RIGHT(P13,1)),LUNES!F30,LUNES!I30,LUNES!L30,LUNES!O30,LUNES!R30),""))</f>
        <v/>
      </c>
      <c r="G13" s="47" t="str">
        <f>IF(P13="","",IFERROR(CHOOSE(VALUE(RIGHT(P13,1)),LUNES!G30,LUNES!J30,LUNES!M30,LUNES!P30,LUNES!S30),""))</f>
        <v/>
      </c>
      <c r="H13" s="48" t="str">
        <f>IF(P13="","",IFERROR(CHOOSE(VALUE(RIGHT(P13,1)),LUNES!H30,LUNES!K30,LUNES!N30,LUNES!Q30,LUNES!T30),""))</f>
        <v/>
      </c>
      <c r="I13" s="49" t="str">
        <f t="shared" si="0"/>
        <v/>
      </c>
      <c r="J13" s="50" t="str">
        <f>IF(P13="","",IFERROR(ROUND(CHOOSE(VALUE(RIGHT(P13,1)),IF(LUNES!C30="peso_corporal",IF(ISNUMBER(LUNES!E30),LUNES!E30,0)+LUNES!F30,LUNES!F30)*LUNES!G30,IF(LUNES!C30="peso_corporal",IF(ISNUMBER(LUNES!E30),LUNES!E30,0)+LUNES!I30,LUNES!I30)*LUNES!J30,IF(LUNES!C30="peso_corporal",IF(ISNUMBER(LUNES!E30),LUNES!E30,0)+LUNES!L30,LUNES!L30)*LUNES!M30,IF(LUNES!C30="peso_corporal",IF(ISNUMBER(LUNES!E30),LUNES!E30,0)+LUNES!O30,LUNES!O30)*LUNES!P30,IF(LUNES!C30="peso_corporal",IF(ISNUMBER(LUNES!E30),LUNES!E30,0)+LUNES!R30,LUNES!R30)*LUNES!S30),1),""))</f>
        <v/>
      </c>
      <c r="K13" s="51" t="str">
        <f>IF(P13="","",IFERROR(ROUND(CHOOSE(VALUE(RIGHT(P13,1)),(IF(LUNES!C30="peso_corporal",IF(ISNUMBER(LUNES!E30),LUNES!E30,0)+LUNES!F30,LUNES!F30))*(1+LUNES!G30/30),(IF(LUNES!C30="peso_corporal",IF(ISNUMBER(LUNES!E30),LUNES!E30,0)+LUNES!I30,LUNES!I30))*(1+LUNES!J30/30),(IF(LUNES!C30="peso_corporal",IF(ISNUMBER(LUNES!E30),LUNES!E30,0)+LUNES!L30,LUNES!L30))*(1+LUNES!M30/30),(IF(LUNES!C30="peso_corporal",IF(ISNUMBER(LUNES!E30),LUNES!E30,0)+LUNES!O30,LUNES!O30))*(1+LUNES!P30/30),(IF(LUNES!C30="peso_corporal",IF(ISNUMBER(LUNES!E30),LUNES!E30,0)+LUNES!R30,LUNES!R30))*(1+LUNES!S30/30)),1),""))</f>
        <v/>
      </c>
      <c r="L13" s="52">
        <f>IFERROR(LUNES!E30,"")</f>
        <v>80</v>
      </c>
      <c r="M13" s="53" t="str">
        <f>IFERROR(IF(K13="","-",IF(ISNUMBER(LOOKUP(2,1/((HISTORIAL!$O$3:$O$12=O13)*(HISTORIAL!$F$3:$F$12&lt;&gt;"")),HISTORIAL!$K$3:$K$12)),IF(K13&gt;LOOKUP(2,1/((HISTORIAL!$O$3:$O$12=O13)*(HISTORIAL!$F$3:$F$12&lt;&gt;"")),HISTORIAL!$K$3:$K$12),"^",IF(K13&lt;LOOKUP(2,1/((HISTORIAL!$O$3:$O$12=O13)*(HISTORIAL!$F$3:$F$12&lt;&gt;"")),HISTORIAL!$K$3:$K$12),"v","-")),"-")),"-")</f>
        <v>-</v>
      </c>
      <c r="N13" s="54" t="str">
        <f>IFERROR(VLOOKUP(A13,CONFIG!$A$10:$B$21,2,0),"")</f>
        <v>HIP</v>
      </c>
      <c r="O13" s="55" t="str">
        <f t="shared" si="1"/>
        <v>Crunch|Polea</v>
      </c>
      <c r="P13" s="69" t="str">
        <f>LUNES!AC30</f>
        <v/>
      </c>
    </row>
    <row r="14" spans="1:16" ht="14.1" customHeight="1">
      <c r="A14" s="37">
        <v>1</v>
      </c>
      <c r="B14" s="37" t="s">
        <v>278</v>
      </c>
      <c r="C14" s="44" t="str">
        <f>MARTES!$A$13</f>
        <v>Dominadas</v>
      </c>
      <c r="D14" s="45" t="str">
        <f>MARTES!$B$13</f>
        <v>Polea Alta Prono Ancho</v>
      </c>
      <c r="E14" s="37" t="str">
        <f>MARTES!$C$13</f>
        <v>peso_corporal</v>
      </c>
      <c r="F14" s="46" t="str">
        <f>IF(P14="","",IFERROR(CHOOSE(VALUE(RIGHT(P14,1)),MARTES!F13,MARTES!I13,MARTES!L13,MARTES!O13,MARTES!R13),""))</f>
        <v/>
      </c>
      <c r="G14" s="47" t="str">
        <f>IF(P14="","",IFERROR(CHOOSE(VALUE(RIGHT(P14,1)),MARTES!G13,MARTES!J13,MARTES!M13,MARTES!P13,MARTES!S13),""))</f>
        <v/>
      </c>
      <c r="H14" s="48" t="str">
        <f>IF(P14="","",IFERROR(CHOOSE(VALUE(RIGHT(P14,1)),MARTES!H13,MARTES!K13,MARTES!N13,MARTES!Q13,MARTES!T13),""))</f>
        <v/>
      </c>
      <c r="I14" s="49" t="str">
        <f t="shared" si="0"/>
        <v/>
      </c>
      <c r="J14" s="50" t="str">
        <f>IF(P14="","",IFERROR(ROUND(CHOOSE(VALUE(RIGHT(P14,1)),IF(MARTES!C13="peso_corporal",IF(ISNUMBER(MARTES!E13),MARTES!E13,0)+MARTES!F13,MARTES!F13)*MARTES!G13,IF(MARTES!C13="peso_corporal",IF(ISNUMBER(MARTES!E13),MARTES!E13,0)+MARTES!I13,MARTES!I13)*MARTES!J13,IF(MARTES!C13="peso_corporal",IF(ISNUMBER(MARTES!E13),MARTES!E13,0)+MARTES!L13,MARTES!L13)*MARTES!M13,IF(MARTES!C13="peso_corporal",IF(ISNUMBER(MARTES!E13),MARTES!E13,0)+MARTES!O13,MARTES!O13)*MARTES!P13,IF(MARTES!C13="peso_corporal",IF(ISNUMBER(MARTES!E13),MARTES!E13,0)+MARTES!R13,MARTES!R13)*MARTES!S13),1),""))</f>
        <v/>
      </c>
      <c r="K14" s="51" t="str">
        <f>IF(P14="","",IFERROR(ROUND(CHOOSE(VALUE(RIGHT(P14,1)),(IF(MARTES!C13="peso_corporal",IF(ISNUMBER(MARTES!E13),MARTES!E13,0)+MARTES!F13,MARTES!F13))*(1+MARTES!G13/30),(IF(MARTES!C13="peso_corporal",IF(ISNUMBER(MARTES!E13),MARTES!E13,0)+MARTES!I13,MARTES!I13))*(1+MARTES!J13/30),(IF(MARTES!C13="peso_corporal",IF(ISNUMBER(MARTES!E13),MARTES!E13,0)+MARTES!L13,MARTES!L13))*(1+MARTES!M13/30),(IF(MARTES!C13="peso_corporal",IF(ISNUMBER(MARTES!E13),MARTES!E13,0)+MARTES!O13,MARTES!O13))*(1+MARTES!P13/30),(IF(MARTES!C13="peso_corporal",IF(ISNUMBER(MARTES!E13),MARTES!E13,0)+MARTES!R13,MARTES!R13))*(1+MARTES!S13/30)),1),""))</f>
        <v/>
      </c>
      <c r="L14" s="52">
        <f>IFERROR(MARTES!E13,"")</f>
        <v>80</v>
      </c>
      <c r="M14" s="53" t="str">
        <f>IFERROR(IF(K14="","-",IF(ISNUMBER(LOOKUP(2,1/((HISTORIAL!$O$3:$O$13=O14)*(HISTORIAL!$F$3:$F$13&lt;&gt;"")),HISTORIAL!$K$3:$K$13)),IF(K14&gt;LOOKUP(2,1/((HISTORIAL!$O$3:$O$13=O14)*(HISTORIAL!$F$3:$F$13&lt;&gt;"")),HISTORIAL!$K$3:$K$13),"^",IF(K14&lt;LOOKUP(2,1/((HISTORIAL!$O$3:$O$13=O14)*(HISTORIAL!$F$3:$F$13&lt;&gt;"")),HISTORIAL!$K$3:$K$13),"v","-")),"-")),"-")</f>
        <v>-</v>
      </c>
      <c r="N14" s="54" t="str">
        <f>IFERROR(VLOOKUP(A14,CONFIG!$A$10:$B$21,2,0),"")</f>
        <v>HIP</v>
      </c>
      <c r="O14" s="55" t="str">
        <f t="shared" si="1"/>
        <v>Dominadas|Polea Alta Prono Ancho</v>
      </c>
      <c r="P14" s="69" t="str">
        <f>MARTES!AC13</f>
        <v/>
      </c>
    </row>
    <row r="15" spans="1:16" ht="14.1" customHeight="1">
      <c r="A15" s="37">
        <v>1</v>
      </c>
      <c r="B15" s="37" t="s">
        <v>278</v>
      </c>
      <c r="C15" s="44" t="str">
        <f>MARTES!$A$14</f>
        <v>Pulldown</v>
      </c>
      <c r="D15" s="45" t="str">
        <f>MARTES!$B$14</f>
        <v>Multipower</v>
      </c>
      <c r="E15" s="37" t="str">
        <f>MARTES!$C$14</f>
        <v>--</v>
      </c>
      <c r="F15" s="46" t="str">
        <f>IF(P15="","",IFERROR(CHOOSE(VALUE(RIGHT(P15,1)),MARTES!F14,MARTES!I14,MARTES!L14,MARTES!O14,MARTES!R14),""))</f>
        <v/>
      </c>
      <c r="G15" s="47" t="str">
        <f>IF(P15="","",IFERROR(CHOOSE(VALUE(RIGHT(P15,1)),MARTES!G14,MARTES!J14,MARTES!M14,MARTES!P14,MARTES!S14),""))</f>
        <v/>
      </c>
      <c r="H15" s="48" t="str">
        <f>IF(P15="","",IFERROR(CHOOSE(VALUE(RIGHT(P15,1)),MARTES!H14,MARTES!K14,MARTES!N14,MARTES!Q14,MARTES!T14),""))</f>
        <v/>
      </c>
      <c r="I15" s="49" t="str">
        <f t="shared" si="0"/>
        <v/>
      </c>
      <c r="J15" s="50" t="str">
        <f>IF(P15="","",IFERROR(ROUND(CHOOSE(VALUE(RIGHT(P15,1)),IF(MARTES!C14="peso_corporal",IF(ISNUMBER(MARTES!E14),MARTES!E14,0)+MARTES!F14,MARTES!F14)*MARTES!G14,IF(MARTES!C14="peso_corporal",IF(ISNUMBER(MARTES!E14),MARTES!E14,0)+MARTES!I14,MARTES!I14)*MARTES!J14,IF(MARTES!C14="peso_corporal",IF(ISNUMBER(MARTES!E14),MARTES!E14,0)+MARTES!L14,MARTES!L14)*MARTES!M14,IF(MARTES!C14="peso_corporal",IF(ISNUMBER(MARTES!E14),MARTES!E14,0)+MARTES!O14,MARTES!O14)*MARTES!P14,IF(MARTES!C14="peso_corporal",IF(ISNUMBER(MARTES!E14),MARTES!E14,0)+MARTES!R14,MARTES!R14)*MARTES!S14),1),""))</f>
        <v/>
      </c>
      <c r="K15" s="51" t="str">
        <f>IF(P15="","",IFERROR(ROUND(CHOOSE(VALUE(RIGHT(P15,1)),(IF(MARTES!C14="peso_corporal",IF(ISNUMBER(MARTES!E14),MARTES!E14,0)+MARTES!F14,MARTES!F14))*(1+MARTES!G14/30),(IF(MARTES!C14="peso_corporal",IF(ISNUMBER(MARTES!E14),MARTES!E14,0)+MARTES!I14,MARTES!I14))*(1+MARTES!J14/30),(IF(MARTES!C14="peso_corporal",IF(ISNUMBER(MARTES!E14),MARTES!E14,0)+MARTES!L14,MARTES!L14))*(1+MARTES!M14/30),(IF(MARTES!C14="peso_corporal",IF(ISNUMBER(MARTES!E14),MARTES!E14,0)+MARTES!O14,MARTES!O14))*(1+MARTES!P14/30),(IF(MARTES!C14="peso_corporal",IF(ISNUMBER(MARTES!E14),MARTES!E14,0)+MARTES!R14,MARTES!R14))*(1+MARTES!S14/30)),1),""))</f>
        <v/>
      </c>
      <c r="L15" s="52">
        <f>IFERROR(MARTES!E14,"")</f>
        <v>80</v>
      </c>
      <c r="M15" s="53" t="str">
        <f>IFERROR(IF(K15="","-",IF(ISNUMBER(LOOKUP(2,1/((HISTORIAL!$O$3:$O$14=O15)*(HISTORIAL!$F$3:$F$14&lt;&gt;"")),HISTORIAL!$K$3:$K$14)),IF(K15&gt;LOOKUP(2,1/((HISTORIAL!$O$3:$O$14=O15)*(HISTORIAL!$F$3:$F$14&lt;&gt;"")),HISTORIAL!$K$3:$K$14),"^",IF(K15&lt;LOOKUP(2,1/((HISTORIAL!$O$3:$O$14=O15)*(HISTORIAL!$F$3:$F$14&lt;&gt;"")),HISTORIAL!$K$3:$K$14),"v","-")),"-")),"-")</f>
        <v>-</v>
      </c>
      <c r="N15" s="54" t="str">
        <f>IFERROR(VLOOKUP(A15,CONFIG!$A$10:$B$21,2,0),"")</f>
        <v>HIP</v>
      </c>
      <c r="O15" s="55" t="str">
        <f t="shared" si="1"/>
        <v>Pulldown|Multipower</v>
      </c>
      <c r="P15" s="69" t="str">
        <f>MARTES!AC14</f>
        <v/>
      </c>
    </row>
    <row r="16" spans="1:16" ht="14.1" customHeight="1">
      <c r="A16" s="37">
        <v>1</v>
      </c>
      <c r="B16" s="37" t="s">
        <v>278</v>
      </c>
      <c r="C16" s="44" t="str">
        <f>MARTES!$A$16</f>
        <v>Remo</v>
      </c>
      <c r="D16" s="45" t="str">
        <f>MARTES!$B$16</f>
        <v>Maquina Hammer Neutro Unilateral</v>
      </c>
      <c r="E16" s="37" t="str">
        <f>MARTES!$C$16</f>
        <v>polea</v>
      </c>
      <c r="F16" s="46" t="str">
        <f>IF(P16="","",IFERROR(CHOOSE(VALUE(RIGHT(P16,1)),MARTES!F16,MARTES!I16,MARTES!L16,MARTES!O16,MARTES!R16),""))</f>
        <v/>
      </c>
      <c r="G16" s="47" t="str">
        <f>IF(P16="","",IFERROR(CHOOSE(VALUE(RIGHT(P16,1)),MARTES!G16,MARTES!J16,MARTES!M16,MARTES!P16,MARTES!S16),""))</f>
        <v/>
      </c>
      <c r="H16" s="48" t="str">
        <f>IF(P16="","",IFERROR(CHOOSE(VALUE(RIGHT(P16,1)),MARTES!H16,MARTES!K16,MARTES!N16,MARTES!Q16,MARTES!T16),""))</f>
        <v/>
      </c>
      <c r="I16" s="49" t="str">
        <f t="shared" si="0"/>
        <v/>
      </c>
      <c r="J16" s="50" t="str">
        <f>IF(P16="","",IFERROR(ROUND(CHOOSE(VALUE(RIGHT(P16,1)),IF(MARTES!C16="peso_corporal",IF(ISNUMBER(MARTES!E16),MARTES!E16,0)+MARTES!F16,MARTES!F16)*MARTES!G16,IF(MARTES!C16="peso_corporal",IF(ISNUMBER(MARTES!E16),MARTES!E16,0)+MARTES!I16,MARTES!I16)*MARTES!J16,IF(MARTES!C16="peso_corporal",IF(ISNUMBER(MARTES!E16),MARTES!E16,0)+MARTES!L16,MARTES!L16)*MARTES!M16,IF(MARTES!C16="peso_corporal",IF(ISNUMBER(MARTES!E16),MARTES!E16,0)+MARTES!O16,MARTES!O16)*MARTES!P16,IF(MARTES!C16="peso_corporal",IF(ISNUMBER(MARTES!E16),MARTES!E16,0)+MARTES!R16,MARTES!R16)*MARTES!S16),1),""))</f>
        <v/>
      </c>
      <c r="K16" s="51" t="str">
        <f>IF(P16="","",IFERROR(ROUND(CHOOSE(VALUE(RIGHT(P16,1)),(IF(MARTES!C16="peso_corporal",IF(ISNUMBER(MARTES!E16),MARTES!E16,0)+MARTES!F16,MARTES!F16))*(1+MARTES!G16/30),(IF(MARTES!C16="peso_corporal",IF(ISNUMBER(MARTES!E16),MARTES!E16,0)+MARTES!I16,MARTES!I16))*(1+MARTES!J16/30),(IF(MARTES!C16="peso_corporal",IF(ISNUMBER(MARTES!E16),MARTES!E16,0)+MARTES!L16,MARTES!L16))*(1+MARTES!M16/30),(IF(MARTES!C16="peso_corporal",IF(ISNUMBER(MARTES!E16),MARTES!E16,0)+MARTES!O16,MARTES!O16))*(1+MARTES!P16/30),(IF(MARTES!C16="peso_corporal",IF(ISNUMBER(MARTES!E16),MARTES!E16,0)+MARTES!R16,MARTES!R16))*(1+MARTES!S16/30)),1),""))</f>
        <v/>
      </c>
      <c r="L16" s="52">
        <f>IFERROR(MARTES!E16,"")</f>
        <v>80</v>
      </c>
      <c r="M16" s="53" t="str">
        <f>IFERROR(IF(K16="","-",IF(ISNUMBER(LOOKUP(2,1/((HISTORIAL!$O$3:$O$15=O16)*(HISTORIAL!$F$3:$F$15&lt;&gt;"")),HISTORIAL!$K$3:$K$15)),IF(K16&gt;LOOKUP(2,1/((HISTORIAL!$O$3:$O$15=O16)*(HISTORIAL!$F$3:$F$15&lt;&gt;"")),HISTORIAL!$K$3:$K$15),"^",IF(K16&lt;LOOKUP(2,1/((HISTORIAL!$O$3:$O$15=O16)*(HISTORIAL!$F$3:$F$15&lt;&gt;"")),HISTORIAL!$K$3:$K$15),"v","-")),"-")),"-")</f>
        <v>-</v>
      </c>
      <c r="N16" s="54" t="str">
        <f>IFERROR(VLOOKUP(A16,CONFIG!$A$10:$B$21,2,0),"")</f>
        <v>HIP</v>
      </c>
      <c r="O16" s="55" t="str">
        <f t="shared" si="1"/>
        <v>Remo|Maquina Hammer Neutro Unilateral</v>
      </c>
      <c r="P16" s="69" t="str">
        <f>MARTES!AC16</f>
        <v/>
      </c>
    </row>
    <row r="17" spans="1:16" ht="14.1" customHeight="1">
      <c r="A17" s="37">
        <v>1</v>
      </c>
      <c r="B17" s="37" t="s">
        <v>278</v>
      </c>
      <c r="C17" s="44" t="str">
        <f>MARTES!$A$17</f>
        <v>Remo</v>
      </c>
      <c r="D17" s="45" t="str">
        <f>MARTES!$B$17</f>
        <v>Maquina Prono</v>
      </c>
      <c r="E17" s="37" t="str">
        <f>MARTES!$C$17</f>
        <v>polea</v>
      </c>
      <c r="F17" s="46" t="str">
        <f>IF(P17="","",IFERROR(CHOOSE(VALUE(RIGHT(P17,1)),MARTES!F17,MARTES!I17,MARTES!L17,MARTES!O17,MARTES!R17),""))</f>
        <v/>
      </c>
      <c r="G17" s="47" t="str">
        <f>IF(P17="","",IFERROR(CHOOSE(VALUE(RIGHT(P17,1)),MARTES!G17,MARTES!J17,MARTES!M17,MARTES!P17,MARTES!S17),""))</f>
        <v/>
      </c>
      <c r="H17" s="48" t="str">
        <f>IF(P17="","",IFERROR(CHOOSE(VALUE(RIGHT(P17,1)),MARTES!H17,MARTES!K17,MARTES!N17,MARTES!Q17,MARTES!T17),""))</f>
        <v/>
      </c>
      <c r="I17" s="49" t="str">
        <f t="shared" si="0"/>
        <v/>
      </c>
      <c r="J17" s="50" t="str">
        <f>IF(P17="","",IFERROR(ROUND(CHOOSE(VALUE(RIGHT(P17,1)),IF(MARTES!C17="peso_corporal",IF(ISNUMBER(MARTES!E17),MARTES!E17,0)+MARTES!F17,MARTES!F17)*MARTES!G17,IF(MARTES!C17="peso_corporal",IF(ISNUMBER(MARTES!E17),MARTES!E17,0)+MARTES!I17,MARTES!I17)*MARTES!J17,IF(MARTES!C17="peso_corporal",IF(ISNUMBER(MARTES!E17),MARTES!E17,0)+MARTES!L17,MARTES!L17)*MARTES!M17,IF(MARTES!C17="peso_corporal",IF(ISNUMBER(MARTES!E17),MARTES!E17,0)+MARTES!O17,MARTES!O17)*MARTES!P17,IF(MARTES!C17="peso_corporal",IF(ISNUMBER(MARTES!E17),MARTES!E17,0)+MARTES!R17,MARTES!R17)*MARTES!S17),1),""))</f>
        <v/>
      </c>
      <c r="K17" s="51" t="str">
        <f>IF(P17="","",IFERROR(ROUND(CHOOSE(VALUE(RIGHT(P17,1)),(IF(MARTES!C17="peso_corporal",IF(ISNUMBER(MARTES!E17),MARTES!E17,0)+MARTES!F17,MARTES!F17))*(1+MARTES!G17/30),(IF(MARTES!C17="peso_corporal",IF(ISNUMBER(MARTES!E17),MARTES!E17,0)+MARTES!I17,MARTES!I17))*(1+MARTES!J17/30),(IF(MARTES!C17="peso_corporal",IF(ISNUMBER(MARTES!E17),MARTES!E17,0)+MARTES!L17,MARTES!L17))*(1+MARTES!M17/30),(IF(MARTES!C17="peso_corporal",IF(ISNUMBER(MARTES!E17),MARTES!E17,0)+MARTES!O17,MARTES!O17))*(1+MARTES!P17/30),(IF(MARTES!C17="peso_corporal",IF(ISNUMBER(MARTES!E17),MARTES!E17,0)+MARTES!R17,MARTES!R17))*(1+MARTES!S17/30)),1),""))</f>
        <v/>
      </c>
      <c r="L17" s="52">
        <f>IFERROR(MARTES!E17,"")</f>
        <v>80</v>
      </c>
      <c r="M17" s="53" t="str">
        <f>IFERROR(IF(K17="","-",IF(ISNUMBER(LOOKUP(2,1/((HISTORIAL!$O$3:$O$16=O17)*(HISTORIAL!$F$3:$F$16&lt;&gt;"")),HISTORIAL!$K$3:$K$16)),IF(K17&gt;LOOKUP(2,1/((HISTORIAL!$O$3:$O$16=O17)*(HISTORIAL!$F$3:$F$16&lt;&gt;"")),HISTORIAL!$K$3:$K$16),"^",IF(K17&lt;LOOKUP(2,1/((HISTORIAL!$O$3:$O$16=O17)*(HISTORIAL!$F$3:$F$16&lt;&gt;"")),HISTORIAL!$K$3:$K$16),"v","-")),"-")),"-")</f>
        <v>-</v>
      </c>
      <c r="N17" s="54" t="str">
        <f>IFERROR(VLOOKUP(A17,CONFIG!$A$10:$B$21,2,0),"")</f>
        <v>HIP</v>
      </c>
      <c r="O17" s="55" t="str">
        <f t="shared" si="1"/>
        <v>Remo|Maquina Prono</v>
      </c>
      <c r="P17" s="69" t="str">
        <f>MARTES!AC17</f>
        <v/>
      </c>
    </row>
    <row r="18" spans="1:16" ht="14.1" customHeight="1">
      <c r="A18" s="37">
        <v>1</v>
      </c>
      <c r="B18" s="37" t="s">
        <v>278</v>
      </c>
      <c r="C18" s="44" t="str">
        <f>MARTES!$A$19</f>
        <v>Curl Biceps</v>
      </c>
      <c r="D18" s="45" t="str">
        <f>MARTES!$B$19</f>
        <v>Inclinado Banco Mancuernas</v>
      </c>
      <c r="E18" s="37" t="str">
        <f>MARTES!$C$19</f>
        <v>mancuerna</v>
      </c>
      <c r="F18" s="46" t="str">
        <f>IF(P18="","",IFERROR(CHOOSE(VALUE(RIGHT(P18,1)),MARTES!F19,MARTES!I19,MARTES!L19,MARTES!O19,MARTES!R19),""))</f>
        <v/>
      </c>
      <c r="G18" s="47" t="str">
        <f>IF(P18="","",IFERROR(CHOOSE(VALUE(RIGHT(P18,1)),MARTES!G19,MARTES!J19,MARTES!M19,MARTES!P19,MARTES!S19),""))</f>
        <v/>
      </c>
      <c r="H18" s="48" t="str">
        <f>IF(P18="","",IFERROR(CHOOSE(VALUE(RIGHT(P18,1)),MARTES!H19,MARTES!K19,MARTES!N19,MARTES!Q19,MARTES!T19),""))</f>
        <v/>
      </c>
      <c r="I18" s="49" t="str">
        <f t="shared" si="0"/>
        <v/>
      </c>
      <c r="J18" s="50" t="str">
        <f>IF(P18="","",IFERROR(ROUND(CHOOSE(VALUE(RIGHT(P18,1)),IF(MARTES!C19="peso_corporal",IF(ISNUMBER(MARTES!E19),MARTES!E19,0)+MARTES!F19,MARTES!F19)*MARTES!G19,IF(MARTES!C19="peso_corporal",IF(ISNUMBER(MARTES!E19),MARTES!E19,0)+MARTES!I19,MARTES!I19)*MARTES!J19,IF(MARTES!C19="peso_corporal",IF(ISNUMBER(MARTES!E19),MARTES!E19,0)+MARTES!L19,MARTES!L19)*MARTES!M19,IF(MARTES!C19="peso_corporal",IF(ISNUMBER(MARTES!E19),MARTES!E19,0)+MARTES!O19,MARTES!O19)*MARTES!P19,IF(MARTES!C19="peso_corporal",IF(ISNUMBER(MARTES!E19),MARTES!E19,0)+MARTES!R19,MARTES!R19)*MARTES!S19),1),""))</f>
        <v/>
      </c>
      <c r="K18" s="51" t="str">
        <f>IF(P18="","",IFERROR(ROUND(CHOOSE(VALUE(RIGHT(P18,1)),(IF(MARTES!C19="peso_corporal",IF(ISNUMBER(MARTES!E19),MARTES!E19,0)+MARTES!F19,MARTES!F19))*(1+MARTES!G19/30),(IF(MARTES!C19="peso_corporal",IF(ISNUMBER(MARTES!E19),MARTES!E19,0)+MARTES!I19,MARTES!I19))*(1+MARTES!J19/30),(IF(MARTES!C19="peso_corporal",IF(ISNUMBER(MARTES!E19),MARTES!E19,0)+MARTES!L19,MARTES!L19))*(1+MARTES!M19/30),(IF(MARTES!C19="peso_corporal",IF(ISNUMBER(MARTES!E19),MARTES!E19,0)+MARTES!O19,MARTES!O19))*(1+MARTES!P19/30),(IF(MARTES!C19="peso_corporal",IF(ISNUMBER(MARTES!E19),MARTES!E19,0)+MARTES!R19,MARTES!R19))*(1+MARTES!S19/30)),1),""))</f>
        <v/>
      </c>
      <c r="L18" s="52">
        <f>IFERROR(MARTES!E19,"")</f>
        <v>80</v>
      </c>
      <c r="M18" s="53" t="str">
        <f>IFERROR(IF(K18="","-",IF(ISNUMBER(LOOKUP(2,1/((HISTORIAL!$O$3:$O$17=O18)*(HISTORIAL!$F$3:$F$17&lt;&gt;"")),HISTORIAL!$K$3:$K$17)),IF(K18&gt;LOOKUP(2,1/((HISTORIAL!$O$3:$O$17=O18)*(HISTORIAL!$F$3:$F$17&lt;&gt;"")),HISTORIAL!$K$3:$K$17),"^",IF(K18&lt;LOOKUP(2,1/((HISTORIAL!$O$3:$O$17=O18)*(HISTORIAL!$F$3:$F$17&lt;&gt;"")),HISTORIAL!$K$3:$K$17),"v","-")),"-")),"-")</f>
        <v>-</v>
      </c>
      <c r="N18" s="54" t="str">
        <f>IFERROR(VLOOKUP(A18,CONFIG!$A$10:$B$21,2,0),"")</f>
        <v>HIP</v>
      </c>
      <c r="O18" s="55" t="str">
        <f t="shared" si="1"/>
        <v>Curl Biceps|Inclinado Banco Mancuernas</v>
      </c>
      <c r="P18" s="69" t="str">
        <f>MARTES!AC19</f>
        <v/>
      </c>
    </row>
    <row r="19" spans="1:16" ht="14.1" customHeight="1">
      <c r="A19" s="37">
        <v>1</v>
      </c>
      <c r="B19" s="37" t="s">
        <v>278</v>
      </c>
      <c r="C19" s="44" t="str">
        <f>MARTES!$A$20</f>
        <v>Curl Biceps</v>
      </c>
      <c r="D19" s="45" t="str">
        <f>MARTES!$B$20</f>
        <v>Polea Baja Supino</v>
      </c>
      <c r="E19" s="37" t="str">
        <f>MARTES!$C$20</f>
        <v>polea</v>
      </c>
      <c r="F19" s="46" t="str">
        <f>IF(P19="","",IFERROR(CHOOSE(VALUE(RIGHT(P19,1)),MARTES!F20,MARTES!I20,MARTES!L20,MARTES!O20,MARTES!R20),""))</f>
        <v/>
      </c>
      <c r="G19" s="47" t="str">
        <f>IF(P19="","",IFERROR(CHOOSE(VALUE(RIGHT(P19,1)),MARTES!G20,MARTES!J20,MARTES!M20,MARTES!P20,MARTES!S20),""))</f>
        <v/>
      </c>
      <c r="H19" s="48" t="str">
        <f>IF(P19="","",IFERROR(CHOOSE(VALUE(RIGHT(P19,1)),MARTES!H20,MARTES!K20,MARTES!N20,MARTES!Q20,MARTES!T20),""))</f>
        <v/>
      </c>
      <c r="I19" s="49" t="str">
        <f t="shared" si="0"/>
        <v/>
      </c>
      <c r="J19" s="50" t="str">
        <f>IF(P19="","",IFERROR(ROUND(CHOOSE(VALUE(RIGHT(P19,1)),IF(MARTES!C20="peso_corporal",IF(ISNUMBER(MARTES!E20),MARTES!E20,0)+MARTES!F20,MARTES!F20)*MARTES!G20,IF(MARTES!C20="peso_corporal",IF(ISNUMBER(MARTES!E20),MARTES!E20,0)+MARTES!I20,MARTES!I20)*MARTES!J20,IF(MARTES!C20="peso_corporal",IF(ISNUMBER(MARTES!E20),MARTES!E20,0)+MARTES!L20,MARTES!L20)*MARTES!M20,IF(MARTES!C20="peso_corporal",IF(ISNUMBER(MARTES!E20),MARTES!E20,0)+MARTES!O20,MARTES!O20)*MARTES!P20,IF(MARTES!C20="peso_corporal",IF(ISNUMBER(MARTES!E20),MARTES!E20,0)+MARTES!R20,MARTES!R20)*MARTES!S20),1),""))</f>
        <v/>
      </c>
      <c r="K19" s="51" t="str">
        <f>IF(P19="","",IFERROR(ROUND(CHOOSE(VALUE(RIGHT(P19,1)),(IF(MARTES!C20="peso_corporal",IF(ISNUMBER(MARTES!E20),MARTES!E20,0)+MARTES!F20,MARTES!F20))*(1+MARTES!G20/30),(IF(MARTES!C20="peso_corporal",IF(ISNUMBER(MARTES!E20),MARTES!E20,0)+MARTES!I20,MARTES!I20))*(1+MARTES!J20/30),(IF(MARTES!C20="peso_corporal",IF(ISNUMBER(MARTES!E20),MARTES!E20,0)+MARTES!L20,MARTES!L20))*(1+MARTES!M20/30),(IF(MARTES!C20="peso_corporal",IF(ISNUMBER(MARTES!E20),MARTES!E20,0)+MARTES!O20,MARTES!O20))*(1+MARTES!P20/30),(IF(MARTES!C20="peso_corporal",IF(ISNUMBER(MARTES!E20),MARTES!E20,0)+MARTES!R20,MARTES!R20))*(1+MARTES!S20/30)),1),""))</f>
        <v/>
      </c>
      <c r="L19" s="52">
        <f>IFERROR(MARTES!E20,"")</f>
        <v>80</v>
      </c>
      <c r="M19" s="53" t="str">
        <f>IFERROR(IF(K19="","-",IF(ISNUMBER(LOOKUP(2,1/((HISTORIAL!$O$3:$O$18=O19)*(HISTORIAL!$F$3:$F$18&lt;&gt;"")),HISTORIAL!$K$3:$K$18)),IF(K19&gt;LOOKUP(2,1/((HISTORIAL!$O$3:$O$18=O19)*(HISTORIAL!$F$3:$F$18&lt;&gt;"")),HISTORIAL!$K$3:$K$18),"^",IF(K19&lt;LOOKUP(2,1/((HISTORIAL!$O$3:$O$18=O19)*(HISTORIAL!$F$3:$F$18&lt;&gt;"")),HISTORIAL!$K$3:$K$18),"v","-")),"-")),"-")</f>
        <v>-</v>
      </c>
      <c r="N19" s="54" t="str">
        <f>IFERROR(VLOOKUP(A19,CONFIG!$A$10:$B$21,2,0),"")</f>
        <v>HIP</v>
      </c>
      <c r="O19" s="55" t="str">
        <f t="shared" si="1"/>
        <v>Curl Biceps|Polea Baja Supino</v>
      </c>
      <c r="P19" s="69" t="str">
        <f>MARTES!AC20</f>
        <v/>
      </c>
    </row>
    <row r="20" spans="1:16" ht="14.1" customHeight="1">
      <c r="A20" s="37">
        <v>1</v>
      </c>
      <c r="B20" s="37" t="s">
        <v>278</v>
      </c>
      <c r="C20" s="44" t="str">
        <f>MARTES!$A$22</f>
        <v>Curl Muneca</v>
      </c>
      <c r="D20" s="45" t="str">
        <f>MARTES!$B$22</f>
        <v>Supinado</v>
      </c>
      <c r="E20" s="37" t="str">
        <f>MARTES!$C$22</f>
        <v>mancuerna</v>
      </c>
      <c r="F20" s="46" t="str">
        <f>IF(P20="","",IFERROR(CHOOSE(VALUE(RIGHT(P20,1)),MARTES!F22,MARTES!I22,MARTES!L22,MARTES!O22,MARTES!R22),""))</f>
        <v/>
      </c>
      <c r="G20" s="47" t="str">
        <f>IF(P20="","",IFERROR(CHOOSE(VALUE(RIGHT(P20,1)),MARTES!G22,MARTES!J22,MARTES!M22,MARTES!P22,MARTES!S22),""))</f>
        <v/>
      </c>
      <c r="H20" s="48" t="str">
        <f>IF(P20="","",IFERROR(CHOOSE(VALUE(RIGHT(P20,1)),MARTES!H22,MARTES!K22,MARTES!N22,MARTES!Q22,MARTES!T22),""))</f>
        <v/>
      </c>
      <c r="I20" s="49" t="str">
        <f t="shared" si="0"/>
        <v/>
      </c>
      <c r="J20" s="50" t="str">
        <f>IF(P20="","",IFERROR(ROUND(CHOOSE(VALUE(RIGHT(P20,1)),IF(MARTES!C22="peso_corporal",IF(ISNUMBER(MARTES!E22),MARTES!E22,0)+MARTES!F22,MARTES!F22)*MARTES!G22,IF(MARTES!C22="peso_corporal",IF(ISNUMBER(MARTES!E22),MARTES!E22,0)+MARTES!I22,MARTES!I22)*MARTES!J22,IF(MARTES!C22="peso_corporal",IF(ISNUMBER(MARTES!E22),MARTES!E22,0)+MARTES!L22,MARTES!L22)*MARTES!M22,IF(MARTES!C22="peso_corporal",IF(ISNUMBER(MARTES!E22),MARTES!E22,0)+MARTES!O22,MARTES!O22)*MARTES!P22,IF(MARTES!C22="peso_corporal",IF(ISNUMBER(MARTES!E22),MARTES!E22,0)+MARTES!R22,MARTES!R22)*MARTES!S22),1),""))</f>
        <v/>
      </c>
      <c r="K20" s="51" t="str">
        <f>IF(P20="","",IFERROR(ROUND(CHOOSE(VALUE(RIGHT(P20,1)),(IF(MARTES!C22="peso_corporal",IF(ISNUMBER(MARTES!E22),MARTES!E22,0)+MARTES!F22,MARTES!F22))*(1+MARTES!G22/30),(IF(MARTES!C22="peso_corporal",IF(ISNUMBER(MARTES!E22),MARTES!E22,0)+MARTES!I22,MARTES!I22))*(1+MARTES!J22/30),(IF(MARTES!C22="peso_corporal",IF(ISNUMBER(MARTES!E22),MARTES!E22,0)+MARTES!L22,MARTES!L22))*(1+MARTES!M22/30),(IF(MARTES!C22="peso_corporal",IF(ISNUMBER(MARTES!E22),MARTES!E22,0)+MARTES!O22,MARTES!O22))*(1+MARTES!P22/30),(IF(MARTES!C22="peso_corporal",IF(ISNUMBER(MARTES!E22),MARTES!E22,0)+MARTES!R22,MARTES!R22))*(1+MARTES!S22/30)),1),""))</f>
        <v/>
      </c>
      <c r="L20" s="52">
        <f>IFERROR(MARTES!E22,"")</f>
        <v>80</v>
      </c>
      <c r="M20" s="53" t="str">
        <f>IFERROR(IF(K20="","-",IF(ISNUMBER(LOOKUP(2,1/((HISTORIAL!$O$3:$O$19=O20)*(HISTORIAL!$F$3:$F$19&lt;&gt;"")),HISTORIAL!$K$3:$K$19)),IF(K20&gt;LOOKUP(2,1/((HISTORIAL!$O$3:$O$19=O20)*(HISTORIAL!$F$3:$F$19&lt;&gt;"")),HISTORIAL!$K$3:$K$19),"^",IF(K20&lt;LOOKUP(2,1/((HISTORIAL!$O$3:$O$19=O20)*(HISTORIAL!$F$3:$F$19&lt;&gt;"")),HISTORIAL!$K$3:$K$19),"v","-")),"-")),"-")</f>
        <v>-</v>
      </c>
      <c r="N20" s="54" t="str">
        <f>IFERROR(VLOOKUP(A20,CONFIG!$A$10:$B$21,2,0),"")</f>
        <v>HIP</v>
      </c>
      <c r="O20" s="55" t="str">
        <f t="shared" si="1"/>
        <v>Curl Muneca|Supinado</v>
      </c>
      <c r="P20" s="69" t="str">
        <f>MARTES!AC22</f>
        <v/>
      </c>
    </row>
    <row r="21" spans="1:16" ht="14.1" customHeight="1">
      <c r="A21" s="37">
        <v>1</v>
      </c>
      <c r="B21" s="37" t="s">
        <v>278</v>
      </c>
      <c r="C21" s="44" t="str">
        <f>MARTES!$A$23</f>
        <v>Curl Muneca</v>
      </c>
      <c r="D21" s="45" t="str">
        <f>MARTES!$B$23</f>
        <v>Pronado</v>
      </c>
      <c r="E21" s="37" t="str">
        <f>MARTES!$C$23</f>
        <v>mancuerna</v>
      </c>
      <c r="F21" s="46" t="str">
        <f>IF(P21="","",IFERROR(CHOOSE(VALUE(RIGHT(P21,1)),MARTES!F23,MARTES!I23,MARTES!L23,MARTES!O23,MARTES!R23),""))</f>
        <v/>
      </c>
      <c r="G21" s="47" t="str">
        <f>IF(P21="","",IFERROR(CHOOSE(VALUE(RIGHT(P21,1)),MARTES!G23,MARTES!J23,MARTES!M23,MARTES!P23,MARTES!S23),""))</f>
        <v/>
      </c>
      <c r="H21" s="48" t="str">
        <f>IF(P21="","",IFERROR(CHOOSE(VALUE(RIGHT(P21,1)),MARTES!H23,MARTES!K23,MARTES!N23,MARTES!Q23,MARTES!T23),""))</f>
        <v/>
      </c>
      <c r="I21" s="49" t="str">
        <f t="shared" si="0"/>
        <v/>
      </c>
      <c r="J21" s="50" t="str">
        <f>IF(P21="","",IFERROR(ROUND(CHOOSE(VALUE(RIGHT(P21,1)),IF(MARTES!C23="peso_corporal",IF(ISNUMBER(MARTES!E23),MARTES!E23,0)+MARTES!F23,MARTES!F23)*MARTES!G23,IF(MARTES!C23="peso_corporal",IF(ISNUMBER(MARTES!E23),MARTES!E23,0)+MARTES!I23,MARTES!I23)*MARTES!J23,IF(MARTES!C23="peso_corporal",IF(ISNUMBER(MARTES!E23),MARTES!E23,0)+MARTES!L23,MARTES!L23)*MARTES!M23,IF(MARTES!C23="peso_corporal",IF(ISNUMBER(MARTES!E23),MARTES!E23,0)+MARTES!O23,MARTES!O23)*MARTES!P23,IF(MARTES!C23="peso_corporal",IF(ISNUMBER(MARTES!E23),MARTES!E23,0)+MARTES!R23,MARTES!R23)*MARTES!S23),1),""))</f>
        <v/>
      </c>
      <c r="K21" s="51" t="str">
        <f>IF(P21="","",IFERROR(ROUND(CHOOSE(VALUE(RIGHT(P21,1)),(IF(MARTES!C23="peso_corporal",IF(ISNUMBER(MARTES!E23),MARTES!E23,0)+MARTES!F23,MARTES!F23))*(1+MARTES!G23/30),(IF(MARTES!C23="peso_corporal",IF(ISNUMBER(MARTES!E23),MARTES!E23,0)+MARTES!I23,MARTES!I23))*(1+MARTES!J23/30),(IF(MARTES!C23="peso_corporal",IF(ISNUMBER(MARTES!E23),MARTES!E23,0)+MARTES!L23,MARTES!L23))*(1+MARTES!M23/30),(IF(MARTES!C23="peso_corporal",IF(ISNUMBER(MARTES!E23),MARTES!E23,0)+MARTES!O23,MARTES!O23))*(1+MARTES!P23/30),(IF(MARTES!C23="peso_corporal",IF(ISNUMBER(MARTES!E23),MARTES!E23,0)+MARTES!R23,MARTES!R23))*(1+MARTES!S23/30)),1),""))</f>
        <v/>
      </c>
      <c r="L21" s="52">
        <f>IFERROR(MARTES!E23,"")</f>
        <v>80</v>
      </c>
      <c r="M21" s="53" t="str">
        <f>IFERROR(IF(K21="","-",IF(ISNUMBER(LOOKUP(2,1/((HISTORIAL!$O$3:$O$20=O21)*(HISTORIAL!$F$3:$F$20&lt;&gt;"")),HISTORIAL!$K$3:$K$20)),IF(K21&gt;LOOKUP(2,1/((HISTORIAL!$O$3:$O$20=O21)*(HISTORIAL!$F$3:$F$20&lt;&gt;"")),HISTORIAL!$K$3:$K$20),"^",IF(K21&lt;LOOKUP(2,1/((HISTORIAL!$O$3:$O$20=O21)*(HISTORIAL!$F$3:$F$20&lt;&gt;"")),HISTORIAL!$K$3:$K$20),"v","-")),"-")),"-")</f>
        <v>-</v>
      </c>
      <c r="N21" s="54" t="str">
        <f>IFERROR(VLOOKUP(A21,CONFIG!$A$10:$B$21,2,0),"")</f>
        <v>HIP</v>
      </c>
      <c r="O21" s="55" t="str">
        <f t="shared" si="1"/>
        <v>Curl Muneca|Pronado</v>
      </c>
      <c r="P21" s="69" t="str">
        <f>MARTES!AC23</f>
        <v/>
      </c>
    </row>
    <row r="22" spans="1:16" ht="14.1" customHeight="1">
      <c r="A22" s="37">
        <v>1</v>
      </c>
      <c r="B22" s="37" t="s">
        <v>278</v>
      </c>
      <c r="C22" s="44" t="str">
        <f>MARTES!$A$25</f>
        <v>Farmer Carry</v>
      </c>
      <c r="D22" s="45" t="str">
        <f>MARTES!$B$25</f>
        <v>Libre</v>
      </c>
      <c r="E22" s="37" t="str">
        <f>MARTES!$C$25</f>
        <v>mancuerna</v>
      </c>
      <c r="F22" s="46" t="str">
        <f>IF(P22="","",IFERROR(CHOOSE(VALUE(RIGHT(P22,1)),MARTES!F25,MARTES!I25,MARTES!L25,MARTES!O25,MARTES!R25),""))</f>
        <v/>
      </c>
      <c r="G22" s="47" t="str">
        <f>IF(P22="","",IFERROR(CHOOSE(VALUE(RIGHT(P22,1)),MARTES!G25,MARTES!J25,MARTES!M25,MARTES!P25,MARTES!S25),""))</f>
        <v/>
      </c>
      <c r="H22" s="48" t="str">
        <f>IF(P22="","",IFERROR(CHOOSE(VALUE(RIGHT(P22,1)),MARTES!H25,MARTES!K25,MARTES!N25,MARTES!Q25,MARTES!T25),""))</f>
        <v/>
      </c>
      <c r="I22" s="49" t="str">
        <f t="shared" si="0"/>
        <v/>
      </c>
      <c r="J22" s="50" t="str">
        <f>IF(P22="","",IFERROR(ROUND(CHOOSE(VALUE(RIGHT(P22,1)),IF(MARTES!C25="peso_corporal",IF(ISNUMBER(MARTES!E25),MARTES!E25,0)+MARTES!F25,MARTES!F25)*MARTES!G25,IF(MARTES!C25="peso_corporal",IF(ISNUMBER(MARTES!E25),MARTES!E25,0)+MARTES!I25,MARTES!I25)*MARTES!J25,IF(MARTES!C25="peso_corporal",IF(ISNUMBER(MARTES!E25),MARTES!E25,0)+MARTES!L25,MARTES!L25)*MARTES!M25,IF(MARTES!C25="peso_corporal",IF(ISNUMBER(MARTES!E25),MARTES!E25,0)+MARTES!O25,MARTES!O25)*MARTES!P25,IF(MARTES!C25="peso_corporal",IF(ISNUMBER(MARTES!E25),MARTES!E25,0)+MARTES!R25,MARTES!R25)*MARTES!S25),1),""))</f>
        <v/>
      </c>
      <c r="K22" s="51" t="str">
        <f>IF(P22="","",IFERROR(ROUND(CHOOSE(VALUE(RIGHT(P22,1)),(IF(MARTES!C25="peso_corporal",IF(ISNUMBER(MARTES!E25),MARTES!E25,0)+MARTES!F25,MARTES!F25))*(1+MARTES!G25/30),(IF(MARTES!C25="peso_corporal",IF(ISNUMBER(MARTES!E25),MARTES!E25,0)+MARTES!I25,MARTES!I25))*(1+MARTES!J25/30),(IF(MARTES!C25="peso_corporal",IF(ISNUMBER(MARTES!E25),MARTES!E25,0)+MARTES!L25,MARTES!L25))*(1+MARTES!M25/30),(IF(MARTES!C25="peso_corporal",IF(ISNUMBER(MARTES!E25),MARTES!E25,0)+MARTES!O25,MARTES!O25))*(1+MARTES!P25/30),(IF(MARTES!C25="peso_corporal",IF(ISNUMBER(MARTES!E25),MARTES!E25,0)+MARTES!R25,MARTES!R25))*(1+MARTES!S25/30)),1),""))</f>
        <v/>
      </c>
      <c r="L22" s="52">
        <f>IFERROR(MARTES!E25,"")</f>
        <v>80</v>
      </c>
      <c r="M22" s="53" t="str">
        <f>IFERROR(IF(K22="","-",IF(ISNUMBER(LOOKUP(2,1/((HISTORIAL!$O$3:$O$21=O22)*(HISTORIAL!$F$3:$F$21&lt;&gt;"")),HISTORIAL!$K$3:$K$21)),IF(K22&gt;LOOKUP(2,1/((HISTORIAL!$O$3:$O$21=O22)*(HISTORIAL!$F$3:$F$21&lt;&gt;"")),HISTORIAL!$K$3:$K$21),"^",IF(K22&lt;LOOKUP(2,1/((HISTORIAL!$O$3:$O$21=O22)*(HISTORIAL!$F$3:$F$21&lt;&gt;"")),HISTORIAL!$K$3:$K$21),"v","-")),"-")),"-")</f>
        <v>-</v>
      </c>
      <c r="N22" s="54" t="str">
        <f>IFERROR(VLOOKUP(A22,CONFIG!$A$10:$B$21,2,0),"")</f>
        <v>HIP</v>
      </c>
      <c r="O22" s="55" t="str">
        <f t="shared" si="1"/>
        <v>Farmer Carry|Libre</v>
      </c>
      <c r="P22" s="69" t="str">
        <f>MARTES!AC25</f>
        <v/>
      </c>
    </row>
    <row r="23" spans="1:16" ht="14.1" customHeight="1">
      <c r="A23" s="37">
        <v>1</v>
      </c>
      <c r="B23" s="37" t="s">
        <v>278</v>
      </c>
      <c r="C23" s="44" t="str">
        <f>MARTES!$A$27</f>
        <v>Skullcrusher</v>
      </c>
      <c r="D23" s="45" t="str">
        <f>MARTES!$B$27</f>
        <v>Mancuerna Tumbado</v>
      </c>
      <c r="E23" s="37" t="str">
        <f>MARTES!$C$27</f>
        <v>--</v>
      </c>
      <c r="F23" s="46" t="str">
        <f>IF(P23="","",IFERROR(CHOOSE(VALUE(RIGHT(P23,1)),MARTES!F27,MARTES!I27,MARTES!L27,MARTES!O27,MARTES!R27),""))</f>
        <v/>
      </c>
      <c r="G23" s="47" t="str">
        <f>IF(P23="","",IFERROR(CHOOSE(VALUE(RIGHT(P23,1)),MARTES!G27,MARTES!J27,MARTES!M27,MARTES!P27,MARTES!S27),""))</f>
        <v/>
      </c>
      <c r="H23" s="48" t="str">
        <f>IF(P23="","",IFERROR(CHOOSE(VALUE(RIGHT(P23,1)),MARTES!H27,MARTES!K27,MARTES!N27,MARTES!Q27,MARTES!T27),""))</f>
        <v/>
      </c>
      <c r="I23" s="49" t="str">
        <f t="shared" si="0"/>
        <v/>
      </c>
      <c r="J23" s="50" t="str">
        <f>IF(P23="","",IFERROR(ROUND(CHOOSE(VALUE(RIGHT(P23,1)),IF(MARTES!C27="peso_corporal",IF(ISNUMBER(MARTES!E27),MARTES!E27,0)+MARTES!F27,MARTES!F27)*MARTES!G27,IF(MARTES!C27="peso_corporal",IF(ISNUMBER(MARTES!E27),MARTES!E27,0)+MARTES!I27,MARTES!I27)*MARTES!J27,IF(MARTES!C27="peso_corporal",IF(ISNUMBER(MARTES!E27),MARTES!E27,0)+MARTES!L27,MARTES!L27)*MARTES!M27,IF(MARTES!C27="peso_corporal",IF(ISNUMBER(MARTES!E27),MARTES!E27,0)+MARTES!O27,MARTES!O27)*MARTES!P27,IF(MARTES!C27="peso_corporal",IF(ISNUMBER(MARTES!E27),MARTES!E27,0)+MARTES!R27,MARTES!R27)*MARTES!S27),1),""))</f>
        <v/>
      </c>
      <c r="K23" s="51" t="str">
        <f>IF(P23="","",IFERROR(ROUND(CHOOSE(VALUE(RIGHT(P23,1)),(IF(MARTES!C27="peso_corporal",IF(ISNUMBER(MARTES!E27),MARTES!E27,0)+MARTES!F27,MARTES!F27))*(1+MARTES!G27/30),(IF(MARTES!C27="peso_corporal",IF(ISNUMBER(MARTES!E27),MARTES!E27,0)+MARTES!I27,MARTES!I27))*(1+MARTES!J27/30),(IF(MARTES!C27="peso_corporal",IF(ISNUMBER(MARTES!E27),MARTES!E27,0)+MARTES!L27,MARTES!L27))*(1+MARTES!M27/30),(IF(MARTES!C27="peso_corporal",IF(ISNUMBER(MARTES!E27),MARTES!E27,0)+MARTES!O27,MARTES!O27))*(1+MARTES!P27/30),(IF(MARTES!C27="peso_corporal",IF(ISNUMBER(MARTES!E27),MARTES!E27,0)+MARTES!R27,MARTES!R27))*(1+MARTES!S27/30)),1),""))</f>
        <v/>
      </c>
      <c r="L23" s="52">
        <f>IFERROR(MARTES!E27,"")</f>
        <v>80</v>
      </c>
      <c r="M23" s="53" t="str">
        <f>IFERROR(IF(K23="","-",IF(ISNUMBER(LOOKUP(2,1/((HISTORIAL!$O$3:$O$22=O23)*(HISTORIAL!$F$3:$F$22&lt;&gt;"")),HISTORIAL!$K$3:$K$22)),IF(K23&gt;LOOKUP(2,1/((HISTORIAL!$O$3:$O$22=O23)*(HISTORIAL!$F$3:$F$22&lt;&gt;"")),HISTORIAL!$K$3:$K$22),"^",IF(K23&lt;LOOKUP(2,1/((HISTORIAL!$O$3:$O$22=O23)*(HISTORIAL!$F$3:$F$22&lt;&gt;"")),HISTORIAL!$K$3:$K$22),"v","-")),"-")),"-")</f>
        <v>-</v>
      </c>
      <c r="N23" s="54" t="str">
        <f>IFERROR(VLOOKUP(A23,CONFIG!$A$10:$B$21,2,0),"")</f>
        <v>HIP</v>
      </c>
      <c r="O23" s="55" t="str">
        <f t="shared" si="1"/>
        <v>Skullcrusher|Mancuerna Tumbado</v>
      </c>
      <c r="P23" s="69" t="str">
        <f>MARTES!AC27</f>
        <v/>
      </c>
    </row>
    <row r="24" spans="1:16" ht="14.1" customHeight="1">
      <c r="A24" s="37">
        <v>1</v>
      </c>
      <c r="B24" s="37" t="s">
        <v>278</v>
      </c>
      <c r="C24" s="44" t="str">
        <f>MARTES!$A$29</f>
        <v>Crunch</v>
      </c>
      <c r="D24" s="45" t="str">
        <f>MARTES!$B$29</f>
        <v>Polea</v>
      </c>
      <c r="E24" s="37" t="str">
        <f>MARTES!$C$29</f>
        <v>polea</v>
      </c>
      <c r="F24" s="46" t="str">
        <f>IF(P24="","",IFERROR(CHOOSE(VALUE(RIGHT(P24,1)),MARTES!F29,MARTES!I29,MARTES!L29,MARTES!O29,MARTES!R29),""))</f>
        <v/>
      </c>
      <c r="G24" s="47" t="str">
        <f>IF(P24="","",IFERROR(CHOOSE(VALUE(RIGHT(P24,1)),MARTES!G29,MARTES!J29,MARTES!M29,MARTES!P29,MARTES!S29),""))</f>
        <v/>
      </c>
      <c r="H24" s="48" t="str">
        <f>IF(P24="","",IFERROR(CHOOSE(VALUE(RIGHT(P24,1)),MARTES!H29,MARTES!K29,MARTES!N29,MARTES!Q29,MARTES!T29),""))</f>
        <v/>
      </c>
      <c r="I24" s="49" t="str">
        <f t="shared" si="0"/>
        <v/>
      </c>
      <c r="J24" s="50" t="str">
        <f>IF(P24="","",IFERROR(ROUND(CHOOSE(VALUE(RIGHT(P24,1)),IF(MARTES!C29="peso_corporal",IF(ISNUMBER(MARTES!E29),MARTES!E29,0)+MARTES!F29,MARTES!F29)*MARTES!G29,IF(MARTES!C29="peso_corporal",IF(ISNUMBER(MARTES!E29),MARTES!E29,0)+MARTES!I29,MARTES!I29)*MARTES!J29,IF(MARTES!C29="peso_corporal",IF(ISNUMBER(MARTES!E29),MARTES!E29,0)+MARTES!L29,MARTES!L29)*MARTES!M29,IF(MARTES!C29="peso_corporal",IF(ISNUMBER(MARTES!E29),MARTES!E29,0)+MARTES!O29,MARTES!O29)*MARTES!P29,IF(MARTES!C29="peso_corporal",IF(ISNUMBER(MARTES!E29),MARTES!E29,0)+MARTES!R29,MARTES!R29)*MARTES!S29),1),""))</f>
        <v/>
      </c>
      <c r="K24" s="51" t="str">
        <f>IF(P24="","",IFERROR(ROUND(CHOOSE(VALUE(RIGHT(P24,1)),(IF(MARTES!C29="peso_corporal",IF(ISNUMBER(MARTES!E29),MARTES!E29,0)+MARTES!F29,MARTES!F29))*(1+MARTES!G29/30),(IF(MARTES!C29="peso_corporal",IF(ISNUMBER(MARTES!E29),MARTES!E29,0)+MARTES!I29,MARTES!I29))*(1+MARTES!J29/30),(IF(MARTES!C29="peso_corporal",IF(ISNUMBER(MARTES!E29),MARTES!E29,0)+MARTES!L29,MARTES!L29))*(1+MARTES!M29/30),(IF(MARTES!C29="peso_corporal",IF(ISNUMBER(MARTES!E29),MARTES!E29,0)+MARTES!O29,MARTES!O29))*(1+MARTES!P29/30),(IF(MARTES!C29="peso_corporal",IF(ISNUMBER(MARTES!E29),MARTES!E29,0)+MARTES!R29,MARTES!R29))*(1+MARTES!S29/30)),1),""))</f>
        <v/>
      </c>
      <c r="L24" s="52">
        <f>IFERROR(MARTES!E29,"")</f>
        <v>80</v>
      </c>
      <c r="M24" s="53" t="str">
        <f>IFERROR(IF(K24="","-",IF(ISNUMBER(LOOKUP(2,1/((HISTORIAL!$O$3:$O$23=O24)*(HISTORIAL!$F$3:$F$23&lt;&gt;"")),HISTORIAL!$K$3:$K$23)),IF(K24&gt;LOOKUP(2,1/((HISTORIAL!$O$3:$O$23=O24)*(HISTORIAL!$F$3:$F$23&lt;&gt;"")),HISTORIAL!$K$3:$K$23),"^",IF(K24&lt;LOOKUP(2,1/((HISTORIAL!$O$3:$O$23=O24)*(HISTORIAL!$F$3:$F$23&lt;&gt;"")),HISTORIAL!$K$3:$K$23),"v","-")),"-")),"-")</f>
        <v>-</v>
      </c>
      <c r="N24" s="54" t="str">
        <f>IFERROR(VLOOKUP(A24,CONFIG!$A$10:$B$21,2,0),"")</f>
        <v>HIP</v>
      </c>
      <c r="O24" s="55" t="str">
        <f t="shared" si="1"/>
        <v>Crunch|Polea</v>
      </c>
      <c r="P24" s="69" t="str">
        <f>MARTES!AC29</f>
        <v/>
      </c>
    </row>
    <row r="25" spans="1:16" ht="14.1" customHeight="1">
      <c r="A25" s="37">
        <v>1</v>
      </c>
      <c r="B25" s="37" t="s">
        <v>279</v>
      </c>
      <c r="C25" s="44" t="str">
        <f>MIERCOLES!$A$12</f>
        <v>Curl Femoral</v>
      </c>
      <c r="D25" s="45" t="str">
        <f>MIERCOLES!$B$12</f>
        <v>Tumbado Maquina</v>
      </c>
      <c r="E25" s="37" t="str">
        <f>MIERCOLES!$C$12</f>
        <v>polea</v>
      </c>
      <c r="F25" s="46" t="str">
        <f>IF(P25="","",IFERROR(CHOOSE(VALUE(RIGHT(P25,1)),MIERCOLES!F12,MIERCOLES!I12,MIERCOLES!L12,MIERCOLES!O12,MIERCOLES!R12),""))</f>
        <v/>
      </c>
      <c r="G25" s="47" t="str">
        <f>IF(P25="","",IFERROR(CHOOSE(VALUE(RIGHT(P25,1)),MIERCOLES!G12,MIERCOLES!J12,MIERCOLES!M12,MIERCOLES!P12,MIERCOLES!S12),""))</f>
        <v/>
      </c>
      <c r="H25" s="48" t="str">
        <f>IF(P25="","",IFERROR(CHOOSE(VALUE(RIGHT(P25,1)),MIERCOLES!H12,MIERCOLES!K12,MIERCOLES!N12,MIERCOLES!Q12,MIERCOLES!T12),""))</f>
        <v/>
      </c>
      <c r="I25" s="49" t="str">
        <f t="shared" si="0"/>
        <v/>
      </c>
      <c r="J25" s="50" t="str">
        <f>IF(P25="","",IFERROR(ROUND(CHOOSE(VALUE(RIGHT(P25,1)),IF(MIERCOLES!C12="peso_corporal",IF(ISNUMBER(MIERCOLES!E12),MIERCOLES!E12,0)+MIERCOLES!F12,MIERCOLES!F12)*MIERCOLES!G12,IF(MIERCOLES!C12="peso_corporal",IF(ISNUMBER(MIERCOLES!E12),MIERCOLES!E12,0)+MIERCOLES!I12,MIERCOLES!I12)*MIERCOLES!J12,IF(MIERCOLES!C12="peso_corporal",IF(ISNUMBER(MIERCOLES!E12),MIERCOLES!E12,0)+MIERCOLES!L12,MIERCOLES!L12)*MIERCOLES!M12,IF(MIERCOLES!C12="peso_corporal",IF(ISNUMBER(MIERCOLES!E12),MIERCOLES!E12,0)+MIERCOLES!O12,MIERCOLES!O12)*MIERCOLES!P12,IF(MIERCOLES!C12="peso_corporal",IF(ISNUMBER(MIERCOLES!E12),MIERCOLES!E12,0)+MIERCOLES!R12,MIERCOLES!R12)*MIERCOLES!S12),1),""))</f>
        <v/>
      </c>
      <c r="K25" s="51" t="str">
        <f>IF(P25="","",IFERROR(ROUND(CHOOSE(VALUE(RIGHT(P25,1)),(IF(MIERCOLES!C12="peso_corporal",IF(ISNUMBER(MIERCOLES!E12),MIERCOLES!E12,0)+MIERCOLES!F12,MIERCOLES!F12))*(1+MIERCOLES!G12/30),(IF(MIERCOLES!C12="peso_corporal",IF(ISNUMBER(MIERCOLES!E12),MIERCOLES!E12,0)+MIERCOLES!I12,MIERCOLES!I12))*(1+MIERCOLES!J12/30),(IF(MIERCOLES!C12="peso_corporal",IF(ISNUMBER(MIERCOLES!E12),MIERCOLES!E12,0)+MIERCOLES!L12,MIERCOLES!L12))*(1+MIERCOLES!M12/30),(IF(MIERCOLES!C12="peso_corporal",IF(ISNUMBER(MIERCOLES!E12),MIERCOLES!E12,0)+MIERCOLES!O12,MIERCOLES!O12))*(1+MIERCOLES!P12/30),(IF(MIERCOLES!C12="peso_corporal",IF(ISNUMBER(MIERCOLES!E12),MIERCOLES!E12,0)+MIERCOLES!R12,MIERCOLES!R12))*(1+MIERCOLES!S12/30)),1),""))</f>
        <v/>
      </c>
      <c r="L25" s="52">
        <f>IFERROR(MIERCOLES!E12,"")</f>
        <v>80</v>
      </c>
      <c r="M25" s="53" t="str">
        <f>IFERROR(IF(K25="","-",IF(ISNUMBER(LOOKUP(2,1/((HISTORIAL!$O$3:$O$24=O25)*(HISTORIAL!$F$3:$F$24&lt;&gt;"")),HISTORIAL!$K$3:$K$24)),IF(K25&gt;LOOKUP(2,1/((HISTORIAL!$O$3:$O$24=O25)*(HISTORIAL!$F$3:$F$24&lt;&gt;"")),HISTORIAL!$K$3:$K$24),"^",IF(K25&lt;LOOKUP(2,1/((HISTORIAL!$O$3:$O$24=O25)*(HISTORIAL!$F$3:$F$24&lt;&gt;"")),HISTORIAL!$K$3:$K$24),"v","-")),"-")),"-")</f>
        <v>-</v>
      </c>
      <c r="N25" s="54" t="str">
        <f>IFERROR(VLOOKUP(A25,CONFIG!$A$10:$B$21,2,0),"")</f>
        <v>HIP</v>
      </c>
      <c r="O25" s="55" t="str">
        <f t="shared" si="1"/>
        <v>Curl Femoral|Tumbado Maquina</v>
      </c>
      <c r="P25" s="69" t="str">
        <f>MIERCOLES!AC12</f>
        <v/>
      </c>
    </row>
    <row r="26" spans="1:16" ht="14.1" customHeight="1">
      <c r="A26" s="37">
        <v>1</v>
      </c>
      <c r="B26" s="37" t="s">
        <v>279</v>
      </c>
      <c r="C26" s="44" t="str">
        <f>MIERCOLES!$A$13</f>
        <v>Curl Femoral</v>
      </c>
      <c r="D26" s="45" t="str">
        <f>MIERCOLES!$B$13</f>
        <v>Sentado Maquina</v>
      </c>
      <c r="E26" s="37" t="str">
        <f>MIERCOLES!$C$13</f>
        <v>polea</v>
      </c>
      <c r="F26" s="46" t="str">
        <f>IF(P26="","",IFERROR(CHOOSE(VALUE(RIGHT(P26,1)),MIERCOLES!F13,MIERCOLES!I13,MIERCOLES!L13,MIERCOLES!O13,MIERCOLES!R13),""))</f>
        <v/>
      </c>
      <c r="G26" s="47" t="str">
        <f>IF(P26="","",IFERROR(CHOOSE(VALUE(RIGHT(P26,1)),MIERCOLES!G13,MIERCOLES!J13,MIERCOLES!M13,MIERCOLES!P13,MIERCOLES!S13),""))</f>
        <v/>
      </c>
      <c r="H26" s="48" t="str">
        <f>IF(P26="","",IFERROR(CHOOSE(VALUE(RIGHT(P26,1)),MIERCOLES!H13,MIERCOLES!K13,MIERCOLES!N13,MIERCOLES!Q13,MIERCOLES!T13),""))</f>
        <v/>
      </c>
      <c r="I26" s="49" t="str">
        <f t="shared" si="0"/>
        <v/>
      </c>
      <c r="J26" s="50" t="str">
        <f>IF(P26="","",IFERROR(ROUND(CHOOSE(VALUE(RIGHT(P26,1)),IF(MIERCOLES!C13="peso_corporal",IF(ISNUMBER(MIERCOLES!E13),MIERCOLES!E13,0)+MIERCOLES!F13,MIERCOLES!F13)*MIERCOLES!G13,IF(MIERCOLES!C13="peso_corporal",IF(ISNUMBER(MIERCOLES!E13),MIERCOLES!E13,0)+MIERCOLES!I13,MIERCOLES!I13)*MIERCOLES!J13,IF(MIERCOLES!C13="peso_corporal",IF(ISNUMBER(MIERCOLES!E13),MIERCOLES!E13,0)+MIERCOLES!L13,MIERCOLES!L13)*MIERCOLES!M13,IF(MIERCOLES!C13="peso_corporal",IF(ISNUMBER(MIERCOLES!E13),MIERCOLES!E13,0)+MIERCOLES!O13,MIERCOLES!O13)*MIERCOLES!P13,IF(MIERCOLES!C13="peso_corporal",IF(ISNUMBER(MIERCOLES!E13),MIERCOLES!E13,0)+MIERCOLES!R13,MIERCOLES!R13)*MIERCOLES!S13),1),""))</f>
        <v/>
      </c>
      <c r="K26" s="51" t="str">
        <f>IF(P26="","",IFERROR(ROUND(CHOOSE(VALUE(RIGHT(P26,1)),(IF(MIERCOLES!C13="peso_corporal",IF(ISNUMBER(MIERCOLES!E13),MIERCOLES!E13,0)+MIERCOLES!F13,MIERCOLES!F13))*(1+MIERCOLES!G13/30),(IF(MIERCOLES!C13="peso_corporal",IF(ISNUMBER(MIERCOLES!E13),MIERCOLES!E13,0)+MIERCOLES!I13,MIERCOLES!I13))*(1+MIERCOLES!J13/30),(IF(MIERCOLES!C13="peso_corporal",IF(ISNUMBER(MIERCOLES!E13),MIERCOLES!E13,0)+MIERCOLES!L13,MIERCOLES!L13))*(1+MIERCOLES!M13/30),(IF(MIERCOLES!C13="peso_corporal",IF(ISNUMBER(MIERCOLES!E13),MIERCOLES!E13,0)+MIERCOLES!O13,MIERCOLES!O13))*(1+MIERCOLES!P13/30),(IF(MIERCOLES!C13="peso_corporal",IF(ISNUMBER(MIERCOLES!E13),MIERCOLES!E13,0)+MIERCOLES!R13,MIERCOLES!R13))*(1+MIERCOLES!S13/30)),1),""))</f>
        <v/>
      </c>
      <c r="L26" s="52">
        <f>IFERROR(MIERCOLES!E13,"")</f>
        <v>80</v>
      </c>
      <c r="M26" s="53" t="str">
        <f>IFERROR(IF(K26="","-",IF(ISNUMBER(LOOKUP(2,1/((HISTORIAL!$O$3:$O$25=O26)*(HISTORIAL!$F$3:$F$25&lt;&gt;"")),HISTORIAL!$K$3:$K$25)),IF(K26&gt;LOOKUP(2,1/((HISTORIAL!$O$3:$O$25=O26)*(HISTORIAL!$F$3:$F$25&lt;&gt;"")),HISTORIAL!$K$3:$K$25),"^",IF(K26&lt;LOOKUP(2,1/((HISTORIAL!$O$3:$O$25=O26)*(HISTORIAL!$F$3:$F$25&lt;&gt;"")),HISTORIAL!$K$3:$K$25),"v","-")),"-")),"-")</f>
        <v>-</v>
      </c>
      <c r="N26" s="54" t="str">
        <f>IFERROR(VLOOKUP(A26,CONFIG!$A$10:$B$21,2,0),"")</f>
        <v>HIP</v>
      </c>
      <c r="O26" s="55" t="str">
        <f t="shared" si="1"/>
        <v>Curl Femoral|Sentado Maquina</v>
      </c>
      <c r="P26" s="69" t="str">
        <f>MIERCOLES!AC13</f>
        <v/>
      </c>
    </row>
    <row r="27" spans="1:16" ht="14.1" customHeight="1">
      <c r="A27" s="37">
        <v>1</v>
      </c>
      <c r="B27" s="37" t="s">
        <v>279</v>
      </c>
      <c r="C27" s="44" t="str">
        <f>MIERCOLES!$A$14</f>
        <v>Curl Rumano</v>
      </c>
      <c r="D27" s="45" t="str">
        <f>MIERCOLES!$B$14</f>
        <v>Mancuernas</v>
      </c>
      <c r="E27" s="37" t="str">
        <f>MIERCOLES!$C$14</f>
        <v>mancuerna</v>
      </c>
      <c r="F27" s="46" t="str">
        <f>IF(P27="","",IFERROR(CHOOSE(VALUE(RIGHT(P27,1)),MIERCOLES!F14,MIERCOLES!I14,MIERCOLES!L14,MIERCOLES!O14,MIERCOLES!R14),""))</f>
        <v/>
      </c>
      <c r="G27" s="47" t="str">
        <f>IF(P27="","",IFERROR(CHOOSE(VALUE(RIGHT(P27,1)),MIERCOLES!G14,MIERCOLES!J14,MIERCOLES!M14,MIERCOLES!P14,MIERCOLES!S14),""))</f>
        <v/>
      </c>
      <c r="H27" s="48" t="str">
        <f>IF(P27="","",IFERROR(CHOOSE(VALUE(RIGHT(P27,1)),MIERCOLES!H14,MIERCOLES!K14,MIERCOLES!N14,MIERCOLES!Q14,MIERCOLES!T14),""))</f>
        <v/>
      </c>
      <c r="I27" s="49" t="str">
        <f t="shared" si="0"/>
        <v/>
      </c>
      <c r="J27" s="50" t="str">
        <f>IF(P27="","",IFERROR(ROUND(CHOOSE(VALUE(RIGHT(P27,1)),IF(MIERCOLES!C14="peso_corporal",IF(ISNUMBER(MIERCOLES!E14),MIERCOLES!E14,0)+MIERCOLES!F14,MIERCOLES!F14)*MIERCOLES!G14,IF(MIERCOLES!C14="peso_corporal",IF(ISNUMBER(MIERCOLES!E14),MIERCOLES!E14,0)+MIERCOLES!I14,MIERCOLES!I14)*MIERCOLES!J14,IF(MIERCOLES!C14="peso_corporal",IF(ISNUMBER(MIERCOLES!E14),MIERCOLES!E14,0)+MIERCOLES!L14,MIERCOLES!L14)*MIERCOLES!M14,IF(MIERCOLES!C14="peso_corporal",IF(ISNUMBER(MIERCOLES!E14),MIERCOLES!E14,0)+MIERCOLES!O14,MIERCOLES!O14)*MIERCOLES!P14,IF(MIERCOLES!C14="peso_corporal",IF(ISNUMBER(MIERCOLES!E14),MIERCOLES!E14,0)+MIERCOLES!R14,MIERCOLES!R14)*MIERCOLES!S14),1),""))</f>
        <v/>
      </c>
      <c r="K27" s="51" t="str">
        <f>IF(P27="","",IFERROR(ROUND(CHOOSE(VALUE(RIGHT(P27,1)),(IF(MIERCOLES!C14="peso_corporal",IF(ISNUMBER(MIERCOLES!E14),MIERCOLES!E14,0)+MIERCOLES!F14,MIERCOLES!F14))*(1+MIERCOLES!G14/30),(IF(MIERCOLES!C14="peso_corporal",IF(ISNUMBER(MIERCOLES!E14),MIERCOLES!E14,0)+MIERCOLES!I14,MIERCOLES!I14))*(1+MIERCOLES!J14/30),(IF(MIERCOLES!C14="peso_corporal",IF(ISNUMBER(MIERCOLES!E14),MIERCOLES!E14,0)+MIERCOLES!L14,MIERCOLES!L14))*(1+MIERCOLES!M14/30),(IF(MIERCOLES!C14="peso_corporal",IF(ISNUMBER(MIERCOLES!E14),MIERCOLES!E14,0)+MIERCOLES!O14,MIERCOLES!O14))*(1+MIERCOLES!P14/30),(IF(MIERCOLES!C14="peso_corporal",IF(ISNUMBER(MIERCOLES!E14),MIERCOLES!E14,0)+MIERCOLES!R14,MIERCOLES!R14))*(1+MIERCOLES!S14/30)),1),""))</f>
        <v/>
      </c>
      <c r="L27" s="52">
        <f>IFERROR(MIERCOLES!E14,"")</f>
        <v>80</v>
      </c>
      <c r="M27" s="53" t="str">
        <f>IFERROR(IF(K27="","-",IF(ISNUMBER(LOOKUP(2,1/((HISTORIAL!$O$3:$O$26=O27)*(HISTORIAL!$F$3:$F$26&lt;&gt;"")),HISTORIAL!$K$3:$K$26)),IF(K27&gt;LOOKUP(2,1/((HISTORIAL!$O$3:$O$26=O27)*(HISTORIAL!$F$3:$F$26&lt;&gt;"")),HISTORIAL!$K$3:$K$26),"^",IF(K27&lt;LOOKUP(2,1/((HISTORIAL!$O$3:$O$26=O27)*(HISTORIAL!$F$3:$F$26&lt;&gt;"")),HISTORIAL!$K$3:$K$26),"v","-")),"-")),"-")</f>
        <v>-</v>
      </c>
      <c r="N27" s="54" t="str">
        <f>IFERROR(VLOOKUP(A27,CONFIG!$A$10:$B$21,2,0),"")</f>
        <v>HIP</v>
      </c>
      <c r="O27" s="55" t="str">
        <f t="shared" si="1"/>
        <v>Curl Rumano|Mancuernas</v>
      </c>
      <c r="P27" s="69" t="str">
        <f>MIERCOLES!AC14</f>
        <v/>
      </c>
    </row>
    <row r="28" spans="1:16" ht="14.1" customHeight="1">
      <c r="A28" s="37">
        <v>1</v>
      </c>
      <c r="B28" s="37" t="s">
        <v>279</v>
      </c>
      <c r="C28" s="44" t="str">
        <f>MIERCOLES!$A$16</f>
        <v>Sentadilla</v>
      </c>
      <c r="D28" s="45" t="str">
        <f>MIERCOLES!$B$16</f>
        <v>Multipower Cuna Talones</v>
      </c>
      <c r="E28" s="37" t="str">
        <f>MIERCOLES!$C$16</f>
        <v>--</v>
      </c>
      <c r="F28" s="46" t="str">
        <f>IF(P28="","",IFERROR(CHOOSE(VALUE(RIGHT(P28,1)),MIERCOLES!F16,MIERCOLES!I16,MIERCOLES!L16,MIERCOLES!O16,MIERCOLES!R16),""))</f>
        <v/>
      </c>
      <c r="G28" s="47" t="str">
        <f>IF(P28="","",IFERROR(CHOOSE(VALUE(RIGHT(P28,1)),MIERCOLES!G16,MIERCOLES!J16,MIERCOLES!M16,MIERCOLES!P16,MIERCOLES!S16),""))</f>
        <v/>
      </c>
      <c r="H28" s="48" t="str">
        <f>IF(P28="","",IFERROR(CHOOSE(VALUE(RIGHT(P28,1)),MIERCOLES!H16,MIERCOLES!K16,MIERCOLES!N16,MIERCOLES!Q16,MIERCOLES!T16),""))</f>
        <v/>
      </c>
      <c r="I28" s="49" t="str">
        <f t="shared" si="0"/>
        <v/>
      </c>
      <c r="J28" s="50" t="str">
        <f>IF(P28="","",IFERROR(ROUND(CHOOSE(VALUE(RIGHT(P28,1)),IF(MIERCOLES!C16="peso_corporal",IF(ISNUMBER(MIERCOLES!E16),MIERCOLES!E16,0)+MIERCOLES!F16,MIERCOLES!F16)*MIERCOLES!G16,IF(MIERCOLES!C16="peso_corporal",IF(ISNUMBER(MIERCOLES!E16),MIERCOLES!E16,0)+MIERCOLES!I16,MIERCOLES!I16)*MIERCOLES!J16,IF(MIERCOLES!C16="peso_corporal",IF(ISNUMBER(MIERCOLES!E16),MIERCOLES!E16,0)+MIERCOLES!L16,MIERCOLES!L16)*MIERCOLES!M16,IF(MIERCOLES!C16="peso_corporal",IF(ISNUMBER(MIERCOLES!E16),MIERCOLES!E16,0)+MIERCOLES!O16,MIERCOLES!O16)*MIERCOLES!P16,IF(MIERCOLES!C16="peso_corporal",IF(ISNUMBER(MIERCOLES!E16),MIERCOLES!E16,0)+MIERCOLES!R16,MIERCOLES!R16)*MIERCOLES!S16),1),""))</f>
        <v/>
      </c>
      <c r="K28" s="51" t="str">
        <f>IF(P28="","",IFERROR(ROUND(CHOOSE(VALUE(RIGHT(P28,1)),(IF(MIERCOLES!C16="peso_corporal",IF(ISNUMBER(MIERCOLES!E16),MIERCOLES!E16,0)+MIERCOLES!F16,MIERCOLES!F16))*(1+MIERCOLES!G16/30),(IF(MIERCOLES!C16="peso_corporal",IF(ISNUMBER(MIERCOLES!E16),MIERCOLES!E16,0)+MIERCOLES!I16,MIERCOLES!I16))*(1+MIERCOLES!J16/30),(IF(MIERCOLES!C16="peso_corporal",IF(ISNUMBER(MIERCOLES!E16),MIERCOLES!E16,0)+MIERCOLES!L16,MIERCOLES!L16))*(1+MIERCOLES!M16/30),(IF(MIERCOLES!C16="peso_corporal",IF(ISNUMBER(MIERCOLES!E16),MIERCOLES!E16,0)+MIERCOLES!O16,MIERCOLES!O16))*(1+MIERCOLES!P16/30),(IF(MIERCOLES!C16="peso_corporal",IF(ISNUMBER(MIERCOLES!E16),MIERCOLES!E16,0)+MIERCOLES!R16,MIERCOLES!R16))*(1+MIERCOLES!S16/30)),1),""))</f>
        <v/>
      </c>
      <c r="L28" s="52">
        <f>IFERROR(MIERCOLES!E16,"")</f>
        <v>80</v>
      </c>
      <c r="M28" s="53" t="str">
        <f>IFERROR(IF(K28="","-",IF(ISNUMBER(LOOKUP(2,1/((HISTORIAL!$O$3:$O$27=O28)*(HISTORIAL!$F$3:$F$27&lt;&gt;"")),HISTORIAL!$K$3:$K$27)),IF(K28&gt;LOOKUP(2,1/((HISTORIAL!$O$3:$O$27=O28)*(HISTORIAL!$F$3:$F$27&lt;&gt;"")),HISTORIAL!$K$3:$K$27),"^",IF(K28&lt;LOOKUP(2,1/((HISTORIAL!$O$3:$O$27=O28)*(HISTORIAL!$F$3:$F$27&lt;&gt;"")),HISTORIAL!$K$3:$K$27),"v","-")),"-")),"-")</f>
        <v>-</v>
      </c>
      <c r="N28" s="54" t="str">
        <f>IFERROR(VLOOKUP(A28,CONFIG!$A$10:$B$21,2,0),"")</f>
        <v>HIP</v>
      </c>
      <c r="O28" s="55" t="str">
        <f t="shared" si="1"/>
        <v>Sentadilla|Multipower Cuna Talones</v>
      </c>
      <c r="P28" s="69" t="str">
        <f>MIERCOLES!AC16</f>
        <v/>
      </c>
    </row>
    <row r="29" spans="1:16" ht="14.1" customHeight="1">
      <c r="A29" s="37">
        <v>1</v>
      </c>
      <c r="B29" s="37" t="s">
        <v>279</v>
      </c>
      <c r="C29" s="44" t="str">
        <f>MIERCOLES!$A$17</f>
        <v>Prensa Pierna</v>
      </c>
      <c r="D29" s="45" t="str">
        <f>MIERCOLES!$B$17</f>
        <v>Individual Horizontal</v>
      </c>
      <c r="E29" s="37" t="str">
        <f>MIERCOLES!$C$17</f>
        <v>--</v>
      </c>
      <c r="F29" s="46" t="str">
        <f>IF(P29="","",IFERROR(CHOOSE(VALUE(RIGHT(P29,1)),MIERCOLES!F17,MIERCOLES!I17,MIERCOLES!L17,MIERCOLES!O17,MIERCOLES!R17),""))</f>
        <v/>
      </c>
      <c r="G29" s="47" t="str">
        <f>IF(P29="","",IFERROR(CHOOSE(VALUE(RIGHT(P29,1)),MIERCOLES!G17,MIERCOLES!J17,MIERCOLES!M17,MIERCOLES!P17,MIERCOLES!S17),""))</f>
        <v/>
      </c>
      <c r="H29" s="48" t="str">
        <f>IF(P29="","",IFERROR(CHOOSE(VALUE(RIGHT(P29,1)),MIERCOLES!H17,MIERCOLES!K17,MIERCOLES!N17,MIERCOLES!Q17,MIERCOLES!T17),""))</f>
        <v/>
      </c>
      <c r="I29" s="49" t="str">
        <f t="shared" si="0"/>
        <v/>
      </c>
      <c r="J29" s="50" t="str">
        <f>IF(P29="","",IFERROR(ROUND(CHOOSE(VALUE(RIGHT(P29,1)),IF(MIERCOLES!C17="peso_corporal",IF(ISNUMBER(MIERCOLES!E17),MIERCOLES!E17,0)+MIERCOLES!F17,MIERCOLES!F17)*MIERCOLES!G17,IF(MIERCOLES!C17="peso_corporal",IF(ISNUMBER(MIERCOLES!E17),MIERCOLES!E17,0)+MIERCOLES!I17,MIERCOLES!I17)*MIERCOLES!J17,IF(MIERCOLES!C17="peso_corporal",IF(ISNUMBER(MIERCOLES!E17),MIERCOLES!E17,0)+MIERCOLES!L17,MIERCOLES!L17)*MIERCOLES!M17,IF(MIERCOLES!C17="peso_corporal",IF(ISNUMBER(MIERCOLES!E17),MIERCOLES!E17,0)+MIERCOLES!O17,MIERCOLES!O17)*MIERCOLES!P17,IF(MIERCOLES!C17="peso_corporal",IF(ISNUMBER(MIERCOLES!E17),MIERCOLES!E17,0)+MIERCOLES!R17,MIERCOLES!R17)*MIERCOLES!S17),1),""))</f>
        <v/>
      </c>
      <c r="K29" s="51" t="str">
        <f>IF(P29="","",IFERROR(ROUND(CHOOSE(VALUE(RIGHT(P29,1)),(IF(MIERCOLES!C17="peso_corporal",IF(ISNUMBER(MIERCOLES!E17),MIERCOLES!E17,0)+MIERCOLES!F17,MIERCOLES!F17))*(1+MIERCOLES!G17/30),(IF(MIERCOLES!C17="peso_corporal",IF(ISNUMBER(MIERCOLES!E17),MIERCOLES!E17,0)+MIERCOLES!I17,MIERCOLES!I17))*(1+MIERCOLES!J17/30),(IF(MIERCOLES!C17="peso_corporal",IF(ISNUMBER(MIERCOLES!E17),MIERCOLES!E17,0)+MIERCOLES!L17,MIERCOLES!L17))*(1+MIERCOLES!M17/30),(IF(MIERCOLES!C17="peso_corporal",IF(ISNUMBER(MIERCOLES!E17),MIERCOLES!E17,0)+MIERCOLES!O17,MIERCOLES!O17))*(1+MIERCOLES!P17/30),(IF(MIERCOLES!C17="peso_corporal",IF(ISNUMBER(MIERCOLES!E17),MIERCOLES!E17,0)+MIERCOLES!R17,MIERCOLES!R17))*(1+MIERCOLES!S17/30)),1),""))</f>
        <v/>
      </c>
      <c r="L29" s="52">
        <f>IFERROR(MIERCOLES!E17,"")</f>
        <v>80</v>
      </c>
      <c r="M29" s="53" t="str">
        <f>IFERROR(IF(K29="","-",IF(ISNUMBER(LOOKUP(2,1/((HISTORIAL!$O$3:$O$28=O29)*(HISTORIAL!$F$3:$F$28&lt;&gt;"")),HISTORIAL!$K$3:$K$28)),IF(K29&gt;LOOKUP(2,1/((HISTORIAL!$O$3:$O$28=O29)*(HISTORIAL!$F$3:$F$28&lt;&gt;"")),HISTORIAL!$K$3:$K$28),"^",IF(K29&lt;LOOKUP(2,1/((HISTORIAL!$O$3:$O$28=O29)*(HISTORIAL!$F$3:$F$28&lt;&gt;"")),HISTORIAL!$K$3:$K$28),"v","-")),"-")),"-")</f>
        <v>-</v>
      </c>
      <c r="N29" s="54" t="str">
        <f>IFERROR(VLOOKUP(A29,CONFIG!$A$10:$B$21,2,0),"")</f>
        <v>HIP</v>
      </c>
      <c r="O29" s="55" t="str">
        <f t="shared" si="1"/>
        <v>Prensa Pierna|Individual Horizontal</v>
      </c>
      <c r="P29" s="69" t="str">
        <f>MIERCOLES!AC17</f>
        <v/>
      </c>
    </row>
    <row r="30" spans="1:16" ht="14.1" customHeight="1">
      <c r="A30" s="37">
        <v>1</v>
      </c>
      <c r="B30" s="37" t="s">
        <v>279</v>
      </c>
      <c r="C30" s="44" t="str">
        <f>MIERCOLES!$A$18</f>
        <v>Extension Cuadriceps</v>
      </c>
      <c r="D30" s="45" t="str">
        <f>MIERCOLES!$B$18</f>
        <v>Vasto Externo</v>
      </c>
      <c r="E30" s="37" t="str">
        <f>MIERCOLES!$C$18</f>
        <v>--</v>
      </c>
      <c r="F30" s="46" t="str">
        <f>IF(P30="","",IFERROR(CHOOSE(VALUE(RIGHT(P30,1)),MIERCOLES!F18,MIERCOLES!I18,MIERCOLES!L18,MIERCOLES!O18,MIERCOLES!R18),""))</f>
        <v/>
      </c>
      <c r="G30" s="47" t="str">
        <f>IF(P30="","",IFERROR(CHOOSE(VALUE(RIGHT(P30,1)),MIERCOLES!G18,MIERCOLES!J18,MIERCOLES!M18,MIERCOLES!P18,MIERCOLES!S18),""))</f>
        <v/>
      </c>
      <c r="H30" s="48" t="str">
        <f>IF(P30="","",IFERROR(CHOOSE(VALUE(RIGHT(P30,1)),MIERCOLES!H18,MIERCOLES!K18,MIERCOLES!N18,MIERCOLES!Q18,MIERCOLES!T18),""))</f>
        <v/>
      </c>
      <c r="I30" s="49" t="str">
        <f t="shared" si="0"/>
        <v/>
      </c>
      <c r="J30" s="50" t="str">
        <f>IF(P30="","",IFERROR(ROUND(CHOOSE(VALUE(RIGHT(P30,1)),IF(MIERCOLES!C18="peso_corporal",IF(ISNUMBER(MIERCOLES!E18),MIERCOLES!E18,0)+MIERCOLES!F18,MIERCOLES!F18)*MIERCOLES!G18,IF(MIERCOLES!C18="peso_corporal",IF(ISNUMBER(MIERCOLES!E18),MIERCOLES!E18,0)+MIERCOLES!I18,MIERCOLES!I18)*MIERCOLES!J18,IF(MIERCOLES!C18="peso_corporal",IF(ISNUMBER(MIERCOLES!E18),MIERCOLES!E18,0)+MIERCOLES!L18,MIERCOLES!L18)*MIERCOLES!M18,IF(MIERCOLES!C18="peso_corporal",IF(ISNUMBER(MIERCOLES!E18),MIERCOLES!E18,0)+MIERCOLES!O18,MIERCOLES!O18)*MIERCOLES!P18,IF(MIERCOLES!C18="peso_corporal",IF(ISNUMBER(MIERCOLES!E18),MIERCOLES!E18,0)+MIERCOLES!R18,MIERCOLES!R18)*MIERCOLES!S18),1),""))</f>
        <v/>
      </c>
      <c r="K30" s="51" t="str">
        <f>IF(P30="","",IFERROR(ROUND(CHOOSE(VALUE(RIGHT(P30,1)),(IF(MIERCOLES!C18="peso_corporal",IF(ISNUMBER(MIERCOLES!E18),MIERCOLES!E18,0)+MIERCOLES!F18,MIERCOLES!F18))*(1+MIERCOLES!G18/30),(IF(MIERCOLES!C18="peso_corporal",IF(ISNUMBER(MIERCOLES!E18),MIERCOLES!E18,0)+MIERCOLES!I18,MIERCOLES!I18))*(1+MIERCOLES!J18/30),(IF(MIERCOLES!C18="peso_corporal",IF(ISNUMBER(MIERCOLES!E18),MIERCOLES!E18,0)+MIERCOLES!L18,MIERCOLES!L18))*(1+MIERCOLES!M18/30),(IF(MIERCOLES!C18="peso_corporal",IF(ISNUMBER(MIERCOLES!E18),MIERCOLES!E18,0)+MIERCOLES!O18,MIERCOLES!O18))*(1+MIERCOLES!P18/30),(IF(MIERCOLES!C18="peso_corporal",IF(ISNUMBER(MIERCOLES!E18),MIERCOLES!E18,0)+MIERCOLES!R18,MIERCOLES!R18))*(1+MIERCOLES!S18/30)),1),""))</f>
        <v/>
      </c>
      <c r="L30" s="52">
        <f>IFERROR(MIERCOLES!E18,"")</f>
        <v>80</v>
      </c>
      <c r="M30" s="53" t="str">
        <f>IFERROR(IF(K30="","-",IF(ISNUMBER(LOOKUP(2,1/((HISTORIAL!$O$3:$O$29=O30)*(HISTORIAL!$F$3:$F$29&lt;&gt;"")),HISTORIAL!$K$3:$K$29)),IF(K30&gt;LOOKUP(2,1/((HISTORIAL!$O$3:$O$29=O30)*(HISTORIAL!$F$3:$F$29&lt;&gt;"")),HISTORIAL!$K$3:$K$29),"^",IF(K30&lt;LOOKUP(2,1/((HISTORIAL!$O$3:$O$29=O30)*(HISTORIAL!$F$3:$F$29&lt;&gt;"")),HISTORIAL!$K$3:$K$29),"v","-")),"-")),"-")</f>
        <v>-</v>
      </c>
      <c r="N30" s="54" t="str">
        <f>IFERROR(VLOOKUP(A30,CONFIG!$A$10:$B$21,2,0),"")</f>
        <v>HIP</v>
      </c>
      <c r="O30" s="55" t="str">
        <f t="shared" si="1"/>
        <v>Extension Cuadriceps|Vasto Externo</v>
      </c>
      <c r="P30" s="69" t="str">
        <f>MIERCOLES!AC18</f>
        <v/>
      </c>
    </row>
    <row r="31" spans="1:16" ht="14.1" customHeight="1">
      <c r="A31" s="37">
        <v>1</v>
      </c>
      <c r="B31" s="37" t="s">
        <v>279</v>
      </c>
      <c r="C31" s="44" t="str">
        <f>MIERCOLES!$A$19</f>
        <v>Extension Cuadriceps</v>
      </c>
      <c r="D31" s="45" t="str">
        <f>MIERCOLES!$B$19</f>
        <v>Vasto Interno</v>
      </c>
      <c r="E31" s="37" t="str">
        <f>MIERCOLES!$C$19</f>
        <v>--</v>
      </c>
      <c r="F31" s="46" t="str">
        <f>IF(P31="","",IFERROR(CHOOSE(VALUE(RIGHT(P31,1)),MIERCOLES!F19,MIERCOLES!I19,MIERCOLES!L19,MIERCOLES!O19,MIERCOLES!R19),""))</f>
        <v/>
      </c>
      <c r="G31" s="47" t="str">
        <f>IF(P31="","",IFERROR(CHOOSE(VALUE(RIGHT(P31,1)),MIERCOLES!G19,MIERCOLES!J19,MIERCOLES!M19,MIERCOLES!P19,MIERCOLES!S19),""))</f>
        <v/>
      </c>
      <c r="H31" s="48" t="str">
        <f>IF(P31="","",IFERROR(CHOOSE(VALUE(RIGHT(P31,1)),MIERCOLES!H19,MIERCOLES!K19,MIERCOLES!N19,MIERCOLES!Q19,MIERCOLES!T19),""))</f>
        <v/>
      </c>
      <c r="I31" s="49" t="str">
        <f t="shared" si="0"/>
        <v/>
      </c>
      <c r="J31" s="50" t="str">
        <f>IF(P31="","",IFERROR(ROUND(CHOOSE(VALUE(RIGHT(P31,1)),IF(MIERCOLES!C19="peso_corporal",IF(ISNUMBER(MIERCOLES!E19),MIERCOLES!E19,0)+MIERCOLES!F19,MIERCOLES!F19)*MIERCOLES!G19,IF(MIERCOLES!C19="peso_corporal",IF(ISNUMBER(MIERCOLES!E19),MIERCOLES!E19,0)+MIERCOLES!I19,MIERCOLES!I19)*MIERCOLES!J19,IF(MIERCOLES!C19="peso_corporal",IF(ISNUMBER(MIERCOLES!E19),MIERCOLES!E19,0)+MIERCOLES!L19,MIERCOLES!L19)*MIERCOLES!M19,IF(MIERCOLES!C19="peso_corporal",IF(ISNUMBER(MIERCOLES!E19),MIERCOLES!E19,0)+MIERCOLES!O19,MIERCOLES!O19)*MIERCOLES!P19,IF(MIERCOLES!C19="peso_corporal",IF(ISNUMBER(MIERCOLES!E19),MIERCOLES!E19,0)+MIERCOLES!R19,MIERCOLES!R19)*MIERCOLES!S19),1),""))</f>
        <v/>
      </c>
      <c r="K31" s="51" t="str">
        <f>IF(P31="","",IFERROR(ROUND(CHOOSE(VALUE(RIGHT(P31,1)),(IF(MIERCOLES!C19="peso_corporal",IF(ISNUMBER(MIERCOLES!E19),MIERCOLES!E19,0)+MIERCOLES!F19,MIERCOLES!F19))*(1+MIERCOLES!G19/30),(IF(MIERCOLES!C19="peso_corporal",IF(ISNUMBER(MIERCOLES!E19),MIERCOLES!E19,0)+MIERCOLES!I19,MIERCOLES!I19))*(1+MIERCOLES!J19/30),(IF(MIERCOLES!C19="peso_corporal",IF(ISNUMBER(MIERCOLES!E19),MIERCOLES!E19,0)+MIERCOLES!L19,MIERCOLES!L19))*(1+MIERCOLES!M19/30),(IF(MIERCOLES!C19="peso_corporal",IF(ISNUMBER(MIERCOLES!E19),MIERCOLES!E19,0)+MIERCOLES!O19,MIERCOLES!O19))*(1+MIERCOLES!P19/30),(IF(MIERCOLES!C19="peso_corporal",IF(ISNUMBER(MIERCOLES!E19),MIERCOLES!E19,0)+MIERCOLES!R19,MIERCOLES!R19))*(1+MIERCOLES!S19/30)),1),""))</f>
        <v/>
      </c>
      <c r="L31" s="52">
        <f>IFERROR(MIERCOLES!E19,"")</f>
        <v>80</v>
      </c>
      <c r="M31" s="53" t="str">
        <f>IFERROR(IF(K31="","-",IF(ISNUMBER(LOOKUP(2,1/((HISTORIAL!$O$3:$O$30=O31)*(HISTORIAL!$F$3:$F$30&lt;&gt;"")),HISTORIAL!$K$3:$K$30)),IF(K31&gt;LOOKUP(2,1/((HISTORIAL!$O$3:$O$30=O31)*(HISTORIAL!$F$3:$F$30&lt;&gt;"")),HISTORIAL!$K$3:$K$30),"^",IF(K31&lt;LOOKUP(2,1/((HISTORIAL!$O$3:$O$30=O31)*(HISTORIAL!$F$3:$F$30&lt;&gt;"")),HISTORIAL!$K$3:$K$30),"v","-")),"-")),"-")</f>
        <v>-</v>
      </c>
      <c r="N31" s="54" t="str">
        <f>IFERROR(VLOOKUP(A31,CONFIG!$A$10:$B$21,2,0),"")</f>
        <v>HIP</v>
      </c>
      <c r="O31" s="55" t="str">
        <f t="shared" si="1"/>
        <v>Extension Cuadriceps|Vasto Interno</v>
      </c>
      <c r="P31" s="69" t="str">
        <f>MIERCOLES!AC19</f>
        <v/>
      </c>
    </row>
    <row r="32" spans="1:16" ht="14.1" customHeight="1">
      <c r="A32" s="37">
        <v>1</v>
      </c>
      <c r="B32" s="37" t="s">
        <v>279</v>
      </c>
      <c r="C32" s="44" t="str">
        <f>MIERCOLES!$A$21</f>
        <v>Elevacion Gemelo</v>
      </c>
      <c r="D32" s="45" t="str">
        <f>MIERCOLES!$B$21</f>
        <v>Sentado</v>
      </c>
      <c r="E32" s="37" t="str">
        <f>MIERCOLES!$C$21</f>
        <v>disco</v>
      </c>
      <c r="F32" s="46" t="str">
        <f>IF(P32="","",IFERROR(CHOOSE(VALUE(RIGHT(P32,1)),MIERCOLES!F21,MIERCOLES!I21,MIERCOLES!L21,MIERCOLES!O21,MIERCOLES!R21),""))</f>
        <v/>
      </c>
      <c r="G32" s="47" t="str">
        <f>IF(P32="","",IFERROR(CHOOSE(VALUE(RIGHT(P32,1)),MIERCOLES!G21,MIERCOLES!J21,MIERCOLES!M21,MIERCOLES!P21,MIERCOLES!S21),""))</f>
        <v/>
      </c>
      <c r="H32" s="48" t="str">
        <f>IF(P32="","",IFERROR(CHOOSE(VALUE(RIGHT(P32,1)),MIERCOLES!H21,MIERCOLES!K21,MIERCOLES!N21,MIERCOLES!Q21,MIERCOLES!T21),""))</f>
        <v/>
      </c>
      <c r="I32" s="49" t="str">
        <f t="shared" si="0"/>
        <v/>
      </c>
      <c r="J32" s="50" t="str">
        <f>IF(P32="","",IFERROR(ROUND(CHOOSE(VALUE(RIGHT(P32,1)),IF(MIERCOLES!C21="peso_corporal",IF(ISNUMBER(MIERCOLES!E21),MIERCOLES!E21,0)+MIERCOLES!F21,MIERCOLES!F21)*MIERCOLES!G21,IF(MIERCOLES!C21="peso_corporal",IF(ISNUMBER(MIERCOLES!E21),MIERCOLES!E21,0)+MIERCOLES!I21,MIERCOLES!I21)*MIERCOLES!J21,IF(MIERCOLES!C21="peso_corporal",IF(ISNUMBER(MIERCOLES!E21),MIERCOLES!E21,0)+MIERCOLES!L21,MIERCOLES!L21)*MIERCOLES!M21,IF(MIERCOLES!C21="peso_corporal",IF(ISNUMBER(MIERCOLES!E21),MIERCOLES!E21,0)+MIERCOLES!O21,MIERCOLES!O21)*MIERCOLES!P21,IF(MIERCOLES!C21="peso_corporal",IF(ISNUMBER(MIERCOLES!E21),MIERCOLES!E21,0)+MIERCOLES!R21,MIERCOLES!R21)*MIERCOLES!S21),1),""))</f>
        <v/>
      </c>
      <c r="K32" s="51" t="str">
        <f>IF(P32="","",IFERROR(ROUND(CHOOSE(VALUE(RIGHT(P32,1)),(IF(MIERCOLES!C21="peso_corporal",IF(ISNUMBER(MIERCOLES!E21),MIERCOLES!E21,0)+MIERCOLES!F21,MIERCOLES!F21))*(1+MIERCOLES!G21/30),(IF(MIERCOLES!C21="peso_corporal",IF(ISNUMBER(MIERCOLES!E21),MIERCOLES!E21,0)+MIERCOLES!I21,MIERCOLES!I21))*(1+MIERCOLES!J21/30),(IF(MIERCOLES!C21="peso_corporal",IF(ISNUMBER(MIERCOLES!E21),MIERCOLES!E21,0)+MIERCOLES!L21,MIERCOLES!L21))*(1+MIERCOLES!M21/30),(IF(MIERCOLES!C21="peso_corporal",IF(ISNUMBER(MIERCOLES!E21),MIERCOLES!E21,0)+MIERCOLES!O21,MIERCOLES!O21))*(1+MIERCOLES!P21/30),(IF(MIERCOLES!C21="peso_corporal",IF(ISNUMBER(MIERCOLES!E21),MIERCOLES!E21,0)+MIERCOLES!R21,MIERCOLES!R21))*(1+MIERCOLES!S21/30)),1),""))</f>
        <v/>
      </c>
      <c r="L32" s="52">
        <f>IFERROR(MIERCOLES!E21,"")</f>
        <v>80</v>
      </c>
      <c r="M32" s="53" t="str">
        <f>IFERROR(IF(K32="","-",IF(ISNUMBER(LOOKUP(2,1/((HISTORIAL!$O$3:$O$31=O32)*(HISTORIAL!$F$3:$F$31&lt;&gt;"")),HISTORIAL!$K$3:$K$31)),IF(K32&gt;LOOKUP(2,1/((HISTORIAL!$O$3:$O$31=O32)*(HISTORIAL!$F$3:$F$31&lt;&gt;"")),HISTORIAL!$K$3:$K$31),"^",IF(K32&lt;LOOKUP(2,1/((HISTORIAL!$O$3:$O$31=O32)*(HISTORIAL!$F$3:$F$31&lt;&gt;"")),HISTORIAL!$K$3:$K$31),"v","-")),"-")),"-")</f>
        <v>-</v>
      </c>
      <c r="N32" s="54" t="str">
        <f>IFERROR(VLOOKUP(A32,CONFIG!$A$10:$B$21,2,0),"")</f>
        <v>HIP</v>
      </c>
      <c r="O32" s="55" t="str">
        <f t="shared" si="1"/>
        <v>Elevacion Gemelo|Sentado</v>
      </c>
      <c r="P32" s="69" t="str">
        <f>MIERCOLES!AC21</f>
        <v/>
      </c>
    </row>
    <row r="33" spans="1:16" ht="14.1" customHeight="1">
      <c r="A33" s="37">
        <v>1</v>
      </c>
      <c r="B33" s="37" t="s">
        <v>279</v>
      </c>
      <c r="C33" s="44" t="str">
        <f>MIERCOLES!$A$22</f>
        <v>Elevacion Gemelo</v>
      </c>
      <c r="D33" s="45" t="str">
        <f>MIERCOLES!$B$22</f>
        <v>De Pie</v>
      </c>
      <c r="E33" s="37" t="str">
        <f>MIERCOLES!$C$22</f>
        <v>disco</v>
      </c>
      <c r="F33" s="46" t="str">
        <f>IF(P33="","",IFERROR(CHOOSE(VALUE(RIGHT(P33,1)),MIERCOLES!F22,MIERCOLES!I22,MIERCOLES!L22,MIERCOLES!O22,MIERCOLES!R22),""))</f>
        <v/>
      </c>
      <c r="G33" s="47" t="str">
        <f>IF(P33="","",IFERROR(CHOOSE(VALUE(RIGHT(P33,1)),MIERCOLES!G22,MIERCOLES!J22,MIERCOLES!M22,MIERCOLES!P22,MIERCOLES!S22),""))</f>
        <v/>
      </c>
      <c r="H33" s="48" t="str">
        <f>IF(P33="","",IFERROR(CHOOSE(VALUE(RIGHT(P33,1)),MIERCOLES!H22,MIERCOLES!K22,MIERCOLES!N22,MIERCOLES!Q22,MIERCOLES!T22),""))</f>
        <v/>
      </c>
      <c r="I33" s="49" t="str">
        <f t="shared" si="0"/>
        <v/>
      </c>
      <c r="J33" s="50" t="str">
        <f>IF(P33="","",IFERROR(ROUND(CHOOSE(VALUE(RIGHT(P33,1)),IF(MIERCOLES!C22="peso_corporal",IF(ISNUMBER(MIERCOLES!E22),MIERCOLES!E22,0)+MIERCOLES!F22,MIERCOLES!F22)*MIERCOLES!G22,IF(MIERCOLES!C22="peso_corporal",IF(ISNUMBER(MIERCOLES!E22),MIERCOLES!E22,0)+MIERCOLES!I22,MIERCOLES!I22)*MIERCOLES!J22,IF(MIERCOLES!C22="peso_corporal",IF(ISNUMBER(MIERCOLES!E22),MIERCOLES!E22,0)+MIERCOLES!L22,MIERCOLES!L22)*MIERCOLES!M22,IF(MIERCOLES!C22="peso_corporal",IF(ISNUMBER(MIERCOLES!E22),MIERCOLES!E22,0)+MIERCOLES!O22,MIERCOLES!O22)*MIERCOLES!P22,IF(MIERCOLES!C22="peso_corporal",IF(ISNUMBER(MIERCOLES!E22),MIERCOLES!E22,0)+MIERCOLES!R22,MIERCOLES!R22)*MIERCOLES!S22),1),""))</f>
        <v/>
      </c>
      <c r="K33" s="51" t="str">
        <f>IF(P33="","",IFERROR(ROUND(CHOOSE(VALUE(RIGHT(P33,1)),(IF(MIERCOLES!C22="peso_corporal",IF(ISNUMBER(MIERCOLES!E22),MIERCOLES!E22,0)+MIERCOLES!F22,MIERCOLES!F22))*(1+MIERCOLES!G22/30),(IF(MIERCOLES!C22="peso_corporal",IF(ISNUMBER(MIERCOLES!E22),MIERCOLES!E22,0)+MIERCOLES!I22,MIERCOLES!I22))*(1+MIERCOLES!J22/30),(IF(MIERCOLES!C22="peso_corporal",IF(ISNUMBER(MIERCOLES!E22),MIERCOLES!E22,0)+MIERCOLES!L22,MIERCOLES!L22))*(1+MIERCOLES!M22/30),(IF(MIERCOLES!C22="peso_corporal",IF(ISNUMBER(MIERCOLES!E22),MIERCOLES!E22,0)+MIERCOLES!O22,MIERCOLES!O22))*(1+MIERCOLES!P22/30),(IF(MIERCOLES!C22="peso_corporal",IF(ISNUMBER(MIERCOLES!E22),MIERCOLES!E22,0)+MIERCOLES!R22,MIERCOLES!R22))*(1+MIERCOLES!S22/30)),1),""))</f>
        <v/>
      </c>
      <c r="L33" s="52">
        <f>IFERROR(MIERCOLES!E22,"")</f>
        <v>80</v>
      </c>
      <c r="M33" s="53" t="str">
        <f>IFERROR(IF(K33="","-",IF(ISNUMBER(LOOKUP(2,1/((HISTORIAL!$O$3:$O$32=O33)*(HISTORIAL!$F$3:$F$32&lt;&gt;"")),HISTORIAL!$K$3:$K$32)),IF(K33&gt;LOOKUP(2,1/((HISTORIAL!$O$3:$O$32=O33)*(HISTORIAL!$F$3:$F$32&lt;&gt;"")),HISTORIAL!$K$3:$K$32),"^",IF(K33&lt;LOOKUP(2,1/((HISTORIAL!$O$3:$O$32=O33)*(HISTORIAL!$F$3:$F$32&lt;&gt;"")),HISTORIAL!$K$3:$K$32),"v","-")),"-")),"-")</f>
        <v>-</v>
      </c>
      <c r="N33" s="54" t="str">
        <f>IFERROR(VLOOKUP(A33,CONFIG!$A$10:$B$21,2,0),"")</f>
        <v>HIP</v>
      </c>
      <c r="O33" s="55" t="str">
        <f t="shared" si="1"/>
        <v>Elevacion Gemelo|De Pie</v>
      </c>
      <c r="P33" s="69" t="str">
        <f>MIERCOLES!AC22</f>
        <v/>
      </c>
    </row>
    <row r="34" spans="1:16" ht="14.1" customHeight="1">
      <c r="A34" s="37">
        <v>1</v>
      </c>
      <c r="B34" s="37" t="s">
        <v>279</v>
      </c>
      <c r="C34" s="44" t="str">
        <f>MIERCOLES!$A$24</f>
        <v>Hiperextension</v>
      </c>
      <c r="D34" s="45" t="str">
        <f>MIERCOLES!$B$24</f>
        <v>Banco Romano</v>
      </c>
      <c r="E34" s="37" t="str">
        <f>MIERCOLES!$C$24</f>
        <v>peso_corporal</v>
      </c>
      <c r="F34" s="46" t="str">
        <f>IF(P34="","",IFERROR(CHOOSE(VALUE(RIGHT(P34,1)),MIERCOLES!F24,MIERCOLES!I24,MIERCOLES!L24,MIERCOLES!O24,MIERCOLES!R24),""))</f>
        <v/>
      </c>
      <c r="G34" s="47" t="str">
        <f>IF(P34="","",IFERROR(CHOOSE(VALUE(RIGHT(P34,1)),MIERCOLES!G24,MIERCOLES!J24,MIERCOLES!M24,MIERCOLES!P24,MIERCOLES!S24),""))</f>
        <v/>
      </c>
      <c r="H34" s="48" t="str">
        <f>IF(P34="","",IFERROR(CHOOSE(VALUE(RIGHT(P34,1)),MIERCOLES!H24,MIERCOLES!K24,MIERCOLES!N24,MIERCOLES!Q24,MIERCOLES!T24),""))</f>
        <v/>
      </c>
      <c r="I34" s="49" t="str">
        <f t="shared" si="0"/>
        <v/>
      </c>
      <c r="J34" s="50" t="str">
        <f>IF(P34="","",IFERROR(ROUND(CHOOSE(VALUE(RIGHT(P34,1)),IF(MIERCOLES!C24="peso_corporal",IF(ISNUMBER(MIERCOLES!E24),MIERCOLES!E24,0)+MIERCOLES!F24,MIERCOLES!F24)*MIERCOLES!G24,IF(MIERCOLES!C24="peso_corporal",IF(ISNUMBER(MIERCOLES!E24),MIERCOLES!E24,0)+MIERCOLES!I24,MIERCOLES!I24)*MIERCOLES!J24,IF(MIERCOLES!C24="peso_corporal",IF(ISNUMBER(MIERCOLES!E24),MIERCOLES!E24,0)+MIERCOLES!L24,MIERCOLES!L24)*MIERCOLES!M24,IF(MIERCOLES!C24="peso_corporal",IF(ISNUMBER(MIERCOLES!E24),MIERCOLES!E24,0)+MIERCOLES!O24,MIERCOLES!O24)*MIERCOLES!P24,IF(MIERCOLES!C24="peso_corporal",IF(ISNUMBER(MIERCOLES!E24),MIERCOLES!E24,0)+MIERCOLES!R24,MIERCOLES!R24)*MIERCOLES!S24),1),""))</f>
        <v/>
      </c>
      <c r="K34" s="51" t="str">
        <f>IF(P34="","",IFERROR(ROUND(CHOOSE(VALUE(RIGHT(P34,1)),(IF(MIERCOLES!C24="peso_corporal",IF(ISNUMBER(MIERCOLES!E24),MIERCOLES!E24,0)+MIERCOLES!F24,MIERCOLES!F24))*(1+MIERCOLES!G24/30),(IF(MIERCOLES!C24="peso_corporal",IF(ISNUMBER(MIERCOLES!E24),MIERCOLES!E24,0)+MIERCOLES!I24,MIERCOLES!I24))*(1+MIERCOLES!J24/30),(IF(MIERCOLES!C24="peso_corporal",IF(ISNUMBER(MIERCOLES!E24),MIERCOLES!E24,0)+MIERCOLES!L24,MIERCOLES!L24))*(1+MIERCOLES!M24/30),(IF(MIERCOLES!C24="peso_corporal",IF(ISNUMBER(MIERCOLES!E24),MIERCOLES!E24,0)+MIERCOLES!O24,MIERCOLES!O24))*(1+MIERCOLES!P24/30),(IF(MIERCOLES!C24="peso_corporal",IF(ISNUMBER(MIERCOLES!E24),MIERCOLES!E24,0)+MIERCOLES!R24,MIERCOLES!R24))*(1+MIERCOLES!S24/30)),1),""))</f>
        <v/>
      </c>
      <c r="L34" s="52">
        <f>IFERROR(MIERCOLES!E24,"")</f>
        <v>80</v>
      </c>
      <c r="M34" s="53" t="str">
        <f>IFERROR(IF(K34="","-",IF(ISNUMBER(LOOKUP(2,1/((HISTORIAL!$O$3:$O$33=O34)*(HISTORIAL!$F$3:$F$33&lt;&gt;"")),HISTORIAL!$K$3:$K$33)),IF(K34&gt;LOOKUP(2,1/((HISTORIAL!$O$3:$O$33=O34)*(HISTORIAL!$F$3:$F$33&lt;&gt;"")),HISTORIAL!$K$3:$K$33),"^",IF(K34&lt;LOOKUP(2,1/((HISTORIAL!$O$3:$O$33=O34)*(HISTORIAL!$F$3:$F$33&lt;&gt;"")),HISTORIAL!$K$3:$K$33),"v","-")),"-")),"-")</f>
        <v>-</v>
      </c>
      <c r="N34" s="54" t="str">
        <f>IFERROR(VLOOKUP(A34,CONFIG!$A$10:$B$21,2,0),"")</f>
        <v>HIP</v>
      </c>
      <c r="O34" s="55" t="str">
        <f t="shared" si="1"/>
        <v>Hiperextension|Banco Romano</v>
      </c>
      <c r="P34" s="69" t="str">
        <f>MIERCOLES!AC24</f>
        <v/>
      </c>
    </row>
    <row r="35" spans="1:16" ht="14.1" customHeight="1">
      <c r="A35" s="37">
        <v>1</v>
      </c>
      <c r="B35" s="37" t="s">
        <v>279</v>
      </c>
      <c r="C35" s="44" t="str">
        <f>MIERCOLES!$A$25</f>
        <v>Peso Muerto Parcial</v>
      </c>
      <c r="D35" s="45" t="str">
        <f>MIERCOLES!$B$25</f>
        <v>Barra</v>
      </c>
      <c r="E35" s="37" t="str">
        <f>MIERCOLES!$C$25</f>
        <v>disco</v>
      </c>
      <c r="F35" s="46" t="str">
        <f>IF(P35="","",IFERROR(CHOOSE(VALUE(RIGHT(P35,1)),MIERCOLES!F25,MIERCOLES!I25,MIERCOLES!L25,MIERCOLES!O25,MIERCOLES!R25),""))</f>
        <v/>
      </c>
      <c r="G35" s="47" t="str">
        <f>IF(P35="","",IFERROR(CHOOSE(VALUE(RIGHT(P35,1)),MIERCOLES!G25,MIERCOLES!J25,MIERCOLES!M25,MIERCOLES!P25,MIERCOLES!S25),""))</f>
        <v/>
      </c>
      <c r="H35" s="48" t="str">
        <f>IF(P35="","",IFERROR(CHOOSE(VALUE(RIGHT(P35,1)),MIERCOLES!H25,MIERCOLES!K25,MIERCOLES!N25,MIERCOLES!Q25,MIERCOLES!T25),""))</f>
        <v/>
      </c>
      <c r="I35" s="49" t="str">
        <f t="shared" si="0"/>
        <v/>
      </c>
      <c r="J35" s="50" t="str">
        <f>IF(P35="","",IFERROR(ROUND(CHOOSE(VALUE(RIGHT(P35,1)),IF(MIERCOLES!C25="peso_corporal",IF(ISNUMBER(MIERCOLES!E25),MIERCOLES!E25,0)+MIERCOLES!F25,MIERCOLES!F25)*MIERCOLES!G25,IF(MIERCOLES!C25="peso_corporal",IF(ISNUMBER(MIERCOLES!E25),MIERCOLES!E25,0)+MIERCOLES!I25,MIERCOLES!I25)*MIERCOLES!J25,IF(MIERCOLES!C25="peso_corporal",IF(ISNUMBER(MIERCOLES!E25),MIERCOLES!E25,0)+MIERCOLES!L25,MIERCOLES!L25)*MIERCOLES!M25,IF(MIERCOLES!C25="peso_corporal",IF(ISNUMBER(MIERCOLES!E25),MIERCOLES!E25,0)+MIERCOLES!O25,MIERCOLES!O25)*MIERCOLES!P25,IF(MIERCOLES!C25="peso_corporal",IF(ISNUMBER(MIERCOLES!E25),MIERCOLES!E25,0)+MIERCOLES!R25,MIERCOLES!R25)*MIERCOLES!S25),1),""))</f>
        <v/>
      </c>
      <c r="K35" s="51" t="str">
        <f>IF(P35="","",IFERROR(ROUND(CHOOSE(VALUE(RIGHT(P35,1)),(IF(MIERCOLES!C25="peso_corporal",IF(ISNUMBER(MIERCOLES!E25),MIERCOLES!E25,0)+MIERCOLES!F25,MIERCOLES!F25))*(1+MIERCOLES!G25/30),(IF(MIERCOLES!C25="peso_corporal",IF(ISNUMBER(MIERCOLES!E25),MIERCOLES!E25,0)+MIERCOLES!I25,MIERCOLES!I25))*(1+MIERCOLES!J25/30),(IF(MIERCOLES!C25="peso_corporal",IF(ISNUMBER(MIERCOLES!E25),MIERCOLES!E25,0)+MIERCOLES!L25,MIERCOLES!L25))*(1+MIERCOLES!M25/30),(IF(MIERCOLES!C25="peso_corporal",IF(ISNUMBER(MIERCOLES!E25),MIERCOLES!E25,0)+MIERCOLES!O25,MIERCOLES!O25))*(1+MIERCOLES!P25/30),(IF(MIERCOLES!C25="peso_corporal",IF(ISNUMBER(MIERCOLES!E25),MIERCOLES!E25,0)+MIERCOLES!R25,MIERCOLES!R25))*(1+MIERCOLES!S25/30)),1),""))</f>
        <v/>
      </c>
      <c r="L35" s="52">
        <f>IFERROR(MIERCOLES!E25,"")</f>
        <v>80</v>
      </c>
      <c r="M35" s="53" t="str">
        <f>IFERROR(IF(K35="","-",IF(ISNUMBER(LOOKUP(2,1/((HISTORIAL!$O$3:$O$34=O35)*(HISTORIAL!$F$3:$F$34&lt;&gt;"")),HISTORIAL!$K$3:$K$34)),IF(K35&gt;LOOKUP(2,1/((HISTORIAL!$O$3:$O$34=O35)*(HISTORIAL!$F$3:$F$34&lt;&gt;"")),HISTORIAL!$K$3:$K$34),"^",IF(K35&lt;LOOKUP(2,1/((HISTORIAL!$O$3:$O$34=O35)*(HISTORIAL!$F$3:$F$34&lt;&gt;"")),HISTORIAL!$K$3:$K$34),"v","-")),"-")),"-")</f>
        <v>-</v>
      </c>
      <c r="N35" s="54" t="str">
        <f>IFERROR(VLOOKUP(A35,CONFIG!$A$10:$B$21,2,0),"")</f>
        <v>HIP</v>
      </c>
      <c r="O35" s="55" t="str">
        <f t="shared" si="1"/>
        <v>Peso Muerto Parcial|Barra</v>
      </c>
      <c r="P35" s="69" t="str">
        <f>MIERCOLES!AC25</f>
        <v/>
      </c>
    </row>
    <row r="36" spans="1:16" ht="14.1" customHeight="1">
      <c r="A36" s="37">
        <v>1</v>
      </c>
      <c r="B36" s="37" t="s">
        <v>279</v>
      </c>
      <c r="C36" s="44" t="str">
        <f>MIERCOLES!$A$27</f>
        <v>Crunch</v>
      </c>
      <c r="D36" s="45" t="str">
        <f>MIERCOLES!$B$27</f>
        <v>Polea</v>
      </c>
      <c r="E36" s="37" t="str">
        <f>MIERCOLES!$C$27</f>
        <v>polea</v>
      </c>
      <c r="F36" s="46" t="str">
        <f>IF(P36="","",IFERROR(CHOOSE(VALUE(RIGHT(P36,1)),MIERCOLES!F27,MIERCOLES!I27,MIERCOLES!L27,MIERCOLES!O27,MIERCOLES!R27),""))</f>
        <v/>
      </c>
      <c r="G36" s="47" t="str">
        <f>IF(P36="","",IFERROR(CHOOSE(VALUE(RIGHT(P36,1)),MIERCOLES!G27,MIERCOLES!J27,MIERCOLES!M27,MIERCOLES!P27,MIERCOLES!S27),""))</f>
        <v/>
      </c>
      <c r="H36" s="48" t="str">
        <f>IF(P36="","",IFERROR(CHOOSE(VALUE(RIGHT(P36,1)),MIERCOLES!H27,MIERCOLES!K27,MIERCOLES!N27,MIERCOLES!Q27,MIERCOLES!T27),""))</f>
        <v/>
      </c>
      <c r="I36" s="49" t="str">
        <f t="shared" si="0"/>
        <v/>
      </c>
      <c r="J36" s="50" t="str">
        <f>IF(P36="","",IFERROR(ROUND(CHOOSE(VALUE(RIGHT(P36,1)),IF(MIERCOLES!C27="peso_corporal",IF(ISNUMBER(MIERCOLES!E27),MIERCOLES!E27,0)+MIERCOLES!F27,MIERCOLES!F27)*MIERCOLES!G27,IF(MIERCOLES!C27="peso_corporal",IF(ISNUMBER(MIERCOLES!E27),MIERCOLES!E27,0)+MIERCOLES!I27,MIERCOLES!I27)*MIERCOLES!J27,IF(MIERCOLES!C27="peso_corporal",IF(ISNUMBER(MIERCOLES!E27),MIERCOLES!E27,0)+MIERCOLES!L27,MIERCOLES!L27)*MIERCOLES!M27,IF(MIERCOLES!C27="peso_corporal",IF(ISNUMBER(MIERCOLES!E27),MIERCOLES!E27,0)+MIERCOLES!O27,MIERCOLES!O27)*MIERCOLES!P27,IF(MIERCOLES!C27="peso_corporal",IF(ISNUMBER(MIERCOLES!E27),MIERCOLES!E27,0)+MIERCOLES!R27,MIERCOLES!R27)*MIERCOLES!S27),1),""))</f>
        <v/>
      </c>
      <c r="K36" s="51" t="str">
        <f>IF(P36="","",IFERROR(ROUND(CHOOSE(VALUE(RIGHT(P36,1)),(IF(MIERCOLES!C27="peso_corporal",IF(ISNUMBER(MIERCOLES!E27),MIERCOLES!E27,0)+MIERCOLES!F27,MIERCOLES!F27))*(1+MIERCOLES!G27/30),(IF(MIERCOLES!C27="peso_corporal",IF(ISNUMBER(MIERCOLES!E27),MIERCOLES!E27,0)+MIERCOLES!I27,MIERCOLES!I27))*(1+MIERCOLES!J27/30),(IF(MIERCOLES!C27="peso_corporal",IF(ISNUMBER(MIERCOLES!E27),MIERCOLES!E27,0)+MIERCOLES!L27,MIERCOLES!L27))*(1+MIERCOLES!M27/30),(IF(MIERCOLES!C27="peso_corporal",IF(ISNUMBER(MIERCOLES!E27),MIERCOLES!E27,0)+MIERCOLES!O27,MIERCOLES!O27))*(1+MIERCOLES!P27/30),(IF(MIERCOLES!C27="peso_corporal",IF(ISNUMBER(MIERCOLES!E27),MIERCOLES!E27,0)+MIERCOLES!R27,MIERCOLES!R27))*(1+MIERCOLES!S27/30)),1),""))</f>
        <v/>
      </c>
      <c r="L36" s="52">
        <f>IFERROR(MIERCOLES!E27,"")</f>
        <v>80</v>
      </c>
      <c r="M36" s="53" t="str">
        <f>IFERROR(IF(K36="","-",IF(ISNUMBER(LOOKUP(2,1/((HISTORIAL!$O$3:$O$35=O36)*(HISTORIAL!$F$3:$F$35&lt;&gt;"")),HISTORIAL!$K$3:$K$35)),IF(K36&gt;LOOKUP(2,1/((HISTORIAL!$O$3:$O$35=O36)*(HISTORIAL!$F$3:$F$35&lt;&gt;"")),HISTORIAL!$K$3:$K$35),"^",IF(K36&lt;LOOKUP(2,1/((HISTORIAL!$O$3:$O$35=O36)*(HISTORIAL!$F$3:$F$35&lt;&gt;"")),HISTORIAL!$K$3:$K$35),"v","-")),"-")),"-")</f>
        <v>-</v>
      </c>
      <c r="N36" s="54" t="str">
        <f>IFERROR(VLOOKUP(A36,CONFIG!$A$10:$B$21,2,0),"")</f>
        <v>HIP</v>
      </c>
      <c r="O36" s="55" t="str">
        <f t="shared" si="1"/>
        <v>Crunch|Polea</v>
      </c>
      <c r="P36" s="69" t="str">
        <f>MIERCOLES!AC27</f>
        <v/>
      </c>
    </row>
    <row r="37" spans="1:16" ht="14.1" customHeight="1">
      <c r="A37" s="37">
        <v>1</v>
      </c>
      <c r="B37" s="37" t="s">
        <v>279</v>
      </c>
      <c r="C37" s="44" t="str">
        <f>MIERCOLES!$A$28</f>
        <v>Plancha</v>
      </c>
      <c r="D37" s="45" t="str">
        <f>MIERCOLES!$B$28</f>
        <v>Tumbado</v>
      </c>
      <c r="E37" s="37" t="str">
        <f>MIERCOLES!$C$28</f>
        <v>--</v>
      </c>
      <c r="F37" s="46" t="str">
        <f>IF(P37="","",IFERROR(CHOOSE(VALUE(RIGHT(P37,1)),MIERCOLES!F28,MIERCOLES!I28,MIERCOLES!L28,MIERCOLES!O28,MIERCOLES!R28),""))</f>
        <v/>
      </c>
      <c r="G37" s="47" t="str">
        <f>IF(P37="","",IFERROR(CHOOSE(VALUE(RIGHT(P37,1)),MIERCOLES!G28,MIERCOLES!J28,MIERCOLES!M28,MIERCOLES!P28,MIERCOLES!S28),""))</f>
        <v/>
      </c>
      <c r="H37" s="48" t="str">
        <f>IF(P37="","",IFERROR(CHOOSE(VALUE(RIGHT(P37,1)),MIERCOLES!H28,MIERCOLES!K28,MIERCOLES!N28,MIERCOLES!Q28,MIERCOLES!T28),""))</f>
        <v/>
      </c>
      <c r="I37" s="49" t="str">
        <f t="shared" si="0"/>
        <v/>
      </c>
      <c r="J37" s="50" t="str">
        <f>IF(P37="","",IFERROR(ROUND(CHOOSE(VALUE(RIGHT(P37,1)),IF(MIERCOLES!C28="peso_corporal",IF(ISNUMBER(MIERCOLES!E28),MIERCOLES!E28,0)+MIERCOLES!F28,MIERCOLES!F28)*MIERCOLES!G28,IF(MIERCOLES!C28="peso_corporal",IF(ISNUMBER(MIERCOLES!E28),MIERCOLES!E28,0)+MIERCOLES!I28,MIERCOLES!I28)*MIERCOLES!J28,IF(MIERCOLES!C28="peso_corporal",IF(ISNUMBER(MIERCOLES!E28),MIERCOLES!E28,0)+MIERCOLES!L28,MIERCOLES!L28)*MIERCOLES!M28,IF(MIERCOLES!C28="peso_corporal",IF(ISNUMBER(MIERCOLES!E28),MIERCOLES!E28,0)+MIERCOLES!O28,MIERCOLES!O28)*MIERCOLES!P28,IF(MIERCOLES!C28="peso_corporal",IF(ISNUMBER(MIERCOLES!E28),MIERCOLES!E28,0)+MIERCOLES!R28,MIERCOLES!R28)*MIERCOLES!S28),1),""))</f>
        <v/>
      </c>
      <c r="K37" s="51" t="str">
        <f>IF(P37="","",IFERROR(ROUND(CHOOSE(VALUE(RIGHT(P37,1)),(IF(MIERCOLES!C28="peso_corporal",IF(ISNUMBER(MIERCOLES!E28),MIERCOLES!E28,0)+MIERCOLES!F28,MIERCOLES!F28))*(1+MIERCOLES!G28/30),(IF(MIERCOLES!C28="peso_corporal",IF(ISNUMBER(MIERCOLES!E28),MIERCOLES!E28,0)+MIERCOLES!I28,MIERCOLES!I28))*(1+MIERCOLES!J28/30),(IF(MIERCOLES!C28="peso_corporal",IF(ISNUMBER(MIERCOLES!E28),MIERCOLES!E28,0)+MIERCOLES!L28,MIERCOLES!L28))*(1+MIERCOLES!M28/30),(IF(MIERCOLES!C28="peso_corporal",IF(ISNUMBER(MIERCOLES!E28),MIERCOLES!E28,0)+MIERCOLES!O28,MIERCOLES!O28))*(1+MIERCOLES!P28/30),(IF(MIERCOLES!C28="peso_corporal",IF(ISNUMBER(MIERCOLES!E28),MIERCOLES!E28,0)+MIERCOLES!R28,MIERCOLES!R28))*(1+MIERCOLES!S28/30)),1),""))</f>
        <v/>
      </c>
      <c r="L37" s="52">
        <f>IFERROR(MIERCOLES!E28,"")</f>
        <v>80</v>
      </c>
      <c r="M37" s="53" t="str">
        <f>IFERROR(IF(K37="","-",IF(ISNUMBER(LOOKUP(2,1/((HISTORIAL!$O$3:$O$36=O37)*(HISTORIAL!$F$3:$F$36&lt;&gt;"")),HISTORIAL!$K$3:$K$36)),IF(K37&gt;LOOKUP(2,1/((HISTORIAL!$O$3:$O$36=O37)*(HISTORIAL!$F$3:$F$36&lt;&gt;"")),HISTORIAL!$K$3:$K$36),"^",IF(K37&lt;LOOKUP(2,1/((HISTORIAL!$O$3:$O$36=O37)*(HISTORIAL!$F$3:$F$36&lt;&gt;"")),HISTORIAL!$K$3:$K$36),"v","-")),"-")),"-")</f>
        <v>-</v>
      </c>
      <c r="N37" s="54" t="str">
        <f>IFERROR(VLOOKUP(A37,CONFIG!$A$10:$B$21,2,0),"")</f>
        <v>HIP</v>
      </c>
      <c r="O37" s="55" t="str">
        <f t="shared" si="1"/>
        <v>Plancha|Tumbado</v>
      </c>
      <c r="P37" s="69" t="str">
        <f>MIERCOLES!AC28</f>
        <v/>
      </c>
    </row>
    <row r="38" spans="1:16" ht="14.1" customHeight="1">
      <c r="A38" s="37">
        <v>1</v>
      </c>
      <c r="B38" s="37" t="s">
        <v>279</v>
      </c>
      <c r="C38" s="44" t="str">
        <f>MIERCOLES!$A$29</f>
        <v>Rueda Abdominal</v>
      </c>
      <c r="D38" s="45" t="str">
        <f>MIERCOLES!$B$29</f>
        <v>Ab Wheel</v>
      </c>
      <c r="E38" s="37" t="str">
        <f>MIERCOLES!$C$29</f>
        <v>--</v>
      </c>
      <c r="F38" s="46" t="str">
        <f>IF(P38="","",IFERROR(CHOOSE(VALUE(RIGHT(P38,1)),MIERCOLES!F29,MIERCOLES!I29,MIERCOLES!L29,MIERCOLES!O29,MIERCOLES!R29),""))</f>
        <v/>
      </c>
      <c r="G38" s="47" t="str">
        <f>IF(P38="","",IFERROR(CHOOSE(VALUE(RIGHT(P38,1)),MIERCOLES!G29,MIERCOLES!J29,MIERCOLES!M29,MIERCOLES!P29,MIERCOLES!S29),""))</f>
        <v/>
      </c>
      <c r="H38" s="48" t="str">
        <f>IF(P38="","",IFERROR(CHOOSE(VALUE(RIGHT(P38,1)),MIERCOLES!H29,MIERCOLES!K29,MIERCOLES!N29,MIERCOLES!Q29,MIERCOLES!T29),""))</f>
        <v/>
      </c>
      <c r="I38" s="49" t="str">
        <f t="shared" si="0"/>
        <v/>
      </c>
      <c r="J38" s="50" t="str">
        <f>IF(P38="","",IFERROR(ROUND(CHOOSE(VALUE(RIGHT(P38,1)),IF(MIERCOLES!C29="peso_corporal",IF(ISNUMBER(MIERCOLES!E29),MIERCOLES!E29,0)+MIERCOLES!F29,MIERCOLES!F29)*MIERCOLES!G29,IF(MIERCOLES!C29="peso_corporal",IF(ISNUMBER(MIERCOLES!E29),MIERCOLES!E29,0)+MIERCOLES!I29,MIERCOLES!I29)*MIERCOLES!J29,IF(MIERCOLES!C29="peso_corporal",IF(ISNUMBER(MIERCOLES!E29),MIERCOLES!E29,0)+MIERCOLES!L29,MIERCOLES!L29)*MIERCOLES!M29,IF(MIERCOLES!C29="peso_corporal",IF(ISNUMBER(MIERCOLES!E29),MIERCOLES!E29,0)+MIERCOLES!O29,MIERCOLES!O29)*MIERCOLES!P29,IF(MIERCOLES!C29="peso_corporal",IF(ISNUMBER(MIERCOLES!E29),MIERCOLES!E29,0)+MIERCOLES!R29,MIERCOLES!R29)*MIERCOLES!S29),1),""))</f>
        <v/>
      </c>
      <c r="K38" s="51" t="str">
        <f>IF(P38="","",IFERROR(ROUND(CHOOSE(VALUE(RIGHT(P38,1)),(IF(MIERCOLES!C29="peso_corporal",IF(ISNUMBER(MIERCOLES!E29),MIERCOLES!E29,0)+MIERCOLES!F29,MIERCOLES!F29))*(1+MIERCOLES!G29/30),(IF(MIERCOLES!C29="peso_corporal",IF(ISNUMBER(MIERCOLES!E29),MIERCOLES!E29,0)+MIERCOLES!I29,MIERCOLES!I29))*(1+MIERCOLES!J29/30),(IF(MIERCOLES!C29="peso_corporal",IF(ISNUMBER(MIERCOLES!E29),MIERCOLES!E29,0)+MIERCOLES!L29,MIERCOLES!L29))*(1+MIERCOLES!M29/30),(IF(MIERCOLES!C29="peso_corporal",IF(ISNUMBER(MIERCOLES!E29),MIERCOLES!E29,0)+MIERCOLES!O29,MIERCOLES!O29))*(1+MIERCOLES!P29/30),(IF(MIERCOLES!C29="peso_corporal",IF(ISNUMBER(MIERCOLES!E29),MIERCOLES!E29,0)+MIERCOLES!R29,MIERCOLES!R29))*(1+MIERCOLES!S29/30)),1),""))</f>
        <v/>
      </c>
      <c r="L38" s="52">
        <f>IFERROR(MIERCOLES!E29,"")</f>
        <v>80</v>
      </c>
      <c r="M38" s="53" t="str">
        <f>IFERROR(IF(K38="","-",IF(ISNUMBER(LOOKUP(2,1/((HISTORIAL!$O$3:$O$37=O38)*(HISTORIAL!$F$3:$F$37&lt;&gt;"")),HISTORIAL!$K$3:$K$37)),IF(K38&gt;LOOKUP(2,1/((HISTORIAL!$O$3:$O$37=O38)*(HISTORIAL!$F$3:$F$37&lt;&gt;"")),HISTORIAL!$K$3:$K$37),"^",IF(K38&lt;LOOKUP(2,1/((HISTORIAL!$O$3:$O$37=O38)*(HISTORIAL!$F$3:$F$37&lt;&gt;"")),HISTORIAL!$K$3:$K$37),"v","-")),"-")),"-")</f>
        <v>-</v>
      </c>
      <c r="N38" s="54" t="str">
        <f>IFERROR(VLOOKUP(A38,CONFIG!$A$10:$B$21,2,0),"")</f>
        <v>HIP</v>
      </c>
      <c r="O38" s="55" t="str">
        <f t="shared" si="1"/>
        <v>Rueda Abdominal|Ab Wheel</v>
      </c>
      <c r="P38" s="69" t="str">
        <f>MIERCOLES!AC29</f>
        <v/>
      </c>
    </row>
    <row r="39" spans="1:16" ht="14.1" customHeight="1">
      <c r="A39" s="37">
        <v>1</v>
      </c>
      <c r="B39" s="37" t="s">
        <v>279</v>
      </c>
      <c r="C39" s="44" t="str">
        <f>MIERCOLES!$A$30</f>
        <v>Elevacion Piernas</v>
      </c>
      <c r="D39" s="45" t="str">
        <f>MIERCOLES!$B$30</f>
        <v>Colgado</v>
      </c>
      <c r="E39" s="37" t="str">
        <f>MIERCOLES!$C$30</f>
        <v>peso_corporal</v>
      </c>
      <c r="F39" s="46" t="str">
        <f>IF(P39="","",IFERROR(CHOOSE(VALUE(RIGHT(P39,1)),MIERCOLES!F30,MIERCOLES!I30,MIERCOLES!L30,MIERCOLES!O30,MIERCOLES!R30),""))</f>
        <v/>
      </c>
      <c r="G39" s="47" t="str">
        <f>IF(P39="","",IFERROR(CHOOSE(VALUE(RIGHT(P39,1)),MIERCOLES!G30,MIERCOLES!J30,MIERCOLES!M30,MIERCOLES!P30,MIERCOLES!S30),""))</f>
        <v/>
      </c>
      <c r="H39" s="48" t="str">
        <f>IF(P39="","",IFERROR(CHOOSE(VALUE(RIGHT(P39,1)),MIERCOLES!H30,MIERCOLES!K30,MIERCOLES!N30,MIERCOLES!Q30,MIERCOLES!T30),""))</f>
        <v/>
      </c>
      <c r="I39" s="49" t="str">
        <f t="shared" si="0"/>
        <v/>
      </c>
      <c r="J39" s="50" t="str">
        <f>IF(P39="","",IFERROR(ROUND(CHOOSE(VALUE(RIGHT(P39,1)),IF(MIERCOLES!C30="peso_corporal",IF(ISNUMBER(MIERCOLES!E30),MIERCOLES!E30,0)+MIERCOLES!F30,MIERCOLES!F30)*MIERCOLES!G30,IF(MIERCOLES!C30="peso_corporal",IF(ISNUMBER(MIERCOLES!E30),MIERCOLES!E30,0)+MIERCOLES!I30,MIERCOLES!I30)*MIERCOLES!J30,IF(MIERCOLES!C30="peso_corporal",IF(ISNUMBER(MIERCOLES!E30),MIERCOLES!E30,0)+MIERCOLES!L30,MIERCOLES!L30)*MIERCOLES!M30,IF(MIERCOLES!C30="peso_corporal",IF(ISNUMBER(MIERCOLES!E30),MIERCOLES!E30,0)+MIERCOLES!O30,MIERCOLES!O30)*MIERCOLES!P30,IF(MIERCOLES!C30="peso_corporal",IF(ISNUMBER(MIERCOLES!E30),MIERCOLES!E30,0)+MIERCOLES!R30,MIERCOLES!R30)*MIERCOLES!S30),1),""))</f>
        <v/>
      </c>
      <c r="K39" s="51" t="str">
        <f>IF(P39="","",IFERROR(ROUND(CHOOSE(VALUE(RIGHT(P39,1)),(IF(MIERCOLES!C30="peso_corporal",IF(ISNUMBER(MIERCOLES!E30),MIERCOLES!E30,0)+MIERCOLES!F30,MIERCOLES!F30))*(1+MIERCOLES!G30/30),(IF(MIERCOLES!C30="peso_corporal",IF(ISNUMBER(MIERCOLES!E30),MIERCOLES!E30,0)+MIERCOLES!I30,MIERCOLES!I30))*(1+MIERCOLES!J30/30),(IF(MIERCOLES!C30="peso_corporal",IF(ISNUMBER(MIERCOLES!E30),MIERCOLES!E30,0)+MIERCOLES!L30,MIERCOLES!L30))*(1+MIERCOLES!M30/30),(IF(MIERCOLES!C30="peso_corporal",IF(ISNUMBER(MIERCOLES!E30),MIERCOLES!E30,0)+MIERCOLES!O30,MIERCOLES!O30))*(1+MIERCOLES!P30/30),(IF(MIERCOLES!C30="peso_corporal",IF(ISNUMBER(MIERCOLES!E30),MIERCOLES!E30,0)+MIERCOLES!R30,MIERCOLES!R30))*(1+MIERCOLES!S30/30)),1),""))</f>
        <v/>
      </c>
      <c r="L39" s="52">
        <f>IFERROR(MIERCOLES!E30,"")</f>
        <v>80</v>
      </c>
      <c r="M39" s="53" t="str">
        <f>IFERROR(IF(K39="","-",IF(ISNUMBER(LOOKUP(2,1/((HISTORIAL!$O$3:$O$38=O39)*(HISTORIAL!$F$3:$F$38&lt;&gt;"")),HISTORIAL!$K$3:$K$38)),IF(K39&gt;LOOKUP(2,1/((HISTORIAL!$O$3:$O$38=O39)*(HISTORIAL!$F$3:$F$38&lt;&gt;"")),HISTORIAL!$K$3:$K$38),"^",IF(K39&lt;LOOKUP(2,1/((HISTORIAL!$O$3:$O$38=O39)*(HISTORIAL!$F$3:$F$38&lt;&gt;"")),HISTORIAL!$K$3:$K$38),"v","-")),"-")),"-")</f>
        <v>-</v>
      </c>
      <c r="N39" s="54" t="str">
        <f>IFERROR(VLOOKUP(A39,CONFIG!$A$10:$B$21,2,0),"")</f>
        <v>HIP</v>
      </c>
      <c r="O39" s="55" t="str">
        <f t="shared" si="1"/>
        <v>Elevacion Piernas|Colgado</v>
      </c>
      <c r="P39" s="69" t="str">
        <f>MIERCOLES!AC30</f>
        <v/>
      </c>
    </row>
    <row r="40" spans="1:16" ht="14.1" customHeight="1">
      <c r="A40" s="37">
        <v>1</v>
      </c>
      <c r="B40" s="37" t="s">
        <v>280</v>
      </c>
      <c r="C40" s="44" t="str">
        <f>JUEVES!$A$12</f>
        <v>Press Militar</v>
      </c>
      <c r="D40" s="45" t="str">
        <f>JUEVES!$B$12</f>
        <v>Multipower</v>
      </c>
      <c r="E40" s="37" t="str">
        <f>JUEVES!$C$12</f>
        <v>--</v>
      </c>
      <c r="F40" s="46" t="str">
        <f>IF(P40="","",IFERROR(CHOOSE(VALUE(RIGHT(P40,1)),JUEVES!F12,JUEVES!I12,JUEVES!L12,JUEVES!O12,JUEVES!R12),""))</f>
        <v/>
      </c>
      <c r="G40" s="47" t="str">
        <f>IF(P40="","",IFERROR(CHOOSE(VALUE(RIGHT(P40,1)),JUEVES!G12,JUEVES!J12,JUEVES!M12,JUEVES!P12,JUEVES!S12),""))</f>
        <v/>
      </c>
      <c r="H40" s="48" t="str">
        <f>IF(P40="","",IFERROR(CHOOSE(VALUE(RIGHT(P40,1)),JUEVES!H12,JUEVES!K12,JUEVES!N12,JUEVES!Q12,JUEVES!T12),""))</f>
        <v/>
      </c>
      <c r="I40" s="49" t="str">
        <f t="shared" si="0"/>
        <v/>
      </c>
      <c r="J40" s="50" t="str">
        <f>IF(P40="","",IFERROR(ROUND(CHOOSE(VALUE(RIGHT(P40,1)),IF(JUEVES!C12="peso_corporal",IF(ISNUMBER(JUEVES!E12),JUEVES!E12,0)+JUEVES!F12,JUEVES!F12)*JUEVES!G12,IF(JUEVES!C12="peso_corporal",IF(ISNUMBER(JUEVES!E12),JUEVES!E12,0)+JUEVES!I12,JUEVES!I12)*JUEVES!J12,IF(JUEVES!C12="peso_corporal",IF(ISNUMBER(JUEVES!E12),JUEVES!E12,0)+JUEVES!L12,JUEVES!L12)*JUEVES!M12,IF(JUEVES!C12="peso_corporal",IF(ISNUMBER(JUEVES!E12),JUEVES!E12,0)+JUEVES!O12,JUEVES!O12)*JUEVES!P12,IF(JUEVES!C12="peso_corporal",IF(ISNUMBER(JUEVES!E12),JUEVES!E12,0)+JUEVES!R12,JUEVES!R12)*JUEVES!S12),1),""))</f>
        <v/>
      </c>
      <c r="K40" s="51" t="str">
        <f>IF(P40="","",IFERROR(ROUND(CHOOSE(VALUE(RIGHT(P40,1)),(IF(JUEVES!C12="peso_corporal",IF(ISNUMBER(JUEVES!E12),JUEVES!E12,0)+JUEVES!F12,JUEVES!F12))*(1+JUEVES!G12/30),(IF(JUEVES!C12="peso_corporal",IF(ISNUMBER(JUEVES!E12),JUEVES!E12,0)+JUEVES!I12,JUEVES!I12))*(1+JUEVES!J12/30),(IF(JUEVES!C12="peso_corporal",IF(ISNUMBER(JUEVES!E12),JUEVES!E12,0)+JUEVES!L12,JUEVES!L12))*(1+JUEVES!M12/30),(IF(JUEVES!C12="peso_corporal",IF(ISNUMBER(JUEVES!E12),JUEVES!E12,0)+JUEVES!O12,JUEVES!O12))*(1+JUEVES!P12/30),(IF(JUEVES!C12="peso_corporal",IF(ISNUMBER(JUEVES!E12),JUEVES!E12,0)+JUEVES!R12,JUEVES!R12))*(1+JUEVES!S12/30)),1),""))</f>
        <v/>
      </c>
      <c r="L40" s="52">
        <f>IFERROR(JUEVES!E12,"")</f>
        <v>80</v>
      </c>
      <c r="M40" s="53" t="str">
        <f>IFERROR(IF(K40="","-",IF(ISNUMBER(LOOKUP(2,1/((HISTORIAL!$O$3:$O$39=O40)*(HISTORIAL!$F$3:$F$39&lt;&gt;"")),HISTORIAL!$K$3:$K$39)),IF(K40&gt;LOOKUP(2,1/((HISTORIAL!$O$3:$O$39=O40)*(HISTORIAL!$F$3:$F$39&lt;&gt;"")),HISTORIAL!$K$3:$K$39),"^",IF(K40&lt;LOOKUP(2,1/((HISTORIAL!$O$3:$O$39=O40)*(HISTORIAL!$F$3:$F$39&lt;&gt;"")),HISTORIAL!$K$3:$K$39),"v","-")),"-")),"-")</f>
        <v>-</v>
      </c>
      <c r="N40" s="54" t="str">
        <f>IFERROR(VLOOKUP(A40,CONFIG!$A$10:$B$21,2,0),"")</f>
        <v>HIP</v>
      </c>
      <c r="O40" s="55" t="str">
        <f t="shared" si="1"/>
        <v>Press Militar|Multipower</v>
      </c>
      <c r="P40" s="69" t="str">
        <f>JUEVES!AC12</f>
        <v/>
      </c>
    </row>
    <row r="41" spans="1:16" ht="14.1" customHeight="1">
      <c r="A41" s="37">
        <v>1</v>
      </c>
      <c r="B41" s="37" t="s">
        <v>280</v>
      </c>
      <c r="C41" s="44" t="str">
        <f>JUEVES!$A$13</f>
        <v>Elevaciones Laterales</v>
      </c>
      <c r="D41" s="45" t="str">
        <f>JUEVES!$B$13</f>
        <v>Drop Set Maquina</v>
      </c>
      <c r="E41" s="37" t="str">
        <f>JUEVES!$C$13</f>
        <v>--</v>
      </c>
      <c r="F41" s="46" t="str">
        <f>IF(P41="","",IFERROR(CHOOSE(VALUE(RIGHT(P41,1)),JUEVES!F13,JUEVES!I13,JUEVES!L13,JUEVES!O13,JUEVES!R13),""))</f>
        <v/>
      </c>
      <c r="G41" s="47" t="str">
        <f>IF(P41="","",IFERROR(CHOOSE(VALUE(RIGHT(P41,1)),JUEVES!G13,JUEVES!J13,JUEVES!M13,JUEVES!P13,JUEVES!S13),""))</f>
        <v/>
      </c>
      <c r="H41" s="48" t="str">
        <f>IF(P41="","",IFERROR(CHOOSE(VALUE(RIGHT(P41,1)),JUEVES!H13,JUEVES!K13,JUEVES!N13,JUEVES!Q13,JUEVES!T13),""))</f>
        <v/>
      </c>
      <c r="I41" s="49" t="str">
        <f t="shared" si="0"/>
        <v/>
      </c>
      <c r="J41" s="50" t="str">
        <f>IF(P41="","",IFERROR(ROUND(CHOOSE(VALUE(RIGHT(P41,1)),IF(JUEVES!C13="peso_corporal",IF(ISNUMBER(JUEVES!E13),JUEVES!E13,0)+JUEVES!F13,JUEVES!F13)*JUEVES!G13,IF(JUEVES!C13="peso_corporal",IF(ISNUMBER(JUEVES!E13),JUEVES!E13,0)+JUEVES!I13,JUEVES!I13)*JUEVES!J13,IF(JUEVES!C13="peso_corporal",IF(ISNUMBER(JUEVES!E13),JUEVES!E13,0)+JUEVES!L13,JUEVES!L13)*JUEVES!M13,IF(JUEVES!C13="peso_corporal",IF(ISNUMBER(JUEVES!E13),JUEVES!E13,0)+JUEVES!O13,JUEVES!O13)*JUEVES!P13,IF(JUEVES!C13="peso_corporal",IF(ISNUMBER(JUEVES!E13),JUEVES!E13,0)+JUEVES!R13,JUEVES!R13)*JUEVES!S13),1),""))</f>
        <v/>
      </c>
      <c r="K41" s="51" t="str">
        <f>IF(P41="","",IFERROR(ROUND(CHOOSE(VALUE(RIGHT(P41,1)),(IF(JUEVES!C13="peso_corporal",IF(ISNUMBER(JUEVES!E13),JUEVES!E13,0)+JUEVES!F13,JUEVES!F13))*(1+JUEVES!G13/30),(IF(JUEVES!C13="peso_corporal",IF(ISNUMBER(JUEVES!E13),JUEVES!E13,0)+JUEVES!I13,JUEVES!I13))*(1+JUEVES!J13/30),(IF(JUEVES!C13="peso_corporal",IF(ISNUMBER(JUEVES!E13),JUEVES!E13,0)+JUEVES!L13,JUEVES!L13))*(1+JUEVES!M13/30),(IF(JUEVES!C13="peso_corporal",IF(ISNUMBER(JUEVES!E13),JUEVES!E13,0)+JUEVES!O13,JUEVES!O13))*(1+JUEVES!P13/30),(IF(JUEVES!C13="peso_corporal",IF(ISNUMBER(JUEVES!E13),JUEVES!E13,0)+JUEVES!R13,JUEVES!R13))*(1+JUEVES!S13/30)),1),""))</f>
        <v/>
      </c>
      <c r="L41" s="52">
        <f>IFERROR(JUEVES!E13,"")</f>
        <v>80</v>
      </c>
      <c r="M41" s="53" t="str">
        <f>IFERROR(IF(K41="","-",IF(ISNUMBER(LOOKUP(2,1/((HISTORIAL!$O$3:$O$40=O41)*(HISTORIAL!$F$3:$F$40&lt;&gt;"")),HISTORIAL!$K$3:$K$40)),IF(K41&gt;LOOKUP(2,1/((HISTORIAL!$O$3:$O$40=O41)*(HISTORIAL!$F$3:$F$40&lt;&gt;"")),HISTORIAL!$K$3:$K$40),"^",IF(K41&lt;LOOKUP(2,1/((HISTORIAL!$O$3:$O$40=O41)*(HISTORIAL!$F$3:$F$40&lt;&gt;"")),HISTORIAL!$K$3:$K$40),"v","-")),"-")),"-")</f>
        <v>-</v>
      </c>
      <c r="N41" s="54" t="str">
        <f>IFERROR(VLOOKUP(A41,CONFIG!$A$10:$B$21,2,0),"")</f>
        <v>HIP</v>
      </c>
      <c r="O41" s="55" t="str">
        <f t="shared" si="1"/>
        <v>Elevaciones Laterales|Drop Set Maquina</v>
      </c>
      <c r="P41" s="69" t="str">
        <f>JUEVES!AC13</f>
        <v/>
      </c>
    </row>
    <row r="42" spans="1:16" ht="14.1" customHeight="1">
      <c r="A42" s="37">
        <v>1</v>
      </c>
      <c r="B42" s="37" t="s">
        <v>280</v>
      </c>
      <c r="C42" s="44" t="str">
        <f>JUEVES!$A$15</f>
        <v>Pajaro</v>
      </c>
      <c r="D42" s="45" t="str">
        <f>JUEVES!$B$15</f>
        <v>Elevacion Posterior</v>
      </c>
      <c r="E42" s="37" t="str">
        <f>JUEVES!$C$15</f>
        <v>mancuerna</v>
      </c>
      <c r="F42" s="46" t="str">
        <f>IF(P42="","",IFERROR(CHOOSE(VALUE(RIGHT(P42,1)),JUEVES!F15,JUEVES!I15,JUEVES!L15,JUEVES!O15,JUEVES!R15),""))</f>
        <v/>
      </c>
      <c r="G42" s="47" t="str">
        <f>IF(P42="","",IFERROR(CHOOSE(VALUE(RIGHT(P42,1)),JUEVES!G15,JUEVES!J15,JUEVES!M15,JUEVES!P15,JUEVES!S15),""))</f>
        <v/>
      </c>
      <c r="H42" s="48" t="str">
        <f>IF(P42="","",IFERROR(CHOOSE(VALUE(RIGHT(P42,1)),JUEVES!H15,JUEVES!K15,JUEVES!N15,JUEVES!Q15,JUEVES!T15),""))</f>
        <v/>
      </c>
      <c r="I42" s="49" t="str">
        <f t="shared" si="0"/>
        <v/>
      </c>
      <c r="J42" s="50" t="str">
        <f>IF(P42="","",IFERROR(ROUND(CHOOSE(VALUE(RIGHT(P42,1)),IF(JUEVES!C15="peso_corporal",IF(ISNUMBER(JUEVES!E15),JUEVES!E15,0)+JUEVES!F15,JUEVES!F15)*JUEVES!G15,IF(JUEVES!C15="peso_corporal",IF(ISNUMBER(JUEVES!E15),JUEVES!E15,0)+JUEVES!I15,JUEVES!I15)*JUEVES!J15,IF(JUEVES!C15="peso_corporal",IF(ISNUMBER(JUEVES!E15),JUEVES!E15,0)+JUEVES!L15,JUEVES!L15)*JUEVES!M15,IF(JUEVES!C15="peso_corporal",IF(ISNUMBER(JUEVES!E15),JUEVES!E15,0)+JUEVES!O15,JUEVES!O15)*JUEVES!P15,IF(JUEVES!C15="peso_corporal",IF(ISNUMBER(JUEVES!E15),JUEVES!E15,0)+JUEVES!R15,JUEVES!R15)*JUEVES!S15),1),""))</f>
        <v/>
      </c>
      <c r="K42" s="51" t="str">
        <f>IF(P42="","",IFERROR(ROUND(CHOOSE(VALUE(RIGHT(P42,1)),(IF(JUEVES!C15="peso_corporal",IF(ISNUMBER(JUEVES!E15),JUEVES!E15,0)+JUEVES!F15,JUEVES!F15))*(1+JUEVES!G15/30),(IF(JUEVES!C15="peso_corporal",IF(ISNUMBER(JUEVES!E15),JUEVES!E15,0)+JUEVES!I15,JUEVES!I15))*(1+JUEVES!J15/30),(IF(JUEVES!C15="peso_corporal",IF(ISNUMBER(JUEVES!E15),JUEVES!E15,0)+JUEVES!L15,JUEVES!L15))*(1+JUEVES!M15/30),(IF(JUEVES!C15="peso_corporal",IF(ISNUMBER(JUEVES!E15),JUEVES!E15,0)+JUEVES!O15,JUEVES!O15))*(1+JUEVES!P15/30),(IF(JUEVES!C15="peso_corporal",IF(ISNUMBER(JUEVES!E15),JUEVES!E15,0)+JUEVES!R15,JUEVES!R15))*(1+JUEVES!S15/30)),1),""))</f>
        <v/>
      </c>
      <c r="L42" s="52">
        <f>IFERROR(JUEVES!E15,"")</f>
        <v>80</v>
      </c>
      <c r="M42" s="53" t="str">
        <f>IFERROR(IF(K42="","-",IF(ISNUMBER(LOOKUP(2,1/((HISTORIAL!$O$3:$O$41=O42)*(HISTORIAL!$F$3:$F$41&lt;&gt;"")),HISTORIAL!$K$3:$K$41)),IF(K42&gt;LOOKUP(2,1/((HISTORIAL!$O$3:$O$41=O42)*(HISTORIAL!$F$3:$F$41&lt;&gt;"")),HISTORIAL!$K$3:$K$41),"^",IF(K42&lt;LOOKUP(2,1/((HISTORIAL!$O$3:$O$41=O42)*(HISTORIAL!$F$3:$F$41&lt;&gt;"")),HISTORIAL!$K$3:$K$41),"v","-")),"-")),"-")</f>
        <v>-</v>
      </c>
      <c r="N42" s="54" t="str">
        <f>IFERROR(VLOOKUP(A42,CONFIG!$A$10:$B$21,2,0),"")</f>
        <v>HIP</v>
      </c>
      <c r="O42" s="55" t="str">
        <f t="shared" si="1"/>
        <v>Pajaro|Elevacion Posterior</v>
      </c>
      <c r="P42" s="69" t="str">
        <f>JUEVES!AC15</f>
        <v/>
      </c>
    </row>
    <row r="43" spans="1:16" ht="14.1" customHeight="1">
      <c r="A43" s="37">
        <v>1</v>
      </c>
      <c r="B43" s="37" t="s">
        <v>280</v>
      </c>
      <c r="C43" s="44" t="str">
        <f>JUEVES!$A$16</f>
        <v>Peck Deck Invertida</v>
      </c>
      <c r="D43" s="45" t="str">
        <f>JUEVES!$B$16</f>
        <v>Maquina</v>
      </c>
      <c r="E43" s="37" t="str">
        <f>JUEVES!$C$16</f>
        <v>polea</v>
      </c>
      <c r="F43" s="46" t="str">
        <f>IF(P43="","",IFERROR(CHOOSE(VALUE(RIGHT(P43,1)),JUEVES!F16,JUEVES!I16,JUEVES!L16,JUEVES!O16,JUEVES!R16),""))</f>
        <v/>
      </c>
      <c r="G43" s="47" t="str">
        <f>IF(P43="","",IFERROR(CHOOSE(VALUE(RIGHT(P43,1)),JUEVES!G16,JUEVES!J16,JUEVES!M16,JUEVES!P16,JUEVES!S16),""))</f>
        <v/>
      </c>
      <c r="H43" s="48" t="str">
        <f>IF(P43="","",IFERROR(CHOOSE(VALUE(RIGHT(P43,1)),JUEVES!H16,JUEVES!K16,JUEVES!N16,JUEVES!Q16,JUEVES!T16),""))</f>
        <v/>
      </c>
      <c r="I43" s="49" t="str">
        <f t="shared" si="0"/>
        <v/>
      </c>
      <c r="J43" s="50" t="str">
        <f>IF(P43="","",IFERROR(ROUND(CHOOSE(VALUE(RIGHT(P43,1)),IF(JUEVES!C16="peso_corporal",IF(ISNUMBER(JUEVES!E16),JUEVES!E16,0)+JUEVES!F16,JUEVES!F16)*JUEVES!G16,IF(JUEVES!C16="peso_corporal",IF(ISNUMBER(JUEVES!E16),JUEVES!E16,0)+JUEVES!I16,JUEVES!I16)*JUEVES!J16,IF(JUEVES!C16="peso_corporal",IF(ISNUMBER(JUEVES!E16),JUEVES!E16,0)+JUEVES!L16,JUEVES!L16)*JUEVES!M16,IF(JUEVES!C16="peso_corporal",IF(ISNUMBER(JUEVES!E16),JUEVES!E16,0)+JUEVES!O16,JUEVES!O16)*JUEVES!P16,IF(JUEVES!C16="peso_corporal",IF(ISNUMBER(JUEVES!E16),JUEVES!E16,0)+JUEVES!R16,JUEVES!R16)*JUEVES!S16),1),""))</f>
        <v/>
      </c>
      <c r="K43" s="51" t="str">
        <f>IF(P43="","",IFERROR(ROUND(CHOOSE(VALUE(RIGHT(P43,1)),(IF(JUEVES!C16="peso_corporal",IF(ISNUMBER(JUEVES!E16),JUEVES!E16,0)+JUEVES!F16,JUEVES!F16))*(1+JUEVES!G16/30),(IF(JUEVES!C16="peso_corporal",IF(ISNUMBER(JUEVES!E16),JUEVES!E16,0)+JUEVES!I16,JUEVES!I16))*(1+JUEVES!J16/30),(IF(JUEVES!C16="peso_corporal",IF(ISNUMBER(JUEVES!E16),JUEVES!E16,0)+JUEVES!L16,JUEVES!L16))*(1+JUEVES!M16/30),(IF(JUEVES!C16="peso_corporal",IF(ISNUMBER(JUEVES!E16),JUEVES!E16,0)+JUEVES!O16,JUEVES!O16))*(1+JUEVES!P16/30),(IF(JUEVES!C16="peso_corporal",IF(ISNUMBER(JUEVES!E16),JUEVES!E16,0)+JUEVES!R16,JUEVES!R16))*(1+JUEVES!S16/30)),1),""))</f>
        <v/>
      </c>
      <c r="L43" s="52">
        <f>IFERROR(JUEVES!E16,"")</f>
        <v>80</v>
      </c>
      <c r="M43" s="53" t="str">
        <f>IFERROR(IF(K43="","-",IF(ISNUMBER(LOOKUP(2,1/((HISTORIAL!$O$3:$O$42=O43)*(HISTORIAL!$F$3:$F$42&lt;&gt;"")),HISTORIAL!$K$3:$K$42)),IF(K43&gt;LOOKUP(2,1/((HISTORIAL!$O$3:$O$42=O43)*(HISTORIAL!$F$3:$F$42&lt;&gt;"")),HISTORIAL!$K$3:$K$42),"^",IF(K43&lt;LOOKUP(2,1/((HISTORIAL!$O$3:$O$42=O43)*(HISTORIAL!$F$3:$F$42&lt;&gt;"")),HISTORIAL!$K$3:$K$42),"v","-")),"-")),"-")</f>
        <v>-</v>
      </c>
      <c r="N43" s="54" t="str">
        <f>IFERROR(VLOOKUP(A43,CONFIG!$A$10:$B$21,2,0),"")</f>
        <v>HIP</v>
      </c>
      <c r="O43" s="55" t="str">
        <f t="shared" si="1"/>
        <v>Peck Deck Invertida|Maquina</v>
      </c>
      <c r="P43" s="69" t="str">
        <f>JUEVES!AC16</f>
        <v/>
      </c>
    </row>
    <row r="44" spans="1:16" ht="14.1" customHeight="1">
      <c r="A44" s="37">
        <v>1</v>
      </c>
      <c r="B44" s="37" t="s">
        <v>280</v>
      </c>
      <c r="C44" s="44" t="str">
        <f>JUEVES!$A$17</f>
        <v>Elevaciones Posteriores</v>
      </c>
      <c r="D44" s="45" t="str">
        <f>JUEVES!$B$17</f>
        <v>Polea Individual</v>
      </c>
      <c r="E44" s="37" t="str">
        <f>JUEVES!$C$17</f>
        <v>polea</v>
      </c>
      <c r="F44" s="46" t="str">
        <f>IF(P44="","",IFERROR(CHOOSE(VALUE(RIGHT(P44,1)),JUEVES!F17,JUEVES!I17,JUEVES!L17,JUEVES!O17,JUEVES!R17),""))</f>
        <v/>
      </c>
      <c r="G44" s="47" t="str">
        <f>IF(P44="","",IFERROR(CHOOSE(VALUE(RIGHT(P44,1)),JUEVES!G17,JUEVES!J17,JUEVES!M17,JUEVES!P17,JUEVES!S17),""))</f>
        <v/>
      </c>
      <c r="H44" s="48" t="str">
        <f>IF(P44="","",IFERROR(CHOOSE(VALUE(RIGHT(P44,1)),JUEVES!H17,JUEVES!K17,JUEVES!N17,JUEVES!Q17,JUEVES!T17),""))</f>
        <v/>
      </c>
      <c r="I44" s="49" t="str">
        <f t="shared" si="0"/>
        <v/>
      </c>
      <c r="J44" s="50" t="str">
        <f>IF(P44="","",IFERROR(ROUND(CHOOSE(VALUE(RIGHT(P44,1)),IF(JUEVES!C17="peso_corporal",IF(ISNUMBER(JUEVES!E17),JUEVES!E17,0)+JUEVES!F17,JUEVES!F17)*JUEVES!G17,IF(JUEVES!C17="peso_corporal",IF(ISNUMBER(JUEVES!E17),JUEVES!E17,0)+JUEVES!I17,JUEVES!I17)*JUEVES!J17,IF(JUEVES!C17="peso_corporal",IF(ISNUMBER(JUEVES!E17),JUEVES!E17,0)+JUEVES!L17,JUEVES!L17)*JUEVES!M17,IF(JUEVES!C17="peso_corporal",IF(ISNUMBER(JUEVES!E17),JUEVES!E17,0)+JUEVES!O17,JUEVES!O17)*JUEVES!P17,IF(JUEVES!C17="peso_corporal",IF(ISNUMBER(JUEVES!E17),JUEVES!E17,0)+JUEVES!R17,JUEVES!R17)*JUEVES!S17),1),""))</f>
        <v/>
      </c>
      <c r="K44" s="51" t="str">
        <f>IF(P44="","",IFERROR(ROUND(CHOOSE(VALUE(RIGHT(P44,1)),(IF(JUEVES!C17="peso_corporal",IF(ISNUMBER(JUEVES!E17),JUEVES!E17,0)+JUEVES!F17,JUEVES!F17))*(1+JUEVES!G17/30),(IF(JUEVES!C17="peso_corporal",IF(ISNUMBER(JUEVES!E17),JUEVES!E17,0)+JUEVES!I17,JUEVES!I17))*(1+JUEVES!J17/30),(IF(JUEVES!C17="peso_corporal",IF(ISNUMBER(JUEVES!E17),JUEVES!E17,0)+JUEVES!L17,JUEVES!L17))*(1+JUEVES!M17/30),(IF(JUEVES!C17="peso_corporal",IF(ISNUMBER(JUEVES!E17),JUEVES!E17,0)+JUEVES!O17,JUEVES!O17))*(1+JUEVES!P17/30),(IF(JUEVES!C17="peso_corporal",IF(ISNUMBER(JUEVES!E17),JUEVES!E17,0)+JUEVES!R17,JUEVES!R17))*(1+JUEVES!S17/30)),1),""))</f>
        <v/>
      </c>
      <c r="L44" s="52">
        <f>IFERROR(JUEVES!E17,"")</f>
        <v>80</v>
      </c>
      <c r="M44" s="53" t="str">
        <f>IFERROR(IF(K44="","-",IF(ISNUMBER(LOOKUP(2,1/((HISTORIAL!$O$3:$O$43=O44)*(HISTORIAL!$F$3:$F$43&lt;&gt;"")),HISTORIAL!$K$3:$K$43)),IF(K44&gt;LOOKUP(2,1/((HISTORIAL!$O$3:$O$43=O44)*(HISTORIAL!$F$3:$F$43&lt;&gt;"")),HISTORIAL!$K$3:$K$43),"^",IF(K44&lt;LOOKUP(2,1/((HISTORIAL!$O$3:$O$43=O44)*(HISTORIAL!$F$3:$F$43&lt;&gt;"")),HISTORIAL!$K$3:$K$43),"v","-")),"-")),"-")</f>
        <v>-</v>
      </c>
      <c r="N44" s="54" t="str">
        <f>IFERROR(VLOOKUP(A44,CONFIG!$A$10:$B$21,2,0),"")</f>
        <v>HIP</v>
      </c>
      <c r="O44" s="55" t="str">
        <f t="shared" si="1"/>
        <v>Elevaciones Posteriores|Polea Individual</v>
      </c>
      <c r="P44" s="69" t="str">
        <f>JUEVES!AC17</f>
        <v/>
      </c>
    </row>
    <row r="45" spans="1:16" ht="14.1" customHeight="1">
      <c r="A45" s="37">
        <v>1</v>
      </c>
      <c r="B45" s="37" t="s">
        <v>280</v>
      </c>
      <c r="C45" s="44" t="str">
        <f>JUEVES!$A$20</f>
        <v>Press Plano</v>
      </c>
      <c r="D45" s="45" t="str">
        <f>JUEVES!$B$20</f>
        <v>Multipower</v>
      </c>
      <c r="E45" s="37" t="str">
        <f>JUEVES!$C$20</f>
        <v>disco</v>
      </c>
      <c r="F45" s="46" t="str">
        <f>IF(P45="","",IFERROR(CHOOSE(VALUE(RIGHT(P45,1)),JUEVES!F20,JUEVES!I20,JUEVES!L20,JUEVES!O20,JUEVES!R20),""))</f>
        <v/>
      </c>
      <c r="G45" s="47" t="str">
        <f>IF(P45="","",IFERROR(CHOOSE(VALUE(RIGHT(P45,1)),JUEVES!G20,JUEVES!J20,JUEVES!M20,JUEVES!P20,JUEVES!S20),""))</f>
        <v/>
      </c>
      <c r="H45" s="48" t="str">
        <f>IF(P45="","",IFERROR(CHOOSE(VALUE(RIGHT(P45,1)),JUEVES!H20,JUEVES!K20,JUEVES!N20,JUEVES!Q20,JUEVES!T20),""))</f>
        <v/>
      </c>
      <c r="I45" s="49" t="str">
        <f t="shared" si="0"/>
        <v/>
      </c>
      <c r="J45" s="50" t="str">
        <f>IF(P45="","",IFERROR(ROUND(CHOOSE(VALUE(RIGHT(P45,1)),IF(JUEVES!C20="peso_corporal",IF(ISNUMBER(JUEVES!E20),JUEVES!E20,0)+JUEVES!F20,JUEVES!F20)*JUEVES!G20,IF(JUEVES!C20="peso_corporal",IF(ISNUMBER(JUEVES!E20),JUEVES!E20,0)+JUEVES!I20,JUEVES!I20)*JUEVES!J20,IF(JUEVES!C20="peso_corporal",IF(ISNUMBER(JUEVES!E20),JUEVES!E20,0)+JUEVES!L20,JUEVES!L20)*JUEVES!M20,IF(JUEVES!C20="peso_corporal",IF(ISNUMBER(JUEVES!E20),JUEVES!E20,0)+JUEVES!O20,JUEVES!O20)*JUEVES!P20,IF(JUEVES!C20="peso_corporal",IF(ISNUMBER(JUEVES!E20),JUEVES!E20,0)+JUEVES!R20,JUEVES!R20)*JUEVES!S20),1),""))</f>
        <v/>
      </c>
      <c r="K45" s="51" t="str">
        <f>IF(P45="","",IFERROR(ROUND(CHOOSE(VALUE(RIGHT(P45,1)),(IF(JUEVES!C20="peso_corporal",IF(ISNUMBER(JUEVES!E20),JUEVES!E20,0)+JUEVES!F20,JUEVES!F20))*(1+JUEVES!G20/30),(IF(JUEVES!C20="peso_corporal",IF(ISNUMBER(JUEVES!E20),JUEVES!E20,0)+JUEVES!I20,JUEVES!I20))*(1+JUEVES!J20/30),(IF(JUEVES!C20="peso_corporal",IF(ISNUMBER(JUEVES!E20),JUEVES!E20,0)+JUEVES!L20,JUEVES!L20))*(1+JUEVES!M20/30),(IF(JUEVES!C20="peso_corporal",IF(ISNUMBER(JUEVES!E20),JUEVES!E20,0)+JUEVES!O20,JUEVES!O20))*(1+JUEVES!P20/30),(IF(JUEVES!C20="peso_corporal",IF(ISNUMBER(JUEVES!E20),JUEVES!E20,0)+JUEVES!R20,JUEVES!R20))*(1+JUEVES!S20/30)),1),""))</f>
        <v/>
      </c>
      <c r="L45" s="52">
        <f>IFERROR(JUEVES!E20,"")</f>
        <v>80</v>
      </c>
      <c r="M45" s="53" t="str">
        <f>IFERROR(IF(K45="","-",IF(ISNUMBER(LOOKUP(2,1/((HISTORIAL!$O$3:$O$44=O45)*(HISTORIAL!$F$3:$F$44&lt;&gt;"")),HISTORIAL!$K$3:$K$44)),IF(K45&gt;LOOKUP(2,1/((HISTORIAL!$O$3:$O$44=O45)*(HISTORIAL!$F$3:$F$44&lt;&gt;"")),HISTORIAL!$K$3:$K$44),"^",IF(K45&lt;LOOKUP(2,1/((HISTORIAL!$O$3:$O$44=O45)*(HISTORIAL!$F$3:$F$44&lt;&gt;"")),HISTORIAL!$K$3:$K$44),"v","-")),"-")),"-")</f>
        <v>-</v>
      </c>
      <c r="N45" s="54" t="str">
        <f>IFERROR(VLOOKUP(A45,CONFIG!$A$10:$B$21,2,0),"")</f>
        <v>HIP</v>
      </c>
      <c r="O45" s="55" t="str">
        <f t="shared" si="1"/>
        <v>Press Plano|Multipower</v>
      </c>
      <c r="P45" s="69" t="str">
        <f>JUEVES!AC20</f>
        <v/>
      </c>
    </row>
    <row r="46" spans="1:16" ht="14.1" customHeight="1">
      <c r="A46" s="37">
        <v>1</v>
      </c>
      <c r="B46" s="37" t="s">
        <v>280</v>
      </c>
      <c r="C46" s="44" t="str">
        <f>JUEVES!$A$22</f>
        <v>Press Inclinado</v>
      </c>
      <c r="D46" s="45" t="str">
        <f>JUEVES!$B$22</f>
        <v>Multipower</v>
      </c>
      <c r="E46" s="37" t="str">
        <f>JUEVES!$C$22</f>
        <v>disco</v>
      </c>
      <c r="F46" s="46" t="str">
        <f>IF(P46="","",IFERROR(CHOOSE(VALUE(RIGHT(P46,1)),JUEVES!F22,JUEVES!I22,JUEVES!L22,JUEVES!O22,JUEVES!R22),""))</f>
        <v/>
      </c>
      <c r="G46" s="47" t="str">
        <f>IF(P46="","",IFERROR(CHOOSE(VALUE(RIGHT(P46,1)),JUEVES!G22,JUEVES!J22,JUEVES!M22,JUEVES!P22,JUEVES!S22),""))</f>
        <v/>
      </c>
      <c r="H46" s="48" t="str">
        <f>IF(P46="","",IFERROR(CHOOSE(VALUE(RIGHT(P46,1)),JUEVES!H22,JUEVES!K22,JUEVES!N22,JUEVES!Q22,JUEVES!T22),""))</f>
        <v/>
      </c>
      <c r="I46" s="49" t="str">
        <f t="shared" si="0"/>
        <v/>
      </c>
      <c r="J46" s="50" t="str">
        <f>IF(P46="","",IFERROR(ROUND(CHOOSE(VALUE(RIGHT(P46,1)),IF(JUEVES!C22="peso_corporal",IF(ISNUMBER(JUEVES!E22),JUEVES!E22,0)+JUEVES!F22,JUEVES!F22)*JUEVES!G22,IF(JUEVES!C22="peso_corporal",IF(ISNUMBER(JUEVES!E22),JUEVES!E22,0)+JUEVES!I22,JUEVES!I22)*JUEVES!J22,IF(JUEVES!C22="peso_corporal",IF(ISNUMBER(JUEVES!E22),JUEVES!E22,0)+JUEVES!L22,JUEVES!L22)*JUEVES!M22,IF(JUEVES!C22="peso_corporal",IF(ISNUMBER(JUEVES!E22),JUEVES!E22,0)+JUEVES!O22,JUEVES!O22)*JUEVES!P22,IF(JUEVES!C22="peso_corporal",IF(ISNUMBER(JUEVES!E22),JUEVES!E22,0)+JUEVES!R22,JUEVES!R22)*JUEVES!S22),1),""))</f>
        <v/>
      </c>
      <c r="K46" s="51" t="str">
        <f>IF(P46="","",IFERROR(ROUND(CHOOSE(VALUE(RIGHT(P46,1)),(IF(JUEVES!C22="peso_corporal",IF(ISNUMBER(JUEVES!E22),JUEVES!E22,0)+JUEVES!F22,JUEVES!F22))*(1+JUEVES!G22/30),(IF(JUEVES!C22="peso_corporal",IF(ISNUMBER(JUEVES!E22),JUEVES!E22,0)+JUEVES!I22,JUEVES!I22))*(1+JUEVES!J22/30),(IF(JUEVES!C22="peso_corporal",IF(ISNUMBER(JUEVES!E22),JUEVES!E22,0)+JUEVES!L22,JUEVES!L22))*(1+JUEVES!M22/30),(IF(JUEVES!C22="peso_corporal",IF(ISNUMBER(JUEVES!E22),JUEVES!E22,0)+JUEVES!O22,JUEVES!O22))*(1+JUEVES!P22/30),(IF(JUEVES!C22="peso_corporal",IF(ISNUMBER(JUEVES!E22),JUEVES!E22,0)+JUEVES!R22,JUEVES!R22))*(1+JUEVES!S22/30)),1),""))</f>
        <v/>
      </c>
      <c r="L46" s="52">
        <f>IFERROR(JUEVES!E22,"")</f>
        <v>80</v>
      </c>
      <c r="M46" s="53" t="str">
        <f>IFERROR(IF(K46="","-",IF(ISNUMBER(LOOKUP(2,1/((HISTORIAL!$O$3:$O$45=O46)*(HISTORIAL!$F$3:$F$45&lt;&gt;"")),HISTORIAL!$K$3:$K$45)),IF(K46&gt;LOOKUP(2,1/((HISTORIAL!$O$3:$O$45=O46)*(HISTORIAL!$F$3:$F$45&lt;&gt;"")),HISTORIAL!$K$3:$K$45),"^",IF(K46&lt;LOOKUP(2,1/((HISTORIAL!$O$3:$O$45=O46)*(HISTORIAL!$F$3:$F$45&lt;&gt;"")),HISTORIAL!$K$3:$K$45),"v","-")),"-")),"-")</f>
        <v>-</v>
      </c>
      <c r="N46" s="54" t="str">
        <f>IFERROR(VLOOKUP(A46,CONFIG!$A$10:$B$21,2,0),"")</f>
        <v>HIP</v>
      </c>
      <c r="O46" s="55" t="str">
        <f t="shared" si="1"/>
        <v>Press Inclinado|Multipower</v>
      </c>
      <c r="P46" s="69" t="str">
        <f>JUEVES!AC22</f>
        <v/>
      </c>
    </row>
    <row r="47" spans="1:16" ht="14.1" customHeight="1">
      <c r="A47" s="37">
        <v>1</v>
      </c>
      <c r="B47" s="37" t="s">
        <v>280</v>
      </c>
      <c r="C47" s="44" t="str">
        <f>JUEVES!$A$24</f>
        <v>Aperturas</v>
      </c>
      <c r="D47" s="45" t="str">
        <f>JUEVES!$B$24</f>
        <v>Polea Baja Crossover</v>
      </c>
      <c r="E47" s="37" t="str">
        <f>JUEVES!$C$24</f>
        <v>--</v>
      </c>
      <c r="F47" s="46" t="str">
        <f>IF(P47="","",IFERROR(CHOOSE(VALUE(RIGHT(P47,1)),JUEVES!F24,JUEVES!I24,JUEVES!L24,JUEVES!O24,JUEVES!R24),""))</f>
        <v/>
      </c>
      <c r="G47" s="47" t="str">
        <f>IF(P47="","",IFERROR(CHOOSE(VALUE(RIGHT(P47,1)),JUEVES!G24,JUEVES!J24,JUEVES!M24,JUEVES!P24,JUEVES!S24),""))</f>
        <v/>
      </c>
      <c r="H47" s="48" t="str">
        <f>IF(P47="","",IFERROR(CHOOSE(VALUE(RIGHT(P47,1)),JUEVES!H24,JUEVES!K24,JUEVES!N24,JUEVES!Q24,JUEVES!T24),""))</f>
        <v/>
      </c>
      <c r="I47" s="49" t="str">
        <f t="shared" si="0"/>
        <v/>
      </c>
      <c r="J47" s="50" t="str">
        <f>IF(P47="","",IFERROR(ROUND(CHOOSE(VALUE(RIGHT(P47,1)),IF(JUEVES!C24="peso_corporal",IF(ISNUMBER(JUEVES!E24),JUEVES!E24,0)+JUEVES!F24,JUEVES!F24)*JUEVES!G24,IF(JUEVES!C24="peso_corporal",IF(ISNUMBER(JUEVES!E24),JUEVES!E24,0)+JUEVES!I24,JUEVES!I24)*JUEVES!J24,IF(JUEVES!C24="peso_corporal",IF(ISNUMBER(JUEVES!E24),JUEVES!E24,0)+JUEVES!L24,JUEVES!L24)*JUEVES!M24,IF(JUEVES!C24="peso_corporal",IF(ISNUMBER(JUEVES!E24),JUEVES!E24,0)+JUEVES!O24,JUEVES!O24)*JUEVES!P24,IF(JUEVES!C24="peso_corporal",IF(ISNUMBER(JUEVES!E24),JUEVES!E24,0)+JUEVES!R24,JUEVES!R24)*JUEVES!S24),1),""))</f>
        <v/>
      </c>
      <c r="K47" s="51" t="str">
        <f>IF(P47="","",IFERROR(ROUND(CHOOSE(VALUE(RIGHT(P47,1)),(IF(JUEVES!C24="peso_corporal",IF(ISNUMBER(JUEVES!E24),JUEVES!E24,0)+JUEVES!F24,JUEVES!F24))*(1+JUEVES!G24/30),(IF(JUEVES!C24="peso_corporal",IF(ISNUMBER(JUEVES!E24),JUEVES!E24,0)+JUEVES!I24,JUEVES!I24))*(1+JUEVES!J24/30),(IF(JUEVES!C24="peso_corporal",IF(ISNUMBER(JUEVES!E24),JUEVES!E24,0)+JUEVES!L24,JUEVES!L24))*(1+JUEVES!M24/30),(IF(JUEVES!C24="peso_corporal",IF(ISNUMBER(JUEVES!E24),JUEVES!E24,0)+JUEVES!O24,JUEVES!O24))*(1+JUEVES!P24/30),(IF(JUEVES!C24="peso_corporal",IF(ISNUMBER(JUEVES!E24),JUEVES!E24,0)+JUEVES!R24,JUEVES!R24))*(1+JUEVES!S24/30)),1),""))</f>
        <v/>
      </c>
      <c r="L47" s="52">
        <f>IFERROR(JUEVES!E24,"")</f>
        <v>80</v>
      </c>
      <c r="M47" s="53" t="str">
        <f>IFERROR(IF(K47="","-",IF(ISNUMBER(LOOKUP(2,1/((HISTORIAL!$O$3:$O$46=O47)*(HISTORIAL!$F$3:$F$46&lt;&gt;"")),HISTORIAL!$K$3:$K$46)),IF(K47&gt;LOOKUP(2,1/((HISTORIAL!$O$3:$O$46=O47)*(HISTORIAL!$F$3:$F$46&lt;&gt;"")),HISTORIAL!$K$3:$K$46),"^",IF(K47&lt;LOOKUP(2,1/((HISTORIAL!$O$3:$O$46=O47)*(HISTORIAL!$F$3:$F$46&lt;&gt;"")),HISTORIAL!$K$3:$K$46),"v","-")),"-")),"-")</f>
        <v>-</v>
      </c>
      <c r="N47" s="54" t="str">
        <f>IFERROR(VLOOKUP(A47,CONFIG!$A$10:$B$21,2,0),"")</f>
        <v>HIP</v>
      </c>
      <c r="O47" s="55" t="str">
        <f t="shared" si="1"/>
        <v>Aperturas|Polea Baja Crossover</v>
      </c>
      <c r="P47" s="69" t="str">
        <f>JUEVES!AC24</f>
        <v/>
      </c>
    </row>
    <row r="48" spans="1:16" ht="14.1" customHeight="1">
      <c r="A48" s="37">
        <v>1</v>
      </c>
      <c r="B48" s="37" t="s">
        <v>280</v>
      </c>
      <c r="C48" s="44" t="str">
        <f>JUEVES!$A$26</f>
        <v>Extension Triceps</v>
      </c>
      <c r="D48" s="45" t="str">
        <f>JUEVES!$B$26</f>
        <v>Polea Alta Cuerda</v>
      </c>
      <c r="E48" s="37" t="str">
        <f>JUEVES!$C$26</f>
        <v>--</v>
      </c>
      <c r="F48" s="46" t="str">
        <f>IF(P48="","",IFERROR(CHOOSE(VALUE(RIGHT(P48,1)),JUEVES!F26,JUEVES!I26,JUEVES!L26,JUEVES!O26,JUEVES!R26),""))</f>
        <v/>
      </c>
      <c r="G48" s="47" t="str">
        <f>IF(P48="","",IFERROR(CHOOSE(VALUE(RIGHT(P48,1)),JUEVES!G26,JUEVES!J26,JUEVES!M26,JUEVES!P26,JUEVES!S26),""))</f>
        <v/>
      </c>
      <c r="H48" s="48" t="str">
        <f>IF(P48="","",IFERROR(CHOOSE(VALUE(RIGHT(P48,1)),JUEVES!H26,JUEVES!K26,JUEVES!N26,JUEVES!Q26,JUEVES!T26),""))</f>
        <v/>
      </c>
      <c r="I48" s="49" t="str">
        <f t="shared" si="0"/>
        <v/>
      </c>
      <c r="J48" s="50" t="str">
        <f>IF(P48="","",IFERROR(ROUND(CHOOSE(VALUE(RIGHT(P48,1)),IF(JUEVES!C26="peso_corporal",IF(ISNUMBER(JUEVES!E26),JUEVES!E26,0)+JUEVES!F26,JUEVES!F26)*JUEVES!G26,IF(JUEVES!C26="peso_corporal",IF(ISNUMBER(JUEVES!E26),JUEVES!E26,0)+JUEVES!I26,JUEVES!I26)*JUEVES!J26,IF(JUEVES!C26="peso_corporal",IF(ISNUMBER(JUEVES!E26),JUEVES!E26,0)+JUEVES!L26,JUEVES!L26)*JUEVES!M26,IF(JUEVES!C26="peso_corporal",IF(ISNUMBER(JUEVES!E26),JUEVES!E26,0)+JUEVES!O26,JUEVES!O26)*JUEVES!P26,IF(JUEVES!C26="peso_corporal",IF(ISNUMBER(JUEVES!E26),JUEVES!E26,0)+JUEVES!R26,JUEVES!R26)*JUEVES!S26),1),""))</f>
        <v/>
      </c>
      <c r="K48" s="51" t="str">
        <f>IF(P48="","",IFERROR(ROUND(CHOOSE(VALUE(RIGHT(P48,1)),(IF(JUEVES!C26="peso_corporal",IF(ISNUMBER(JUEVES!E26),JUEVES!E26,0)+JUEVES!F26,JUEVES!F26))*(1+JUEVES!G26/30),(IF(JUEVES!C26="peso_corporal",IF(ISNUMBER(JUEVES!E26),JUEVES!E26,0)+JUEVES!I26,JUEVES!I26))*(1+JUEVES!J26/30),(IF(JUEVES!C26="peso_corporal",IF(ISNUMBER(JUEVES!E26),JUEVES!E26,0)+JUEVES!L26,JUEVES!L26))*(1+JUEVES!M26/30),(IF(JUEVES!C26="peso_corporal",IF(ISNUMBER(JUEVES!E26),JUEVES!E26,0)+JUEVES!O26,JUEVES!O26))*(1+JUEVES!P26/30),(IF(JUEVES!C26="peso_corporal",IF(ISNUMBER(JUEVES!E26),JUEVES!E26,0)+JUEVES!R26,JUEVES!R26))*(1+JUEVES!S26/30)),1),""))</f>
        <v/>
      </c>
      <c r="L48" s="52">
        <f>IFERROR(JUEVES!E26,"")</f>
        <v>80</v>
      </c>
      <c r="M48" s="53" t="str">
        <f>IFERROR(IF(K48="","-",IF(ISNUMBER(LOOKUP(2,1/((HISTORIAL!$O$3:$O$47=O48)*(HISTORIAL!$F$3:$F$47&lt;&gt;"")),HISTORIAL!$K$3:$K$47)),IF(K48&gt;LOOKUP(2,1/((HISTORIAL!$O$3:$O$47=O48)*(HISTORIAL!$F$3:$F$47&lt;&gt;"")),HISTORIAL!$K$3:$K$47),"^",IF(K48&lt;LOOKUP(2,1/((HISTORIAL!$O$3:$O$47=O48)*(HISTORIAL!$F$3:$F$47&lt;&gt;"")),HISTORIAL!$K$3:$K$47),"v","-")),"-")),"-")</f>
        <v>-</v>
      </c>
      <c r="N48" s="54" t="str">
        <f>IFERROR(VLOOKUP(A48,CONFIG!$A$10:$B$21,2,0),"")</f>
        <v>HIP</v>
      </c>
      <c r="O48" s="55" t="str">
        <f t="shared" si="1"/>
        <v>Extension Triceps|Polea Alta Cuerda</v>
      </c>
      <c r="P48" s="69" t="str">
        <f>JUEVES!AC26</f>
        <v/>
      </c>
    </row>
    <row r="49" spans="1:16" ht="14.1" customHeight="1">
      <c r="A49" s="37">
        <v>1</v>
      </c>
      <c r="B49" s="37" t="s">
        <v>280</v>
      </c>
      <c r="C49" s="44" t="str">
        <f>JUEVES!$A$27</f>
        <v>Extension Triceps</v>
      </c>
      <c r="D49" s="45" t="str">
        <f>JUEVES!$B$27</f>
        <v>Press Neutro Polea Individual</v>
      </c>
      <c r="E49" s="37" t="str">
        <f>JUEVES!$C$27</f>
        <v>--</v>
      </c>
      <c r="F49" s="46" t="str">
        <f>IF(P49="","",IFERROR(CHOOSE(VALUE(RIGHT(P49,1)),JUEVES!F27,JUEVES!I27,JUEVES!L27,JUEVES!O27,JUEVES!R27),""))</f>
        <v/>
      </c>
      <c r="G49" s="47" t="str">
        <f>IF(P49="","",IFERROR(CHOOSE(VALUE(RIGHT(P49,1)),JUEVES!G27,JUEVES!J27,JUEVES!M27,JUEVES!P27,JUEVES!S27),""))</f>
        <v/>
      </c>
      <c r="H49" s="48" t="str">
        <f>IF(P49="","",IFERROR(CHOOSE(VALUE(RIGHT(P49,1)),JUEVES!H27,JUEVES!K27,JUEVES!N27,JUEVES!Q27,JUEVES!T27),""))</f>
        <v/>
      </c>
      <c r="I49" s="49" t="str">
        <f t="shared" si="0"/>
        <v/>
      </c>
      <c r="J49" s="50" t="str">
        <f>IF(P49="","",IFERROR(ROUND(CHOOSE(VALUE(RIGHT(P49,1)),IF(JUEVES!C27="peso_corporal",IF(ISNUMBER(JUEVES!E27),JUEVES!E27,0)+JUEVES!F27,JUEVES!F27)*JUEVES!G27,IF(JUEVES!C27="peso_corporal",IF(ISNUMBER(JUEVES!E27),JUEVES!E27,0)+JUEVES!I27,JUEVES!I27)*JUEVES!J27,IF(JUEVES!C27="peso_corporal",IF(ISNUMBER(JUEVES!E27),JUEVES!E27,0)+JUEVES!L27,JUEVES!L27)*JUEVES!M27,IF(JUEVES!C27="peso_corporal",IF(ISNUMBER(JUEVES!E27),JUEVES!E27,0)+JUEVES!O27,JUEVES!O27)*JUEVES!P27,IF(JUEVES!C27="peso_corporal",IF(ISNUMBER(JUEVES!E27),JUEVES!E27,0)+JUEVES!R27,JUEVES!R27)*JUEVES!S27),1),""))</f>
        <v/>
      </c>
      <c r="K49" s="51" t="str">
        <f>IF(P49="","",IFERROR(ROUND(CHOOSE(VALUE(RIGHT(P49,1)),(IF(JUEVES!C27="peso_corporal",IF(ISNUMBER(JUEVES!E27),JUEVES!E27,0)+JUEVES!F27,JUEVES!F27))*(1+JUEVES!G27/30),(IF(JUEVES!C27="peso_corporal",IF(ISNUMBER(JUEVES!E27),JUEVES!E27,0)+JUEVES!I27,JUEVES!I27))*(1+JUEVES!J27/30),(IF(JUEVES!C27="peso_corporal",IF(ISNUMBER(JUEVES!E27),JUEVES!E27,0)+JUEVES!L27,JUEVES!L27))*(1+JUEVES!M27/30),(IF(JUEVES!C27="peso_corporal",IF(ISNUMBER(JUEVES!E27),JUEVES!E27,0)+JUEVES!O27,JUEVES!O27))*(1+JUEVES!P27/30),(IF(JUEVES!C27="peso_corporal",IF(ISNUMBER(JUEVES!E27),JUEVES!E27,0)+JUEVES!R27,JUEVES!R27))*(1+JUEVES!S27/30)),1),""))</f>
        <v/>
      </c>
      <c r="L49" s="52">
        <f>IFERROR(JUEVES!E27,"")</f>
        <v>80</v>
      </c>
      <c r="M49" s="53" t="str">
        <f>IFERROR(IF(K49="","-",IF(ISNUMBER(LOOKUP(2,1/((HISTORIAL!$O$3:$O$48=O49)*(HISTORIAL!$F$3:$F$48&lt;&gt;"")),HISTORIAL!$K$3:$K$48)),IF(K49&gt;LOOKUP(2,1/((HISTORIAL!$O$3:$O$48=O49)*(HISTORIAL!$F$3:$F$48&lt;&gt;"")),HISTORIAL!$K$3:$K$48),"^",IF(K49&lt;LOOKUP(2,1/((HISTORIAL!$O$3:$O$48=O49)*(HISTORIAL!$F$3:$F$48&lt;&gt;"")),HISTORIAL!$K$3:$K$48),"v","-")),"-")),"-")</f>
        <v>-</v>
      </c>
      <c r="N49" s="54" t="str">
        <f>IFERROR(VLOOKUP(A49,CONFIG!$A$10:$B$21,2,0),"")</f>
        <v>HIP</v>
      </c>
      <c r="O49" s="55" t="str">
        <f t="shared" si="1"/>
        <v>Extension Triceps|Press Neutro Polea Individual</v>
      </c>
      <c r="P49" s="69" t="str">
        <f>JUEVES!AC27</f>
        <v/>
      </c>
    </row>
    <row r="50" spans="1:16" ht="14.1" customHeight="1">
      <c r="A50" s="37">
        <v>1</v>
      </c>
      <c r="B50" s="37" t="s">
        <v>280</v>
      </c>
      <c r="C50" s="44" t="str">
        <f>JUEVES!$A$29</f>
        <v>Extension Cuadriceps</v>
      </c>
      <c r="D50" s="45" t="str">
        <f>JUEVES!$B$29</f>
        <v>Vasto Interno</v>
      </c>
      <c r="E50" s="37" t="str">
        <f>JUEVES!$C$29</f>
        <v>--</v>
      </c>
      <c r="F50" s="46" t="str">
        <f>IF(P50="","",IFERROR(CHOOSE(VALUE(RIGHT(P50,1)),JUEVES!F29,JUEVES!I29,JUEVES!L29,JUEVES!O29,JUEVES!R29),""))</f>
        <v/>
      </c>
      <c r="G50" s="47" t="str">
        <f>IF(P50="","",IFERROR(CHOOSE(VALUE(RIGHT(P50,1)),JUEVES!G29,JUEVES!J29,JUEVES!M29,JUEVES!P29,JUEVES!S29),""))</f>
        <v/>
      </c>
      <c r="H50" s="48" t="str">
        <f>IF(P50="","",IFERROR(CHOOSE(VALUE(RIGHT(P50,1)),JUEVES!H29,JUEVES!K29,JUEVES!N29,JUEVES!Q29,JUEVES!T29),""))</f>
        <v/>
      </c>
      <c r="I50" s="49" t="str">
        <f t="shared" si="0"/>
        <v/>
      </c>
      <c r="J50" s="50" t="str">
        <f>IF(P50="","",IFERROR(ROUND(CHOOSE(VALUE(RIGHT(P50,1)),IF(JUEVES!C29="peso_corporal",IF(ISNUMBER(JUEVES!E29),JUEVES!E29,0)+JUEVES!F29,JUEVES!F29)*JUEVES!G29,IF(JUEVES!C29="peso_corporal",IF(ISNUMBER(JUEVES!E29),JUEVES!E29,0)+JUEVES!I29,JUEVES!I29)*JUEVES!J29,IF(JUEVES!C29="peso_corporal",IF(ISNUMBER(JUEVES!E29),JUEVES!E29,0)+JUEVES!L29,JUEVES!L29)*JUEVES!M29,IF(JUEVES!C29="peso_corporal",IF(ISNUMBER(JUEVES!E29),JUEVES!E29,0)+JUEVES!O29,JUEVES!O29)*JUEVES!P29,IF(JUEVES!C29="peso_corporal",IF(ISNUMBER(JUEVES!E29),JUEVES!E29,0)+JUEVES!R29,JUEVES!R29)*JUEVES!S29),1),""))</f>
        <v/>
      </c>
      <c r="K50" s="51" t="str">
        <f>IF(P50="","",IFERROR(ROUND(CHOOSE(VALUE(RIGHT(P50,1)),(IF(JUEVES!C29="peso_corporal",IF(ISNUMBER(JUEVES!E29),JUEVES!E29,0)+JUEVES!F29,JUEVES!F29))*(1+JUEVES!G29/30),(IF(JUEVES!C29="peso_corporal",IF(ISNUMBER(JUEVES!E29),JUEVES!E29,0)+JUEVES!I29,JUEVES!I29))*(1+JUEVES!J29/30),(IF(JUEVES!C29="peso_corporal",IF(ISNUMBER(JUEVES!E29),JUEVES!E29,0)+JUEVES!L29,JUEVES!L29))*(1+JUEVES!M29/30),(IF(JUEVES!C29="peso_corporal",IF(ISNUMBER(JUEVES!E29),JUEVES!E29,0)+JUEVES!O29,JUEVES!O29))*(1+JUEVES!P29/30),(IF(JUEVES!C29="peso_corporal",IF(ISNUMBER(JUEVES!E29),JUEVES!E29,0)+JUEVES!R29,JUEVES!R29))*(1+JUEVES!S29/30)),1),""))</f>
        <v/>
      </c>
      <c r="L50" s="52">
        <f>IFERROR(JUEVES!E29,"")</f>
        <v>80</v>
      </c>
      <c r="M50" s="53" t="str">
        <f>IFERROR(IF(K50="","-",IF(ISNUMBER(LOOKUP(2,1/((HISTORIAL!$O$3:$O$49=O50)*(HISTORIAL!$F$3:$F$49&lt;&gt;"")),HISTORIAL!$K$3:$K$49)),IF(K50&gt;LOOKUP(2,1/((HISTORIAL!$O$3:$O$49=O50)*(HISTORIAL!$F$3:$F$49&lt;&gt;"")),HISTORIAL!$K$3:$K$49),"^",IF(K50&lt;LOOKUP(2,1/((HISTORIAL!$O$3:$O$49=O50)*(HISTORIAL!$F$3:$F$49&lt;&gt;"")),HISTORIAL!$K$3:$K$49),"v","-")),"-")),"-")</f>
        <v>-</v>
      </c>
      <c r="N50" s="54" t="str">
        <f>IFERROR(VLOOKUP(A50,CONFIG!$A$10:$B$21,2,0),"")</f>
        <v>HIP</v>
      </c>
      <c r="O50" s="55" t="str">
        <f t="shared" si="1"/>
        <v>Extension Cuadriceps|Vasto Interno</v>
      </c>
      <c r="P50" s="69" t="str">
        <f>JUEVES!AC29</f>
        <v/>
      </c>
    </row>
    <row r="51" spans="1:16" ht="14.1" customHeight="1">
      <c r="A51" s="37">
        <v>1</v>
      </c>
      <c r="B51" s="37" t="s">
        <v>280</v>
      </c>
      <c r="C51" s="44" t="str">
        <f>JUEVES!$A$31</f>
        <v>Curl Biceps</v>
      </c>
      <c r="D51" s="45" t="str">
        <f>JUEVES!$B$31</f>
        <v>Concentrado Maquina</v>
      </c>
      <c r="E51" s="37" t="str">
        <f>JUEVES!$C$31</f>
        <v>polea</v>
      </c>
      <c r="F51" s="46" t="str">
        <f>IF(P51="","",IFERROR(CHOOSE(VALUE(RIGHT(P51,1)),JUEVES!F31,JUEVES!I31,JUEVES!L31,JUEVES!O31,JUEVES!R31),""))</f>
        <v/>
      </c>
      <c r="G51" s="47" t="str">
        <f>IF(P51="","",IFERROR(CHOOSE(VALUE(RIGHT(P51,1)),JUEVES!G31,JUEVES!J31,JUEVES!M31,JUEVES!P31,JUEVES!S31),""))</f>
        <v/>
      </c>
      <c r="H51" s="48" t="str">
        <f>IF(P51="","",IFERROR(CHOOSE(VALUE(RIGHT(P51,1)),JUEVES!H31,JUEVES!K31,JUEVES!N31,JUEVES!Q31,JUEVES!T31),""))</f>
        <v/>
      </c>
      <c r="I51" s="49" t="str">
        <f t="shared" si="0"/>
        <v/>
      </c>
      <c r="J51" s="50" t="str">
        <f>IF(P51="","",IFERROR(ROUND(CHOOSE(VALUE(RIGHT(P51,1)),IF(JUEVES!C31="peso_corporal",IF(ISNUMBER(JUEVES!E31),JUEVES!E31,0)+JUEVES!F31,JUEVES!F31)*JUEVES!G31,IF(JUEVES!C31="peso_corporal",IF(ISNUMBER(JUEVES!E31),JUEVES!E31,0)+JUEVES!I31,JUEVES!I31)*JUEVES!J31,IF(JUEVES!C31="peso_corporal",IF(ISNUMBER(JUEVES!E31),JUEVES!E31,0)+JUEVES!L31,JUEVES!L31)*JUEVES!M31,IF(JUEVES!C31="peso_corporal",IF(ISNUMBER(JUEVES!E31),JUEVES!E31,0)+JUEVES!O31,JUEVES!O31)*JUEVES!P31,IF(JUEVES!C31="peso_corporal",IF(ISNUMBER(JUEVES!E31),JUEVES!E31,0)+JUEVES!R31,JUEVES!R31)*JUEVES!S31),1),""))</f>
        <v/>
      </c>
      <c r="K51" s="51" t="str">
        <f>IF(P51="","",IFERROR(ROUND(CHOOSE(VALUE(RIGHT(P51,1)),(IF(JUEVES!C31="peso_corporal",IF(ISNUMBER(JUEVES!E31),JUEVES!E31,0)+JUEVES!F31,JUEVES!F31))*(1+JUEVES!G31/30),(IF(JUEVES!C31="peso_corporal",IF(ISNUMBER(JUEVES!E31),JUEVES!E31,0)+JUEVES!I31,JUEVES!I31))*(1+JUEVES!J31/30),(IF(JUEVES!C31="peso_corporal",IF(ISNUMBER(JUEVES!E31),JUEVES!E31,0)+JUEVES!L31,JUEVES!L31))*(1+JUEVES!M31/30),(IF(JUEVES!C31="peso_corporal",IF(ISNUMBER(JUEVES!E31),JUEVES!E31,0)+JUEVES!O31,JUEVES!O31))*(1+JUEVES!P31/30),(IF(JUEVES!C31="peso_corporal",IF(ISNUMBER(JUEVES!E31),JUEVES!E31,0)+JUEVES!R31,JUEVES!R31))*(1+JUEVES!S31/30)),1),""))</f>
        <v/>
      </c>
      <c r="L51" s="52">
        <f>IFERROR(JUEVES!E31,"")</f>
        <v>80</v>
      </c>
      <c r="M51" s="53" t="str">
        <f>IFERROR(IF(K51="","-",IF(ISNUMBER(LOOKUP(2,1/((HISTORIAL!$O$3:$O$50=O51)*(HISTORIAL!$F$3:$F$50&lt;&gt;"")),HISTORIAL!$K$3:$K$50)),IF(K51&gt;LOOKUP(2,1/((HISTORIAL!$O$3:$O$50=O51)*(HISTORIAL!$F$3:$F$50&lt;&gt;"")),HISTORIAL!$K$3:$K$50),"^",IF(K51&lt;LOOKUP(2,1/((HISTORIAL!$O$3:$O$50=O51)*(HISTORIAL!$F$3:$F$50&lt;&gt;"")),HISTORIAL!$K$3:$K$50),"v","-")),"-")),"-")</f>
        <v>-</v>
      </c>
      <c r="N51" s="54" t="str">
        <f>IFERROR(VLOOKUP(A51,CONFIG!$A$10:$B$21,2,0),"")</f>
        <v>HIP</v>
      </c>
      <c r="O51" s="55" t="str">
        <f t="shared" si="1"/>
        <v>Curl Biceps|Concentrado Maquina</v>
      </c>
      <c r="P51" s="69" t="str">
        <f>JUEVES!AC31</f>
        <v/>
      </c>
    </row>
    <row r="52" spans="1:16" ht="14.1" customHeight="1">
      <c r="A52" s="37">
        <v>1</v>
      </c>
      <c r="B52" s="37" t="s">
        <v>280</v>
      </c>
      <c r="C52" s="44" t="str">
        <f>JUEVES!$A$33</f>
        <v>Crunch</v>
      </c>
      <c r="D52" s="45" t="str">
        <f>JUEVES!$B$33</f>
        <v>Polea</v>
      </c>
      <c r="E52" s="37" t="str">
        <f>JUEVES!$C$33</f>
        <v>polea</v>
      </c>
      <c r="F52" s="46" t="str">
        <f>IF(P52="","",IFERROR(CHOOSE(VALUE(RIGHT(P52,1)),JUEVES!F33,JUEVES!I33,JUEVES!L33,JUEVES!O33,JUEVES!R33),""))</f>
        <v/>
      </c>
      <c r="G52" s="47" t="str">
        <f>IF(P52="","",IFERROR(CHOOSE(VALUE(RIGHT(P52,1)),JUEVES!G33,JUEVES!J33,JUEVES!M33,JUEVES!P33,JUEVES!S33),""))</f>
        <v/>
      </c>
      <c r="H52" s="48" t="str">
        <f>IF(P52="","",IFERROR(CHOOSE(VALUE(RIGHT(P52,1)),JUEVES!H33,JUEVES!K33,JUEVES!N33,JUEVES!Q33,JUEVES!T33),""))</f>
        <v/>
      </c>
      <c r="I52" s="49" t="str">
        <f t="shared" si="0"/>
        <v/>
      </c>
      <c r="J52" s="50" t="str">
        <f>IF(P52="","",IFERROR(ROUND(CHOOSE(VALUE(RIGHT(P52,1)),IF(JUEVES!C33="peso_corporal",IF(ISNUMBER(JUEVES!E33),JUEVES!E33,0)+JUEVES!F33,JUEVES!F33)*JUEVES!G33,IF(JUEVES!C33="peso_corporal",IF(ISNUMBER(JUEVES!E33),JUEVES!E33,0)+JUEVES!I33,JUEVES!I33)*JUEVES!J33,IF(JUEVES!C33="peso_corporal",IF(ISNUMBER(JUEVES!E33),JUEVES!E33,0)+JUEVES!L33,JUEVES!L33)*JUEVES!M33,IF(JUEVES!C33="peso_corporal",IF(ISNUMBER(JUEVES!E33),JUEVES!E33,0)+JUEVES!O33,JUEVES!O33)*JUEVES!P33,IF(JUEVES!C33="peso_corporal",IF(ISNUMBER(JUEVES!E33),JUEVES!E33,0)+JUEVES!R33,JUEVES!R33)*JUEVES!S33),1),""))</f>
        <v/>
      </c>
      <c r="K52" s="51" t="str">
        <f>IF(P52="","",IFERROR(ROUND(CHOOSE(VALUE(RIGHT(P52,1)),(IF(JUEVES!C33="peso_corporal",IF(ISNUMBER(JUEVES!E33),JUEVES!E33,0)+JUEVES!F33,JUEVES!F33))*(1+JUEVES!G33/30),(IF(JUEVES!C33="peso_corporal",IF(ISNUMBER(JUEVES!E33),JUEVES!E33,0)+JUEVES!I33,JUEVES!I33))*(1+JUEVES!J33/30),(IF(JUEVES!C33="peso_corporal",IF(ISNUMBER(JUEVES!E33),JUEVES!E33,0)+JUEVES!L33,JUEVES!L33))*(1+JUEVES!M33/30),(IF(JUEVES!C33="peso_corporal",IF(ISNUMBER(JUEVES!E33),JUEVES!E33,0)+JUEVES!O33,JUEVES!O33))*(1+JUEVES!P33/30),(IF(JUEVES!C33="peso_corporal",IF(ISNUMBER(JUEVES!E33),JUEVES!E33,0)+JUEVES!R33,JUEVES!R33))*(1+JUEVES!S33/30)),1),""))</f>
        <v/>
      </c>
      <c r="L52" s="52">
        <f>IFERROR(JUEVES!E33,"")</f>
        <v>80</v>
      </c>
      <c r="M52" s="53" t="str">
        <f>IFERROR(IF(K52="","-",IF(ISNUMBER(LOOKUP(2,1/((HISTORIAL!$O$3:$O$51=O52)*(HISTORIAL!$F$3:$F$51&lt;&gt;"")),HISTORIAL!$K$3:$K$51)),IF(K52&gt;LOOKUP(2,1/((HISTORIAL!$O$3:$O$51=O52)*(HISTORIAL!$F$3:$F$51&lt;&gt;"")),HISTORIAL!$K$3:$K$51),"^",IF(K52&lt;LOOKUP(2,1/((HISTORIAL!$O$3:$O$51=O52)*(HISTORIAL!$F$3:$F$51&lt;&gt;"")),HISTORIAL!$K$3:$K$51),"v","-")),"-")),"-")</f>
        <v>-</v>
      </c>
      <c r="N52" s="54" t="str">
        <f>IFERROR(VLOOKUP(A52,CONFIG!$A$10:$B$21,2,0),"")</f>
        <v>HIP</v>
      </c>
      <c r="O52" s="55" t="str">
        <f t="shared" si="1"/>
        <v>Crunch|Polea</v>
      </c>
      <c r="P52" s="69" t="str">
        <f>JUEVES!AC33</f>
        <v/>
      </c>
    </row>
    <row r="53" spans="1:16" ht="14.1" customHeight="1">
      <c r="A53" s="37">
        <v>1</v>
      </c>
      <c r="B53" s="37" t="s">
        <v>281</v>
      </c>
      <c r="C53" s="44" t="str">
        <f>SABADO!$A$13</f>
        <v>Pulldown</v>
      </c>
      <c r="D53" s="45" t="str">
        <f>SABADO!$B$13</f>
        <v>Polea Alta Brazos Rectos Prono</v>
      </c>
      <c r="E53" s="37" t="str">
        <f>SABADO!$C$13</f>
        <v>polea</v>
      </c>
      <c r="F53" s="46" t="str">
        <f>IF(P53="","",IFERROR(CHOOSE(VALUE(RIGHT(P53,1)),SABADO!F13,SABADO!I13,SABADO!L13,SABADO!O13,SABADO!R13),""))</f>
        <v/>
      </c>
      <c r="G53" s="47" t="str">
        <f>IF(P53="","",IFERROR(CHOOSE(VALUE(RIGHT(P53,1)),SABADO!G13,SABADO!J13,SABADO!M13,SABADO!P13,SABADO!S13),""))</f>
        <v/>
      </c>
      <c r="H53" s="48" t="str">
        <f>IF(P53="","",IFERROR(CHOOSE(VALUE(RIGHT(P53,1)),SABADO!H13,SABADO!K13,SABADO!N13,SABADO!Q13,SABADO!T13),""))</f>
        <v/>
      </c>
      <c r="I53" s="49" t="str">
        <f t="shared" si="0"/>
        <v/>
      </c>
      <c r="J53" s="50" t="str">
        <f>IF(P53="","",IFERROR(ROUND(CHOOSE(VALUE(RIGHT(P53,1)),IF(SABADO!C13="peso_corporal",IF(ISNUMBER(SABADO!E13),SABADO!E13,0)+SABADO!F13,SABADO!F13)*SABADO!G13,IF(SABADO!C13="peso_corporal",IF(ISNUMBER(SABADO!E13),SABADO!E13,0)+SABADO!I13,SABADO!I13)*SABADO!J13,IF(SABADO!C13="peso_corporal",IF(ISNUMBER(SABADO!E13),SABADO!E13,0)+SABADO!L13,SABADO!L13)*SABADO!M13,IF(SABADO!C13="peso_corporal",IF(ISNUMBER(SABADO!E13),SABADO!E13,0)+SABADO!O13,SABADO!O13)*SABADO!P13,IF(SABADO!C13="peso_corporal",IF(ISNUMBER(SABADO!E13),SABADO!E13,0)+SABADO!R13,SABADO!R13)*SABADO!S13),1),""))</f>
        <v/>
      </c>
      <c r="K53" s="51" t="str">
        <f>IF(P53="","",IFERROR(ROUND(CHOOSE(VALUE(RIGHT(P53,1)),(IF(SABADO!C13="peso_corporal",IF(ISNUMBER(SABADO!E13),SABADO!E13,0)+SABADO!F13,SABADO!F13))*(1+SABADO!G13/30),(IF(SABADO!C13="peso_corporal",IF(ISNUMBER(SABADO!E13),SABADO!E13,0)+SABADO!I13,SABADO!I13))*(1+SABADO!J13/30),(IF(SABADO!C13="peso_corporal",IF(ISNUMBER(SABADO!E13),SABADO!E13,0)+SABADO!L13,SABADO!L13))*(1+SABADO!M13/30),(IF(SABADO!C13="peso_corporal",IF(ISNUMBER(SABADO!E13),SABADO!E13,0)+SABADO!O13,SABADO!O13))*(1+SABADO!P13/30),(IF(SABADO!C13="peso_corporal",IF(ISNUMBER(SABADO!E13),SABADO!E13,0)+SABADO!R13,SABADO!R13))*(1+SABADO!S13/30)),1),""))</f>
        <v/>
      </c>
      <c r="L53" s="52">
        <f>IFERROR(SABADO!E13,"")</f>
        <v>80</v>
      </c>
      <c r="M53" s="53" t="str">
        <f>IFERROR(IF(K53="","-",IF(ISNUMBER(LOOKUP(2,1/((HISTORIAL!$O$3:$O$52=O53)*(HISTORIAL!$F$3:$F$52&lt;&gt;"")),HISTORIAL!$K$3:$K$52)),IF(K53&gt;LOOKUP(2,1/((HISTORIAL!$O$3:$O$52=O53)*(HISTORIAL!$F$3:$F$52&lt;&gt;"")),HISTORIAL!$K$3:$K$52),"^",IF(K53&lt;LOOKUP(2,1/((HISTORIAL!$O$3:$O$52=O53)*(HISTORIAL!$F$3:$F$52&lt;&gt;"")),HISTORIAL!$K$3:$K$52),"v","-")),"-")),"-")</f>
        <v>-</v>
      </c>
      <c r="N53" s="54" t="str">
        <f>IFERROR(VLOOKUP(A53,CONFIG!$A$10:$B$21,2,0),"")</f>
        <v>HIP</v>
      </c>
      <c r="O53" s="55" t="str">
        <f t="shared" si="1"/>
        <v>Pulldown|Polea Alta Brazos Rectos Prono</v>
      </c>
      <c r="P53" s="69" t="str">
        <f>SABADO!AC13</f>
        <v/>
      </c>
    </row>
    <row r="54" spans="1:16" ht="14.1" customHeight="1">
      <c r="A54" s="37">
        <v>1</v>
      </c>
      <c r="B54" s="37" t="s">
        <v>281</v>
      </c>
      <c r="C54" s="44" t="str">
        <f>SABADO!$A$15</f>
        <v>Remo</v>
      </c>
      <c r="D54" s="45" t="str">
        <f>SABADO!$B$15</f>
        <v>Maquina Neutro Estrecho</v>
      </c>
      <c r="E54" s="37" t="str">
        <f>SABADO!$C$15</f>
        <v>polea</v>
      </c>
      <c r="F54" s="46" t="str">
        <f>IF(P54="","",IFERROR(CHOOSE(VALUE(RIGHT(P54,1)),SABADO!F15,SABADO!I15,SABADO!L15,SABADO!O15,SABADO!R15),""))</f>
        <v/>
      </c>
      <c r="G54" s="47" t="str">
        <f>IF(P54="","",IFERROR(CHOOSE(VALUE(RIGHT(P54,1)),SABADO!G15,SABADO!J15,SABADO!M15,SABADO!P15,SABADO!S15),""))</f>
        <v/>
      </c>
      <c r="H54" s="48" t="str">
        <f>IF(P54="","",IFERROR(CHOOSE(VALUE(RIGHT(P54,1)),SABADO!H15,SABADO!K15,SABADO!N15,SABADO!Q15,SABADO!T15),""))</f>
        <v/>
      </c>
      <c r="I54" s="49" t="str">
        <f t="shared" si="0"/>
        <v/>
      </c>
      <c r="J54" s="50" t="str">
        <f>IF(P54="","",IFERROR(ROUND(CHOOSE(VALUE(RIGHT(P54,1)),IF(SABADO!C15="peso_corporal",IF(ISNUMBER(SABADO!E15),SABADO!E15,0)+SABADO!F15,SABADO!F15)*SABADO!G15,IF(SABADO!C15="peso_corporal",IF(ISNUMBER(SABADO!E15),SABADO!E15,0)+SABADO!I15,SABADO!I15)*SABADO!J15,IF(SABADO!C15="peso_corporal",IF(ISNUMBER(SABADO!E15),SABADO!E15,0)+SABADO!L15,SABADO!L15)*SABADO!M15,IF(SABADO!C15="peso_corporal",IF(ISNUMBER(SABADO!E15),SABADO!E15,0)+SABADO!O15,SABADO!O15)*SABADO!P15,IF(SABADO!C15="peso_corporal",IF(ISNUMBER(SABADO!E15),SABADO!E15,0)+SABADO!R15,SABADO!R15)*SABADO!S15),1),""))</f>
        <v/>
      </c>
      <c r="K54" s="51" t="str">
        <f>IF(P54="","",IFERROR(ROUND(CHOOSE(VALUE(RIGHT(P54,1)),(IF(SABADO!C15="peso_corporal",IF(ISNUMBER(SABADO!E15),SABADO!E15,0)+SABADO!F15,SABADO!F15))*(1+SABADO!G15/30),(IF(SABADO!C15="peso_corporal",IF(ISNUMBER(SABADO!E15),SABADO!E15,0)+SABADO!I15,SABADO!I15))*(1+SABADO!J15/30),(IF(SABADO!C15="peso_corporal",IF(ISNUMBER(SABADO!E15),SABADO!E15,0)+SABADO!L15,SABADO!L15))*(1+SABADO!M15/30),(IF(SABADO!C15="peso_corporal",IF(ISNUMBER(SABADO!E15),SABADO!E15,0)+SABADO!O15,SABADO!O15))*(1+SABADO!P15/30),(IF(SABADO!C15="peso_corporal",IF(ISNUMBER(SABADO!E15),SABADO!E15,0)+SABADO!R15,SABADO!R15))*(1+SABADO!S15/30)),1),""))</f>
        <v/>
      </c>
      <c r="L54" s="52">
        <f>IFERROR(SABADO!E15,"")</f>
        <v>80</v>
      </c>
      <c r="M54" s="53" t="str">
        <f>IFERROR(IF(K54="","-",IF(ISNUMBER(LOOKUP(2,1/((HISTORIAL!$O$3:$O$53=O54)*(HISTORIAL!$F$3:$F$53&lt;&gt;"")),HISTORIAL!$K$3:$K$53)),IF(K54&gt;LOOKUP(2,1/((HISTORIAL!$O$3:$O$53=O54)*(HISTORIAL!$F$3:$F$53&lt;&gt;"")),HISTORIAL!$K$3:$K$53),"^",IF(K54&lt;LOOKUP(2,1/((HISTORIAL!$O$3:$O$53=O54)*(HISTORIAL!$F$3:$F$53&lt;&gt;"")),HISTORIAL!$K$3:$K$53),"v","-")),"-")),"-")</f>
        <v>-</v>
      </c>
      <c r="N54" s="54" t="str">
        <f>IFERROR(VLOOKUP(A54,CONFIG!$A$10:$B$21,2,0),"")</f>
        <v>HIP</v>
      </c>
      <c r="O54" s="55" t="str">
        <f t="shared" si="1"/>
        <v>Remo|Maquina Neutro Estrecho</v>
      </c>
      <c r="P54" s="69" t="str">
        <f>SABADO!AC15</f>
        <v/>
      </c>
    </row>
    <row r="55" spans="1:16" ht="14.1" customHeight="1">
      <c r="A55" s="37">
        <v>1</v>
      </c>
      <c r="B55" s="37" t="s">
        <v>281</v>
      </c>
      <c r="C55" s="44" t="str">
        <f>SABADO!$A$16</f>
        <v>Remo</v>
      </c>
      <c r="D55" s="45" t="str">
        <f>SABADO!$B$16</f>
        <v>Maquina Neutro Ancho</v>
      </c>
      <c r="E55" s="37" t="str">
        <f>SABADO!$C$16</f>
        <v>polea</v>
      </c>
      <c r="F55" s="46" t="str">
        <f>IF(P55="","",IFERROR(CHOOSE(VALUE(RIGHT(P55,1)),SABADO!F16,SABADO!I16,SABADO!L16,SABADO!O16,SABADO!R16),""))</f>
        <v/>
      </c>
      <c r="G55" s="47" t="str">
        <f>IF(P55="","",IFERROR(CHOOSE(VALUE(RIGHT(P55,1)),SABADO!G16,SABADO!J16,SABADO!M16,SABADO!P16,SABADO!S16),""))</f>
        <v/>
      </c>
      <c r="H55" s="48" t="str">
        <f>IF(P55="","",IFERROR(CHOOSE(VALUE(RIGHT(P55,1)),SABADO!H16,SABADO!K16,SABADO!N16,SABADO!Q16,SABADO!T16),""))</f>
        <v/>
      </c>
      <c r="I55" s="49" t="str">
        <f t="shared" si="0"/>
        <v/>
      </c>
      <c r="J55" s="50" t="str">
        <f>IF(P55="","",IFERROR(ROUND(CHOOSE(VALUE(RIGHT(P55,1)),IF(SABADO!C16="peso_corporal",IF(ISNUMBER(SABADO!E16),SABADO!E16,0)+SABADO!F16,SABADO!F16)*SABADO!G16,IF(SABADO!C16="peso_corporal",IF(ISNUMBER(SABADO!E16),SABADO!E16,0)+SABADO!I16,SABADO!I16)*SABADO!J16,IF(SABADO!C16="peso_corporal",IF(ISNUMBER(SABADO!E16),SABADO!E16,0)+SABADO!L16,SABADO!L16)*SABADO!M16,IF(SABADO!C16="peso_corporal",IF(ISNUMBER(SABADO!E16),SABADO!E16,0)+SABADO!O16,SABADO!O16)*SABADO!P16,IF(SABADO!C16="peso_corporal",IF(ISNUMBER(SABADO!E16),SABADO!E16,0)+SABADO!R16,SABADO!R16)*SABADO!S16),1),""))</f>
        <v/>
      </c>
      <c r="K55" s="51" t="str">
        <f>IF(P55="","",IFERROR(ROUND(CHOOSE(VALUE(RIGHT(P55,1)),(IF(SABADO!C16="peso_corporal",IF(ISNUMBER(SABADO!E16),SABADO!E16,0)+SABADO!F16,SABADO!F16))*(1+SABADO!G16/30),(IF(SABADO!C16="peso_corporal",IF(ISNUMBER(SABADO!E16),SABADO!E16,0)+SABADO!I16,SABADO!I16))*(1+SABADO!J16/30),(IF(SABADO!C16="peso_corporal",IF(ISNUMBER(SABADO!E16),SABADO!E16,0)+SABADO!L16,SABADO!L16))*(1+SABADO!M16/30),(IF(SABADO!C16="peso_corporal",IF(ISNUMBER(SABADO!E16),SABADO!E16,0)+SABADO!O16,SABADO!O16))*(1+SABADO!P16/30),(IF(SABADO!C16="peso_corporal",IF(ISNUMBER(SABADO!E16),SABADO!E16,0)+SABADO!R16,SABADO!R16))*(1+SABADO!S16/30)),1),""))</f>
        <v/>
      </c>
      <c r="L55" s="52">
        <f>IFERROR(SABADO!E16,"")</f>
        <v>80</v>
      </c>
      <c r="M55" s="53" t="str">
        <f>IFERROR(IF(K55="","-",IF(ISNUMBER(LOOKUP(2,1/((HISTORIAL!$O$3:$O$54=O55)*(HISTORIAL!$F$3:$F$54&lt;&gt;"")),HISTORIAL!$K$3:$K$54)),IF(K55&gt;LOOKUP(2,1/((HISTORIAL!$O$3:$O$54=O55)*(HISTORIAL!$F$3:$F$54&lt;&gt;"")),HISTORIAL!$K$3:$K$54),"^",IF(K55&lt;LOOKUP(2,1/((HISTORIAL!$O$3:$O$54=O55)*(HISTORIAL!$F$3:$F$54&lt;&gt;"")),HISTORIAL!$K$3:$K$54),"v","-")),"-")),"-")</f>
        <v>-</v>
      </c>
      <c r="N55" s="54" t="str">
        <f>IFERROR(VLOOKUP(A55,CONFIG!$A$10:$B$21,2,0),"")</f>
        <v>HIP</v>
      </c>
      <c r="O55" s="55" t="str">
        <f t="shared" si="1"/>
        <v>Remo|Maquina Neutro Ancho</v>
      </c>
      <c r="P55" s="69" t="str">
        <f>SABADO!AC16</f>
        <v/>
      </c>
    </row>
    <row r="56" spans="1:16" ht="14.1" customHeight="1">
      <c r="A56" s="37">
        <v>1</v>
      </c>
      <c r="B56" s="37" t="s">
        <v>281</v>
      </c>
      <c r="C56" s="44" t="str">
        <f>SABADO!$A$17</f>
        <v>Peck Deck Invertida</v>
      </c>
      <c r="D56" s="45" t="str">
        <f>SABADO!$B$17</f>
        <v>Maquina</v>
      </c>
      <c r="E56" s="37" t="str">
        <f>SABADO!$C$17</f>
        <v>polea</v>
      </c>
      <c r="F56" s="46" t="str">
        <f>IF(P56="","",IFERROR(CHOOSE(VALUE(RIGHT(P56,1)),SABADO!F17,SABADO!I17,SABADO!L17,SABADO!O17,SABADO!R17),""))</f>
        <v/>
      </c>
      <c r="G56" s="47" t="str">
        <f>IF(P56="","",IFERROR(CHOOSE(VALUE(RIGHT(P56,1)),SABADO!G17,SABADO!J17,SABADO!M17,SABADO!P17,SABADO!S17),""))</f>
        <v/>
      </c>
      <c r="H56" s="48" t="str">
        <f>IF(P56="","",IFERROR(CHOOSE(VALUE(RIGHT(P56,1)),SABADO!H17,SABADO!K17,SABADO!N17,SABADO!Q17,SABADO!T17),""))</f>
        <v/>
      </c>
      <c r="I56" s="49" t="str">
        <f t="shared" si="0"/>
        <v/>
      </c>
      <c r="J56" s="50" t="str">
        <f>IF(P56="","",IFERROR(ROUND(CHOOSE(VALUE(RIGHT(P56,1)),IF(SABADO!C17="peso_corporal",IF(ISNUMBER(SABADO!E17),SABADO!E17,0)+SABADO!F17,SABADO!F17)*SABADO!G17,IF(SABADO!C17="peso_corporal",IF(ISNUMBER(SABADO!E17),SABADO!E17,0)+SABADO!I17,SABADO!I17)*SABADO!J17,IF(SABADO!C17="peso_corporal",IF(ISNUMBER(SABADO!E17),SABADO!E17,0)+SABADO!L17,SABADO!L17)*SABADO!M17,IF(SABADO!C17="peso_corporal",IF(ISNUMBER(SABADO!E17),SABADO!E17,0)+SABADO!O17,SABADO!O17)*SABADO!P17,IF(SABADO!C17="peso_corporal",IF(ISNUMBER(SABADO!E17),SABADO!E17,0)+SABADO!R17,SABADO!R17)*SABADO!S17),1),""))</f>
        <v/>
      </c>
      <c r="K56" s="51" t="str">
        <f>IF(P56="","",IFERROR(ROUND(CHOOSE(VALUE(RIGHT(P56,1)),(IF(SABADO!C17="peso_corporal",IF(ISNUMBER(SABADO!E17),SABADO!E17,0)+SABADO!F17,SABADO!F17))*(1+SABADO!G17/30),(IF(SABADO!C17="peso_corporal",IF(ISNUMBER(SABADO!E17),SABADO!E17,0)+SABADO!I17,SABADO!I17))*(1+SABADO!J17/30),(IF(SABADO!C17="peso_corporal",IF(ISNUMBER(SABADO!E17),SABADO!E17,0)+SABADO!L17,SABADO!L17))*(1+SABADO!M17/30),(IF(SABADO!C17="peso_corporal",IF(ISNUMBER(SABADO!E17),SABADO!E17,0)+SABADO!O17,SABADO!O17))*(1+SABADO!P17/30),(IF(SABADO!C17="peso_corporal",IF(ISNUMBER(SABADO!E17),SABADO!E17,0)+SABADO!R17,SABADO!R17))*(1+SABADO!S17/30)),1),""))</f>
        <v/>
      </c>
      <c r="L56" s="52">
        <f>IFERROR(SABADO!E17,"")</f>
        <v>80</v>
      </c>
      <c r="M56" s="53" t="str">
        <f>IFERROR(IF(K56="","-",IF(ISNUMBER(LOOKUP(2,1/((HISTORIAL!$O$3:$O$55=O56)*(HISTORIAL!$F$3:$F$55&lt;&gt;"")),HISTORIAL!$K$3:$K$55)),IF(K56&gt;LOOKUP(2,1/((HISTORIAL!$O$3:$O$55=O56)*(HISTORIAL!$F$3:$F$55&lt;&gt;"")),HISTORIAL!$K$3:$K$55),"^",IF(K56&lt;LOOKUP(2,1/((HISTORIAL!$O$3:$O$55=O56)*(HISTORIAL!$F$3:$F$55&lt;&gt;"")),HISTORIAL!$K$3:$K$55),"v","-")),"-")),"-")</f>
        <v>-</v>
      </c>
      <c r="N56" s="54" t="str">
        <f>IFERROR(VLOOKUP(A56,CONFIG!$A$10:$B$21,2,0),"")</f>
        <v>HIP</v>
      </c>
      <c r="O56" s="55" t="str">
        <f t="shared" si="1"/>
        <v>Peck Deck Invertida|Maquina</v>
      </c>
      <c r="P56" s="69" t="str">
        <f>SABADO!AC17</f>
        <v/>
      </c>
    </row>
    <row r="57" spans="1:16" ht="14.1" customHeight="1">
      <c r="A57" s="37">
        <v>1</v>
      </c>
      <c r="B57" s="37" t="s">
        <v>281</v>
      </c>
      <c r="C57" s="44" t="str">
        <f>SABADO!$A$19</f>
        <v>Curl Biceps</v>
      </c>
      <c r="D57" s="45" t="str">
        <f>SABADO!$B$19</f>
        <v>Concentrado Maquina</v>
      </c>
      <c r="E57" s="37" t="str">
        <f>SABADO!$C$19</f>
        <v>polea</v>
      </c>
      <c r="F57" s="46" t="str">
        <f>IF(P57="","",IFERROR(CHOOSE(VALUE(RIGHT(P57,1)),SABADO!F19,SABADO!I19,SABADO!L19,SABADO!O19,SABADO!R19),""))</f>
        <v/>
      </c>
      <c r="G57" s="47" t="str">
        <f>IF(P57="","",IFERROR(CHOOSE(VALUE(RIGHT(P57,1)),SABADO!G19,SABADO!J19,SABADO!M19,SABADO!P19,SABADO!S19),""))</f>
        <v/>
      </c>
      <c r="H57" s="48" t="str">
        <f>IF(P57="","",IFERROR(CHOOSE(VALUE(RIGHT(P57,1)),SABADO!H19,SABADO!K19,SABADO!N19,SABADO!Q19,SABADO!T19),""))</f>
        <v/>
      </c>
      <c r="I57" s="49" t="str">
        <f t="shared" si="0"/>
        <v/>
      </c>
      <c r="J57" s="50" t="str">
        <f>IF(P57="","",IFERROR(ROUND(CHOOSE(VALUE(RIGHT(P57,1)),IF(SABADO!C19="peso_corporal",IF(ISNUMBER(SABADO!E19),SABADO!E19,0)+SABADO!F19,SABADO!F19)*SABADO!G19,IF(SABADO!C19="peso_corporal",IF(ISNUMBER(SABADO!E19),SABADO!E19,0)+SABADO!I19,SABADO!I19)*SABADO!J19,IF(SABADO!C19="peso_corporal",IF(ISNUMBER(SABADO!E19),SABADO!E19,0)+SABADO!L19,SABADO!L19)*SABADO!M19,IF(SABADO!C19="peso_corporal",IF(ISNUMBER(SABADO!E19),SABADO!E19,0)+SABADO!O19,SABADO!O19)*SABADO!P19,IF(SABADO!C19="peso_corporal",IF(ISNUMBER(SABADO!E19),SABADO!E19,0)+SABADO!R19,SABADO!R19)*SABADO!S19),1),""))</f>
        <v/>
      </c>
      <c r="K57" s="51" t="str">
        <f>IF(P57="","",IFERROR(ROUND(CHOOSE(VALUE(RIGHT(P57,1)),(IF(SABADO!C19="peso_corporal",IF(ISNUMBER(SABADO!E19),SABADO!E19,0)+SABADO!F19,SABADO!F19))*(1+SABADO!G19/30),(IF(SABADO!C19="peso_corporal",IF(ISNUMBER(SABADO!E19),SABADO!E19,0)+SABADO!I19,SABADO!I19))*(1+SABADO!J19/30),(IF(SABADO!C19="peso_corporal",IF(ISNUMBER(SABADO!E19),SABADO!E19,0)+SABADO!L19,SABADO!L19))*(1+SABADO!M19/30),(IF(SABADO!C19="peso_corporal",IF(ISNUMBER(SABADO!E19),SABADO!E19,0)+SABADO!O19,SABADO!O19))*(1+SABADO!P19/30),(IF(SABADO!C19="peso_corporal",IF(ISNUMBER(SABADO!E19),SABADO!E19,0)+SABADO!R19,SABADO!R19))*(1+SABADO!S19/30)),1),""))</f>
        <v/>
      </c>
      <c r="L57" s="52">
        <f>IFERROR(SABADO!E19,"")</f>
        <v>80</v>
      </c>
      <c r="M57" s="53" t="str">
        <f>IFERROR(IF(K57="","-",IF(ISNUMBER(LOOKUP(2,1/((HISTORIAL!$O$3:$O$56=O57)*(HISTORIAL!$F$3:$F$56&lt;&gt;"")),HISTORIAL!$K$3:$K$56)),IF(K57&gt;LOOKUP(2,1/((HISTORIAL!$O$3:$O$56=O57)*(HISTORIAL!$F$3:$F$56&lt;&gt;"")),HISTORIAL!$K$3:$K$56),"^",IF(K57&lt;LOOKUP(2,1/((HISTORIAL!$O$3:$O$56=O57)*(HISTORIAL!$F$3:$F$56&lt;&gt;"")),HISTORIAL!$K$3:$K$56),"v","-")),"-")),"-")</f>
        <v>-</v>
      </c>
      <c r="N57" s="54" t="str">
        <f>IFERROR(VLOOKUP(A57,CONFIG!$A$10:$B$21,2,0),"")</f>
        <v>HIP</v>
      </c>
      <c r="O57" s="55" t="str">
        <f t="shared" si="1"/>
        <v>Curl Biceps|Concentrado Maquina</v>
      </c>
      <c r="P57" s="69" t="str">
        <f>SABADO!AC19</f>
        <v/>
      </c>
    </row>
    <row r="58" spans="1:16" ht="14.1" customHeight="1">
      <c r="A58" s="37">
        <v>1</v>
      </c>
      <c r="B58" s="37" t="s">
        <v>281</v>
      </c>
      <c r="C58" s="44" t="str">
        <f>SABADO!$A$20</f>
        <v>Curl Martillo</v>
      </c>
      <c r="D58" s="45" t="str">
        <f>SABADO!$B$20</f>
        <v>Polea Individual</v>
      </c>
      <c r="E58" s="37" t="str">
        <f>SABADO!$C$20</f>
        <v>polea</v>
      </c>
      <c r="F58" s="46" t="str">
        <f>IF(P58="","",IFERROR(CHOOSE(VALUE(RIGHT(P58,1)),SABADO!F20,SABADO!I20,SABADO!L20,SABADO!O20,SABADO!R20),""))</f>
        <v/>
      </c>
      <c r="G58" s="47" t="str">
        <f>IF(P58="","",IFERROR(CHOOSE(VALUE(RIGHT(P58,1)),SABADO!G20,SABADO!J20,SABADO!M20,SABADO!P20,SABADO!S20),""))</f>
        <v/>
      </c>
      <c r="H58" s="48" t="str">
        <f>IF(P58="","",IFERROR(CHOOSE(VALUE(RIGHT(P58,1)),SABADO!H20,SABADO!K20,SABADO!N20,SABADO!Q20,SABADO!T20),""))</f>
        <v/>
      </c>
      <c r="I58" s="49" t="str">
        <f t="shared" si="0"/>
        <v/>
      </c>
      <c r="J58" s="50" t="str">
        <f>IF(P58="","",IFERROR(ROUND(CHOOSE(VALUE(RIGHT(P58,1)),IF(SABADO!C20="peso_corporal",IF(ISNUMBER(SABADO!E20),SABADO!E20,0)+SABADO!F20,SABADO!F20)*SABADO!G20,IF(SABADO!C20="peso_corporal",IF(ISNUMBER(SABADO!E20),SABADO!E20,0)+SABADO!I20,SABADO!I20)*SABADO!J20,IF(SABADO!C20="peso_corporal",IF(ISNUMBER(SABADO!E20),SABADO!E20,0)+SABADO!L20,SABADO!L20)*SABADO!M20,IF(SABADO!C20="peso_corporal",IF(ISNUMBER(SABADO!E20),SABADO!E20,0)+SABADO!O20,SABADO!O20)*SABADO!P20,IF(SABADO!C20="peso_corporal",IF(ISNUMBER(SABADO!E20),SABADO!E20,0)+SABADO!R20,SABADO!R20)*SABADO!S20),1),""))</f>
        <v/>
      </c>
      <c r="K58" s="51" t="str">
        <f>IF(P58="","",IFERROR(ROUND(CHOOSE(VALUE(RIGHT(P58,1)),(IF(SABADO!C20="peso_corporal",IF(ISNUMBER(SABADO!E20),SABADO!E20,0)+SABADO!F20,SABADO!F20))*(1+SABADO!G20/30),(IF(SABADO!C20="peso_corporal",IF(ISNUMBER(SABADO!E20),SABADO!E20,0)+SABADO!I20,SABADO!I20))*(1+SABADO!J20/30),(IF(SABADO!C20="peso_corporal",IF(ISNUMBER(SABADO!E20),SABADO!E20,0)+SABADO!L20,SABADO!L20))*(1+SABADO!M20/30),(IF(SABADO!C20="peso_corporal",IF(ISNUMBER(SABADO!E20),SABADO!E20,0)+SABADO!O20,SABADO!O20))*(1+SABADO!P20/30),(IF(SABADO!C20="peso_corporal",IF(ISNUMBER(SABADO!E20),SABADO!E20,0)+SABADO!R20,SABADO!R20))*(1+SABADO!S20/30)),1),""))</f>
        <v/>
      </c>
      <c r="L58" s="52">
        <f>IFERROR(SABADO!E20,"")</f>
        <v>80</v>
      </c>
      <c r="M58" s="53" t="str">
        <f>IFERROR(IF(K58="","-",IF(ISNUMBER(LOOKUP(2,1/((HISTORIAL!$O$3:$O$57=O58)*(HISTORIAL!$F$3:$F$57&lt;&gt;"")),HISTORIAL!$K$3:$K$57)),IF(K58&gt;LOOKUP(2,1/((HISTORIAL!$O$3:$O$57=O58)*(HISTORIAL!$F$3:$F$57&lt;&gt;"")),HISTORIAL!$K$3:$K$57),"^",IF(K58&lt;LOOKUP(2,1/((HISTORIAL!$O$3:$O$57=O58)*(HISTORIAL!$F$3:$F$57&lt;&gt;"")),HISTORIAL!$K$3:$K$57),"v","-")),"-")),"-")</f>
        <v>-</v>
      </c>
      <c r="N58" s="54" t="str">
        <f>IFERROR(VLOOKUP(A58,CONFIG!$A$10:$B$21,2,0),"")</f>
        <v>HIP</v>
      </c>
      <c r="O58" s="55" t="str">
        <f t="shared" si="1"/>
        <v>Curl Martillo|Polea Individual</v>
      </c>
      <c r="P58" s="69" t="str">
        <f>SABADO!AC20</f>
        <v/>
      </c>
    </row>
    <row r="59" spans="1:16" ht="14.1" customHeight="1">
      <c r="A59" s="37">
        <v>1</v>
      </c>
      <c r="B59" s="37" t="s">
        <v>281</v>
      </c>
      <c r="C59" s="44" t="str">
        <f>SABADO!$A$22</f>
        <v>Curl Muneca</v>
      </c>
      <c r="D59" s="45" t="str">
        <f>SABADO!$B$22</f>
        <v>Supinado</v>
      </c>
      <c r="E59" s="37" t="str">
        <f>SABADO!$C$22</f>
        <v>mancuerna</v>
      </c>
      <c r="F59" s="46" t="str">
        <f>IF(P59="","",IFERROR(CHOOSE(VALUE(RIGHT(P59,1)),SABADO!F22,SABADO!I22,SABADO!L22,SABADO!O22,SABADO!R22),""))</f>
        <v/>
      </c>
      <c r="G59" s="47" t="str">
        <f>IF(P59="","",IFERROR(CHOOSE(VALUE(RIGHT(P59,1)),SABADO!G22,SABADO!J22,SABADO!M22,SABADO!P22,SABADO!S22),""))</f>
        <v/>
      </c>
      <c r="H59" s="48" t="str">
        <f>IF(P59="","",IFERROR(CHOOSE(VALUE(RIGHT(P59,1)),SABADO!H22,SABADO!K22,SABADO!N22,SABADO!Q22,SABADO!T22),""))</f>
        <v/>
      </c>
      <c r="I59" s="49" t="str">
        <f t="shared" si="0"/>
        <v/>
      </c>
      <c r="J59" s="50" t="str">
        <f>IF(P59="","",IFERROR(ROUND(CHOOSE(VALUE(RIGHT(P59,1)),IF(SABADO!C22="peso_corporal",IF(ISNUMBER(SABADO!E22),SABADO!E22,0)+SABADO!F22,SABADO!F22)*SABADO!G22,IF(SABADO!C22="peso_corporal",IF(ISNUMBER(SABADO!E22),SABADO!E22,0)+SABADO!I22,SABADO!I22)*SABADO!J22,IF(SABADO!C22="peso_corporal",IF(ISNUMBER(SABADO!E22),SABADO!E22,0)+SABADO!L22,SABADO!L22)*SABADO!M22,IF(SABADO!C22="peso_corporal",IF(ISNUMBER(SABADO!E22),SABADO!E22,0)+SABADO!O22,SABADO!O22)*SABADO!P22,IF(SABADO!C22="peso_corporal",IF(ISNUMBER(SABADO!E22),SABADO!E22,0)+SABADO!R22,SABADO!R22)*SABADO!S22),1),""))</f>
        <v/>
      </c>
      <c r="K59" s="51" t="str">
        <f>IF(P59="","",IFERROR(ROUND(CHOOSE(VALUE(RIGHT(P59,1)),(IF(SABADO!C22="peso_corporal",IF(ISNUMBER(SABADO!E22),SABADO!E22,0)+SABADO!F22,SABADO!F22))*(1+SABADO!G22/30),(IF(SABADO!C22="peso_corporal",IF(ISNUMBER(SABADO!E22),SABADO!E22,0)+SABADO!I22,SABADO!I22))*(1+SABADO!J22/30),(IF(SABADO!C22="peso_corporal",IF(ISNUMBER(SABADO!E22),SABADO!E22,0)+SABADO!L22,SABADO!L22))*(1+SABADO!M22/30),(IF(SABADO!C22="peso_corporal",IF(ISNUMBER(SABADO!E22),SABADO!E22,0)+SABADO!O22,SABADO!O22))*(1+SABADO!P22/30),(IF(SABADO!C22="peso_corporal",IF(ISNUMBER(SABADO!E22),SABADO!E22,0)+SABADO!R22,SABADO!R22))*(1+SABADO!S22/30)),1),""))</f>
        <v/>
      </c>
      <c r="L59" s="52">
        <f>IFERROR(SABADO!E22,"")</f>
        <v>80</v>
      </c>
      <c r="M59" s="53" t="str">
        <f>IFERROR(IF(K59="","-",IF(ISNUMBER(LOOKUP(2,1/((HISTORIAL!$O$3:$O$58=O59)*(HISTORIAL!$F$3:$F$58&lt;&gt;"")),HISTORIAL!$K$3:$K$58)),IF(K59&gt;LOOKUP(2,1/((HISTORIAL!$O$3:$O$58=O59)*(HISTORIAL!$F$3:$F$58&lt;&gt;"")),HISTORIAL!$K$3:$K$58),"^",IF(K59&lt;LOOKUP(2,1/((HISTORIAL!$O$3:$O$58=O59)*(HISTORIAL!$F$3:$F$58&lt;&gt;"")),HISTORIAL!$K$3:$K$58),"v","-")),"-")),"-")</f>
        <v>-</v>
      </c>
      <c r="N59" s="54" t="str">
        <f>IFERROR(VLOOKUP(A59,CONFIG!$A$10:$B$21,2,0),"")</f>
        <v>HIP</v>
      </c>
      <c r="O59" s="55" t="str">
        <f t="shared" si="1"/>
        <v>Curl Muneca|Supinado</v>
      </c>
      <c r="P59" s="69" t="str">
        <f>SABADO!AC22</f>
        <v/>
      </c>
    </row>
    <row r="60" spans="1:16" ht="14.1" customHeight="1">
      <c r="A60" s="37">
        <v>1</v>
      </c>
      <c r="B60" s="37" t="s">
        <v>281</v>
      </c>
      <c r="C60" s="44" t="str">
        <f>SABADO!$A$23</f>
        <v>Curl Muneca</v>
      </c>
      <c r="D60" s="45" t="str">
        <f>SABADO!$B$23</f>
        <v>Pronado</v>
      </c>
      <c r="E60" s="37" t="str">
        <f>SABADO!$C$23</f>
        <v>mancuerna</v>
      </c>
      <c r="F60" s="46" t="str">
        <f>IF(P60="","",IFERROR(CHOOSE(VALUE(RIGHT(P60,1)),SABADO!F23,SABADO!I23,SABADO!L23,SABADO!O23,SABADO!R23),""))</f>
        <v/>
      </c>
      <c r="G60" s="47" t="str">
        <f>IF(P60="","",IFERROR(CHOOSE(VALUE(RIGHT(P60,1)),SABADO!G23,SABADO!J23,SABADO!M23,SABADO!P23,SABADO!S23),""))</f>
        <v/>
      </c>
      <c r="H60" s="48" t="str">
        <f>IF(P60="","",IFERROR(CHOOSE(VALUE(RIGHT(P60,1)),SABADO!H23,SABADO!K23,SABADO!N23,SABADO!Q23,SABADO!T23),""))</f>
        <v/>
      </c>
      <c r="I60" s="49" t="str">
        <f t="shared" si="0"/>
        <v/>
      </c>
      <c r="J60" s="50" t="str">
        <f>IF(P60="","",IFERROR(ROUND(CHOOSE(VALUE(RIGHT(P60,1)),IF(SABADO!C23="peso_corporal",IF(ISNUMBER(SABADO!E23),SABADO!E23,0)+SABADO!F23,SABADO!F23)*SABADO!G23,IF(SABADO!C23="peso_corporal",IF(ISNUMBER(SABADO!E23),SABADO!E23,0)+SABADO!I23,SABADO!I23)*SABADO!J23,IF(SABADO!C23="peso_corporal",IF(ISNUMBER(SABADO!E23),SABADO!E23,0)+SABADO!L23,SABADO!L23)*SABADO!M23,IF(SABADO!C23="peso_corporal",IF(ISNUMBER(SABADO!E23),SABADO!E23,0)+SABADO!O23,SABADO!O23)*SABADO!P23,IF(SABADO!C23="peso_corporal",IF(ISNUMBER(SABADO!E23),SABADO!E23,0)+SABADO!R23,SABADO!R23)*SABADO!S23),1),""))</f>
        <v/>
      </c>
      <c r="K60" s="51" t="str">
        <f>IF(P60="","",IFERROR(ROUND(CHOOSE(VALUE(RIGHT(P60,1)),(IF(SABADO!C23="peso_corporal",IF(ISNUMBER(SABADO!E23),SABADO!E23,0)+SABADO!F23,SABADO!F23))*(1+SABADO!G23/30),(IF(SABADO!C23="peso_corporal",IF(ISNUMBER(SABADO!E23),SABADO!E23,0)+SABADO!I23,SABADO!I23))*(1+SABADO!J23/30),(IF(SABADO!C23="peso_corporal",IF(ISNUMBER(SABADO!E23),SABADO!E23,0)+SABADO!L23,SABADO!L23))*(1+SABADO!M23/30),(IF(SABADO!C23="peso_corporal",IF(ISNUMBER(SABADO!E23),SABADO!E23,0)+SABADO!O23,SABADO!O23))*(1+SABADO!P23/30),(IF(SABADO!C23="peso_corporal",IF(ISNUMBER(SABADO!E23),SABADO!E23,0)+SABADO!R23,SABADO!R23))*(1+SABADO!S23/30)),1),""))</f>
        <v/>
      </c>
      <c r="L60" s="52">
        <f>IFERROR(SABADO!E23,"")</f>
        <v>80</v>
      </c>
      <c r="M60" s="53" t="str">
        <f>IFERROR(IF(K60="","-",IF(ISNUMBER(LOOKUP(2,1/((HISTORIAL!$O$3:$O$59=O60)*(HISTORIAL!$F$3:$F$59&lt;&gt;"")),HISTORIAL!$K$3:$K$59)),IF(K60&gt;LOOKUP(2,1/((HISTORIAL!$O$3:$O$59=O60)*(HISTORIAL!$F$3:$F$59&lt;&gt;"")),HISTORIAL!$K$3:$K$59),"^",IF(K60&lt;LOOKUP(2,1/((HISTORIAL!$O$3:$O$59=O60)*(HISTORIAL!$F$3:$F$59&lt;&gt;"")),HISTORIAL!$K$3:$K$59),"v","-")),"-")),"-")</f>
        <v>-</v>
      </c>
      <c r="N60" s="54" t="str">
        <f>IFERROR(VLOOKUP(A60,CONFIG!$A$10:$B$21,2,0),"")</f>
        <v>HIP</v>
      </c>
      <c r="O60" s="55" t="str">
        <f t="shared" si="1"/>
        <v>Curl Muneca|Pronado</v>
      </c>
      <c r="P60" s="69" t="str">
        <f>SABADO!AC23</f>
        <v/>
      </c>
    </row>
    <row r="61" spans="1:16" ht="14.1" customHeight="1">
      <c r="A61" s="37">
        <v>1</v>
      </c>
      <c r="B61" s="37" t="s">
        <v>281</v>
      </c>
      <c r="C61" s="44" t="str">
        <f>SABADO!$A$25</f>
        <v>Elevaciones Laterales</v>
      </c>
      <c r="D61" s="45" t="str">
        <f>SABADO!$B$25</f>
        <v>Cable Polea Individual</v>
      </c>
      <c r="E61" s="37" t="str">
        <f>SABADO!$C$25</f>
        <v>polea</v>
      </c>
      <c r="F61" s="46" t="str">
        <f>IF(P61="","",IFERROR(CHOOSE(VALUE(RIGHT(P61,1)),SABADO!F25,SABADO!I25,SABADO!L25,SABADO!O25,SABADO!R25),""))</f>
        <v/>
      </c>
      <c r="G61" s="47" t="str">
        <f>IF(P61="","",IFERROR(CHOOSE(VALUE(RIGHT(P61,1)),SABADO!G25,SABADO!J25,SABADO!M25,SABADO!P25,SABADO!S25),""))</f>
        <v/>
      </c>
      <c r="H61" s="48" t="str">
        <f>IF(P61="","",IFERROR(CHOOSE(VALUE(RIGHT(P61,1)),SABADO!H25,SABADO!K25,SABADO!N25,SABADO!Q25,SABADO!T25),""))</f>
        <v/>
      </c>
      <c r="I61" s="49" t="str">
        <f t="shared" si="0"/>
        <v/>
      </c>
      <c r="J61" s="50" t="str">
        <f>IF(P61="","",IFERROR(ROUND(CHOOSE(VALUE(RIGHT(P61,1)),IF(SABADO!C25="peso_corporal",IF(ISNUMBER(SABADO!E25),SABADO!E25,0)+SABADO!F25,SABADO!F25)*SABADO!G25,IF(SABADO!C25="peso_corporal",IF(ISNUMBER(SABADO!E25),SABADO!E25,0)+SABADO!I25,SABADO!I25)*SABADO!J25,IF(SABADO!C25="peso_corporal",IF(ISNUMBER(SABADO!E25),SABADO!E25,0)+SABADO!L25,SABADO!L25)*SABADO!M25,IF(SABADO!C25="peso_corporal",IF(ISNUMBER(SABADO!E25),SABADO!E25,0)+SABADO!O25,SABADO!O25)*SABADO!P25,IF(SABADO!C25="peso_corporal",IF(ISNUMBER(SABADO!E25),SABADO!E25,0)+SABADO!R25,SABADO!R25)*SABADO!S25),1),""))</f>
        <v/>
      </c>
      <c r="K61" s="51" t="str">
        <f>IF(P61="","",IFERROR(ROUND(CHOOSE(VALUE(RIGHT(P61,1)),(IF(SABADO!C25="peso_corporal",IF(ISNUMBER(SABADO!E25),SABADO!E25,0)+SABADO!F25,SABADO!F25))*(1+SABADO!G25/30),(IF(SABADO!C25="peso_corporal",IF(ISNUMBER(SABADO!E25),SABADO!E25,0)+SABADO!I25,SABADO!I25))*(1+SABADO!J25/30),(IF(SABADO!C25="peso_corporal",IF(ISNUMBER(SABADO!E25),SABADO!E25,0)+SABADO!L25,SABADO!L25))*(1+SABADO!M25/30),(IF(SABADO!C25="peso_corporal",IF(ISNUMBER(SABADO!E25),SABADO!E25,0)+SABADO!O25,SABADO!O25))*(1+SABADO!P25/30),(IF(SABADO!C25="peso_corporal",IF(ISNUMBER(SABADO!E25),SABADO!E25,0)+SABADO!R25,SABADO!R25))*(1+SABADO!S25/30)),1),""))</f>
        <v/>
      </c>
      <c r="L61" s="52">
        <f>IFERROR(SABADO!E25,"")</f>
        <v>80</v>
      </c>
      <c r="M61" s="53" t="str">
        <f>IFERROR(IF(K61="","-",IF(ISNUMBER(LOOKUP(2,1/((HISTORIAL!$O$3:$O$60=O61)*(HISTORIAL!$F$3:$F$60&lt;&gt;"")),HISTORIAL!$K$3:$K$60)),IF(K61&gt;LOOKUP(2,1/((HISTORIAL!$O$3:$O$60=O61)*(HISTORIAL!$F$3:$F$60&lt;&gt;"")),HISTORIAL!$K$3:$K$60),"^",IF(K61&lt;LOOKUP(2,1/((HISTORIAL!$O$3:$O$60=O61)*(HISTORIAL!$F$3:$F$60&lt;&gt;"")),HISTORIAL!$K$3:$K$60),"v","-")),"-")),"-")</f>
        <v>-</v>
      </c>
      <c r="N61" s="54" t="str">
        <f>IFERROR(VLOOKUP(A61,CONFIG!$A$10:$B$21,2,0),"")</f>
        <v>HIP</v>
      </c>
      <c r="O61" s="55" t="str">
        <f t="shared" si="1"/>
        <v>Elevaciones Laterales|Cable Polea Individual</v>
      </c>
      <c r="P61" s="69" t="str">
        <f>SABADO!AC25</f>
        <v/>
      </c>
    </row>
    <row r="62" spans="1:16" ht="14.1" customHeight="1">
      <c r="A62" s="37">
        <v>1</v>
      </c>
      <c r="B62" s="37" t="s">
        <v>281</v>
      </c>
      <c r="C62" s="44" t="str">
        <f>SABADO!$A$27</f>
        <v>Encogimientos</v>
      </c>
      <c r="D62" s="45" t="str">
        <f>SABADO!$B$27</f>
        <v>Mancuernas Trapecio</v>
      </c>
      <c r="E62" s="37" t="str">
        <f>SABADO!$C$27</f>
        <v>mancuerna</v>
      </c>
      <c r="F62" s="46" t="str">
        <f>IF(P62="","",IFERROR(CHOOSE(VALUE(RIGHT(P62,1)),SABADO!F27,SABADO!I27,SABADO!L27,SABADO!O27,SABADO!R27),""))</f>
        <v/>
      </c>
      <c r="G62" s="47" t="str">
        <f>IF(P62="","",IFERROR(CHOOSE(VALUE(RIGHT(P62,1)),SABADO!G27,SABADO!J27,SABADO!M27,SABADO!P27,SABADO!S27),""))</f>
        <v/>
      </c>
      <c r="H62" s="48" t="str">
        <f>IF(P62="","",IFERROR(CHOOSE(VALUE(RIGHT(P62,1)),SABADO!H27,SABADO!K27,SABADO!N27,SABADO!Q27,SABADO!T27),""))</f>
        <v/>
      </c>
      <c r="I62" s="49" t="str">
        <f t="shared" si="0"/>
        <v/>
      </c>
      <c r="J62" s="50" t="str">
        <f>IF(P62="","",IFERROR(ROUND(CHOOSE(VALUE(RIGHT(P62,1)),IF(SABADO!C27="peso_corporal",IF(ISNUMBER(SABADO!E27),SABADO!E27,0)+SABADO!F27,SABADO!F27)*SABADO!G27,IF(SABADO!C27="peso_corporal",IF(ISNUMBER(SABADO!E27),SABADO!E27,0)+SABADO!I27,SABADO!I27)*SABADO!J27,IF(SABADO!C27="peso_corporal",IF(ISNUMBER(SABADO!E27),SABADO!E27,0)+SABADO!L27,SABADO!L27)*SABADO!M27,IF(SABADO!C27="peso_corporal",IF(ISNUMBER(SABADO!E27),SABADO!E27,0)+SABADO!O27,SABADO!O27)*SABADO!P27,IF(SABADO!C27="peso_corporal",IF(ISNUMBER(SABADO!E27),SABADO!E27,0)+SABADO!R27,SABADO!R27)*SABADO!S27),1),""))</f>
        <v/>
      </c>
      <c r="K62" s="51" t="str">
        <f>IF(P62="","",IFERROR(ROUND(CHOOSE(VALUE(RIGHT(P62,1)),(IF(SABADO!C27="peso_corporal",IF(ISNUMBER(SABADO!E27),SABADO!E27,0)+SABADO!F27,SABADO!F27))*(1+SABADO!G27/30),(IF(SABADO!C27="peso_corporal",IF(ISNUMBER(SABADO!E27),SABADO!E27,0)+SABADO!I27,SABADO!I27))*(1+SABADO!J27/30),(IF(SABADO!C27="peso_corporal",IF(ISNUMBER(SABADO!E27),SABADO!E27,0)+SABADO!L27,SABADO!L27))*(1+SABADO!M27/30),(IF(SABADO!C27="peso_corporal",IF(ISNUMBER(SABADO!E27),SABADO!E27,0)+SABADO!O27,SABADO!O27))*(1+SABADO!P27/30),(IF(SABADO!C27="peso_corporal",IF(ISNUMBER(SABADO!E27),SABADO!E27,0)+SABADO!R27,SABADO!R27))*(1+SABADO!S27/30)),1),""))</f>
        <v/>
      </c>
      <c r="L62" s="52">
        <f>IFERROR(SABADO!E27,"")</f>
        <v>80</v>
      </c>
      <c r="M62" s="53" t="str">
        <f>IFERROR(IF(K62="","-",IF(ISNUMBER(LOOKUP(2,1/((HISTORIAL!$O$3:$O$61=O62)*(HISTORIAL!$F$3:$F$61&lt;&gt;"")),HISTORIAL!$K$3:$K$61)),IF(K62&gt;LOOKUP(2,1/((HISTORIAL!$O$3:$O$61=O62)*(HISTORIAL!$F$3:$F$61&lt;&gt;"")),HISTORIAL!$K$3:$K$61),"^",IF(K62&lt;LOOKUP(2,1/((HISTORIAL!$O$3:$O$61=O62)*(HISTORIAL!$F$3:$F$61&lt;&gt;"")),HISTORIAL!$K$3:$K$61),"v","-")),"-")),"-")</f>
        <v>-</v>
      </c>
      <c r="N62" s="54" t="str">
        <f>IFERROR(VLOOKUP(A62,CONFIG!$A$10:$B$21,2,0),"")</f>
        <v>HIP</v>
      </c>
      <c r="O62" s="55" t="str">
        <f t="shared" si="1"/>
        <v>Encogimientos|Mancuernas Trapecio</v>
      </c>
      <c r="P62" s="69" t="str">
        <f>SABADO!AC27</f>
        <v/>
      </c>
    </row>
    <row r="63" spans="1:16" ht="14.1" customHeight="1">
      <c r="A63" s="37">
        <v>1</v>
      </c>
      <c r="B63" s="37" t="s">
        <v>281</v>
      </c>
      <c r="C63" s="44" t="str">
        <f>SABADO!$A$28</f>
        <v>Face Pull</v>
      </c>
      <c r="D63" s="45" t="str">
        <f>SABADO!$B$28</f>
        <v>Polea Alta Cuerda</v>
      </c>
      <c r="E63" s="37" t="str">
        <f>SABADO!$C$28</f>
        <v>polea</v>
      </c>
      <c r="F63" s="46" t="str">
        <f>IF(P63="","",IFERROR(CHOOSE(VALUE(RIGHT(P63,1)),SABADO!F28,SABADO!I28,SABADO!L28,SABADO!O28,SABADO!R28),""))</f>
        <v/>
      </c>
      <c r="G63" s="47" t="str">
        <f>IF(P63="","",IFERROR(CHOOSE(VALUE(RIGHT(P63,1)),SABADO!G28,SABADO!J28,SABADO!M28,SABADO!P28,SABADO!S28),""))</f>
        <v/>
      </c>
      <c r="H63" s="48" t="str">
        <f>IF(P63="","",IFERROR(CHOOSE(VALUE(RIGHT(P63,1)),SABADO!H28,SABADO!K28,SABADO!N28,SABADO!Q28,SABADO!T28),""))</f>
        <v/>
      </c>
      <c r="I63" s="49" t="str">
        <f t="shared" si="0"/>
        <v/>
      </c>
      <c r="J63" s="50" t="str">
        <f>IF(P63="","",IFERROR(ROUND(CHOOSE(VALUE(RIGHT(P63,1)),IF(SABADO!C28="peso_corporal",IF(ISNUMBER(SABADO!E28),SABADO!E28,0)+SABADO!F28,SABADO!F28)*SABADO!G28,IF(SABADO!C28="peso_corporal",IF(ISNUMBER(SABADO!E28),SABADO!E28,0)+SABADO!I28,SABADO!I28)*SABADO!J28,IF(SABADO!C28="peso_corporal",IF(ISNUMBER(SABADO!E28),SABADO!E28,0)+SABADO!L28,SABADO!L28)*SABADO!M28,IF(SABADO!C28="peso_corporal",IF(ISNUMBER(SABADO!E28),SABADO!E28,0)+SABADO!O28,SABADO!O28)*SABADO!P28,IF(SABADO!C28="peso_corporal",IF(ISNUMBER(SABADO!E28),SABADO!E28,0)+SABADO!R28,SABADO!R28)*SABADO!S28),1),""))</f>
        <v/>
      </c>
      <c r="K63" s="51" t="str">
        <f>IF(P63="","",IFERROR(ROUND(CHOOSE(VALUE(RIGHT(P63,1)),(IF(SABADO!C28="peso_corporal",IF(ISNUMBER(SABADO!E28),SABADO!E28,0)+SABADO!F28,SABADO!F28))*(1+SABADO!G28/30),(IF(SABADO!C28="peso_corporal",IF(ISNUMBER(SABADO!E28),SABADO!E28,0)+SABADO!I28,SABADO!I28))*(1+SABADO!J28/30),(IF(SABADO!C28="peso_corporal",IF(ISNUMBER(SABADO!E28),SABADO!E28,0)+SABADO!L28,SABADO!L28))*(1+SABADO!M28/30),(IF(SABADO!C28="peso_corporal",IF(ISNUMBER(SABADO!E28),SABADO!E28,0)+SABADO!O28,SABADO!O28))*(1+SABADO!P28/30),(IF(SABADO!C28="peso_corporal",IF(ISNUMBER(SABADO!E28),SABADO!E28,0)+SABADO!R28,SABADO!R28))*(1+SABADO!S28/30)),1),""))</f>
        <v/>
      </c>
      <c r="L63" s="52">
        <f>IFERROR(SABADO!E28,"")</f>
        <v>80</v>
      </c>
      <c r="M63" s="53" t="str">
        <f>IFERROR(IF(K63="","-",IF(ISNUMBER(LOOKUP(2,1/((HISTORIAL!$O$3:$O$62=O63)*(HISTORIAL!$F$3:$F$62&lt;&gt;"")),HISTORIAL!$K$3:$K$62)),IF(K63&gt;LOOKUP(2,1/((HISTORIAL!$O$3:$O$62=O63)*(HISTORIAL!$F$3:$F$62&lt;&gt;"")),HISTORIAL!$K$3:$K$62),"^",IF(K63&lt;LOOKUP(2,1/((HISTORIAL!$O$3:$O$62=O63)*(HISTORIAL!$F$3:$F$62&lt;&gt;"")),HISTORIAL!$K$3:$K$62),"v","-")),"-")),"-")</f>
        <v>-</v>
      </c>
      <c r="N63" s="54" t="str">
        <f>IFERROR(VLOOKUP(A63,CONFIG!$A$10:$B$21,2,0),"")</f>
        <v>HIP</v>
      </c>
      <c r="O63" s="55" t="str">
        <f t="shared" si="1"/>
        <v>Face Pull|Polea Alta Cuerda</v>
      </c>
      <c r="P63" s="69" t="str">
        <f>SABADO!AC28</f>
        <v/>
      </c>
    </row>
    <row r="64" spans="1:16" ht="14.1" customHeight="1">
      <c r="A64" s="37">
        <v>1</v>
      </c>
      <c r="B64" s="37" t="s">
        <v>281</v>
      </c>
      <c r="C64" s="44" t="str">
        <f>SABADO!$A$30</f>
        <v>Hiperextension</v>
      </c>
      <c r="D64" s="45" t="str">
        <f>SABADO!$B$30</f>
        <v>Banco Romano</v>
      </c>
      <c r="E64" s="37" t="str">
        <f>SABADO!$C$30</f>
        <v>peso_corporal</v>
      </c>
      <c r="F64" s="46" t="str">
        <f>IF(P64="","",IFERROR(CHOOSE(VALUE(RIGHT(P64,1)),SABADO!F30,SABADO!I30,SABADO!L30,SABADO!O30,SABADO!R30),""))</f>
        <v/>
      </c>
      <c r="G64" s="47" t="str">
        <f>IF(P64="","",IFERROR(CHOOSE(VALUE(RIGHT(P64,1)),SABADO!G30,SABADO!J30,SABADO!M30,SABADO!P30,SABADO!S30),""))</f>
        <v/>
      </c>
      <c r="H64" s="48" t="str">
        <f>IF(P64="","",IFERROR(CHOOSE(VALUE(RIGHT(P64,1)),SABADO!H30,SABADO!K30,SABADO!N30,SABADO!Q30,SABADO!T30),""))</f>
        <v/>
      </c>
      <c r="I64" s="49" t="str">
        <f t="shared" si="0"/>
        <v/>
      </c>
      <c r="J64" s="50" t="str">
        <f>IF(P64="","",IFERROR(ROUND(CHOOSE(VALUE(RIGHT(P64,1)),IF(SABADO!C30="peso_corporal",IF(ISNUMBER(SABADO!E30),SABADO!E30,0)+SABADO!F30,SABADO!F30)*SABADO!G30,IF(SABADO!C30="peso_corporal",IF(ISNUMBER(SABADO!E30),SABADO!E30,0)+SABADO!I30,SABADO!I30)*SABADO!J30,IF(SABADO!C30="peso_corporal",IF(ISNUMBER(SABADO!E30),SABADO!E30,0)+SABADO!L30,SABADO!L30)*SABADO!M30,IF(SABADO!C30="peso_corporal",IF(ISNUMBER(SABADO!E30),SABADO!E30,0)+SABADO!O30,SABADO!O30)*SABADO!P30,IF(SABADO!C30="peso_corporal",IF(ISNUMBER(SABADO!E30),SABADO!E30,0)+SABADO!R30,SABADO!R30)*SABADO!S30),1),""))</f>
        <v/>
      </c>
      <c r="K64" s="51" t="str">
        <f>IF(P64="","",IFERROR(ROUND(CHOOSE(VALUE(RIGHT(P64,1)),(IF(SABADO!C30="peso_corporal",IF(ISNUMBER(SABADO!E30),SABADO!E30,0)+SABADO!F30,SABADO!F30))*(1+SABADO!G30/30),(IF(SABADO!C30="peso_corporal",IF(ISNUMBER(SABADO!E30),SABADO!E30,0)+SABADO!I30,SABADO!I30))*(1+SABADO!J30/30),(IF(SABADO!C30="peso_corporal",IF(ISNUMBER(SABADO!E30),SABADO!E30,0)+SABADO!L30,SABADO!L30))*(1+SABADO!M30/30),(IF(SABADO!C30="peso_corporal",IF(ISNUMBER(SABADO!E30),SABADO!E30,0)+SABADO!O30,SABADO!O30))*(1+SABADO!P30/30),(IF(SABADO!C30="peso_corporal",IF(ISNUMBER(SABADO!E30),SABADO!E30,0)+SABADO!R30,SABADO!R30))*(1+SABADO!S30/30)),1),""))</f>
        <v/>
      </c>
      <c r="L64" s="52">
        <f>IFERROR(SABADO!E30,"")</f>
        <v>80</v>
      </c>
      <c r="M64" s="53" t="str">
        <f>IFERROR(IF(K64="","-",IF(ISNUMBER(LOOKUP(2,1/((HISTORIAL!$O$3:$O$63=O64)*(HISTORIAL!$F$3:$F$63&lt;&gt;"")),HISTORIAL!$K$3:$K$63)),IF(K64&gt;LOOKUP(2,1/((HISTORIAL!$O$3:$O$63=O64)*(HISTORIAL!$F$3:$F$63&lt;&gt;"")),HISTORIAL!$K$3:$K$63),"^",IF(K64&lt;LOOKUP(2,1/((HISTORIAL!$O$3:$O$63=O64)*(HISTORIAL!$F$3:$F$63&lt;&gt;"")),HISTORIAL!$K$3:$K$63),"v","-")),"-")),"-")</f>
        <v>-</v>
      </c>
      <c r="N64" s="54" t="str">
        <f>IFERROR(VLOOKUP(A64,CONFIG!$A$10:$B$21,2,0),"")</f>
        <v>HIP</v>
      </c>
      <c r="O64" s="55" t="str">
        <f t="shared" si="1"/>
        <v>Hiperextension|Banco Romano</v>
      </c>
      <c r="P64" s="69" t="str">
        <f>SABADO!AC30</f>
        <v/>
      </c>
    </row>
    <row r="65" spans="1:16" ht="14.1" customHeight="1">
      <c r="A65" s="37">
        <v>1</v>
      </c>
      <c r="B65" s="37" t="s">
        <v>281</v>
      </c>
      <c r="C65" s="44" t="str">
        <f>SABADO!$A$32</f>
        <v>Crunch</v>
      </c>
      <c r="D65" s="45" t="str">
        <f>SABADO!$B$32</f>
        <v>Polea</v>
      </c>
      <c r="E65" s="37" t="str">
        <f>SABADO!$C$32</f>
        <v>polea</v>
      </c>
      <c r="F65" s="46" t="str">
        <f>IF(P65="","",IFERROR(CHOOSE(VALUE(RIGHT(P65,1)),SABADO!F32,SABADO!I32,SABADO!L32,SABADO!O32,SABADO!R32),""))</f>
        <v/>
      </c>
      <c r="G65" s="47" t="str">
        <f>IF(P65="","",IFERROR(CHOOSE(VALUE(RIGHT(P65,1)),SABADO!G32,SABADO!J32,SABADO!M32,SABADO!P32,SABADO!S32),""))</f>
        <v/>
      </c>
      <c r="H65" s="48" t="str">
        <f>IF(P65="","",IFERROR(CHOOSE(VALUE(RIGHT(P65,1)),SABADO!H32,SABADO!K32,SABADO!N32,SABADO!Q32,SABADO!T32),""))</f>
        <v/>
      </c>
      <c r="I65" s="49" t="str">
        <f t="shared" si="0"/>
        <v/>
      </c>
      <c r="J65" s="50" t="str">
        <f>IF(P65="","",IFERROR(ROUND(CHOOSE(VALUE(RIGHT(P65,1)),IF(SABADO!C32="peso_corporal",IF(ISNUMBER(SABADO!E32),SABADO!E32,0)+SABADO!F32,SABADO!F32)*SABADO!G32,IF(SABADO!C32="peso_corporal",IF(ISNUMBER(SABADO!E32),SABADO!E32,0)+SABADO!I32,SABADO!I32)*SABADO!J32,IF(SABADO!C32="peso_corporal",IF(ISNUMBER(SABADO!E32),SABADO!E32,0)+SABADO!L32,SABADO!L32)*SABADO!M32,IF(SABADO!C32="peso_corporal",IF(ISNUMBER(SABADO!E32),SABADO!E32,0)+SABADO!O32,SABADO!O32)*SABADO!P32,IF(SABADO!C32="peso_corporal",IF(ISNUMBER(SABADO!E32),SABADO!E32,0)+SABADO!R32,SABADO!R32)*SABADO!S32),1),""))</f>
        <v/>
      </c>
      <c r="K65" s="51" t="str">
        <f>IF(P65="","",IFERROR(ROUND(CHOOSE(VALUE(RIGHT(P65,1)),(IF(SABADO!C32="peso_corporal",IF(ISNUMBER(SABADO!E32),SABADO!E32,0)+SABADO!F32,SABADO!F32))*(1+SABADO!G32/30),(IF(SABADO!C32="peso_corporal",IF(ISNUMBER(SABADO!E32),SABADO!E32,0)+SABADO!I32,SABADO!I32))*(1+SABADO!J32/30),(IF(SABADO!C32="peso_corporal",IF(ISNUMBER(SABADO!E32),SABADO!E32,0)+SABADO!L32,SABADO!L32))*(1+SABADO!M32/30),(IF(SABADO!C32="peso_corporal",IF(ISNUMBER(SABADO!E32),SABADO!E32,0)+SABADO!O32,SABADO!O32))*(1+SABADO!P32/30),(IF(SABADO!C32="peso_corporal",IF(ISNUMBER(SABADO!E32),SABADO!E32,0)+SABADO!R32,SABADO!R32))*(1+SABADO!S32/30)),1),""))</f>
        <v/>
      </c>
      <c r="L65" s="52">
        <f>IFERROR(SABADO!E32,"")</f>
        <v>80</v>
      </c>
      <c r="M65" s="53" t="str">
        <f>IFERROR(IF(K65="","-",IF(ISNUMBER(LOOKUP(2,1/((HISTORIAL!$O$3:$O$64=O65)*(HISTORIAL!$F$3:$F$64&lt;&gt;"")),HISTORIAL!$K$3:$K$64)),IF(K65&gt;LOOKUP(2,1/((HISTORIAL!$O$3:$O$64=O65)*(HISTORIAL!$F$3:$F$64&lt;&gt;"")),HISTORIAL!$K$3:$K$64),"^",IF(K65&lt;LOOKUP(2,1/((HISTORIAL!$O$3:$O$64=O65)*(HISTORIAL!$F$3:$F$64&lt;&gt;"")),HISTORIAL!$K$3:$K$64),"v","-")),"-")),"-")</f>
        <v>-</v>
      </c>
      <c r="N65" s="54" t="str">
        <f>IFERROR(VLOOKUP(A65,CONFIG!$A$10:$B$21,2,0),"")</f>
        <v>HIP</v>
      </c>
      <c r="O65" s="55" t="str">
        <f t="shared" si="1"/>
        <v>Crunch|Polea</v>
      </c>
      <c r="P65" s="69" t="str">
        <f>SABADO!AC32</f>
        <v/>
      </c>
    </row>
    <row r="66" spans="1:16" ht="14.1" customHeight="1">
      <c r="A66" s="37">
        <v>2</v>
      </c>
      <c r="B66" s="37" t="s">
        <v>277</v>
      </c>
      <c r="C66" s="44" t="str">
        <f>LUNES!$A$35</f>
        <v>Press Plano</v>
      </c>
      <c r="D66" s="45" t="str">
        <f>LUNES!$B$35</f>
        <v>Barra</v>
      </c>
      <c r="E66" s="37" t="str">
        <f>LUNES!$C$35</f>
        <v>disco</v>
      </c>
      <c r="F66" s="46" t="str">
        <f>IF(P66="","",IFERROR(CHOOSE(VALUE(RIGHT(P66,1)),LUNES!F35,LUNES!I35,LUNES!L35,LUNES!O35,LUNES!R35),""))</f>
        <v/>
      </c>
      <c r="G66" s="47" t="str">
        <f>IF(P66="","",IFERROR(CHOOSE(VALUE(RIGHT(P66,1)),LUNES!G35,LUNES!J35,LUNES!M35,LUNES!P35,LUNES!S35),""))</f>
        <v/>
      </c>
      <c r="H66" s="48" t="str">
        <f>IF(P66="","",IFERROR(CHOOSE(VALUE(RIGHT(P66,1)),LUNES!H35,LUNES!K35,LUNES!N35,LUNES!Q35,LUNES!T35),""))</f>
        <v/>
      </c>
      <c r="I66" s="49" t="str">
        <f t="shared" si="0"/>
        <v/>
      </c>
      <c r="J66" s="50" t="str">
        <f>IF(P66="","",IFERROR(ROUND(CHOOSE(VALUE(RIGHT(P66,1)),IF(LUNES!C35="peso_corporal",IF(ISNUMBER(LUNES!E35),LUNES!E35,0)+LUNES!F35,LUNES!F35)*LUNES!G35,IF(LUNES!C35="peso_corporal",IF(ISNUMBER(LUNES!E35),LUNES!E35,0)+LUNES!I35,LUNES!I35)*LUNES!J35,IF(LUNES!C35="peso_corporal",IF(ISNUMBER(LUNES!E35),LUNES!E35,0)+LUNES!L35,LUNES!L35)*LUNES!M35,IF(LUNES!C35="peso_corporal",IF(ISNUMBER(LUNES!E35),LUNES!E35,0)+LUNES!O35,LUNES!O35)*LUNES!P35,IF(LUNES!C35="peso_corporal",IF(ISNUMBER(LUNES!E35),LUNES!E35,0)+LUNES!R35,LUNES!R35)*LUNES!S35),1),""))</f>
        <v/>
      </c>
      <c r="K66" s="51" t="str">
        <f>IF(P66="","",IFERROR(ROUND(CHOOSE(VALUE(RIGHT(P66,1)),(IF(LUNES!C35="peso_corporal",IF(ISNUMBER(LUNES!E35),LUNES!E35,0)+LUNES!F35,LUNES!F35))*(1+LUNES!G35/30),(IF(LUNES!C35="peso_corporal",IF(ISNUMBER(LUNES!E35),LUNES!E35,0)+LUNES!I35,LUNES!I35))*(1+LUNES!J35/30),(IF(LUNES!C35="peso_corporal",IF(ISNUMBER(LUNES!E35),LUNES!E35,0)+LUNES!L35,LUNES!L35))*(1+LUNES!M35/30),(IF(LUNES!C35="peso_corporal",IF(ISNUMBER(LUNES!E35),LUNES!E35,0)+LUNES!O35,LUNES!O35))*(1+LUNES!P35/30),(IF(LUNES!C35="peso_corporal",IF(ISNUMBER(LUNES!E35),LUNES!E35,0)+LUNES!R35,LUNES!R35))*(1+LUNES!S35/30)),1),""))</f>
        <v/>
      </c>
      <c r="L66" s="52">
        <f>IFERROR(LUNES!E35,"")</f>
        <v>80</v>
      </c>
      <c r="M66" s="53" t="str">
        <f>IFERROR(IF(K66="","-",IF(ISNUMBER(LOOKUP(2,1/((HISTORIAL!$O$3:$O$65=O66)*(HISTORIAL!$F$3:$F$65&lt;&gt;"")),HISTORIAL!$K$3:$K$65)),IF(K66&gt;LOOKUP(2,1/((HISTORIAL!$O$3:$O$65=O66)*(HISTORIAL!$F$3:$F$65&lt;&gt;"")),HISTORIAL!$K$3:$K$65),"^",IF(K66&lt;LOOKUP(2,1/((HISTORIAL!$O$3:$O$65=O66)*(HISTORIAL!$F$3:$F$65&lt;&gt;"")),HISTORIAL!$K$3:$K$65),"v","-")),"-")),"-")</f>
        <v>-</v>
      </c>
      <c r="N66" s="54" t="str">
        <f>IFERROR(VLOOKUP(A66,CONFIG!$A$10:$B$21,2,0),"")</f>
        <v>HIP</v>
      </c>
      <c r="O66" s="55" t="str">
        <f t="shared" si="1"/>
        <v>Press Plano|Barra</v>
      </c>
      <c r="P66" s="69" t="str">
        <f>LUNES!AC35</f>
        <v/>
      </c>
    </row>
    <row r="67" spans="1:16" ht="14.1" customHeight="1">
      <c r="A67" s="37">
        <v>2</v>
      </c>
      <c r="B67" s="37" t="s">
        <v>277</v>
      </c>
      <c r="C67" s="44" t="str">
        <f>LUNES!$A$37</f>
        <v>Press Inclinado</v>
      </c>
      <c r="D67" s="45" t="str">
        <f>LUNES!$B$37</f>
        <v>Mancuernas</v>
      </c>
      <c r="E67" s="37" t="str">
        <f>LUNES!$C$37</f>
        <v>mancuerna</v>
      </c>
      <c r="F67" s="46" t="str">
        <f>IF(P67="","",IFERROR(CHOOSE(VALUE(RIGHT(P67,1)),LUNES!F37,LUNES!I37,LUNES!L37,LUNES!O37,LUNES!R37),""))</f>
        <v/>
      </c>
      <c r="G67" s="47" t="str">
        <f>IF(P67="","",IFERROR(CHOOSE(VALUE(RIGHT(P67,1)),LUNES!G37,LUNES!J37,LUNES!M37,LUNES!P37,LUNES!S37),""))</f>
        <v/>
      </c>
      <c r="H67" s="48" t="str">
        <f>IF(P67="","",IFERROR(CHOOSE(VALUE(RIGHT(P67,1)),LUNES!H37,LUNES!K37,LUNES!N37,LUNES!Q37,LUNES!T37),""))</f>
        <v/>
      </c>
      <c r="I67" s="49" t="str">
        <f t="shared" ref="I67:I130" si="2">IF(P67="","",LEFT(P67,1))</f>
        <v/>
      </c>
      <c r="J67" s="50" t="str">
        <f>IF(P67="","",IFERROR(ROUND(CHOOSE(VALUE(RIGHT(P67,1)),IF(LUNES!C37="peso_corporal",IF(ISNUMBER(LUNES!E37),LUNES!E37,0)+LUNES!F37,LUNES!F37)*LUNES!G37,IF(LUNES!C37="peso_corporal",IF(ISNUMBER(LUNES!E37),LUNES!E37,0)+LUNES!I37,LUNES!I37)*LUNES!J37,IF(LUNES!C37="peso_corporal",IF(ISNUMBER(LUNES!E37),LUNES!E37,0)+LUNES!L37,LUNES!L37)*LUNES!M37,IF(LUNES!C37="peso_corporal",IF(ISNUMBER(LUNES!E37),LUNES!E37,0)+LUNES!O37,LUNES!O37)*LUNES!P37,IF(LUNES!C37="peso_corporal",IF(ISNUMBER(LUNES!E37),LUNES!E37,0)+LUNES!R37,LUNES!R37)*LUNES!S37),1),""))</f>
        <v/>
      </c>
      <c r="K67" s="51" t="str">
        <f>IF(P67="","",IFERROR(ROUND(CHOOSE(VALUE(RIGHT(P67,1)),(IF(LUNES!C37="peso_corporal",IF(ISNUMBER(LUNES!E37),LUNES!E37,0)+LUNES!F37,LUNES!F37))*(1+LUNES!G37/30),(IF(LUNES!C37="peso_corporal",IF(ISNUMBER(LUNES!E37),LUNES!E37,0)+LUNES!I37,LUNES!I37))*(1+LUNES!J37/30),(IF(LUNES!C37="peso_corporal",IF(ISNUMBER(LUNES!E37),LUNES!E37,0)+LUNES!L37,LUNES!L37))*(1+LUNES!M37/30),(IF(LUNES!C37="peso_corporal",IF(ISNUMBER(LUNES!E37),LUNES!E37,0)+LUNES!O37,LUNES!O37))*(1+LUNES!P37/30),(IF(LUNES!C37="peso_corporal",IF(ISNUMBER(LUNES!E37),LUNES!E37,0)+LUNES!R37,LUNES!R37))*(1+LUNES!S37/30)),1),""))</f>
        <v/>
      </c>
      <c r="L67" s="52">
        <f>IFERROR(LUNES!E37,"")</f>
        <v>80</v>
      </c>
      <c r="M67" s="53" t="str">
        <f>IFERROR(IF(K67="","-",IF(ISNUMBER(LOOKUP(2,1/((HISTORIAL!$O$3:$O$66=O67)*(HISTORIAL!$F$3:$F$66&lt;&gt;"")),HISTORIAL!$K$3:$K$66)),IF(K67&gt;LOOKUP(2,1/((HISTORIAL!$O$3:$O$66=O67)*(HISTORIAL!$F$3:$F$66&lt;&gt;"")),HISTORIAL!$K$3:$K$66),"^",IF(K67&lt;LOOKUP(2,1/((HISTORIAL!$O$3:$O$66=O67)*(HISTORIAL!$F$3:$F$66&lt;&gt;"")),HISTORIAL!$K$3:$K$66),"v","-")),"-")),"-")</f>
        <v>-</v>
      </c>
      <c r="N67" s="54" t="str">
        <f>IFERROR(VLOOKUP(A67,CONFIG!$A$10:$B$21,2,0),"")</f>
        <v>HIP</v>
      </c>
      <c r="O67" s="55" t="str">
        <f t="shared" ref="O67:O130" si="3">C67&amp;"|"&amp;D67</f>
        <v>Press Inclinado|Mancuernas</v>
      </c>
      <c r="P67" s="69" t="str">
        <f>LUNES!AC37</f>
        <v/>
      </c>
    </row>
    <row r="68" spans="1:16" ht="14.1" customHeight="1">
      <c r="A68" s="37">
        <v>2</v>
      </c>
      <c r="B68" s="37" t="s">
        <v>277</v>
      </c>
      <c r="C68" s="44" t="str">
        <f>LUNES!$A$39</f>
        <v>Fondos</v>
      </c>
      <c r="D68" s="45" t="str">
        <f>LUNES!$B$39</f>
        <v>Paralelas</v>
      </c>
      <c r="E68" s="37" t="str">
        <f>LUNES!$C$39</f>
        <v>peso_corporal</v>
      </c>
      <c r="F68" s="46" t="str">
        <f>IF(P68="","",IFERROR(CHOOSE(VALUE(RIGHT(P68,1)),LUNES!F39,LUNES!I39,LUNES!L39,LUNES!O39,LUNES!R39),""))</f>
        <v/>
      </c>
      <c r="G68" s="47" t="str">
        <f>IF(P68="","",IFERROR(CHOOSE(VALUE(RIGHT(P68,1)),LUNES!G39,LUNES!J39,LUNES!M39,LUNES!P39,LUNES!S39),""))</f>
        <v/>
      </c>
      <c r="H68" s="48" t="str">
        <f>IF(P68="","",IFERROR(CHOOSE(VALUE(RIGHT(P68,1)),LUNES!H39,LUNES!K39,LUNES!N39,LUNES!Q39,LUNES!T39),""))</f>
        <v/>
      </c>
      <c r="I68" s="49" t="str">
        <f t="shared" si="2"/>
        <v/>
      </c>
      <c r="J68" s="50" t="str">
        <f>IF(P68="","",IFERROR(ROUND(CHOOSE(VALUE(RIGHT(P68,1)),IF(LUNES!C39="peso_corporal",IF(ISNUMBER(LUNES!E39),LUNES!E39,0)+LUNES!F39,LUNES!F39)*LUNES!G39,IF(LUNES!C39="peso_corporal",IF(ISNUMBER(LUNES!E39),LUNES!E39,0)+LUNES!I39,LUNES!I39)*LUNES!J39,IF(LUNES!C39="peso_corporal",IF(ISNUMBER(LUNES!E39),LUNES!E39,0)+LUNES!L39,LUNES!L39)*LUNES!M39,IF(LUNES!C39="peso_corporal",IF(ISNUMBER(LUNES!E39),LUNES!E39,0)+LUNES!O39,LUNES!O39)*LUNES!P39,IF(LUNES!C39="peso_corporal",IF(ISNUMBER(LUNES!E39),LUNES!E39,0)+LUNES!R39,LUNES!R39)*LUNES!S39),1),""))</f>
        <v/>
      </c>
      <c r="K68" s="51" t="str">
        <f>IF(P68="","",IFERROR(ROUND(CHOOSE(VALUE(RIGHT(P68,1)),(IF(LUNES!C39="peso_corporal",IF(ISNUMBER(LUNES!E39),LUNES!E39,0)+LUNES!F39,LUNES!F39))*(1+LUNES!G39/30),(IF(LUNES!C39="peso_corporal",IF(ISNUMBER(LUNES!E39),LUNES!E39,0)+LUNES!I39,LUNES!I39))*(1+LUNES!J39/30),(IF(LUNES!C39="peso_corporal",IF(ISNUMBER(LUNES!E39),LUNES!E39,0)+LUNES!L39,LUNES!L39))*(1+LUNES!M39/30),(IF(LUNES!C39="peso_corporal",IF(ISNUMBER(LUNES!E39),LUNES!E39,0)+LUNES!O39,LUNES!O39))*(1+LUNES!P39/30),(IF(LUNES!C39="peso_corporal",IF(ISNUMBER(LUNES!E39),LUNES!E39,0)+LUNES!R39,LUNES!R39))*(1+LUNES!S39/30)),1),""))</f>
        <v/>
      </c>
      <c r="L68" s="52">
        <f>IFERROR(LUNES!E39,"")</f>
        <v>80</v>
      </c>
      <c r="M68" s="53" t="str">
        <f>IFERROR(IF(K68="","-",IF(ISNUMBER(LOOKUP(2,1/((HISTORIAL!$O$3:$O$67=O68)*(HISTORIAL!$F$3:$F$67&lt;&gt;"")),HISTORIAL!$K$3:$K$67)),IF(K68&gt;LOOKUP(2,1/((HISTORIAL!$O$3:$O$67=O68)*(HISTORIAL!$F$3:$F$67&lt;&gt;"")),HISTORIAL!$K$3:$K$67),"^",IF(K68&lt;LOOKUP(2,1/((HISTORIAL!$O$3:$O$67=O68)*(HISTORIAL!$F$3:$F$67&lt;&gt;"")),HISTORIAL!$K$3:$K$67),"v","-")),"-")),"-")</f>
        <v>-</v>
      </c>
      <c r="N68" s="54" t="str">
        <f>IFERROR(VLOOKUP(A68,CONFIG!$A$10:$B$21,2,0),"")</f>
        <v>HIP</v>
      </c>
      <c r="O68" s="55" t="str">
        <f t="shared" si="3"/>
        <v>Fondos|Paralelas</v>
      </c>
      <c r="P68" s="69" t="str">
        <f>LUNES!AC39</f>
        <v/>
      </c>
    </row>
    <row r="69" spans="1:16" ht="14.1" customHeight="1">
      <c r="A69" s="37">
        <v>2</v>
      </c>
      <c r="B69" s="37" t="s">
        <v>277</v>
      </c>
      <c r="C69" s="44" t="str">
        <f>LUNES!$A$40</f>
        <v>Aperturas</v>
      </c>
      <c r="D69" s="45" t="str">
        <f>LUNES!$B$40</f>
        <v>Polea Baja Crossover</v>
      </c>
      <c r="E69" s="37" t="str">
        <f>LUNES!$C$40</f>
        <v>--</v>
      </c>
      <c r="F69" s="46" t="str">
        <f>IF(P69="","",IFERROR(CHOOSE(VALUE(RIGHT(P69,1)),LUNES!F40,LUNES!I40,LUNES!L40,LUNES!O40,LUNES!R40),""))</f>
        <v/>
      </c>
      <c r="G69" s="47" t="str">
        <f>IF(P69="","",IFERROR(CHOOSE(VALUE(RIGHT(P69,1)),LUNES!G40,LUNES!J40,LUNES!M40,LUNES!P40,LUNES!S40),""))</f>
        <v/>
      </c>
      <c r="H69" s="48" t="str">
        <f>IF(P69="","",IFERROR(CHOOSE(VALUE(RIGHT(P69,1)),LUNES!H40,LUNES!K40,LUNES!N40,LUNES!Q40,LUNES!T40),""))</f>
        <v/>
      </c>
      <c r="I69" s="49" t="str">
        <f t="shared" si="2"/>
        <v/>
      </c>
      <c r="J69" s="50" t="str">
        <f>IF(P69="","",IFERROR(ROUND(CHOOSE(VALUE(RIGHT(P69,1)),IF(LUNES!C40="peso_corporal",IF(ISNUMBER(LUNES!E40),LUNES!E40,0)+LUNES!F40,LUNES!F40)*LUNES!G40,IF(LUNES!C40="peso_corporal",IF(ISNUMBER(LUNES!E40),LUNES!E40,0)+LUNES!I40,LUNES!I40)*LUNES!J40,IF(LUNES!C40="peso_corporal",IF(ISNUMBER(LUNES!E40),LUNES!E40,0)+LUNES!L40,LUNES!L40)*LUNES!M40,IF(LUNES!C40="peso_corporal",IF(ISNUMBER(LUNES!E40),LUNES!E40,0)+LUNES!O40,LUNES!O40)*LUNES!P40,IF(LUNES!C40="peso_corporal",IF(ISNUMBER(LUNES!E40),LUNES!E40,0)+LUNES!R40,LUNES!R40)*LUNES!S40),1),""))</f>
        <v/>
      </c>
      <c r="K69" s="51" t="str">
        <f>IF(P69="","",IFERROR(ROUND(CHOOSE(VALUE(RIGHT(P69,1)),(IF(LUNES!C40="peso_corporal",IF(ISNUMBER(LUNES!E40),LUNES!E40,0)+LUNES!F40,LUNES!F40))*(1+LUNES!G40/30),(IF(LUNES!C40="peso_corporal",IF(ISNUMBER(LUNES!E40),LUNES!E40,0)+LUNES!I40,LUNES!I40))*(1+LUNES!J40/30),(IF(LUNES!C40="peso_corporal",IF(ISNUMBER(LUNES!E40),LUNES!E40,0)+LUNES!L40,LUNES!L40))*(1+LUNES!M40/30),(IF(LUNES!C40="peso_corporal",IF(ISNUMBER(LUNES!E40),LUNES!E40,0)+LUNES!O40,LUNES!O40))*(1+LUNES!P40/30),(IF(LUNES!C40="peso_corporal",IF(ISNUMBER(LUNES!E40),LUNES!E40,0)+LUNES!R40,LUNES!R40))*(1+LUNES!S40/30)),1),""))</f>
        <v/>
      </c>
      <c r="L69" s="52">
        <f>IFERROR(LUNES!E40,"")</f>
        <v>80</v>
      </c>
      <c r="M69" s="53" t="str">
        <f>IFERROR(IF(K69="","-",IF(ISNUMBER(LOOKUP(2,1/((HISTORIAL!$O$3:$O$68=O69)*(HISTORIAL!$F$3:$F$68&lt;&gt;"")),HISTORIAL!$K$3:$K$68)),IF(K69&gt;LOOKUP(2,1/((HISTORIAL!$O$3:$O$68=O69)*(HISTORIAL!$F$3:$F$68&lt;&gt;"")),HISTORIAL!$K$3:$K$68),"^",IF(K69&lt;LOOKUP(2,1/((HISTORIAL!$O$3:$O$68=O69)*(HISTORIAL!$F$3:$F$68&lt;&gt;"")),HISTORIAL!$K$3:$K$68),"v","-")),"-")),"-")</f>
        <v>-</v>
      </c>
      <c r="N69" s="54" t="str">
        <f>IFERROR(VLOOKUP(A69,CONFIG!$A$10:$B$21,2,0),"")</f>
        <v>HIP</v>
      </c>
      <c r="O69" s="55" t="str">
        <f t="shared" si="3"/>
        <v>Aperturas|Polea Baja Crossover</v>
      </c>
      <c r="P69" s="69" t="str">
        <f>LUNES!AC40</f>
        <v/>
      </c>
    </row>
    <row r="70" spans="1:16" ht="14.1" customHeight="1">
      <c r="A70" s="37">
        <v>2</v>
      </c>
      <c r="B70" s="37" t="s">
        <v>277</v>
      </c>
      <c r="C70" s="44" t="str">
        <f>LUNES!$A$41</f>
        <v>Aperturas</v>
      </c>
      <c r="D70" s="45" t="str">
        <f>LUNES!$B$41</f>
        <v>Pec Deck Maquina</v>
      </c>
      <c r="E70" s="37" t="str">
        <f>LUNES!$C$41</f>
        <v>--</v>
      </c>
      <c r="F70" s="46" t="str">
        <f>IF(P70="","",IFERROR(CHOOSE(VALUE(RIGHT(P70,1)),LUNES!F41,LUNES!I41,LUNES!L41,LUNES!O41,LUNES!R41),""))</f>
        <v/>
      </c>
      <c r="G70" s="47" t="str">
        <f>IF(P70="","",IFERROR(CHOOSE(VALUE(RIGHT(P70,1)),LUNES!G41,LUNES!J41,LUNES!M41,LUNES!P41,LUNES!S41),""))</f>
        <v/>
      </c>
      <c r="H70" s="48" t="str">
        <f>IF(P70="","",IFERROR(CHOOSE(VALUE(RIGHT(P70,1)),LUNES!H41,LUNES!K41,LUNES!N41,LUNES!Q41,LUNES!T41),""))</f>
        <v/>
      </c>
      <c r="I70" s="49" t="str">
        <f t="shared" si="2"/>
        <v/>
      </c>
      <c r="J70" s="50" t="str">
        <f>IF(P70="","",IFERROR(ROUND(CHOOSE(VALUE(RIGHT(P70,1)),IF(LUNES!C41="peso_corporal",IF(ISNUMBER(LUNES!E41),LUNES!E41,0)+LUNES!F41,LUNES!F41)*LUNES!G41,IF(LUNES!C41="peso_corporal",IF(ISNUMBER(LUNES!E41),LUNES!E41,0)+LUNES!I41,LUNES!I41)*LUNES!J41,IF(LUNES!C41="peso_corporal",IF(ISNUMBER(LUNES!E41),LUNES!E41,0)+LUNES!L41,LUNES!L41)*LUNES!M41,IF(LUNES!C41="peso_corporal",IF(ISNUMBER(LUNES!E41),LUNES!E41,0)+LUNES!O41,LUNES!O41)*LUNES!P41,IF(LUNES!C41="peso_corporal",IF(ISNUMBER(LUNES!E41),LUNES!E41,0)+LUNES!R41,LUNES!R41)*LUNES!S41),1),""))</f>
        <v/>
      </c>
      <c r="K70" s="51" t="str">
        <f>IF(P70="","",IFERROR(ROUND(CHOOSE(VALUE(RIGHT(P70,1)),(IF(LUNES!C41="peso_corporal",IF(ISNUMBER(LUNES!E41),LUNES!E41,0)+LUNES!F41,LUNES!F41))*(1+LUNES!G41/30),(IF(LUNES!C41="peso_corporal",IF(ISNUMBER(LUNES!E41),LUNES!E41,0)+LUNES!I41,LUNES!I41))*(1+LUNES!J41/30),(IF(LUNES!C41="peso_corporal",IF(ISNUMBER(LUNES!E41),LUNES!E41,0)+LUNES!L41,LUNES!L41))*(1+LUNES!M41/30),(IF(LUNES!C41="peso_corporal",IF(ISNUMBER(LUNES!E41),LUNES!E41,0)+LUNES!O41,LUNES!O41))*(1+LUNES!P41/30),(IF(LUNES!C41="peso_corporal",IF(ISNUMBER(LUNES!E41),LUNES!E41,0)+LUNES!R41,LUNES!R41))*(1+LUNES!S41/30)),1),""))</f>
        <v/>
      </c>
      <c r="L70" s="52">
        <f>IFERROR(LUNES!E41,"")</f>
        <v>80</v>
      </c>
      <c r="M70" s="53" t="str">
        <f>IFERROR(IF(K70="","-",IF(ISNUMBER(LOOKUP(2,1/((HISTORIAL!$O$3:$O$69=O70)*(HISTORIAL!$F$3:$F$69&lt;&gt;"")),HISTORIAL!$K$3:$K$69)),IF(K70&gt;LOOKUP(2,1/((HISTORIAL!$O$3:$O$69=O70)*(HISTORIAL!$F$3:$F$69&lt;&gt;"")),HISTORIAL!$K$3:$K$69),"^",IF(K70&lt;LOOKUP(2,1/((HISTORIAL!$O$3:$O$69=O70)*(HISTORIAL!$F$3:$F$69&lt;&gt;"")),HISTORIAL!$K$3:$K$69),"v","-")),"-")),"-")</f>
        <v>-</v>
      </c>
      <c r="N70" s="54" t="str">
        <f>IFERROR(VLOOKUP(A70,CONFIG!$A$10:$B$21,2,0),"")</f>
        <v>HIP</v>
      </c>
      <c r="O70" s="55" t="str">
        <f t="shared" si="3"/>
        <v>Aperturas|Pec Deck Maquina</v>
      </c>
      <c r="P70" s="69" t="str">
        <f>LUNES!AC41</f>
        <v/>
      </c>
    </row>
    <row r="71" spans="1:16" ht="14.1" customHeight="1">
      <c r="A71" s="37">
        <v>2</v>
      </c>
      <c r="B71" s="37" t="s">
        <v>277</v>
      </c>
      <c r="C71" s="44" t="str">
        <f>LUNES!$A$43</f>
        <v>Elevaciones Laterales</v>
      </c>
      <c r="D71" s="45" t="str">
        <f>LUNES!$B$43</f>
        <v>Cable Polea Individual</v>
      </c>
      <c r="E71" s="37" t="str">
        <f>LUNES!$C$43</f>
        <v>polea</v>
      </c>
      <c r="F71" s="46" t="str">
        <f>IF(P71="","",IFERROR(CHOOSE(VALUE(RIGHT(P71,1)),LUNES!F43,LUNES!I43,LUNES!L43,LUNES!O43,LUNES!R43),""))</f>
        <v/>
      </c>
      <c r="G71" s="47" t="str">
        <f>IF(P71="","",IFERROR(CHOOSE(VALUE(RIGHT(P71,1)),LUNES!G43,LUNES!J43,LUNES!M43,LUNES!P43,LUNES!S43),""))</f>
        <v/>
      </c>
      <c r="H71" s="48" t="str">
        <f>IF(P71="","",IFERROR(CHOOSE(VALUE(RIGHT(P71,1)),LUNES!H43,LUNES!K43,LUNES!N43,LUNES!Q43,LUNES!T43),""))</f>
        <v/>
      </c>
      <c r="I71" s="49" t="str">
        <f t="shared" si="2"/>
        <v/>
      </c>
      <c r="J71" s="50" t="str">
        <f>IF(P71="","",IFERROR(ROUND(CHOOSE(VALUE(RIGHT(P71,1)),IF(LUNES!C43="peso_corporal",IF(ISNUMBER(LUNES!E43),LUNES!E43,0)+LUNES!F43,LUNES!F43)*LUNES!G43,IF(LUNES!C43="peso_corporal",IF(ISNUMBER(LUNES!E43),LUNES!E43,0)+LUNES!I43,LUNES!I43)*LUNES!J43,IF(LUNES!C43="peso_corporal",IF(ISNUMBER(LUNES!E43),LUNES!E43,0)+LUNES!L43,LUNES!L43)*LUNES!M43,IF(LUNES!C43="peso_corporal",IF(ISNUMBER(LUNES!E43),LUNES!E43,0)+LUNES!O43,LUNES!O43)*LUNES!P43,IF(LUNES!C43="peso_corporal",IF(ISNUMBER(LUNES!E43),LUNES!E43,0)+LUNES!R43,LUNES!R43)*LUNES!S43),1),""))</f>
        <v/>
      </c>
      <c r="K71" s="51" t="str">
        <f>IF(P71="","",IFERROR(ROUND(CHOOSE(VALUE(RIGHT(P71,1)),(IF(LUNES!C43="peso_corporal",IF(ISNUMBER(LUNES!E43),LUNES!E43,0)+LUNES!F43,LUNES!F43))*(1+LUNES!G43/30),(IF(LUNES!C43="peso_corporal",IF(ISNUMBER(LUNES!E43),LUNES!E43,0)+LUNES!I43,LUNES!I43))*(1+LUNES!J43/30),(IF(LUNES!C43="peso_corporal",IF(ISNUMBER(LUNES!E43),LUNES!E43,0)+LUNES!L43,LUNES!L43))*(1+LUNES!M43/30),(IF(LUNES!C43="peso_corporal",IF(ISNUMBER(LUNES!E43),LUNES!E43,0)+LUNES!O43,LUNES!O43))*(1+LUNES!P43/30),(IF(LUNES!C43="peso_corporal",IF(ISNUMBER(LUNES!E43),LUNES!E43,0)+LUNES!R43,LUNES!R43))*(1+LUNES!S43/30)),1),""))</f>
        <v/>
      </c>
      <c r="L71" s="52">
        <f>IFERROR(LUNES!E43,"")</f>
        <v>80</v>
      </c>
      <c r="M71" s="53" t="str">
        <f>IFERROR(IF(K71="","-",IF(ISNUMBER(LOOKUP(2,1/((HISTORIAL!$O$3:$O$70=O71)*(HISTORIAL!$F$3:$F$70&lt;&gt;"")),HISTORIAL!$K$3:$K$70)),IF(K71&gt;LOOKUP(2,1/((HISTORIAL!$O$3:$O$70=O71)*(HISTORIAL!$F$3:$F$70&lt;&gt;"")),HISTORIAL!$K$3:$K$70),"^",IF(K71&lt;LOOKUP(2,1/((HISTORIAL!$O$3:$O$70=O71)*(HISTORIAL!$F$3:$F$70&lt;&gt;"")),HISTORIAL!$K$3:$K$70),"v","-")),"-")),"-")</f>
        <v>-</v>
      </c>
      <c r="N71" s="54" t="str">
        <f>IFERROR(VLOOKUP(A71,CONFIG!$A$10:$B$21,2,0),"")</f>
        <v>HIP</v>
      </c>
      <c r="O71" s="55" t="str">
        <f t="shared" si="3"/>
        <v>Elevaciones Laterales|Cable Polea Individual</v>
      </c>
      <c r="P71" s="69" t="str">
        <f>LUNES!AC43</f>
        <v/>
      </c>
    </row>
    <row r="72" spans="1:16" ht="14.1" customHeight="1">
      <c r="A72" s="37">
        <v>2</v>
      </c>
      <c r="B72" s="37" t="s">
        <v>277</v>
      </c>
      <c r="C72" s="44" t="str">
        <f>LUNES!$A$44</f>
        <v>Press Militar</v>
      </c>
      <c r="D72" s="45" t="str">
        <f>LUNES!$B$44</f>
        <v>Mancuernas Sentado</v>
      </c>
      <c r="E72" s="37" t="str">
        <f>LUNES!$C$44</f>
        <v>mancuerna</v>
      </c>
      <c r="F72" s="46" t="str">
        <f>IF(P72="","",IFERROR(CHOOSE(VALUE(RIGHT(P72,1)),LUNES!F44,LUNES!I44,LUNES!L44,LUNES!O44,LUNES!R44),""))</f>
        <v/>
      </c>
      <c r="G72" s="47" t="str">
        <f>IF(P72="","",IFERROR(CHOOSE(VALUE(RIGHT(P72,1)),LUNES!G44,LUNES!J44,LUNES!M44,LUNES!P44,LUNES!S44),""))</f>
        <v/>
      </c>
      <c r="H72" s="48" t="str">
        <f>IF(P72="","",IFERROR(CHOOSE(VALUE(RIGHT(P72,1)),LUNES!H44,LUNES!K44,LUNES!N44,LUNES!Q44,LUNES!T44),""))</f>
        <v/>
      </c>
      <c r="I72" s="49" t="str">
        <f t="shared" si="2"/>
        <v/>
      </c>
      <c r="J72" s="50" t="str">
        <f>IF(P72="","",IFERROR(ROUND(CHOOSE(VALUE(RIGHT(P72,1)),IF(LUNES!C44="peso_corporal",IF(ISNUMBER(LUNES!E44),LUNES!E44,0)+LUNES!F44,LUNES!F44)*LUNES!G44,IF(LUNES!C44="peso_corporal",IF(ISNUMBER(LUNES!E44),LUNES!E44,0)+LUNES!I44,LUNES!I44)*LUNES!J44,IF(LUNES!C44="peso_corporal",IF(ISNUMBER(LUNES!E44),LUNES!E44,0)+LUNES!L44,LUNES!L44)*LUNES!M44,IF(LUNES!C44="peso_corporal",IF(ISNUMBER(LUNES!E44),LUNES!E44,0)+LUNES!O44,LUNES!O44)*LUNES!P44,IF(LUNES!C44="peso_corporal",IF(ISNUMBER(LUNES!E44),LUNES!E44,0)+LUNES!R44,LUNES!R44)*LUNES!S44),1),""))</f>
        <v/>
      </c>
      <c r="K72" s="51" t="str">
        <f>IF(P72="","",IFERROR(ROUND(CHOOSE(VALUE(RIGHT(P72,1)),(IF(LUNES!C44="peso_corporal",IF(ISNUMBER(LUNES!E44),LUNES!E44,0)+LUNES!F44,LUNES!F44))*(1+LUNES!G44/30),(IF(LUNES!C44="peso_corporal",IF(ISNUMBER(LUNES!E44),LUNES!E44,0)+LUNES!I44,LUNES!I44))*(1+LUNES!J44/30),(IF(LUNES!C44="peso_corporal",IF(ISNUMBER(LUNES!E44),LUNES!E44,0)+LUNES!L44,LUNES!L44))*(1+LUNES!M44/30),(IF(LUNES!C44="peso_corporal",IF(ISNUMBER(LUNES!E44),LUNES!E44,0)+LUNES!O44,LUNES!O44))*(1+LUNES!P44/30),(IF(LUNES!C44="peso_corporal",IF(ISNUMBER(LUNES!E44),LUNES!E44,0)+LUNES!R44,LUNES!R44))*(1+LUNES!S44/30)),1),""))</f>
        <v/>
      </c>
      <c r="L72" s="52">
        <f>IFERROR(LUNES!E44,"")</f>
        <v>80</v>
      </c>
      <c r="M72" s="53" t="str">
        <f>IFERROR(IF(K72="","-",IF(ISNUMBER(LOOKUP(2,1/((HISTORIAL!$O$3:$O$71=O72)*(HISTORIAL!$F$3:$F$71&lt;&gt;"")),HISTORIAL!$K$3:$K$71)),IF(K72&gt;LOOKUP(2,1/((HISTORIAL!$O$3:$O$71=O72)*(HISTORIAL!$F$3:$F$71&lt;&gt;"")),HISTORIAL!$K$3:$K$71),"^",IF(K72&lt;LOOKUP(2,1/((HISTORIAL!$O$3:$O$71=O72)*(HISTORIAL!$F$3:$F$71&lt;&gt;"")),HISTORIAL!$K$3:$K$71),"v","-")),"-")),"-")</f>
        <v>-</v>
      </c>
      <c r="N72" s="54" t="str">
        <f>IFERROR(VLOOKUP(A72,CONFIG!$A$10:$B$21,2,0),"")</f>
        <v>HIP</v>
      </c>
      <c r="O72" s="55" t="str">
        <f t="shared" si="3"/>
        <v>Press Militar|Mancuernas Sentado</v>
      </c>
      <c r="P72" s="69" t="str">
        <f>LUNES!AC44</f>
        <v/>
      </c>
    </row>
    <row r="73" spans="1:16" ht="14.1" customHeight="1">
      <c r="A73" s="37">
        <v>2</v>
      </c>
      <c r="B73" s="37" t="s">
        <v>277</v>
      </c>
      <c r="C73" s="44" t="str">
        <f>LUNES!$A$46</f>
        <v>Extension Triceps</v>
      </c>
      <c r="D73" s="45" t="str">
        <f>LUNES!$B$46</f>
        <v>Press Neutro Polea Individual</v>
      </c>
      <c r="E73" s="37" t="str">
        <f>LUNES!$C$46</f>
        <v>--</v>
      </c>
      <c r="F73" s="46" t="str">
        <f>IF(P73="","",IFERROR(CHOOSE(VALUE(RIGHT(P73,1)),LUNES!F46,LUNES!I46,LUNES!L46,LUNES!O46,LUNES!R46),""))</f>
        <v/>
      </c>
      <c r="G73" s="47" t="str">
        <f>IF(P73="","",IFERROR(CHOOSE(VALUE(RIGHT(P73,1)),LUNES!G46,LUNES!J46,LUNES!M46,LUNES!P46,LUNES!S46),""))</f>
        <v/>
      </c>
      <c r="H73" s="48" t="str">
        <f>IF(P73="","",IFERROR(CHOOSE(VALUE(RIGHT(P73,1)),LUNES!H46,LUNES!K46,LUNES!N46,LUNES!Q46,LUNES!T46),""))</f>
        <v/>
      </c>
      <c r="I73" s="49" t="str">
        <f t="shared" si="2"/>
        <v/>
      </c>
      <c r="J73" s="50" t="str">
        <f>IF(P73="","",IFERROR(ROUND(CHOOSE(VALUE(RIGHT(P73,1)),IF(LUNES!C46="peso_corporal",IF(ISNUMBER(LUNES!E46),LUNES!E46,0)+LUNES!F46,LUNES!F46)*LUNES!G46,IF(LUNES!C46="peso_corporal",IF(ISNUMBER(LUNES!E46),LUNES!E46,0)+LUNES!I46,LUNES!I46)*LUNES!J46,IF(LUNES!C46="peso_corporal",IF(ISNUMBER(LUNES!E46),LUNES!E46,0)+LUNES!L46,LUNES!L46)*LUNES!M46,IF(LUNES!C46="peso_corporal",IF(ISNUMBER(LUNES!E46),LUNES!E46,0)+LUNES!O46,LUNES!O46)*LUNES!P46,IF(LUNES!C46="peso_corporal",IF(ISNUMBER(LUNES!E46),LUNES!E46,0)+LUNES!R46,LUNES!R46)*LUNES!S46),1),""))</f>
        <v/>
      </c>
      <c r="K73" s="51" t="str">
        <f>IF(P73="","",IFERROR(ROUND(CHOOSE(VALUE(RIGHT(P73,1)),(IF(LUNES!C46="peso_corporal",IF(ISNUMBER(LUNES!E46),LUNES!E46,0)+LUNES!F46,LUNES!F46))*(1+LUNES!G46/30),(IF(LUNES!C46="peso_corporal",IF(ISNUMBER(LUNES!E46),LUNES!E46,0)+LUNES!I46,LUNES!I46))*(1+LUNES!J46/30),(IF(LUNES!C46="peso_corporal",IF(ISNUMBER(LUNES!E46),LUNES!E46,0)+LUNES!L46,LUNES!L46))*(1+LUNES!M46/30),(IF(LUNES!C46="peso_corporal",IF(ISNUMBER(LUNES!E46),LUNES!E46,0)+LUNES!O46,LUNES!O46))*(1+LUNES!P46/30),(IF(LUNES!C46="peso_corporal",IF(ISNUMBER(LUNES!E46),LUNES!E46,0)+LUNES!R46,LUNES!R46))*(1+LUNES!S46/30)),1),""))</f>
        <v/>
      </c>
      <c r="L73" s="52">
        <f>IFERROR(LUNES!E46,"")</f>
        <v>80</v>
      </c>
      <c r="M73" s="53" t="str">
        <f>IFERROR(IF(K73="","-",IF(ISNUMBER(LOOKUP(2,1/((HISTORIAL!$O$3:$O$72=O73)*(HISTORIAL!$F$3:$F$72&lt;&gt;"")),HISTORIAL!$K$3:$K$72)),IF(K73&gt;LOOKUP(2,1/((HISTORIAL!$O$3:$O$72=O73)*(HISTORIAL!$F$3:$F$72&lt;&gt;"")),HISTORIAL!$K$3:$K$72),"^",IF(K73&lt;LOOKUP(2,1/((HISTORIAL!$O$3:$O$72=O73)*(HISTORIAL!$F$3:$F$72&lt;&gt;"")),HISTORIAL!$K$3:$K$72),"v","-")),"-")),"-")</f>
        <v>-</v>
      </c>
      <c r="N73" s="54" t="str">
        <f>IFERROR(VLOOKUP(A73,CONFIG!$A$10:$B$21,2,0),"")</f>
        <v>HIP</v>
      </c>
      <c r="O73" s="55" t="str">
        <f t="shared" si="3"/>
        <v>Extension Triceps|Press Neutro Polea Individual</v>
      </c>
      <c r="P73" s="69" t="str">
        <f>LUNES!AC46</f>
        <v/>
      </c>
    </row>
    <row r="74" spans="1:16" ht="14.1" customHeight="1">
      <c r="A74" s="37">
        <v>2</v>
      </c>
      <c r="B74" s="37" t="s">
        <v>277</v>
      </c>
      <c r="C74" s="44" t="str">
        <f>LUNES!$A$48</f>
        <v>Extension Cuadriceps</v>
      </c>
      <c r="D74" s="45" t="str">
        <f>LUNES!$B$48</f>
        <v>Vasto Externo</v>
      </c>
      <c r="E74" s="37" t="str">
        <f>LUNES!$C$48</f>
        <v>--</v>
      </c>
      <c r="F74" s="46" t="str">
        <f>IF(P74="","",IFERROR(CHOOSE(VALUE(RIGHT(P74,1)),LUNES!F48,LUNES!I48,LUNES!L48,LUNES!O48,LUNES!R48),""))</f>
        <v/>
      </c>
      <c r="G74" s="47" t="str">
        <f>IF(P74="","",IFERROR(CHOOSE(VALUE(RIGHT(P74,1)),LUNES!G48,LUNES!J48,LUNES!M48,LUNES!P48,LUNES!S48),""))</f>
        <v/>
      </c>
      <c r="H74" s="48" t="str">
        <f>IF(P74="","",IFERROR(CHOOSE(VALUE(RIGHT(P74,1)),LUNES!H48,LUNES!K48,LUNES!N48,LUNES!Q48,LUNES!T48),""))</f>
        <v/>
      </c>
      <c r="I74" s="49" t="str">
        <f t="shared" si="2"/>
        <v/>
      </c>
      <c r="J74" s="50" t="str">
        <f>IF(P74="","",IFERROR(ROUND(CHOOSE(VALUE(RIGHT(P74,1)),IF(LUNES!C48="peso_corporal",IF(ISNUMBER(LUNES!E48),LUNES!E48,0)+LUNES!F48,LUNES!F48)*LUNES!G48,IF(LUNES!C48="peso_corporal",IF(ISNUMBER(LUNES!E48),LUNES!E48,0)+LUNES!I48,LUNES!I48)*LUNES!J48,IF(LUNES!C48="peso_corporal",IF(ISNUMBER(LUNES!E48),LUNES!E48,0)+LUNES!L48,LUNES!L48)*LUNES!M48,IF(LUNES!C48="peso_corporal",IF(ISNUMBER(LUNES!E48),LUNES!E48,0)+LUNES!O48,LUNES!O48)*LUNES!P48,IF(LUNES!C48="peso_corporal",IF(ISNUMBER(LUNES!E48),LUNES!E48,0)+LUNES!R48,LUNES!R48)*LUNES!S48),1),""))</f>
        <v/>
      </c>
      <c r="K74" s="51" t="str">
        <f>IF(P74="","",IFERROR(ROUND(CHOOSE(VALUE(RIGHT(P74,1)),(IF(LUNES!C48="peso_corporal",IF(ISNUMBER(LUNES!E48),LUNES!E48,0)+LUNES!F48,LUNES!F48))*(1+LUNES!G48/30),(IF(LUNES!C48="peso_corporal",IF(ISNUMBER(LUNES!E48),LUNES!E48,0)+LUNES!I48,LUNES!I48))*(1+LUNES!J48/30),(IF(LUNES!C48="peso_corporal",IF(ISNUMBER(LUNES!E48),LUNES!E48,0)+LUNES!L48,LUNES!L48))*(1+LUNES!M48/30),(IF(LUNES!C48="peso_corporal",IF(ISNUMBER(LUNES!E48),LUNES!E48,0)+LUNES!O48,LUNES!O48))*(1+LUNES!P48/30),(IF(LUNES!C48="peso_corporal",IF(ISNUMBER(LUNES!E48),LUNES!E48,0)+LUNES!R48,LUNES!R48))*(1+LUNES!S48/30)),1),""))</f>
        <v/>
      </c>
      <c r="L74" s="52">
        <f>IFERROR(LUNES!E48,"")</f>
        <v>80</v>
      </c>
      <c r="M74" s="53" t="str">
        <f>IFERROR(IF(K74="","-",IF(ISNUMBER(LOOKUP(2,1/((HISTORIAL!$O$3:$O$73=O74)*(HISTORIAL!$F$3:$F$73&lt;&gt;"")),HISTORIAL!$K$3:$K$73)),IF(K74&gt;LOOKUP(2,1/((HISTORIAL!$O$3:$O$73=O74)*(HISTORIAL!$F$3:$F$73&lt;&gt;"")),HISTORIAL!$K$3:$K$73),"^",IF(K74&lt;LOOKUP(2,1/((HISTORIAL!$O$3:$O$73=O74)*(HISTORIAL!$F$3:$F$73&lt;&gt;"")),HISTORIAL!$K$3:$K$73),"v","-")),"-")),"-")</f>
        <v>-</v>
      </c>
      <c r="N74" s="54" t="str">
        <f>IFERROR(VLOOKUP(A74,CONFIG!$A$10:$B$21,2,0),"")</f>
        <v>HIP</v>
      </c>
      <c r="O74" s="55" t="str">
        <f t="shared" si="3"/>
        <v>Extension Cuadriceps|Vasto Externo</v>
      </c>
      <c r="P74" s="69" t="str">
        <f>LUNES!AC48</f>
        <v/>
      </c>
    </row>
    <row r="75" spans="1:16" ht="14.1" customHeight="1">
      <c r="A75" s="37">
        <v>2</v>
      </c>
      <c r="B75" s="37" t="s">
        <v>277</v>
      </c>
      <c r="C75" s="44" t="str">
        <f>LUNES!$A$50</f>
        <v>Curl Biceps</v>
      </c>
      <c r="D75" s="45" t="str">
        <f>LUNES!$B$50</f>
        <v>Inclinado Banco Mancuernas</v>
      </c>
      <c r="E75" s="37" t="str">
        <f>LUNES!$C$50</f>
        <v>mancuerna</v>
      </c>
      <c r="F75" s="46" t="str">
        <f>IF(P75="","",IFERROR(CHOOSE(VALUE(RIGHT(P75,1)),LUNES!F50,LUNES!I50,LUNES!L50,LUNES!O50,LUNES!R50),""))</f>
        <v/>
      </c>
      <c r="G75" s="47" t="str">
        <f>IF(P75="","",IFERROR(CHOOSE(VALUE(RIGHT(P75,1)),LUNES!G50,LUNES!J50,LUNES!M50,LUNES!P50,LUNES!S50),""))</f>
        <v/>
      </c>
      <c r="H75" s="48" t="str">
        <f>IF(P75="","",IFERROR(CHOOSE(VALUE(RIGHT(P75,1)),LUNES!H50,LUNES!K50,LUNES!N50,LUNES!Q50,LUNES!T50),""))</f>
        <v/>
      </c>
      <c r="I75" s="49" t="str">
        <f t="shared" si="2"/>
        <v/>
      </c>
      <c r="J75" s="50" t="str">
        <f>IF(P75="","",IFERROR(ROUND(CHOOSE(VALUE(RIGHT(P75,1)),IF(LUNES!C50="peso_corporal",IF(ISNUMBER(LUNES!E50),LUNES!E50,0)+LUNES!F50,LUNES!F50)*LUNES!G50,IF(LUNES!C50="peso_corporal",IF(ISNUMBER(LUNES!E50),LUNES!E50,0)+LUNES!I50,LUNES!I50)*LUNES!J50,IF(LUNES!C50="peso_corporal",IF(ISNUMBER(LUNES!E50),LUNES!E50,0)+LUNES!L50,LUNES!L50)*LUNES!M50,IF(LUNES!C50="peso_corporal",IF(ISNUMBER(LUNES!E50),LUNES!E50,0)+LUNES!O50,LUNES!O50)*LUNES!P50,IF(LUNES!C50="peso_corporal",IF(ISNUMBER(LUNES!E50),LUNES!E50,0)+LUNES!R50,LUNES!R50)*LUNES!S50),1),""))</f>
        <v/>
      </c>
      <c r="K75" s="51" t="str">
        <f>IF(P75="","",IFERROR(ROUND(CHOOSE(VALUE(RIGHT(P75,1)),(IF(LUNES!C50="peso_corporal",IF(ISNUMBER(LUNES!E50),LUNES!E50,0)+LUNES!F50,LUNES!F50))*(1+LUNES!G50/30),(IF(LUNES!C50="peso_corporal",IF(ISNUMBER(LUNES!E50),LUNES!E50,0)+LUNES!I50,LUNES!I50))*(1+LUNES!J50/30),(IF(LUNES!C50="peso_corporal",IF(ISNUMBER(LUNES!E50),LUNES!E50,0)+LUNES!L50,LUNES!L50))*(1+LUNES!M50/30),(IF(LUNES!C50="peso_corporal",IF(ISNUMBER(LUNES!E50),LUNES!E50,0)+LUNES!O50,LUNES!O50))*(1+LUNES!P50/30),(IF(LUNES!C50="peso_corporal",IF(ISNUMBER(LUNES!E50),LUNES!E50,0)+LUNES!R50,LUNES!R50))*(1+LUNES!S50/30)),1),""))</f>
        <v/>
      </c>
      <c r="L75" s="52">
        <f>IFERROR(LUNES!E50,"")</f>
        <v>80</v>
      </c>
      <c r="M75" s="53" t="str">
        <f>IFERROR(IF(K75="","-",IF(ISNUMBER(LOOKUP(2,1/((HISTORIAL!$O$3:$O$74=O75)*(HISTORIAL!$F$3:$F$74&lt;&gt;"")),HISTORIAL!$K$3:$K$74)),IF(K75&gt;LOOKUP(2,1/((HISTORIAL!$O$3:$O$74=O75)*(HISTORIAL!$F$3:$F$74&lt;&gt;"")),HISTORIAL!$K$3:$K$74),"^",IF(K75&lt;LOOKUP(2,1/((HISTORIAL!$O$3:$O$74=O75)*(HISTORIAL!$F$3:$F$74&lt;&gt;"")),HISTORIAL!$K$3:$K$74),"v","-")),"-")),"-")</f>
        <v>-</v>
      </c>
      <c r="N75" s="54" t="str">
        <f>IFERROR(VLOOKUP(A75,CONFIG!$A$10:$B$21,2,0),"")</f>
        <v>HIP</v>
      </c>
      <c r="O75" s="55" t="str">
        <f t="shared" si="3"/>
        <v>Curl Biceps|Inclinado Banco Mancuernas</v>
      </c>
      <c r="P75" s="69" t="str">
        <f>LUNES!AC50</f>
        <v/>
      </c>
    </row>
    <row r="76" spans="1:16" ht="14.1" customHeight="1">
      <c r="A76" s="37">
        <v>2</v>
      </c>
      <c r="B76" s="37" t="s">
        <v>277</v>
      </c>
      <c r="C76" s="44" t="str">
        <f>LUNES!$A$52</f>
        <v>Crunch</v>
      </c>
      <c r="D76" s="45" t="str">
        <f>LUNES!$B$52</f>
        <v>Polea</v>
      </c>
      <c r="E76" s="37" t="str">
        <f>LUNES!$C$52</f>
        <v>polea</v>
      </c>
      <c r="F76" s="46" t="str">
        <f>IF(P76="","",IFERROR(CHOOSE(VALUE(RIGHT(P76,1)),LUNES!F52,LUNES!I52,LUNES!L52,LUNES!O52,LUNES!R52),""))</f>
        <v/>
      </c>
      <c r="G76" s="47" t="str">
        <f>IF(P76="","",IFERROR(CHOOSE(VALUE(RIGHT(P76,1)),LUNES!G52,LUNES!J52,LUNES!M52,LUNES!P52,LUNES!S52),""))</f>
        <v/>
      </c>
      <c r="H76" s="48" t="str">
        <f>IF(P76="","",IFERROR(CHOOSE(VALUE(RIGHT(P76,1)),LUNES!H52,LUNES!K52,LUNES!N52,LUNES!Q52,LUNES!T52),""))</f>
        <v/>
      </c>
      <c r="I76" s="49" t="str">
        <f t="shared" si="2"/>
        <v/>
      </c>
      <c r="J76" s="50" t="str">
        <f>IF(P76="","",IFERROR(ROUND(CHOOSE(VALUE(RIGHT(P76,1)),IF(LUNES!C52="peso_corporal",IF(ISNUMBER(LUNES!E52),LUNES!E52,0)+LUNES!F52,LUNES!F52)*LUNES!G52,IF(LUNES!C52="peso_corporal",IF(ISNUMBER(LUNES!E52),LUNES!E52,0)+LUNES!I52,LUNES!I52)*LUNES!J52,IF(LUNES!C52="peso_corporal",IF(ISNUMBER(LUNES!E52),LUNES!E52,0)+LUNES!L52,LUNES!L52)*LUNES!M52,IF(LUNES!C52="peso_corporal",IF(ISNUMBER(LUNES!E52),LUNES!E52,0)+LUNES!O52,LUNES!O52)*LUNES!P52,IF(LUNES!C52="peso_corporal",IF(ISNUMBER(LUNES!E52),LUNES!E52,0)+LUNES!R52,LUNES!R52)*LUNES!S52),1),""))</f>
        <v/>
      </c>
      <c r="K76" s="51" t="str">
        <f>IF(P76="","",IFERROR(ROUND(CHOOSE(VALUE(RIGHT(P76,1)),(IF(LUNES!C52="peso_corporal",IF(ISNUMBER(LUNES!E52),LUNES!E52,0)+LUNES!F52,LUNES!F52))*(1+LUNES!G52/30),(IF(LUNES!C52="peso_corporal",IF(ISNUMBER(LUNES!E52),LUNES!E52,0)+LUNES!I52,LUNES!I52))*(1+LUNES!J52/30),(IF(LUNES!C52="peso_corporal",IF(ISNUMBER(LUNES!E52),LUNES!E52,0)+LUNES!L52,LUNES!L52))*(1+LUNES!M52/30),(IF(LUNES!C52="peso_corporal",IF(ISNUMBER(LUNES!E52),LUNES!E52,0)+LUNES!O52,LUNES!O52))*(1+LUNES!P52/30),(IF(LUNES!C52="peso_corporal",IF(ISNUMBER(LUNES!E52),LUNES!E52,0)+LUNES!R52,LUNES!R52))*(1+LUNES!S52/30)),1),""))</f>
        <v/>
      </c>
      <c r="L76" s="52">
        <f>IFERROR(LUNES!E52,"")</f>
        <v>80</v>
      </c>
      <c r="M76" s="53" t="str">
        <f>IFERROR(IF(K76="","-",IF(ISNUMBER(LOOKUP(2,1/((HISTORIAL!$O$3:$O$75=O76)*(HISTORIAL!$F$3:$F$75&lt;&gt;"")),HISTORIAL!$K$3:$K$75)),IF(K76&gt;LOOKUP(2,1/((HISTORIAL!$O$3:$O$75=O76)*(HISTORIAL!$F$3:$F$75&lt;&gt;"")),HISTORIAL!$K$3:$K$75),"^",IF(K76&lt;LOOKUP(2,1/((HISTORIAL!$O$3:$O$75=O76)*(HISTORIAL!$F$3:$F$75&lt;&gt;"")),HISTORIAL!$K$3:$K$75),"v","-")),"-")),"-")</f>
        <v>-</v>
      </c>
      <c r="N76" s="54" t="str">
        <f>IFERROR(VLOOKUP(A76,CONFIG!$A$10:$B$21,2,0),"")</f>
        <v>HIP</v>
      </c>
      <c r="O76" s="55" t="str">
        <f t="shared" si="3"/>
        <v>Crunch|Polea</v>
      </c>
      <c r="P76" s="69" t="str">
        <f>LUNES!AC52</f>
        <v/>
      </c>
    </row>
    <row r="77" spans="1:16" ht="14.1" customHeight="1">
      <c r="A77" s="37">
        <v>2</v>
      </c>
      <c r="B77" s="37" t="s">
        <v>278</v>
      </c>
      <c r="C77" s="44" t="str">
        <f>MARTES!$A$34</f>
        <v>Dominadas</v>
      </c>
      <c r="D77" s="45" t="str">
        <f>MARTES!$B$34</f>
        <v>Polea Alta Prono Ancho</v>
      </c>
      <c r="E77" s="37" t="str">
        <f>MARTES!$C$34</f>
        <v>peso_corporal</v>
      </c>
      <c r="F77" s="46" t="str">
        <f>IF(P77="","",IFERROR(CHOOSE(VALUE(RIGHT(P77,1)),MARTES!F34,MARTES!I34,MARTES!L34,MARTES!O34,MARTES!R34),""))</f>
        <v/>
      </c>
      <c r="G77" s="47" t="str">
        <f>IF(P77="","",IFERROR(CHOOSE(VALUE(RIGHT(P77,1)),MARTES!G34,MARTES!J34,MARTES!M34,MARTES!P34,MARTES!S34),""))</f>
        <v/>
      </c>
      <c r="H77" s="48" t="str">
        <f>IF(P77="","",IFERROR(CHOOSE(VALUE(RIGHT(P77,1)),MARTES!H34,MARTES!K34,MARTES!N34,MARTES!Q34,MARTES!T34),""))</f>
        <v/>
      </c>
      <c r="I77" s="49" t="str">
        <f t="shared" si="2"/>
        <v/>
      </c>
      <c r="J77" s="50" t="str">
        <f>IF(P77="","",IFERROR(ROUND(CHOOSE(VALUE(RIGHT(P77,1)),IF(MARTES!C34="peso_corporal",IF(ISNUMBER(MARTES!E34),MARTES!E34,0)+MARTES!F34,MARTES!F34)*MARTES!G34,IF(MARTES!C34="peso_corporal",IF(ISNUMBER(MARTES!E34),MARTES!E34,0)+MARTES!I34,MARTES!I34)*MARTES!J34,IF(MARTES!C34="peso_corporal",IF(ISNUMBER(MARTES!E34),MARTES!E34,0)+MARTES!L34,MARTES!L34)*MARTES!M34,IF(MARTES!C34="peso_corporal",IF(ISNUMBER(MARTES!E34),MARTES!E34,0)+MARTES!O34,MARTES!O34)*MARTES!P34,IF(MARTES!C34="peso_corporal",IF(ISNUMBER(MARTES!E34),MARTES!E34,0)+MARTES!R34,MARTES!R34)*MARTES!S34),1),""))</f>
        <v/>
      </c>
      <c r="K77" s="51" t="str">
        <f>IF(P77="","",IFERROR(ROUND(CHOOSE(VALUE(RIGHT(P77,1)),(IF(MARTES!C34="peso_corporal",IF(ISNUMBER(MARTES!E34),MARTES!E34,0)+MARTES!F34,MARTES!F34))*(1+MARTES!G34/30),(IF(MARTES!C34="peso_corporal",IF(ISNUMBER(MARTES!E34),MARTES!E34,0)+MARTES!I34,MARTES!I34))*(1+MARTES!J34/30),(IF(MARTES!C34="peso_corporal",IF(ISNUMBER(MARTES!E34),MARTES!E34,0)+MARTES!L34,MARTES!L34))*(1+MARTES!M34/30),(IF(MARTES!C34="peso_corporal",IF(ISNUMBER(MARTES!E34),MARTES!E34,0)+MARTES!O34,MARTES!O34))*(1+MARTES!P34/30),(IF(MARTES!C34="peso_corporal",IF(ISNUMBER(MARTES!E34),MARTES!E34,0)+MARTES!R34,MARTES!R34))*(1+MARTES!S34/30)),1),""))</f>
        <v/>
      </c>
      <c r="L77" s="52">
        <f>IFERROR(MARTES!E34,"")</f>
        <v>80</v>
      </c>
      <c r="M77" s="53" t="str">
        <f>IFERROR(IF(K77="","-",IF(ISNUMBER(LOOKUP(2,1/((HISTORIAL!$O$3:$O$76=O77)*(HISTORIAL!$F$3:$F$76&lt;&gt;"")),HISTORIAL!$K$3:$K$76)),IF(K77&gt;LOOKUP(2,1/((HISTORIAL!$O$3:$O$76=O77)*(HISTORIAL!$F$3:$F$76&lt;&gt;"")),HISTORIAL!$K$3:$K$76),"^",IF(K77&lt;LOOKUP(2,1/((HISTORIAL!$O$3:$O$76=O77)*(HISTORIAL!$F$3:$F$76&lt;&gt;"")),HISTORIAL!$K$3:$K$76),"v","-")),"-")),"-")</f>
        <v>-</v>
      </c>
      <c r="N77" s="54" t="str">
        <f>IFERROR(VLOOKUP(A77,CONFIG!$A$10:$B$21,2,0),"")</f>
        <v>HIP</v>
      </c>
      <c r="O77" s="55" t="str">
        <f t="shared" si="3"/>
        <v>Dominadas|Polea Alta Prono Ancho</v>
      </c>
      <c r="P77" s="69" t="str">
        <f>MARTES!AC34</f>
        <v/>
      </c>
    </row>
    <row r="78" spans="1:16" ht="14.1" customHeight="1">
      <c r="A78" s="37">
        <v>2</v>
      </c>
      <c r="B78" s="37" t="s">
        <v>278</v>
      </c>
      <c r="C78" s="44" t="str">
        <f>MARTES!$A$35</f>
        <v>Pulldown</v>
      </c>
      <c r="D78" s="45" t="str">
        <f>MARTES!$B$35</f>
        <v>Polea Alta Brazos Rectos Prono</v>
      </c>
      <c r="E78" s="37" t="str">
        <f>MARTES!$C$35</f>
        <v>polea</v>
      </c>
      <c r="F78" s="46" t="str">
        <f>IF(P78="","",IFERROR(CHOOSE(VALUE(RIGHT(P78,1)),MARTES!F35,MARTES!I35,MARTES!L35,MARTES!O35,MARTES!R35),""))</f>
        <v/>
      </c>
      <c r="G78" s="47" t="str">
        <f>IF(P78="","",IFERROR(CHOOSE(VALUE(RIGHT(P78,1)),MARTES!G35,MARTES!J35,MARTES!M35,MARTES!P35,MARTES!S35),""))</f>
        <v/>
      </c>
      <c r="H78" s="48" t="str">
        <f>IF(P78="","",IFERROR(CHOOSE(VALUE(RIGHT(P78,1)),MARTES!H35,MARTES!K35,MARTES!N35,MARTES!Q35,MARTES!T35),""))</f>
        <v/>
      </c>
      <c r="I78" s="49" t="str">
        <f t="shared" si="2"/>
        <v/>
      </c>
      <c r="J78" s="50" t="str">
        <f>IF(P78="","",IFERROR(ROUND(CHOOSE(VALUE(RIGHT(P78,1)),IF(MARTES!C35="peso_corporal",IF(ISNUMBER(MARTES!E35),MARTES!E35,0)+MARTES!F35,MARTES!F35)*MARTES!G35,IF(MARTES!C35="peso_corporal",IF(ISNUMBER(MARTES!E35),MARTES!E35,0)+MARTES!I35,MARTES!I35)*MARTES!J35,IF(MARTES!C35="peso_corporal",IF(ISNUMBER(MARTES!E35),MARTES!E35,0)+MARTES!L35,MARTES!L35)*MARTES!M35,IF(MARTES!C35="peso_corporal",IF(ISNUMBER(MARTES!E35),MARTES!E35,0)+MARTES!O35,MARTES!O35)*MARTES!P35,IF(MARTES!C35="peso_corporal",IF(ISNUMBER(MARTES!E35),MARTES!E35,0)+MARTES!R35,MARTES!R35)*MARTES!S35),1),""))</f>
        <v/>
      </c>
      <c r="K78" s="51" t="str">
        <f>IF(P78="","",IFERROR(ROUND(CHOOSE(VALUE(RIGHT(P78,1)),(IF(MARTES!C35="peso_corporal",IF(ISNUMBER(MARTES!E35),MARTES!E35,0)+MARTES!F35,MARTES!F35))*(1+MARTES!G35/30),(IF(MARTES!C35="peso_corporal",IF(ISNUMBER(MARTES!E35),MARTES!E35,0)+MARTES!I35,MARTES!I35))*(1+MARTES!J35/30),(IF(MARTES!C35="peso_corporal",IF(ISNUMBER(MARTES!E35),MARTES!E35,0)+MARTES!L35,MARTES!L35))*(1+MARTES!M35/30),(IF(MARTES!C35="peso_corporal",IF(ISNUMBER(MARTES!E35),MARTES!E35,0)+MARTES!O35,MARTES!O35))*(1+MARTES!P35/30),(IF(MARTES!C35="peso_corporal",IF(ISNUMBER(MARTES!E35),MARTES!E35,0)+MARTES!R35,MARTES!R35))*(1+MARTES!S35/30)),1),""))</f>
        <v/>
      </c>
      <c r="L78" s="52">
        <f>IFERROR(MARTES!E35,"")</f>
        <v>80</v>
      </c>
      <c r="M78" s="53" t="str">
        <f>IFERROR(IF(K78="","-",IF(ISNUMBER(LOOKUP(2,1/((HISTORIAL!$O$3:$O$77=O78)*(HISTORIAL!$F$3:$F$77&lt;&gt;"")),HISTORIAL!$K$3:$K$77)),IF(K78&gt;LOOKUP(2,1/((HISTORIAL!$O$3:$O$77=O78)*(HISTORIAL!$F$3:$F$77&lt;&gt;"")),HISTORIAL!$K$3:$K$77),"^",IF(K78&lt;LOOKUP(2,1/((HISTORIAL!$O$3:$O$77=O78)*(HISTORIAL!$F$3:$F$77&lt;&gt;"")),HISTORIAL!$K$3:$K$77),"v","-")),"-")),"-")</f>
        <v>-</v>
      </c>
      <c r="N78" s="54" t="str">
        <f>IFERROR(VLOOKUP(A78,CONFIG!$A$10:$B$21,2,0),"")</f>
        <v>HIP</v>
      </c>
      <c r="O78" s="55" t="str">
        <f t="shared" si="3"/>
        <v>Pulldown|Polea Alta Brazos Rectos Prono</v>
      </c>
      <c r="P78" s="69" t="str">
        <f>MARTES!AC35</f>
        <v/>
      </c>
    </row>
    <row r="79" spans="1:16" ht="14.1" customHeight="1">
      <c r="A79" s="37">
        <v>2</v>
      </c>
      <c r="B79" s="37" t="s">
        <v>278</v>
      </c>
      <c r="C79" s="44" t="str">
        <f>MARTES!$A$37</f>
        <v>Remo</v>
      </c>
      <c r="D79" s="45" t="str">
        <f>MARTES!$B$37</f>
        <v>Maquina Hammer Neutro Unilateral</v>
      </c>
      <c r="E79" s="37" t="str">
        <f>MARTES!$C$37</f>
        <v>polea</v>
      </c>
      <c r="F79" s="46" t="str">
        <f>IF(P79="","",IFERROR(CHOOSE(VALUE(RIGHT(P79,1)),MARTES!F37,MARTES!I37,MARTES!L37,MARTES!O37,MARTES!R37),""))</f>
        <v/>
      </c>
      <c r="G79" s="47" t="str">
        <f>IF(P79="","",IFERROR(CHOOSE(VALUE(RIGHT(P79,1)),MARTES!G37,MARTES!J37,MARTES!M37,MARTES!P37,MARTES!S37),""))</f>
        <v/>
      </c>
      <c r="H79" s="48" t="str">
        <f>IF(P79="","",IFERROR(CHOOSE(VALUE(RIGHT(P79,1)),MARTES!H37,MARTES!K37,MARTES!N37,MARTES!Q37,MARTES!T37),""))</f>
        <v/>
      </c>
      <c r="I79" s="49" t="str">
        <f t="shared" si="2"/>
        <v/>
      </c>
      <c r="J79" s="50" t="str">
        <f>IF(P79="","",IFERROR(ROUND(CHOOSE(VALUE(RIGHT(P79,1)),IF(MARTES!C37="peso_corporal",IF(ISNUMBER(MARTES!E37),MARTES!E37,0)+MARTES!F37,MARTES!F37)*MARTES!G37,IF(MARTES!C37="peso_corporal",IF(ISNUMBER(MARTES!E37),MARTES!E37,0)+MARTES!I37,MARTES!I37)*MARTES!J37,IF(MARTES!C37="peso_corporal",IF(ISNUMBER(MARTES!E37),MARTES!E37,0)+MARTES!L37,MARTES!L37)*MARTES!M37,IF(MARTES!C37="peso_corporal",IF(ISNUMBER(MARTES!E37),MARTES!E37,0)+MARTES!O37,MARTES!O37)*MARTES!P37,IF(MARTES!C37="peso_corporal",IF(ISNUMBER(MARTES!E37),MARTES!E37,0)+MARTES!R37,MARTES!R37)*MARTES!S37),1),""))</f>
        <v/>
      </c>
      <c r="K79" s="51" t="str">
        <f>IF(P79="","",IFERROR(ROUND(CHOOSE(VALUE(RIGHT(P79,1)),(IF(MARTES!C37="peso_corporal",IF(ISNUMBER(MARTES!E37),MARTES!E37,0)+MARTES!F37,MARTES!F37))*(1+MARTES!G37/30),(IF(MARTES!C37="peso_corporal",IF(ISNUMBER(MARTES!E37),MARTES!E37,0)+MARTES!I37,MARTES!I37))*(1+MARTES!J37/30),(IF(MARTES!C37="peso_corporal",IF(ISNUMBER(MARTES!E37),MARTES!E37,0)+MARTES!L37,MARTES!L37))*(1+MARTES!M37/30),(IF(MARTES!C37="peso_corporal",IF(ISNUMBER(MARTES!E37),MARTES!E37,0)+MARTES!O37,MARTES!O37))*(1+MARTES!P37/30),(IF(MARTES!C37="peso_corporal",IF(ISNUMBER(MARTES!E37),MARTES!E37,0)+MARTES!R37,MARTES!R37))*(1+MARTES!S37/30)),1),""))</f>
        <v/>
      </c>
      <c r="L79" s="52">
        <f>IFERROR(MARTES!E37,"")</f>
        <v>80</v>
      </c>
      <c r="M79" s="53" t="str">
        <f>IFERROR(IF(K79="","-",IF(ISNUMBER(LOOKUP(2,1/((HISTORIAL!$O$3:$O$78=O79)*(HISTORIAL!$F$3:$F$78&lt;&gt;"")),HISTORIAL!$K$3:$K$78)),IF(K79&gt;LOOKUP(2,1/((HISTORIAL!$O$3:$O$78=O79)*(HISTORIAL!$F$3:$F$78&lt;&gt;"")),HISTORIAL!$K$3:$K$78),"^",IF(K79&lt;LOOKUP(2,1/((HISTORIAL!$O$3:$O$78=O79)*(HISTORIAL!$F$3:$F$78&lt;&gt;"")),HISTORIAL!$K$3:$K$78),"v","-")),"-")),"-")</f>
        <v>-</v>
      </c>
      <c r="N79" s="54" t="str">
        <f>IFERROR(VLOOKUP(A79,CONFIG!$A$10:$B$21,2,0),"")</f>
        <v>HIP</v>
      </c>
      <c r="O79" s="55" t="str">
        <f t="shared" si="3"/>
        <v>Remo|Maquina Hammer Neutro Unilateral</v>
      </c>
      <c r="P79" s="69" t="str">
        <f>MARTES!AC37</f>
        <v/>
      </c>
    </row>
    <row r="80" spans="1:16" ht="14.1" customHeight="1">
      <c r="A80" s="37">
        <v>2</v>
      </c>
      <c r="B80" s="37" t="s">
        <v>278</v>
      </c>
      <c r="C80" s="44" t="str">
        <f>MARTES!$A$38</f>
        <v>Face Pull</v>
      </c>
      <c r="D80" s="45" t="str">
        <f>MARTES!$B$38</f>
        <v>Polea Alta Cuerda</v>
      </c>
      <c r="E80" s="37" t="str">
        <f>MARTES!$C$38</f>
        <v>polea</v>
      </c>
      <c r="F80" s="46" t="str">
        <f>IF(P80="","",IFERROR(CHOOSE(VALUE(RIGHT(P80,1)),MARTES!F38,MARTES!I38,MARTES!L38,MARTES!O38,MARTES!R38),""))</f>
        <v/>
      </c>
      <c r="G80" s="47" t="str">
        <f>IF(P80="","",IFERROR(CHOOSE(VALUE(RIGHT(P80,1)),MARTES!G38,MARTES!J38,MARTES!M38,MARTES!P38,MARTES!S38),""))</f>
        <v/>
      </c>
      <c r="H80" s="48" t="str">
        <f>IF(P80="","",IFERROR(CHOOSE(VALUE(RIGHT(P80,1)),MARTES!H38,MARTES!K38,MARTES!N38,MARTES!Q38,MARTES!T38),""))</f>
        <v/>
      </c>
      <c r="I80" s="49" t="str">
        <f t="shared" si="2"/>
        <v/>
      </c>
      <c r="J80" s="50" t="str">
        <f>IF(P80="","",IFERROR(ROUND(CHOOSE(VALUE(RIGHT(P80,1)),IF(MARTES!C38="peso_corporal",IF(ISNUMBER(MARTES!E38),MARTES!E38,0)+MARTES!F38,MARTES!F38)*MARTES!G38,IF(MARTES!C38="peso_corporal",IF(ISNUMBER(MARTES!E38),MARTES!E38,0)+MARTES!I38,MARTES!I38)*MARTES!J38,IF(MARTES!C38="peso_corporal",IF(ISNUMBER(MARTES!E38),MARTES!E38,0)+MARTES!L38,MARTES!L38)*MARTES!M38,IF(MARTES!C38="peso_corporal",IF(ISNUMBER(MARTES!E38),MARTES!E38,0)+MARTES!O38,MARTES!O38)*MARTES!P38,IF(MARTES!C38="peso_corporal",IF(ISNUMBER(MARTES!E38),MARTES!E38,0)+MARTES!R38,MARTES!R38)*MARTES!S38),1),""))</f>
        <v/>
      </c>
      <c r="K80" s="51" t="str">
        <f>IF(P80="","",IFERROR(ROUND(CHOOSE(VALUE(RIGHT(P80,1)),(IF(MARTES!C38="peso_corporal",IF(ISNUMBER(MARTES!E38),MARTES!E38,0)+MARTES!F38,MARTES!F38))*(1+MARTES!G38/30),(IF(MARTES!C38="peso_corporal",IF(ISNUMBER(MARTES!E38),MARTES!E38,0)+MARTES!I38,MARTES!I38))*(1+MARTES!J38/30),(IF(MARTES!C38="peso_corporal",IF(ISNUMBER(MARTES!E38),MARTES!E38,0)+MARTES!L38,MARTES!L38))*(1+MARTES!M38/30),(IF(MARTES!C38="peso_corporal",IF(ISNUMBER(MARTES!E38),MARTES!E38,0)+MARTES!O38,MARTES!O38))*(1+MARTES!P38/30),(IF(MARTES!C38="peso_corporal",IF(ISNUMBER(MARTES!E38),MARTES!E38,0)+MARTES!R38,MARTES!R38))*(1+MARTES!S38/30)),1),""))</f>
        <v/>
      </c>
      <c r="L80" s="52">
        <f>IFERROR(MARTES!E38,"")</f>
        <v>80</v>
      </c>
      <c r="M80" s="53" t="str">
        <f>IFERROR(IF(K80="","-",IF(ISNUMBER(LOOKUP(2,1/((HISTORIAL!$O$3:$O$79=O80)*(HISTORIAL!$F$3:$F$79&lt;&gt;"")),HISTORIAL!$K$3:$K$79)),IF(K80&gt;LOOKUP(2,1/((HISTORIAL!$O$3:$O$79=O80)*(HISTORIAL!$F$3:$F$79&lt;&gt;"")),HISTORIAL!$K$3:$K$79),"^",IF(K80&lt;LOOKUP(2,1/((HISTORIAL!$O$3:$O$79=O80)*(HISTORIAL!$F$3:$F$79&lt;&gt;"")),HISTORIAL!$K$3:$K$79),"v","-")),"-")),"-")</f>
        <v>-</v>
      </c>
      <c r="N80" s="54" t="str">
        <f>IFERROR(VLOOKUP(A80,CONFIG!$A$10:$B$21,2,0),"")</f>
        <v>HIP</v>
      </c>
      <c r="O80" s="55" t="str">
        <f t="shared" si="3"/>
        <v>Face Pull|Polea Alta Cuerda</v>
      </c>
      <c r="P80" s="69" t="str">
        <f>MARTES!AC38</f>
        <v/>
      </c>
    </row>
    <row r="81" spans="1:16" ht="14.1" customHeight="1">
      <c r="A81" s="37">
        <v>2</v>
      </c>
      <c r="B81" s="37" t="s">
        <v>278</v>
      </c>
      <c r="C81" s="44" t="str">
        <f>MARTES!$A$40</f>
        <v>Curl Biceps</v>
      </c>
      <c r="D81" s="45" t="str">
        <f>MARTES!$B$40</f>
        <v>Inclinado Banco Mancuernas</v>
      </c>
      <c r="E81" s="37" t="str">
        <f>MARTES!$C$40</f>
        <v>mancuerna</v>
      </c>
      <c r="F81" s="46" t="str">
        <f>IF(P81="","",IFERROR(CHOOSE(VALUE(RIGHT(P81,1)),MARTES!F40,MARTES!I40,MARTES!L40,MARTES!O40,MARTES!R40),""))</f>
        <v/>
      </c>
      <c r="G81" s="47" t="str">
        <f>IF(P81="","",IFERROR(CHOOSE(VALUE(RIGHT(P81,1)),MARTES!G40,MARTES!J40,MARTES!M40,MARTES!P40,MARTES!S40),""))</f>
        <v/>
      </c>
      <c r="H81" s="48" t="str">
        <f>IF(P81="","",IFERROR(CHOOSE(VALUE(RIGHT(P81,1)),MARTES!H40,MARTES!K40,MARTES!N40,MARTES!Q40,MARTES!T40),""))</f>
        <v/>
      </c>
      <c r="I81" s="49" t="str">
        <f t="shared" si="2"/>
        <v/>
      </c>
      <c r="J81" s="50" t="str">
        <f>IF(P81="","",IFERROR(ROUND(CHOOSE(VALUE(RIGHT(P81,1)),IF(MARTES!C40="peso_corporal",IF(ISNUMBER(MARTES!E40),MARTES!E40,0)+MARTES!F40,MARTES!F40)*MARTES!G40,IF(MARTES!C40="peso_corporal",IF(ISNUMBER(MARTES!E40),MARTES!E40,0)+MARTES!I40,MARTES!I40)*MARTES!J40,IF(MARTES!C40="peso_corporal",IF(ISNUMBER(MARTES!E40),MARTES!E40,0)+MARTES!L40,MARTES!L40)*MARTES!M40,IF(MARTES!C40="peso_corporal",IF(ISNUMBER(MARTES!E40),MARTES!E40,0)+MARTES!O40,MARTES!O40)*MARTES!P40,IF(MARTES!C40="peso_corporal",IF(ISNUMBER(MARTES!E40),MARTES!E40,0)+MARTES!R40,MARTES!R40)*MARTES!S40),1),""))</f>
        <v/>
      </c>
      <c r="K81" s="51" t="str">
        <f>IF(P81="","",IFERROR(ROUND(CHOOSE(VALUE(RIGHT(P81,1)),(IF(MARTES!C40="peso_corporal",IF(ISNUMBER(MARTES!E40),MARTES!E40,0)+MARTES!F40,MARTES!F40))*(1+MARTES!G40/30),(IF(MARTES!C40="peso_corporal",IF(ISNUMBER(MARTES!E40),MARTES!E40,0)+MARTES!I40,MARTES!I40))*(1+MARTES!J40/30),(IF(MARTES!C40="peso_corporal",IF(ISNUMBER(MARTES!E40),MARTES!E40,0)+MARTES!L40,MARTES!L40))*(1+MARTES!M40/30),(IF(MARTES!C40="peso_corporal",IF(ISNUMBER(MARTES!E40),MARTES!E40,0)+MARTES!O40,MARTES!O40))*(1+MARTES!P40/30),(IF(MARTES!C40="peso_corporal",IF(ISNUMBER(MARTES!E40),MARTES!E40,0)+MARTES!R40,MARTES!R40))*(1+MARTES!S40/30)),1),""))</f>
        <v/>
      </c>
      <c r="L81" s="52">
        <f>IFERROR(MARTES!E40,"")</f>
        <v>80</v>
      </c>
      <c r="M81" s="53" t="str">
        <f>IFERROR(IF(K81="","-",IF(ISNUMBER(LOOKUP(2,1/((HISTORIAL!$O$3:$O$80=O81)*(HISTORIAL!$F$3:$F$80&lt;&gt;"")),HISTORIAL!$K$3:$K$80)),IF(K81&gt;LOOKUP(2,1/((HISTORIAL!$O$3:$O$80=O81)*(HISTORIAL!$F$3:$F$80&lt;&gt;"")),HISTORIAL!$K$3:$K$80),"^",IF(K81&lt;LOOKUP(2,1/((HISTORIAL!$O$3:$O$80=O81)*(HISTORIAL!$F$3:$F$80&lt;&gt;"")),HISTORIAL!$K$3:$K$80),"v","-")),"-")),"-")</f>
        <v>-</v>
      </c>
      <c r="N81" s="54" t="str">
        <f>IFERROR(VLOOKUP(A81,CONFIG!$A$10:$B$21,2,0),"")</f>
        <v>HIP</v>
      </c>
      <c r="O81" s="55" t="str">
        <f t="shared" si="3"/>
        <v>Curl Biceps|Inclinado Banco Mancuernas</v>
      </c>
      <c r="P81" s="69" t="str">
        <f>MARTES!AC40</f>
        <v/>
      </c>
    </row>
    <row r="82" spans="1:16" ht="14.1" customHeight="1">
      <c r="A82" s="37">
        <v>2</v>
      </c>
      <c r="B82" s="37" t="s">
        <v>278</v>
      </c>
      <c r="C82" s="44" t="str">
        <f>MARTES!$A$41</f>
        <v>Curl Biceps</v>
      </c>
      <c r="D82" s="45" t="str">
        <f>MARTES!$B$41</f>
        <v>Polea Baja Supino</v>
      </c>
      <c r="E82" s="37" t="str">
        <f>MARTES!$C$41</f>
        <v>polea</v>
      </c>
      <c r="F82" s="46" t="str">
        <f>IF(P82="","",IFERROR(CHOOSE(VALUE(RIGHT(P82,1)),MARTES!F41,MARTES!I41,MARTES!L41,MARTES!O41,MARTES!R41),""))</f>
        <v/>
      </c>
      <c r="G82" s="47" t="str">
        <f>IF(P82="","",IFERROR(CHOOSE(VALUE(RIGHT(P82,1)),MARTES!G41,MARTES!J41,MARTES!M41,MARTES!P41,MARTES!S41),""))</f>
        <v/>
      </c>
      <c r="H82" s="48" t="str">
        <f>IF(P82="","",IFERROR(CHOOSE(VALUE(RIGHT(P82,1)),MARTES!H41,MARTES!K41,MARTES!N41,MARTES!Q41,MARTES!T41),""))</f>
        <v/>
      </c>
      <c r="I82" s="49" t="str">
        <f t="shared" si="2"/>
        <v/>
      </c>
      <c r="J82" s="50" t="str">
        <f>IF(P82="","",IFERROR(ROUND(CHOOSE(VALUE(RIGHT(P82,1)),IF(MARTES!C41="peso_corporal",IF(ISNUMBER(MARTES!E41),MARTES!E41,0)+MARTES!F41,MARTES!F41)*MARTES!G41,IF(MARTES!C41="peso_corporal",IF(ISNUMBER(MARTES!E41),MARTES!E41,0)+MARTES!I41,MARTES!I41)*MARTES!J41,IF(MARTES!C41="peso_corporal",IF(ISNUMBER(MARTES!E41),MARTES!E41,0)+MARTES!L41,MARTES!L41)*MARTES!M41,IF(MARTES!C41="peso_corporal",IF(ISNUMBER(MARTES!E41),MARTES!E41,0)+MARTES!O41,MARTES!O41)*MARTES!P41,IF(MARTES!C41="peso_corporal",IF(ISNUMBER(MARTES!E41),MARTES!E41,0)+MARTES!R41,MARTES!R41)*MARTES!S41),1),""))</f>
        <v/>
      </c>
      <c r="K82" s="51" t="str">
        <f>IF(P82="","",IFERROR(ROUND(CHOOSE(VALUE(RIGHT(P82,1)),(IF(MARTES!C41="peso_corporal",IF(ISNUMBER(MARTES!E41),MARTES!E41,0)+MARTES!F41,MARTES!F41))*(1+MARTES!G41/30),(IF(MARTES!C41="peso_corporal",IF(ISNUMBER(MARTES!E41),MARTES!E41,0)+MARTES!I41,MARTES!I41))*(1+MARTES!J41/30),(IF(MARTES!C41="peso_corporal",IF(ISNUMBER(MARTES!E41),MARTES!E41,0)+MARTES!L41,MARTES!L41))*(1+MARTES!M41/30),(IF(MARTES!C41="peso_corporal",IF(ISNUMBER(MARTES!E41),MARTES!E41,0)+MARTES!O41,MARTES!O41))*(1+MARTES!P41/30),(IF(MARTES!C41="peso_corporal",IF(ISNUMBER(MARTES!E41),MARTES!E41,0)+MARTES!R41,MARTES!R41))*(1+MARTES!S41/30)),1),""))</f>
        <v/>
      </c>
      <c r="L82" s="52">
        <f>IFERROR(MARTES!E41,"")</f>
        <v>80</v>
      </c>
      <c r="M82" s="53" t="str">
        <f>IFERROR(IF(K82="","-",IF(ISNUMBER(LOOKUP(2,1/((HISTORIAL!$O$3:$O$81=O82)*(HISTORIAL!$F$3:$F$81&lt;&gt;"")),HISTORIAL!$K$3:$K$81)),IF(K82&gt;LOOKUP(2,1/((HISTORIAL!$O$3:$O$81=O82)*(HISTORIAL!$F$3:$F$81&lt;&gt;"")),HISTORIAL!$K$3:$K$81),"^",IF(K82&lt;LOOKUP(2,1/((HISTORIAL!$O$3:$O$81=O82)*(HISTORIAL!$F$3:$F$81&lt;&gt;"")),HISTORIAL!$K$3:$K$81),"v","-")),"-")),"-")</f>
        <v>-</v>
      </c>
      <c r="N82" s="54" t="str">
        <f>IFERROR(VLOOKUP(A82,CONFIG!$A$10:$B$21,2,0),"")</f>
        <v>HIP</v>
      </c>
      <c r="O82" s="55" t="str">
        <f t="shared" si="3"/>
        <v>Curl Biceps|Polea Baja Supino</v>
      </c>
      <c r="P82" s="69" t="str">
        <f>MARTES!AC41</f>
        <v/>
      </c>
    </row>
    <row r="83" spans="1:16" ht="14.1" customHeight="1">
      <c r="A83" s="37">
        <v>2</v>
      </c>
      <c r="B83" s="37" t="s">
        <v>278</v>
      </c>
      <c r="C83" s="44" t="str">
        <f>MARTES!$A$43</f>
        <v>Curl Muneca</v>
      </c>
      <c r="D83" s="45" t="str">
        <f>MARTES!$B$43</f>
        <v>Supinado</v>
      </c>
      <c r="E83" s="37" t="str">
        <f>MARTES!$C$43</f>
        <v>mancuerna</v>
      </c>
      <c r="F83" s="46" t="str">
        <f>IF(P83="","",IFERROR(CHOOSE(VALUE(RIGHT(P83,1)),MARTES!F43,MARTES!I43,MARTES!L43,MARTES!O43,MARTES!R43),""))</f>
        <v/>
      </c>
      <c r="G83" s="47" t="str">
        <f>IF(P83="","",IFERROR(CHOOSE(VALUE(RIGHT(P83,1)),MARTES!G43,MARTES!J43,MARTES!M43,MARTES!P43,MARTES!S43),""))</f>
        <v/>
      </c>
      <c r="H83" s="48" t="str">
        <f>IF(P83="","",IFERROR(CHOOSE(VALUE(RIGHT(P83,1)),MARTES!H43,MARTES!K43,MARTES!N43,MARTES!Q43,MARTES!T43),""))</f>
        <v/>
      </c>
      <c r="I83" s="49" t="str">
        <f t="shared" si="2"/>
        <v/>
      </c>
      <c r="J83" s="50" t="str">
        <f>IF(P83="","",IFERROR(ROUND(CHOOSE(VALUE(RIGHT(P83,1)),IF(MARTES!C43="peso_corporal",IF(ISNUMBER(MARTES!E43),MARTES!E43,0)+MARTES!F43,MARTES!F43)*MARTES!G43,IF(MARTES!C43="peso_corporal",IF(ISNUMBER(MARTES!E43),MARTES!E43,0)+MARTES!I43,MARTES!I43)*MARTES!J43,IF(MARTES!C43="peso_corporal",IF(ISNUMBER(MARTES!E43),MARTES!E43,0)+MARTES!L43,MARTES!L43)*MARTES!M43,IF(MARTES!C43="peso_corporal",IF(ISNUMBER(MARTES!E43),MARTES!E43,0)+MARTES!O43,MARTES!O43)*MARTES!P43,IF(MARTES!C43="peso_corporal",IF(ISNUMBER(MARTES!E43),MARTES!E43,0)+MARTES!R43,MARTES!R43)*MARTES!S43),1),""))</f>
        <v/>
      </c>
      <c r="K83" s="51" t="str">
        <f>IF(P83="","",IFERROR(ROUND(CHOOSE(VALUE(RIGHT(P83,1)),(IF(MARTES!C43="peso_corporal",IF(ISNUMBER(MARTES!E43),MARTES!E43,0)+MARTES!F43,MARTES!F43))*(1+MARTES!G43/30),(IF(MARTES!C43="peso_corporal",IF(ISNUMBER(MARTES!E43),MARTES!E43,0)+MARTES!I43,MARTES!I43))*(1+MARTES!J43/30),(IF(MARTES!C43="peso_corporal",IF(ISNUMBER(MARTES!E43),MARTES!E43,0)+MARTES!L43,MARTES!L43))*(1+MARTES!M43/30),(IF(MARTES!C43="peso_corporal",IF(ISNUMBER(MARTES!E43),MARTES!E43,0)+MARTES!O43,MARTES!O43))*(1+MARTES!P43/30),(IF(MARTES!C43="peso_corporal",IF(ISNUMBER(MARTES!E43),MARTES!E43,0)+MARTES!R43,MARTES!R43))*(1+MARTES!S43/30)),1),""))</f>
        <v/>
      </c>
      <c r="L83" s="52">
        <f>IFERROR(MARTES!E43,"")</f>
        <v>80</v>
      </c>
      <c r="M83" s="53" t="str">
        <f>IFERROR(IF(K83="","-",IF(ISNUMBER(LOOKUP(2,1/((HISTORIAL!$O$3:$O$82=O83)*(HISTORIAL!$F$3:$F$82&lt;&gt;"")),HISTORIAL!$K$3:$K$82)),IF(K83&gt;LOOKUP(2,1/((HISTORIAL!$O$3:$O$82=O83)*(HISTORIAL!$F$3:$F$82&lt;&gt;"")),HISTORIAL!$K$3:$K$82),"^",IF(K83&lt;LOOKUP(2,1/((HISTORIAL!$O$3:$O$82=O83)*(HISTORIAL!$F$3:$F$82&lt;&gt;"")),HISTORIAL!$K$3:$K$82),"v","-")),"-")),"-")</f>
        <v>-</v>
      </c>
      <c r="N83" s="54" t="str">
        <f>IFERROR(VLOOKUP(A83,CONFIG!$A$10:$B$21,2,0),"")</f>
        <v>HIP</v>
      </c>
      <c r="O83" s="55" t="str">
        <f t="shared" si="3"/>
        <v>Curl Muneca|Supinado</v>
      </c>
      <c r="P83" s="69" t="str">
        <f>MARTES!AC43</f>
        <v/>
      </c>
    </row>
    <row r="84" spans="1:16" ht="14.1" customHeight="1">
      <c r="A84" s="37">
        <v>2</v>
      </c>
      <c r="B84" s="37" t="s">
        <v>278</v>
      </c>
      <c r="C84" s="44" t="str">
        <f>MARTES!$A$44</f>
        <v>Curl Muneca</v>
      </c>
      <c r="D84" s="45" t="str">
        <f>MARTES!$B$44</f>
        <v>Pronado</v>
      </c>
      <c r="E84" s="37" t="str">
        <f>MARTES!$C$44</f>
        <v>mancuerna</v>
      </c>
      <c r="F84" s="46" t="str">
        <f>IF(P84="","",IFERROR(CHOOSE(VALUE(RIGHT(P84,1)),MARTES!F44,MARTES!I44,MARTES!L44,MARTES!O44,MARTES!R44),""))</f>
        <v/>
      </c>
      <c r="G84" s="47" t="str">
        <f>IF(P84="","",IFERROR(CHOOSE(VALUE(RIGHT(P84,1)),MARTES!G44,MARTES!J44,MARTES!M44,MARTES!P44,MARTES!S44),""))</f>
        <v/>
      </c>
      <c r="H84" s="48" t="str">
        <f>IF(P84="","",IFERROR(CHOOSE(VALUE(RIGHT(P84,1)),MARTES!H44,MARTES!K44,MARTES!N44,MARTES!Q44,MARTES!T44),""))</f>
        <v/>
      </c>
      <c r="I84" s="49" t="str">
        <f t="shared" si="2"/>
        <v/>
      </c>
      <c r="J84" s="50" t="str">
        <f>IF(P84="","",IFERROR(ROUND(CHOOSE(VALUE(RIGHT(P84,1)),IF(MARTES!C44="peso_corporal",IF(ISNUMBER(MARTES!E44),MARTES!E44,0)+MARTES!F44,MARTES!F44)*MARTES!G44,IF(MARTES!C44="peso_corporal",IF(ISNUMBER(MARTES!E44),MARTES!E44,0)+MARTES!I44,MARTES!I44)*MARTES!J44,IF(MARTES!C44="peso_corporal",IF(ISNUMBER(MARTES!E44),MARTES!E44,0)+MARTES!L44,MARTES!L44)*MARTES!M44,IF(MARTES!C44="peso_corporal",IF(ISNUMBER(MARTES!E44),MARTES!E44,0)+MARTES!O44,MARTES!O44)*MARTES!P44,IF(MARTES!C44="peso_corporal",IF(ISNUMBER(MARTES!E44),MARTES!E44,0)+MARTES!R44,MARTES!R44)*MARTES!S44),1),""))</f>
        <v/>
      </c>
      <c r="K84" s="51" t="str">
        <f>IF(P84="","",IFERROR(ROUND(CHOOSE(VALUE(RIGHT(P84,1)),(IF(MARTES!C44="peso_corporal",IF(ISNUMBER(MARTES!E44),MARTES!E44,0)+MARTES!F44,MARTES!F44))*(1+MARTES!G44/30),(IF(MARTES!C44="peso_corporal",IF(ISNUMBER(MARTES!E44),MARTES!E44,0)+MARTES!I44,MARTES!I44))*(1+MARTES!J44/30),(IF(MARTES!C44="peso_corporal",IF(ISNUMBER(MARTES!E44),MARTES!E44,0)+MARTES!L44,MARTES!L44))*(1+MARTES!M44/30),(IF(MARTES!C44="peso_corporal",IF(ISNUMBER(MARTES!E44),MARTES!E44,0)+MARTES!O44,MARTES!O44))*(1+MARTES!P44/30),(IF(MARTES!C44="peso_corporal",IF(ISNUMBER(MARTES!E44),MARTES!E44,0)+MARTES!R44,MARTES!R44))*(1+MARTES!S44/30)),1),""))</f>
        <v/>
      </c>
      <c r="L84" s="52">
        <f>IFERROR(MARTES!E44,"")</f>
        <v>80</v>
      </c>
      <c r="M84" s="53" t="str">
        <f>IFERROR(IF(K84="","-",IF(ISNUMBER(LOOKUP(2,1/((HISTORIAL!$O$3:$O$83=O84)*(HISTORIAL!$F$3:$F$83&lt;&gt;"")),HISTORIAL!$K$3:$K$83)),IF(K84&gt;LOOKUP(2,1/((HISTORIAL!$O$3:$O$83=O84)*(HISTORIAL!$F$3:$F$83&lt;&gt;"")),HISTORIAL!$K$3:$K$83),"^",IF(K84&lt;LOOKUP(2,1/((HISTORIAL!$O$3:$O$83=O84)*(HISTORIAL!$F$3:$F$83&lt;&gt;"")),HISTORIAL!$K$3:$K$83),"v","-")),"-")),"-")</f>
        <v>-</v>
      </c>
      <c r="N84" s="54" t="str">
        <f>IFERROR(VLOOKUP(A84,CONFIG!$A$10:$B$21,2,0),"")</f>
        <v>HIP</v>
      </c>
      <c r="O84" s="55" t="str">
        <f t="shared" si="3"/>
        <v>Curl Muneca|Pronado</v>
      </c>
      <c r="P84" s="69" t="str">
        <f>MARTES!AC44</f>
        <v/>
      </c>
    </row>
    <row r="85" spans="1:16" ht="14.1" customHeight="1">
      <c r="A85" s="37">
        <v>2</v>
      </c>
      <c r="B85" s="37" t="s">
        <v>278</v>
      </c>
      <c r="C85" s="44" t="str">
        <f>MARTES!$A$46</f>
        <v>Farmer Carry</v>
      </c>
      <c r="D85" s="45" t="str">
        <f>MARTES!$B$46</f>
        <v>Libre</v>
      </c>
      <c r="E85" s="37" t="str">
        <f>MARTES!$C$46</f>
        <v>mancuerna</v>
      </c>
      <c r="F85" s="46" t="str">
        <f>IF(P85="","",IFERROR(CHOOSE(VALUE(RIGHT(P85,1)),MARTES!F46,MARTES!I46,MARTES!L46,MARTES!O46,MARTES!R46),""))</f>
        <v/>
      </c>
      <c r="G85" s="47" t="str">
        <f>IF(P85="","",IFERROR(CHOOSE(VALUE(RIGHT(P85,1)),MARTES!G46,MARTES!J46,MARTES!M46,MARTES!P46,MARTES!S46),""))</f>
        <v/>
      </c>
      <c r="H85" s="48" t="str">
        <f>IF(P85="","",IFERROR(CHOOSE(VALUE(RIGHT(P85,1)),MARTES!H46,MARTES!K46,MARTES!N46,MARTES!Q46,MARTES!T46),""))</f>
        <v/>
      </c>
      <c r="I85" s="49" t="str">
        <f t="shared" si="2"/>
        <v/>
      </c>
      <c r="J85" s="50" t="str">
        <f>IF(P85="","",IFERROR(ROUND(CHOOSE(VALUE(RIGHT(P85,1)),IF(MARTES!C46="peso_corporal",IF(ISNUMBER(MARTES!E46),MARTES!E46,0)+MARTES!F46,MARTES!F46)*MARTES!G46,IF(MARTES!C46="peso_corporal",IF(ISNUMBER(MARTES!E46),MARTES!E46,0)+MARTES!I46,MARTES!I46)*MARTES!J46,IF(MARTES!C46="peso_corporal",IF(ISNUMBER(MARTES!E46),MARTES!E46,0)+MARTES!L46,MARTES!L46)*MARTES!M46,IF(MARTES!C46="peso_corporal",IF(ISNUMBER(MARTES!E46),MARTES!E46,0)+MARTES!O46,MARTES!O46)*MARTES!P46,IF(MARTES!C46="peso_corporal",IF(ISNUMBER(MARTES!E46),MARTES!E46,0)+MARTES!R46,MARTES!R46)*MARTES!S46),1),""))</f>
        <v/>
      </c>
      <c r="K85" s="51" t="str">
        <f>IF(P85="","",IFERROR(ROUND(CHOOSE(VALUE(RIGHT(P85,1)),(IF(MARTES!C46="peso_corporal",IF(ISNUMBER(MARTES!E46),MARTES!E46,0)+MARTES!F46,MARTES!F46))*(1+MARTES!G46/30),(IF(MARTES!C46="peso_corporal",IF(ISNUMBER(MARTES!E46),MARTES!E46,0)+MARTES!I46,MARTES!I46))*(1+MARTES!J46/30),(IF(MARTES!C46="peso_corporal",IF(ISNUMBER(MARTES!E46),MARTES!E46,0)+MARTES!L46,MARTES!L46))*(1+MARTES!M46/30),(IF(MARTES!C46="peso_corporal",IF(ISNUMBER(MARTES!E46),MARTES!E46,0)+MARTES!O46,MARTES!O46))*(1+MARTES!P46/30),(IF(MARTES!C46="peso_corporal",IF(ISNUMBER(MARTES!E46),MARTES!E46,0)+MARTES!R46,MARTES!R46))*(1+MARTES!S46/30)),1),""))</f>
        <v/>
      </c>
      <c r="L85" s="52">
        <f>IFERROR(MARTES!E46,"")</f>
        <v>80</v>
      </c>
      <c r="M85" s="53" t="str">
        <f>IFERROR(IF(K85="","-",IF(ISNUMBER(LOOKUP(2,1/((HISTORIAL!$O$3:$O$84=O85)*(HISTORIAL!$F$3:$F$84&lt;&gt;"")),HISTORIAL!$K$3:$K$84)),IF(K85&gt;LOOKUP(2,1/((HISTORIAL!$O$3:$O$84=O85)*(HISTORIAL!$F$3:$F$84&lt;&gt;"")),HISTORIAL!$K$3:$K$84),"^",IF(K85&lt;LOOKUP(2,1/((HISTORIAL!$O$3:$O$84=O85)*(HISTORIAL!$F$3:$F$84&lt;&gt;"")),HISTORIAL!$K$3:$K$84),"v","-")),"-")),"-")</f>
        <v>-</v>
      </c>
      <c r="N85" s="54" t="str">
        <f>IFERROR(VLOOKUP(A85,CONFIG!$A$10:$B$21,2,0),"")</f>
        <v>HIP</v>
      </c>
      <c r="O85" s="55" t="str">
        <f t="shared" si="3"/>
        <v>Farmer Carry|Libre</v>
      </c>
      <c r="P85" s="69" t="str">
        <f>MARTES!AC46</f>
        <v/>
      </c>
    </row>
    <row r="86" spans="1:16" ht="14.1" customHeight="1">
      <c r="A86" s="37">
        <v>2</v>
      </c>
      <c r="B86" s="37" t="s">
        <v>278</v>
      </c>
      <c r="C86" s="44" t="str">
        <f>MARTES!$A$48</f>
        <v>Skullcrusher</v>
      </c>
      <c r="D86" s="45" t="str">
        <f>MARTES!$B$48</f>
        <v>Mancuerna Tumbado</v>
      </c>
      <c r="E86" s="37" t="str">
        <f>MARTES!$C$48</f>
        <v>--</v>
      </c>
      <c r="F86" s="46" t="str">
        <f>IF(P86="","",IFERROR(CHOOSE(VALUE(RIGHT(P86,1)),MARTES!F48,MARTES!I48,MARTES!L48,MARTES!O48,MARTES!R48),""))</f>
        <v/>
      </c>
      <c r="G86" s="47" t="str">
        <f>IF(P86="","",IFERROR(CHOOSE(VALUE(RIGHT(P86,1)),MARTES!G48,MARTES!J48,MARTES!M48,MARTES!P48,MARTES!S48),""))</f>
        <v/>
      </c>
      <c r="H86" s="48" t="str">
        <f>IF(P86="","",IFERROR(CHOOSE(VALUE(RIGHT(P86,1)),MARTES!H48,MARTES!K48,MARTES!N48,MARTES!Q48,MARTES!T48),""))</f>
        <v/>
      </c>
      <c r="I86" s="49" t="str">
        <f t="shared" si="2"/>
        <v/>
      </c>
      <c r="J86" s="50" t="str">
        <f>IF(P86="","",IFERROR(ROUND(CHOOSE(VALUE(RIGHT(P86,1)),IF(MARTES!C48="peso_corporal",IF(ISNUMBER(MARTES!E48),MARTES!E48,0)+MARTES!F48,MARTES!F48)*MARTES!G48,IF(MARTES!C48="peso_corporal",IF(ISNUMBER(MARTES!E48),MARTES!E48,0)+MARTES!I48,MARTES!I48)*MARTES!J48,IF(MARTES!C48="peso_corporal",IF(ISNUMBER(MARTES!E48),MARTES!E48,0)+MARTES!L48,MARTES!L48)*MARTES!M48,IF(MARTES!C48="peso_corporal",IF(ISNUMBER(MARTES!E48),MARTES!E48,0)+MARTES!O48,MARTES!O48)*MARTES!P48,IF(MARTES!C48="peso_corporal",IF(ISNUMBER(MARTES!E48),MARTES!E48,0)+MARTES!R48,MARTES!R48)*MARTES!S48),1),""))</f>
        <v/>
      </c>
      <c r="K86" s="51" t="str">
        <f>IF(P86="","",IFERROR(ROUND(CHOOSE(VALUE(RIGHT(P86,1)),(IF(MARTES!C48="peso_corporal",IF(ISNUMBER(MARTES!E48),MARTES!E48,0)+MARTES!F48,MARTES!F48))*(1+MARTES!G48/30),(IF(MARTES!C48="peso_corporal",IF(ISNUMBER(MARTES!E48),MARTES!E48,0)+MARTES!I48,MARTES!I48))*(1+MARTES!J48/30),(IF(MARTES!C48="peso_corporal",IF(ISNUMBER(MARTES!E48),MARTES!E48,0)+MARTES!L48,MARTES!L48))*(1+MARTES!M48/30),(IF(MARTES!C48="peso_corporal",IF(ISNUMBER(MARTES!E48),MARTES!E48,0)+MARTES!O48,MARTES!O48))*(1+MARTES!P48/30),(IF(MARTES!C48="peso_corporal",IF(ISNUMBER(MARTES!E48),MARTES!E48,0)+MARTES!R48,MARTES!R48))*(1+MARTES!S48/30)),1),""))</f>
        <v/>
      </c>
      <c r="L86" s="52">
        <f>IFERROR(MARTES!E48,"")</f>
        <v>80</v>
      </c>
      <c r="M86" s="53" t="str">
        <f>IFERROR(IF(K86="","-",IF(ISNUMBER(LOOKUP(2,1/((HISTORIAL!$O$3:$O$85=O86)*(HISTORIAL!$F$3:$F$85&lt;&gt;"")),HISTORIAL!$K$3:$K$85)),IF(K86&gt;LOOKUP(2,1/((HISTORIAL!$O$3:$O$85=O86)*(HISTORIAL!$F$3:$F$85&lt;&gt;"")),HISTORIAL!$K$3:$K$85),"^",IF(K86&lt;LOOKUP(2,1/((HISTORIAL!$O$3:$O$85=O86)*(HISTORIAL!$F$3:$F$85&lt;&gt;"")),HISTORIAL!$K$3:$K$85),"v","-")),"-")),"-")</f>
        <v>-</v>
      </c>
      <c r="N86" s="54" t="str">
        <f>IFERROR(VLOOKUP(A86,CONFIG!$A$10:$B$21,2,0),"")</f>
        <v>HIP</v>
      </c>
      <c r="O86" s="55" t="str">
        <f t="shared" si="3"/>
        <v>Skullcrusher|Mancuerna Tumbado</v>
      </c>
      <c r="P86" s="69" t="str">
        <f>MARTES!AC48</f>
        <v/>
      </c>
    </row>
    <row r="87" spans="1:16" ht="14.1" customHeight="1">
      <c r="A87" s="37">
        <v>2</v>
      </c>
      <c r="B87" s="37" t="s">
        <v>278</v>
      </c>
      <c r="C87" s="44" t="str">
        <f>MARTES!$A$50</f>
        <v>Crunch</v>
      </c>
      <c r="D87" s="45" t="str">
        <f>MARTES!$B$50</f>
        <v>Polea</v>
      </c>
      <c r="E87" s="37" t="str">
        <f>MARTES!$C$50</f>
        <v>polea</v>
      </c>
      <c r="F87" s="46" t="str">
        <f>IF(P87="","",IFERROR(CHOOSE(VALUE(RIGHT(P87,1)),MARTES!F50,MARTES!I50,MARTES!L50,MARTES!O50,MARTES!R50),""))</f>
        <v/>
      </c>
      <c r="G87" s="47" t="str">
        <f>IF(P87="","",IFERROR(CHOOSE(VALUE(RIGHT(P87,1)),MARTES!G50,MARTES!J50,MARTES!M50,MARTES!P50,MARTES!S50),""))</f>
        <v/>
      </c>
      <c r="H87" s="48" t="str">
        <f>IF(P87="","",IFERROR(CHOOSE(VALUE(RIGHT(P87,1)),MARTES!H50,MARTES!K50,MARTES!N50,MARTES!Q50,MARTES!T50),""))</f>
        <v/>
      </c>
      <c r="I87" s="49" t="str">
        <f t="shared" si="2"/>
        <v/>
      </c>
      <c r="J87" s="50" t="str">
        <f>IF(P87="","",IFERROR(ROUND(CHOOSE(VALUE(RIGHT(P87,1)),IF(MARTES!C50="peso_corporal",IF(ISNUMBER(MARTES!E50),MARTES!E50,0)+MARTES!F50,MARTES!F50)*MARTES!G50,IF(MARTES!C50="peso_corporal",IF(ISNUMBER(MARTES!E50),MARTES!E50,0)+MARTES!I50,MARTES!I50)*MARTES!J50,IF(MARTES!C50="peso_corporal",IF(ISNUMBER(MARTES!E50),MARTES!E50,0)+MARTES!L50,MARTES!L50)*MARTES!M50,IF(MARTES!C50="peso_corporal",IF(ISNUMBER(MARTES!E50),MARTES!E50,0)+MARTES!O50,MARTES!O50)*MARTES!P50,IF(MARTES!C50="peso_corporal",IF(ISNUMBER(MARTES!E50),MARTES!E50,0)+MARTES!R50,MARTES!R50)*MARTES!S50),1),""))</f>
        <v/>
      </c>
      <c r="K87" s="51" t="str">
        <f>IF(P87="","",IFERROR(ROUND(CHOOSE(VALUE(RIGHT(P87,1)),(IF(MARTES!C50="peso_corporal",IF(ISNUMBER(MARTES!E50),MARTES!E50,0)+MARTES!F50,MARTES!F50))*(1+MARTES!G50/30),(IF(MARTES!C50="peso_corporal",IF(ISNUMBER(MARTES!E50),MARTES!E50,0)+MARTES!I50,MARTES!I50))*(1+MARTES!J50/30),(IF(MARTES!C50="peso_corporal",IF(ISNUMBER(MARTES!E50),MARTES!E50,0)+MARTES!L50,MARTES!L50))*(1+MARTES!M50/30),(IF(MARTES!C50="peso_corporal",IF(ISNUMBER(MARTES!E50),MARTES!E50,0)+MARTES!O50,MARTES!O50))*(1+MARTES!P50/30),(IF(MARTES!C50="peso_corporal",IF(ISNUMBER(MARTES!E50),MARTES!E50,0)+MARTES!R50,MARTES!R50))*(1+MARTES!S50/30)),1),""))</f>
        <v/>
      </c>
      <c r="L87" s="52">
        <f>IFERROR(MARTES!E50,"")</f>
        <v>80</v>
      </c>
      <c r="M87" s="53" t="str">
        <f>IFERROR(IF(K87="","-",IF(ISNUMBER(LOOKUP(2,1/((HISTORIAL!$O$3:$O$86=O87)*(HISTORIAL!$F$3:$F$86&lt;&gt;"")),HISTORIAL!$K$3:$K$86)),IF(K87&gt;LOOKUP(2,1/((HISTORIAL!$O$3:$O$86=O87)*(HISTORIAL!$F$3:$F$86&lt;&gt;"")),HISTORIAL!$K$3:$K$86),"^",IF(K87&lt;LOOKUP(2,1/((HISTORIAL!$O$3:$O$86=O87)*(HISTORIAL!$F$3:$F$86&lt;&gt;"")),HISTORIAL!$K$3:$K$86),"v","-")),"-")),"-")</f>
        <v>-</v>
      </c>
      <c r="N87" s="54" t="str">
        <f>IFERROR(VLOOKUP(A87,CONFIG!$A$10:$B$21,2,0),"")</f>
        <v>HIP</v>
      </c>
      <c r="O87" s="55" t="str">
        <f t="shared" si="3"/>
        <v>Crunch|Polea</v>
      </c>
      <c r="P87" s="69" t="str">
        <f>MARTES!AC50</f>
        <v/>
      </c>
    </row>
    <row r="88" spans="1:16" ht="14.1" customHeight="1">
      <c r="A88" s="37">
        <v>2</v>
      </c>
      <c r="B88" s="37" t="s">
        <v>279</v>
      </c>
      <c r="C88" s="44" t="str">
        <f>MIERCOLES!$A$34</f>
        <v>Curl Femoral</v>
      </c>
      <c r="D88" s="45" t="str">
        <f>MIERCOLES!$B$34</f>
        <v>Tumbado Maquina</v>
      </c>
      <c r="E88" s="37" t="str">
        <f>MIERCOLES!$C$34</f>
        <v>polea</v>
      </c>
      <c r="F88" s="46" t="str">
        <f>IF(P88="","",IFERROR(CHOOSE(VALUE(RIGHT(P88,1)),MIERCOLES!F34,MIERCOLES!I34,MIERCOLES!L34,MIERCOLES!O34,MIERCOLES!R34),""))</f>
        <v/>
      </c>
      <c r="G88" s="47" t="str">
        <f>IF(P88="","",IFERROR(CHOOSE(VALUE(RIGHT(P88,1)),MIERCOLES!G34,MIERCOLES!J34,MIERCOLES!M34,MIERCOLES!P34,MIERCOLES!S34),""))</f>
        <v/>
      </c>
      <c r="H88" s="48" t="str">
        <f>IF(P88="","",IFERROR(CHOOSE(VALUE(RIGHT(P88,1)),MIERCOLES!H34,MIERCOLES!K34,MIERCOLES!N34,MIERCOLES!Q34,MIERCOLES!T34),""))</f>
        <v/>
      </c>
      <c r="I88" s="49" t="str">
        <f t="shared" si="2"/>
        <v/>
      </c>
      <c r="J88" s="50" t="str">
        <f>IF(P88="","",IFERROR(ROUND(CHOOSE(VALUE(RIGHT(P88,1)),IF(MIERCOLES!C34="peso_corporal",IF(ISNUMBER(MIERCOLES!E34),MIERCOLES!E34,0)+MIERCOLES!F34,MIERCOLES!F34)*MIERCOLES!G34,IF(MIERCOLES!C34="peso_corporal",IF(ISNUMBER(MIERCOLES!E34),MIERCOLES!E34,0)+MIERCOLES!I34,MIERCOLES!I34)*MIERCOLES!J34,IF(MIERCOLES!C34="peso_corporal",IF(ISNUMBER(MIERCOLES!E34),MIERCOLES!E34,0)+MIERCOLES!L34,MIERCOLES!L34)*MIERCOLES!M34,IF(MIERCOLES!C34="peso_corporal",IF(ISNUMBER(MIERCOLES!E34),MIERCOLES!E34,0)+MIERCOLES!O34,MIERCOLES!O34)*MIERCOLES!P34,IF(MIERCOLES!C34="peso_corporal",IF(ISNUMBER(MIERCOLES!E34),MIERCOLES!E34,0)+MIERCOLES!R34,MIERCOLES!R34)*MIERCOLES!S34),1),""))</f>
        <v/>
      </c>
      <c r="K88" s="51" t="str">
        <f>IF(P88="","",IFERROR(ROUND(CHOOSE(VALUE(RIGHT(P88,1)),(IF(MIERCOLES!C34="peso_corporal",IF(ISNUMBER(MIERCOLES!E34),MIERCOLES!E34,0)+MIERCOLES!F34,MIERCOLES!F34))*(1+MIERCOLES!G34/30),(IF(MIERCOLES!C34="peso_corporal",IF(ISNUMBER(MIERCOLES!E34),MIERCOLES!E34,0)+MIERCOLES!I34,MIERCOLES!I34))*(1+MIERCOLES!J34/30),(IF(MIERCOLES!C34="peso_corporal",IF(ISNUMBER(MIERCOLES!E34),MIERCOLES!E34,0)+MIERCOLES!L34,MIERCOLES!L34))*(1+MIERCOLES!M34/30),(IF(MIERCOLES!C34="peso_corporal",IF(ISNUMBER(MIERCOLES!E34),MIERCOLES!E34,0)+MIERCOLES!O34,MIERCOLES!O34))*(1+MIERCOLES!P34/30),(IF(MIERCOLES!C34="peso_corporal",IF(ISNUMBER(MIERCOLES!E34),MIERCOLES!E34,0)+MIERCOLES!R34,MIERCOLES!R34))*(1+MIERCOLES!S34/30)),1),""))</f>
        <v/>
      </c>
      <c r="L88" s="52">
        <f>IFERROR(MIERCOLES!E34,"")</f>
        <v>80</v>
      </c>
      <c r="M88" s="53" t="str">
        <f>IFERROR(IF(K88="","-",IF(ISNUMBER(LOOKUP(2,1/((HISTORIAL!$O$3:$O$87=O88)*(HISTORIAL!$F$3:$F$87&lt;&gt;"")),HISTORIAL!$K$3:$K$87)),IF(K88&gt;LOOKUP(2,1/((HISTORIAL!$O$3:$O$87=O88)*(HISTORIAL!$F$3:$F$87&lt;&gt;"")),HISTORIAL!$K$3:$K$87),"^",IF(K88&lt;LOOKUP(2,1/((HISTORIAL!$O$3:$O$87=O88)*(HISTORIAL!$F$3:$F$87&lt;&gt;"")),HISTORIAL!$K$3:$K$87),"v","-")),"-")),"-")</f>
        <v>-</v>
      </c>
      <c r="N88" s="54" t="str">
        <f>IFERROR(VLOOKUP(A88,CONFIG!$A$10:$B$21,2,0),"")</f>
        <v>HIP</v>
      </c>
      <c r="O88" s="55" t="str">
        <f t="shared" si="3"/>
        <v>Curl Femoral|Tumbado Maquina</v>
      </c>
      <c r="P88" s="69" t="str">
        <f>MIERCOLES!AC34</f>
        <v/>
      </c>
    </row>
    <row r="89" spans="1:16" ht="14.1" customHeight="1">
      <c r="A89" s="37">
        <v>2</v>
      </c>
      <c r="B89" s="37" t="s">
        <v>279</v>
      </c>
      <c r="C89" s="44" t="str">
        <f>MIERCOLES!$A$35</f>
        <v>Curl Femoral</v>
      </c>
      <c r="D89" s="45" t="str">
        <f>MIERCOLES!$B$35</f>
        <v>Sentado Maquina</v>
      </c>
      <c r="E89" s="37" t="str">
        <f>MIERCOLES!$C$35</f>
        <v>polea</v>
      </c>
      <c r="F89" s="46" t="str">
        <f>IF(P89="","",IFERROR(CHOOSE(VALUE(RIGHT(P89,1)),MIERCOLES!F35,MIERCOLES!I35,MIERCOLES!L35,MIERCOLES!O35,MIERCOLES!R35),""))</f>
        <v/>
      </c>
      <c r="G89" s="47" t="str">
        <f>IF(P89="","",IFERROR(CHOOSE(VALUE(RIGHT(P89,1)),MIERCOLES!G35,MIERCOLES!J35,MIERCOLES!M35,MIERCOLES!P35,MIERCOLES!S35),""))</f>
        <v/>
      </c>
      <c r="H89" s="48" t="str">
        <f>IF(P89="","",IFERROR(CHOOSE(VALUE(RIGHT(P89,1)),MIERCOLES!H35,MIERCOLES!K35,MIERCOLES!N35,MIERCOLES!Q35,MIERCOLES!T35),""))</f>
        <v/>
      </c>
      <c r="I89" s="49" t="str">
        <f t="shared" si="2"/>
        <v/>
      </c>
      <c r="J89" s="50" t="str">
        <f>IF(P89="","",IFERROR(ROUND(CHOOSE(VALUE(RIGHT(P89,1)),IF(MIERCOLES!C35="peso_corporal",IF(ISNUMBER(MIERCOLES!E35),MIERCOLES!E35,0)+MIERCOLES!F35,MIERCOLES!F35)*MIERCOLES!G35,IF(MIERCOLES!C35="peso_corporal",IF(ISNUMBER(MIERCOLES!E35),MIERCOLES!E35,0)+MIERCOLES!I35,MIERCOLES!I35)*MIERCOLES!J35,IF(MIERCOLES!C35="peso_corporal",IF(ISNUMBER(MIERCOLES!E35),MIERCOLES!E35,0)+MIERCOLES!L35,MIERCOLES!L35)*MIERCOLES!M35,IF(MIERCOLES!C35="peso_corporal",IF(ISNUMBER(MIERCOLES!E35),MIERCOLES!E35,0)+MIERCOLES!O35,MIERCOLES!O35)*MIERCOLES!P35,IF(MIERCOLES!C35="peso_corporal",IF(ISNUMBER(MIERCOLES!E35),MIERCOLES!E35,0)+MIERCOLES!R35,MIERCOLES!R35)*MIERCOLES!S35),1),""))</f>
        <v/>
      </c>
      <c r="K89" s="51" t="str">
        <f>IF(P89="","",IFERROR(ROUND(CHOOSE(VALUE(RIGHT(P89,1)),(IF(MIERCOLES!C35="peso_corporal",IF(ISNUMBER(MIERCOLES!E35),MIERCOLES!E35,0)+MIERCOLES!F35,MIERCOLES!F35))*(1+MIERCOLES!G35/30),(IF(MIERCOLES!C35="peso_corporal",IF(ISNUMBER(MIERCOLES!E35),MIERCOLES!E35,0)+MIERCOLES!I35,MIERCOLES!I35))*(1+MIERCOLES!J35/30),(IF(MIERCOLES!C35="peso_corporal",IF(ISNUMBER(MIERCOLES!E35),MIERCOLES!E35,0)+MIERCOLES!L35,MIERCOLES!L35))*(1+MIERCOLES!M35/30),(IF(MIERCOLES!C35="peso_corporal",IF(ISNUMBER(MIERCOLES!E35),MIERCOLES!E35,0)+MIERCOLES!O35,MIERCOLES!O35))*(1+MIERCOLES!P35/30),(IF(MIERCOLES!C35="peso_corporal",IF(ISNUMBER(MIERCOLES!E35),MIERCOLES!E35,0)+MIERCOLES!R35,MIERCOLES!R35))*(1+MIERCOLES!S35/30)),1),""))</f>
        <v/>
      </c>
      <c r="L89" s="52">
        <f>IFERROR(MIERCOLES!E35,"")</f>
        <v>80</v>
      </c>
      <c r="M89" s="53" t="str">
        <f>IFERROR(IF(K89="","-",IF(ISNUMBER(LOOKUP(2,1/((HISTORIAL!$O$3:$O$88=O89)*(HISTORIAL!$F$3:$F$88&lt;&gt;"")),HISTORIAL!$K$3:$K$88)),IF(K89&gt;LOOKUP(2,1/((HISTORIAL!$O$3:$O$88=O89)*(HISTORIAL!$F$3:$F$88&lt;&gt;"")),HISTORIAL!$K$3:$K$88),"^",IF(K89&lt;LOOKUP(2,1/((HISTORIAL!$O$3:$O$88=O89)*(HISTORIAL!$F$3:$F$88&lt;&gt;"")),HISTORIAL!$K$3:$K$88),"v","-")),"-")),"-")</f>
        <v>-</v>
      </c>
      <c r="N89" s="54" t="str">
        <f>IFERROR(VLOOKUP(A89,CONFIG!$A$10:$B$21,2,0),"")</f>
        <v>HIP</v>
      </c>
      <c r="O89" s="55" t="str">
        <f t="shared" si="3"/>
        <v>Curl Femoral|Sentado Maquina</v>
      </c>
      <c r="P89" s="69" t="str">
        <f>MIERCOLES!AC35</f>
        <v/>
      </c>
    </row>
    <row r="90" spans="1:16" ht="14.1" customHeight="1">
      <c r="A90" s="37">
        <v>2</v>
      </c>
      <c r="B90" s="37" t="s">
        <v>279</v>
      </c>
      <c r="C90" s="44" t="str">
        <f>MIERCOLES!$A$36</f>
        <v>Curl Rumano</v>
      </c>
      <c r="D90" s="45" t="str">
        <f>MIERCOLES!$B$36</f>
        <v>Mancuernas</v>
      </c>
      <c r="E90" s="37" t="str">
        <f>MIERCOLES!$C$36</f>
        <v>mancuerna</v>
      </c>
      <c r="F90" s="46" t="str">
        <f>IF(P90="","",IFERROR(CHOOSE(VALUE(RIGHT(P90,1)),MIERCOLES!F36,MIERCOLES!I36,MIERCOLES!L36,MIERCOLES!O36,MIERCOLES!R36),""))</f>
        <v/>
      </c>
      <c r="G90" s="47" t="str">
        <f>IF(P90="","",IFERROR(CHOOSE(VALUE(RIGHT(P90,1)),MIERCOLES!G36,MIERCOLES!J36,MIERCOLES!M36,MIERCOLES!P36,MIERCOLES!S36),""))</f>
        <v/>
      </c>
      <c r="H90" s="48" t="str">
        <f>IF(P90="","",IFERROR(CHOOSE(VALUE(RIGHT(P90,1)),MIERCOLES!H36,MIERCOLES!K36,MIERCOLES!N36,MIERCOLES!Q36,MIERCOLES!T36),""))</f>
        <v/>
      </c>
      <c r="I90" s="49" t="str">
        <f t="shared" si="2"/>
        <v/>
      </c>
      <c r="J90" s="50" t="str">
        <f>IF(P90="","",IFERROR(ROUND(CHOOSE(VALUE(RIGHT(P90,1)),IF(MIERCOLES!C36="peso_corporal",IF(ISNUMBER(MIERCOLES!E36),MIERCOLES!E36,0)+MIERCOLES!F36,MIERCOLES!F36)*MIERCOLES!G36,IF(MIERCOLES!C36="peso_corporal",IF(ISNUMBER(MIERCOLES!E36),MIERCOLES!E36,0)+MIERCOLES!I36,MIERCOLES!I36)*MIERCOLES!J36,IF(MIERCOLES!C36="peso_corporal",IF(ISNUMBER(MIERCOLES!E36),MIERCOLES!E36,0)+MIERCOLES!L36,MIERCOLES!L36)*MIERCOLES!M36,IF(MIERCOLES!C36="peso_corporal",IF(ISNUMBER(MIERCOLES!E36),MIERCOLES!E36,0)+MIERCOLES!O36,MIERCOLES!O36)*MIERCOLES!P36,IF(MIERCOLES!C36="peso_corporal",IF(ISNUMBER(MIERCOLES!E36),MIERCOLES!E36,0)+MIERCOLES!R36,MIERCOLES!R36)*MIERCOLES!S36),1),""))</f>
        <v/>
      </c>
      <c r="K90" s="51" t="str">
        <f>IF(P90="","",IFERROR(ROUND(CHOOSE(VALUE(RIGHT(P90,1)),(IF(MIERCOLES!C36="peso_corporal",IF(ISNUMBER(MIERCOLES!E36),MIERCOLES!E36,0)+MIERCOLES!F36,MIERCOLES!F36))*(1+MIERCOLES!G36/30),(IF(MIERCOLES!C36="peso_corporal",IF(ISNUMBER(MIERCOLES!E36),MIERCOLES!E36,0)+MIERCOLES!I36,MIERCOLES!I36))*(1+MIERCOLES!J36/30),(IF(MIERCOLES!C36="peso_corporal",IF(ISNUMBER(MIERCOLES!E36),MIERCOLES!E36,0)+MIERCOLES!L36,MIERCOLES!L36))*(1+MIERCOLES!M36/30),(IF(MIERCOLES!C36="peso_corporal",IF(ISNUMBER(MIERCOLES!E36),MIERCOLES!E36,0)+MIERCOLES!O36,MIERCOLES!O36))*(1+MIERCOLES!P36/30),(IF(MIERCOLES!C36="peso_corporal",IF(ISNUMBER(MIERCOLES!E36),MIERCOLES!E36,0)+MIERCOLES!R36,MIERCOLES!R36))*(1+MIERCOLES!S36/30)),1),""))</f>
        <v/>
      </c>
      <c r="L90" s="52">
        <f>IFERROR(MIERCOLES!E36,"")</f>
        <v>80</v>
      </c>
      <c r="M90" s="53" t="str">
        <f>IFERROR(IF(K90="","-",IF(ISNUMBER(LOOKUP(2,1/((HISTORIAL!$O$3:$O$89=O90)*(HISTORIAL!$F$3:$F$89&lt;&gt;"")),HISTORIAL!$K$3:$K$89)),IF(K90&gt;LOOKUP(2,1/((HISTORIAL!$O$3:$O$89=O90)*(HISTORIAL!$F$3:$F$89&lt;&gt;"")),HISTORIAL!$K$3:$K$89),"^",IF(K90&lt;LOOKUP(2,1/((HISTORIAL!$O$3:$O$89=O90)*(HISTORIAL!$F$3:$F$89&lt;&gt;"")),HISTORIAL!$K$3:$K$89),"v","-")),"-")),"-")</f>
        <v>-</v>
      </c>
      <c r="N90" s="54" t="str">
        <f>IFERROR(VLOOKUP(A90,CONFIG!$A$10:$B$21,2,0),"")</f>
        <v>HIP</v>
      </c>
      <c r="O90" s="55" t="str">
        <f t="shared" si="3"/>
        <v>Curl Rumano|Mancuernas</v>
      </c>
      <c r="P90" s="69" t="str">
        <f>MIERCOLES!AC36</f>
        <v/>
      </c>
    </row>
    <row r="91" spans="1:16" ht="14.1" customHeight="1">
      <c r="A91" s="37">
        <v>2</v>
      </c>
      <c r="B91" s="37" t="s">
        <v>279</v>
      </c>
      <c r="C91" s="44" t="str">
        <f>MIERCOLES!$A$38</f>
        <v>Sentadilla</v>
      </c>
      <c r="D91" s="45" t="str">
        <f>MIERCOLES!$B$38</f>
        <v>Multipower Cuna Talones</v>
      </c>
      <c r="E91" s="37" t="str">
        <f>MIERCOLES!$C$38</f>
        <v>--</v>
      </c>
      <c r="F91" s="46" t="str">
        <f>IF(P91="","",IFERROR(CHOOSE(VALUE(RIGHT(P91,1)),MIERCOLES!F38,MIERCOLES!I38,MIERCOLES!L38,MIERCOLES!O38,MIERCOLES!R38),""))</f>
        <v/>
      </c>
      <c r="G91" s="47" t="str">
        <f>IF(P91="","",IFERROR(CHOOSE(VALUE(RIGHT(P91,1)),MIERCOLES!G38,MIERCOLES!J38,MIERCOLES!M38,MIERCOLES!P38,MIERCOLES!S38),""))</f>
        <v/>
      </c>
      <c r="H91" s="48" t="str">
        <f>IF(P91="","",IFERROR(CHOOSE(VALUE(RIGHT(P91,1)),MIERCOLES!H38,MIERCOLES!K38,MIERCOLES!N38,MIERCOLES!Q38,MIERCOLES!T38),""))</f>
        <v/>
      </c>
      <c r="I91" s="49" t="str">
        <f t="shared" si="2"/>
        <v/>
      </c>
      <c r="J91" s="50" t="str">
        <f>IF(P91="","",IFERROR(ROUND(CHOOSE(VALUE(RIGHT(P91,1)),IF(MIERCOLES!C38="peso_corporal",IF(ISNUMBER(MIERCOLES!E38),MIERCOLES!E38,0)+MIERCOLES!F38,MIERCOLES!F38)*MIERCOLES!G38,IF(MIERCOLES!C38="peso_corporal",IF(ISNUMBER(MIERCOLES!E38),MIERCOLES!E38,0)+MIERCOLES!I38,MIERCOLES!I38)*MIERCOLES!J38,IF(MIERCOLES!C38="peso_corporal",IF(ISNUMBER(MIERCOLES!E38),MIERCOLES!E38,0)+MIERCOLES!L38,MIERCOLES!L38)*MIERCOLES!M38,IF(MIERCOLES!C38="peso_corporal",IF(ISNUMBER(MIERCOLES!E38),MIERCOLES!E38,0)+MIERCOLES!O38,MIERCOLES!O38)*MIERCOLES!P38,IF(MIERCOLES!C38="peso_corporal",IF(ISNUMBER(MIERCOLES!E38),MIERCOLES!E38,0)+MIERCOLES!R38,MIERCOLES!R38)*MIERCOLES!S38),1),""))</f>
        <v/>
      </c>
      <c r="K91" s="51" t="str">
        <f>IF(P91="","",IFERROR(ROUND(CHOOSE(VALUE(RIGHT(P91,1)),(IF(MIERCOLES!C38="peso_corporal",IF(ISNUMBER(MIERCOLES!E38),MIERCOLES!E38,0)+MIERCOLES!F38,MIERCOLES!F38))*(1+MIERCOLES!G38/30),(IF(MIERCOLES!C38="peso_corporal",IF(ISNUMBER(MIERCOLES!E38),MIERCOLES!E38,0)+MIERCOLES!I38,MIERCOLES!I38))*(1+MIERCOLES!J38/30),(IF(MIERCOLES!C38="peso_corporal",IF(ISNUMBER(MIERCOLES!E38),MIERCOLES!E38,0)+MIERCOLES!L38,MIERCOLES!L38))*(1+MIERCOLES!M38/30),(IF(MIERCOLES!C38="peso_corporal",IF(ISNUMBER(MIERCOLES!E38),MIERCOLES!E38,0)+MIERCOLES!O38,MIERCOLES!O38))*(1+MIERCOLES!P38/30),(IF(MIERCOLES!C38="peso_corporal",IF(ISNUMBER(MIERCOLES!E38),MIERCOLES!E38,0)+MIERCOLES!R38,MIERCOLES!R38))*(1+MIERCOLES!S38/30)),1),""))</f>
        <v/>
      </c>
      <c r="L91" s="52">
        <f>IFERROR(MIERCOLES!E38,"")</f>
        <v>80</v>
      </c>
      <c r="M91" s="53" t="str">
        <f>IFERROR(IF(K91="","-",IF(ISNUMBER(LOOKUP(2,1/((HISTORIAL!$O$3:$O$90=O91)*(HISTORIAL!$F$3:$F$90&lt;&gt;"")),HISTORIAL!$K$3:$K$90)),IF(K91&gt;LOOKUP(2,1/((HISTORIAL!$O$3:$O$90=O91)*(HISTORIAL!$F$3:$F$90&lt;&gt;"")),HISTORIAL!$K$3:$K$90),"^",IF(K91&lt;LOOKUP(2,1/((HISTORIAL!$O$3:$O$90=O91)*(HISTORIAL!$F$3:$F$90&lt;&gt;"")),HISTORIAL!$K$3:$K$90),"v","-")),"-")),"-")</f>
        <v>-</v>
      </c>
      <c r="N91" s="54" t="str">
        <f>IFERROR(VLOOKUP(A91,CONFIG!$A$10:$B$21,2,0),"")</f>
        <v>HIP</v>
      </c>
      <c r="O91" s="55" t="str">
        <f t="shared" si="3"/>
        <v>Sentadilla|Multipower Cuna Talones</v>
      </c>
      <c r="P91" s="69" t="str">
        <f>MIERCOLES!AC38</f>
        <v/>
      </c>
    </row>
    <row r="92" spans="1:16" ht="14.1" customHeight="1">
      <c r="A92" s="37">
        <v>2</v>
      </c>
      <c r="B92" s="37" t="s">
        <v>279</v>
      </c>
      <c r="C92" s="44" t="str">
        <f>MIERCOLES!$A$39</f>
        <v>Prensa Pierna</v>
      </c>
      <c r="D92" s="45" t="str">
        <f>MIERCOLES!$B$39</f>
        <v>Individual Horizontal</v>
      </c>
      <c r="E92" s="37" t="str">
        <f>MIERCOLES!$C$39</f>
        <v>--</v>
      </c>
      <c r="F92" s="46" t="str">
        <f>IF(P92="","",IFERROR(CHOOSE(VALUE(RIGHT(P92,1)),MIERCOLES!F39,MIERCOLES!I39,MIERCOLES!L39,MIERCOLES!O39,MIERCOLES!R39),""))</f>
        <v/>
      </c>
      <c r="G92" s="47" t="str">
        <f>IF(P92="","",IFERROR(CHOOSE(VALUE(RIGHT(P92,1)),MIERCOLES!G39,MIERCOLES!J39,MIERCOLES!M39,MIERCOLES!P39,MIERCOLES!S39),""))</f>
        <v/>
      </c>
      <c r="H92" s="48" t="str">
        <f>IF(P92="","",IFERROR(CHOOSE(VALUE(RIGHT(P92,1)),MIERCOLES!H39,MIERCOLES!K39,MIERCOLES!N39,MIERCOLES!Q39,MIERCOLES!T39),""))</f>
        <v/>
      </c>
      <c r="I92" s="49" t="str">
        <f t="shared" si="2"/>
        <v/>
      </c>
      <c r="J92" s="50" t="str">
        <f>IF(P92="","",IFERROR(ROUND(CHOOSE(VALUE(RIGHT(P92,1)),IF(MIERCOLES!C39="peso_corporal",IF(ISNUMBER(MIERCOLES!E39),MIERCOLES!E39,0)+MIERCOLES!F39,MIERCOLES!F39)*MIERCOLES!G39,IF(MIERCOLES!C39="peso_corporal",IF(ISNUMBER(MIERCOLES!E39),MIERCOLES!E39,0)+MIERCOLES!I39,MIERCOLES!I39)*MIERCOLES!J39,IF(MIERCOLES!C39="peso_corporal",IF(ISNUMBER(MIERCOLES!E39),MIERCOLES!E39,0)+MIERCOLES!L39,MIERCOLES!L39)*MIERCOLES!M39,IF(MIERCOLES!C39="peso_corporal",IF(ISNUMBER(MIERCOLES!E39),MIERCOLES!E39,0)+MIERCOLES!O39,MIERCOLES!O39)*MIERCOLES!P39,IF(MIERCOLES!C39="peso_corporal",IF(ISNUMBER(MIERCOLES!E39),MIERCOLES!E39,0)+MIERCOLES!R39,MIERCOLES!R39)*MIERCOLES!S39),1),""))</f>
        <v/>
      </c>
      <c r="K92" s="51" t="str">
        <f>IF(P92="","",IFERROR(ROUND(CHOOSE(VALUE(RIGHT(P92,1)),(IF(MIERCOLES!C39="peso_corporal",IF(ISNUMBER(MIERCOLES!E39),MIERCOLES!E39,0)+MIERCOLES!F39,MIERCOLES!F39))*(1+MIERCOLES!G39/30),(IF(MIERCOLES!C39="peso_corporal",IF(ISNUMBER(MIERCOLES!E39),MIERCOLES!E39,0)+MIERCOLES!I39,MIERCOLES!I39))*(1+MIERCOLES!J39/30),(IF(MIERCOLES!C39="peso_corporal",IF(ISNUMBER(MIERCOLES!E39),MIERCOLES!E39,0)+MIERCOLES!L39,MIERCOLES!L39))*(1+MIERCOLES!M39/30),(IF(MIERCOLES!C39="peso_corporal",IF(ISNUMBER(MIERCOLES!E39),MIERCOLES!E39,0)+MIERCOLES!O39,MIERCOLES!O39))*(1+MIERCOLES!P39/30),(IF(MIERCOLES!C39="peso_corporal",IF(ISNUMBER(MIERCOLES!E39),MIERCOLES!E39,0)+MIERCOLES!R39,MIERCOLES!R39))*(1+MIERCOLES!S39/30)),1),""))</f>
        <v/>
      </c>
      <c r="L92" s="52">
        <f>IFERROR(MIERCOLES!E39,"")</f>
        <v>80</v>
      </c>
      <c r="M92" s="53" t="str">
        <f>IFERROR(IF(K92="","-",IF(ISNUMBER(LOOKUP(2,1/((HISTORIAL!$O$3:$O$91=O92)*(HISTORIAL!$F$3:$F$91&lt;&gt;"")),HISTORIAL!$K$3:$K$91)),IF(K92&gt;LOOKUP(2,1/((HISTORIAL!$O$3:$O$91=O92)*(HISTORIAL!$F$3:$F$91&lt;&gt;"")),HISTORIAL!$K$3:$K$91),"^",IF(K92&lt;LOOKUP(2,1/((HISTORIAL!$O$3:$O$91=O92)*(HISTORIAL!$F$3:$F$91&lt;&gt;"")),HISTORIAL!$K$3:$K$91),"v","-")),"-")),"-")</f>
        <v>-</v>
      </c>
      <c r="N92" s="54" t="str">
        <f>IFERROR(VLOOKUP(A92,CONFIG!$A$10:$B$21,2,0),"")</f>
        <v>HIP</v>
      </c>
      <c r="O92" s="55" t="str">
        <f t="shared" si="3"/>
        <v>Prensa Pierna|Individual Horizontal</v>
      </c>
      <c r="P92" s="69" t="str">
        <f>MIERCOLES!AC39</f>
        <v/>
      </c>
    </row>
    <row r="93" spans="1:16" ht="14.1" customHeight="1">
      <c r="A93" s="37">
        <v>2</v>
      </c>
      <c r="B93" s="37" t="s">
        <v>279</v>
      </c>
      <c r="C93" s="44" t="str">
        <f>MIERCOLES!$A$40</f>
        <v>Extension Cuadriceps</v>
      </c>
      <c r="D93" s="45" t="str">
        <f>MIERCOLES!$B$40</f>
        <v>Vasto Externo</v>
      </c>
      <c r="E93" s="37" t="str">
        <f>MIERCOLES!$C$40</f>
        <v>--</v>
      </c>
      <c r="F93" s="46" t="str">
        <f>IF(P93="","",IFERROR(CHOOSE(VALUE(RIGHT(P93,1)),MIERCOLES!F40,MIERCOLES!I40,MIERCOLES!L40,MIERCOLES!O40,MIERCOLES!R40),""))</f>
        <v/>
      </c>
      <c r="G93" s="47" t="str">
        <f>IF(P93="","",IFERROR(CHOOSE(VALUE(RIGHT(P93,1)),MIERCOLES!G40,MIERCOLES!J40,MIERCOLES!M40,MIERCOLES!P40,MIERCOLES!S40),""))</f>
        <v/>
      </c>
      <c r="H93" s="48" t="str">
        <f>IF(P93="","",IFERROR(CHOOSE(VALUE(RIGHT(P93,1)),MIERCOLES!H40,MIERCOLES!K40,MIERCOLES!N40,MIERCOLES!Q40,MIERCOLES!T40),""))</f>
        <v/>
      </c>
      <c r="I93" s="49" t="str">
        <f t="shared" si="2"/>
        <v/>
      </c>
      <c r="J93" s="50" t="str">
        <f>IF(P93="","",IFERROR(ROUND(CHOOSE(VALUE(RIGHT(P93,1)),IF(MIERCOLES!C40="peso_corporal",IF(ISNUMBER(MIERCOLES!E40),MIERCOLES!E40,0)+MIERCOLES!F40,MIERCOLES!F40)*MIERCOLES!G40,IF(MIERCOLES!C40="peso_corporal",IF(ISNUMBER(MIERCOLES!E40),MIERCOLES!E40,0)+MIERCOLES!I40,MIERCOLES!I40)*MIERCOLES!J40,IF(MIERCOLES!C40="peso_corporal",IF(ISNUMBER(MIERCOLES!E40),MIERCOLES!E40,0)+MIERCOLES!L40,MIERCOLES!L40)*MIERCOLES!M40,IF(MIERCOLES!C40="peso_corporal",IF(ISNUMBER(MIERCOLES!E40),MIERCOLES!E40,0)+MIERCOLES!O40,MIERCOLES!O40)*MIERCOLES!P40,IF(MIERCOLES!C40="peso_corporal",IF(ISNUMBER(MIERCOLES!E40),MIERCOLES!E40,0)+MIERCOLES!R40,MIERCOLES!R40)*MIERCOLES!S40),1),""))</f>
        <v/>
      </c>
      <c r="K93" s="51" t="str">
        <f>IF(P93="","",IFERROR(ROUND(CHOOSE(VALUE(RIGHT(P93,1)),(IF(MIERCOLES!C40="peso_corporal",IF(ISNUMBER(MIERCOLES!E40),MIERCOLES!E40,0)+MIERCOLES!F40,MIERCOLES!F40))*(1+MIERCOLES!G40/30),(IF(MIERCOLES!C40="peso_corporal",IF(ISNUMBER(MIERCOLES!E40),MIERCOLES!E40,0)+MIERCOLES!I40,MIERCOLES!I40))*(1+MIERCOLES!J40/30),(IF(MIERCOLES!C40="peso_corporal",IF(ISNUMBER(MIERCOLES!E40),MIERCOLES!E40,0)+MIERCOLES!L40,MIERCOLES!L40))*(1+MIERCOLES!M40/30),(IF(MIERCOLES!C40="peso_corporal",IF(ISNUMBER(MIERCOLES!E40),MIERCOLES!E40,0)+MIERCOLES!O40,MIERCOLES!O40))*(1+MIERCOLES!P40/30),(IF(MIERCOLES!C40="peso_corporal",IF(ISNUMBER(MIERCOLES!E40),MIERCOLES!E40,0)+MIERCOLES!R40,MIERCOLES!R40))*(1+MIERCOLES!S40/30)),1),""))</f>
        <v/>
      </c>
      <c r="L93" s="52">
        <f>IFERROR(MIERCOLES!E40,"")</f>
        <v>80</v>
      </c>
      <c r="M93" s="53" t="str">
        <f>IFERROR(IF(K93="","-",IF(ISNUMBER(LOOKUP(2,1/((HISTORIAL!$O$3:$O$92=O93)*(HISTORIAL!$F$3:$F$92&lt;&gt;"")),HISTORIAL!$K$3:$K$92)),IF(K93&gt;LOOKUP(2,1/((HISTORIAL!$O$3:$O$92=O93)*(HISTORIAL!$F$3:$F$92&lt;&gt;"")),HISTORIAL!$K$3:$K$92),"^",IF(K93&lt;LOOKUP(2,1/((HISTORIAL!$O$3:$O$92=O93)*(HISTORIAL!$F$3:$F$92&lt;&gt;"")),HISTORIAL!$K$3:$K$92),"v","-")),"-")),"-")</f>
        <v>-</v>
      </c>
      <c r="N93" s="54" t="str">
        <f>IFERROR(VLOOKUP(A93,CONFIG!$A$10:$B$21,2,0),"")</f>
        <v>HIP</v>
      </c>
      <c r="O93" s="55" t="str">
        <f t="shared" si="3"/>
        <v>Extension Cuadriceps|Vasto Externo</v>
      </c>
      <c r="P93" s="69" t="str">
        <f>MIERCOLES!AC40</f>
        <v/>
      </c>
    </row>
    <row r="94" spans="1:16" ht="14.1" customHeight="1">
      <c r="A94" s="37">
        <v>2</v>
      </c>
      <c r="B94" s="37" t="s">
        <v>279</v>
      </c>
      <c r="C94" s="44" t="str">
        <f>MIERCOLES!$A$41</f>
        <v>Extension Cuadriceps</v>
      </c>
      <c r="D94" s="45" t="str">
        <f>MIERCOLES!$B$41</f>
        <v>Vasto Interno</v>
      </c>
      <c r="E94" s="37" t="str">
        <f>MIERCOLES!$C$41</f>
        <v>--</v>
      </c>
      <c r="F94" s="46" t="str">
        <f>IF(P94="","",IFERROR(CHOOSE(VALUE(RIGHT(P94,1)),MIERCOLES!F41,MIERCOLES!I41,MIERCOLES!L41,MIERCOLES!O41,MIERCOLES!R41),""))</f>
        <v/>
      </c>
      <c r="G94" s="47" t="str">
        <f>IF(P94="","",IFERROR(CHOOSE(VALUE(RIGHT(P94,1)),MIERCOLES!G41,MIERCOLES!J41,MIERCOLES!M41,MIERCOLES!P41,MIERCOLES!S41),""))</f>
        <v/>
      </c>
      <c r="H94" s="48" t="str">
        <f>IF(P94="","",IFERROR(CHOOSE(VALUE(RIGHT(P94,1)),MIERCOLES!H41,MIERCOLES!K41,MIERCOLES!N41,MIERCOLES!Q41,MIERCOLES!T41),""))</f>
        <v/>
      </c>
      <c r="I94" s="49" t="str">
        <f t="shared" si="2"/>
        <v/>
      </c>
      <c r="J94" s="50" t="str">
        <f>IF(P94="","",IFERROR(ROUND(CHOOSE(VALUE(RIGHT(P94,1)),IF(MIERCOLES!C41="peso_corporal",IF(ISNUMBER(MIERCOLES!E41),MIERCOLES!E41,0)+MIERCOLES!F41,MIERCOLES!F41)*MIERCOLES!G41,IF(MIERCOLES!C41="peso_corporal",IF(ISNUMBER(MIERCOLES!E41),MIERCOLES!E41,0)+MIERCOLES!I41,MIERCOLES!I41)*MIERCOLES!J41,IF(MIERCOLES!C41="peso_corporal",IF(ISNUMBER(MIERCOLES!E41),MIERCOLES!E41,0)+MIERCOLES!L41,MIERCOLES!L41)*MIERCOLES!M41,IF(MIERCOLES!C41="peso_corporal",IF(ISNUMBER(MIERCOLES!E41),MIERCOLES!E41,0)+MIERCOLES!O41,MIERCOLES!O41)*MIERCOLES!P41,IF(MIERCOLES!C41="peso_corporal",IF(ISNUMBER(MIERCOLES!E41),MIERCOLES!E41,0)+MIERCOLES!R41,MIERCOLES!R41)*MIERCOLES!S41),1),""))</f>
        <v/>
      </c>
      <c r="K94" s="51" t="str">
        <f>IF(P94="","",IFERROR(ROUND(CHOOSE(VALUE(RIGHT(P94,1)),(IF(MIERCOLES!C41="peso_corporal",IF(ISNUMBER(MIERCOLES!E41),MIERCOLES!E41,0)+MIERCOLES!F41,MIERCOLES!F41))*(1+MIERCOLES!G41/30),(IF(MIERCOLES!C41="peso_corporal",IF(ISNUMBER(MIERCOLES!E41),MIERCOLES!E41,0)+MIERCOLES!I41,MIERCOLES!I41))*(1+MIERCOLES!J41/30),(IF(MIERCOLES!C41="peso_corporal",IF(ISNUMBER(MIERCOLES!E41),MIERCOLES!E41,0)+MIERCOLES!L41,MIERCOLES!L41))*(1+MIERCOLES!M41/30),(IF(MIERCOLES!C41="peso_corporal",IF(ISNUMBER(MIERCOLES!E41),MIERCOLES!E41,0)+MIERCOLES!O41,MIERCOLES!O41))*(1+MIERCOLES!P41/30),(IF(MIERCOLES!C41="peso_corporal",IF(ISNUMBER(MIERCOLES!E41),MIERCOLES!E41,0)+MIERCOLES!R41,MIERCOLES!R41))*(1+MIERCOLES!S41/30)),1),""))</f>
        <v/>
      </c>
      <c r="L94" s="52">
        <f>IFERROR(MIERCOLES!E41,"")</f>
        <v>80</v>
      </c>
      <c r="M94" s="53" t="str">
        <f>IFERROR(IF(K94="","-",IF(ISNUMBER(LOOKUP(2,1/((HISTORIAL!$O$3:$O$93=O94)*(HISTORIAL!$F$3:$F$93&lt;&gt;"")),HISTORIAL!$K$3:$K$93)),IF(K94&gt;LOOKUP(2,1/((HISTORIAL!$O$3:$O$93=O94)*(HISTORIAL!$F$3:$F$93&lt;&gt;"")),HISTORIAL!$K$3:$K$93),"^",IF(K94&lt;LOOKUP(2,1/((HISTORIAL!$O$3:$O$93=O94)*(HISTORIAL!$F$3:$F$93&lt;&gt;"")),HISTORIAL!$K$3:$K$93),"v","-")),"-")),"-")</f>
        <v>-</v>
      </c>
      <c r="N94" s="54" t="str">
        <f>IFERROR(VLOOKUP(A94,CONFIG!$A$10:$B$21,2,0),"")</f>
        <v>HIP</v>
      </c>
      <c r="O94" s="55" t="str">
        <f t="shared" si="3"/>
        <v>Extension Cuadriceps|Vasto Interno</v>
      </c>
      <c r="P94" s="69" t="str">
        <f>MIERCOLES!AC41</f>
        <v/>
      </c>
    </row>
    <row r="95" spans="1:16" ht="14.1" customHeight="1">
      <c r="A95" s="37">
        <v>2</v>
      </c>
      <c r="B95" s="37" t="s">
        <v>279</v>
      </c>
      <c r="C95" s="44" t="str">
        <f>MIERCOLES!$A$43</f>
        <v>Elevacion Gemelo</v>
      </c>
      <c r="D95" s="45" t="str">
        <f>MIERCOLES!$B$43</f>
        <v>Sentado</v>
      </c>
      <c r="E95" s="37" t="str">
        <f>MIERCOLES!$C$43</f>
        <v>disco</v>
      </c>
      <c r="F95" s="46" t="str">
        <f>IF(P95="","",IFERROR(CHOOSE(VALUE(RIGHT(P95,1)),MIERCOLES!F43,MIERCOLES!I43,MIERCOLES!L43,MIERCOLES!O43,MIERCOLES!R43),""))</f>
        <v/>
      </c>
      <c r="G95" s="47" t="str">
        <f>IF(P95="","",IFERROR(CHOOSE(VALUE(RIGHT(P95,1)),MIERCOLES!G43,MIERCOLES!J43,MIERCOLES!M43,MIERCOLES!P43,MIERCOLES!S43),""))</f>
        <v/>
      </c>
      <c r="H95" s="48" t="str">
        <f>IF(P95="","",IFERROR(CHOOSE(VALUE(RIGHT(P95,1)),MIERCOLES!H43,MIERCOLES!K43,MIERCOLES!N43,MIERCOLES!Q43,MIERCOLES!T43),""))</f>
        <v/>
      </c>
      <c r="I95" s="49" t="str">
        <f t="shared" si="2"/>
        <v/>
      </c>
      <c r="J95" s="50" t="str">
        <f>IF(P95="","",IFERROR(ROUND(CHOOSE(VALUE(RIGHT(P95,1)),IF(MIERCOLES!C43="peso_corporal",IF(ISNUMBER(MIERCOLES!E43),MIERCOLES!E43,0)+MIERCOLES!F43,MIERCOLES!F43)*MIERCOLES!G43,IF(MIERCOLES!C43="peso_corporal",IF(ISNUMBER(MIERCOLES!E43),MIERCOLES!E43,0)+MIERCOLES!I43,MIERCOLES!I43)*MIERCOLES!J43,IF(MIERCOLES!C43="peso_corporal",IF(ISNUMBER(MIERCOLES!E43),MIERCOLES!E43,0)+MIERCOLES!L43,MIERCOLES!L43)*MIERCOLES!M43,IF(MIERCOLES!C43="peso_corporal",IF(ISNUMBER(MIERCOLES!E43),MIERCOLES!E43,0)+MIERCOLES!O43,MIERCOLES!O43)*MIERCOLES!P43,IF(MIERCOLES!C43="peso_corporal",IF(ISNUMBER(MIERCOLES!E43),MIERCOLES!E43,0)+MIERCOLES!R43,MIERCOLES!R43)*MIERCOLES!S43),1),""))</f>
        <v/>
      </c>
      <c r="K95" s="51" t="str">
        <f>IF(P95="","",IFERROR(ROUND(CHOOSE(VALUE(RIGHT(P95,1)),(IF(MIERCOLES!C43="peso_corporal",IF(ISNUMBER(MIERCOLES!E43),MIERCOLES!E43,0)+MIERCOLES!F43,MIERCOLES!F43))*(1+MIERCOLES!G43/30),(IF(MIERCOLES!C43="peso_corporal",IF(ISNUMBER(MIERCOLES!E43),MIERCOLES!E43,0)+MIERCOLES!I43,MIERCOLES!I43))*(1+MIERCOLES!J43/30),(IF(MIERCOLES!C43="peso_corporal",IF(ISNUMBER(MIERCOLES!E43),MIERCOLES!E43,0)+MIERCOLES!L43,MIERCOLES!L43))*(1+MIERCOLES!M43/30),(IF(MIERCOLES!C43="peso_corporal",IF(ISNUMBER(MIERCOLES!E43),MIERCOLES!E43,0)+MIERCOLES!O43,MIERCOLES!O43))*(1+MIERCOLES!P43/30),(IF(MIERCOLES!C43="peso_corporal",IF(ISNUMBER(MIERCOLES!E43),MIERCOLES!E43,0)+MIERCOLES!R43,MIERCOLES!R43))*(1+MIERCOLES!S43/30)),1),""))</f>
        <v/>
      </c>
      <c r="L95" s="52">
        <f>IFERROR(MIERCOLES!E43,"")</f>
        <v>80</v>
      </c>
      <c r="M95" s="53" t="str">
        <f>IFERROR(IF(K95="","-",IF(ISNUMBER(LOOKUP(2,1/((HISTORIAL!$O$3:$O$94=O95)*(HISTORIAL!$F$3:$F$94&lt;&gt;"")),HISTORIAL!$K$3:$K$94)),IF(K95&gt;LOOKUP(2,1/((HISTORIAL!$O$3:$O$94=O95)*(HISTORIAL!$F$3:$F$94&lt;&gt;"")),HISTORIAL!$K$3:$K$94),"^",IF(K95&lt;LOOKUP(2,1/((HISTORIAL!$O$3:$O$94=O95)*(HISTORIAL!$F$3:$F$94&lt;&gt;"")),HISTORIAL!$K$3:$K$94),"v","-")),"-")),"-")</f>
        <v>-</v>
      </c>
      <c r="N95" s="54" t="str">
        <f>IFERROR(VLOOKUP(A95,CONFIG!$A$10:$B$21,2,0),"")</f>
        <v>HIP</v>
      </c>
      <c r="O95" s="55" t="str">
        <f t="shared" si="3"/>
        <v>Elevacion Gemelo|Sentado</v>
      </c>
      <c r="P95" s="69" t="str">
        <f>MIERCOLES!AC43</f>
        <v/>
      </c>
    </row>
    <row r="96" spans="1:16" ht="14.1" customHeight="1">
      <c r="A96" s="37">
        <v>2</v>
      </c>
      <c r="B96" s="37" t="s">
        <v>279</v>
      </c>
      <c r="C96" s="44" t="str">
        <f>MIERCOLES!$A$44</f>
        <v>Elevacion Gemelo</v>
      </c>
      <c r="D96" s="45" t="str">
        <f>MIERCOLES!$B$44</f>
        <v>De Pie</v>
      </c>
      <c r="E96" s="37" t="str">
        <f>MIERCOLES!$C$44</f>
        <v>disco</v>
      </c>
      <c r="F96" s="46" t="str">
        <f>IF(P96="","",IFERROR(CHOOSE(VALUE(RIGHT(P96,1)),MIERCOLES!F44,MIERCOLES!I44,MIERCOLES!L44,MIERCOLES!O44,MIERCOLES!R44),""))</f>
        <v/>
      </c>
      <c r="G96" s="47" t="str">
        <f>IF(P96="","",IFERROR(CHOOSE(VALUE(RIGHT(P96,1)),MIERCOLES!G44,MIERCOLES!J44,MIERCOLES!M44,MIERCOLES!P44,MIERCOLES!S44),""))</f>
        <v/>
      </c>
      <c r="H96" s="48" t="str">
        <f>IF(P96="","",IFERROR(CHOOSE(VALUE(RIGHT(P96,1)),MIERCOLES!H44,MIERCOLES!K44,MIERCOLES!N44,MIERCOLES!Q44,MIERCOLES!T44),""))</f>
        <v/>
      </c>
      <c r="I96" s="49" t="str">
        <f t="shared" si="2"/>
        <v/>
      </c>
      <c r="J96" s="50" t="str">
        <f>IF(P96="","",IFERROR(ROUND(CHOOSE(VALUE(RIGHT(P96,1)),IF(MIERCOLES!C44="peso_corporal",IF(ISNUMBER(MIERCOLES!E44),MIERCOLES!E44,0)+MIERCOLES!F44,MIERCOLES!F44)*MIERCOLES!G44,IF(MIERCOLES!C44="peso_corporal",IF(ISNUMBER(MIERCOLES!E44),MIERCOLES!E44,0)+MIERCOLES!I44,MIERCOLES!I44)*MIERCOLES!J44,IF(MIERCOLES!C44="peso_corporal",IF(ISNUMBER(MIERCOLES!E44),MIERCOLES!E44,0)+MIERCOLES!L44,MIERCOLES!L44)*MIERCOLES!M44,IF(MIERCOLES!C44="peso_corporal",IF(ISNUMBER(MIERCOLES!E44),MIERCOLES!E44,0)+MIERCOLES!O44,MIERCOLES!O44)*MIERCOLES!P44,IF(MIERCOLES!C44="peso_corporal",IF(ISNUMBER(MIERCOLES!E44),MIERCOLES!E44,0)+MIERCOLES!R44,MIERCOLES!R44)*MIERCOLES!S44),1),""))</f>
        <v/>
      </c>
      <c r="K96" s="51" t="str">
        <f>IF(P96="","",IFERROR(ROUND(CHOOSE(VALUE(RIGHT(P96,1)),(IF(MIERCOLES!C44="peso_corporal",IF(ISNUMBER(MIERCOLES!E44),MIERCOLES!E44,0)+MIERCOLES!F44,MIERCOLES!F44))*(1+MIERCOLES!G44/30),(IF(MIERCOLES!C44="peso_corporal",IF(ISNUMBER(MIERCOLES!E44),MIERCOLES!E44,0)+MIERCOLES!I44,MIERCOLES!I44))*(1+MIERCOLES!J44/30),(IF(MIERCOLES!C44="peso_corporal",IF(ISNUMBER(MIERCOLES!E44),MIERCOLES!E44,0)+MIERCOLES!L44,MIERCOLES!L44))*(1+MIERCOLES!M44/30),(IF(MIERCOLES!C44="peso_corporal",IF(ISNUMBER(MIERCOLES!E44),MIERCOLES!E44,0)+MIERCOLES!O44,MIERCOLES!O44))*(1+MIERCOLES!P44/30),(IF(MIERCOLES!C44="peso_corporal",IF(ISNUMBER(MIERCOLES!E44),MIERCOLES!E44,0)+MIERCOLES!R44,MIERCOLES!R44))*(1+MIERCOLES!S44/30)),1),""))</f>
        <v/>
      </c>
      <c r="L96" s="52">
        <f>IFERROR(MIERCOLES!E44,"")</f>
        <v>80</v>
      </c>
      <c r="M96" s="53" t="str">
        <f>IFERROR(IF(K96="","-",IF(ISNUMBER(LOOKUP(2,1/((HISTORIAL!$O$3:$O$95=O96)*(HISTORIAL!$F$3:$F$95&lt;&gt;"")),HISTORIAL!$K$3:$K$95)),IF(K96&gt;LOOKUP(2,1/((HISTORIAL!$O$3:$O$95=O96)*(HISTORIAL!$F$3:$F$95&lt;&gt;"")),HISTORIAL!$K$3:$K$95),"^",IF(K96&lt;LOOKUP(2,1/((HISTORIAL!$O$3:$O$95=O96)*(HISTORIAL!$F$3:$F$95&lt;&gt;"")),HISTORIAL!$K$3:$K$95),"v","-")),"-")),"-")</f>
        <v>-</v>
      </c>
      <c r="N96" s="54" t="str">
        <f>IFERROR(VLOOKUP(A96,CONFIG!$A$10:$B$21,2,0),"")</f>
        <v>HIP</v>
      </c>
      <c r="O96" s="55" t="str">
        <f t="shared" si="3"/>
        <v>Elevacion Gemelo|De Pie</v>
      </c>
      <c r="P96" s="69" t="str">
        <f>MIERCOLES!AC44</f>
        <v/>
      </c>
    </row>
    <row r="97" spans="1:16" ht="14.1" customHeight="1">
      <c r="A97" s="37">
        <v>2</v>
      </c>
      <c r="B97" s="37" t="s">
        <v>279</v>
      </c>
      <c r="C97" s="44" t="str">
        <f>MIERCOLES!$A$46</f>
        <v>Hiperextension</v>
      </c>
      <c r="D97" s="45" t="str">
        <f>MIERCOLES!$B$46</f>
        <v>Banco Romano</v>
      </c>
      <c r="E97" s="37" t="str">
        <f>MIERCOLES!$C$46</f>
        <v>peso_corporal</v>
      </c>
      <c r="F97" s="46" t="str">
        <f>IF(P97="","",IFERROR(CHOOSE(VALUE(RIGHT(P97,1)),MIERCOLES!F46,MIERCOLES!I46,MIERCOLES!L46,MIERCOLES!O46,MIERCOLES!R46),""))</f>
        <v/>
      </c>
      <c r="G97" s="47" t="str">
        <f>IF(P97="","",IFERROR(CHOOSE(VALUE(RIGHT(P97,1)),MIERCOLES!G46,MIERCOLES!J46,MIERCOLES!M46,MIERCOLES!P46,MIERCOLES!S46),""))</f>
        <v/>
      </c>
      <c r="H97" s="48" t="str">
        <f>IF(P97="","",IFERROR(CHOOSE(VALUE(RIGHT(P97,1)),MIERCOLES!H46,MIERCOLES!K46,MIERCOLES!N46,MIERCOLES!Q46,MIERCOLES!T46),""))</f>
        <v/>
      </c>
      <c r="I97" s="49" t="str">
        <f t="shared" si="2"/>
        <v/>
      </c>
      <c r="J97" s="50" t="str">
        <f>IF(P97="","",IFERROR(ROUND(CHOOSE(VALUE(RIGHT(P97,1)),IF(MIERCOLES!C46="peso_corporal",IF(ISNUMBER(MIERCOLES!E46),MIERCOLES!E46,0)+MIERCOLES!F46,MIERCOLES!F46)*MIERCOLES!G46,IF(MIERCOLES!C46="peso_corporal",IF(ISNUMBER(MIERCOLES!E46),MIERCOLES!E46,0)+MIERCOLES!I46,MIERCOLES!I46)*MIERCOLES!J46,IF(MIERCOLES!C46="peso_corporal",IF(ISNUMBER(MIERCOLES!E46),MIERCOLES!E46,0)+MIERCOLES!L46,MIERCOLES!L46)*MIERCOLES!M46,IF(MIERCOLES!C46="peso_corporal",IF(ISNUMBER(MIERCOLES!E46),MIERCOLES!E46,0)+MIERCOLES!O46,MIERCOLES!O46)*MIERCOLES!P46,IF(MIERCOLES!C46="peso_corporal",IF(ISNUMBER(MIERCOLES!E46),MIERCOLES!E46,0)+MIERCOLES!R46,MIERCOLES!R46)*MIERCOLES!S46),1),""))</f>
        <v/>
      </c>
      <c r="K97" s="51" t="str">
        <f>IF(P97="","",IFERROR(ROUND(CHOOSE(VALUE(RIGHT(P97,1)),(IF(MIERCOLES!C46="peso_corporal",IF(ISNUMBER(MIERCOLES!E46),MIERCOLES!E46,0)+MIERCOLES!F46,MIERCOLES!F46))*(1+MIERCOLES!G46/30),(IF(MIERCOLES!C46="peso_corporal",IF(ISNUMBER(MIERCOLES!E46),MIERCOLES!E46,0)+MIERCOLES!I46,MIERCOLES!I46))*(1+MIERCOLES!J46/30),(IF(MIERCOLES!C46="peso_corporal",IF(ISNUMBER(MIERCOLES!E46),MIERCOLES!E46,0)+MIERCOLES!L46,MIERCOLES!L46))*(1+MIERCOLES!M46/30),(IF(MIERCOLES!C46="peso_corporal",IF(ISNUMBER(MIERCOLES!E46),MIERCOLES!E46,0)+MIERCOLES!O46,MIERCOLES!O46))*(1+MIERCOLES!P46/30),(IF(MIERCOLES!C46="peso_corporal",IF(ISNUMBER(MIERCOLES!E46),MIERCOLES!E46,0)+MIERCOLES!R46,MIERCOLES!R46))*(1+MIERCOLES!S46/30)),1),""))</f>
        <v/>
      </c>
      <c r="L97" s="52">
        <f>IFERROR(MIERCOLES!E46,"")</f>
        <v>80</v>
      </c>
      <c r="M97" s="53" t="str">
        <f>IFERROR(IF(K97="","-",IF(ISNUMBER(LOOKUP(2,1/((HISTORIAL!$O$3:$O$96=O97)*(HISTORIAL!$F$3:$F$96&lt;&gt;"")),HISTORIAL!$K$3:$K$96)),IF(K97&gt;LOOKUP(2,1/((HISTORIAL!$O$3:$O$96=O97)*(HISTORIAL!$F$3:$F$96&lt;&gt;"")),HISTORIAL!$K$3:$K$96),"^",IF(K97&lt;LOOKUP(2,1/((HISTORIAL!$O$3:$O$96=O97)*(HISTORIAL!$F$3:$F$96&lt;&gt;"")),HISTORIAL!$K$3:$K$96),"v","-")),"-")),"-")</f>
        <v>-</v>
      </c>
      <c r="N97" s="54" t="str">
        <f>IFERROR(VLOOKUP(A97,CONFIG!$A$10:$B$21,2,0),"")</f>
        <v>HIP</v>
      </c>
      <c r="O97" s="55" t="str">
        <f t="shared" si="3"/>
        <v>Hiperextension|Banco Romano</v>
      </c>
      <c r="P97" s="69" t="str">
        <f>MIERCOLES!AC46</f>
        <v/>
      </c>
    </row>
    <row r="98" spans="1:16" ht="14.1" customHeight="1">
      <c r="A98" s="37">
        <v>2</v>
      </c>
      <c r="B98" s="37" t="s">
        <v>279</v>
      </c>
      <c r="C98" s="44" t="str">
        <f>MIERCOLES!$A$47</f>
        <v>Peso Muerto Parcial</v>
      </c>
      <c r="D98" s="45" t="str">
        <f>MIERCOLES!$B$47</f>
        <v>Barra</v>
      </c>
      <c r="E98" s="37" t="str">
        <f>MIERCOLES!$C$47</f>
        <v>disco</v>
      </c>
      <c r="F98" s="46" t="str">
        <f>IF(P98="","",IFERROR(CHOOSE(VALUE(RIGHT(P98,1)),MIERCOLES!F47,MIERCOLES!I47,MIERCOLES!L47,MIERCOLES!O47,MIERCOLES!R47),""))</f>
        <v/>
      </c>
      <c r="G98" s="47" t="str">
        <f>IF(P98="","",IFERROR(CHOOSE(VALUE(RIGHT(P98,1)),MIERCOLES!G47,MIERCOLES!J47,MIERCOLES!M47,MIERCOLES!P47,MIERCOLES!S47),""))</f>
        <v/>
      </c>
      <c r="H98" s="48" t="str">
        <f>IF(P98="","",IFERROR(CHOOSE(VALUE(RIGHT(P98,1)),MIERCOLES!H47,MIERCOLES!K47,MIERCOLES!N47,MIERCOLES!Q47,MIERCOLES!T47),""))</f>
        <v/>
      </c>
      <c r="I98" s="49" t="str">
        <f t="shared" si="2"/>
        <v/>
      </c>
      <c r="J98" s="50" t="str">
        <f>IF(P98="","",IFERROR(ROUND(CHOOSE(VALUE(RIGHT(P98,1)),IF(MIERCOLES!C47="peso_corporal",IF(ISNUMBER(MIERCOLES!E47),MIERCOLES!E47,0)+MIERCOLES!F47,MIERCOLES!F47)*MIERCOLES!G47,IF(MIERCOLES!C47="peso_corporal",IF(ISNUMBER(MIERCOLES!E47),MIERCOLES!E47,0)+MIERCOLES!I47,MIERCOLES!I47)*MIERCOLES!J47,IF(MIERCOLES!C47="peso_corporal",IF(ISNUMBER(MIERCOLES!E47),MIERCOLES!E47,0)+MIERCOLES!L47,MIERCOLES!L47)*MIERCOLES!M47,IF(MIERCOLES!C47="peso_corporal",IF(ISNUMBER(MIERCOLES!E47),MIERCOLES!E47,0)+MIERCOLES!O47,MIERCOLES!O47)*MIERCOLES!P47,IF(MIERCOLES!C47="peso_corporal",IF(ISNUMBER(MIERCOLES!E47),MIERCOLES!E47,0)+MIERCOLES!R47,MIERCOLES!R47)*MIERCOLES!S47),1),""))</f>
        <v/>
      </c>
      <c r="K98" s="51" t="str">
        <f>IF(P98="","",IFERROR(ROUND(CHOOSE(VALUE(RIGHT(P98,1)),(IF(MIERCOLES!C47="peso_corporal",IF(ISNUMBER(MIERCOLES!E47),MIERCOLES!E47,0)+MIERCOLES!F47,MIERCOLES!F47))*(1+MIERCOLES!G47/30),(IF(MIERCOLES!C47="peso_corporal",IF(ISNUMBER(MIERCOLES!E47),MIERCOLES!E47,0)+MIERCOLES!I47,MIERCOLES!I47))*(1+MIERCOLES!J47/30),(IF(MIERCOLES!C47="peso_corporal",IF(ISNUMBER(MIERCOLES!E47),MIERCOLES!E47,0)+MIERCOLES!L47,MIERCOLES!L47))*(1+MIERCOLES!M47/30),(IF(MIERCOLES!C47="peso_corporal",IF(ISNUMBER(MIERCOLES!E47),MIERCOLES!E47,0)+MIERCOLES!O47,MIERCOLES!O47))*(1+MIERCOLES!P47/30),(IF(MIERCOLES!C47="peso_corporal",IF(ISNUMBER(MIERCOLES!E47),MIERCOLES!E47,0)+MIERCOLES!R47,MIERCOLES!R47))*(1+MIERCOLES!S47/30)),1),""))</f>
        <v/>
      </c>
      <c r="L98" s="52">
        <f>IFERROR(MIERCOLES!E47,"")</f>
        <v>80</v>
      </c>
      <c r="M98" s="53" t="str">
        <f>IFERROR(IF(K98="","-",IF(ISNUMBER(LOOKUP(2,1/((HISTORIAL!$O$3:$O$97=O98)*(HISTORIAL!$F$3:$F$97&lt;&gt;"")),HISTORIAL!$K$3:$K$97)),IF(K98&gt;LOOKUP(2,1/((HISTORIAL!$O$3:$O$97=O98)*(HISTORIAL!$F$3:$F$97&lt;&gt;"")),HISTORIAL!$K$3:$K$97),"^",IF(K98&lt;LOOKUP(2,1/((HISTORIAL!$O$3:$O$97=O98)*(HISTORIAL!$F$3:$F$97&lt;&gt;"")),HISTORIAL!$K$3:$K$97),"v","-")),"-")),"-")</f>
        <v>-</v>
      </c>
      <c r="N98" s="54" t="str">
        <f>IFERROR(VLOOKUP(A98,CONFIG!$A$10:$B$21,2,0),"")</f>
        <v>HIP</v>
      </c>
      <c r="O98" s="55" t="str">
        <f t="shared" si="3"/>
        <v>Peso Muerto Parcial|Barra</v>
      </c>
      <c r="P98" s="69" t="str">
        <f>MIERCOLES!AC47</f>
        <v/>
      </c>
    </row>
    <row r="99" spans="1:16" ht="14.1" customHeight="1">
      <c r="A99" s="37">
        <v>2</v>
      </c>
      <c r="B99" s="37" t="s">
        <v>279</v>
      </c>
      <c r="C99" s="44" t="str">
        <f>MIERCOLES!$A$49</f>
        <v>Crunch</v>
      </c>
      <c r="D99" s="45" t="str">
        <f>MIERCOLES!$B$49</f>
        <v>Polea</v>
      </c>
      <c r="E99" s="37" t="str">
        <f>MIERCOLES!$C$49</f>
        <v>polea</v>
      </c>
      <c r="F99" s="46" t="str">
        <f>IF(P99="","",IFERROR(CHOOSE(VALUE(RIGHT(P99,1)),MIERCOLES!F49,MIERCOLES!I49,MIERCOLES!L49,MIERCOLES!O49,MIERCOLES!R49),""))</f>
        <v/>
      </c>
      <c r="G99" s="47" t="str">
        <f>IF(P99="","",IFERROR(CHOOSE(VALUE(RIGHT(P99,1)),MIERCOLES!G49,MIERCOLES!J49,MIERCOLES!M49,MIERCOLES!P49,MIERCOLES!S49),""))</f>
        <v/>
      </c>
      <c r="H99" s="48" t="str">
        <f>IF(P99="","",IFERROR(CHOOSE(VALUE(RIGHT(P99,1)),MIERCOLES!H49,MIERCOLES!K49,MIERCOLES!N49,MIERCOLES!Q49,MIERCOLES!T49),""))</f>
        <v/>
      </c>
      <c r="I99" s="49" t="str">
        <f t="shared" si="2"/>
        <v/>
      </c>
      <c r="J99" s="50" t="str">
        <f>IF(P99="","",IFERROR(ROUND(CHOOSE(VALUE(RIGHT(P99,1)),IF(MIERCOLES!C49="peso_corporal",IF(ISNUMBER(MIERCOLES!E49),MIERCOLES!E49,0)+MIERCOLES!F49,MIERCOLES!F49)*MIERCOLES!G49,IF(MIERCOLES!C49="peso_corporal",IF(ISNUMBER(MIERCOLES!E49),MIERCOLES!E49,0)+MIERCOLES!I49,MIERCOLES!I49)*MIERCOLES!J49,IF(MIERCOLES!C49="peso_corporal",IF(ISNUMBER(MIERCOLES!E49),MIERCOLES!E49,0)+MIERCOLES!L49,MIERCOLES!L49)*MIERCOLES!M49,IF(MIERCOLES!C49="peso_corporal",IF(ISNUMBER(MIERCOLES!E49),MIERCOLES!E49,0)+MIERCOLES!O49,MIERCOLES!O49)*MIERCOLES!P49,IF(MIERCOLES!C49="peso_corporal",IF(ISNUMBER(MIERCOLES!E49),MIERCOLES!E49,0)+MIERCOLES!R49,MIERCOLES!R49)*MIERCOLES!S49),1),""))</f>
        <v/>
      </c>
      <c r="K99" s="51" t="str">
        <f>IF(P99="","",IFERROR(ROUND(CHOOSE(VALUE(RIGHT(P99,1)),(IF(MIERCOLES!C49="peso_corporal",IF(ISNUMBER(MIERCOLES!E49),MIERCOLES!E49,0)+MIERCOLES!F49,MIERCOLES!F49))*(1+MIERCOLES!G49/30),(IF(MIERCOLES!C49="peso_corporal",IF(ISNUMBER(MIERCOLES!E49),MIERCOLES!E49,0)+MIERCOLES!I49,MIERCOLES!I49))*(1+MIERCOLES!J49/30),(IF(MIERCOLES!C49="peso_corporal",IF(ISNUMBER(MIERCOLES!E49),MIERCOLES!E49,0)+MIERCOLES!L49,MIERCOLES!L49))*(1+MIERCOLES!M49/30),(IF(MIERCOLES!C49="peso_corporal",IF(ISNUMBER(MIERCOLES!E49),MIERCOLES!E49,0)+MIERCOLES!O49,MIERCOLES!O49))*(1+MIERCOLES!P49/30),(IF(MIERCOLES!C49="peso_corporal",IF(ISNUMBER(MIERCOLES!E49),MIERCOLES!E49,0)+MIERCOLES!R49,MIERCOLES!R49))*(1+MIERCOLES!S49/30)),1),""))</f>
        <v/>
      </c>
      <c r="L99" s="52">
        <f>IFERROR(MIERCOLES!E49,"")</f>
        <v>80</v>
      </c>
      <c r="M99" s="53" t="str">
        <f>IFERROR(IF(K99="","-",IF(ISNUMBER(LOOKUP(2,1/((HISTORIAL!$O$3:$O$98=O99)*(HISTORIAL!$F$3:$F$98&lt;&gt;"")),HISTORIAL!$K$3:$K$98)),IF(K99&gt;LOOKUP(2,1/((HISTORIAL!$O$3:$O$98=O99)*(HISTORIAL!$F$3:$F$98&lt;&gt;"")),HISTORIAL!$K$3:$K$98),"^",IF(K99&lt;LOOKUP(2,1/((HISTORIAL!$O$3:$O$98=O99)*(HISTORIAL!$F$3:$F$98&lt;&gt;"")),HISTORIAL!$K$3:$K$98),"v","-")),"-")),"-")</f>
        <v>-</v>
      </c>
      <c r="N99" s="54" t="str">
        <f>IFERROR(VLOOKUP(A99,CONFIG!$A$10:$B$21,2,0),"")</f>
        <v>HIP</v>
      </c>
      <c r="O99" s="55" t="str">
        <f t="shared" si="3"/>
        <v>Crunch|Polea</v>
      </c>
      <c r="P99" s="69" t="str">
        <f>MIERCOLES!AC49</f>
        <v/>
      </c>
    </row>
    <row r="100" spans="1:16" ht="14.1" customHeight="1">
      <c r="A100" s="37">
        <v>2</v>
      </c>
      <c r="B100" s="37" t="s">
        <v>279</v>
      </c>
      <c r="C100" s="44" t="str">
        <f>MIERCOLES!$A$50</f>
        <v>Plancha</v>
      </c>
      <c r="D100" s="45" t="str">
        <f>MIERCOLES!$B$50</f>
        <v>Abdominal</v>
      </c>
      <c r="E100" s="37" t="str">
        <f>MIERCOLES!$C$50</f>
        <v>--</v>
      </c>
      <c r="F100" s="46" t="str">
        <f>IF(P100="","",IFERROR(CHOOSE(VALUE(RIGHT(P100,1)),MIERCOLES!F50,MIERCOLES!I50,MIERCOLES!L50,MIERCOLES!O50,MIERCOLES!R50),""))</f>
        <v/>
      </c>
      <c r="G100" s="47" t="str">
        <f>IF(P100="","",IFERROR(CHOOSE(VALUE(RIGHT(P100,1)),MIERCOLES!G50,MIERCOLES!J50,MIERCOLES!M50,MIERCOLES!P50,MIERCOLES!S50),""))</f>
        <v/>
      </c>
      <c r="H100" s="48" t="str">
        <f>IF(P100="","",IFERROR(CHOOSE(VALUE(RIGHT(P100,1)),MIERCOLES!H50,MIERCOLES!K50,MIERCOLES!N50,MIERCOLES!Q50,MIERCOLES!T50),""))</f>
        <v/>
      </c>
      <c r="I100" s="49" t="str">
        <f t="shared" si="2"/>
        <v/>
      </c>
      <c r="J100" s="50" t="str">
        <f>IF(P100="","",IFERROR(ROUND(CHOOSE(VALUE(RIGHT(P100,1)),IF(MIERCOLES!C50="peso_corporal",IF(ISNUMBER(MIERCOLES!E50),MIERCOLES!E50,0)+MIERCOLES!F50,MIERCOLES!F50)*MIERCOLES!G50,IF(MIERCOLES!C50="peso_corporal",IF(ISNUMBER(MIERCOLES!E50),MIERCOLES!E50,0)+MIERCOLES!I50,MIERCOLES!I50)*MIERCOLES!J50,IF(MIERCOLES!C50="peso_corporal",IF(ISNUMBER(MIERCOLES!E50),MIERCOLES!E50,0)+MIERCOLES!L50,MIERCOLES!L50)*MIERCOLES!M50,IF(MIERCOLES!C50="peso_corporal",IF(ISNUMBER(MIERCOLES!E50),MIERCOLES!E50,0)+MIERCOLES!O50,MIERCOLES!O50)*MIERCOLES!P50,IF(MIERCOLES!C50="peso_corporal",IF(ISNUMBER(MIERCOLES!E50),MIERCOLES!E50,0)+MIERCOLES!R50,MIERCOLES!R50)*MIERCOLES!S50),1),""))</f>
        <v/>
      </c>
      <c r="K100" s="51" t="str">
        <f>IF(P100="","",IFERROR(ROUND(CHOOSE(VALUE(RIGHT(P100,1)),(IF(MIERCOLES!C50="peso_corporal",IF(ISNUMBER(MIERCOLES!E50),MIERCOLES!E50,0)+MIERCOLES!F50,MIERCOLES!F50))*(1+MIERCOLES!G50/30),(IF(MIERCOLES!C50="peso_corporal",IF(ISNUMBER(MIERCOLES!E50),MIERCOLES!E50,0)+MIERCOLES!I50,MIERCOLES!I50))*(1+MIERCOLES!J50/30),(IF(MIERCOLES!C50="peso_corporal",IF(ISNUMBER(MIERCOLES!E50),MIERCOLES!E50,0)+MIERCOLES!L50,MIERCOLES!L50))*(1+MIERCOLES!M50/30),(IF(MIERCOLES!C50="peso_corporal",IF(ISNUMBER(MIERCOLES!E50),MIERCOLES!E50,0)+MIERCOLES!O50,MIERCOLES!O50))*(1+MIERCOLES!P50/30),(IF(MIERCOLES!C50="peso_corporal",IF(ISNUMBER(MIERCOLES!E50),MIERCOLES!E50,0)+MIERCOLES!R50,MIERCOLES!R50))*(1+MIERCOLES!S50/30)),1),""))</f>
        <v/>
      </c>
      <c r="L100" s="52">
        <f>IFERROR(MIERCOLES!E50,"")</f>
        <v>80</v>
      </c>
      <c r="M100" s="53" t="str">
        <f>IFERROR(IF(K100="","-",IF(ISNUMBER(LOOKUP(2,1/((HISTORIAL!$O$3:$O$99=O100)*(HISTORIAL!$F$3:$F$99&lt;&gt;"")),HISTORIAL!$K$3:$K$99)),IF(K100&gt;LOOKUP(2,1/((HISTORIAL!$O$3:$O$99=O100)*(HISTORIAL!$F$3:$F$99&lt;&gt;"")),HISTORIAL!$K$3:$K$99),"^",IF(K100&lt;LOOKUP(2,1/((HISTORIAL!$O$3:$O$99=O100)*(HISTORIAL!$F$3:$F$99&lt;&gt;"")),HISTORIAL!$K$3:$K$99),"v","-")),"-")),"-")</f>
        <v>-</v>
      </c>
      <c r="N100" s="54" t="str">
        <f>IFERROR(VLOOKUP(A100,CONFIG!$A$10:$B$21,2,0),"")</f>
        <v>HIP</v>
      </c>
      <c r="O100" s="55" t="str">
        <f t="shared" si="3"/>
        <v>Plancha|Abdominal</v>
      </c>
      <c r="P100" s="69" t="str">
        <f>MIERCOLES!AC50</f>
        <v/>
      </c>
    </row>
    <row r="101" spans="1:16" ht="14.1" customHeight="1">
      <c r="A101" s="37">
        <v>2</v>
      </c>
      <c r="B101" s="37" t="s">
        <v>279</v>
      </c>
      <c r="C101" s="44" t="str">
        <f>MIERCOLES!$A$51</f>
        <v>Rueda Abdominal</v>
      </c>
      <c r="D101" s="45" t="str">
        <f>MIERCOLES!$B$51</f>
        <v>Ab Wheel</v>
      </c>
      <c r="E101" s="37" t="str">
        <f>MIERCOLES!$C$51</f>
        <v>--</v>
      </c>
      <c r="F101" s="46" t="str">
        <f>IF(P101="","",IFERROR(CHOOSE(VALUE(RIGHT(P101,1)),MIERCOLES!F51,MIERCOLES!I51,MIERCOLES!L51,MIERCOLES!O51,MIERCOLES!R51),""))</f>
        <v/>
      </c>
      <c r="G101" s="47" t="str">
        <f>IF(P101="","",IFERROR(CHOOSE(VALUE(RIGHT(P101,1)),MIERCOLES!G51,MIERCOLES!J51,MIERCOLES!M51,MIERCOLES!P51,MIERCOLES!S51),""))</f>
        <v/>
      </c>
      <c r="H101" s="48" t="str">
        <f>IF(P101="","",IFERROR(CHOOSE(VALUE(RIGHT(P101,1)),MIERCOLES!H51,MIERCOLES!K51,MIERCOLES!N51,MIERCOLES!Q51,MIERCOLES!T51),""))</f>
        <v/>
      </c>
      <c r="I101" s="49" t="str">
        <f t="shared" si="2"/>
        <v/>
      </c>
      <c r="J101" s="50" t="str">
        <f>IF(P101="","",IFERROR(ROUND(CHOOSE(VALUE(RIGHT(P101,1)),IF(MIERCOLES!C51="peso_corporal",IF(ISNUMBER(MIERCOLES!E51),MIERCOLES!E51,0)+MIERCOLES!F51,MIERCOLES!F51)*MIERCOLES!G51,IF(MIERCOLES!C51="peso_corporal",IF(ISNUMBER(MIERCOLES!E51),MIERCOLES!E51,0)+MIERCOLES!I51,MIERCOLES!I51)*MIERCOLES!J51,IF(MIERCOLES!C51="peso_corporal",IF(ISNUMBER(MIERCOLES!E51),MIERCOLES!E51,0)+MIERCOLES!L51,MIERCOLES!L51)*MIERCOLES!M51,IF(MIERCOLES!C51="peso_corporal",IF(ISNUMBER(MIERCOLES!E51),MIERCOLES!E51,0)+MIERCOLES!O51,MIERCOLES!O51)*MIERCOLES!P51,IF(MIERCOLES!C51="peso_corporal",IF(ISNUMBER(MIERCOLES!E51),MIERCOLES!E51,0)+MIERCOLES!R51,MIERCOLES!R51)*MIERCOLES!S51),1),""))</f>
        <v/>
      </c>
      <c r="K101" s="51" t="str">
        <f>IF(P101="","",IFERROR(ROUND(CHOOSE(VALUE(RIGHT(P101,1)),(IF(MIERCOLES!C51="peso_corporal",IF(ISNUMBER(MIERCOLES!E51),MIERCOLES!E51,0)+MIERCOLES!F51,MIERCOLES!F51))*(1+MIERCOLES!G51/30),(IF(MIERCOLES!C51="peso_corporal",IF(ISNUMBER(MIERCOLES!E51),MIERCOLES!E51,0)+MIERCOLES!I51,MIERCOLES!I51))*(1+MIERCOLES!J51/30),(IF(MIERCOLES!C51="peso_corporal",IF(ISNUMBER(MIERCOLES!E51),MIERCOLES!E51,0)+MIERCOLES!L51,MIERCOLES!L51))*(1+MIERCOLES!M51/30),(IF(MIERCOLES!C51="peso_corporal",IF(ISNUMBER(MIERCOLES!E51),MIERCOLES!E51,0)+MIERCOLES!O51,MIERCOLES!O51))*(1+MIERCOLES!P51/30),(IF(MIERCOLES!C51="peso_corporal",IF(ISNUMBER(MIERCOLES!E51),MIERCOLES!E51,0)+MIERCOLES!R51,MIERCOLES!R51))*(1+MIERCOLES!S51/30)),1),""))</f>
        <v/>
      </c>
      <c r="L101" s="52">
        <f>IFERROR(MIERCOLES!E51,"")</f>
        <v>80</v>
      </c>
      <c r="M101" s="53" t="str">
        <f>IFERROR(IF(K101="","-",IF(ISNUMBER(LOOKUP(2,1/((HISTORIAL!$O$3:$O$100=O101)*(HISTORIAL!$F$3:$F$100&lt;&gt;"")),HISTORIAL!$K$3:$K$100)),IF(K101&gt;LOOKUP(2,1/((HISTORIAL!$O$3:$O$100=O101)*(HISTORIAL!$F$3:$F$100&lt;&gt;"")),HISTORIAL!$K$3:$K$100),"^",IF(K101&lt;LOOKUP(2,1/((HISTORIAL!$O$3:$O$100=O101)*(HISTORIAL!$F$3:$F$100&lt;&gt;"")),HISTORIAL!$K$3:$K$100),"v","-")),"-")),"-")</f>
        <v>-</v>
      </c>
      <c r="N101" s="54" t="str">
        <f>IFERROR(VLOOKUP(A101,CONFIG!$A$10:$B$21,2,0),"")</f>
        <v>HIP</v>
      </c>
      <c r="O101" s="55" t="str">
        <f t="shared" si="3"/>
        <v>Rueda Abdominal|Ab Wheel</v>
      </c>
      <c r="P101" s="69" t="str">
        <f>MIERCOLES!AC51</f>
        <v/>
      </c>
    </row>
    <row r="102" spans="1:16" ht="14.1" customHeight="1">
      <c r="A102" s="37">
        <v>2</v>
      </c>
      <c r="B102" s="37" t="s">
        <v>279</v>
      </c>
      <c r="C102" s="44" t="str">
        <f>MIERCOLES!$A$52</f>
        <v>Elevacion Piernas</v>
      </c>
      <c r="D102" s="45" t="str">
        <f>MIERCOLES!$B$52</f>
        <v>Colgado</v>
      </c>
      <c r="E102" s="37" t="str">
        <f>MIERCOLES!$C$52</f>
        <v>peso_corporal</v>
      </c>
      <c r="F102" s="46" t="str">
        <f>IF(P102="","",IFERROR(CHOOSE(VALUE(RIGHT(P102,1)),MIERCOLES!F52,MIERCOLES!I52,MIERCOLES!L52,MIERCOLES!O52,MIERCOLES!R52),""))</f>
        <v/>
      </c>
      <c r="G102" s="47" t="str">
        <f>IF(P102="","",IFERROR(CHOOSE(VALUE(RIGHT(P102,1)),MIERCOLES!G52,MIERCOLES!J52,MIERCOLES!M52,MIERCOLES!P52,MIERCOLES!S52),""))</f>
        <v/>
      </c>
      <c r="H102" s="48" t="str">
        <f>IF(P102="","",IFERROR(CHOOSE(VALUE(RIGHT(P102,1)),MIERCOLES!H52,MIERCOLES!K52,MIERCOLES!N52,MIERCOLES!Q52,MIERCOLES!T52),""))</f>
        <v/>
      </c>
      <c r="I102" s="49" t="str">
        <f t="shared" si="2"/>
        <v/>
      </c>
      <c r="J102" s="50" t="str">
        <f>IF(P102="","",IFERROR(ROUND(CHOOSE(VALUE(RIGHT(P102,1)),IF(MIERCOLES!C52="peso_corporal",IF(ISNUMBER(MIERCOLES!E52),MIERCOLES!E52,0)+MIERCOLES!F52,MIERCOLES!F52)*MIERCOLES!G52,IF(MIERCOLES!C52="peso_corporal",IF(ISNUMBER(MIERCOLES!E52),MIERCOLES!E52,0)+MIERCOLES!I52,MIERCOLES!I52)*MIERCOLES!J52,IF(MIERCOLES!C52="peso_corporal",IF(ISNUMBER(MIERCOLES!E52),MIERCOLES!E52,0)+MIERCOLES!L52,MIERCOLES!L52)*MIERCOLES!M52,IF(MIERCOLES!C52="peso_corporal",IF(ISNUMBER(MIERCOLES!E52),MIERCOLES!E52,0)+MIERCOLES!O52,MIERCOLES!O52)*MIERCOLES!P52,IF(MIERCOLES!C52="peso_corporal",IF(ISNUMBER(MIERCOLES!E52),MIERCOLES!E52,0)+MIERCOLES!R52,MIERCOLES!R52)*MIERCOLES!S52),1),""))</f>
        <v/>
      </c>
      <c r="K102" s="51" t="str">
        <f>IF(P102="","",IFERROR(ROUND(CHOOSE(VALUE(RIGHT(P102,1)),(IF(MIERCOLES!C52="peso_corporal",IF(ISNUMBER(MIERCOLES!E52),MIERCOLES!E52,0)+MIERCOLES!F52,MIERCOLES!F52))*(1+MIERCOLES!G52/30),(IF(MIERCOLES!C52="peso_corporal",IF(ISNUMBER(MIERCOLES!E52),MIERCOLES!E52,0)+MIERCOLES!I52,MIERCOLES!I52))*(1+MIERCOLES!J52/30),(IF(MIERCOLES!C52="peso_corporal",IF(ISNUMBER(MIERCOLES!E52),MIERCOLES!E52,0)+MIERCOLES!L52,MIERCOLES!L52))*(1+MIERCOLES!M52/30),(IF(MIERCOLES!C52="peso_corporal",IF(ISNUMBER(MIERCOLES!E52),MIERCOLES!E52,0)+MIERCOLES!O52,MIERCOLES!O52))*(1+MIERCOLES!P52/30),(IF(MIERCOLES!C52="peso_corporal",IF(ISNUMBER(MIERCOLES!E52),MIERCOLES!E52,0)+MIERCOLES!R52,MIERCOLES!R52))*(1+MIERCOLES!S52/30)),1),""))</f>
        <v/>
      </c>
      <c r="L102" s="52">
        <f>IFERROR(MIERCOLES!E52,"")</f>
        <v>80</v>
      </c>
      <c r="M102" s="53" t="str">
        <f>IFERROR(IF(K102="","-",IF(ISNUMBER(LOOKUP(2,1/((HISTORIAL!$O$3:$O$101=O102)*(HISTORIAL!$F$3:$F$101&lt;&gt;"")),HISTORIAL!$K$3:$K$101)),IF(K102&gt;LOOKUP(2,1/((HISTORIAL!$O$3:$O$101=O102)*(HISTORIAL!$F$3:$F$101&lt;&gt;"")),HISTORIAL!$K$3:$K$101),"^",IF(K102&lt;LOOKUP(2,1/((HISTORIAL!$O$3:$O$101=O102)*(HISTORIAL!$F$3:$F$101&lt;&gt;"")),HISTORIAL!$K$3:$K$101),"v","-")),"-")),"-")</f>
        <v>-</v>
      </c>
      <c r="N102" s="54" t="str">
        <f>IFERROR(VLOOKUP(A102,CONFIG!$A$10:$B$21,2,0),"")</f>
        <v>HIP</v>
      </c>
      <c r="O102" s="55" t="str">
        <f t="shared" si="3"/>
        <v>Elevacion Piernas|Colgado</v>
      </c>
      <c r="P102" s="69" t="str">
        <f>MIERCOLES!AC52</f>
        <v/>
      </c>
    </row>
    <row r="103" spans="1:16" ht="14.1" customHeight="1">
      <c r="A103" s="37">
        <v>2</v>
      </c>
      <c r="B103" s="37" t="s">
        <v>280</v>
      </c>
      <c r="C103" s="44" t="str">
        <f>JUEVES!$A$37</f>
        <v>Press Militar</v>
      </c>
      <c r="D103" s="45" t="str">
        <f>JUEVES!$B$37</f>
        <v>Multipower</v>
      </c>
      <c r="E103" s="37" t="str">
        <f>JUEVES!$C$37</f>
        <v>--</v>
      </c>
      <c r="F103" s="46" t="str">
        <f>IF(P103="","",IFERROR(CHOOSE(VALUE(RIGHT(P103,1)),JUEVES!F37,JUEVES!I37,JUEVES!L37,JUEVES!O37,JUEVES!R37),""))</f>
        <v/>
      </c>
      <c r="G103" s="47" t="str">
        <f>IF(P103="","",IFERROR(CHOOSE(VALUE(RIGHT(P103,1)),JUEVES!G37,JUEVES!J37,JUEVES!M37,JUEVES!P37,JUEVES!S37),""))</f>
        <v/>
      </c>
      <c r="H103" s="48" t="str">
        <f>IF(P103="","",IFERROR(CHOOSE(VALUE(RIGHT(P103,1)),JUEVES!H37,JUEVES!K37,JUEVES!N37,JUEVES!Q37,JUEVES!T37),""))</f>
        <v/>
      </c>
      <c r="I103" s="49" t="str">
        <f t="shared" si="2"/>
        <v/>
      </c>
      <c r="J103" s="50" t="str">
        <f>IF(P103="","",IFERROR(ROUND(CHOOSE(VALUE(RIGHT(P103,1)),IF(JUEVES!C37="peso_corporal",IF(ISNUMBER(JUEVES!E37),JUEVES!E37,0)+JUEVES!F37,JUEVES!F37)*JUEVES!G37,IF(JUEVES!C37="peso_corporal",IF(ISNUMBER(JUEVES!E37),JUEVES!E37,0)+JUEVES!I37,JUEVES!I37)*JUEVES!J37,IF(JUEVES!C37="peso_corporal",IF(ISNUMBER(JUEVES!E37),JUEVES!E37,0)+JUEVES!L37,JUEVES!L37)*JUEVES!M37,IF(JUEVES!C37="peso_corporal",IF(ISNUMBER(JUEVES!E37),JUEVES!E37,0)+JUEVES!O37,JUEVES!O37)*JUEVES!P37,IF(JUEVES!C37="peso_corporal",IF(ISNUMBER(JUEVES!E37),JUEVES!E37,0)+JUEVES!R37,JUEVES!R37)*JUEVES!S37),1),""))</f>
        <v/>
      </c>
      <c r="K103" s="51" t="str">
        <f>IF(P103="","",IFERROR(ROUND(CHOOSE(VALUE(RIGHT(P103,1)),(IF(JUEVES!C37="peso_corporal",IF(ISNUMBER(JUEVES!E37),JUEVES!E37,0)+JUEVES!F37,JUEVES!F37))*(1+JUEVES!G37/30),(IF(JUEVES!C37="peso_corporal",IF(ISNUMBER(JUEVES!E37),JUEVES!E37,0)+JUEVES!I37,JUEVES!I37))*(1+JUEVES!J37/30),(IF(JUEVES!C37="peso_corporal",IF(ISNUMBER(JUEVES!E37),JUEVES!E37,0)+JUEVES!L37,JUEVES!L37))*(1+JUEVES!M37/30),(IF(JUEVES!C37="peso_corporal",IF(ISNUMBER(JUEVES!E37),JUEVES!E37,0)+JUEVES!O37,JUEVES!O37))*(1+JUEVES!P37/30),(IF(JUEVES!C37="peso_corporal",IF(ISNUMBER(JUEVES!E37),JUEVES!E37,0)+JUEVES!R37,JUEVES!R37))*(1+JUEVES!S37/30)),1),""))</f>
        <v/>
      </c>
      <c r="L103" s="52">
        <f>IFERROR(JUEVES!E37,"")</f>
        <v>80</v>
      </c>
      <c r="M103" s="53" t="str">
        <f>IFERROR(IF(K103="","-",IF(ISNUMBER(LOOKUP(2,1/((HISTORIAL!$O$3:$O$102=O103)*(HISTORIAL!$F$3:$F$102&lt;&gt;"")),HISTORIAL!$K$3:$K$102)),IF(K103&gt;LOOKUP(2,1/((HISTORIAL!$O$3:$O$102=O103)*(HISTORIAL!$F$3:$F$102&lt;&gt;"")),HISTORIAL!$K$3:$K$102),"^",IF(K103&lt;LOOKUP(2,1/((HISTORIAL!$O$3:$O$102=O103)*(HISTORIAL!$F$3:$F$102&lt;&gt;"")),HISTORIAL!$K$3:$K$102),"v","-")),"-")),"-")</f>
        <v>-</v>
      </c>
      <c r="N103" s="54" t="str">
        <f>IFERROR(VLOOKUP(A103,CONFIG!$A$10:$B$21,2,0),"")</f>
        <v>HIP</v>
      </c>
      <c r="O103" s="55" t="str">
        <f t="shared" si="3"/>
        <v>Press Militar|Multipower</v>
      </c>
      <c r="P103" s="69" t="str">
        <f>JUEVES!AC37</f>
        <v/>
      </c>
    </row>
    <row r="104" spans="1:16" ht="14.1" customHeight="1">
      <c r="A104" s="37">
        <v>2</v>
      </c>
      <c r="B104" s="37" t="s">
        <v>280</v>
      </c>
      <c r="C104" s="44" t="str">
        <f>JUEVES!$A$38</f>
        <v>Elevaciones Laterales</v>
      </c>
      <c r="D104" s="45" t="str">
        <f>JUEVES!$B$38</f>
        <v>Drop Set Maquina</v>
      </c>
      <c r="E104" s="37" t="str">
        <f>JUEVES!$C$38</f>
        <v>--</v>
      </c>
      <c r="F104" s="46" t="str">
        <f>IF(P104="","",IFERROR(CHOOSE(VALUE(RIGHT(P104,1)),JUEVES!F38,JUEVES!I38,JUEVES!L38,JUEVES!O38,JUEVES!R38),""))</f>
        <v/>
      </c>
      <c r="G104" s="47" t="str">
        <f>IF(P104="","",IFERROR(CHOOSE(VALUE(RIGHT(P104,1)),JUEVES!G38,JUEVES!J38,JUEVES!M38,JUEVES!P38,JUEVES!S38),""))</f>
        <v/>
      </c>
      <c r="H104" s="48" t="str">
        <f>IF(P104="","",IFERROR(CHOOSE(VALUE(RIGHT(P104,1)),JUEVES!H38,JUEVES!K38,JUEVES!N38,JUEVES!Q38,JUEVES!T38),""))</f>
        <v/>
      </c>
      <c r="I104" s="49" t="str">
        <f t="shared" si="2"/>
        <v/>
      </c>
      <c r="J104" s="50" t="str">
        <f>IF(P104="","",IFERROR(ROUND(CHOOSE(VALUE(RIGHT(P104,1)),IF(JUEVES!C38="peso_corporal",IF(ISNUMBER(JUEVES!E38),JUEVES!E38,0)+JUEVES!F38,JUEVES!F38)*JUEVES!G38,IF(JUEVES!C38="peso_corporal",IF(ISNUMBER(JUEVES!E38),JUEVES!E38,0)+JUEVES!I38,JUEVES!I38)*JUEVES!J38,IF(JUEVES!C38="peso_corporal",IF(ISNUMBER(JUEVES!E38),JUEVES!E38,0)+JUEVES!L38,JUEVES!L38)*JUEVES!M38,IF(JUEVES!C38="peso_corporal",IF(ISNUMBER(JUEVES!E38),JUEVES!E38,0)+JUEVES!O38,JUEVES!O38)*JUEVES!P38,IF(JUEVES!C38="peso_corporal",IF(ISNUMBER(JUEVES!E38),JUEVES!E38,0)+JUEVES!R38,JUEVES!R38)*JUEVES!S38),1),""))</f>
        <v/>
      </c>
      <c r="K104" s="51" t="str">
        <f>IF(P104="","",IFERROR(ROUND(CHOOSE(VALUE(RIGHT(P104,1)),(IF(JUEVES!C38="peso_corporal",IF(ISNUMBER(JUEVES!E38),JUEVES!E38,0)+JUEVES!F38,JUEVES!F38))*(1+JUEVES!G38/30),(IF(JUEVES!C38="peso_corporal",IF(ISNUMBER(JUEVES!E38),JUEVES!E38,0)+JUEVES!I38,JUEVES!I38))*(1+JUEVES!J38/30),(IF(JUEVES!C38="peso_corporal",IF(ISNUMBER(JUEVES!E38),JUEVES!E38,0)+JUEVES!L38,JUEVES!L38))*(1+JUEVES!M38/30),(IF(JUEVES!C38="peso_corporal",IF(ISNUMBER(JUEVES!E38),JUEVES!E38,0)+JUEVES!O38,JUEVES!O38))*(1+JUEVES!P38/30),(IF(JUEVES!C38="peso_corporal",IF(ISNUMBER(JUEVES!E38),JUEVES!E38,0)+JUEVES!R38,JUEVES!R38))*(1+JUEVES!S38/30)),1),""))</f>
        <v/>
      </c>
      <c r="L104" s="52">
        <f>IFERROR(JUEVES!E38,"")</f>
        <v>80</v>
      </c>
      <c r="M104" s="53" t="str">
        <f>IFERROR(IF(K104="","-",IF(ISNUMBER(LOOKUP(2,1/((HISTORIAL!$O$3:$O$103=O104)*(HISTORIAL!$F$3:$F$103&lt;&gt;"")),HISTORIAL!$K$3:$K$103)),IF(K104&gt;LOOKUP(2,1/((HISTORIAL!$O$3:$O$103=O104)*(HISTORIAL!$F$3:$F$103&lt;&gt;"")),HISTORIAL!$K$3:$K$103),"^",IF(K104&lt;LOOKUP(2,1/((HISTORIAL!$O$3:$O$103=O104)*(HISTORIAL!$F$3:$F$103&lt;&gt;"")),HISTORIAL!$K$3:$K$103),"v","-")),"-")),"-")</f>
        <v>-</v>
      </c>
      <c r="N104" s="54" t="str">
        <f>IFERROR(VLOOKUP(A104,CONFIG!$A$10:$B$21,2,0),"")</f>
        <v>HIP</v>
      </c>
      <c r="O104" s="55" t="str">
        <f t="shared" si="3"/>
        <v>Elevaciones Laterales|Drop Set Maquina</v>
      </c>
      <c r="P104" s="69" t="str">
        <f>JUEVES!AC38</f>
        <v/>
      </c>
    </row>
    <row r="105" spans="1:16" ht="14.1" customHeight="1">
      <c r="A105" s="37">
        <v>2</v>
      </c>
      <c r="B105" s="37" t="s">
        <v>280</v>
      </c>
      <c r="C105" s="44" t="str">
        <f>JUEVES!$A$40</f>
        <v>Pajaro</v>
      </c>
      <c r="D105" s="45" t="str">
        <f>JUEVES!$B$40</f>
        <v>Elevacion Posterior</v>
      </c>
      <c r="E105" s="37" t="str">
        <f>JUEVES!$C$40</f>
        <v>mancuerna</v>
      </c>
      <c r="F105" s="46" t="str">
        <f>IF(P105="","",IFERROR(CHOOSE(VALUE(RIGHT(P105,1)),JUEVES!F40,JUEVES!I40,JUEVES!L40,JUEVES!O40,JUEVES!R40),""))</f>
        <v/>
      </c>
      <c r="G105" s="47" t="str">
        <f>IF(P105="","",IFERROR(CHOOSE(VALUE(RIGHT(P105,1)),JUEVES!G40,JUEVES!J40,JUEVES!M40,JUEVES!P40,JUEVES!S40),""))</f>
        <v/>
      </c>
      <c r="H105" s="48" t="str">
        <f>IF(P105="","",IFERROR(CHOOSE(VALUE(RIGHT(P105,1)),JUEVES!H40,JUEVES!K40,JUEVES!N40,JUEVES!Q40,JUEVES!T40),""))</f>
        <v/>
      </c>
      <c r="I105" s="49" t="str">
        <f t="shared" si="2"/>
        <v/>
      </c>
      <c r="J105" s="50" t="str">
        <f>IF(P105="","",IFERROR(ROUND(CHOOSE(VALUE(RIGHT(P105,1)),IF(JUEVES!C40="peso_corporal",IF(ISNUMBER(JUEVES!E40),JUEVES!E40,0)+JUEVES!F40,JUEVES!F40)*JUEVES!G40,IF(JUEVES!C40="peso_corporal",IF(ISNUMBER(JUEVES!E40),JUEVES!E40,0)+JUEVES!I40,JUEVES!I40)*JUEVES!J40,IF(JUEVES!C40="peso_corporal",IF(ISNUMBER(JUEVES!E40),JUEVES!E40,0)+JUEVES!L40,JUEVES!L40)*JUEVES!M40,IF(JUEVES!C40="peso_corporal",IF(ISNUMBER(JUEVES!E40),JUEVES!E40,0)+JUEVES!O40,JUEVES!O40)*JUEVES!P40,IF(JUEVES!C40="peso_corporal",IF(ISNUMBER(JUEVES!E40),JUEVES!E40,0)+JUEVES!R40,JUEVES!R40)*JUEVES!S40),1),""))</f>
        <v/>
      </c>
      <c r="K105" s="51" t="str">
        <f>IF(P105="","",IFERROR(ROUND(CHOOSE(VALUE(RIGHT(P105,1)),(IF(JUEVES!C40="peso_corporal",IF(ISNUMBER(JUEVES!E40),JUEVES!E40,0)+JUEVES!F40,JUEVES!F40))*(1+JUEVES!G40/30),(IF(JUEVES!C40="peso_corporal",IF(ISNUMBER(JUEVES!E40),JUEVES!E40,0)+JUEVES!I40,JUEVES!I40))*(1+JUEVES!J40/30),(IF(JUEVES!C40="peso_corporal",IF(ISNUMBER(JUEVES!E40),JUEVES!E40,0)+JUEVES!L40,JUEVES!L40))*(1+JUEVES!M40/30),(IF(JUEVES!C40="peso_corporal",IF(ISNUMBER(JUEVES!E40),JUEVES!E40,0)+JUEVES!O40,JUEVES!O40))*(1+JUEVES!P40/30),(IF(JUEVES!C40="peso_corporal",IF(ISNUMBER(JUEVES!E40),JUEVES!E40,0)+JUEVES!R40,JUEVES!R40))*(1+JUEVES!S40/30)),1),""))</f>
        <v/>
      </c>
      <c r="L105" s="52">
        <f>IFERROR(JUEVES!E40,"")</f>
        <v>80</v>
      </c>
      <c r="M105" s="53" t="str">
        <f>IFERROR(IF(K105="","-",IF(ISNUMBER(LOOKUP(2,1/((HISTORIAL!$O$3:$O$104=O105)*(HISTORIAL!$F$3:$F$104&lt;&gt;"")),HISTORIAL!$K$3:$K$104)),IF(K105&gt;LOOKUP(2,1/((HISTORIAL!$O$3:$O$104=O105)*(HISTORIAL!$F$3:$F$104&lt;&gt;"")),HISTORIAL!$K$3:$K$104),"^",IF(K105&lt;LOOKUP(2,1/((HISTORIAL!$O$3:$O$104=O105)*(HISTORIAL!$F$3:$F$104&lt;&gt;"")),HISTORIAL!$K$3:$K$104),"v","-")),"-")),"-")</f>
        <v>-</v>
      </c>
      <c r="N105" s="54" t="str">
        <f>IFERROR(VLOOKUP(A105,CONFIG!$A$10:$B$21,2,0),"")</f>
        <v>HIP</v>
      </c>
      <c r="O105" s="55" t="str">
        <f t="shared" si="3"/>
        <v>Pajaro|Elevacion Posterior</v>
      </c>
      <c r="P105" s="69" t="str">
        <f>JUEVES!AC40</f>
        <v/>
      </c>
    </row>
    <row r="106" spans="1:16" ht="14.1" customHeight="1">
      <c r="A106" s="37">
        <v>2</v>
      </c>
      <c r="B106" s="37" t="s">
        <v>280</v>
      </c>
      <c r="C106" s="44" t="str">
        <f>JUEVES!$A$41</f>
        <v>Peck Deck Invertida</v>
      </c>
      <c r="D106" s="45" t="str">
        <f>JUEVES!$B$41</f>
        <v>Maquina</v>
      </c>
      <c r="E106" s="37" t="str">
        <f>JUEVES!$C$41</f>
        <v>polea</v>
      </c>
      <c r="F106" s="46" t="str">
        <f>IF(P106="","",IFERROR(CHOOSE(VALUE(RIGHT(P106,1)),JUEVES!F41,JUEVES!I41,JUEVES!L41,JUEVES!O41,JUEVES!R41),""))</f>
        <v/>
      </c>
      <c r="G106" s="47" t="str">
        <f>IF(P106="","",IFERROR(CHOOSE(VALUE(RIGHT(P106,1)),JUEVES!G41,JUEVES!J41,JUEVES!M41,JUEVES!P41,JUEVES!S41),""))</f>
        <v/>
      </c>
      <c r="H106" s="48" t="str">
        <f>IF(P106="","",IFERROR(CHOOSE(VALUE(RIGHT(P106,1)),JUEVES!H41,JUEVES!K41,JUEVES!N41,JUEVES!Q41,JUEVES!T41),""))</f>
        <v/>
      </c>
      <c r="I106" s="49" t="str">
        <f t="shared" si="2"/>
        <v/>
      </c>
      <c r="J106" s="50" t="str">
        <f>IF(P106="","",IFERROR(ROUND(CHOOSE(VALUE(RIGHT(P106,1)),IF(JUEVES!C41="peso_corporal",IF(ISNUMBER(JUEVES!E41),JUEVES!E41,0)+JUEVES!F41,JUEVES!F41)*JUEVES!G41,IF(JUEVES!C41="peso_corporal",IF(ISNUMBER(JUEVES!E41),JUEVES!E41,0)+JUEVES!I41,JUEVES!I41)*JUEVES!J41,IF(JUEVES!C41="peso_corporal",IF(ISNUMBER(JUEVES!E41),JUEVES!E41,0)+JUEVES!L41,JUEVES!L41)*JUEVES!M41,IF(JUEVES!C41="peso_corporal",IF(ISNUMBER(JUEVES!E41),JUEVES!E41,0)+JUEVES!O41,JUEVES!O41)*JUEVES!P41,IF(JUEVES!C41="peso_corporal",IF(ISNUMBER(JUEVES!E41),JUEVES!E41,0)+JUEVES!R41,JUEVES!R41)*JUEVES!S41),1),""))</f>
        <v/>
      </c>
      <c r="K106" s="51" t="str">
        <f>IF(P106="","",IFERROR(ROUND(CHOOSE(VALUE(RIGHT(P106,1)),(IF(JUEVES!C41="peso_corporal",IF(ISNUMBER(JUEVES!E41),JUEVES!E41,0)+JUEVES!F41,JUEVES!F41))*(1+JUEVES!G41/30),(IF(JUEVES!C41="peso_corporal",IF(ISNUMBER(JUEVES!E41),JUEVES!E41,0)+JUEVES!I41,JUEVES!I41))*(1+JUEVES!J41/30),(IF(JUEVES!C41="peso_corporal",IF(ISNUMBER(JUEVES!E41),JUEVES!E41,0)+JUEVES!L41,JUEVES!L41))*(1+JUEVES!M41/30),(IF(JUEVES!C41="peso_corporal",IF(ISNUMBER(JUEVES!E41),JUEVES!E41,0)+JUEVES!O41,JUEVES!O41))*(1+JUEVES!P41/30),(IF(JUEVES!C41="peso_corporal",IF(ISNUMBER(JUEVES!E41),JUEVES!E41,0)+JUEVES!R41,JUEVES!R41))*(1+JUEVES!S41/30)),1),""))</f>
        <v/>
      </c>
      <c r="L106" s="52">
        <f>IFERROR(JUEVES!E41,"")</f>
        <v>80</v>
      </c>
      <c r="M106" s="53" t="str">
        <f>IFERROR(IF(K106="","-",IF(ISNUMBER(LOOKUP(2,1/((HISTORIAL!$O$3:$O$105=O106)*(HISTORIAL!$F$3:$F$105&lt;&gt;"")),HISTORIAL!$K$3:$K$105)),IF(K106&gt;LOOKUP(2,1/((HISTORIAL!$O$3:$O$105=O106)*(HISTORIAL!$F$3:$F$105&lt;&gt;"")),HISTORIAL!$K$3:$K$105),"^",IF(K106&lt;LOOKUP(2,1/((HISTORIAL!$O$3:$O$105=O106)*(HISTORIAL!$F$3:$F$105&lt;&gt;"")),HISTORIAL!$K$3:$K$105),"v","-")),"-")),"-")</f>
        <v>-</v>
      </c>
      <c r="N106" s="54" t="str">
        <f>IFERROR(VLOOKUP(A106,CONFIG!$A$10:$B$21,2,0),"")</f>
        <v>HIP</v>
      </c>
      <c r="O106" s="55" t="str">
        <f t="shared" si="3"/>
        <v>Peck Deck Invertida|Maquina</v>
      </c>
      <c r="P106" s="69" t="str">
        <f>JUEVES!AC41</f>
        <v/>
      </c>
    </row>
    <row r="107" spans="1:16" ht="14.1" customHeight="1">
      <c r="A107" s="37">
        <v>2</v>
      </c>
      <c r="B107" s="37" t="s">
        <v>280</v>
      </c>
      <c r="C107" s="44" t="str">
        <f>JUEVES!$A$42</f>
        <v>Elevaciones Posteriores</v>
      </c>
      <c r="D107" s="45" t="str">
        <f>JUEVES!$B$42</f>
        <v>Polea Individual</v>
      </c>
      <c r="E107" s="37" t="str">
        <f>JUEVES!$C$42</f>
        <v>polea</v>
      </c>
      <c r="F107" s="46" t="str">
        <f>IF(P107="","",IFERROR(CHOOSE(VALUE(RIGHT(P107,1)),JUEVES!F42,JUEVES!I42,JUEVES!L42,JUEVES!O42,JUEVES!R42),""))</f>
        <v/>
      </c>
      <c r="G107" s="47" t="str">
        <f>IF(P107="","",IFERROR(CHOOSE(VALUE(RIGHT(P107,1)),JUEVES!G42,JUEVES!J42,JUEVES!M42,JUEVES!P42,JUEVES!S42),""))</f>
        <v/>
      </c>
      <c r="H107" s="48" t="str">
        <f>IF(P107="","",IFERROR(CHOOSE(VALUE(RIGHT(P107,1)),JUEVES!H42,JUEVES!K42,JUEVES!N42,JUEVES!Q42,JUEVES!T42),""))</f>
        <v/>
      </c>
      <c r="I107" s="49" t="str">
        <f t="shared" si="2"/>
        <v/>
      </c>
      <c r="J107" s="50" t="str">
        <f>IF(P107="","",IFERROR(ROUND(CHOOSE(VALUE(RIGHT(P107,1)),IF(JUEVES!C42="peso_corporal",IF(ISNUMBER(JUEVES!E42),JUEVES!E42,0)+JUEVES!F42,JUEVES!F42)*JUEVES!G42,IF(JUEVES!C42="peso_corporal",IF(ISNUMBER(JUEVES!E42),JUEVES!E42,0)+JUEVES!I42,JUEVES!I42)*JUEVES!J42,IF(JUEVES!C42="peso_corporal",IF(ISNUMBER(JUEVES!E42),JUEVES!E42,0)+JUEVES!L42,JUEVES!L42)*JUEVES!M42,IF(JUEVES!C42="peso_corporal",IF(ISNUMBER(JUEVES!E42),JUEVES!E42,0)+JUEVES!O42,JUEVES!O42)*JUEVES!P42,IF(JUEVES!C42="peso_corporal",IF(ISNUMBER(JUEVES!E42),JUEVES!E42,0)+JUEVES!R42,JUEVES!R42)*JUEVES!S42),1),""))</f>
        <v/>
      </c>
      <c r="K107" s="51" t="str">
        <f>IF(P107="","",IFERROR(ROUND(CHOOSE(VALUE(RIGHT(P107,1)),(IF(JUEVES!C42="peso_corporal",IF(ISNUMBER(JUEVES!E42),JUEVES!E42,0)+JUEVES!F42,JUEVES!F42))*(1+JUEVES!G42/30),(IF(JUEVES!C42="peso_corporal",IF(ISNUMBER(JUEVES!E42),JUEVES!E42,0)+JUEVES!I42,JUEVES!I42))*(1+JUEVES!J42/30),(IF(JUEVES!C42="peso_corporal",IF(ISNUMBER(JUEVES!E42),JUEVES!E42,0)+JUEVES!L42,JUEVES!L42))*(1+JUEVES!M42/30),(IF(JUEVES!C42="peso_corporal",IF(ISNUMBER(JUEVES!E42),JUEVES!E42,0)+JUEVES!O42,JUEVES!O42))*(1+JUEVES!P42/30),(IF(JUEVES!C42="peso_corporal",IF(ISNUMBER(JUEVES!E42),JUEVES!E42,0)+JUEVES!R42,JUEVES!R42))*(1+JUEVES!S42/30)),1),""))</f>
        <v/>
      </c>
      <c r="L107" s="52">
        <f>IFERROR(JUEVES!E42,"")</f>
        <v>80</v>
      </c>
      <c r="M107" s="53" t="str">
        <f>IFERROR(IF(K107="","-",IF(ISNUMBER(LOOKUP(2,1/((HISTORIAL!$O$3:$O$106=O107)*(HISTORIAL!$F$3:$F$106&lt;&gt;"")),HISTORIAL!$K$3:$K$106)),IF(K107&gt;LOOKUP(2,1/((HISTORIAL!$O$3:$O$106=O107)*(HISTORIAL!$F$3:$F$106&lt;&gt;"")),HISTORIAL!$K$3:$K$106),"^",IF(K107&lt;LOOKUP(2,1/((HISTORIAL!$O$3:$O$106=O107)*(HISTORIAL!$F$3:$F$106&lt;&gt;"")),HISTORIAL!$K$3:$K$106),"v","-")),"-")),"-")</f>
        <v>-</v>
      </c>
      <c r="N107" s="54" t="str">
        <f>IFERROR(VLOOKUP(A107,CONFIG!$A$10:$B$21,2,0),"")</f>
        <v>HIP</v>
      </c>
      <c r="O107" s="55" t="str">
        <f t="shared" si="3"/>
        <v>Elevaciones Posteriores|Polea Individual</v>
      </c>
      <c r="P107" s="69" t="str">
        <f>JUEVES!AC42</f>
        <v/>
      </c>
    </row>
    <row r="108" spans="1:16" ht="14.1" customHeight="1">
      <c r="A108" s="37">
        <v>2</v>
      </c>
      <c r="B108" s="37" t="s">
        <v>280</v>
      </c>
      <c r="C108" s="44" t="str">
        <f>JUEVES!$A$45</f>
        <v>Press Plano</v>
      </c>
      <c r="D108" s="45" t="str">
        <f>JUEVES!$B$45</f>
        <v>Multipower</v>
      </c>
      <c r="E108" s="37" t="str">
        <f>JUEVES!$C$45</f>
        <v>disco</v>
      </c>
      <c r="F108" s="46" t="str">
        <f>IF(P108="","",IFERROR(CHOOSE(VALUE(RIGHT(P108,1)),JUEVES!F45,JUEVES!I45,JUEVES!L45,JUEVES!O45,JUEVES!R45),""))</f>
        <v/>
      </c>
      <c r="G108" s="47" t="str">
        <f>IF(P108="","",IFERROR(CHOOSE(VALUE(RIGHT(P108,1)),JUEVES!G45,JUEVES!J45,JUEVES!M45,JUEVES!P45,JUEVES!S45),""))</f>
        <v/>
      </c>
      <c r="H108" s="48" t="str">
        <f>IF(P108="","",IFERROR(CHOOSE(VALUE(RIGHT(P108,1)),JUEVES!H45,JUEVES!K45,JUEVES!N45,JUEVES!Q45,JUEVES!T45),""))</f>
        <v/>
      </c>
      <c r="I108" s="49" t="str">
        <f t="shared" si="2"/>
        <v/>
      </c>
      <c r="J108" s="50" t="str">
        <f>IF(P108="","",IFERROR(ROUND(CHOOSE(VALUE(RIGHT(P108,1)),IF(JUEVES!C45="peso_corporal",IF(ISNUMBER(JUEVES!E45),JUEVES!E45,0)+JUEVES!F45,JUEVES!F45)*JUEVES!G45,IF(JUEVES!C45="peso_corporal",IF(ISNUMBER(JUEVES!E45),JUEVES!E45,0)+JUEVES!I45,JUEVES!I45)*JUEVES!J45,IF(JUEVES!C45="peso_corporal",IF(ISNUMBER(JUEVES!E45),JUEVES!E45,0)+JUEVES!L45,JUEVES!L45)*JUEVES!M45,IF(JUEVES!C45="peso_corporal",IF(ISNUMBER(JUEVES!E45),JUEVES!E45,0)+JUEVES!O45,JUEVES!O45)*JUEVES!P45,IF(JUEVES!C45="peso_corporal",IF(ISNUMBER(JUEVES!E45),JUEVES!E45,0)+JUEVES!R45,JUEVES!R45)*JUEVES!S45),1),""))</f>
        <v/>
      </c>
      <c r="K108" s="51" t="str">
        <f>IF(P108="","",IFERROR(ROUND(CHOOSE(VALUE(RIGHT(P108,1)),(IF(JUEVES!C45="peso_corporal",IF(ISNUMBER(JUEVES!E45),JUEVES!E45,0)+JUEVES!F45,JUEVES!F45))*(1+JUEVES!G45/30),(IF(JUEVES!C45="peso_corporal",IF(ISNUMBER(JUEVES!E45),JUEVES!E45,0)+JUEVES!I45,JUEVES!I45))*(1+JUEVES!J45/30),(IF(JUEVES!C45="peso_corporal",IF(ISNUMBER(JUEVES!E45),JUEVES!E45,0)+JUEVES!L45,JUEVES!L45))*(1+JUEVES!M45/30),(IF(JUEVES!C45="peso_corporal",IF(ISNUMBER(JUEVES!E45),JUEVES!E45,0)+JUEVES!O45,JUEVES!O45))*(1+JUEVES!P45/30),(IF(JUEVES!C45="peso_corporal",IF(ISNUMBER(JUEVES!E45),JUEVES!E45,0)+JUEVES!R45,JUEVES!R45))*(1+JUEVES!S45/30)),1),""))</f>
        <v/>
      </c>
      <c r="L108" s="52">
        <f>IFERROR(JUEVES!E45,"")</f>
        <v>80</v>
      </c>
      <c r="M108" s="53" t="str">
        <f>IFERROR(IF(K108="","-",IF(ISNUMBER(LOOKUP(2,1/((HISTORIAL!$O$3:$O$107=O108)*(HISTORIAL!$F$3:$F$107&lt;&gt;"")),HISTORIAL!$K$3:$K$107)),IF(K108&gt;LOOKUP(2,1/((HISTORIAL!$O$3:$O$107=O108)*(HISTORIAL!$F$3:$F$107&lt;&gt;"")),HISTORIAL!$K$3:$K$107),"^",IF(K108&lt;LOOKUP(2,1/((HISTORIAL!$O$3:$O$107=O108)*(HISTORIAL!$F$3:$F$107&lt;&gt;"")),HISTORIAL!$K$3:$K$107),"v","-")),"-")),"-")</f>
        <v>-</v>
      </c>
      <c r="N108" s="54" t="str">
        <f>IFERROR(VLOOKUP(A108,CONFIG!$A$10:$B$21,2,0),"")</f>
        <v>HIP</v>
      </c>
      <c r="O108" s="55" t="str">
        <f t="shared" si="3"/>
        <v>Press Plano|Multipower</v>
      </c>
      <c r="P108" s="69" t="str">
        <f>JUEVES!AC45</f>
        <v/>
      </c>
    </row>
    <row r="109" spans="1:16" ht="14.1" customHeight="1">
      <c r="A109" s="37">
        <v>2</v>
      </c>
      <c r="B109" s="37" t="s">
        <v>280</v>
      </c>
      <c r="C109" s="44" t="str">
        <f>JUEVES!$A$47</f>
        <v>Press Inclinado</v>
      </c>
      <c r="D109" s="45" t="str">
        <f>JUEVES!$B$47</f>
        <v>Multipower</v>
      </c>
      <c r="E109" s="37" t="str">
        <f>JUEVES!$C$47</f>
        <v>disco</v>
      </c>
      <c r="F109" s="46" t="str">
        <f>IF(P109="","",IFERROR(CHOOSE(VALUE(RIGHT(P109,1)),JUEVES!F47,JUEVES!I47,JUEVES!L47,JUEVES!O47,JUEVES!R47),""))</f>
        <v/>
      </c>
      <c r="G109" s="47" t="str">
        <f>IF(P109="","",IFERROR(CHOOSE(VALUE(RIGHT(P109,1)),JUEVES!G47,JUEVES!J47,JUEVES!M47,JUEVES!P47,JUEVES!S47),""))</f>
        <v/>
      </c>
      <c r="H109" s="48" t="str">
        <f>IF(P109="","",IFERROR(CHOOSE(VALUE(RIGHT(P109,1)),JUEVES!H47,JUEVES!K47,JUEVES!N47,JUEVES!Q47,JUEVES!T47),""))</f>
        <v/>
      </c>
      <c r="I109" s="49" t="str">
        <f t="shared" si="2"/>
        <v/>
      </c>
      <c r="J109" s="50" t="str">
        <f>IF(P109="","",IFERROR(ROUND(CHOOSE(VALUE(RIGHT(P109,1)),IF(JUEVES!C47="peso_corporal",IF(ISNUMBER(JUEVES!E47),JUEVES!E47,0)+JUEVES!F47,JUEVES!F47)*JUEVES!G47,IF(JUEVES!C47="peso_corporal",IF(ISNUMBER(JUEVES!E47),JUEVES!E47,0)+JUEVES!I47,JUEVES!I47)*JUEVES!J47,IF(JUEVES!C47="peso_corporal",IF(ISNUMBER(JUEVES!E47),JUEVES!E47,0)+JUEVES!L47,JUEVES!L47)*JUEVES!M47,IF(JUEVES!C47="peso_corporal",IF(ISNUMBER(JUEVES!E47),JUEVES!E47,0)+JUEVES!O47,JUEVES!O47)*JUEVES!P47,IF(JUEVES!C47="peso_corporal",IF(ISNUMBER(JUEVES!E47),JUEVES!E47,0)+JUEVES!R47,JUEVES!R47)*JUEVES!S47),1),""))</f>
        <v/>
      </c>
      <c r="K109" s="51" t="str">
        <f>IF(P109="","",IFERROR(ROUND(CHOOSE(VALUE(RIGHT(P109,1)),(IF(JUEVES!C47="peso_corporal",IF(ISNUMBER(JUEVES!E47),JUEVES!E47,0)+JUEVES!F47,JUEVES!F47))*(1+JUEVES!G47/30),(IF(JUEVES!C47="peso_corporal",IF(ISNUMBER(JUEVES!E47),JUEVES!E47,0)+JUEVES!I47,JUEVES!I47))*(1+JUEVES!J47/30),(IF(JUEVES!C47="peso_corporal",IF(ISNUMBER(JUEVES!E47),JUEVES!E47,0)+JUEVES!L47,JUEVES!L47))*(1+JUEVES!M47/30),(IF(JUEVES!C47="peso_corporal",IF(ISNUMBER(JUEVES!E47),JUEVES!E47,0)+JUEVES!O47,JUEVES!O47))*(1+JUEVES!P47/30),(IF(JUEVES!C47="peso_corporal",IF(ISNUMBER(JUEVES!E47),JUEVES!E47,0)+JUEVES!R47,JUEVES!R47))*(1+JUEVES!S47/30)),1),""))</f>
        <v/>
      </c>
      <c r="L109" s="52">
        <f>IFERROR(JUEVES!E47,"")</f>
        <v>80</v>
      </c>
      <c r="M109" s="53" t="str">
        <f>IFERROR(IF(K109="","-",IF(ISNUMBER(LOOKUP(2,1/((HISTORIAL!$O$3:$O$108=O109)*(HISTORIAL!$F$3:$F$108&lt;&gt;"")),HISTORIAL!$K$3:$K$108)),IF(K109&gt;LOOKUP(2,1/((HISTORIAL!$O$3:$O$108=O109)*(HISTORIAL!$F$3:$F$108&lt;&gt;"")),HISTORIAL!$K$3:$K$108),"^",IF(K109&lt;LOOKUP(2,1/((HISTORIAL!$O$3:$O$108=O109)*(HISTORIAL!$F$3:$F$108&lt;&gt;"")),HISTORIAL!$K$3:$K$108),"v","-")),"-")),"-")</f>
        <v>-</v>
      </c>
      <c r="N109" s="54" t="str">
        <f>IFERROR(VLOOKUP(A109,CONFIG!$A$10:$B$21,2,0),"")</f>
        <v>HIP</v>
      </c>
      <c r="O109" s="55" t="str">
        <f t="shared" si="3"/>
        <v>Press Inclinado|Multipower</v>
      </c>
      <c r="P109" s="69" t="str">
        <f>JUEVES!AC47</f>
        <v/>
      </c>
    </row>
    <row r="110" spans="1:16" ht="14.1" customHeight="1">
      <c r="A110" s="37">
        <v>2</v>
      </c>
      <c r="B110" s="37" t="s">
        <v>280</v>
      </c>
      <c r="C110" s="44" t="str">
        <f>JUEVES!$A$49</f>
        <v>Aperturas</v>
      </c>
      <c r="D110" s="45" t="str">
        <f>JUEVES!$B$49</f>
        <v>Pec Deck Maquina</v>
      </c>
      <c r="E110" s="37" t="str">
        <f>JUEVES!$C$49</f>
        <v>--</v>
      </c>
      <c r="F110" s="46" t="str">
        <f>IF(P110="","",IFERROR(CHOOSE(VALUE(RIGHT(P110,1)),JUEVES!F49,JUEVES!I49,JUEVES!L49,JUEVES!O49,JUEVES!R49),""))</f>
        <v/>
      </c>
      <c r="G110" s="47" t="str">
        <f>IF(P110="","",IFERROR(CHOOSE(VALUE(RIGHT(P110,1)),JUEVES!G49,JUEVES!J49,JUEVES!M49,JUEVES!P49,JUEVES!S49),""))</f>
        <v/>
      </c>
      <c r="H110" s="48" t="str">
        <f>IF(P110="","",IFERROR(CHOOSE(VALUE(RIGHT(P110,1)),JUEVES!H49,JUEVES!K49,JUEVES!N49,JUEVES!Q49,JUEVES!T49),""))</f>
        <v/>
      </c>
      <c r="I110" s="49" t="str">
        <f t="shared" si="2"/>
        <v/>
      </c>
      <c r="J110" s="50" t="str">
        <f>IF(P110="","",IFERROR(ROUND(CHOOSE(VALUE(RIGHT(P110,1)),IF(JUEVES!C49="peso_corporal",IF(ISNUMBER(JUEVES!E49),JUEVES!E49,0)+JUEVES!F49,JUEVES!F49)*JUEVES!G49,IF(JUEVES!C49="peso_corporal",IF(ISNUMBER(JUEVES!E49),JUEVES!E49,0)+JUEVES!I49,JUEVES!I49)*JUEVES!J49,IF(JUEVES!C49="peso_corporal",IF(ISNUMBER(JUEVES!E49),JUEVES!E49,0)+JUEVES!L49,JUEVES!L49)*JUEVES!M49,IF(JUEVES!C49="peso_corporal",IF(ISNUMBER(JUEVES!E49),JUEVES!E49,0)+JUEVES!O49,JUEVES!O49)*JUEVES!P49,IF(JUEVES!C49="peso_corporal",IF(ISNUMBER(JUEVES!E49),JUEVES!E49,0)+JUEVES!R49,JUEVES!R49)*JUEVES!S49),1),""))</f>
        <v/>
      </c>
      <c r="K110" s="51" t="str">
        <f>IF(P110="","",IFERROR(ROUND(CHOOSE(VALUE(RIGHT(P110,1)),(IF(JUEVES!C49="peso_corporal",IF(ISNUMBER(JUEVES!E49),JUEVES!E49,0)+JUEVES!F49,JUEVES!F49))*(1+JUEVES!G49/30),(IF(JUEVES!C49="peso_corporal",IF(ISNUMBER(JUEVES!E49),JUEVES!E49,0)+JUEVES!I49,JUEVES!I49))*(1+JUEVES!J49/30),(IF(JUEVES!C49="peso_corporal",IF(ISNUMBER(JUEVES!E49),JUEVES!E49,0)+JUEVES!L49,JUEVES!L49))*(1+JUEVES!M49/30),(IF(JUEVES!C49="peso_corporal",IF(ISNUMBER(JUEVES!E49),JUEVES!E49,0)+JUEVES!O49,JUEVES!O49))*(1+JUEVES!P49/30),(IF(JUEVES!C49="peso_corporal",IF(ISNUMBER(JUEVES!E49),JUEVES!E49,0)+JUEVES!R49,JUEVES!R49))*(1+JUEVES!S49/30)),1),""))</f>
        <v/>
      </c>
      <c r="L110" s="52">
        <f>IFERROR(JUEVES!E49,"")</f>
        <v>80</v>
      </c>
      <c r="M110" s="53" t="str">
        <f>IFERROR(IF(K110="","-",IF(ISNUMBER(LOOKUP(2,1/((HISTORIAL!$O$3:$O$109=O110)*(HISTORIAL!$F$3:$F$109&lt;&gt;"")),HISTORIAL!$K$3:$K$109)),IF(K110&gt;LOOKUP(2,1/((HISTORIAL!$O$3:$O$109=O110)*(HISTORIAL!$F$3:$F$109&lt;&gt;"")),HISTORIAL!$K$3:$K$109),"^",IF(K110&lt;LOOKUP(2,1/((HISTORIAL!$O$3:$O$109=O110)*(HISTORIAL!$F$3:$F$109&lt;&gt;"")),HISTORIAL!$K$3:$K$109),"v","-")),"-")),"-")</f>
        <v>-</v>
      </c>
      <c r="N110" s="54" t="str">
        <f>IFERROR(VLOOKUP(A110,CONFIG!$A$10:$B$21,2,0),"")</f>
        <v>HIP</v>
      </c>
      <c r="O110" s="55" t="str">
        <f t="shared" si="3"/>
        <v>Aperturas|Pec Deck Maquina</v>
      </c>
      <c r="P110" s="69" t="str">
        <f>JUEVES!AC49</f>
        <v/>
      </c>
    </row>
    <row r="111" spans="1:16" ht="14.1" customHeight="1">
      <c r="A111" s="37">
        <v>2</v>
      </c>
      <c r="B111" s="37" t="s">
        <v>280</v>
      </c>
      <c r="C111" s="44" t="str">
        <f>JUEVES!$A$51</f>
        <v>Press Polea</v>
      </c>
      <c r="D111" s="45" t="str">
        <f>JUEVES!$B$51</f>
        <v>Barra Recta Diagonal Arriba</v>
      </c>
      <c r="E111" s="37" t="str">
        <f>JUEVES!$C$51</f>
        <v>polea</v>
      </c>
      <c r="F111" s="46" t="str">
        <f>IF(P111="","",IFERROR(CHOOSE(VALUE(RIGHT(P111,1)),JUEVES!F51,JUEVES!I51,JUEVES!L51,JUEVES!O51,JUEVES!R51),""))</f>
        <v/>
      </c>
      <c r="G111" s="47" t="str">
        <f>IF(P111="","",IFERROR(CHOOSE(VALUE(RIGHT(P111,1)),JUEVES!G51,JUEVES!J51,JUEVES!M51,JUEVES!P51,JUEVES!S51),""))</f>
        <v/>
      </c>
      <c r="H111" s="48" t="str">
        <f>IF(P111="","",IFERROR(CHOOSE(VALUE(RIGHT(P111,1)),JUEVES!H51,JUEVES!K51,JUEVES!N51,JUEVES!Q51,JUEVES!T51),""))</f>
        <v/>
      </c>
      <c r="I111" s="49" t="str">
        <f t="shared" si="2"/>
        <v/>
      </c>
      <c r="J111" s="50" t="str">
        <f>IF(P111="","",IFERROR(ROUND(CHOOSE(VALUE(RIGHT(P111,1)),IF(JUEVES!C51="peso_corporal",IF(ISNUMBER(JUEVES!E51),JUEVES!E51,0)+JUEVES!F51,JUEVES!F51)*JUEVES!G51,IF(JUEVES!C51="peso_corporal",IF(ISNUMBER(JUEVES!E51),JUEVES!E51,0)+JUEVES!I51,JUEVES!I51)*JUEVES!J51,IF(JUEVES!C51="peso_corporal",IF(ISNUMBER(JUEVES!E51),JUEVES!E51,0)+JUEVES!L51,JUEVES!L51)*JUEVES!M51,IF(JUEVES!C51="peso_corporal",IF(ISNUMBER(JUEVES!E51),JUEVES!E51,0)+JUEVES!O51,JUEVES!O51)*JUEVES!P51,IF(JUEVES!C51="peso_corporal",IF(ISNUMBER(JUEVES!E51),JUEVES!E51,0)+JUEVES!R51,JUEVES!R51)*JUEVES!S51),1),""))</f>
        <v/>
      </c>
      <c r="K111" s="51" t="str">
        <f>IF(P111="","",IFERROR(ROUND(CHOOSE(VALUE(RIGHT(P111,1)),(IF(JUEVES!C51="peso_corporal",IF(ISNUMBER(JUEVES!E51),JUEVES!E51,0)+JUEVES!F51,JUEVES!F51))*(1+JUEVES!G51/30),(IF(JUEVES!C51="peso_corporal",IF(ISNUMBER(JUEVES!E51),JUEVES!E51,0)+JUEVES!I51,JUEVES!I51))*(1+JUEVES!J51/30),(IF(JUEVES!C51="peso_corporal",IF(ISNUMBER(JUEVES!E51),JUEVES!E51,0)+JUEVES!L51,JUEVES!L51))*(1+JUEVES!M51/30),(IF(JUEVES!C51="peso_corporal",IF(ISNUMBER(JUEVES!E51),JUEVES!E51,0)+JUEVES!O51,JUEVES!O51))*(1+JUEVES!P51/30),(IF(JUEVES!C51="peso_corporal",IF(ISNUMBER(JUEVES!E51),JUEVES!E51,0)+JUEVES!R51,JUEVES!R51))*(1+JUEVES!S51/30)),1),""))</f>
        <v/>
      </c>
      <c r="L111" s="52">
        <f>IFERROR(JUEVES!E51,"")</f>
        <v>80</v>
      </c>
      <c r="M111" s="53" t="str">
        <f>IFERROR(IF(K111="","-",IF(ISNUMBER(LOOKUP(2,1/((HISTORIAL!$O$3:$O$110=O111)*(HISTORIAL!$F$3:$F$110&lt;&gt;"")),HISTORIAL!$K$3:$K$110)),IF(K111&gt;LOOKUP(2,1/((HISTORIAL!$O$3:$O$110=O111)*(HISTORIAL!$F$3:$F$110&lt;&gt;"")),HISTORIAL!$K$3:$K$110),"^",IF(K111&lt;LOOKUP(2,1/((HISTORIAL!$O$3:$O$110=O111)*(HISTORIAL!$F$3:$F$110&lt;&gt;"")),HISTORIAL!$K$3:$K$110),"v","-")),"-")),"-")</f>
        <v>-</v>
      </c>
      <c r="N111" s="54" t="str">
        <f>IFERROR(VLOOKUP(A111,CONFIG!$A$10:$B$21,2,0),"")</f>
        <v>HIP</v>
      </c>
      <c r="O111" s="55" t="str">
        <f t="shared" si="3"/>
        <v>Press Polea|Barra Recta Diagonal Arriba</v>
      </c>
      <c r="P111" s="69" t="str">
        <f>JUEVES!AC51</f>
        <v/>
      </c>
    </row>
    <row r="112" spans="1:16" ht="14.1" customHeight="1">
      <c r="A112" s="37">
        <v>2</v>
      </c>
      <c r="B112" s="37" t="s">
        <v>280</v>
      </c>
      <c r="C112" s="44" t="str">
        <f>JUEVES!$A$52</f>
        <v>Extension Triceps</v>
      </c>
      <c r="D112" s="45" t="str">
        <f>JUEVES!$B$52</f>
        <v>Polea Sobre Cabeza</v>
      </c>
      <c r="E112" s="37" t="str">
        <f>JUEVES!$C$52</f>
        <v>--</v>
      </c>
      <c r="F112" s="46" t="str">
        <f>IF(P112="","",IFERROR(CHOOSE(VALUE(RIGHT(P112,1)),JUEVES!F52,JUEVES!I52,JUEVES!L52,JUEVES!O52,JUEVES!R52),""))</f>
        <v/>
      </c>
      <c r="G112" s="47" t="str">
        <f>IF(P112="","",IFERROR(CHOOSE(VALUE(RIGHT(P112,1)),JUEVES!G52,JUEVES!J52,JUEVES!M52,JUEVES!P52,JUEVES!S52),""))</f>
        <v/>
      </c>
      <c r="H112" s="48" t="str">
        <f>IF(P112="","",IFERROR(CHOOSE(VALUE(RIGHT(P112,1)),JUEVES!H52,JUEVES!K52,JUEVES!N52,JUEVES!Q52,JUEVES!T52),""))</f>
        <v/>
      </c>
      <c r="I112" s="49" t="str">
        <f t="shared" si="2"/>
        <v/>
      </c>
      <c r="J112" s="50" t="str">
        <f>IF(P112="","",IFERROR(ROUND(CHOOSE(VALUE(RIGHT(P112,1)),IF(JUEVES!C52="peso_corporal",IF(ISNUMBER(JUEVES!E52),JUEVES!E52,0)+JUEVES!F52,JUEVES!F52)*JUEVES!G52,IF(JUEVES!C52="peso_corporal",IF(ISNUMBER(JUEVES!E52),JUEVES!E52,0)+JUEVES!I52,JUEVES!I52)*JUEVES!J52,IF(JUEVES!C52="peso_corporal",IF(ISNUMBER(JUEVES!E52),JUEVES!E52,0)+JUEVES!L52,JUEVES!L52)*JUEVES!M52,IF(JUEVES!C52="peso_corporal",IF(ISNUMBER(JUEVES!E52),JUEVES!E52,0)+JUEVES!O52,JUEVES!O52)*JUEVES!P52,IF(JUEVES!C52="peso_corporal",IF(ISNUMBER(JUEVES!E52),JUEVES!E52,0)+JUEVES!R52,JUEVES!R52)*JUEVES!S52),1),""))</f>
        <v/>
      </c>
      <c r="K112" s="51" t="str">
        <f>IF(P112="","",IFERROR(ROUND(CHOOSE(VALUE(RIGHT(P112,1)),(IF(JUEVES!C52="peso_corporal",IF(ISNUMBER(JUEVES!E52),JUEVES!E52,0)+JUEVES!F52,JUEVES!F52))*(1+JUEVES!G52/30),(IF(JUEVES!C52="peso_corporal",IF(ISNUMBER(JUEVES!E52),JUEVES!E52,0)+JUEVES!I52,JUEVES!I52))*(1+JUEVES!J52/30),(IF(JUEVES!C52="peso_corporal",IF(ISNUMBER(JUEVES!E52),JUEVES!E52,0)+JUEVES!L52,JUEVES!L52))*(1+JUEVES!M52/30),(IF(JUEVES!C52="peso_corporal",IF(ISNUMBER(JUEVES!E52),JUEVES!E52,0)+JUEVES!O52,JUEVES!O52))*(1+JUEVES!P52/30),(IF(JUEVES!C52="peso_corporal",IF(ISNUMBER(JUEVES!E52),JUEVES!E52,0)+JUEVES!R52,JUEVES!R52))*(1+JUEVES!S52/30)),1),""))</f>
        <v/>
      </c>
      <c r="L112" s="52">
        <f>IFERROR(JUEVES!E52,"")</f>
        <v>80</v>
      </c>
      <c r="M112" s="53" t="str">
        <f>IFERROR(IF(K112="","-",IF(ISNUMBER(LOOKUP(2,1/((HISTORIAL!$O$3:$O$111=O112)*(HISTORIAL!$F$3:$F$111&lt;&gt;"")),HISTORIAL!$K$3:$K$111)),IF(K112&gt;LOOKUP(2,1/((HISTORIAL!$O$3:$O$111=O112)*(HISTORIAL!$F$3:$F$111&lt;&gt;"")),HISTORIAL!$K$3:$K$111),"^",IF(K112&lt;LOOKUP(2,1/((HISTORIAL!$O$3:$O$111=O112)*(HISTORIAL!$F$3:$F$111&lt;&gt;"")),HISTORIAL!$K$3:$K$111),"v","-")),"-")),"-")</f>
        <v>-</v>
      </c>
      <c r="N112" s="54" t="str">
        <f>IFERROR(VLOOKUP(A112,CONFIG!$A$10:$B$21,2,0),"")</f>
        <v>HIP</v>
      </c>
      <c r="O112" s="55" t="str">
        <f t="shared" si="3"/>
        <v>Extension Triceps|Polea Sobre Cabeza</v>
      </c>
      <c r="P112" s="69" t="str">
        <f>JUEVES!AC52</f>
        <v/>
      </c>
    </row>
    <row r="113" spans="1:16" ht="14.1" customHeight="1">
      <c r="A113" s="37">
        <v>2</v>
      </c>
      <c r="B113" s="37" t="s">
        <v>280</v>
      </c>
      <c r="C113" s="44" t="str">
        <f>JUEVES!$A$54</f>
        <v>Extension Cuadriceps</v>
      </c>
      <c r="D113" s="45" t="str">
        <f>JUEVES!$B$54</f>
        <v>Vasto Interno</v>
      </c>
      <c r="E113" s="37" t="str">
        <f>JUEVES!$C$54</f>
        <v>--</v>
      </c>
      <c r="F113" s="46" t="str">
        <f>IF(P113="","",IFERROR(CHOOSE(VALUE(RIGHT(P113,1)),JUEVES!F54,JUEVES!I54,JUEVES!L54,JUEVES!O54,JUEVES!R54),""))</f>
        <v/>
      </c>
      <c r="G113" s="47" t="str">
        <f>IF(P113="","",IFERROR(CHOOSE(VALUE(RIGHT(P113,1)),JUEVES!G54,JUEVES!J54,JUEVES!M54,JUEVES!P54,JUEVES!S54),""))</f>
        <v/>
      </c>
      <c r="H113" s="48" t="str">
        <f>IF(P113="","",IFERROR(CHOOSE(VALUE(RIGHT(P113,1)),JUEVES!H54,JUEVES!K54,JUEVES!N54,JUEVES!Q54,JUEVES!T54),""))</f>
        <v/>
      </c>
      <c r="I113" s="49" t="str">
        <f t="shared" si="2"/>
        <v/>
      </c>
      <c r="J113" s="50" t="str">
        <f>IF(P113="","",IFERROR(ROUND(CHOOSE(VALUE(RIGHT(P113,1)),IF(JUEVES!C54="peso_corporal",IF(ISNUMBER(JUEVES!E54),JUEVES!E54,0)+JUEVES!F54,JUEVES!F54)*JUEVES!G54,IF(JUEVES!C54="peso_corporal",IF(ISNUMBER(JUEVES!E54),JUEVES!E54,0)+JUEVES!I54,JUEVES!I54)*JUEVES!J54,IF(JUEVES!C54="peso_corporal",IF(ISNUMBER(JUEVES!E54),JUEVES!E54,0)+JUEVES!L54,JUEVES!L54)*JUEVES!M54,IF(JUEVES!C54="peso_corporal",IF(ISNUMBER(JUEVES!E54),JUEVES!E54,0)+JUEVES!O54,JUEVES!O54)*JUEVES!P54,IF(JUEVES!C54="peso_corporal",IF(ISNUMBER(JUEVES!E54),JUEVES!E54,0)+JUEVES!R54,JUEVES!R54)*JUEVES!S54),1),""))</f>
        <v/>
      </c>
      <c r="K113" s="51" t="str">
        <f>IF(P113="","",IFERROR(ROUND(CHOOSE(VALUE(RIGHT(P113,1)),(IF(JUEVES!C54="peso_corporal",IF(ISNUMBER(JUEVES!E54),JUEVES!E54,0)+JUEVES!F54,JUEVES!F54))*(1+JUEVES!G54/30),(IF(JUEVES!C54="peso_corporal",IF(ISNUMBER(JUEVES!E54),JUEVES!E54,0)+JUEVES!I54,JUEVES!I54))*(1+JUEVES!J54/30),(IF(JUEVES!C54="peso_corporal",IF(ISNUMBER(JUEVES!E54),JUEVES!E54,0)+JUEVES!L54,JUEVES!L54))*(1+JUEVES!M54/30),(IF(JUEVES!C54="peso_corporal",IF(ISNUMBER(JUEVES!E54),JUEVES!E54,0)+JUEVES!O54,JUEVES!O54))*(1+JUEVES!P54/30),(IF(JUEVES!C54="peso_corporal",IF(ISNUMBER(JUEVES!E54),JUEVES!E54,0)+JUEVES!R54,JUEVES!R54))*(1+JUEVES!S54/30)),1),""))</f>
        <v/>
      </c>
      <c r="L113" s="52">
        <f>IFERROR(JUEVES!E54,"")</f>
        <v>80</v>
      </c>
      <c r="M113" s="53" t="str">
        <f>IFERROR(IF(K113="","-",IF(ISNUMBER(LOOKUP(2,1/((HISTORIAL!$O$3:$O$112=O113)*(HISTORIAL!$F$3:$F$112&lt;&gt;"")),HISTORIAL!$K$3:$K$112)),IF(K113&gt;LOOKUP(2,1/((HISTORIAL!$O$3:$O$112=O113)*(HISTORIAL!$F$3:$F$112&lt;&gt;"")),HISTORIAL!$K$3:$K$112),"^",IF(K113&lt;LOOKUP(2,1/((HISTORIAL!$O$3:$O$112=O113)*(HISTORIAL!$F$3:$F$112&lt;&gt;"")),HISTORIAL!$K$3:$K$112),"v","-")),"-")),"-")</f>
        <v>-</v>
      </c>
      <c r="N113" s="54" t="str">
        <f>IFERROR(VLOOKUP(A113,CONFIG!$A$10:$B$21,2,0),"")</f>
        <v>HIP</v>
      </c>
      <c r="O113" s="55" t="str">
        <f t="shared" si="3"/>
        <v>Extension Cuadriceps|Vasto Interno</v>
      </c>
      <c r="P113" s="69" t="str">
        <f>JUEVES!AC54</f>
        <v/>
      </c>
    </row>
    <row r="114" spans="1:16" ht="14.1" customHeight="1">
      <c r="A114" s="37">
        <v>2</v>
      </c>
      <c r="B114" s="37" t="s">
        <v>280</v>
      </c>
      <c r="C114" s="44" t="str">
        <f>JUEVES!$A$56</f>
        <v>Curl Biceps</v>
      </c>
      <c r="D114" s="45" t="str">
        <f>JUEVES!$B$56</f>
        <v>Concentrado Maquina</v>
      </c>
      <c r="E114" s="37" t="str">
        <f>JUEVES!$C$56</f>
        <v>polea</v>
      </c>
      <c r="F114" s="46" t="str">
        <f>IF(P114="","",IFERROR(CHOOSE(VALUE(RIGHT(P114,1)),JUEVES!F56,JUEVES!I56,JUEVES!L56,JUEVES!O56,JUEVES!R56),""))</f>
        <v/>
      </c>
      <c r="G114" s="47" t="str">
        <f>IF(P114="","",IFERROR(CHOOSE(VALUE(RIGHT(P114,1)),JUEVES!G56,JUEVES!J56,JUEVES!M56,JUEVES!P56,JUEVES!S56),""))</f>
        <v/>
      </c>
      <c r="H114" s="48" t="str">
        <f>IF(P114="","",IFERROR(CHOOSE(VALUE(RIGHT(P114,1)),JUEVES!H56,JUEVES!K56,JUEVES!N56,JUEVES!Q56,JUEVES!T56),""))</f>
        <v/>
      </c>
      <c r="I114" s="49" t="str">
        <f t="shared" si="2"/>
        <v/>
      </c>
      <c r="J114" s="50" t="str">
        <f>IF(P114="","",IFERROR(ROUND(CHOOSE(VALUE(RIGHT(P114,1)),IF(JUEVES!C56="peso_corporal",IF(ISNUMBER(JUEVES!E56),JUEVES!E56,0)+JUEVES!F56,JUEVES!F56)*JUEVES!G56,IF(JUEVES!C56="peso_corporal",IF(ISNUMBER(JUEVES!E56),JUEVES!E56,0)+JUEVES!I56,JUEVES!I56)*JUEVES!J56,IF(JUEVES!C56="peso_corporal",IF(ISNUMBER(JUEVES!E56),JUEVES!E56,0)+JUEVES!L56,JUEVES!L56)*JUEVES!M56,IF(JUEVES!C56="peso_corporal",IF(ISNUMBER(JUEVES!E56),JUEVES!E56,0)+JUEVES!O56,JUEVES!O56)*JUEVES!P56,IF(JUEVES!C56="peso_corporal",IF(ISNUMBER(JUEVES!E56),JUEVES!E56,0)+JUEVES!R56,JUEVES!R56)*JUEVES!S56),1),""))</f>
        <v/>
      </c>
      <c r="K114" s="51" t="str">
        <f>IF(P114="","",IFERROR(ROUND(CHOOSE(VALUE(RIGHT(P114,1)),(IF(JUEVES!C56="peso_corporal",IF(ISNUMBER(JUEVES!E56),JUEVES!E56,0)+JUEVES!F56,JUEVES!F56))*(1+JUEVES!G56/30),(IF(JUEVES!C56="peso_corporal",IF(ISNUMBER(JUEVES!E56),JUEVES!E56,0)+JUEVES!I56,JUEVES!I56))*(1+JUEVES!J56/30),(IF(JUEVES!C56="peso_corporal",IF(ISNUMBER(JUEVES!E56),JUEVES!E56,0)+JUEVES!L56,JUEVES!L56))*(1+JUEVES!M56/30),(IF(JUEVES!C56="peso_corporal",IF(ISNUMBER(JUEVES!E56),JUEVES!E56,0)+JUEVES!O56,JUEVES!O56))*(1+JUEVES!P56/30),(IF(JUEVES!C56="peso_corporal",IF(ISNUMBER(JUEVES!E56),JUEVES!E56,0)+JUEVES!R56,JUEVES!R56))*(1+JUEVES!S56/30)),1),""))</f>
        <v/>
      </c>
      <c r="L114" s="52">
        <f>IFERROR(JUEVES!E56,"")</f>
        <v>80</v>
      </c>
      <c r="M114" s="53" t="str">
        <f>IFERROR(IF(K114="","-",IF(ISNUMBER(LOOKUP(2,1/((HISTORIAL!$O$3:$O$113=O114)*(HISTORIAL!$F$3:$F$113&lt;&gt;"")),HISTORIAL!$K$3:$K$113)),IF(K114&gt;LOOKUP(2,1/((HISTORIAL!$O$3:$O$113=O114)*(HISTORIAL!$F$3:$F$113&lt;&gt;"")),HISTORIAL!$K$3:$K$113),"^",IF(K114&lt;LOOKUP(2,1/((HISTORIAL!$O$3:$O$113=O114)*(HISTORIAL!$F$3:$F$113&lt;&gt;"")),HISTORIAL!$K$3:$K$113),"v","-")),"-")),"-")</f>
        <v>-</v>
      </c>
      <c r="N114" s="54" t="str">
        <f>IFERROR(VLOOKUP(A114,CONFIG!$A$10:$B$21,2,0),"")</f>
        <v>HIP</v>
      </c>
      <c r="O114" s="55" t="str">
        <f t="shared" si="3"/>
        <v>Curl Biceps|Concentrado Maquina</v>
      </c>
      <c r="P114" s="69" t="str">
        <f>JUEVES!AC56</f>
        <v/>
      </c>
    </row>
    <row r="115" spans="1:16" ht="14.1" customHeight="1">
      <c r="A115" s="37">
        <v>2</v>
      </c>
      <c r="B115" s="37" t="s">
        <v>280</v>
      </c>
      <c r="C115" s="44" t="str">
        <f>JUEVES!$A$58</f>
        <v>Crunch</v>
      </c>
      <c r="D115" s="45" t="str">
        <f>JUEVES!$B$58</f>
        <v>Polea</v>
      </c>
      <c r="E115" s="37" t="str">
        <f>JUEVES!$C$58</f>
        <v>polea</v>
      </c>
      <c r="F115" s="46" t="str">
        <f>IF(P115="","",IFERROR(CHOOSE(VALUE(RIGHT(P115,1)),JUEVES!F58,JUEVES!I58,JUEVES!L58,JUEVES!O58,JUEVES!R58),""))</f>
        <v/>
      </c>
      <c r="G115" s="47" t="str">
        <f>IF(P115="","",IFERROR(CHOOSE(VALUE(RIGHT(P115,1)),JUEVES!G58,JUEVES!J58,JUEVES!M58,JUEVES!P58,JUEVES!S58),""))</f>
        <v/>
      </c>
      <c r="H115" s="48" t="str">
        <f>IF(P115="","",IFERROR(CHOOSE(VALUE(RIGHT(P115,1)),JUEVES!H58,JUEVES!K58,JUEVES!N58,JUEVES!Q58,JUEVES!T58),""))</f>
        <v/>
      </c>
      <c r="I115" s="49" t="str">
        <f t="shared" si="2"/>
        <v/>
      </c>
      <c r="J115" s="50" t="str">
        <f>IF(P115="","",IFERROR(ROUND(CHOOSE(VALUE(RIGHT(P115,1)),IF(JUEVES!C58="peso_corporal",IF(ISNUMBER(JUEVES!E58),JUEVES!E58,0)+JUEVES!F58,JUEVES!F58)*JUEVES!G58,IF(JUEVES!C58="peso_corporal",IF(ISNUMBER(JUEVES!E58),JUEVES!E58,0)+JUEVES!I58,JUEVES!I58)*JUEVES!J58,IF(JUEVES!C58="peso_corporal",IF(ISNUMBER(JUEVES!E58),JUEVES!E58,0)+JUEVES!L58,JUEVES!L58)*JUEVES!M58,IF(JUEVES!C58="peso_corporal",IF(ISNUMBER(JUEVES!E58),JUEVES!E58,0)+JUEVES!O58,JUEVES!O58)*JUEVES!P58,IF(JUEVES!C58="peso_corporal",IF(ISNUMBER(JUEVES!E58),JUEVES!E58,0)+JUEVES!R58,JUEVES!R58)*JUEVES!S58),1),""))</f>
        <v/>
      </c>
      <c r="K115" s="51" t="str">
        <f>IF(P115="","",IFERROR(ROUND(CHOOSE(VALUE(RIGHT(P115,1)),(IF(JUEVES!C58="peso_corporal",IF(ISNUMBER(JUEVES!E58),JUEVES!E58,0)+JUEVES!F58,JUEVES!F58))*(1+JUEVES!G58/30),(IF(JUEVES!C58="peso_corporal",IF(ISNUMBER(JUEVES!E58),JUEVES!E58,0)+JUEVES!I58,JUEVES!I58))*(1+JUEVES!J58/30),(IF(JUEVES!C58="peso_corporal",IF(ISNUMBER(JUEVES!E58),JUEVES!E58,0)+JUEVES!L58,JUEVES!L58))*(1+JUEVES!M58/30),(IF(JUEVES!C58="peso_corporal",IF(ISNUMBER(JUEVES!E58),JUEVES!E58,0)+JUEVES!O58,JUEVES!O58))*(1+JUEVES!P58/30),(IF(JUEVES!C58="peso_corporal",IF(ISNUMBER(JUEVES!E58),JUEVES!E58,0)+JUEVES!R58,JUEVES!R58))*(1+JUEVES!S58/30)),1),""))</f>
        <v/>
      </c>
      <c r="L115" s="52">
        <f>IFERROR(JUEVES!E58,"")</f>
        <v>80</v>
      </c>
      <c r="M115" s="53" t="str">
        <f>IFERROR(IF(K115="","-",IF(ISNUMBER(LOOKUP(2,1/((HISTORIAL!$O$3:$O$114=O115)*(HISTORIAL!$F$3:$F$114&lt;&gt;"")),HISTORIAL!$K$3:$K$114)),IF(K115&gt;LOOKUP(2,1/((HISTORIAL!$O$3:$O$114=O115)*(HISTORIAL!$F$3:$F$114&lt;&gt;"")),HISTORIAL!$K$3:$K$114),"^",IF(K115&lt;LOOKUP(2,1/((HISTORIAL!$O$3:$O$114=O115)*(HISTORIAL!$F$3:$F$114&lt;&gt;"")),HISTORIAL!$K$3:$K$114),"v","-")),"-")),"-")</f>
        <v>-</v>
      </c>
      <c r="N115" s="54" t="str">
        <f>IFERROR(VLOOKUP(A115,CONFIG!$A$10:$B$21,2,0),"")</f>
        <v>HIP</v>
      </c>
      <c r="O115" s="55" t="str">
        <f t="shared" si="3"/>
        <v>Crunch|Polea</v>
      </c>
      <c r="P115" s="69" t="str">
        <f>JUEVES!AC58</f>
        <v/>
      </c>
    </row>
    <row r="116" spans="1:16" ht="14.1" customHeight="1">
      <c r="A116" s="37">
        <v>2</v>
      </c>
      <c r="B116" s="37" t="s">
        <v>281</v>
      </c>
      <c r="C116" s="44" t="str">
        <f>SABADO!$A$37</f>
        <v>Pulldown</v>
      </c>
      <c r="D116" s="45" t="str">
        <f>SABADO!$B$37</f>
        <v>Polea Alta Brazos Rectos Prono</v>
      </c>
      <c r="E116" s="37" t="str">
        <f>SABADO!$C$37</f>
        <v>polea</v>
      </c>
      <c r="F116" s="46" t="str">
        <f>IF(P116="","",IFERROR(CHOOSE(VALUE(RIGHT(P116,1)),SABADO!F37,SABADO!I37,SABADO!L37,SABADO!O37,SABADO!R37),""))</f>
        <v/>
      </c>
      <c r="G116" s="47" t="str">
        <f>IF(P116="","",IFERROR(CHOOSE(VALUE(RIGHT(P116,1)),SABADO!G37,SABADO!J37,SABADO!M37,SABADO!P37,SABADO!S37),""))</f>
        <v/>
      </c>
      <c r="H116" s="48" t="str">
        <f>IF(P116="","",IFERROR(CHOOSE(VALUE(RIGHT(P116,1)),SABADO!H37,SABADO!K37,SABADO!N37,SABADO!Q37,SABADO!T37),""))</f>
        <v/>
      </c>
      <c r="I116" s="49" t="str">
        <f t="shared" si="2"/>
        <v/>
      </c>
      <c r="J116" s="50" t="str">
        <f>IF(P116="","",IFERROR(ROUND(CHOOSE(VALUE(RIGHT(P116,1)),IF(SABADO!C37="peso_corporal",IF(ISNUMBER(SABADO!E37),SABADO!E37,0)+SABADO!F37,SABADO!F37)*SABADO!G37,IF(SABADO!C37="peso_corporal",IF(ISNUMBER(SABADO!E37),SABADO!E37,0)+SABADO!I37,SABADO!I37)*SABADO!J37,IF(SABADO!C37="peso_corporal",IF(ISNUMBER(SABADO!E37),SABADO!E37,0)+SABADO!L37,SABADO!L37)*SABADO!M37,IF(SABADO!C37="peso_corporal",IF(ISNUMBER(SABADO!E37),SABADO!E37,0)+SABADO!O37,SABADO!O37)*SABADO!P37,IF(SABADO!C37="peso_corporal",IF(ISNUMBER(SABADO!E37),SABADO!E37,0)+SABADO!R37,SABADO!R37)*SABADO!S37),1),""))</f>
        <v/>
      </c>
      <c r="K116" s="51" t="str">
        <f>IF(P116="","",IFERROR(ROUND(CHOOSE(VALUE(RIGHT(P116,1)),(IF(SABADO!C37="peso_corporal",IF(ISNUMBER(SABADO!E37),SABADO!E37,0)+SABADO!F37,SABADO!F37))*(1+SABADO!G37/30),(IF(SABADO!C37="peso_corporal",IF(ISNUMBER(SABADO!E37),SABADO!E37,0)+SABADO!I37,SABADO!I37))*(1+SABADO!J37/30),(IF(SABADO!C37="peso_corporal",IF(ISNUMBER(SABADO!E37),SABADO!E37,0)+SABADO!L37,SABADO!L37))*(1+SABADO!M37/30),(IF(SABADO!C37="peso_corporal",IF(ISNUMBER(SABADO!E37),SABADO!E37,0)+SABADO!O37,SABADO!O37))*(1+SABADO!P37/30),(IF(SABADO!C37="peso_corporal",IF(ISNUMBER(SABADO!E37),SABADO!E37,0)+SABADO!R37,SABADO!R37))*(1+SABADO!S37/30)),1),""))</f>
        <v/>
      </c>
      <c r="L116" s="52">
        <f>IFERROR(SABADO!E37,"")</f>
        <v>80</v>
      </c>
      <c r="M116" s="53" t="str">
        <f>IFERROR(IF(K116="","-",IF(ISNUMBER(LOOKUP(2,1/((HISTORIAL!$O$3:$O$115=O116)*(HISTORIAL!$F$3:$F$115&lt;&gt;"")),HISTORIAL!$K$3:$K$115)),IF(K116&gt;LOOKUP(2,1/((HISTORIAL!$O$3:$O$115=O116)*(HISTORIAL!$F$3:$F$115&lt;&gt;"")),HISTORIAL!$K$3:$K$115),"^",IF(K116&lt;LOOKUP(2,1/((HISTORIAL!$O$3:$O$115=O116)*(HISTORIAL!$F$3:$F$115&lt;&gt;"")),HISTORIAL!$K$3:$K$115),"v","-")),"-")),"-")</f>
        <v>-</v>
      </c>
      <c r="N116" s="54" t="str">
        <f>IFERROR(VLOOKUP(A116,CONFIG!$A$10:$B$21,2,0),"")</f>
        <v>HIP</v>
      </c>
      <c r="O116" s="55" t="str">
        <f t="shared" si="3"/>
        <v>Pulldown|Polea Alta Brazos Rectos Prono</v>
      </c>
      <c r="P116" s="69" t="str">
        <f>SABADO!AC37</f>
        <v/>
      </c>
    </row>
    <row r="117" spans="1:16" ht="14.1" customHeight="1">
      <c r="A117" s="37">
        <v>2</v>
      </c>
      <c r="B117" s="37" t="s">
        <v>281</v>
      </c>
      <c r="C117" s="44" t="str">
        <f>SABADO!$A$39</f>
        <v>Remo</v>
      </c>
      <c r="D117" s="45" t="str">
        <f>SABADO!$B$39</f>
        <v>Maquina Neutro Estrecho</v>
      </c>
      <c r="E117" s="37" t="str">
        <f>SABADO!$C$39</f>
        <v>polea</v>
      </c>
      <c r="F117" s="46" t="str">
        <f>IF(P117="","",IFERROR(CHOOSE(VALUE(RIGHT(P117,1)),SABADO!F39,SABADO!I39,SABADO!L39,SABADO!O39,SABADO!R39),""))</f>
        <v/>
      </c>
      <c r="G117" s="47" t="str">
        <f>IF(P117="","",IFERROR(CHOOSE(VALUE(RIGHT(P117,1)),SABADO!G39,SABADO!J39,SABADO!M39,SABADO!P39,SABADO!S39),""))</f>
        <v/>
      </c>
      <c r="H117" s="48" t="str">
        <f>IF(P117="","",IFERROR(CHOOSE(VALUE(RIGHT(P117,1)),SABADO!H39,SABADO!K39,SABADO!N39,SABADO!Q39,SABADO!T39),""))</f>
        <v/>
      </c>
      <c r="I117" s="49" t="str">
        <f t="shared" si="2"/>
        <v/>
      </c>
      <c r="J117" s="50" t="str">
        <f>IF(P117="","",IFERROR(ROUND(CHOOSE(VALUE(RIGHT(P117,1)),IF(SABADO!C39="peso_corporal",IF(ISNUMBER(SABADO!E39),SABADO!E39,0)+SABADO!F39,SABADO!F39)*SABADO!G39,IF(SABADO!C39="peso_corporal",IF(ISNUMBER(SABADO!E39),SABADO!E39,0)+SABADO!I39,SABADO!I39)*SABADO!J39,IF(SABADO!C39="peso_corporal",IF(ISNUMBER(SABADO!E39),SABADO!E39,0)+SABADO!L39,SABADO!L39)*SABADO!M39,IF(SABADO!C39="peso_corporal",IF(ISNUMBER(SABADO!E39),SABADO!E39,0)+SABADO!O39,SABADO!O39)*SABADO!P39,IF(SABADO!C39="peso_corporal",IF(ISNUMBER(SABADO!E39),SABADO!E39,0)+SABADO!R39,SABADO!R39)*SABADO!S39),1),""))</f>
        <v/>
      </c>
      <c r="K117" s="51" t="str">
        <f>IF(P117="","",IFERROR(ROUND(CHOOSE(VALUE(RIGHT(P117,1)),(IF(SABADO!C39="peso_corporal",IF(ISNUMBER(SABADO!E39),SABADO!E39,0)+SABADO!F39,SABADO!F39))*(1+SABADO!G39/30),(IF(SABADO!C39="peso_corporal",IF(ISNUMBER(SABADO!E39),SABADO!E39,0)+SABADO!I39,SABADO!I39))*(1+SABADO!J39/30),(IF(SABADO!C39="peso_corporal",IF(ISNUMBER(SABADO!E39),SABADO!E39,0)+SABADO!L39,SABADO!L39))*(1+SABADO!M39/30),(IF(SABADO!C39="peso_corporal",IF(ISNUMBER(SABADO!E39),SABADO!E39,0)+SABADO!O39,SABADO!O39))*(1+SABADO!P39/30),(IF(SABADO!C39="peso_corporal",IF(ISNUMBER(SABADO!E39),SABADO!E39,0)+SABADO!R39,SABADO!R39))*(1+SABADO!S39/30)),1),""))</f>
        <v/>
      </c>
      <c r="L117" s="52">
        <f>IFERROR(SABADO!E39,"")</f>
        <v>80</v>
      </c>
      <c r="M117" s="53" t="str">
        <f>IFERROR(IF(K117="","-",IF(ISNUMBER(LOOKUP(2,1/((HISTORIAL!$O$3:$O$116=O117)*(HISTORIAL!$F$3:$F$116&lt;&gt;"")),HISTORIAL!$K$3:$K$116)),IF(K117&gt;LOOKUP(2,1/((HISTORIAL!$O$3:$O$116=O117)*(HISTORIAL!$F$3:$F$116&lt;&gt;"")),HISTORIAL!$K$3:$K$116),"^",IF(K117&lt;LOOKUP(2,1/((HISTORIAL!$O$3:$O$116=O117)*(HISTORIAL!$F$3:$F$116&lt;&gt;"")),HISTORIAL!$K$3:$K$116),"v","-")),"-")),"-")</f>
        <v>-</v>
      </c>
      <c r="N117" s="54" t="str">
        <f>IFERROR(VLOOKUP(A117,CONFIG!$A$10:$B$21,2,0),"")</f>
        <v>HIP</v>
      </c>
      <c r="O117" s="55" t="str">
        <f t="shared" si="3"/>
        <v>Remo|Maquina Neutro Estrecho</v>
      </c>
      <c r="P117" s="69" t="str">
        <f>SABADO!AC39</f>
        <v/>
      </c>
    </row>
    <row r="118" spans="1:16" ht="14.1" customHeight="1">
      <c r="A118" s="37">
        <v>2</v>
      </c>
      <c r="B118" s="37" t="s">
        <v>281</v>
      </c>
      <c r="C118" s="44" t="str">
        <f>SABADO!$A$40</f>
        <v>Remo</v>
      </c>
      <c r="D118" s="45" t="str">
        <f>SABADO!$B$40</f>
        <v>Maquina Neutro Ancho</v>
      </c>
      <c r="E118" s="37" t="str">
        <f>SABADO!$C$40</f>
        <v>polea</v>
      </c>
      <c r="F118" s="46" t="str">
        <f>IF(P118="","",IFERROR(CHOOSE(VALUE(RIGHT(P118,1)),SABADO!F40,SABADO!I40,SABADO!L40,SABADO!O40,SABADO!R40),""))</f>
        <v/>
      </c>
      <c r="G118" s="47" t="str">
        <f>IF(P118="","",IFERROR(CHOOSE(VALUE(RIGHT(P118,1)),SABADO!G40,SABADO!J40,SABADO!M40,SABADO!P40,SABADO!S40),""))</f>
        <v/>
      </c>
      <c r="H118" s="48" t="str">
        <f>IF(P118="","",IFERROR(CHOOSE(VALUE(RIGHT(P118,1)),SABADO!H40,SABADO!K40,SABADO!N40,SABADO!Q40,SABADO!T40),""))</f>
        <v/>
      </c>
      <c r="I118" s="49" t="str">
        <f t="shared" si="2"/>
        <v/>
      </c>
      <c r="J118" s="50" t="str">
        <f>IF(P118="","",IFERROR(ROUND(CHOOSE(VALUE(RIGHT(P118,1)),IF(SABADO!C40="peso_corporal",IF(ISNUMBER(SABADO!E40),SABADO!E40,0)+SABADO!F40,SABADO!F40)*SABADO!G40,IF(SABADO!C40="peso_corporal",IF(ISNUMBER(SABADO!E40),SABADO!E40,0)+SABADO!I40,SABADO!I40)*SABADO!J40,IF(SABADO!C40="peso_corporal",IF(ISNUMBER(SABADO!E40),SABADO!E40,0)+SABADO!L40,SABADO!L40)*SABADO!M40,IF(SABADO!C40="peso_corporal",IF(ISNUMBER(SABADO!E40),SABADO!E40,0)+SABADO!O40,SABADO!O40)*SABADO!P40,IF(SABADO!C40="peso_corporal",IF(ISNUMBER(SABADO!E40),SABADO!E40,0)+SABADO!R40,SABADO!R40)*SABADO!S40),1),""))</f>
        <v/>
      </c>
      <c r="K118" s="51" t="str">
        <f>IF(P118="","",IFERROR(ROUND(CHOOSE(VALUE(RIGHT(P118,1)),(IF(SABADO!C40="peso_corporal",IF(ISNUMBER(SABADO!E40),SABADO!E40,0)+SABADO!F40,SABADO!F40))*(1+SABADO!G40/30),(IF(SABADO!C40="peso_corporal",IF(ISNUMBER(SABADO!E40),SABADO!E40,0)+SABADO!I40,SABADO!I40))*(1+SABADO!J40/30),(IF(SABADO!C40="peso_corporal",IF(ISNUMBER(SABADO!E40),SABADO!E40,0)+SABADO!L40,SABADO!L40))*(1+SABADO!M40/30),(IF(SABADO!C40="peso_corporal",IF(ISNUMBER(SABADO!E40),SABADO!E40,0)+SABADO!O40,SABADO!O40))*(1+SABADO!P40/30),(IF(SABADO!C40="peso_corporal",IF(ISNUMBER(SABADO!E40),SABADO!E40,0)+SABADO!R40,SABADO!R40))*(1+SABADO!S40/30)),1),""))</f>
        <v/>
      </c>
      <c r="L118" s="52">
        <f>IFERROR(SABADO!E40,"")</f>
        <v>80</v>
      </c>
      <c r="M118" s="53" t="str">
        <f>IFERROR(IF(K118="","-",IF(ISNUMBER(LOOKUP(2,1/((HISTORIAL!$O$3:$O$117=O118)*(HISTORIAL!$F$3:$F$117&lt;&gt;"")),HISTORIAL!$K$3:$K$117)),IF(K118&gt;LOOKUP(2,1/((HISTORIAL!$O$3:$O$117=O118)*(HISTORIAL!$F$3:$F$117&lt;&gt;"")),HISTORIAL!$K$3:$K$117),"^",IF(K118&lt;LOOKUP(2,1/((HISTORIAL!$O$3:$O$117=O118)*(HISTORIAL!$F$3:$F$117&lt;&gt;"")),HISTORIAL!$K$3:$K$117),"v","-")),"-")),"-")</f>
        <v>-</v>
      </c>
      <c r="N118" s="54" t="str">
        <f>IFERROR(VLOOKUP(A118,CONFIG!$A$10:$B$21,2,0),"")</f>
        <v>HIP</v>
      </c>
      <c r="O118" s="55" t="str">
        <f t="shared" si="3"/>
        <v>Remo|Maquina Neutro Ancho</v>
      </c>
      <c r="P118" s="69" t="str">
        <f>SABADO!AC40</f>
        <v/>
      </c>
    </row>
    <row r="119" spans="1:16" ht="14.1" customHeight="1">
      <c r="A119" s="37">
        <v>2</v>
      </c>
      <c r="B119" s="37" t="s">
        <v>281</v>
      </c>
      <c r="C119" s="44" t="str">
        <f>SABADO!$A$41</f>
        <v>Peck Deck Invertida</v>
      </c>
      <c r="D119" s="45" t="str">
        <f>SABADO!$B$41</f>
        <v>Maquina</v>
      </c>
      <c r="E119" s="37" t="str">
        <f>SABADO!$C$41</f>
        <v>polea</v>
      </c>
      <c r="F119" s="46" t="str">
        <f>IF(P119="","",IFERROR(CHOOSE(VALUE(RIGHT(P119,1)),SABADO!F41,SABADO!I41,SABADO!L41,SABADO!O41,SABADO!R41),""))</f>
        <v/>
      </c>
      <c r="G119" s="47" t="str">
        <f>IF(P119="","",IFERROR(CHOOSE(VALUE(RIGHT(P119,1)),SABADO!G41,SABADO!J41,SABADO!M41,SABADO!P41,SABADO!S41),""))</f>
        <v/>
      </c>
      <c r="H119" s="48" t="str">
        <f>IF(P119="","",IFERROR(CHOOSE(VALUE(RIGHT(P119,1)),SABADO!H41,SABADO!K41,SABADO!N41,SABADO!Q41,SABADO!T41),""))</f>
        <v/>
      </c>
      <c r="I119" s="49" t="str">
        <f t="shared" si="2"/>
        <v/>
      </c>
      <c r="J119" s="50" t="str">
        <f>IF(P119="","",IFERROR(ROUND(CHOOSE(VALUE(RIGHT(P119,1)),IF(SABADO!C41="peso_corporal",IF(ISNUMBER(SABADO!E41),SABADO!E41,0)+SABADO!F41,SABADO!F41)*SABADO!G41,IF(SABADO!C41="peso_corporal",IF(ISNUMBER(SABADO!E41),SABADO!E41,0)+SABADO!I41,SABADO!I41)*SABADO!J41,IF(SABADO!C41="peso_corporal",IF(ISNUMBER(SABADO!E41),SABADO!E41,0)+SABADO!L41,SABADO!L41)*SABADO!M41,IF(SABADO!C41="peso_corporal",IF(ISNUMBER(SABADO!E41),SABADO!E41,0)+SABADO!O41,SABADO!O41)*SABADO!P41,IF(SABADO!C41="peso_corporal",IF(ISNUMBER(SABADO!E41),SABADO!E41,0)+SABADO!R41,SABADO!R41)*SABADO!S41),1),""))</f>
        <v/>
      </c>
      <c r="K119" s="51" t="str">
        <f>IF(P119="","",IFERROR(ROUND(CHOOSE(VALUE(RIGHT(P119,1)),(IF(SABADO!C41="peso_corporal",IF(ISNUMBER(SABADO!E41),SABADO!E41,0)+SABADO!F41,SABADO!F41))*(1+SABADO!G41/30),(IF(SABADO!C41="peso_corporal",IF(ISNUMBER(SABADO!E41),SABADO!E41,0)+SABADO!I41,SABADO!I41))*(1+SABADO!J41/30),(IF(SABADO!C41="peso_corporal",IF(ISNUMBER(SABADO!E41),SABADO!E41,0)+SABADO!L41,SABADO!L41))*(1+SABADO!M41/30),(IF(SABADO!C41="peso_corporal",IF(ISNUMBER(SABADO!E41),SABADO!E41,0)+SABADO!O41,SABADO!O41))*(1+SABADO!P41/30),(IF(SABADO!C41="peso_corporal",IF(ISNUMBER(SABADO!E41),SABADO!E41,0)+SABADO!R41,SABADO!R41))*(1+SABADO!S41/30)),1),""))</f>
        <v/>
      </c>
      <c r="L119" s="52">
        <f>IFERROR(SABADO!E41,"")</f>
        <v>80</v>
      </c>
      <c r="M119" s="53" t="str">
        <f>IFERROR(IF(K119="","-",IF(ISNUMBER(LOOKUP(2,1/((HISTORIAL!$O$3:$O$118=O119)*(HISTORIAL!$F$3:$F$118&lt;&gt;"")),HISTORIAL!$K$3:$K$118)),IF(K119&gt;LOOKUP(2,1/((HISTORIAL!$O$3:$O$118=O119)*(HISTORIAL!$F$3:$F$118&lt;&gt;"")),HISTORIAL!$K$3:$K$118),"^",IF(K119&lt;LOOKUP(2,1/((HISTORIAL!$O$3:$O$118=O119)*(HISTORIAL!$F$3:$F$118&lt;&gt;"")),HISTORIAL!$K$3:$K$118),"v","-")),"-")),"-")</f>
        <v>-</v>
      </c>
      <c r="N119" s="54" t="str">
        <f>IFERROR(VLOOKUP(A119,CONFIG!$A$10:$B$21,2,0),"")</f>
        <v>HIP</v>
      </c>
      <c r="O119" s="55" t="str">
        <f t="shared" si="3"/>
        <v>Peck Deck Invertida|Maquina</v>
      </c>
      <c r="P119" s="69" t="str">
        <f>SABADO!AC41</f>
        <v/>
      </c>
    </row>
    <row r="120" spans="1:16" ht="14.1" customHeight="1">
      <c r="A120" s="37">
        <v>2</v>
      </c>
      <c r="B120" s="37" t="s">
        <v>281</v>
      </c>
      <c r="C120" s="44" t="str">
        <f>SABADO!$A$43</f>
        <v>Curl Biceps</v>
      </c>
      <c r="D120" s="45" t="str">
        <f>SABADO!$B$43</f>
        <v>Concentrado Maquina</v>
      </c>
      <c r="E120" s="37" t="str">
        <f>SABADO!$C$43</f>
        <v>polea</v>
      </c>
      <c r="F120" s="46" t="str">
        <f>IF(P120="","",IFERROR(CHOOSE(VALUE(RIGHT(P120,1)),SABADO!F43,SABADO!I43,SABADO!L43,SABADO!O43,SABADO!R43),""))</f>
        <v/>
      </c>
      <c r="G120" s="47" t="str">
        <f>IF(P120="","",IFERROR(CHOOSE(VALUE(RIGHT(P120,1)),SABADO!G43,SABADO!J43,SABADO!M43,SABADO!P43,SABADO!S43),""))</f>
        <v/>
      </c>
      <c r="H120" s="48" t="str">
        <f>IF(P120="","",IFERROR(CHOOSE(VALUE(RIGHT(P120,1)),SABADO!H43,SABADO!K43,SABADO!N43,SABADO!Q43,SABADO!T43),""))</f>
        <v/>
      </c>
      <c r="I120" s="49" t="str">
        <f t="shared" si="2"/>
        <v/>
      </c>
      <c r="J120" s="50" t="str">
        <f>IF(P120="","",IFERROR(ROUND(CHOOSE(VALUE(RIGHT(P120,1)),IF(SABADO!C43="peso_corporal",IF(ISNUMBER(SABADO!E43),SABADO!E43,0)+SABADO!F43,SABADO!F43)*SABADO!G43,IF(SABADO!C43="peso_corporal",IF(ISNUMBER(SABADO!E43),SABADO!E43,0)+SABADO!I43,SABADO!I43)*SABADO!J43,IF(SABADO!C43="peso_corporal",IF(ISNUMBER(SABADO!E43),SABADO!E43,0)+SABADO!L43,SABADO!L43)*SABADO!M43,IF(SABADO!C43="peso_corporal",IF(ISNUMBER(SABADO!E43),SABADO!E43,0)+SABADO!O43,SABADO!O43)*SABADO!P43,IF(SABADO!C43="peso_corporal",IF(ISNUMBER(SABADO!E43),SABADO!E43,0)+SABADO!R43,SABADO!R43)*SABADO!S43),1),""))</f>
        <v/>
      </c>
      <c r="K120" s="51" t="str">
        <f>IF(P120="","",IFERROR(ROUND(CHOOSE(VALUE(RIGHT(P120,1)),(IF(SABADO!C43="peso_corporal",IF(ISNUMBER(SABADO!E43),SABADO!E43,0)+SABADO!F43,SABADO!F43))*(1+SABADO!G43/30),(IF(SABADO!C43="peso_corporal",IF(ISNUMBER(SABADO!E43),SABADO!E43,0)+SABADO!I43,SABADO!I43))*(1+SABADO!J43/30),(IF(SABADO!C43="peso_corporal",IF(ISNUMBER(SABADO!E43),SABADO!E43,0)+SABADO!L43,SABADO!L43))*(1+SABADO!M43/30),(IF(SABADO!C43="peso_corporal",IF(ISNUMBER(SABADO!E43),SABADO!E43,0)+SABADO!O43,SABADO!O43))*(1+SABADO!P43/30),(IF(SABADO!C43="peso_corporal",IF(ISNUMBER(SABADO!E43),SABADO!E43,0)+SABADO!R43,SABADO!R43))*(1+SABADO!S43/30)),1),""))</f>
        <v/>
      </c>
      <c r="L120" s="52">
        <f>IFERROR(SABADO!E43,"")</f>
        <v>80</v>
      </c>
      <c r="M120" s="53" t="str">
        <f>IFERROR(IF(K120="","-",IF(ISNUMBER(LOOKUP(2,1/((HISTORIAL!$O$3:$O$119=O120)*(HISTORIAL!$F$3:$F$119&lt;&gt;"")),HISTORIAL!$K$3:$K$119)),IF(K120&gt;LOOKUP(2,1/((HISTORIAL!$O$3:$O$119=O120)*(HISTORIAL!$F$3:$F$119&lt;&gt;"")),HISTORIAL!$K$3:$K$119),"^",IF(K120&lt;LOOKUP(2,1/((HISTORIAL!$O$3:$O$119=O120)*(HISTORIAL!$F$3:$F$119&lt;&gt;"")),HISTORIAL!$K$3:$K$119),"v","-")),"-")),"-")</f>
        <v>-</v>
      </c>
      <c r="N120" s="54" t="str">
        <f>IFERROR(VLOOKUP(A120,CONFIG!$A$10:$B$21,2,0),"")</f>
        <v>HIP</v>
      </c>
      <c r="O120" s="55" t="str">
        <f t="shared" si="3"/>
        <v>Curl Biceps|Concentrado Maquina</v>
      </c>
      <c r="P120" s="69" t="str">
        <f>SABADO!AC43</f>
        <v/>
      </c>
    </row>
    <row r="121" spans="1:16" ht="14.1" customHeight="1">
      <c r="A121" s="37">
        <v>2</v>
      </c>
      <c r="B121" s="37" t="s">
        <v>281</v>
      </c>
      <c r="C121" s="44" t="str">
        <f>SABADO!$A$44</f>
        <v>Curl Martillo</v>
      </c>
      <c r="D121" s="45" t="str">
        <f>SABADO!$B$44</f>
        <v>Polea Individual</v>
      </c>
      <c r="E121" s="37" t="str">
        <f>SABADO!$C$44</f>
        <v>polea</v>
      </c>
      <c r="F121" s="46" t="str">
        <f>IF(P121="","",IFERROR(CHOOSE(VALUE(RIGHT(P121,1)),SABADO!F44,SABADO!I44,SABADO!L44,SABADO!O44,SABADO!R44),""))</f>
        <v/>
      </c>
      <c r="G121" s="47" t="str">
        <f>IF(P121="","",IFERROR(CHOOSE(VALUE(RIGHT(P121,1)),SABADO!G44,SABADO!J44,SABADO!M44,SABADO!P44,SABADO!S44),""))</f>
        <v/>
      </c>
      <c r="H121" s="48" t="str">
        <f>IF(P121="","",IFERROR(CHOOSE(VALUE(RIGHT(P121,1)),SABADO!H44,SABADO!K44,SABADO!N44,SABADO!Q44,SABADO!T44),""))</f>
        <v/>
      </c>
      <c r="I121" s="49" t="str">
        <f t="shared" si="2"/>
        <v/>
      </c>
      <c r="J121" s="50" t="str">
        <f>IF(P121="","",IFERROR(ROUND(CHOOSE(VALUE(RIGHT(P121,1)),IF(SABADO!C44="peso_corporal",IF(ISNUMBER(SABADO!E44),SABADO!E44,0)+SABADO!F44,SABADO!F44)*SABADO!G44,IF(SABADO!C44="peso_corporal",IF(ISNUMBER(SABADO!E44),SABADO!E44,0)+SABADO!I44,SABADO!I44)*SABADO!J44,IF(SABADO!C44="peso_corporal",IF(ISNUMBER(SABADO!E44),SABADO!E44,0)+SABADO!L44,SABADO!L44)*SABADO!M44,IF(SABADO!C44="peso_corporal",IF(ISNUMBER(SABADO!E44),SABADO!E44,0)+SABADO!O44,SABADO!O44)*SABADO!P44,IF(SABADO!C44="peso_corporal",IF(ISNUMBER(SABADO!E44),SABADO!E44,0)+SABADO!R44,SABADO!R44)*SABADO!S44),1),""))</f>
        <v/>
      </c>
      <c r="K121" s="51" t="str">
        <f>IF(P121="","",IFERROR(ROUND(CHOOSE(VALUE(RIGHT(P121,1)),(IF(SABADO!C44="peso_corporal",IF(ISNUMBER(SABADO!E44),SABADO!E44,0)+SABADO!F44,SABADO!F44))*(1+SABADO!G44/30),(IF(SABADO!C44="peso_corporal",IF(ISNUMBER(SABADO!E44),SABADO!E44,0)+SABADO!I44,SABADO!I44))*(1+SABADO!J44/30),(IF(SABADO!C44="peso_corporal",IF(ISNUMBER(SABADO!E44),SABADO!E44,0)+SABADO!L44,SABADO!L44))*(1+SABADO!M44/30),(IF(SABADO!C44="peso_corporal",IF(ISNUMBER(SABADO!E44),SABADO!E44,0)+SABADO!O44,SABADO!O44))*(1+SABADO!P44/30),(IF(SABADO!C44="peso_corporal",IF(ISNUMBER(SABADO!E44),SABADO!E44,0)+SABADO!R44,SABADO!R44))*(1+SABADO!S44/30)),1),""))</f>
        <v/>
      </c>
      <c r="L121" s="52">
        <f>IFERROR(SABADO!E44,"")</f>
        <v>80</v>
      </c>
      <c r="M121" s="53" t="str">
        <f>IFERROR(IF(K121="","-",IF(ISNUMBER(LOOKUP(2,1/((HISTORIAL!$O$3:$O$120=O121)*(HISTORIAL!$F$3:$F$120&lt;&gt;"")),HISTORIAL!$K$3:$K$120)),IF(K121&gt;LOOKUP(2,1/((HISTORIAL!$O$3:$O$120=O121)*(HISTORIAL!$F$3:$F$120&lt;&gt;"")),HISTORIAL!$K$3:$K$120),"^",IF(K121&lt;LOOKUP(2,1/((HISTORIAL!$O$3:$O$120=O121)*(HISTORIAL!$F$3:$F$120&lt;&gt;"")),HISTORIAL!$K$3:$K$120),"v","-")),"-")),"-")</f>
        <v>-</v>
      </c>
      <c r="N121" s="54" t="str">
        <f>IFERROR(VLOOKUP(A121,CONFIG!$A$10:$B$21,2,0),"")</f>
        <v>HIP</v>
      </c>
      <c r="O121" s="55" t="str">
        <f t="shared" si="3"/>
        <v>Curl Martillo|Polea Individual</v>
      </c>
      <c r="P121" s="69" t="str">
        <f>SABADO!AC44</f>
        <v/>
      </c>
    </row>
    <row r="122" spans="1:16" ht="14.1" customHeight="1">
      <c r="A122" s="37">
        <v>2</v>
      </c>
      <c r="B122" s="37" t="s">
        <v>281</v>
      </c>
      <c r="C122" s="44" t="str">
        <f>SABADO!$A$46</f>
        <v>Curl Muneca</v>
      </c>
      <c r="D122" s="45" t="str">
        <f>SABADO!$B$46</f>
        <v>Supinado</v>
      </c>
      <c r="E122" s="37" t="str">
        <f>SABADO!$C$46</f>
        <v>mancuerna</v>
      </c>
      <c r="F122" s="46" t="str">
        <f>IF(P122="","",IFERROR(CHOOSE(VALUE(RIGHT(P122,1)),SABADO!F46,SABADO!I46,SABADO!L46,SABADO!O46,SABADO!R46),""))</f>
        <v/>
      </c>
      <c r="G122" s="47" t="str">
        <f>IF(P122="","",IFERROR(CHOOSE(VALUE(RIGHT(P122,1)),SABADO!G46,SABADO!J46,SABADO!M46,SABADO!P46,SABADO!S46),""))</f>
        <v/>
      </c>
      <c r="H122" s="48" t="str">
        <f>IF(P122="","",IFERROR(CHOOSE(VALUE(RIGHT(P122,1)),SABADO!H46,SABADO!K46,SABADO!N46,SABADO!Q46,SABADO!T46),""))</f>
        <v/>
      </c>
      <c r="I122" s="49" t="str">
        <f t="shared" si="2"/>
        <v/>
      </c>
      <c r="J122" s="50" t="str">
        <f>IF(P122="","",IFERROR(ROUND(CHOOSE(VALUE(RIGHT(P122,1)),IF(SABADO!C46="peso_corporal",IF(ISNUMBER(SABADO!E46),SABADO!E46,0)+SABADO!F46,SABADO!F46)*SABADO!G46,IF(SABADO!C46="peso_corporal",IF(ISNUMBER(SABADO!E46),SABADO!E46,0)+SABADO!I46,SABADO!I46)*SABADO!J46,IF(SABADO!C46="peso_corporal",IF(ISNUMBER(SABADO!E46),SABADO!E46,0)+SABADO!L46,SABADO!L46)*SABADO!M46,IF(SABADO!C46="peso_corporal",IF(ISNUMBER(SABADO!E46),SABADO!E46,0)+SABADO!O46,SABADO!O46)*SABADO!P46,IF(SABADO!C46="peso_corporal",IF(ISNUMBER(SABADO!E46),SABADO!E46,0)+SABADO!R46,SABADO!R46)*SABADO!S46),1),""))</f>
        <v/>
      </c>
      <c r="K122" s="51" t="str">
        <f>IF(P122="","",IFERROR(ROUND(CHOOSE(VALUE(RIGHT(P122,1)),(IF(SABADO!C46="peso_corporal",IF(ISNUMBER(SABADO!E46),SABADO!E46,0)+SABADO!F46,SABADO!F46))*(1+SABADO!G46/30),(IF(SABADO!C46="peso_corporal",IF(ISNUMBER(SABADO!E46),SABADO!E46,0)+SABADO!I46,SABADO!I46))*(1+SABADO!J46/30),(IF(SABADO!C46="peso_corporal",IF(ISNUMBER(SABADO!E46),SABADO!E46,0)+SABADO!L46,SABADO!L46))*(1+SABADO!M46/30),(IF(SABADO!C46="peso_corporal",IF(ISNUMBER(SABADO!E46),SABADO!E46,0)+SABADO!O46,SABADO!O46))*(1+SABADO!P46/30),(IF(SABADO!C46="peso_corporal",IF(ISNUMBER(SABADO!E46),SABADO!E46,0)+SABADO!R46,SABADO!R46))*(1+SABADO!S46/30)),1),""))</f>
        <v/>
      </c>
      <c r="L122" s="52">
        <f>IFERROR(SABADO!E46,"")</f>
        <v>80</v>
      </c>
      <c r="M122" s="53" t="str">
        <f>IFERROR(IF(K122="","-",IF(ISNUMBER(LOOKUP(2,1/((HISTORIAL!$O$3:$O$121=O122)*(HISTORIAL!$F$3:$F$121&lt;&gt;"")),HISTORIAL!$K$3:$K$121)),IF(K122&gt;LOOKUP(2,1/((HISTORIAL!$O$3:$O$121=O122)*(HISTORIAL!$F$3:$F$121&lt;&gt;"")),HISTORIAL!$K$3:$K$121),"^",IF(K122&lt;LOOKUP(2,1/((HISTORIAL!$O$3:$O$121=O122)*(HISTORIAL!$F$3:$F$121&lt;&gt;"")),HISTORIAL!$K$3:$K$121),"v","-")),"-")),"-")</f>
        <v>-</v>
      </c>
      <c r="N122" s="54" t="str">
        <f>IFERROR(VLOOKUP(A122,CONFIG!$A$10:$B$21,2,0),"")</f>
        <v>HIP</v>
      </c>
      <c r="O122" s="55" t="str">
        <f t="shared" si="3"/>
        <v>Curl Muneca|Supinado</v>
      </c>
      <c r="P122" s="69" t="str">
        <f>SABADO!AC46</f>
        <v/>
      </c>
    </row>
    <row r="123" spans="1:16" ht="14.1" customHeight="1">
      <c r="A123" s="37">
        <v>2</v>
      </c>
      <c r="B123" s="37" t="s">
        <v>281</v>
      </c>
      <c r="C123" s="44" t="str">
        <f>SABADO!$A$47</f>
        <v>Curl Muneca</v>
      </c>
      <c r="D123" s="45" t="str">
        <f>SABADO!$B$47</f>
        <v>Pronado</v>
      </c>
      <c r="E123" s="37" t="str">
        <f>SABADO!$C$47</f>
        <v>mancuerna</v>
      </c>
      <c r="F123" s="46" t="str">
        <f>IF(P123="","",IFERROR(CHOOSE(VALUE(RIGHT(P123,1)),SABADO!F47,SABADO!I47,SABADO!L47,SABADO!O47,SABADO!R47),""))</f>
        <v/>
      </c>
      <c r="G123" s="47" t="str">
        <f>IF(P123="","",IFERROR(CHOOSE(VALUE(RIGHT(P123,1)),SABADO!G47,SABADO!J47,SABADO!M47,SABADO!P47,SABADO!S47),""))</f>
        <v/>
      </c>
      <c r="H123" s="48" t="str">
        <f>IF(P123="","",IFERROR(CHOOSE(VALUE(RIGHT(P123,1)),SABADO!H47,SABADO!K47,SABADO!N47,SABADO!Q47,SABADO!T47),""))</f>
        <v/>
      </c>
      <c r="I123" s="49" t="str">
        <f t="shared" si="2"/>
        <v/>
      </c>
      <c r="J123" s="50" t="str">
        <f>IF(P123="","",IFERROR(ROUND(CHOOSE(VALUE(RIGHT(P123,1)),IF(SABADO!C47="peso_corporal",IF(ISNUMBER(SABADO!E47),SABADO!E47,0)+SABADO!F47,SABADO!F47)*SABADO!G47,IF(SABADO!C47="peso_corporal",IF(ISNUMBER(SABADO!E47),SABADO!E47,0)+SABADO!I47,SABADO!I47)*SABADO!J47,IF(SABADO!C47="peso_corporal",IF(ISNUMBER(SABADO!E47),SABADO!E47,0)+SABADO!L47,SABADO!L47)*SABADO!M47,IF(SABADO!C47="peso_corporal",IF(ISNUMBER(SABADO!E47),SABADO!E47,0)+SABADO!O47,SABADO!O47)*SABADO!P47,IF(SABADO!C47="peso_corporal",IF(ISNUMBER(SABADO!E47),SABADO!E47,0)+SABADO!R47,SABADO!R47)*SABADO!S47),1),""))</f>
        <v/>
      </c>
      <c r="K123" s="51" t="str">
        <f>IF(P123="","",IFERROR(ROUND(CHOOSE(VALUE(RIGHT(P123,1)),(IF(SABADO!C47="peso_corporal",IF(ISNUMBER(SABADO!E47),SABADO!E47,0)+SABADO!F47,SABADO!F47))*(1+SABADO!G47/30),(IF(SABADO!C47="peso_corporal",IF(ISNUMBER(SABADO!E47),SABADO!E47,0)+SABADO!I47,SABADO!I47))*(1+SABADO!J47/30),(IF(SABADO!C47="peso_corporal",IF(ISNUMBER(SABADO!E47),SABADO!E47,0)+SABADO!L47,SABADO!L47))*(1+SABADO!M47/30),(IF(SABADO!C47="peso_corporal",IF(ISNUMBER(SABADO!E47),SABADO!E47,0)+SABADO!O47,SABADO!O47))*(1+SABADO!P47/30),(IF(SABADO!C47="peso_corporal",IF(ISNUMBER(SABADO!E47),SABADO!E47,0)+SABADO!R47,SABADO!R47))*(1+SABADO!S47/30)),1),""))</f>
        <v/>
      </c>
      <c r="L123" s="52">
        <f>IFERROR(SABADO!E47,"")</f>
        <v>80</v>
      </c>
      <c r="M123" s="53" t="str">
        <f>IFERROR(IF(K123="","-",IF(ISNUMBER(LOOKUP(2,1/((HISTORIAL!$O$3:$O$122=O123)*(HISTORIAL!$F$3:$F$122&lt;&gt;"")),HISTORIAL!$K$3:$K$122)),IF(K123&gt;LOOKUP(2,1/((HISTORIAL!$O$3:$O$122=O123)*(HISTORIAL!$F$3:$F$122&lt;&gt;"")),HISTORIAL!$K$3:$K$122),"^",IF(K123&lt;LOOKUP(2,1/((HISTORIAL!$O$3:$O$122=O123)*(HISTORIAL!$F$3:$F$122&lt;&gt;"")),HISTORIAL!$K$3:$K$122),"v","-")),"-")),"-")</f>
        <v>-</v>
      </c>
      <c r="N123" s="54" t="str">
        <f>IFERROR(VLOOKUP(A123,CONFIG!$A$10:$B$21,2,0),"")</f>
        <v>HIP</v>
      </c>
      <c r="O123" s="55" t="str">
        <f t="shared" si="3"/>
        <v>Curl Muneca|Pronado</v>
      </c>
      <c r="P123" s="69" t="str">
        <f>SABADO!AC47</f>
        <v/>
      </c>
    </row>
    <row r="124" spans="1:16" ht="14.1" customHeight="1">
      <c r="A124" s="37">
        <v>2</v>
      </c>
      <c r="B124" s="37" t="s">
        <v>281</v>
      </c>
      <c r="C124" s="44" t="str">
        <f>SABADO!$A$49</f>
        <v>Elevaciones Laterales</v>
      </c>
      <c r="D124" s="45" t="str">
        <f>SABADO!$B$49</f>
        <v>Cable Polea Individual</v>
      </c>
      <c r="E124" s="37" t="str">
        <f>SABADO!$C$49</f>
        <v>polea</v>
      </c>
      <c r="F124" s="46" t="str">
        <f>IF(P124="","",IFERROR(CHOOSE(VALUE(RIGHT(P124,1)),SABADO!F49,SABADO!I49,SABADO!L49,SABADO!O49,SABADO!R49),""))</f>
        <v/>
      </c>
      <c r="G124" s="47" t="str">
        <f>IF(P124="","",IFERROR(CHOOSE(VALUE(RIGHT(P124,1)),SABADO!G49,SABADO!J49,SABADO!M49,SABADO!P49,SABADO!S49),""))</f>
        <v/>
      </c>
      <c r="H124" s="48" t="str">
        <f>IF(P124="","",IFERROR(CHOOSE(VALUE(RIGHT(P124,1)),SABADO!H49,SABADO!K49,SABADO!N49,SABADO!Q49,SABADO!T49),""))</f>
        <v/>
      </c>
      <c r="I124" s="49" t="str">
        <f t="shared" si="2"/>
        <v/>
      </c>
      <c r="J124" s="50" t="str">
        <f>IF(P124="","",IFERROR(ROUND(CHOOSE(VALUE(RIGHT(P124,1)),IF(SABADO!C49="peso_corporal",IF(ISNUMBER(SABADO!E49),SABADO!E49,0)+SABADO!F49,SABADO!F49)*SABADO!G49,IF(SABADO!C49="peso_corporal",IF(ISNUMBER(SABADO!E49),SABADO!E49,0)+SABADO!I49,SABADO!I49)*SABADO!J49,IF(SABADO!C49="peso_corporal",IF(ISNUMBER(SABADO!E49),SABADO!E49,0)+SABADO!L49,SABADO!L49)*SABADO!M49,IF(SABADO!C49="peso_corporal",IF(ISNUMBER(SABADO!E49),SABADO!E49,0)+SABADO!O49,SABADO!O49)*SABADO!P49,IF(SABADO!C49="peso_corporal",IF(ISNUMBER(SABADO!E49),SABADO!E49,0)+SABADO!R49,SABADO!R49)*SABADO!S49),1),""))</f>
        <v/>
      </c>
      <c r="K124" s="51" t="str">
        <f>IF(P124="","",IFERROR(ROUND(CHOOSE(VALUE(RIGHT(P124,1)),(IF(SABADO!C49="peso_corporal",IF(ISNUMBER(SABADO!E49),SABADO!E49,0)+SABADO!F49,SABADO!F49))*(1+SABADO!G49/30),(IF(SABADO!C49="peso_corporal",IF(ISNUMBER(SABADO!E49),SABADO!E49,0)+SABADO!I49,SABADO!I49))*(1+SABADO!J49/30),(IF(SABADO!C49="peso_corporal",IF(ISNUMBER(SABADO!E49),SABADO!E49,0)+SABADO!L49,SABADO!L49))*(1+SABADO!M49/30),(IF(SABADO!C49="peso_corporal",IF(ISNUMBER(SABADO!E49),SABADO!E49,0)+SABADO!O49,SABADO!O49))*(1+SABADO!P49/30),(IF(SABADO!C49="peso_corporal",IF(ISNUMBER(SABADO!E49),SABADO!E49,0)+SABADO!R49,SABADO!R49))*(1+SABADO!S49/30)),1),""))</f>
        <v/>
      </c>
      <c r="L124" s="52">
        <f>IFERROR(SABADO!E49,"")</f>
        <v>80</v>
      </c>
      <c r="M124" s="53" t="str">
        <f>IFERROR(IF(K124="","-",IF(ISNUMBER(LOOKUP(2,1/((HISTORIAL!$O$3:$O$123=O124)*(HISTORIAL!$F$3:$F$123&lt;&gt;"")),HISTORIAL!$K$3:$K$123)),IF(K124&gt;LOOKUP(2,1/((HISTORIAL!$O$3:$O$123=O124)*(HISTORIAL!$F$3:$F$123&lt;&gt;"")),HISTORIAL!$K$3:$K$123),"^",IF(K124&lt;LOOKUP(2,1/((HISTORIAL!$O$3:$O$123=O124)*(HISTORIAL!$F$3:$F$123&lt;&gt;"")),HISTORIAL!$K$3:$K$123),"v","-")),"-")),"-")</f>
        <v>-</v>
      </c>
      <c r="N124" s="54" t="str">
        <f>IFERROR(VLOOKUP(A124,CONFIG!$A$10:$B$21,2,0),"")</f>
        <v>HIP</v>
      </c>
      <c r="O124" s="55" t="str">
        <f t="shared" si="3"/>
        <v>Elevaciones Laterales|Cable Polea Individual</v>
      </c>
      <c r="P124" s="69" t="str">
        <f>SABADO!AC49</f>
        <v/>
      </c>
    </row>
    <row r="125" spans="1:16" ht="14.1" customHeight="1">
      <c r="A125" s="37">
        <v>2</v>
      </c>
      <c r="B125" s="37" t="s">
        <v>281</v>
      </c>
      <c r="C125" s="44" t="str">
        <f>SABADO!$A$51</f>
        <v>Encogimientos</v>
      </c>
      <c r="D125" s="45" t="str">
        <f>SABADO!$B$51</f>
        <v>Mancuernas Trapecio</v>
      </c>
      <c r="E125" s="37" t="str">
        <f>SABADO!$C$51</f>
        <v>mancuerna</v>
      </c>
      <c r="F125" s="46" t="str">
        <f>IF(P125="","",IFERROR(CHOOSE(VALUE(RIGHT(P125,1)),SABADO!F51,SABADO!I51,SABADO!L51,SABADO!O51,SABADO!R51),""))</f>
        <v/>
      </c>
      <c r="G125" s="47" t="str">
        <f>IF(P125="","",IFERROR(CHOOSE(VALUE(RIGHT(P125,1)),SABADO!G51,SABADO!J51,SABADO!M51,SABADO!P51,SABADO!S51),""))</f>
        <v/>
      </c>
      <c r="H125" s="48" t="str">
        <f>IF(P125="","",IFERROR(CHOOSE(VALUE(RIGHT(P125,1)),SABADO!H51,SABADO!K51,SABADO!N51,SABADO!Q51,SABADO!T51),""))</f>
        <v/>
      </c>
      <c r="I125" s="49" t="str">
        <f t="shared" si="2"/>
        <v/>
      </c>
      <c r="J125" s="50" t="str">
        <f>IF(P125="","",IFERROR(ROUND(CHOOSE(VALUE(RIGHT(P125,1)),IF(SABADO!C51="peso_corporal",IF(ISNUMBER(SABADO!E51),SABADO!E51,0)+SABADO!F51,SABADO!F51)*SABADO!G51,IF(SABADO!C51="peso_corporal",IF(ISNUMBER(SABADO!E51),SABADO!E51,0)+SABADO!I51,SABADO!I51)*SABADO!J51,IF(SABADO!C51="peso_corporal",IF(ISNUMBER(SABADO!E51),SABADO!E51,0)+SABADO!L51,SABADO!L51)*SABADO!M51,IF(SABADO!C51="peso_corporal",IF(ISNUMBER(SABADO!E51),SABADO!E51,0)+SABADO!O51,SABADO!O51)*SABADO!P51,IF(SABADO!C51="peso_corporal",IF(ISNUMBER(SABADO!E51),SABADO!E51,0)+SABADO!R51,SABADO!R51)*SABADO!S51),1),""))</f>
        <v/>
      </c>
      <c r="K125" s="51" t="str">
        <f>IF(P125="","",IFERROR(ROUND(CHOOSE(VALUE(RIGHT(P125,1)),(IF(SABADO!C51="peso_corporal",IF(ISNUMBER(SABADO!E51),SABADO!E51,0)+SABADO!F51,SABADO!F51))*(1+SABADO!G51/30),(IF(SABADO!C51="peso_corporal",IF(ISNUMBER(SABADO!E51),SABADO!E51,0)+SABADO!I51,SABADO!I51))*(1+SABADO!J51/30),(IF(SABADO!C51="peso_corporal",IF(ISNUMBER(SABADO!E51),SABADO!E51,0)+SABADO!L51,SABADO!L51))*(1+SABADO!M51/30),(IF(SABADO!C51="peso_corporal",IF(ISNUMBER(SABADO!E51),SABADO!E51,0)+SABADO!O51,SABADO!O51))*(1+SABADO!P51/30),(IF(SABADO!C51="peso_corporal",IF(ISNUMBER(SABADO!E51),SABADO!E51,0)+SABADO!R51,SABADO!R51))*(1+SABADO!S51/30)),1),""))</f>
        <v/>
      </c>
      <c r="L125" s="52">
        <f>IFERROR(SABADO!E51,"")</f>
        <v>80</v>
      </c>
      <c r="M125" s="53" t="str">
        <f>IFERROR(IF(K125="","-",IF(ISNUMBER(LOOKUP(2,1/((HISTORIAL!$O$3:$O$124=O125)*(HISTORIAL!$F$3:$F$124&lt;&gt;"")),HISTORIAL!$K$3:$K$124)),IF(K125&gt;LOOKUP(2,1/((HISTORIAL!$O$3:$O$124=O125)*(HISTORIAL!$F$3:$F$124&lt;&gt;"")),HISTORIAL!$K$3:$K$124),"^",IF(K125&lt;LOOKUP(2,1/((HISTORIAL!$O$3:$O$124=O125)*(HISTORIAL!$F$3:$F$124&lt;&gt;"")),HISTORIAL!$K$3:$K$124),"v","-")),"-")),"-")</f>
        <v>-</v>
      </c>
      <c r="N125" s="54" t="str">
        <f>IFERROR(VLOOKUP(A125,CONFIG!$A$10:$B$21,2,0),"")</f>
        <v>HIP</v>
      </c>
      <c r="O125" s="55" t="str">
        <f t="shared" si="3"/>
        <v>Encogimientos|Mancuernas Trapecio</v>
      </c>
      <c r="P125" s="69" t="str">
        <f>SABADO!AC51</f>
        <v/>
      </c>
    </row>
    <row r="126" spans="1:16" ht="14.1" customHeight="1">
      <c r="A126" s="37">
        <v>2</v>
      </c>
      <c r="B126" s="37" t="s">
        <v>281</v>
      </c>
      <c r="C126" s="44" t="str">
        <f>SABADO!$A$52</f>
        <v>Face Pull</v>
      </c>
      <c r="D126" s="45" t="str">
        <f>SABADO!$B$52</f>
        <v>Polea Alta Cuerda</v>
      </c>
      <c r="E126" s="37" t="str">
        <f>SABADO!$C$52</f>
        <v>polea</v>
      </c>
      <c r="F126" s="46" t="str">
        <f>IF(P126="","",IFERROR(CHOOSE(VALUE(RIGHT(P126,1)),SABADO!F52,SABADO!I52,SABADO!L52,SABADO!O52,SABADO!R52),""))</f>
        <v/>
      </c>
      <c r="G126" s="47" t="str">
        <f>IF(P126="","",IFERROR(CHOOSE(VALUE(RIGHT(P126,1)),SABADO!G52,SABADO!J52,SABADO!M52,SABADO!P52,SABADO!S52),""))</f>
        <v/>
      </c>
      <c r="H126" s="48" t="str">
        <f>IF(P126="","",IFERROR(CHOOSE(VALUE(RIGHT(P126,1)),SABADO!H52,SABADO!K52,SABADO!N52,SABADO!Q52,SABADO!T52),""))</f>
        <v/>
      </c>
      <c r="I126" s="49" t="str">
        <f t="shared" si="2"/>
        <v/>
      </c>
      <c r="J126" s="50" t="str">
        <f>IF(P126="","",IFERROR(ROUND(CHOOSE(VALUE(RIGHT(P126,1)),IF(SABADO!C52="peso_corporal",IF(ISNUMBER(SABADO!E52),SABADO!E52,0)+SABADO!F52,SABADO!F52)*SABADO!G52,IF(SABADO!C52="peso_corporal",IF(ISNUMBER(SABADO!E52),SABADO!E52,0)+SABADO!I52,SABADO!I52)*SABADO!J52,IF(SABADO!C52="peso_corporal",IF(ISNUMBER(SABADO!E52),SABADO!E52,0)+SABADO!L52,SABADO!L52)*SABADO!M52,IF(SABADO!C52="peso_corporal",IF(ISNUMBER(SABADO!E52),SABADO!E52,0)+SABADO!O52,SABADO!O52)*SABADO!P52,IF(SABADO!C52="peso_corporal",IF(ISNUMBER(SABADO!E52),SABADO!E52,0)+SABADO!R52,SABADO!R52)*SABADO!S52),1),""))</f>
        <v/>
      </c>
      <c r="K126" s="51" t="str">
        <f>IF(P126="","",IFERROR(ROUND(CHOOSE(VALUE(RIGHT(P126,1)),(IF(SABADO!C52="peso_corporal",IF(ISNUMBER(SABADO!E52),SABADO!E52,0)+SABADO!F52,SABADO!F52))*(1+SABADO!G52/30),(IF(SABADO!C52="peso_corporal",IF(ISNUMBER(SABADO!E52),SABADO!E52,0)+SABADO!I52,SABADO!I52))*(1+SABADO!J52/30),(IF(SABADO!C52="peso_corporal",IF(ISNUMBER(SABADO!E52),SABADO!E52,0)+SABADO!L52,SABADO!L52))*(1+SABADO!M52/30),(IF(SABADO!C52="peso_corporal",IF(ISNUMBER(SABADO!E52),SABADO!E52,0)+SABADO!O52,SABADO!O52))*(1+SABADO!P52/30),(IF(SABADO!C52="peso_corporal",IF(ISNUMBER(SABADO!E52),SABADO!E52,0)+SABADO!R52,SABADO!R52))*(1+SABADO!S52/30)),1),""))</f>
        <v/>
      </c>
      <c r="L126" s="52">
        <f>IFERROR(SABADO!E52,"")</f>
        <v>80</v>
      </c>
      <c r="M126" s="53" t="str">
        <f>IFERROR(IF(K126="","-",IF(ISNUMBER(LOOKUP(2,1/((HISTORIAL!$O$3:$O$125=O126)*(HISTORIAL!$F$3:$F$125&lt;&gt;"")),HISTORIAL!$K$3:$K$125)),IF(K126&gt;LOOKUP(2,1/((HISTORIAL!$O$3:$O$125=O126)*(HISTORIAL!$F$3:$F$125&lt;&gt;"")),HISTORIAL!$K$3:$K$125),"^",IF(K126&lt;LOOKUP(2,1/((HISTORIAL!$O$3:$O$125=O126)*(HISTORIAL!$F$3:$F$125&lt;&gt;"")),HISTORIAL!$K$3:$K$125),"v","-")),"-")),"-")</f>
        <v>-</v>
      </c>
      <c r="N126" s="54" t="str">
        <f>IFERROR(VLOOKUP(A126,CONFIG!$A$10:$B$21,2,0),"")</f>
        <v>HIP</v>
      </c>
      <c r="O126" s="55" t="str">
        <f t="shared" si="3"/>
        <v>Face Pull|Polea Alta Cuerda</v>
      </c>
      <c r="P126" s="69" t="str">
        <f>SABADO!AC52</f>
        <v/>
      </c>
    </row>
    <row r="127" spans="1:16" ht="14.1" customHeight="1">
      <c r="A127" s="37">
        <v>2</v>
      </c>
      <c r="B127" s="37" t="s">
        <v>281</v>
      </c>
      <c r="C127" s="44" t="str">
        <f>SABADO!$A$54</f>
        <v>Hiperextension</v>
      </c>
      <c r="D127" s="45" t="str">
        <f>SABADO!$B$54</f>
        <v>Banco Romano</v>
      </c>
      <c r="E127" s="37" t="str">
        <f>SABADO!$C$54</f>
        <v>peso_corporal</v>
      </c>
      <c r="F127" s="46" t="str">
        <f>IF(P127="","",IFERROR(CHOOSE(VALUE(RIGHT(P127,1)),SABADO!F54,SABADO!I54,SABADO!L54,SABADO!O54,SABADO!R54),""))</f>
        <v/>
      </c>
      <c r="G127" s="47" t="str">
        <f>IF(P127="","",IFERROR(CHOOSE(VALUE(RIGHT(P127,1)),SABADO!G54,SABADO!J54,SABADO!M54,SABADO!P54,SABADO!S54),""))</f>
        <v/>
      </c>
      <c r="H127" s="48" t="str">
        <f>IF(P127="","",IFERROR(CHOOSE(VALUE(RIGHT(P127,1)),SABADO!H54,SABADO!K54,SABADO!N54,SABADO!Q54,SABADO!T54),""))</f>
        <v/>
      </c>
      <c r="I127" s="49" t="str">
        <f t="shared" si="2"/>
        <v/>
      </c>
      <c r="J127" s="50" t="str">
        <f>IF(P127="","",IFERROR(ROUND(CHOOSE(VALUE(RIGHT(P127,1)),IF(SABADO!C54="peso_corporal",IF(ISNUMBER(SABADO!E54),SABADO!E54,0)+SABADO!F54,SABADO!F54)*SABADO!G54,IF(SABADO!C54="peso_corporal",IF(ISNUMBER(SABADO!E54),SABADO!E54,0)+SABADO!I54,SABADO!I54)*SABADO!J54,IF(SABADO!C54="peso_corporal",IF(ISNUMBER(SABADO!E54),SABADO!E54,0)+SABADO!L54,SABADO!L54)*SABADO!M54,IF(SABADO!C54="peso_corporal",IF(ISNUMBER(SABADO!E54),SABADO!E54,0)+SABADO!O54,SABADO!O54)*SABADO!P54,IF(SABADO!C54="peso_corporal",IF(ISNUMBER(SABADO!E54),SABADO!E54,0)+SABADO!R54,SABADO!R54)*SABADO!S54),1),""))</f>
        <v/>
      </c>
      <c r="K127" s="51" t="str">
        <f>IF(P127="","",IFERROR(ROUND(CHOOSE(VALUE(RIGHT(P127,1)),(IF(SABADO!C54="peso_corporal",IF(ISNUMBER(SABADO!E54),SABADO!E54,0)+SABADO!F54,SABADO!F54))*(1+SABADO!G54/30),(IF(SABADO!C54="peso_corporal",IF(ISNUMBER(SABADO!E54),SABADO!E54,0)+SABADO!I54,SABADO!I54))*(1+SABADO!J54/30),(IF(SABADO!C54="peso_corporal",IF(ISNUMBER(SABADO!E54),SABADO!E54,0)+SABADO!L54,SABADO!L54))*(1+SABADO!M54/30),(IF(SABADO!C54="peso_corporal",IF(ISNUMBER(SABADO!E54),SABADO!E54,0)+SABADO!O54,SABADO!O54))*(1+SABADO!P54/30),(IF(SABADO!C54="peso_corporal",IF(ISNUMBER(SABADO!E54),SABADO!E54,0)+SABADO!R54,SABADO!R54))*(1+SABADO!S54/30)),1),""))</f>
        <v/>
      </c>
      <c r="L127" s="52">
        <f>IFERROR(SABADO!E54,"")</f>
        <v>80</v>
      </c>
      <c r="M127" s="53" t="str">
        <f>IFERROR(IF(K127="","-",IF(ISNUMBER(LOOKUP(2,1/((HISTORIAL!$O$3:$O$126=O127)*(HISTORIAL!$F$3:$F$126&lt;&gt;"")),HISTORIAL!$K$3:$K$126)),IF(K127&gt;LOOKUP(2,1/((HISTORIAL!$O$3:$O$126=O127)*(HISTORIAL!$F$3:$F$126&lt;&gt;"")),HISTORIAL!$K$3:$K$126),"^",IF(K127&lt;LOOKUP(2,1/((HISTORIAL!$O$3:$O$126=O127)*(HISTORIAL!$F$3:$F$126&lt;&gt;"")),HISTORIAL!$K$3:$K$126),"v","-")),"-")),"-")</f>
        <v>-</v>
      </c>
      <c r="N127" s="54" t="str">
        <f>IFERROR(VLOOKUP(A127,CONFIG!$A$10:$B$21,2,0),"")</f>
        <v>HIP</v>
      </c>
      <c r="O127" s="55" t="str">
        <f t="shared" si="3"/>
        <v>Hiperextension|Banco Romano</v>
      </c>
      <c r="P127" s="69" t="str">
        <f>SABADO!AC54</f>
        <v/>
      </c>
    </row>
    <row r="128" spans="1:16" ht="14.1" customHeight="1">
      <c r="A128" s="37">
        <v>2</v>
      </c>
      <c r="B128" s="37" t="s">
        <v>281</v>
      </c>
      <c r="C128" s="44" t="str">
        <f>SABADO!$A$56</f>
        <v>Crunch</v>
      </c>
      <c r="D128" s="45" t="str">
        <f>SABADO!$B$56</f>
        <v>Polea</v>
      </c>
      <c r="E128" s="37" t="str">
        <f>SABADO!$C$56</f>
        <v>polea</v>
      </c>
      <c r="F128" s="46" t="str">
        <f>IF(P128="","",IFERROR(CHOOSE(VALUE(RIGHT(P128,1)),SABADO!F56,SABADO!I56,SABADO!L56,SABADO!O56,SABADO!R56),""))</f>
        <v/>
      </c>
      <c r="G128" s="47" t="str">
        <f>IF(P128="","",IFERROR(CHOOSE(VALUE(RIGHT(P128,1)),SABADO!G56,SABADO!J56,SABADO!M56,SABADO!P56,SABADO!S56),""))</f>
        <v/>
      </c>
      <c r="H128" s="48" t="str">
        <f>IF(P128="","",IFERROR(CHOOSE(VALUE(RIGHT(P128,1)),SABADO!H56,SABADO!K56,SABADO!N56,SABADO!Q56,SABADO!T56),""))</f>
        <v/>
      </c>
      <c r="I128" s="49" t="str">
        <f t="shared" si="2"/>
        <v/>
      </c>
      <c r="J128" s="50" t="str">
        <f>IF(P128="","",IFERROR(ROUND(CHOOSE(VALUE(RIGHT(P128,1)),IF(SABADO!C56="peso_corporal",IF(ISNUMBER(SABADO!E56),SABADO!E56,0)+SABADO!F56,SABADO!F56)*SABADO!G56,IF(SABADO!C56="peso_corporal",IF(ISNUMBER(SABADO!E56),SABADO!E56,0)+SABADO!I56,SABADO!I56)*SABADO!J56,IF(SABADO!C56="peso_corporal",IF(ISNUMBER(SABADO!E56),SABADO!E56,0)+SABADO!L56,SABADO!L56)*SABADO!M56,IF(SABADO!C56="peso_corporal",IF(ISNUMBER(SABADO!E56),SABADO!E56,0)+SABADO!O56,SABADO!O56)*SABADO!P56,IF(SABADO!C56="peso_corporal",IF(ISNUMBER(SABADO!E56),SABADO!E56,0)+SABADO!R56,SABADO!R56)*SABADO!S56),1),""))</f>
        <v/>
      </c>
      <c r="K128" s="51" t="str">
        <f>IF(P128="","",IFERROR(ROUND(CHOOSE(VALUE(RIGHT(P128,1)),(IF(SABADO!C56="peso_corporal",IF(ISNUMBER(SABADO!E56),SABADO!E56,0)+SABADO!F56,SABADO!F56))*(1+SABADO!G56/30),(IF(SABADO!C56="peso_corporal",IF(ISNUMBER(SABADO!E56),SABADO!E56,0)+SABADO!I56,SABADO!I56))*(1+SABADO!J56/30),(IF(SABADO!C56="peso_corporal",IF(ISNUMBER(SABADO!E56),SABADO!E56,0)+SABADO!L56,SABADO!L56))*(1+SABADO!M56/30),(IF(SABADO!C56="peso_corporal",IF(ISNUMBER(SABADO!E56),SABADO!E56,0)+SABADO!O56,SABADO!O56))*(1+SABADO!P56/30),(IF(SABADO!C56="peso_corporal",IF(ISNUMBER(SABADO!E56),SABADO!E56,0)+SABADO!R56,SABADO!R56))*(1+SABADO!S56/30)),1),""))</f>
        <v/>
      </c>
      <c r="L128" s="52">
        <f>IFERROR(SABADO!E56,"")</f>
        <v>80</v>
      </c>
      <c r="M128" s="53" t="str">
        <f>IFERROR(IF(K128="","-",IF(ISNUMBER(LOOKUP(2,1/((HISTORIAL!$O$3:$O$127=O128)*(HISTORIAL!$F$3:$F$127&lt;&gt;"")),HISTORIAL!$K$3:$K$127)),IF(K128&gt;LOOKUP(2,1/((HISTORIAL!$O$3:$O$127=O128)*(HISTORIAL!$F$3:$F$127&lt;&gt;"")),HISTORIAL!$K$3:$K$127),"^",IF(K128&lt;LOOKUP(2,1/((HISTORIAL!$O$3:$O$127=O128)*(HISTORIAL!$F$3:$F$127&lt;&gt;"")),HISTORIAL!$K$3:$K$127),"v","-")),"-")),"-")</f>
        <v>-</v>
      </c>
      <c r="N128" s="54" t="str">
        <f>IFERROR(VLOOKUP(A128,CONFIG!$A$10:$B$21,2,0),"")</f>
        <v>HIP</v>
      </c>
      <c r="O128" s="55" t="str">
        <f t="shared" si="3"/>
        <v>Crunch|Polea</v>
      </c>
      <c r="P128" s="69" t="str">
        <f>SABADO!AC56</f>
        <v/>
      </c>
    </row>
    <row r="129" spans="1:16" ht="14.1" customHeight="1">
      <c r="A129" s="37">
        <v>3</v>
      </c>
      <c r="B129" s="37" t="s">
        <v>277</v>
      </c>
      <c r="C129" s="44" t="str">
        <f>LUNES!$A$57</f>
        <v>Press Plano</v>
      </c>
      <c r="D129" s="45" t="str">
        <f>LUNES!$B$57</f>
        <v>Barra</v>
      </c>
      <c r="E129" s="37" t="str">
        <f>LUNES!$C$57</f>
        <v>disco</v>
      </c>
      <c r="F129" s="46" t="str">
        <f>IF(P129="","",IFERROR(CHOOSE(VALUE(RIGHT(P129,1)),LUNES!F57,LUNES!I57,LUNES!L57,LUNES!O57,LUNES!R57),""))</f>
        <v/>
      </c>
      <c r="G129" s="47" t="str">
        <f>IF(P129="","",IFERROR(CHOOSE(VALUE(RIGHT(P129,1)),LUNES!G57,LUNES!J57,LUNES!M57,LUNES!P57,LUNES!S57),""))</f>
        <v/>
      </c>
      <c r="H129" s="48" t="str">
        <f>IF(P129="","",IFERROR(CHOOSE(VALUE(RIGHT(P129,1)),LUNES!H57,LUNES!K57,LUNES!N57,LUNES!Q57,LUNES!T57),""))</f>
        <v/>
      </c>
      <c r="I129" s="49" t="str">
        <f t="shared" si="2"/>
        <v/>
      </c>
      <c r="J129" s="50" t="str">
        <f>IF(P129="","",IFERROR(ROUND(CHOOSE(VALUE(RIGHT(P129,1)),IF(LUNES!C57="peso_corporal",IF(ISNUMBER(LUNES!E57),LUNES!E57,0)+LUNES!F57,LUNES!F57)*LUNES!G57,IF(LUNES!C57="peso_corporal",IF(ISNUMBER(LUNES!E57),LUNES!E57,0)+LUNES!I57,LUNES!I57)*LUNES!J57,IF(LUNES!C57="peso_corporal",IF(ISNUMBER(LUNES!E57),LUNES!E57,0)+LUNES!L57,LUNES!L57)*LUNES!M57,IF(LUNES!C57="peso_corporal",IF(ISNUMBER(LUNES!E57),LUNES!E57,0)+LUNES!O57,LUNES!O57)*LUNES!P57,IF(LUNES!C57="peso_corporal",IF(ISNUMBER(LUNES!E57),LUNES!E57,0)+LUNES!R57,LUNES!R57)*LUNES!S57),1),""))</f>
        <v/>
      </c>
      <c r="K129" s="51" t="str">
        <f>IF(P129="","",IFERROR(ROUND(CHOOSE(VALUE(RIGHT(P129,1)),(IF(LUNES!C57="peso_corporal",IF(ISNUMBER(LUNES!E57),LUNES!E57,0)+LUNES!F57,LUNES!F57))*(1+LUNES!G57/30),(IF(LUNES!C57="peso_corporal",IF(ISNUMBER(LUNES!E57),LUNES!E57,0)+LUNES!I57,LUNES!I57))*(1+LUNES!J57/30),(IF(LUNES!C57="peso_corporal",IF(ISNUMBER(LUNES!E57),LUNES!E57,0)+LUNES!L57,LUNES!L57))*(1+LUNES!M57/30),(IF(LUNES!C57="peso_corporal",IF(ISNUMBER(LUNES!E57),LUNES!E57,0)+LUNES!O57,LUNES!O57))*(1+LUNES!P57/30),(IF(LUNES!C57="peso_corporal",IF(ISNUMBER(LUNES!E57),LUNES!E57,0)+LUNES!R57,LUNES!R57))*(1+LUNES!S57/30)),1),""))</f>
        <v/>
      </c>
      <c r="L129" s="52">
        <f>IFERROR(LUNES!E57,"")</f>
        <v>80</v>
      </c>
      <c r="M129" s="53" t="str">
        <f>IFERROR(IF(K129="","-",IF(ISNUMBER(LOOKUP(2,1/((HISTORIAL!$O$3:$O$128=O129)*(HISTORIAL!$F$3:$F$128&lt;&gt;"")),HISTORIAL!$K$3:$K$128)),IF(K129&gt;LOOKUP(2,1/((HISTORIAL!$O$3:$O$128=O129)*(HISTORIAL!$F$3:$F$128&lt;&gt;"")),HISTORIAL!$K$3:$K$128),"^",IF(K129&lt;LOOKUP(2,1/((HISTORIAL!$O$3:$O$128=O129)*(HISTORIAL!$F$3:$F$128&lt;&gt;"")),HISTORIAL!$K$3:$K$128),"v","-")),"-")),"-")</f>
        <v>-</v>
      </c>
      <c r="N129" s="54" t="str">
        <f>IFERROR(VLOOKUP(A129,CONFIG!$A$10:$B$21,2,0),"")</f>
        <v>FUE</v>
      </c>
      <c r="O129" s="55" t="str">
        <f t="shared" si="3"/>
        <v>Press Plano|Barra</v>
      </c>
      <c r="P129" s="69" t="str">
        <f>LUNES!AC57</f>
        <v/>
      </c>
    </row>
    <row r="130" spans="1:16" ht="14.1" customHeight="1">
      <c r="A130" s="37">
        <v>3</v>
      </c>
      <c r="B130" s="37" t="s">
        <v>277</v>
      </c>
      <c r="C130" s="44" t="str">
        <f>LUNES!$A$59</f>
        <v>Press Inclinado</v>
      </c>
      <c r="D130" s="45" t="str">
        <f>LUNES!$B$59</f>
        <v>Mancuernas</v>
      </c>
      <c r="E130" s="37" t="str">
        <f>LUNES!$C$59</f>
        <v>mancuerna</v>
      </c>
      <c r="F130" s="46" t="str">
        <f>IF(P130="","",IFERROR(CHOOSE(VALUE(RIGHT(P130,1)),LUNES!F59,LUNES!I59,LUNES!L59,LUNES!O59,LUNES!R59),""))</f>
        <v/>
      </c>
      <c r="G130" s="47" t="str">
        <f>IF(P130="","",IFERROR(CHOOSE(VALUE(RIGHT(P130,1)),LUNES!G59,LUNES!J59,LUNES!M59,LUNES!P59,LUNES!S59),""))</f>
        <v/>
      </c>
      <c r="H130" s="48" t="str">
        <f>IF(P130="","",IFERROR(CHOOSE(VALUE(RIGHT(P130,1)),LUNES!H59,LUNES!K59,LUNES!N59,LUNES!Q59,LUNES!T59),""))</f>
        <v/>
      </c>
      <c r="I130" s="49" t="str">
        <f t="shared" si="2"/>
        <v/>
      </c>
      <c r="J130" s="50" t="str">
        <f>IF(P130="","",IFERROR(ROUND(CHOOSE(VALUE(RIGHT(P130,1)),IF(LUNES!C59="peso_corporal",IF(ISNUMBER(LUNES!E59),LUNES!E59,0)+LUNES!F59,LUNES!F59)*LUNES!G59,IF(LUNES!C59="peso_corporal",IF(ISNUMBER(LUNES!E59),LUNES!E59,0)+LUNES!I59,LUNES!I59)*LUNES!J59,IF(LUNES!C59="peso_corporal",IF(ISNUMBER(LUNES!E59),LUNES!E59,0)+LUNES!L59,LUNES!L59)*LUNES!M59,IF(LUNES!C59="peso_corporal",IF(ISNUMBER(LUNES!E59),LUNES!E59,0)+LUNES!O59,LUNES!O59)*LUNES!P59,IF(LUNES!C59="peso_corporal",IF(ISNUMBER(LUNES!E59),LUNES!E59,0)+LUNES!R59,LUNES!R59)*LUNES!S59),1),""))</f>
        <v/>
      </c>
      <c r="K130" s="51" t="str">
        <f>IF(P130="","",IFERROR(ROUND(CHOOSE(VALUE(RIGHT(P130,1)),(IF(LUNES!C59="peso_corporal",IF(ISNUMBER(LUNES!E59),LUNES!E59,0)+LUNES!F59,LUNES!F59))*(1+LUNES!G59/30),(IF(LUNES!C59="peso_corporal",IF(ISNUMBER(LUNES!E59),LUNES!E59,0)+LUNES!I59,LUNES!I59))*(1+LUNES!J59/30),(IF(LUNES!C59="peso_corporal",IF(ISNUMBER(LUNES!E59),LUNES!E59,0)+LUNES!L59,LUNES!L59))*(1+LUNES!M59/30),(IF(LUNES!C59="peso_corporal",IF(ISNUMBER(LUNES!E59),LUNES!E59,0)+LUNES!O59,LUNES!O59))*(1+LUNES!P59/30),(IF(LUNES!C59="peso_corporal",IF(ISNUMBER(LUNES!E59),LUNES!E59,0)+LUNES!R59,LUNES!R59))*(1+LUNES!S59/30)),1),""))</f>
        <v/>
      </c>
      <c r="L130" s="52">
        <f>IFERROR(LUNES!E59,"")</f>
        <v>80</v>
      </c>
      <c r="M130" s="53" t="str">
        <f>IFERROR(IF(K130="","-",IF(ISNUMBER(LOOKUP(2,1/((HISTORIAL!$O$3:$O$129=O130)*(HISTORIAL!$F$3:$F$129&lt;&gt;"")),HISTORIAL!$K$3:$K$129)),IF(K130&gt;LOOKUP(2,1/((HISTORIAL!$O$3:$O$129=O130)*(HISTORIAL!$F$3:$F$129&lt;&gt;"")),HISTORIAL!$K$3:$K$129),"^",IF(K130&lt;LOOKUP(2,1/((HISTORIAL!$O$3:$O$129=O130)*(HISTORIAL!$F$3:$F$129&lt;&gt;"")),HISTORIAL!$K$3:$K$129),"v","-")),"-")),"-")</f>
        <v>-</v>
      </c>
      <c r="N130" s="54" t="str">
        <f>IFERROR(VLOOKUP(A130,CONFIG!$A$10:$B$21,2,0),"")</f>
        <v>FUE</v>
      </c>
      <c r="O130" s="55" t="str">
        <f t="shared" si="3"/>
        <v>Press Inclinado|Mancuernas</v>
      </c>
      <c r="P130" s="69" t="str">
        <f>LUNES!AC59</f>
        <v/>
      </c>
    </row>
    <row r="131" spans="1:16" ht="14.1" customHeight="1">
      <c r="A131" s="37">
        <v>3</v>
      </c>
      <c r="B131" s="37" t="s">
        <v>277</v>
      </c>
      <c r="C131" s="44" t="str">
        <f>LUNES!$A$61</f>
        <v>Fondos</v>
      </c>
      <c r="D131" s="45" t="str">
        <f>LUNES!$B$61</f>
        <v>Paralelas</v>
      </c>
      <c r="E131" s="37" t="str">
        <f>LUNES!$C$61</f>
        <v>peso_corporal</v>
      </c>
      <c r="F131" s="46" t="str">
        <f>IF(P131="","",IFERROR(CHOOSE(VALUE(RIGHT(P131,1)),LUNES!F61,LUNES!I61,LUNES!L61,LUNES!O61,LUNES!R61),""))</f>
        <v/>
      </c>
      <c r="G131" s="47" t="str">
        <f>IF(P131="","",IFERROR(CHOOSE(VALUE(RIGHT(P131,1)),LUNES!G61,LUNES!J61,LUNES!M61,LUNES!P61,LUNES!S61),""))</f>
        <v/>
      </c>
      <c r="H131" s="48" t="str">
        <f>IF(P131="","",IFERROR(CHOOSE(VALUE(RIGHT(P131,1)),LUNES!H61,LUNES!K61,LUNES!N61,LUNES!Q61,LUNES!T61),""))</f>
        <v/>
      </c>
      <c r="I131" s="49" t="str">
        <f t="shared" ref="I131:I194" si="4">IF(P131="","",LEFT(P131,1))</f>
        <v/>
      </c>
      <c r="J131" s="50" t="str">
        <f>IF(P131="","",IFERROR(ROUND(CHOOSE(VALUE(RIGHT(P131,1)),IF(LUNES!C61="peso_corporal",IF(ISNUMBER(LUNES!E61),LUNES!E61,0)+LUNES!F61,LUNES!F61)*LUNES!G61,IF(LUNES!C61="peso_corporal",IF(ISNUMBER(LUNES!E61),LUNES!E61,0)+LUNES!I61,LUNES!I61)*LUNES!J61,IF(LUNES!C61="peso_corporal",IF(ISNUMBER(LUNES!E61),LUNES!E61,0)+LUNES!L61,LUNES!L61)*LUNES!M61,IF(LUNES!C61="peso_corporal",IF(ISNUMBER(LUNES!E61),LUNES!E61,0)+LUNES!O61,LUNES!O61)*LUNES!P61,IF(LUNES!C61="peso_corporal",IF(ISNUMBER(LUNES!E61),LUNES!E61,0)+LUNES!R61,LUNES!R61)*LUNES!S61),1),""))</f>
        <v/>
      </c>
      <c r="K131" s="51" t="str">
        <f>IF(P131="","",IFERROR(ROUND(CHOOSE(VALUE(RIGHT(P131,1)),(IF(LUNES!C61="peso_corporal",IF(ISNUMBER(LUNES!E61),LUNES!E61,0)+LUNES!F61,LUNES!F61))*(1+LUNES!G61/30),(IF(LUNES!C61="peso_corporal",IF(ISNUMBER(LUNES!E61),LUNES!E61,0)+LUNES!I61,LUNES!I61))*(1+LUNES!J61/30),(IF(LUNES!C61="peso_corporal",IF(ISNUMBER(LUNES!E61),LUNES!E61,0)+LUNES!L61,LUNES!L61))*(1+LUNES!M61/30),(IF(LUNES!C61="peso_corporal",IF(ISNUMBER(LUNES!E61),LUNES!E61,0)+LUNES!O61,LUNES!O61))*(1+LUNES!P61/30),(IF(LUNES!C61="peso_corporal",IF(ISNUMBER(LUNES!E61),LUNES!E61,0)+LUNES!R61,LUNES!R61))*(1+LUNES!S61/30)),1),""))</f>
        <v/>
      </c>
      <c r="L131" s="52">
        <f>IFERROR(LUNES!E61,"")</f>
        <v>80</v>
      </c>
      <c r="M131" s="53" t="str">
        <f>IFERROR(IF(K131="","-",IF(ISNUMBER(LOOKUP(2,1/((HISTORIAL!$O$3:$O$130=O131)*(HISTORIAL!$F$3:$F$130&lt;&gt;"")),HISTORIAL!$K$3:$K$130)),IF(K131&gt;LOOKUP(2,1/((HISTORIAL!$O$3:$O$130=O131)*(HISTORIAL!$F$3:$F$130&lt;&gt;"")),HISTORIAL!$K$3:$K$130),"^",IF(K131&lt;LOOKUP(2,1/((HISTORIAL!$O$3:$O$130=O131)*(HISTORIAL!$F$3:$F$130&lt;&gt;"")),HISTORIAL!$K$3:$K$130),"v","-")),"-")),"-")</f>
        <v>-</v>
      </c>
      <c r="N131" s="54" t="str">
        <f>IFERROR(VLOOKUP(A131,CONFIG!$A$10:$B$21,2,0),"")</f>
        <v>FUE</v>
      </c>
      <c r="O131" s="55" t="str">
        <f t="shared" ref="O131:O194" si="5">C131&amp;"|"&amp;D131</f>
        <v>Fondos|Paralelas</v>
      </c>
      <c r="P131" s="69" t="str">
        <f>LUNES!AC61</f>
        <v/>
      </c>
    </row>
    <row r="132" spans="1:16" ht="14.1" customHeight="1">
      <c r="A132" s="37">
        <v>3</v>
      </c>
      <c r="B132" s="37" t="s">
        <v>277</v>
      </c>
      <c r="C132" s="44" t="str">
        <f>LUNES!$A$62</f>
        <v>Aperturas</v>
      </c>
      <c r="D132" s="45" t="str">
        <f>LUNES!$B$62</f>
        <v>Polea Baja Crossover</v>
      </c>
      <c r="E132" s="37" t="str">
        <f>LUNES!$C$62</f>
        <v>--</v>
      </c>
      <c r="F132" s="46" t="str">
        <f>IF(P132="","",IFERROR(CHOOSE(VALUE(RIGHT(P132,1)),LUNES!F62,LUNES!I62,LUNES!L62,LUNES!O62,LUNES!R62),""))</f>
        <v/>
      </c>
      <c r="G132" s="47" t="str">
        <f>IF(P132="","",IFERROR(CHOOSE(VALUE(RIGHT(P132,1)),LUNES!G62,LUNES!J62,LUNES!M62,LUNES!P62,LUNES!S62),""))</f>
        <v/>
      </c>
      <c r="H132" s="48" t="str">
        <f>IF(P132="","",IFERROR(CHOOSE(VALUE(RIGHT(P132,1)),LUNES!H62,LUNES!K62,LUNES!N62,LUNES!Q62,LUNES!T62),""))</f>
        <v/>
      </c>
      <c r="I132" s="49" t="str">
        <f t="shared" si="4"/>
        <v/>
      </c>
      <c r="J132" s="50" t="str">
        <f>IF(P132="","",IFERROR(ROUND(CHOOSE(VALUE(RIGHT(P132,1)),IF(LUNES!C62="peso_corporal",IF(ISNUMBER(LUNES!E62),LUNES!E62,0)+LUNES!F62,LUNES!F62)*LUNES!G62,IF(LUNES!C62="peso_corporal",IF(ISNUMBER(LUNES!E62),LUNES!E62,0)+LUNES!I62,LUNES!I62)*LUNES!J62,IF(LUNES!C62="peso_corporal",IF(ISNUMBER(LUNES!E62),LUNES!E62,0)+LUNES!L62,LUNES!L62)*LUNES!M62,IF(LUNES!C62="peso_corporal",IF(ISNUMBER(LUNES!E62),LUNES!E62,0)+LUNES!O62,LUNES!O62)*LUNES!P62,IF(LUNES!C62="peso_corporal",IF(ISNUMBER(LUNES!E62),LUNES!E62,0)+LUNES!R62,LUNES!R62)*LUNES!S62),1),""))</f>
        <v/>
      </c>
      <c r="K132" s="51" t="str">
        <f>IF(P132="","",IFERROR(ROUND(CHOOSE(VALUE(RIGHT(P132,1)),(IF(LUNES!C62="peso_corporal",IF(ISNUMBER(LUNES!E62),LUNES!E62,0)+LUNES!F62,LUNES!F62))*(1+LUNES!G62/30),(IF(LUNES!C62="peso_corporal",IF(ISNUMBER(LUNES!E62),LUNES!E62,0)+LUNES!I62,LUNES!I62))*(1+LUNES!J62/30),(IF(LUNES!C62="peso_corporal",IF(ISNUMBER(LUNES!E62),LUNES!E62,0)+LUNES!L62,LUNES!L62))*(1+LUNES!M62/30),(IF(LUNES!C62="peso_corporal",IF(ISNUMBER(LUNES!E62),LUNES!E62,0)+LUNES!O62,LUNES!O62))*(1+LUNES!P62/30),(IF(LUNES!C62="peso_corporal",IF(ISNUMBER(LUNES!E62),LUNES!E62,0)+LUNES!R62,LUNES!R62))*(1+LUNES!S62/30)),1),""))</f>
        <v/>
      </c>
      <c r="L132" s="52">
        <f>IFERROR(LUNES!E62,"")</f>
        <v>80</v>
      </c>
      <c r="M132" s="53" t="str">
        <f>IFERROR(IF(K132="","-",IF(ISNUMBER(LOOKUP(2,1/((HISTORIAL!$O$3:$O$131=O132)*(HISTORIAL!$F$3:$F$131&lt;&gt;"")),HISTORIAL!$K$3:$K$131)),IF(K132&gt;LOOKUP(2,1/((HISTORIAL!$O$3:$O$131=O132)*(HISTORIAL!$F$3:$F$131&lt;&gt;"")),HISTORIAL!$K$3:$K$131),"^",IF(K132&lt;LOOKUP(2,1/((HISTORIAL!$O$3:$O$131=O132)*(HISTORIAL!$F$3:$F$131&lt;&gt;"")),HISTORIAL!$K$3:$K$131),"v","-")),"-")),"-")</f>
        <v>-</v>
      </c>
      <c r="N132" s="54" t="str">
        <f>IFERROR(VLOOKUP(A132,CONFIG!$A$10:$B$21,2,0),"")</f>
        <v>FUE</v>
      </c>
      <c r="O132" s="55" t="str">
        <f t="shared" si="5"/>
        <v>Aperturas|Polea Baja Crossover</v>
      </c>
      <c r="P132" s="69" t="str">
        <f>LUNES!AC62</f>
        <v/>
      </c>
    </row>
    <row r="133" spans="1:16" ht="14.1" customHeight="1">
      <c r="A133" s="37">
        <v>3</v>
      </c>
      <c r="B133" s="37" t="s">
        <v>277</v>
      </c>
      <c r="C133" s="44" t="str">
        <f>LUNES!$A$63</f>
        <v>Aperturas</v>
      </c>
      <c r="D133" s="45" t="str">
        <f>LUNES!$B$63</f>
        <v>Pec Deck Maquina</v>
      </c>
      <c r="E133" s="37" t="str">
        <f>LUNES!$C$63</f>
        <v>--</v>
      </c>
      <c r="F133" s="46" t="str">
        <f>IF(P133="","",IFERROR(CHOOSE(VALUE(RIGHT(P133,1)),LUNES!F63,LUNES!I63,LUNES!L63,LUNES!O63,LUNES!R63),""))</f>
        <v/>
      </c>
      <c r="G133" s="47" t="str">
        <f>IF(P133="","",IFERROR(CHOOSE(VALUE(RIGHT(P133,1)),LUNES!G63,LUNES!J63,LUNES!M63,LUNES!P63,LUNES!S63),""))</f>
        <v/>
      </c>
      <c r="H133" s="48" t="str">
        <f>IF(P133="","",IFERROR(CHOOSE(VALUE(RIGHT(P133,1)),LUNES!H63,LUNES!K63,LUNES!N63,LUNES!Q63,LUNES!T63),""))</f>
        <v/>
      </c>
      <c r="I133" s="49" t="str">
        <f t="shared" si="4"/>
        <v/>
      </c>
      <c r="J133" s="50" t="str">
        <f>IF(P133="","",IFERROR(ROUND(CHOOSE(VALUE(RIGHT(P133,1)),IF(LUNES!C63="peso_corporal",IF(ISNUMBER(LUNES!E63),LUNES!E63,0)+LUNES!F63,LUNES!F63)*LUNES!G63,IF(LUNES!C63="peso_corporal",IF(ISNUMBER(LUNES!E63),LUNES!E63,0)+LUNES!I63,LUNES!I63)*LUNES!J63,IF(LUNES!C63="peso_corporal",IF(ISNUMBER(LUNES!E63),LUNES!E63,0)+LUNES!L63,LUNES!L63)*LUNES!M63,IF(LUNES!C63="peso_corporal",IF(ISNUMBER(LUNES!E63),LUNES!E63,0)+LUNES!O63,LUNES!O63)*LUNES!P63,IF(LUNES!C63="peso_corporal",IF(ISNUMBER(LUNES!E63),LUNES!E63,0)+LUNES!R63,LUNES!R63)*LUNES!S63),1),""))</f>
        <v/>
      </c>
      <c r="K133" s="51" t="str">
        <f>IF(P133="","",IFERROR(ROUND(CHOOSE(VALUE(RIGHT(P133,1)),(IF(LUNES!C63="peso_corporal",IF(ISNUMBER(LUNES!E63),LUNES!E63,0)+LUNES!F63,LUNES!F63))*(1+LUNES!G63/30),(IF(LUNES!C63="peso_corporal",IF(ISNUMBER(LUNES!E63),LUNES!E63,0)+LUNES!I63,LUNES!I63))*(1+LUNES!J63/30),(IF(LUNES!C63="peso_corporal",IF(ISNUMBER(LUNES!E63),LUNES!E63,0)+LUNES!L63,LUNES!L63))*(1+LUNES!M63/30),(IF(LUNES!C63="peso_corporal",IF(ISNUMBER(LUNES!E63),LUNES!E63,0)+LUNES!O63,LUNES!O63))*(1+LUNES!P63/30),(IF(LUNES!C63="peso_corporal",IF(ISNUMBER(LUNES!E63),LUNES!E63,0)+LUNES!R63,LUNES!R63))*(1+LUNES!S63/30)),1),""))</f>
        <v/>
      </c>
      <c r="L133" s="52">
        <f>IFERROR(LUNES!E63,"")</f>
        <v>80</v>
      </c>
      <c r="M133" s="53" t="str">
        <f>IFERROR(IF(K133="","-",IF(ISNUMBER(LOOKUP(2,1/((HISTORIAL!$O$3:$O$132=O133)*(HISTORIAL!$F$3:$F$132&lt;&gt;"")),HISTORIAL!$K$3:$K$132)),IF(K133&gt;LOOKUP(2,1/((HISTORIAL!$O$3:$O$132=O133)*(HISTORIAL!$F$3:$F$132&lt;&gt;"")),HISTORIAL!$K$3:$K$132),"^",IF(K133&lt;LOOKUP(2,1/((HISTORIAL!$O$3:$O$132=O133)*(HISTORIAL!$F$3:$F$132&lt;&gt;"")),HISTORIAL!$K$3:$K$132),"v","-")),"-")),"-")</f>
        <v>-</v>
      </c>
      <c r="N133" s="54" t="str">
        <f>IFERROR(VLOOKUP(A133,CONFIG!$A$10:$B$21,2,0),"")</f>
        <v>FUE</v>
      </c>
      <c r="O133" s="55" t="str">
        <f t="shared" si="5"/>
        <v>Aperturas|Pec Deck Maquina</v>
      </c>
      <c r="P133" s="69" t="str">
        <f>LUNES!AC63</f>
        <v/>
      </c>
    </row>
    <row r="134" spans="1:16" ht="14.1" customHeight="1">
      <c r="A134" s="37">
        <v>3</v>
      </c>
      <c r="B134" s="37" t="s">
        <v>277</v>
      </c>
      <c r="C134" s="44" t="str">
        <f>LUNES!$A$65</f>
        <v>Elevaciones Laterales</v>
      </c>
      <c r="D134" s="45" t="str">
        <f>LUNES!$B$65</f>
        <v>Cable Polea Individual</v>
      </c>
      <c r="E134" s="37" t="str">
        <f>LUNES!$C$65</f>
        <v>polea</v>
      </c>
      <c r="F134" s="46" t="str">
        <f>IF(P134="","",IFERROR(CHOOSE(VALUE(RIGHT(P134,1)),LUNES!F65,LUNES!I65,LUNES!L65,LUNES!O65,LUNES!R65),""))</f>
        <v/>
      </c>
      <c r="G134" s="47" t="str">
        <f>IF(P134="","",IFERROR(CHOOSE(VALUE(RIGHT(P134,1)),LUNES!G65,LUNES!J65,LUNES!M65,LUNES!P65,LUNES!S65),""))</f>
        <v/>
      </c>
      <c r="H134" s="48" t="str">
        <f>IF(P134="","",IFERROR(CHOOSE(VALUE(RIGHT(P134,1)),LUNES!H65,LUNES!K65,LUNES!N65,LUNES!Q65,LUNES!T65),""))</f>
        <v/>
      </c>
      <c r="I134" s="49" t="str">
        <f t="shared" si="4"/>
        <v/>
      </c>
      <c r="J134" s="50" t="str">
        <f>IF(P134="","",IFERROR(ROUND(CHOOSE(VALUE(RIGHT(P134,1)),IF(LUNES!C65="peso_corporal",IF(ISNUMBER(LUNES!E65),LUNES!E65,0)+LUNES!F65,LUNES!F65)*LUNES!G65,IF(LUNES!C65="peso_corporal",IF(ISNUMBER(LUNES!E65),LUNES!E65,0)+LUNES!I65,LUNES!I65)*LUNES!J65,IF(LUNES!C65="peso_corporal",IF(ISNUMBER(LUNES!E65),LUNES!E65,0)+LUNES!L65,LUNES!L65)*LUNES!M65,IF(LUNES!C65="peso_corporal",IF(ISNUMBER(LUNES!E65),LUNES!E65,0)+LUNES!O65,LUNES!O65)*LUNES!P65,IF(LUNES!C65="peso_corporal",IF(ISNUMBER(LUNES!E65),LUNES!E65,0)+LUNES!R65,LUNES!R65)*LUNES!S65),1),""))</f>
        <v/>
      </c>
      <c r="K134" s="51" t="str">
        <f>IF(P134="","",IFERROR(ROUND(CHOOSE(VALUE(RIGHT(P134,1)),(IF(LUNES!C65="peso_corporal",IF(ISNUMBER(LUNES!E65),LUNES!E65,0)+LUNES!F65,LUNES!F65))*(1+LUNES!G65/30),(IF(LUNES!C65="peso_corporal",IF(ISNUMBER(LUNES!E65),LUNES!E65,0)+LUNES!I65,LUNES!I65))*(1+LUNES!J65/30),(IF(LUNES!C65="peso_corporal",IF(ISNUMBER(LUNES!E65),LUNES!E65,0)+LUNES!L65,LUNES!L65))*(1+LUNES!M65/30),(IF(LUNES!C65="peso_corporal",IF(ISNUMBER(LUNES!E65),LUNES!E65,0)+LUNES!O65,LUNES!O65))*(1+LUNES!P65/30),(IF(LUNES!C65="peso_corporal",IF(ISNUMBER(LUNES!E65),LUNES!E65,0)+LUNES!R65,LUNES!R65))*(1+LUNES!S65/30)),1),""))</f>
        <v/>
      </c>
      <c r="L134" s="52">
        <f>IFERROR(LUNES!E65,"")</f>
        <v>80</v>
      </c>
      <c r="M134" s="53" t="str">
        <f>IFERROR(IF(K134="","-",IF(ISNUMBER(LOOKUP(2,1/((HISTORIAL!$O$3:$O$133=O134)*(HISTORIAL!$F$3:$F$133&lt;&gt;"")),HISTORIAL!$K$3:$K$133)),IF(K134&gt;LOOKUP(2,1/((HISTORIAL!$O$3:$O$133=O134)*(HISTORIAL!$F$3:$F$133&lt;&gt;"")),HISTORIAL!$K$3:$K$133),"^",IF(K134&lt;LOOKUP(2,1/((HISTORIAL!$O$3:$O$133=O134)*(HISTORIAL!$F$3:$F$133&lt;&gt;"")),HISTORIAL!$K$3:$K$133),"v","-")),"-")),"-")</f>
        <v>-</v>
      </c>
      <c r="N134" s="54" t="str">
        <f>IFERROR(VLOOKUP(A134,CONFIG!$A$10:$B$21,2,0),"")</f>
        <v>FUE</v>
      </c>
      <c r="O134" s="55" t="str">
        <f t="shared" si="5"/>
        <v>Elevaciones Laterales|Cable Polea Individual</v>
      </c>
      <c r="P134" s="69" t="str">
        <f>LUNES!AC65</f>
        <v/>
      </c>
    </row>
    <row r="135" spans="1:16" ht="14.1" customHeight="1">
      <c r="A135" s="37">
        <v>3</v>
      </c>
      <c r="B135" s="37" t="s">
        <v>277</v>
      </c>
      <c r="C135" s="44" t="str">
        <f>LUNES!$A$66</f>
        <v>Press Militar</v>
      </c>
      <c r="D135" s="45" t="str">
        <f>LUNES!$B$66</f>
        <v>Mancuernas Sentado</v>
      </c>
      <c r="E135" s="37" t="str">
        <f>LUNES!$C$66</f>
        <v>mancuerna</v>
      </c>
      <c r="F135" s="46" t="str">
        <f>IF(P135="","",IFERROR(CHOOSE(VALUE(RIGHT(P135,1)),LUNES!F66,LUNES!I66,LUNES!L66,LUNES!O66,LUNES!R66),""))</f>
        <v/>
      </c>
      <c r="G135" s="47" t="str">
        <f>IF(P135="","",IFERROR(CHOOSE(VALUE(RIGHT(P135,1)),LUNES!G66,LUNES!J66,LUNES!M66,LUNES!P66,LUNES!S66),""))</f>
        <v/>
      </c>
      <c r="H135" s="48" t="str">
        <f>IF(P135="","",IFERROR(CHOOSE(VALUE(RIGHT(P135,1)),LUNES!H66,LUNES!K66,LUNES!N66,LUNES!Q66,LUNES!T66),""))</f>
        <v/>
      </c>
      <c r="I135" s="49" t="str">
        <f t="shared" si="4"/>
        <v/>
      </c>
      <c r="J135" s="50" t="str">
        <f>IF(P135="","",IFERROR(ROUND(CHOOSE(VALUE(RIGHT(P135,1)),IF(LUNES!C66="peso_corporal",IF(ISNUMBER(LUNES!E66),LUNES!E66,0)+LUNES!F66,LUNES!F66)*LUNES!G66,IF(LUNES!C66="peso_corporal",IF(ISNUMBER(LUNES!E66),LUNES!E66,0)+LUNES!I66,LUNES!I66)*LUNES!J66,IF(LUNES!C66="peso_corporal",IF(ISNUMBER(LUNES!E66),LUNES!E66,0)+LUNES!L66,LUNES!L66)*LUNES!M66,IF(LUNES!C66="peso_corporal",IF(ISNUMBER(LUNES!E66),LUNES!E66,0)+LUNES!O66,LUNES!O66)*LUNES!P66,IF(LUNES!C66="peso_corporal",IF(ISNUMBER(LUNES!E66),LUNES!E66,0)+LUNES!R66,LUNES!R66)*LUNES!S66),1),""))</f>
        <v/>
      </c>
      <c r="K135" s="51" t="str">
        <f>IF(P135="","",IFERROR(ROUND(CHOOSE(VALUE(RIGHT(P135,1)),(IF(LUNES!C66="peso_corporal",IF(ISNUMBER(LUNES!E66),LUNES!E66,0)+LUNES!F66,LUNES!F66))*(1+LUNES!G66/30),(IF(LUNES!C66="peso_corporal",IF(ISNUMBER(LUNES!E66),LUNES!E66,0)+LUNES!I66,LUNES!I66))*(1+LUNES!J66/30),(IF(LUNES!C66="peso_corporal",IF(ISNUMBER(LUNES!E66),LUNES!E66,0)+LUNES!L66,LUNES!L66))*(1+LUNES!M66/30),(IF(LUNES!C66="peso_corporal",IF(ISNUMBER(LUNES!E66),LUNES!E66,0)+LUNES!O66,LUNES!O66))*(1+LUNES!P66/30),(IF(LUNES!C66="peso_corporal",IF(ISNUMBER(LUNES!E66),LUNES!E66,0)+LUNES!R66,LUNES!R66))*(1+LUNES!S66/30)),1),""))</f>
        <v/>
      </c>
      <c r="L135" s="52">
        <f>IFERROR(LUNES!E66,"")</f>
        <v>80</v>
      </c>
      <c r="M135" s="53" t="str">
        <f>IFERROR(IF(K135="","-",IF(ISNUMBER(LOOKUP(2,1/((HISTORIAL!$O$3:$O$134=O135)*(HISTORIAL!$F$3:$F$134&lt;&gt;"")),HISTORIAL!$K$3:$K$134)),IF(K135&gt;LOOKUP(2,1/((HISTORIAL!$O$3:$O$134=O135)*(HISTORIAL!$F$3:$F$134&lt;&gt;"")),HISTORIAL!$K$3:$K$134),"^",IF(K135&lt;LOOKUP(2,1/((HISTORIAL!$O$3:$O$134=O135)*(HISTORIAL!$F$3:$F$134&lt;&gt;"")),HISTORIAL!$K$3:$K$134),"v","-")),"-")),"-")</f>
        <v>-</v>
      </c>
      <c r="N135" s="54" t="str">
        <f>IFERROR(VLOOKUP(A135,CONFIG!$A$10:$B$21,2,0),"")</f>
        <v>FUE</v>
      </c>
      <c r="O135" s="55" t="str">
        <f t="shared" si="5"/>
        <v>Press Militar|Mancuernas Sentado</v>
      </c>
      <c r="P135" s="69" t="str">
        <f>LUNES!AC66</f>
        <v/>
      </c>
    </row>
    <row r="136" spans="1:16" ht="14.1" customHeight="1">
      <c r="A136" s="37">
        <v>3</v>
      </c>
      <c r="B136" s="37" t="s">
        <v>277</v>
      </c>
      <c r="C136" s="44" t="str">
        <f>LUNES!$A$68</f>
        <v>Extension Triceps</v>
      </c>
      <c r="D136" s="45" t="str">
        <f>LUNES!$B$68</f>
        <v>Press Neutro Polea Individual</v>
      </c>
      <c r="E136" s="37" t="str">
        <f>LUNES!$C$68</f>
        <v>--</v>
      </c>
      <c r="F136" s="46" t="str">
        <f>IF(P136="","",IFERROR(CHOOSE(VALUE(RIGHT(P136,1)),LUNES!F68,LUNES!I68,LUNES!L68,LUNES!O68,LUNES!R68),""))</f>
        <v/>
      </c>
      <c r="G136" s="47" t="str">
        <f>IF(P136="","",IFERROR(CHOOSE(VALUE(RIGHT(P136,1)),LUNES!G68,LUNES!J68,LUNES!M68,LUNES!P68,LUNES!S68),""))</f>
        <v/>
      </c>
      <c r="H136" s="48" t="str">
        <f>IF(P136="","",IFERROR(CHOOSE(VALUE(RIGHT(P136,1)),LUNES!H68,LUNES!K68,LUNES!N68,LUNES!Q68,LUNES!T68),""))</f>
        <v/>
      </c>
      <c r="I136" s="49" t="str">
        <f t="shared" si="4"/>
        <v/>
      </c>
      <c r="J136" s="50" t="str">
        <f>IF(P136="","",IFERROR(ROUND(CHOOSE(VALUE(RIGHT(P136,1)),IF(LUNES!C68="peso_corporal",IF(ISNUMBER(LUNES!E68),LUNES!E68,0)+LUNES!F68,LUNES!F68)*LUNES!G68,IF(LUNES!C68="peso_corporal",IF(ISNUMBER(LUNES!E68),LUNES!E68,0)+LUNES!I68,LUNES!I68)*LUNES!J68,IF(LUNES!C68="peso_corporal",IF(ISNUMBER(LUNES!E68),LUNES!E68,0)+LUNES!L68,LUNES!L68)*LUNES!M68,IF(LUNES!C68="peso_corporal",IF(ISNUMBER(LUNES!E68),LUNES!E68,0)+LUNES!O68,LUNES!O68)*LUNES!P68,IF(LUNES!C68="peso_corporal",IF(ISNUMBER(LUNES!E68),LUNES!E68,0)+LUNES!R68,LUNES!R68)*LUNES!S68),1),""))</f>
        <v/>
      </c>
      <c r="K136" s="51" t="str">
        <f>IF(P136="","",IFERROR(ROUND(CHOOSE(VALUE(RIGHT(P136,1)),(IF(LUNES!C68="peso_corporal",IF(ISNUMBER(LUNES!E68),LUNES!E68,0)+LUNES!F68,LUNES!F68))*(1+LUNES!G68/30),(IF(LUNES!C68="peso_corporal",IF(ISNUMBER(LUNES!E68),LUNES!E68,0)+LUNES!I68,LUNES!I68))*(1+LUNES!J68/30),(IF(LUNES!C68="peso_corporal",IF(ISNUMBER(LUNES!E68),LUNES!E68,0)+LUNES!L68,LUNES!L68))*(1+LUNES!M68/30),(IF(LUNES!C68="peso_corporal",IF(ISNUMBER(LUNES!E68),LUNES!E68,0)+LUNES!O68,LUNES!O68))*(1+LUNES!P68/30),(IF(LUNES!C68="peso_corporal",IF(ISNUMBER(LUNES!E68),LUNES!E68,0)+LUNES!R68,LUNES!R68))*(1+LUNES!S68/30)),1),""))</f>
        <v/>
      </c>
      <c r="L136" s="52">
        <f>IFERROR(LUNES!E68,"")</f>
        <v>80</v>
      </c>
      <c r="M136" s="53" t="str">
        <f>IFERROR(IF(K136="","-",IF(ISNUMBER(LOOKUP(2,1/((HISTORIAL!$O$3:$O$135=O136)*(HISTORIAL!$F$3:$F$135&lt;&gt;"")),HISTORIAL!$K$3:$K$135)),IF(K136&gt;LOOKUP(2,1/((HISTORIAL!$O$3:$O$135=O136)*(HISTORIAL!$F$3:$F$135&lt;&gt;"")),HISTORIAL!$K$3:$K$135),"^",IF(K136&lt;LOOKUP(2,1/((HISTORIAL!$O$3:$O$135=O136)*(HISTORIAL!$F$3:$F$135&lt;&gt;"")),HISTORIAL!$K$3:$K$135),"v","-")),"-")),"-")</f>
        <v>-</v>
      </c>
      <c r="N136" s="54" t="str">
        <f>IFERROR(VLOOKUP(A136,CONFIG!$A$10:$B$21,2,0),"")</f>
        <v>FUE</v>
      </c>
      <c r="O136" s="55" t="str">
        <f t="shared" si="5"/>
        <v>Extension Triceps|Press Neutro Polea Individual</v>
      </c>
      <c r="P136" s="69" t="str">
        <f>LUNES!AC68</f>
        <v/>
      </c>
    </row>
    <row r="137" spans="1:16" ht="14.1" customHeight="1">
      <c r="A137" s="37">
        <v>3</v>
      </c>
      <c r="B137" s="37" t="s">
        <v>277</v>
      </c>
      <c r="C137" s="44" t="str">
        <f>LUNES!$A$70</f>
        <v>Extension Cuadriceps</v>
      </c>
      <c r="D137" s="45" t="str">
        <f>LUNES!$B$70</f>
        <v>Vasto Externo</v>
      </c>
      <c r="E137" s="37" t="str">
        <f>LUNES!$C$70</f>
        <v>--</v>
      </c>
      <c r="F137" s="46" t="str">
        <f>IF(P137="","",IFERROR(CHOOSE(VALUE(RIGHT(P137,1)),LUNES!F70,LUNES!I70,LUNES!L70,LUNES!O70,LUNES!R70),""))</f>
        <v/>
      </c>
      <c r="G137" s="47" t="str">
        <f>IF(P137="","",IFERROR(CHOOSE(VALUE(RIGHT(P137,1)),LUNES!G70,LUNES!J70,LUNES!M70,LUNES!P70,LUNES!S70),""))</f>
        <v/>
      </c>
      <c r="H137" s="48" t="str">
        <f>IF(P137="","",IFERROR(CHOOSE(VALUE(RIGHT(P137,1)),LUNES!H70,LUNES!K70,LUNES!N70,LUNES!Q70,LUNES!T70),""))</f>
        <v/>
      </c>
      <c r="I137" s="49" t="str">
        <f t="shared" si="4"/>
        <v/>
      </c>
      <c r="J137" s="50" t="str">
        <f>IF(P137="","",IFERROR(ROUND(CHOOSE(VALUE(RIGHT(P137,1)),IF(LUNES!C70="peso_corporal",IF(ISNUMBER(LUNES!E70),LUNES!E70,0)+LUNES!F70,LUNES!F70)*LUNES!G70,IF(LUNES!C70="peso_corporal",IF(ISNUMBER(LUNES!E70),LUNES!E70,0)+LUNES!I70,LUNES!I70)*LUNES!J70,IF(LUNES!C70="peso_corporal",IF(ISNUMBER(LUNES!E70),LUNES!E70,0)+LUNES!L70,LUNES!L70)*LUNES!M70,IF(LUNES!C70="peso_corporal",IF(ISNUMBER(LUNES!E70),LUNES!E70,0)+LUNES!O70,LUNES!O70)*LUNES!P70,IF(LUNES!C70="peso_corporal",IF(ISNUMBER(LUNES!E70),LUNES!E70,0)+LUNES!R70,LUNES!R70)*LUNES!S70),1),""))</f>
        <v/>
      </c>
      <c r="K137" s="51" t="str">
        <f>IF(P137="","",IFERROR(ROUND(CHOOSE(VALUE(RIGHT(P137,1)),(IF(LUNES!C70="peso_corporal",IF(ISNUMBER(LUNES!E70),LUNES!E70,0)+LUNES!F70,LUNES!F70))*(1+LUNES!G70/30),(IF(LUNES!C70="peso_corporal",IF(ISNUMBER(LUNES!E70),LUNES!E70,0)+LUNES!I70,LUNES!I70))*(1+LUNES!J70/30),(IF(LUNES!C70="peso_corporal",IF(ISNUMBER(LUNES!E70),LUNES!E70,0)+LUNES!L70,LUNES!L70))*(1+LUNES!M70/30),(IF(LUNES!C70="peso_corporal",IF(ISNUMBER(LUNES!E70),LUNES!E70,0)+LUNES!O70,LUNES!O70))*(1+LUNES!P70/30),(IF(LUNES!C70="peso_corporal",IF(ISNUMBER(LUNES!E70),LUNES!E70,0)+LUNES!R70,LUNES!R70))*(1+LUNES!S70/30)),1),""))</f>
        <v/>
      </c>
      <c r="L137" s="52">
        <f>IFERROR(LUNES!E70,"")</f>
        <v>80</v>
      </c>
      <c r="M137" s="53" t="str">
        <f>IFERROR(IF(K137="","-",IF(ISNUMBER(LOOKUP(2,1/((HISTORIAL!$O$3:$O$136=O137)*(HISTORIAL!$F$3:$F$136&lt;&gt;"")),HISTORIAL!$K$3:$K$136)),IF(K137&gt;LOOKUP(2,1/((HISTORIAL!$O$3:$O$136=O137)*(HISTORIAL!$F$3:$F$136&lt;&gt;"")),HISTORIAL!$K$3:$K$136),"^",IF(K137&lt;LOOKUP(2,1/((HISTORIAL!$O$3:$O$136=O137)*(HISTORIAL!$F$3:$F$136&lt;&gt;"")),HISTORIAL!$K$3:$K$136),"v","-")),"-")),"-")</f>
        <v>-</v>
      </c>
      <c r="N137" s="54" t="str">
        <f>IFERROR(VLOOKUP(A137,CONFIG!$A$10:$B$21,2,0),"")</f>
        <v>FUE</v>
      </c>
      <c r="O137" s="55" t="str">
        <f t="shared" si="5"/>
        <v>Extension Cuadriceps|Vasto Externo</v>
      </c>
      <c r="P137" s="69" t="str">
        <f>LUNES!AC70</f>
        <v/>
      </c>
    </row>
    <row r="138" spans="1:16" ht="14.1" customHeight="1">
      <c r="A138" s="37">
        <v>3</v>
      </c>
      <c r="B138" s="37" t="s">
        <v>277</v>
      </c>
      <c r="C138" s="44" t="str">
        <f>LUNES!$A$72</f>
        <v>Curl Biceps</v>
      </c>
      <c r="D138" s="45" t="str">
        <f>LUNES!$B$72</f>
        <v>Inclinado Banco Mancuernas</v>
      </c>
      <c r="E138" s="37" t="str">
        <f>LUNES!$C$72</f>
        <v>mancuerna</v>
      </c>
      <c r="F138" s="46" t="str">
        <f>IF(P138="","",IFERROR(CHOOSE(VALUE(RIGHT(P138,1)),LUNES!F72,LUNES!I72,LUNES!L72,LUNES!O72,LUNES!R72),""))</f>
        <v/>
      </c>
      <c r="G138" s="47" t="str">
        <f>IF(P138="","",IFERROR(CHOOSE(VALUE(RIGHT(P138,1)),LUNES!G72,LUNES!J72,LUNES!M72,LUNES!P72,LUNES!S72),""))</f>
        <v/>
      </c>
      <c r="H138" s="48" t="str">
        <f>IF(P138="","",IFERROR(CHOOSE(VALUE(RIGHT(P138,1)),LUNES!H72,LUNES!K72,LUNES!N72,LUNES!Q72,LUNES!T72),""))</f>
        <v/>
      </c>
      <c r="I138" s="49" t="str">
        <f t="shared" si="4"/>
        <v/>
      </c>
      <c r="J138" s="50" t="str">
        <f>IF(P138="","",IFERROR(ROUND(CHOOSE(VALUE(RIGHT(P138,1)),IF(LUNES!C72="peso_corporal",IF(ISNUMBER(LUNES!E72),LUNES!E72,0)+LUNES!F72,LUNES!F72)*LUNES!G72,IF(LUNES!C72="peso_corporal",IF(ISNUMBER(LUNES!E72),LUNES!E72,0)+LUNES!I72,LUNES!I72)*LUNES!J72,IF(LUNES!C72="peso_corporal",IF(ISNUMBER(LUNES!E72),LUNES!E72,0)+LUNES!L72,LUNES!L72)*LUNES!M72,IF(LUNES!C72="peso_corporal",IF(ISNUMBER(LUNES!E72),LUNES!E72,0)+LUNES!O72,LUNES!O72)*LUNES!P72,IF(LUNES!C72="peso_corporal",IF(ISNUMBER(LUNES!E72),LUNES!E72,0)+LUNES!R72,LUNES!R72)*LUNES!S72),1),""))</f>
        <v/>
      </c>
      <c r="K138" s="51" t="str">
        <f>IF(P138="","",IFERROR(ROUND(CHOOSE(VALUE(RIGHT(P138,1)),(IF(LUNES!C72="peso_corporal",IF(ISNUMBER(LUNES!E72),LUNES!E72,0)+LUNES!F72,LUNES!F72))*(1+LUNES!G72/30),(IF(LUNES!C72="peso_corporal",IF(ISNUMBER(LUNES!E72),LUNES!E72,0)+LUNES!I72,LUNES!I72))*(1+LUNES!J72/30),(IF(LUNES!C72="peso_corporal",IF(ISNUMBER(LUNES!E72),LUNES!E72,0)+LUNES!L72,LUNES!L72))*(1+LUNES!M72/30),(IF(LUNES!C72="peso_corporal",IF(ISNUMBER(LUNES!E72),LUNES!E72,0)+LUNES!O72,LUNES!O72))*(1+LUNES!P72/30),(IF(LUNES!C72="peso_corporal",IF(ISNUMBER(LUNES!E72),LUNES!E72,0)+LUNES!R72,LUNES!R72))*(1+LUNES!S72/30)),1),""))</f>
        <v/>
      </c>
      <c r="L138" s="52">
        <f>IFERROR(LUNES!E72,"")</f>
        <v>80</v>
      </c>
      <c r="M138" s="53" t="str">
        <f>IFERROR(IF(K138="","-",IF(ISNUMBER(LOOKUP(2,1/((HISTORIAL!$O$3:$O$137=O138)*(HISTORIAL!$F$3:$F$137&lt;&gt;"")),HISTORIAL!$K$3:$K$137)),IF(K138&gt;LOOKUP(2,1/((HISTORIAL!$O$3:$O$137=O138)*(HISTORIAL!$F$3:$F$137&lt;&gt;"")),HISTORIAL!$K$3:$K$137),"^",IF(K138&lt;LOOKUP(2,1/((HISTORIAL!$O$3:$O$137=O138)*(HISTORIAL!$F$3:$F$137&lt;&gt;"")),HISTORIAL!$K$3:$K$137),"v","-")),"-")),"-")</f>
        <v>-</v>
      </c>
      <c r="N138" s="54" t="str">
        <f>IFERROR(VLOOKUP(A138,CONFIG!$A$10:$B$21,2,0),"")</f>
        <v>FUE</v>
      </c>
      <c r="O138" s="55" t="str">
        <f t="shared" si="5"/>
        <v>Curl Biceps|Inclinado Banco Mancuernas</v>
      </c>
      <c r="P138" s="69" t="str">
        <f>LUNES!AC72</f>
        <v/>
      </c>
    </row>
    <row r="139" spans="1:16" ht="14.1" customHeight="1">
      <c r="A139" s="37">
        <v>3</v>
      </c>
      <c r="B139" s="37" t="s">
        <v>277</v>
      </c>
      <c r="C139" s="44" t="str">
        <f>LUNES!$A$74</f>
        <v>Crunch</v>
      </c>
      <c r="D139" s="45" t="str">
        <f>LUNES!$B$74</f>
        <v>Polea</v>
      </c>
      <c r="E139" s="37" t="str">
        <f>LUNES!$C$74</f>
        <v>polea</v>
      </c>
      <c r="F139" s="46" t="str">
        <f>IF(P139="","",IFERROR(CHOOSE(VALUE(RIGHT(P139,1)),LUNES!F74,LUNES!I74,LUNES!L74,LUNES!O74,LUNES!R74),""))</f>
        <v/>
      </c>
      <c r="G139" s="47" t="str">
        <f>IF(P139="","",IFERROR(CHOOSE(VALUE(RIGHT(P139,1)),LUNES!G74,LUNES!J74,LUNES!M74,LUNES!P74,LUNES!S74),""))</f>
        <v/>
      </c>
      <c r="H139" s="48" t="str">
        <f>IF(P139="","",IFERROR(CHOOSE(VALUE(RIGHT(P139,1)),LUNES!H74,LUNES!K74,LUNES!N74,LUNES!Q74,LUNES!T74),""))</f>
        <v/>
      </c>
      <c r="I139" s="49" t="str">
        <f t="shared" si="4"/>
        <v/>
      </c>
      <c r="J139" s="50" t="str">
        <f>IF(P139="","",IFERROR(ROUND(CHOOSE(VALUE(RIGHT(P139,1)),IF(LUNES!C74="peso_corporal",IF(ISNUMBER(LUNES!E74),LUNES!E74,0)+LUNES!F74,LUNES!F74)*LUNES!G74,IF(LUNES!C74="peso_corporal",IF(ISNUMBER(LUNES!E74),LUNES!E74,0)+LUNES!I74,LUNES!I74)*LUNES!J74,IF(LUNES!C74="peso_corporal",IF(ISNUMBER(LUNES!E74),LUNES!E74,0)+LUNES!L74,LUNES!L74)*LUNES!M74,IF(LUNES!C74="peso_corporal",IF(ISNUMBER(LUNES!E74),LUNES!E74,0)+LUNES!O74,LUNES!O74)*LUNES!P74,IF(LUNES!C74="peso_corporal",IF(ISNUMBER(LUNES!E74),LUNES!E74,0)+LUNES!R74,LUNES!R74)*LUNES!S74),1),""))</f>
        <v/>
      </c>
      <c r="K139" s="51" t="str">
        <f>IF(P139="","",IFERROR(ROUND(CHOOSE(VALUE(RIGHT(P139,1)),(IF(LUNES!C74="peso_corporal",IF(ISNUMBER(LUNES!E74),LUNES!E74,0)+LUNES!F74,LUNES!F74))*(1+LUNES!G74/30),(IF(LUNES!C74="peso_corporal",IF(ISNUMBER(LUNES!E74),LUNES!E74,0)+LUNES!I74,LUNES!I74))*(1+LUNES!J74/30),(IF(LUNES!C74="peso_corporal",IF(ISNUMBER(LUNES!E74),LUNES!E74,0)+LUNES!L74,LUNES!L74))*(1+LUNES!M74/30),(IF(LUNES!C74="peso_corporal",IF(ISNUMBER(LUNES!E74),LUNES!E74,0)+LUNES!O74,LUNES!O74))*(1+LUNES!P74/30),(IF(LUNES!C74="peso_corporal",IF(ISNUMBER(LUNES!E74),LUNES!E74,0)+LUNES!R74,LUNES!R74))*(1+LUNES!S74/30)),1),""))</f>
        <v/>
      </c>
      <c r="L139" s="52">
        <f>IFERROR(LUNES!E74,"")</f>
        <v>80</v>
      </c>
      <c r="M139" s="53" t="str">
        <f>IFERROR(IF(K139="","-",IF(ISNUMBER(LOOKUP(2,1/((HISTORIAL!$O$3:$O$138=O139)*(HISTORIAL!$F$3:$F$138&lt;&gt;"")),HISTORIAL!$K$3:$K$138)),IF(K139&gt;LOOKUP(2,1/((HISTORIAL!$O$3:$O$138=O139)*(HISTORIAL!$F$3:$F$138&lt;&gt;"")),HISTORIAL!$K$3:$K$138),"^",IF(K139&lt;LOOKUP(2,1/((HISTORIAL!$O$3:$O$138=O139)*(HISTORIAL!$F$3:$F$138&lt;&gt;"")),HISTORIAL!$K$3:$K$138),"v","-")),"-")),"-")</f>
        <v>-</v>
      </c>
      <c r="N139" s="54" t="str">
        <f>IFERROR(VLOOKUP(A139,CONFIG!$A$10:$B$21,2,0),"")</f>
        <v>FUE</v>
      </c>
      <c r="O139" s="55" t="str">
        <f t="shared" si="5"/>
        <v>Crunch|Polea</v>
      </c>
      <c r="P139" s="69" t="str">
        <f>LUNES!AC74</f>
        <v/>
      </c>
    </row>
    <row r="140" spans="1:16" ht="14.1" customHeight="1">
      <c r="A140" s="37">
        <v>3</v>
      </c>
      <c r="B140" s="37" t="s">
        <v>278</v>
      </c>
      <c r="C140" s="44" t="str">
        <f>MARTES!$A$55</f>
        <v>Dominadas</v>
      </c>
      <c r="D140" s="45" t="str">
        <f>MARTES!$B$55</f>
        <v>Polea Alta Prono Ancho</v>
      </c>
      <c r="E140" s="37" t="str">
        <f>MARTES!$C$55</f>
        <v>peso_corporal</v>
      </c>
      <c r="F140" s="46" t="str">
        <f>IF(P140="","",IFERROR(CHOOSE(VALUE(RIGHT(P140,1)),MARTES!F55,MARTES!I55,MARTES!L55,MARTES!O55,MARTES!R55),""))</f>
        <v/>
      </c>
      <c r="G140" s="47" t="str">
        <f>IF(P140="","",IFERROR(CHOOSE(VALUE(RIGHT(P140,1)),MARTES!G55,MARTES!J55,MARTES!M55,MARTES!P55,MARTES!S55),""))</f>
        <v/>
      </c>
      <c r="H140" s="48" t="str">
        <f>IF(P140="","",IFERROR(CHOOSE(VALUE(RIGHT(P140,1)),MARTES!H55,MARTES!K55,MARTES!N55,MARTES!Q55,MARTES!T55),""))</f>
        <v/>
      </c>
      <c r="I140" s="49" t="str">
        <f t="shared" si="4"/>
        <v/>
      </c>
      <c r="J140" s="50" t="str">
        <f>IF(P140="","",IFERROR(ROUND(CHOOSE(VALUE(RIGHT(P140,1)),IF(MARTES!C55="peso_corporal",IF(ISNUMBER(MARTES!E55),MARTES!E55,0)+MARTES!F55,MARTES!F55)*MARTES!G55,IF(MARTES!C55="peso_corporal",IF(ISNUMBER(MARTES!E55),MARTES!E55,0)+MARTES!I55,MARTES!I55)*MARTES!J55,IF(MARTES!C55="peso_corporal",IF(ISNUMBER(MARTES!E55),MARTES!E55,0)+MARTES!L55,MARTES!L55)*MARTES!M55,IF(MARTES!C55="peso_corporal",IF(ISNUMBER(MARTES!E55),MARTES!E55,0)+MARTES!O55,MARTES!O55)*MARTES!P55,IF(MARTES!C55="peso_corporal",IF(ISNUMBER(MARTES!E55),MARTES!E55,0)+MARTES!R55,MARTES!R55)*MARTES!S55),1),""))</f>
        <v/>
      </c>
      <c r="K140" s="51" t="str">
        <f>IF(P140="","",IFERROR(ROUND(CHOOSE(VALUE(RIGHT(P140,1)),(IF(MARTES!C55="peso_corporal",IF(ISNUMBER(MARTES!E55),MARTES!E55,0)+MARTES!F55,MARTES!F55))*(1+MARTES!G55/30),(IF(MARTES!C55="peso_corporal",IF(ISNUMBER(MARTES!E55),MARTES!E55,0)+MARTES!I55,MARTES!I55))*(1+MARTES!J55/30),(IF(MARTES!C55="peso_corporal",IF(ISNUMBER(MARTES!E55),MARTES!E55,0)+MARTES!L55,MARTES!L55))*(1+MARTES!M55/30),(IF(MARTES!C55="peso_corporal",IF(ISNUMBER(MARTES!E55),MARTES!E55,0)+MARTES!O55,MARTES!O55))*(1+MARTES!P55/30),(IF(MARTES!C55="peso_corporal",IF(ISNUMBER(MARTES!E55),MARTES!E55,0)+MARTES!R55,MARTES!R55))*(1+MARTES!S55/30)),1),""))</f>
        <v/>
      </c>
      <c r="L140" s="52">
        <f>IFERROR(MARTES!E55,"")</f>
        <v>80</v>
      </c>
      <c r="M140" s="53" t="str">
        <f>IFERROR(IF(K140="","-",IF(ISNUMBER(LOOKUP(2,1/((HISTORIAL!$O$3:$O$139=O140)*(HISTORIAL!$F$3:$F$139&lt;&gt;"")),HISTORIAL!$K$3:$K$139)),IF(K140&gt;LOOKUP(2,1/((HISTORIAL!$O$3:$O$139=O140)*(HISTORIAL!$F$3:$F$139&lt;&gt;"")),HISTORIAL!$K$3:$K$139),"^",IF(K140&lt;LOOKUP(2,1/((HISTORIAL!$O$3:$O$139=O140)*(HISTORIAL!$F$3:$F$139&lt;&gt;"")),HISTORIAL!$K$3:$K$139),"v","-")),"-")),"-")</f>
        <v>-</v>
      </c>
      <c r="N140" s="54" t="str">
        <f>IFERROR(VLOOKUP(A140,CONFIG!$A$10:$B$21,2,0),"")</f>
        <v>FUE</v>
      </c>
      <c r="O140" s="55" t="str">
        <f t="shared" si="5"/>
        <v>Dominadas|Polea Alta Prono Ancho</v>
      </c>
      <c r="P140" s="69" t="str">
        <f>MARTES!AC55</f>
        <v/>
      </c>
    </row>
    <row r="141" spans="1:16" ht="14.1" customHeight="1">
      <c r="A141" s="37">
        <v>3</v>
      </c>
      <c r="B141" s="37" t="s">
        <v>278</v>
      </c>
      <c r="C141" s="44" t="str">
        <f>MARTES!$A$56</f>
        <v>Pulldown</v>
      </c>
      <c r="D141" s="45" t="str">
        <f>MARTES!$B$56</f>
        <v>Polea Alta Brazos Rectos Prono</v>
      </c>
      <c r="E141" s="37" t="str">
        <f>MARTES!$C$56</f>
        <v>polea</v>
      </c>
      <c r="F141" s="46" t="str">
        <f>IF(P141="","",IFERROR(CHOOSE(VALUE(RIGHT(P141,1)),MARTES!F56,MARTES!I56,MARTES!L56,MARTES!O56,MARTES!R56),""))</f>
        <v/>
      </c>
      <c r="G141" s="47" t="str">
        <f>IF(P141="","",IFERROR(CHOOSE(VALUE(RIGHT(P141,1)),MARTES!G56,MARTES!J56,MARTES!M56,MARTES!P56,MARTES!S56),""))</f>
        <v/>
      </c>
      <c r="H141" s="48" t="str">
        <f>IF(P141="","",IFERROR(CHOOSE(VALUE(RIGHT(P141,1)),MARTES!H56,MARTES!K56,MARTES!N56,MARTES!Q56,MARTES!T56),""))</f>
        <v/>
      </c>
      <c r="I141" s="49" t="str">
        <f t="shared" si="4"/>
        <v/>
      </c>
      <c r="J141" s="50" t="str">
        <f>IF(P141="","",IFERROR(ROUND(CHOOSE(VALUE(RIGHT(P141,1)),IF(MARTES!C56="peso_corporal",IF(ISNUMBER(MARTES!E56),MARTES!E56,0)+MARTES!F56,MARTES!F56)*MARTES!G56,IF(MARTES!C56="peso_corporal",IF(ISNUMBER(MARTES!E56),MARTES!E56,0)+MARTES!I56,MARTES!I56)*MARTES!J56,IF(MARTES!C56="peso_corporal",IF(ISNUMBER(MARTES!E56),MARTES!E56,0)+MARTES!L56,MARTES!L56)*MARTES!M56,IF(MARTES!C56="peso_corporal",IF(ISNUMBER(MARTES!E56),MARTES!E56,0)+MARTES!O56,MARTES!O56)*MARTES!P56,IF(MARTES!C56="peso_corporal",IF(ISNUMBER(MARTES!E56),MARTES!E56,0)+MARTES!R56,MARTES!R56)*MARTES!S56),1),""))</f>
        <v/>
      </c>
      <c r="K141" s="51" t="str">
        <f>IF(P141="","",IFERROR(ROUND(CHOOSE(VALUE(RIGHT(P141,1)),(IF(MARTES!C56="peso_corporal",IF(ISNUMBER(MARTES!E56),MARTES!E56,0)+MARTES!F56,MARTES!F56))*(1+MARTES!G56/30),(IF(MARTES!C56="peso_corporal",IF(ISNUMBER(MARTES!E56),MARTES!E56,0)+MARTES!I56,MARTES!I56))*(1+MARTES!J56/30),(IF(MARTES!C56="peso_corporal",IF(ISNUMBER(MARTES!E56),MARTES!E56,0)+MARTES!L56,MARTES!L56))*(1+MARTES!M56/30),(IF(MARTES!C56="peso_corporal",IF(ISNUMBER(MARTES!E56),MARTES!E56,0)+MARTES!O56,MARTES!O56))*(1+MARTES!P56/30),(IF(MARTES!C56="peso_corporal",IF(ISNUMBER(MARTES!E56),MARTES!E56,0)+MARTES!R56,MARTES!R56))*(1+MARTES!S56/30)),1),""))</f>
        <v/>
      </c>
      <c r="L141" s="52">
        <f>IFERROR(MARTES!E56,"")</f>
        <v>80</v>
      </c>
      <c r="M141" s="53" t="str">
        <f>IFERROR(IF(K141="","-",IF(ISNUMBER(LOOKUP(2,1/((HISTORIAL!$O$3:$O$140=O141)*(HISTORIAL!$F$3:$F$140&lt;&gt;"")),HISTORIAL!$K$3:$K$140)),IF(K141&gt;LOOKUP(2,1/((HISTORIAL!$O$3:$O$140=O141)*(HISTORIAL!$F$3:$F$140&lt;&gt;"")),HISTORIAL!$K$3:$K$140),"^",IF(K141&lt;LOOKUP(2,1/((HISTORIAL!$O$3:$O$140=O141)*(HISTORIAL!$F$3:$F$140&lt;&gt;"")),HISTORIAL!$K$3:$K$140),"v","-")),"-")),"-")</f>
        <v>-</v>
      </c>
      <c r="N141" s="54" t="str">
        <f>IFERROR(VLOOKUP(A141,CONFIG!$A$10:$B$21,2,0),"")</f>
        <v>FUE</v>
      </c>
      <c r="O141" s="55" t="str">
        <f t="shared" si="5"/>
        <v>Pulldown|Polea Alta Brazos Rectos Prono</v>
      </c>
      <c r="P141" s="69" t="str">
        <f>MARTES!AC56</f>
        <v/>
      </c>
    </row>
    <row r="142" spans="1:16" ht="14.1" customHeight="1">
      <c r="A142" s="37">
        <v>3</v>
      </c>
      <c r="B142" s="37" t="s">
        <v>278</v>
      </c>
      <c r="C142" s="44" t="str">
        <f>MARTES!$A$58</f>
        <v>Remo</v>
      </c>
      <c r="D142" s="45" t="str">
        <f>MARTES!$B$58</f>
        <v>Maquina Hammer Neutro Unilateral</v>
      </c>
      <c r="E142" s="37" t="str">
        <f>MARTES!$C$58</f>
        <v>polea</v>
      </c>
      <c r="F142" s="46" t="str">
        <f>IF(P142="","",IFERROR(CHOOSE(VALUE(RIGHT(P142,1)),MARTES!F58,MARTES!I58,MARTES!L58,MARTES!O58,MARTES!R58),""))</f>
        <v/>
      </c>
      <c r="G142" s="47" t="str">
        <f>IF(P142="","",IFERROR(CHOOSE(VALUE(RIGHT(P142,1)),MARTES!G58,MARTES!J58,MARTES!M58,MARTES!P58,MARTES!S58),""))</f>
        <v/>
      </c>
      <c r="H142" s="48" t="str">
        <f>IF(P142="","",IFERROR(CHOOSE(VALUE(RIGHT(P142,1)),MARTES!H58,MARTES!K58,MARTES!N58,MARTES!Q58,MARTES!T58),""))</f>
        <v/>
      </c>
      <c r="I142" s="49" t="str">
        <f t="shared" si="4"/>
        <v/>
      </c>
      <c r="J142" s="50" t="str">
        <f>IF(P142="","",IFERROR(ROUND(CHOOSE(VALUE(RIGHT(P142,1)),IF(MARTES!C58="peso_corporal",IF(ISNUMBER(MARTES!E58),MARTES!E58,0)+MARTES!F58,MARTES!F58)*MARTES!G58,IF(MARTES!C58="peso_corporal",IF(ISNUMBER(MARTES!E58),MARTES!E58,0)+MARTES!I58,MARTES!I58)*MARTES!J58,IF(MARTES!C58="peso_corporal",IF(ISNUMBER(MARTES!E58),MARTES!E58,0)+MARTES!L58,MARTES!L58)*MARTES!M58,IF(MARTES!C58="peso_corporal",IF(ISNUMBER(MARTES!E58),MARTES!E58,0)+MARTES!O58,MARTES!O58)*MARTES!P58,IF(MARTES!C58="peso_corporal",IF(ISNUMBER(MARTES!E58),MARTES!E58,0)+MARTES!R58,MARTES!R58)*MARTES!S58),1),""))</f>
        <v/>
      </c>
      <c r="K142" s="51" t="str">
        <f>IF(P142="","",IFERROR(ROUND(CHOOSE(VALUE(RIGHT(P142,1)),(IF(MARTES!C58="peso_corporal",IF(ISNUMBER(MARTES!E58),MARTES!E58,0)+MARTES!F58,MARTES!F58))*(1+MARTES!G58/30),(IF(MARTES!C58="peso_corporal",IF(ISNUMBER(MARTES!E58),MARTES!E58,0)+MARTES!I58,MARTES!I58))*(1+MARTES!J58/30),(IF(MARTES!C58="peso_corporal",IF(ISNUMBER(MARTES!E58),MARTES!E58,0)+MARTES!L58,MARTES!L58))*(1+MARTES!M58/30),(IF(MARTES!C58="peso_corporal",IF(ISNUMBER(MARTES!E58),MARTES!E58,0)+MARTES!O58,MARTES!O58))*(1+MARTES!P58/30),(IF(MARTES!C58="peso_corporal",IF(ISNUMBER(MARTES!E58),MARTES!E58,0)+MARTES!R58,MARTES!R58))*(1+MARTES!S58/30)),1),""))</f>
        <v/>
      </c>
      <c r="L142" s="52">
        <f>IFERROR(MARTES!E58,"")</f>
        <v>80</v>
      </c>
      <c r="M142" s="53" t="str">
        <f>IFERROR(IF(K142="","-",IF(ISNUMBER(LOOKUP(2,1/((HISTORIAL!$O$3:$O$141=O142)*(HISTORIAL!$F$3:$F$141&lt;&gt;"")),HISTORIAL!$K$3:$K$141)),IF(K142&gt;LOOKUP(2,1/((HISTORIAL!$O$3:$O$141=O142)*(HISTORIAL!$F$3:$F$141&lt;&gt;"")),HISTORIAL!$K$3:$K$141),"^",IF(K142&lt;LOOKUP(2,1/((HISTORIAL!$O$3:$O$141=O142)*(HISTORIAL!$F$3:$F$141&lt;&gt;"")),HISTORIAL!$K$3:$K$141),"v","-")),"-")),"-")</f>
        <v>-</v>
      </c>
      <c r="N142" s="54" t="str">
        <f>IFERROR(VLOOKUP(A142,CONFIG!$A$10:$B$21,2,0),"")</f>
        <v>FUE</v>
      </c>
      <c r="O142" s="55" t="str">
        <f t="shared" si="5"/>
        <v>Remo|Maquina Hammer Neutro Unilateral</v>
      </c>
      <c r="P142" s="69" t="str">
        <f>MARTES!AC58</f>
        <v/>
      </c>
    </row>
    <row r="143" spans="1:16" ht="14.1" customHeight="1">
      <c r="A143" s="37">
        <v>3</v>
      </c>
      <c r="B143" s="37" t="s">
        <v>278</v>
      </c>
      <c r="C143" s="44" t="str">
        <f>MARTES!$A$59</f>
        <v>Remo</v>
      </c>
      <c r="D143" s="45" t="str">
        <f>MARTES!$B$59</f>
        <v>Maquina Prono</v>
      </c>
      <c r="E143" s="37" t="str">
        <f>MARTES!$C$59</f>
        <v>polea</v>
      </c>
      <c r="F143" s="46" t="str">
        <f>IF(P143="","",IFERROR(CHOOSE(VALUE(RIGHT(P143,1)),MARTES!F59,MARTES!I59,MARTES!L59,MARTES!O59,MARTES!R59),""))</f>
        <v/>
      </c>
      <c r="G143" s="47" t="str">
        <f>IF(P143="","",IFERROR(CHOOSE(VALUE(RIGHT(P143,1)),MARTES!G59,MARTES!J59,MARTES!M59,MARTES!P59,MARTES!S59),""))</f>
        <v/>
      </c>
      <c r="H143" s="48" t="str">
        <f>IF(P143="","",IFERROR(CHOOSE(VALUE(RIGHT(P143,1)),MARTES!H59,MARTES!K59,MARTES!N59,MARTES!Q59,MARTES!T59),""))</f>
        <v/>
      </c>
      <c r="I143" s="49" t="str">
        <f t="shared" si="4"/>
        <v/>
      </c>
      <c r="J143" s="50" t="str">
        <f>IF(P143="","",IFERROR(ROUND(CHOOSE(VALUE(RIGHT(P143,1)),IF(MARTES!C59="peso_corporal",IF(ISNUMBER(MARTES!E59),MARTES!E59,0)+MARTES!F59,MARTES!F59)*MARTES!G59,IF(MARTES!C59="peso_corporal",IF(ISNUMBER(MARTES!E59),MARTES!E59,0)+MARTES!I59,MARTES!I59)*MARTES!J59,IF(MARTES!C59="peso_corporal",IF(ISNUMBER(MARTES!E59),MARTES!E59,0)+MARTES!L59,MARTES!L59)*MARTES!M59,IF(MARTES!C59="peso_corporal",IF(ISNUMBER(MARTES!E59),MARTES!E59,0)+MARTES!O59,MARTES!O59)*MARTES!P59,IF(MARTES!C59="peso_corporal",IF(ISNUMBER(MARTES!E59),MARTES!E59,0)+MARTES!R59,MARTES!R59)*MARTES!S59),1),""))</f>
        <v/>
      </c>
      <c r="K143" s="51" t="str">
        <f>IF(P143="","",IFERROR(ROUND(CHOOSE(VALUE(RIGHT(P143,1)),(IF(MARTES!C59="peso_corporal",IF(ISNUMBER(MARTES!E59),MARTES!E59,0)+MARTES!F59,MARTES!F59))*(1+MARTES!G59/30),(IF(MARTES!C59="peso_corporal",IF(ISNUMBER(MARTES!E59),MARTES!E59,0)+MARTES!I59,MARTES!I59))*(1+MARTES!J59/30),(IF(MARTES!C59="peso_corporal",IF(ISNUMBER(MARTES!E59),MARTES!E59,0)+MARTES!L59,MARTES!L59))*(1+MARTES!M59/30),(IF(MARTES!C59="peso_corporal",IF(ISNUMBER(MARTES!E59),MARTES!E59,0)+MARTES!O59,MARTES!O59))*(1+MARTES!P59/30),(IF(MARTES!C59="peso_corporal",IF(ISNUMBER(MARTES!E59),MARTES!E59,0)+MARTES!R59,MARTES!R59))*(1+MARTES!S59/30)),1),""))</f>
        <v/>
      </c>
      <c r="L143" s="52">
        <f>IFERROR(MARTES!E59,"")</f>
        <v>80</v>
      </c>
      <c r="M143" s="53" t="str">
        <f>IFERROR(IF(K143="","-",IF(ISNUMBER(LOOKUP(2,1/((HISTORIAL!$O$3:$O$142=O143)*(HISTORIAL!$F$3:$F$142&lt;&gt;"")),HISTORIAL!$K$3:$K$142)),IF(K143&gt;LOOKUP(2,1/((HISTORIAL!$O$3:$O$142=O143)*(HISTORIAL!$F$3:$F$142&lt;&gt;"")),HISTORIAL!$K$3:$K$142),"^",IF(K143&lt;LOOKUP(2,1/((HISTORIAL!$O$3:$O$142=O143)*(HISTORIAL!$F$3:$F$142&lt;&gt;"")),HISTORIAL!$K$3:$K$142),"v","-")),"-")),"-")</f>
        <v>-</v>
      </c>
      <c r="N143" s="54" t="str">
        <f>IFERROR(VLOOKUP(A143,CONFIG!$A$10:$B$21,2,0),"")</f>
        <v>FUE</v>
      </c>
      <c r="O143" s="55" t="str">
        <f t="shared" si="5"/>
        <v>Remo|Maquina Prono</v>
      </c>
      <c r="P143" s="69" t="str">
        <f>MARTES!AC59</f>
        <v/>
      </c>
    </row>
    <row r="144" spans="1:16" ht="14.1" customHeight="1">
      <c r="A144" s="37">
        <v>3</v>
      </c>
      <c r="B144" s="37" t="s">
        <v>278</v>
      </c>
      <c r="C144" s="44" t="str">
        <f>MARTES!$A$61</f>
        <v>Curl Biceps</v>
      </c>
      <c r="D144" s="45" t="str">
        <f>MARTES!$B$61</f>
        <v>Inclinado Banco Mancuernas</v>
      </c>
      <c r="E144" s="37" t="str">
        <f>MARTES!$C$61</f>
        <v>mancuerna</v>
      </c>
      <c r="F144" s="46" t="str">
        <f>IF(P144="","",IFERROR(CHOOSE(VALUE(RIGHT(P144,1)),MARTES!F61,MARTES!I61,MARTES!L61,MARTES!O61,MARTES!R61),""))</f>
        <v/>
      </c>
      <c r="G144" s="47" t="str">
        <f>IF(P144="","",IFERROR(CHOOSE(VALUE(RIGHT(P144,1)),MARTES!G61,MARTES!J61,MARTES!M61,MARTES!P61,MARTES!S61),""))</f>
        <v/>
      </c>
      <c r="H144" s="48" t="str">
        <f>IF(P144="","",IFERROR(CHOOSE(VALUE(RIGHT(P144,1)),MARTES!H61,MARTES!K61,MARTES!N61,MARTES!Q61,MARTES!T61),""))</f>
        <v/>
      </c>
      <c r="I144" s="49" t="str">
        <f t="shared" si="4"/>
        <v/>
      </c>
      <c r="J144" s="50" t="str">
        <f>IF(P144="","",IFERROR(ROUND(CHOOSE(VALUE(RIGHT(P144,1)),IF(MARTES!C61="peso_corporal",IF(ISNUMBER(MARTES!E61),MARTES!E61,0)+MARTES!F61,MARTES!F61)*MARTES!G61,IF(MARTES!C61="peso_corporal",IF(ISNUMBER(MARTES!E61),MARTES!E61,0)+MARTES!I61,MARTES!I61)*MARTES!J61,IF(MARTES!C61="peso_corporal",IF(ISNUMBER(MARTES!E61),MARTES!E61,0)+MARTES!L61,MARTES!L61)*MARTES!M61,IF(MARTES!C61="peso_corporal",IF(ISNUMBER(MARTES!E61),MARTES!E61,0)+MARTES!O61,MARTES!O61)*MARTES!P61,IF(MARTES!C61="peso_corporal",IF(ISNUMBER(MARTES!E61),MARTES!E61,0)+MARTES!R61,MARTES!R61)*MARTES!S61),1),""))</f>
        <v/>
      </c>
      <c r="K144" s="51" t="str">
        <f>IF(P144="","",IFERROR(ROUND(CHOOSE(VALUE(RIGHT(P144,1)),(IF(MARTES!C61="peso_corporal",IF(ISNUMBER(MARTES!E61),MARTES!E61,0)+MARTES!F61,MARTES!F61))*(1+MARTES!G61/30),(IF(MARTES!C61="peso_corporal",IF(ISNUMBER(MARTES!E61),MARTES!E61,0)+MARTES!I61,MARTES!I61))*(1+MARTES!J61/30),(IF(MARTES!C61="peso_corporal",IF(ISNUMBER(MARTES!E61),MARTES!E61,0)+MARTES!L61,MARTES!L61))*(1+MARTES!M61/30),(IF(MARTES!C61="peso_corporal",IF(ISNUMBER(MARTES!E61),MARTES!E61,0)+MARTES!O61,MARTES!O61))*(1+MARTES!P61/30),(IF(MARTES!C61="peso_corporal",IF(ISNUMBER(MARTES!E61),MARTES!E61,0)+MARTES!R61,MARTES!R61))*(1+MARTES!S61/30)),1),""))</f>
        <v/>
      </c>
      <c r="L144" s="52">
        <f>IFERROR(MARTES!E61,"")</f>
        <v>80</v>
      </c>
      <c r="M144" s="53" t="str">
        <f>IFERROR(IF(K144="","-",IF(ISNUMBER(LOOKUP(2,1/((HISTORIAL!$O$3:$O$143=O144)*(HISTORIAL!$F$3:$F$143&lt;&gt;"")),HISTORIAL!$K$3:$K$143)),IF(K144&gt;LOOKUP(2,1/((HISTORIAL!$O$3:$O$143=O144)*(HISTORIAL!$F$3:$F$143&lt;&gt;"")),HISTORIAL!$K$3:$K$143),"^",IF(K144&lt;LOOKUP(2,1/((HISTORIAL!$O$3:$O$143=O144)*(HISTORIAL!$F$3:$F$143&lt;&gt;"")),HISTORIAL!$K$3:$K$143),"v","-")),"-")),"-")</f>
        <v>-</v>
      </c>
      <c r="N144" s="54" t="str">
        <f>IFERROR(VLOOKUP(A144,CONFIG!$A$10:$B$21,2,0),"")</f>
        <v>FUE</v>
      </c>
      <c r="O144" s="55" t="str">
        <f t="shared" si="5"/>
        <v>Curl Biceps|Inclinado Banco Mancuernas</v>
      </c>
      <c r="P144" s="69" t="str">
        <f>MARTES!AC61</f>
        <v/>
      </c>
    </row>
    <row r="145" spans="1:16" ht="14.1" customHeight="1">
      <c r="A145" s="37">
        <v>3</v>
      </c>
      <c r="B145" s="37" t="s">
        <v>278</v>
      </c>
      <c r="C145" s="44" t="str">
        <f>MARTES!$A$62</f>
        <v>Curl Biceps</v>
      </c>
      <c r="D145" s="45" t="str">
        <f>MARTES!$B$62</f>
        <v>Polea Baja Supino</v>
      </c>
      <c r="E145" s="37" t="str">
        <f>MARTES!$C$62</f>
        <v>polea</v>
      </c>
      <c r="F145" s="46" t="str">
        <f>IF(P145="","",IFERROR(CHOOSE(VALUE(RIGHT(P145,1)),MARTES!F62,MARTES!I62,MARTES!L62,MARTES!O62,MARTES!R62),""))</f>
        <v/>
      </c>
      <c r="G145" s="47" t="str">
        <f>IF(P145="","",IFERROR(CHOOSE(VALUE(RIGHT(P145,1)),MARTES!G62,MARTES!J62,MARTES!M62,MARTES!P62,MARTES!S62),""))</f>
        <v/>
      </c>
      <c r="H145" s="48" t="str">
        <f>IF(P145="","",IFERROR(CHOOSE(VALUE(RIGHT(P145,1)),MARTES!H62,MARTES!K62,MARTES!N62,MARTES!Q62,MARTES!T62),""))</f>
        <v/>
      </c>
      <c r="I145" s="49" t="str">
        <f t="shared" si="4"/>
        <v/>
      </c>
      <c r="J145" s="50" t="str">
        <f>IF(P145="","",IFERROR(ROUND(CHOOSE(VALUE(RIGHT(P145,1)),IF(MARTES!C62="peso_corporal",IF(ISNUMBER(MARTES!E62),MARTES!E62,0)+MARTES!F62,MARTES!F62)*MARTES!G62,IF(MARTES!C62="peso_corporal",IF(ISNUMBER(MARTES!E62),MARTES!E62,0)+MARTES!I62,MARTES!I62)*MARTES!J62,IF(MARTES!C62="peso_corporal",IF(ISNUMBER(MARTES!E62),MARTES!E62,0)+MARTES!L62,MARTES!L62)*MARTES!M62,IF(MARTES!C62="peso_corporal",IF(ISNUMBER(MARTES!E62),MARTES!E62,0)+MARTES!O62,MARTES!O62)*MARTES!P62,IF(MARTES!C62="peso_corporal",IF(ISNUMBER(MARTES!E62),MARTES!E62,0)+MARTES!R62,MARTES!R62)*MARTES!S62),1),""))</f>
        <v/>
      </c>
      <c r="K145" s="51" t="str">
        <f>IF(P145="","",IFERROR(ROUND(CHOOSE(VALUE(RIGHT(P145,1)),(IF(MARTES!C62="peso_corporal",IF(ISNUMBER(MARTES!E62),MARTES!E62,0)+MARTES!F62,MARTES!F62))*(1+MARTES!G62/30),(IF(MARTES!C62="peso_corporal",IF(ISNUMBER(MARTES!E62),MARTES!E62,0)+MARTES!I62,MARTES!I62))*(1+MARTES!J62/30),(IF(MARTES!C62="peso_corporal",IF(ISNUMBER(MARTES!E62),MARTES!E62,0)+MARTES!L62,MARTES!L62))*(1+MARTES!M62/30),(IF(MARTES!C62="peso_corporal",IF(ISNUMBER(MARTES!E62),MARTES!E62,0)+MARTES!O62,MARTES!O62))*(1+MARTES!P62/30),(IF(MARTES!C62="peso_corporal",IF(ISNUMBER(MARTES!E62),MARTES!E62,0)+MARTES!R62,MARTES!R62))*(1+MARTES!S62/30)),1),""))</f>
        <v/>
      </c>
      <c r="L145" s="52">
        <f>IFERROR(MARTES!E62,"")</f>
        <v>80</v>
      </c>
      <c r="M145" s="53" t="str">
        <f>IFERROR(IF(K145="","-",IF(ISNUMBER(LOOKUP(2,1/((HISTORIAL!$O$3:$O$144=O145)*(HISTORIAL!$F$3:$F$144&lt;&gt;"")),HISTORIAL!$K$3:$K$144)),IF(K145&gt;LOOKUP(2,1/((HISTORIAL!$O$3:$O$144=O145)*(HISTORIAL!$F$3:$F$144&lt;&gt;"")),HISTORIAL!$K$3:$K$144),"^",IF(K145&lt;LOOKUP(2,1/((HISTORIAL!$O$3:$O$144=O145)*(HISTORIAL!$F$3:$F$144&lt;&gt;"")),HISTORIAL!$K$3:$K$144),"v","-")),"-")),"-")</f>
        <v>-</v>
      </c>
      <c r="N145" s="54" t="str">
        <f>IFERROR(VLOOKUP(A145,CONFIG!$A$10:$B$21,2,0),"")</f>
        <v>FUE</v>
      </c>
      <c r="O145" s="55" t="str">
        <f t="shared" si="5"/>
        <v>Curl Biceps|Polea Baja Supino</v>
      </c>
      <c r="P145" s="69" t="str">
        <f>MARTES!AC62</f>
        <v/>
      </c>
    </row>
    <row r="146" spans="1:16" ht="14.1" customHeight="1">
      <c r="A146" s="37">
        <v>3</v>
      </c>
      <c r="B146" s="37" t="s">
        <v>278</v>
      </c>
      <c r="C146" s="44" t="str">
        <f>MARTES!$A$64</f>
        <v>Curl Muneca</v>
      </c>
      <c r="D146" s="45" t="str">
        <f>MARTES!$B$64</f>
        <v>Supinado</v>
      </c>
      <c r="E146" s="37" t="str">
        <f>MARTES!$C$64</f>
        <v>mancuerna</v>
      </c>
      <c r="F146" s="46" t="str">
        <f>IF(P146="","",IFERROR(CHOOSE(VALUE(RIGHT(P146,1)),MARTES!F64,MARTES!I64,MARTES!L64,MARTES!O64,MARTES!R64),""))</f>
        <v/>
      </c>
      <c r="G146" s="47" t="str">
        <f>IF(P146="","",IFERROR(CHOOSE(VALUE(RIGHT(P146,1)),MARTES!G64,MARTES!J64,MARTES!M64,MARTES!P64,MARTES!S64),""))</f>
        <v/>
      </c>
      <c r="H146" s="48" t="str">
        <f>IF(P146="","",IFERROR(CHOOSE(VALUE(RIGHT(P146,1)),MARTES!H64,MARTES!K64,MARTES!N64,MARTES!Q64,MARTES!T64),""))</f>
        <v/>
      </c>
      <c r="I146" s="49" t="str">
        <f t="shared" si="4"/>
        <v/>
      </c>
      <c r="J146" s="50" t="str">
        <f>IF(P146="","",IFERROR(ROUND(CHOOSE(VALUE(RIGHT(P146,1)),IF(MARTES!C64="peso_corporal",IF(ISNUMBER(MARTES!E64),MARTES!E64,0)+MARTES!F64,MARTES!F64)*MARTES!G64,IF(MARTES!C64="peso_corporal",IF(ISNUMBER(MARTES!E64),MARTES!E64,0)+MARTES!I64,MARTES!I64)*MARTES!J64,IF(MARTES!C64="peso_corporal",IF(ISNUMBER(MARTES!E64),MARTES!E64,0)+MARTES!L64,MARTES!L64)*MARTES!M64,IF(MARTES!C64="peso_corporal",IF(ISNUMBER(MARTES!E64),MARTES!E64,0)+MARTES!O64,MARTES!O64)*MARTES!P64,IF(MARTES!C64="peso_corporal",IF(ISNUMBER(MARTES!E64),MARTES!E64,0)+MARTES!R64,MARTES!R64)*MARTES!S64),1),""))</f>
        <v/>
      </c>
      <c r="K146" s="51" t="str">
        <f>IF(P146="","",IFERROR(ROUND(CHOOSE(VALUE(RIGHT(P146,1)),(IF(MARTES!C64="peso_corporal",IF(ISNUMBER(MARTES!E64),MARTES!E64,0)+MARTES!F64,MARTES!F64))*(1+MARTES!G64/30),(IF(MARTES!C64="peso_corporal",IF(ISNUMBER(MARTES!E64),MARTES!E64,0)+MARTES!I64,MARTES!I64))*(1+MARTES!J64/30),(IF(MARTES!C64="peso_corporal",IF(ISNUMBER(MARTES!E64),MARTES!E64,0)+MARTES!L64,MARTES!L64))*(1+MARTES!M64/30),(IF(MARTES!C64="peso_corporal",IF(ISNUMBER(MARTES!E64),MARTES!E64,0)+MARTES!O64,MARTES!O64))*(1+MARTES!P64/30),(IF(MARTES!C64="peso_corporal",IF(ISNUMBER(MARTES!E64),MARTES!E64,0)+MARTES!R64,MARTES!R64))*(1+MARTES!S64/30)),1),""))</f>
        <v/>
      </c>
      <c r="L146" s="52">
        <f>IFERROR(MARTES!E64,"")</f>
        <v>80</v>
      </c>
      <c r="M146" s="53" t="str">
        <f>IFERROR(IF(K146="","-",IF(ISNUMBER(LOOKUP(2,1/((HISTORIAL!$O$3:$O$145=O146)*(HISTORIAL!$F$3:$F$145&lt;&gt;"")),HISTORIAL!$K$3:$K$145)),IF(K146&gt;LOOKUP(2,1/((HISTORIAL!$O$3:$O$145=O146)*(HISTORIAL!$F$3:$F$145&lt;&gt;"")),HISTORIAL!$K$3:$K$145),"^",IF(K146&lt;LOOKUP(2,1/((HISTORIAL!$O$3:$O$145=O146)*(HISTORIAL!$F$3:$F$145&lt;&gt;"")),HISTORIAL!$K$3:$K$145),"v","-")),"-")),"-")</f>
        <v>-</v>
      </c>
      <c r="N146" s="54" t="str">
        <f>IFERROR(VLOOKUP(A146,CONFIG!$A$10:$B$21,2,0),"")</f>
        <v>FUE</v>
      </c>
      <c r="O146" s="55" t="str">
        <f t="shared" si="5"/>
        <v>Curl Muneca|Supinado</v>
      </c>
      <c r="P146" s="69" t="str">
        <f>MARTES!AC64</f>
        <v/>
      </c>
    </row>
    <row r="147" spans="1:16" ht="14.1" customHeight="1">
      <c r="A147" s="37">
        <v>3</v>
      </c>
      <c r="B147" s="37" t="s">
        <v>278</v>
      </c>
      <c r="C147" s="44" t="str">
        <f>MARTES!$A$65</f>
        <v>Curl Muneca</v>
      </c>
      <c r="D147" s="45" t="str">
        <f>MARTES!$B$65</f>
        <v>Pronado</v>
      </c>
      <c r="E147" s="37" t="str">
        <f>MARTES!$C$65</f>
        <v>mancuerna</v>
      </c>
      <c r="F147" s="46" t="str">
        <f>IF(P147="","",IFERROR(CHOOSE(VALUE(RIGHT(P147,1)),MARTES!F65,MARTES!I65,MARTES!L65,MARTES!O65,MARTES!R65),""))</f>
        <v/>
      </c>
      <c r="G147" s="47" t="str">
        <f>IF(P147="","",IFERROR(CHOOSE(VALUE(RIGHT(P147,1)),MARTES!G65,MARTES!J65,MARTES!M65,MARTES!P65,MARTES!S65),""))</f>
        <v/>
      </c>
      <c r="H147" s="48" t="str">
        <f>IF(P147="","",IFERROR(CHOOSE(VALUE(RIGHT(P147,1)),MARTES!H65,MARTES!K65,MARTES!N65,MARTES!Q65,MARTES!T65),""))</f>
        <v/>
      </c>
      <c r="I147" s="49" t="str">
        <f t="shared" si="4"/>
        <v/>
      </c>
      <c r="J147" s="50" t="str">
        <f>IF(P147="","",IFERROR(ROUND(CHOOSE(VALUE(RIGHT(P147,1)),IF(MARTES!C65="peso_corporal",IF(ISNUMBER(MARTES!E65),MARTES!E65,0)+MARTES!F65,MARTES!F65)*MARTES!G65,IF(MARTES!C65="peso_corporal",IF(ISNUMBER(MARTES!E65),MARTES!E65,0)+MARTES!I65,MARTES!I65)*MARTES!J65,IF(MARTES!C65="peso_corporal",IF(ISNUMBER(MARTES!E65),MARTES!E65,0)+MARTES!L65,MARTES!L65)*MARTES!M65,IF(MARTES!C65="peso_corporal",IF(ISNUMBER(MARTES!E65),MARTES!E65,0)+MARTES!O65,MARTES!O65)*MARTES!P65,IF(MARTES!C65="peso_corporal",IF(ISNUMBER(MARTES!E65),MARTES!E65,0)+MARTES!R65,MARTES!R65)*MARTES!S65),1),""))</f>
        <v/>
      </c>
      <c r="K147" s="51" t="str">
        <f>IF(P147="","",IFERROR(ROUND(CHOOSE(VALUE(RIGHT(P147,1)),(IF(MARTES!C65="peso_corporal",IF(ISNUMBER(MARTES!E65),MARTES!E65,0)+MARTES!F65,MARTES!F65))*(1+MARTES!G65/30),(IF(MARTES!C65="peso_corporal",IF(ISNUMBER(MARTES!E65),MARTES!E65,0)+MARTES!I65,MARTES!I65))*(1+MARTES!J65/30),(IF(MARTES!C65="peso_corporal",IF(ISNUMBER(MARTES!E65),MARTES!E65,0)+MARTES!L65,MARTES!L65))*(1+MARTES!M65/30),(IF(MARTES!C65="peso_corporal",IF(ISNUMBER(MARTES!E65),MARTES!E65,0)+MARTES!O65,MARTES!O65))*(1+MARTES!P65/30),(IF(MARTES!C65="peso_corporal",IF(ISNUMBER(MARTES!E65),MARTES!E65,0)+MARTES!R65,MARTES!R65))*(1+MARTES!S65/30)),1),""))</f>
        <v/>
      </c>
      <c r="L147" s="52">
        <f>IFERROR(MARTES!E65,"")</f>
        <v>80</v>
      </c>
      <c r="M147" s="53" t="str">
        <f>IFERROR(IF(K147="","-",IF(ISNUMBER(LOOKUP(2,1/((HISTORIAL!$O$3:$O$146=O147)*(HISTORIAL!$F$3:$F$146&lt;&gt;"")),HISTORIAL!$K$3:$K$146)),IF(K147&gt;LOOKUP(2,1/((HISTORIAL!$O$3:$O$146=O147)*(HISTORIAL!$F$3:$F$146&lt;&gt;"")),HISTORIAL!$K$3:$K$146),"^",IF(K147&lt;LOOKUP(2,1/((HISTORIAL!$O$3:$O$146=O147)*(HISTORIAL!$F$3:$F$146&lt;&gt;"")),HISTORIAL!$K$3:$K$146),"v","-")),"-")),"-")</f>
        <v>-</v>
      </c>
      <c r="N147" s="54" t="str">
        <f>IFERROR(VLOOKUP(A147,CONFIG!$A$10:$B$21,2,0),"")</f>
        <v>FUE</v>
      </c>
      <c r="O147" s="55" t="str">
        <f t="shared" si="5"/>
        <v>Curl Muneca|Pronado</v>
      </c>
      <c r="P147" s="69" t="str">
        <f>MARTES!AC65</f>
        <v/>
      </c>
    </row>
    <row r="148" spans="1:16" ht="14.1" customHeight="1">
      <c r="A148" s="37">
        <v>3</v>
      </c>
      <c r="B148" s="37" t="s">
        <v>278</v>
      </c>
      <c r="C148" s="44" t="str">
        <f>MARTES!$A$67</f>
        <v>Farmer Carry</v>
      </c>
      <c r="D148" s="45" t="str">
        <f>MARTES!$B$67</f>
        <v>Libre</v>
      </c>
      <c r="E148" s="37" t="str">
        <f>MARTES!$C$67</f>
        <v>mancuerna</v>
      </c>
      <c r="F148" s="46" t="str">
        <f>IF(P148="","",IFERROR(CHOOSE(VALUE(RIGHT(P148,1)),MARTES!F67,MARTES!I67,MARTES!L67,MARTES!O67,MARTES!R67),""))</f>
        <v/>
      </c>
      <c r="G148" s="47" t="str">
        <f>IF(P148="","",IFERROR(CHOOSE(VALUE(RIGHT(P148,1)),MARTES!G67,MARTES!J67,MARTES!M67,MARTES!P67,MARTES!S67),""))</f>
        <v/>
      </c>
      <c r="H148" s="48" t="str">
        <f>IF(P148="","",IFERROR(CHOOSE(VALUE(RIGHT(P148,1)),MARTES!H67,MARTES!K67,MARTES!N67,MARTES!Q67,MARTES!T67),""))</f>
        <v/>
      </c>
      <c r="I148" s="49" t="str">
        <f t="shared" si="4"/>
        <v/>
      </c>
      <c r="J148" s="50" t="str">
        <f>IF(P148="","",IFERROR(ROUND(CHOOSE(VALUE(RIGHT(P148,1)),IF(MARTES!C67="peso_corporal",IF(ISNUMBER(MARTES!E67),MARTES!E67,0)+MARTES!F67,MARTES!F67)*MARTES!G67,IF(MARTES!C67="peso_corporal",IF(ISNUMBER(MARTES!E67),MARTES!E67,0)+MARTES!I67,MARTES!I67)*MARTES!J67,IF(MARTES!C67="peso_corporal",IF(ISNUMBER(MARTES!E67),MARTES!E67,0)+MARTES!L67,MARTES!L67)*MARTES!M67,IF(MARTES!C67="peso_corporal",IF(ISNUMBER(MARTES!E67),MARTES!E67,0)+MARTES!O67,MARTES!O67)*MARTES!P67,IF(MARTES!C67="peso_corporal",IF(ISNUMBER(MARTES!E67),MARTES!E67,0)+MARTES!R67,MARTES!R67)*MARTES!S67),1),""))</f>
        <v/>
      </c>
      <c r="K148" s="51" t="str">
        <f>IF(P148="","",IFERROR(ROUND(CHOOSE(VALUE(RIGHT(P148,1)),(IF(MARTES!C67="peso_corporal",IF(ISNUMBER(MARTES!E67),MARTES!E67,0)+MARTES!F67,MARTES!F67))*(1+MARTES!G67/30),(IF(MARTES!C67="peso_corporal",IF(ISNUMBER(MARTES!E67),MARTES!E67,0)+MARTES!I67,MARTES!I67))*(1+MARTES!J67/30),(IF(MARTES!C67="peso_corporal",IF(ISNUMBER(MARTES!E67),MARTES!E67,0)+MARTES!L67,MARTES!L67))*(1+MARTES!M67/30),(IF(MARTES!C67="peso_corporal",IF(ISNUMBER(MARTES!E67),MARTES!E67,0)+MARTES!O67,MARTES!O67))*(1+MARTES!P67/30),(IF(MARTES!C67="peso_corporal",IF(ISNUMBER(MARTES!E67),MARTES!E67,0)+MARTES!R67,MARTES!R67))*(1+MARTES!S67/30)),1),""))</f>
        <v/>
      </c>
      <c r="L148" s="52">
        <f>IFERROR(MARTES!E67,"")</f>
        <v>80</v>
      </c>
      <c r="M148" s="53" t="str">
        <f>IFERROR(IF(K148="","-",IF(ISNUMBER(LOOKUP(2,1/((HISTORIAL!$O$3:$O$147=O148)*(HISTORIAL!$F$3:$F$147&lt;&gt;"")),HISTORIAL!$K$3:$K$147)),IF(K148&gt;LOOKUP(2,1/((HISTORIAL!$O$3:$O$147=O148)*(HISTORIAL!$F$3:$F$147&lt;&gt;"")),HISTORIAL!$K$3:$K$147),"^",IF(K148&lt;LOOKUP(2,1/((HISTORIAL!$O$3:$O$147=O148)*(HISTORIAL!$F$3:$F$147&lt;&gt;"")),HISTORIAL!$K$3:$K$147),"v","-")),"-")),"-")</f>
        <v>-</v>
      </c>
      <c r="N148" s="54" t="str">
        <f>IFERROR(VLOOKUP(A148,CONFIG!$A$10:$B$21,2,0),"")</f>
        <v>FUE</v>
      </c>
      <c r="O148" s="55" t="str">
        <f t="shared" si="5"/>
        <v>Farmer Carry|Libre</v>
      </c>
      <c r="P148" s="69" t="str">
        <f>MARTES!AC67</f>
        <v/>
      </c>
    </row>
    <row r="149" spans="1:16" ht="14.1" customHeight="1">
      <c r="A149" s="37">
        <v>3</v>
      </c>
      <c r="B149" s="37" t="s">
        <v>278</v>
      </c>
      <c r="C149" s="44" t="str">
        <f>MARTES!$A$69</f>
        <v>Skullcrusher</v>
      </c>
      <c r="D149" s="45" t="str">
        <f>MARTES!$B$69</f>
        <v>Mancuerna Tumbado</v>
      </c>
      <c r="E149" s="37" t="str">
        <f>MARTES!$C$69</f>
        <v>--</v>
      </c>
      <c r="F149" s="46" t="str">
        <f>IF(P149="","",IFERROR(CHOOSE(VALUE(RIGHT(P149,1)),MARTES!F69,MARTES!I69,MARTES!L69,MARTES!O69,MARTES!R69),""))</f>
        <v/>
      </c>
      <c r="G149" s="47" t="str">
        <f>IF(P149="","",IFERROR(CHOOSE(VALUE(RIGHT(P149,1)),MARTES!G69,MARTES!J69,MARTES!M69,MARTES!P69,MARTES!S69),""))</f>
        <v/>
      </c>
      <c r="H149" s="48" t="str">
        <f>IF(P149="","",IFERROR(CHOOSE(VALUE(RIGHT(P149,1)),MARTES!H69,MARTES!K69,MARTES!N69,MARTES!Q69,MARTES!T69),""))</f>
        <v/>
      </c>
      <c r="I149" s="49" t="str">
        <f t="shared" si="4"/>
        <v/>
      </c>
      <c r="J149" s="50" t="str">
        <f>IF(P149="","",IFERROR(ROUND(CHOOSE(VALUE(RIGHT(P149,1)),IF(MARTES!C69="peso_corporal",IF(ISNUMBER(MARTES!E69),MARTES!E69,0)+MARTES!F69,MARTES!F69)*MARTES!G69,IF(MARTES!C69="peso_corporal",IF(ISNUMBER(MARTES!E69),MARTES!E69,0)+MARTES!I69,MARTES!I69)*MARTES!J69,IF(MARTES!C69="peso_corporal",IF(ISNUMBER(MARTES!E69),MARTES!E69,0)+MARTES!L69,MARTES!L69)*MARTES!M69,IF(MARTES!C69="peso_corporal",IF(ISNUMBER(MARTES!E69),MARTES!E69,0)+MARTES!O69,MARTES!O69)*MARTES!P69,IF(MARTES!C69="peso_corporal",IF(ISNUMBER(MARTES!E69),MARTES!E69,0)+MARTES!R69,MARTES!R69)*MARTES!S69),1),""))</f>
        <v/>
      </c>
      <c r="K149" s="51" t="str">
        <f>IF(P149="","",IFERROR(ROUND(CHOOSE(VALUE(RIGHT(P149,1)),(IF(MARTES!C69="peso_corporal",IF(ISNUMBER(MARTES!E69),MARTES!E69,0)+MARTES!F69,MARTES!F69))*(1+MARTES!G69/30),(IF(MARTES!C69="peso_corporal",IF(ISNUMBER(MARTES!E69),MARTES!E69,0)+MARTES!I69,MARTES!I69))*(1+MARTES!J69/30),(IF(MARTES!C69="peso_corporal",IF(ISNUMBER(MARTES!E69),MARTES!E69,0)+MARTES!L69,MARTES!L69))*(1+MARTES!M69/30),(IF(MARTES!C69="peso_corporal",IF(ISNUMBER(MARTES!E69),MARTES!E69,0)+MARTES!O69,MARTES!O69))*(1+MARTES!P69/30),(IF(MARTES!C69="peso_corporal",IF(ISNUMBER(MARTES!E69),MARTES!E69,0)+MARTES!R69,MARTES!R69))*(1+MARTES!S69/30)),1),""))</f>
        <v/>
      </c>
      <c r="L149" s="52">
        <f>IFERROR(MARTES!E69,"")</f>
        <v>80</v>
      </c>
      <c r="M149" s="53" t="str">
        <f>IFERROR(IF(K149="","-",IF(ISNUMBER(LOOKUP(2,1/((HISTORIAL!$O$3:$O$148=O149)*(HISTORIAL!$F$3:$F$148&lt;&gt;"")),HISTORIAL!$K$3:$K$148)),IF(K149&gt;LOOKUP(2,1/((HISTORIAL!$O$3:$O$148=O149)*(HISTORIAL!$F$3:$F$148&lt;&gt;"")),HISTORIAL!$K$3:$K$148),"^",IF(K149&lt;LOOKUP(2,1/((HISTORIAL!$O$3:$O$148=O149)*(HISTORIAL!$F$3:$F$148&lt;&gt;"")),HISTORIAL!$K$3:$K$148),"v","-")),"-")),"-")</f>
        <v>-</v>
      </c>
      <c r="N149" s="54" t="str">
        <f>IFERROR(VLOOKUP(A149,CONFIG!$A$10:$B$21,2,0),"")</f>
        <v>FUE</v>
      </c>
      <c r="O149" s="55" t="str">
        <f t="shared" si="5"/>
        <v>Skullcrusher|Mancuerna Tumbado</v>
      </c>
      <c r="P149" s="69" t="str">
        <f>MARTES!AC69</f>
        <v/>
      </c>
    </row>
    <row r="150" spans="1:16" ht="14.1" customHeight="1">
      <c r="A150" s="37">
        <v>3</v>
      </c>
      <c r="B150" s="37" t="s">
        <v>278</v>
      </c>
      <c r="C150" s="44" t="str">
        <f>MARTES!$A$71</f>
        <v>Crunch</v>
      </c>
      <c r="D150" s="45" t="str">
        <f>MARTES!$B$71</f>
        <v>Polea</v>
      </c>
      <c r="E150" s="37" t="str">
        <f>MARTES!$C$71</f>
        <v>polea</v>
      </c>
      <c r="F150" s="46" t="str">
        <f>IF(P150="","",IFERROR(CHOOSE(VALUE(RIGHT(P150,1)),MARTES!F71,MARTES!I71,MARTES!L71,MARTES!O71,MARTES!R71),""))</f>
        <v/>
      </c>
      <c r="G150" s="47" t="str">
        <f>IF(P150="","",IFERROR(CHOOSE(VALUE(RIGHT(P150,1)),MARTES!G71,MARTES!J71,MARTES!M71,MARTES!P71,MARTES!S71),""))</f>
        <v/>
      </c>
      <c r="H150" s="48" t="str">
        <f>IF(P150="","",IFERROR(CHOOSE(VALUE(RIGHT(P150,1)),MARTES!H71,MARTES!K71,MARTES!N71,MARTES!Q71,MARTES!T71),""))</f>
        <v/>
      </c>
      <c r="I150" s="49" t="str">
        <f t="shared" si="4"/>
        <v/>
      </c>
      <c r="J150" s="50" t="str">
        <f>IF(P150="","",IFERROR(ROUND(CHOOSE(VALUE(RIGHT(P150,1)),IF(MARTES!C71="peso_corporal",IF(ISNUMBER(MARTES!E71),MARTES!E71,0)+MARTES!F71,MARTES!F71)*MARTES!G71,IF(MARTES!C71="peso_corporal",IF(ISNUMBER(MARTES!E71),MARTES!E71,0)+MARTES!I71,MARTES!I71)*MARTES!J71,IF(MARTES!C71="peso_corporal",IF(ISNUMBER(MARTES!E71),MARTES!E71,0)+MARTES!L71,MARTES!L71)*MARTES!M71,IF(MARTES!C71="peso_corporal",IF(ISNUMBER(MARTES!E71),MARTES!E71,0)+MARTES!O71,MARTES!O71)*MARTES!P71,IF(MARTES!C71="peso_corporal",IF(ISNUMBER(MARTES!E71),MARTES!E71,0)+MARTES!R71,MARTES!R71)*MARTES!S71),1),""))</f>
        <v/>
      </c>
      <c r="K150" s="51" t="str">
        <f>IF(P150="","",IFERROR(ROUND(CHOOSE(VALUE(RIGHT(P150,1)),(IF(MARTES!C71="peso_corporal",IF(ISNUMBER(MARTES!E71),MARTES!E71,0)+MARTES!F71,MARTES!F71))*(1+MARTES!G71/30),(IF(MARTES!C71="peso_corporal",IF(ISNUMBER(MARTES!E71),MARTES!E71,0)+MARTES!I71,MARTES!I71))*(1+MARTES!J71/30),(IF(MARTES!C71="peso_corporal",IF(ISNUMBER(MARTES!E71),MARTES!E71,0)+MARTES!L71,MARTES!L71))*(1+MARTES!M71/30),(IF(MARTES!C71="peso_corporal",IF(ISNUMBER(MARTES!E71),MARTES!E71,0)+MARTES!O71,MARTES!O71))*(1+MARTES!P71/30),(IF(MARTES!C71="peso_corporal",IF(ISNUMBER(MARTES!E71),MARTES!E71,0)+MARTES!R71,MARTES!R71))*(1+MARTES!S71/30)),1),""))</f>
        <v/>
      </c>
      <c r="L150" s="52">
        <f>IFERROR(MARTES!E71,"")</f>
        <v>80</v>
      </c>
      <c r="M150" s="53" t="str">
        <f>IFERROR(IF(K150="","-",IF(ISNUMBER(LOOKUP(2,1/((HISTORIAL!$O$3:$O$149=O150)*(HISTORIAL!$F$3:$F$149&lt;&gt;"")),HISTORIAL!$K$3:$K$149)),IF(K150&gt;LOOKUP(2,1/((HISTORIAL!$O$3:$O$149=O150)*(HISTORIAL!$F$3:$F$149&lt;&gt;"")),HISTORIAL!$K$3:$K$149),"^",IF(K150&lt;LOOKUP(2,1/((HISTORIAL!$O$3:$O$149=O150)*(HISTORIAL!$F$3:$F$149&lt;&gt;"")),HISTORIAL!$K$3:$K$149),"v","-")),"-")),"-")</f>
        <v>-</v>
      </c>
      <c r="N150" s="54" t="str">
        <f>IFERROR(VLOOKUP(A150,CONFIG!$A$10:$B$21,2,0),"")</f>
        <v>FUE</v>
      </c>
      <c r="O150" s="55" t="str">
        <f t="shared" si="5"/>
        <v>Crunch|Polea</v>
      </c>
      <c r="P150" s="69" t="str">
        <f>MARTES!AC71</f>
        <v/>
      </c>
    </row>
    <row r="151" spans="1:16" ht="14.1" customHeight="1">
      <c r="A151" s="37">
        <v>3</v>
      </c>
      <c r="B151" s="37" t="s">
        <v>279</v>
      </c>
      <c r="C151" s="44" t="str">
        <f>MIERCOLES!$A$56</f>
        <v>Curl Femoral</v>
      </c>
      <c r="D151" s="45" t="str">
        <f>MIERCOLES!$B$56</f>
        <v>Tumbado Maquina</v>
      </c>
      <c r="E151" s="37" t="str">
        <f>MIERCOLES!$C$56</f>
        <v>polea</v>
      </c>
      <c r="F151" s="46" t="str">
        <f>IF(P151="","",IFERROR(CHOOSE(VALUE(RIGHT(P151,1)),MIERCOLES!F56,MIERCOLES!I56,MIERCOLES!L56,MIERCOLES!O56,MIERCOLES!R56),""))</f>
        <v/>
      </c>
      <c r="G151" s="47" t="str">
        <f>IF(P151="","",IFERROR(CHOOSE(VALUE(RIGHT(P151,1)),MIERCOLES!G56,MIERCOLES!J56,MIERCOLES!M56,MIERCOLES!P56,MIERCOLES!S56),""))</f>
        <v/>
      </c>
      <c r="H151" s="48" t="str">
        <f>IF(P151="","",IFERROR(CHOOSE(VALUE(RIGHT(P151,1)),MIERCOLES!H56,MIERCOLES!K56,MIERCOLES!N56,MIERCOLES!Q56,MIERCOLES!T56),""))</f>
        <v/>
      </c>
      <c r="I151" s="49" t="str">
        <f t="shared" si="4"/>
        <v/>
      </c>
      <c r="J151" s="50" t="str">
        <f>IF(P151="","",IFERROR(ROUND(CHOOSE(VALUE(RIGHT(P151,1)),IF(MIERCOLES!C56="peso_corporal",IF(ISNUMBER(MIERCOLES!E56),MIERCOLES!E56,0)+MIERCOLES!F56,MIERCOLES!F56)*MIERCOLES!G56,IF(MIERCOLES!C56="peso_corporal",IF(ISNUMBER(MIERCOLES!E56),MIERCOLES!E56,0)+MIERCOLES!I56,MIERCOLES!I56)*MIERCOLES!J56,IF(MIERCOLES!C56="peso_corporal",IF(ISNUMBER(MIERCOLES!E56),MIERCOLES!E56,0)+MIERCOLES!L56,MIERCOLES!L56)*MIERCOLES!M56,IF(MIERCOLES!C56="peso_corporal",IF(ISNUMBER(MIERCOLES!E56),MIERCOLES!E56,0)+MIERCOLES!O56,MIERCOLES!O56)*MIERCOLES!P56,IF(MIERCOLES!C56="peso_corporal",IF(ISNUMBER(MIERCOLES!E56),MIERCOLES!E56,0)+MIERCOLES!R56,MIERCOLES!R56)*MIERCOLES!S56),1),""))</f>
        <v/>
      </c>
      <c r="K151" s="51" t="str">
        <f>IF(P151="","",IFERROR(ROUND(CHOOSE(VALUE(RIGHT(P151,1)),(IF(MIERCOLES!C56="peso_corporal",IF(ISNUMBER(MIERCOLES!E56),MIERCOLES!E56,0)+MIERCOLES!F56,MIERCOLES!F56))*(1+MIERCOLES!G56/30),(IF(MIERCOLES!C56="peso_corporal",IF(ISNUMBER(MIERCOLES!E56),MIERCOLES!E56,0)+MIERCOLES!I56,MIERCOLES!I56))*(1+MIERCOLES!J56/30),(IF(MIERCOLES!C56="peso_corporal",IF(ISNUMBER(MIERCOLES!E56),MIERCOLES!E56,0)+MIERCOLES!L56,MIERCOLES!L56))*(1+MIERCOLES!M56/30),(IF(MIERCOLES!C56="peso_corporal",IF(ISNUMBER(MIERCOLES!E56),MIERCOLES!E56,0)+MIERCOLES!O56,MIERCOLES!O56))*(1+MIERCOLES!P56/30),(IF(MIERCOLES!C56="peso_corporal",IF(ISNUMBER(MIERCOLES!E56),MIERCOLES!E56,0)+MIERCOLES!R56,MIERCOLES!R56))*(1+MIERCOLES!S56/30)),1),""))</f>
        <v/>
      </c>
      <c r="L151" s="52">
        <f>IFERROR(MIERCOLES!E56,"")</f>
        <v>80</v>
      </c>
      <c r="M151" s="53" t="str">
        <f>IFERROR(IF(K151="","-",IF(ISNUMBER(LOOKUP(2,1/((HISTORIAL!$O$3:$O$150=O151)*(HISTORIAL!$F$3:$F$150&lt;&gt;"")),HISTORIAL!$K$3:$K$150)),IF(K151&gt;LOOKUP(2,1/((HISTORIAL!$O$3:$O$150=O151)*(HISTORIAL!$F$3:$F$150&lt;&gt;"")),HISTORIAL!$K$3:$K$150),"^",IF(K151&lt;LOOKUP(2,1/((HISTORIAL!$O$3:$O$150=O151)*(HISTORIAL!$F$3:$F$150&lt;&gt;"")),HISTORIAL!$K$3:$K$150),"v","-")),"-")),"-")</f>
        <v>-</v>
      </c>
      <c r="N151" s="54" t="str">
        <f>IFERROR(VLOOKUP(A151,CONFIG!$A$10:$B$21,2,0),"")</f>
        <v>FUE</v>
      </c>
      <c r="O151" s="55" t="str">
        <f t="shared" si="5"/>
        <v>Curl Femoral|Tumbado Maquina</v>
      </c>
      <c r="P151" s="69" t="str">
        <f>MIERCOLES!AC56</f>
        <v/>
      </c>
    </row>
    <row r="152" spans="1:16" ht="14.1" customHeight="1">
      <c r="A152" s="37">
        <v>3</v>
      </c>
      <c r="B152" s="37" t="s">
        <v>279</v>
      </c>
      <c r="C152" s="44" t="str">
        <f>MIERCOLES!$A$57</f>
        <v>Curl Femoral</v>
      </c>
      <c r="D152" s="45" t="str">
        <f>MIERCOLES!$B$57</f>
        <v>Sentado Maquina</v>
      </c>
      <c r="E152" s="37" t="str">
        <f>MIERCOLES!$C$57</f>
        <v>polea</v>
      </c>
      <c r="F152" s="46" t="str">
        <f>IF(P152="","",IFERROR(CHOOSE(VALUE(RIGHT(P152,1)),MIERCOLES!F57,MIERCOLES!I57,MIERCOLES!L57,MIERCOLES!O57,MIERCOLES!R57),""))</f>
        <v/>
      </c>
      <c r="G152" s="47" t="str">
        <f>IF(P152="","",IFERROR(CHOOSE(VALUE(RIGHT(P152,1)),MIERCOLES!G57,MIERCOLES!J57,MIERCOLES!M57,MIERCOLES!P57,MIERCOLES!S57),""))</f>
        <v/>
      </c>
      <c r="H152" s="48" t="str">
        <f>IF(P152="","",IFERROR(CHOOSE(VALUE(RIGHT(P152,1)),MIERCOLES!H57,MIERCOLES!K57,MIERCOLES!N57,MIERCOLES!Q57,MIERCOLES!T57),""))</f>
        <v/>
      </c>
      <c r="I152" s="49" t="str">
        <f t="shared" si="4"/>
        <v/>
      </c>
      <c r="J152" s="50" t="str">
        <f>IF(P152="","",IFERROR(ROUND(CHOOSE(VALUE(RIGHT(P152,1)),IF(MIERCOLES!C57="peso_corporal",IF(ISNUMBER(MIERCOLES!E57),MIERCOLES!E57,0)+MIERCOLES!F57,MIERCOLES!F57)*MIERCOLES!G57,IF(MIERCOLES!C57="peso_corporal",IF(ISNUMBER(MIERCOLES!E57),MIERCOLES!E57,0)+MIERCOLES!I57,MIERCOLES!I57)*MIERCOLES!J57,IF(MIERCOLES!C57="peso_corporal",IF(ISNUMBER(MIERCOLES!E57),MIERCOLES!E57,0)+MIERCOLES!L57,MIERCOLES!L57)*MIERCOLES!M57,IF(MIERCOLES!C57="peso_corporal",IF(ISNUMBER(MIERCOLES!E57),MIERCOLES!E57,0)+MIERCOLES!O57,MIERCOLES!O57)*MIERCOLES!P57,IF(MIERCOLES!C57="peso_corporal",IF(ISNUMBER(MIERCOLES!E57),MIERCOLES!E57,0)+MIERCOLES!R57,MIERCOLES!R57)*MIERCOLES!S57),1),""))</f>
        <v/>
      </c>
      <c r="K152" s="51" t="str">
        <f>IF(P152="","",IFERROR(ROUND(CHOOSE(VALUE(RIGHT(P152,1)),(IF(MIERCOLES!C57="peso_corporal",IF(ISNUMBER(MIERCOLES!E57),MIERCOLES!E57,0)+MIERCOLES!F57,MIERCOLES!F57))*(1+MIERCOLES!G57/30),(IF(MIERCOLES!C57="peso_corporal",IF(ISNUMBER(MIERCOLES!E57),MIERCOLES!E57,0)+MIERCOLES!I57,MIERCOLES!I57))*(1+MIERCOLES!J57/30),(IF(MIERCOLES!C57="peso_corporal",IF(ISNUMBER(MIERCOLES!E57),MIERCOLES!E57,0)+MIERCOLES!L57,MIERCOLES!L57))*(1+MIERCOLES!M57/30),(IF(MIERCOLES!C57="peso_corporal",IF(ISNUMBER(MIERCOLES!E57),MIERCOLES!E57,0)+MIERCOLES!O57,MIERCOLES!O57))*(1+MIERCOLES!P57/30),(IF(MIERCOLES!C57="peso_corporal",IF(ISNUMBER(MIERCOLES!E57),MIERCOLES!E57,0)+MIERCOLES!R57,MIERCOLES!R57))*(1+MIERCOLES!S57/30)),1),""))</f>
        <v/>
      </c>
      <c r="L152" s="52">
        <f>IFERROR(MIERCOLES!E57,"")</f>
        <v>80</v>
      </c>
      <c r="M152" s="53" t="str">
        <f>IFERROR(IF(K152="","-",IF(ISNUMBER(LOOKUP(2,1/((HISTORIAL!$O$3:$O$151=O152)*(HISTORIAL!$F$3:$F$151&lt;&gt;"")),HISTORIAL!$K$3:$K$151)),IF(K152&gt;LOOKUP(2,1/((HISTORIAL!$O$3:$O$151=O152)*(HISTORIAL!$F$3:$F$151&lt;&gt;"")),HISTORIAL!$K$3:$K$151),"^",IF(K152&lt;LOOKUP(2,1/((HISTORIAL!$O$3:$O$151=O152)*(HISTORIAL!$F$3:$F$151&lt;&gt;"")),HISTORIAL!$K$3:$K$151),"v","-")),"-")),"-")</f>
        <v>-</v>
      </c>
      <c r="N152" s="54" t="str">
        <f>IFERROR(VLOOKUP(A152,CONFIG!$A$10:$B$21,2,0),"")</f>
        <v>FUE</v>
      </c>
      <c r="O152" s="55" t="str">
        <f t="shared" si="5"/>
        <v>Curl Femoral|Sentado Maquina</v>
      </c>
      <c r="P152" s="69" t="str">
        <f>MIERCOLES!AC57</f>
        <v/>
      </c>
    </row>
    <row r="153" spans="1:16" ht="14.1" customHeight="1">
      <c r="A153" s="37">
        <v>3</v>
      </c>
      <c r="B153" s="37" t="s">
        <v>279</v>
      </c>
      <c r="C153" s="44" t="str">
        <f>MIERCOLES!$A$58</f>
        <v>Curl Rumano</v>
      </c>
      <c r="D153" s="45" t="str">
        <f>MIERCOLES!$B$58</f>
        <v>Mancuernas</v>
      </c>
      <c r="E153" s="37" t="str">
        <f>MIERCOLES!$C$58</f>
        <v>mancuerna</v>
      </c>
      <c r="F153" s="46" t="str">
        <f>IF(P153="","",IFERROR(CHOOSE(VALUE(RIGHT(P153,1)),MIERCOLES!F58,MIERCOLES!I58,MIERCOLES!L58,MIERCOLES!O58,MIERCOLES!R58),""))</f>
        <v/>
      </c>
      <c r="G153" s="47" t="str">
        <f>IF(P153="","",IFERROR(CHOOSE(VALUE(RIGHT(P153,1)),MIERCOLES!G58,MIERCOLES!J58,MIERCOLES!M58,MIERCOLES!P58,MIERCOLES!S58),""))</f>
        <v/>
      </c>
      <c r="H153" s="48" t="str">
        <f>IF(P153="","",IFERROR(CHOOSE(VALUE(RIGHT(P153,1)),MIERCOLES!H58,MIERCOLES!K58,MIERCOLES!N58,MIERCOLES!Q58,MIERCOLES!T58),""))</f>
        <v/>
      </c>
      <c r="I153" s="49" t="str">
        <f t="shared" si="4"/>
        <v/>
      </c>
      <c r="J153" s="50" t="str">
        <f>IF(P153="","",IFERROR(ROUND(CHOOSE(VALUE(RIGHT(P153,1)),IF(MIERCOLES!C58="peso_corporal",IF(ISNUMBER(MIERCOLES!E58),MIERCOLES!E58,0)+MIERCOLES!F58,MIERCOLES!F58)*MIERCOLES!G58,IF(MIERCOLES!C58="peso_corporal",IF(ISNUMBER(MIERCOLES!E58),MIERCOLES!E58,0)+MIERCOLES!I58,MIERCOLES!I58)*MIERCOLES!J58,IF(MIERCOLES!C58="peso_corporal",IF(ISNUMBER(MIERCOLES!E58),MIERCOLES!E58,0)+MIERCOLES!L58,MIERCOLES!L58)*MIERCOLES!M58,IF(MIERCOLES!C58="peso_corporal",IF(ISNUMBER(MIERCOLES!E58),MIERCOLES!E58,0)+MIERCOLES!O58,MIERCOLES!O58)*MIERCOLES!P58,IF(MIERCOLES!C58="peso_corporal",IF(ISNUMBER(MIERCOLES!E58),MIERCOLES!E58,0)+MIERCOLES!R58,MIERCOLES!R58)*MIERCOLES!S58),1),""))</f>
        <v/>
      </c>
      <c r="K153" s="51" t="str">
        <f>IF(P153="","",IFERROR(ROUND(CHOOSE(VALUE(RIGHT(P153,1)),(IF(MIERCOLES!C58="peso_corporal",IF(ISNUMBER(MIERCOLES!E58),MIERCOLES!E58,0)+MIERCOLES!F58,MIERCOLES!F58))*(1+MIERCOLES!G58/30),(IF(MIERCOLES!C58="peso_corporal",IF(ISNUMBER(MIERCOLES!E58),MIERCOLES!E58,0)+MIERCOLES!I58,MIERCOLES!I58))*(1+MIERCOLES!J58/30),(IF(MIERCOLES!C58="peso_corporal",IF(ISNUMBER(MIERCOLES!E58),MIERCOLES!E58,0)+MIERCOLES!L58,MIERCOLES!L58))*(1+MIERCOLES!M58/30),(IF(MIERCOLES!C58="peso_corporal",IF(ISNUMBER(MIERCOLES!E58),MIERCOLES!E58,0)+MIERCOLES!O58,MIERCOLES!O58))*(1+MIERCOLES!P58/30),(IF(MIERCOLES!C58="peso_corporal",IF(ISNUMBER(MIERCOLES!E58),MIERCOLES!E58,0)+MIERCOLES!R58,MIERCOLES!R58))*(1+MIERCOLES!S58/30)),1),""))</f>
        <v/>
      </c>
      <c r="L153" s="52">
        <f>IFERROR(MIERCOLES!E58,"")</f>
        <v>80</v>
      </c>
      <c r="M153" s="53" t="str">
        <f>IFERROR(IF(K153="","-",IF(ISNUMBER(LOOKUP(2,1/((HISTORIAL!$O$3:$O$152=O153)*(HISTORIAL!$F$3:$F$152&lt;&gt;"")),HISTORIAL!$K$3:$K$152)),IF(K153&gt;LOOKUP(2,1/((HISTORIAL!$O$3:$O$152=O153)*(HISTORIAL!$F$3:$F$152&lt;&gt;"")),HISTORIAL!$K$3:$K$152),"^",IF(K153&lt;LOOKUP(2,1/((HISTORIAL!$O$3:$O$152=O153)*(HISTORIAL!$F$3:$F$152&lt;&gt;"")),HISTORIAL!$K$3:$K$152),"v","-")),"-")),"-")</f>
        <v>-</v>
      </c>
      <c r="N153" s="54" t="str">
        <f>IFERROR(VLOOKUP(A153,CONFIG!$A$10:$B$21,2,0),"")</f>
        <v>FUE</v>
      </c>
      <c r="O153" s="55" t="str">
        <f t="shared" si="5"/>
        <v>Curl Rumano|Mancuernas</v>
      </c>
      <c r="P153" s="69" t="str">
        <f>MIERCOLES!AC58</f>
        <v/>
      </c>
    </row>
    <row r="154" spans="1:16" ht="14.1" customHeight="1">
      <c r="A154" s="37">
        <v>3</v>
      </c>
      <c r="B154" s="37" t="s">
        <v>279</v>
      </c>
      <c r="C154" s="44" t="str">
        <f>MIERCOLES!$A$60</f>
        <v>Sentadilla</v>
      </c>
      <c r="D154" s="45" t="str">
        <f>MIERCOLES!$B$60</f>
        <v>Multipower Cuna Talones</v>
      </c>
      <c r="E154" s="37" t="str">
        <f>MIERCOLES!$C$60</f>
        <v>--</v>
      </c>
      <c r="F154" s="46" t="str">
        <f>IF(P154="","",IFERROR(CHOOSE(VALUE(RIGHT(P154,1)),MIERCOLES!F60,MIERCOLES!I60,MIERCOLES!L60,MIERCOLES!O60,MIERCOLES!R60),""))</f>
        <v/>
      </c>
      <c r="G154" s="47" t="str">
        <f>IF(P154="","",IFERROR(CHOOSE(VALUE(RIGHT(P154,1)),MIERCOLES!G60,MIERCOLES!J60,MIERCOLES!M60,MIERCOLES!P60,MIERCOLES!S60),""))</f>
        <v/>
      </c>
      <c r="H154" s="48" t="str">
        <f>IF(P154="","",IFERROR(CHOOSE(VALUE(RIGHT(P154,1)),MIERCOLES!H60,MIERCOLES!K60,MIERCOLES!N60,MIERCOLES!Q60,MIERCOLES!T60),""))</f>
        <v/>
      </c>
      <c r="I154" s="49" t="str">
        <f t="shared" si="4"/>
        <v/>
      </c>
      <c r="J154" s="50" t="str">
        <f>IF(P154="","",IFERROR(ROUND(CHOOSE(VALUE(RIGHT(P154,1)),IF(MIERCOLES!C60="peso_corporal",IF(ISNUMBER(MIERCOLES!E60),MIERCOLES!E60,0)+MIERCOLES!F60,MIERCOLES!F60)*MIERCOLES!G60,IF(MIERCOLES!C60="peso_corporal",IF(ISNUMBER(MIERCOLES!E60),MIERCOLES!E60,0)+MIERCOLES!I60,MIERCOLES!I60)*MIERCOLES!J60,IF(MIERCOLES!C60="peso_corporal",IF(ISNUMBER(MIERCOLES!E60),MIERCOLES!E60,0)+MIERCOLES!L60,MIERCOLES!L60)*MIERCOLES!M60,IF(MIERCOLES!C60="peso_corporal",IF(ISNUMBER(MIERCOLES!E60),MIERCOLES!E60,0)+MIERCOLES!O60,MIERCOLES!O60)*MIERCOLES!P60,IF(MIERCOLES!C60="peso_corporal",IF(ISNUMBER(MIERCOLES!E60),MIERCOLES!E60,0)+MIERCOLES!R60,MIERCOLES!R60)*MIERCOLES!S60),1),""))</f>
        <v/>
      </c>
      <c r="K154" s="51" t="str">
        <f>IF(P154="","",IFERROR(ROUND(CHOOSE(VALUE(RIGHT(P154,1)),(IF(MIERCOLES!C60="peso_corporal",IF(ISNUMBER(MIERCOLES!E60),MIERCOLES!E60,0)+MIERCOLES!F60,MIERCOLES!F60))*(1+MIERCOLES!G60/30),(IF(MIERCOLES!C60="peso_corporal",IF(ISNUMBER(MIERCOLES!E60),MIERCOLES!E60,0)+MIERCOLES!I60,MIERCOLES!I60))*(1+MIERCOLES!J60/30),(IF(MIERCOLES!C60="peso_corporal",IF(ISNUMBER(MIERCOLES!E60),MIERCOLES!E60,0)+MIERCOLES!L60,MIERCOLES!L60))*(1+MIERCOLES!M60/30),(IF(MIERCOLES!C60="peso_corporal",IF(ISNUMBER(MIERCOLES!E60),MIERCOLES!E60,0)+MIERCOLES!O60,MIERCOLES!O60))*(1+MIERCOLES!P60/30),(IF(MIERCOLES!C60="peso_corporal",IF(ISNUMBER(MIERCOLES!E60),MIERCOLES!E60,0)+MIERCOLES!R60,MIERCOLES!R60))*(1+MIERCOLES!S60/30)),1),""))</f>
        <v/>
      </c>
      <c r="L154" s="52">
        <f>IFERROR(MIERCOLES!E60,"")</f>
        <v>80</v>
      </c>
      <c r="M154" s="53" t="str">
        <f>IFERROR(IF(K154="","-",IF(ISNUMBER(LOOKUP(2,1/((HISTORIAL!$O$3:$O$153=O154)*(HISTORIAL!$F$3:$F$153&lt;&gt;"")),HISTORIAL!$K$3:$K$153)),IF(K154&gt;LOOKUP(2,1/((HISTORIAL!$O$3:$O$153=O154)*(HISTORIAL!$F$3:$F$153&lt;&gt;"")),HISTORIAL!$K$3:$K$153),"^",IF(K154&lt;LOOKUP(2,1/((HISTORIAL!$O$3:$O$153=O154)*(HISTORIAL!$F$3:$F$153&lt;&gt;"")),HISTORIAL!$K$3:$K$153),"v","-")),"-")),"-")</f>
        <v>-</v>
      </c>
      <c r="N154" s="54" t="str">
        <f>IFERROR(VLOOKUP(A154,CONFIG!$A$10:$B$21,2,0),"")</f>
        <v>FUE</v>
      </c>
      <c r="O154" s="55" t="str">
        <f t="shared" si="5"/>
        <v>Sentadilla|Multipower Cuna Talones</v>
      </c>
      <c r="P154" s="69" t="str">
        <f>MIERCOLES!AC60</f>
        <v/>
      </c>
    </row>
    <row r="155" spans="1:16" ht="14.1" customHeight="1">
      <c r="A155" s="37">
        <v>3</v>
      </c>
      <c r="B155" s="37" t="s">
        <v>279</v>
      </c>
      <c r="C155" s="44" t="str">
        <f>MIERCOLES!$A$61</f>
        <v>Prensa Pierna</v>
      </c>
      <c r="D155" s="45" t="str">
        <f>MIERCOLES!$B$61</f>
        <v>Individual Horizontal</v>
      </c>
      <c r="E155" s="37" t="str">
        <f>MIERCOLES!$C$61</f>
        <v>--</v>
      </c>
      <c r="F155" s="46" t="str">
        <f>IF(P155="","",IFERROR(CHOOSE(VALUE(RIGHT(P155,1)),MIERCOLES!F61,MIERCOLES!I61,MIERCOLES!L61,MIERCOLES!O61,MIERCOLES!R61),""))</f>
        <v/>
      </c>
      <c r="G155" s="47" t="str">
        <f>IF(P155="","",IFERROR(CHOOSE(VALUE(RIGHT(P155,1)),MIERCOLES!G61,MIERCOLES!J61,MIERCOLES!M61,MIERCOLES!P61,MIERCOLES!S61),""))</f>
        <v/>
      </c>
      <c r="H155" s="48" t="str">
        <f>IF(P155="","",IFERROR(CHOOSE(VALUE(RIGHT(P155,1)),MIERCOLES!H61,MIERCOLES!K61,MIERCOLES!N61,MIERCOLES!Q61,MIERCOLES!T61),""))</f>
        <v/>
      </c>
      <c r="I155" s="49" t="str">
        <f t="shared" si="4"/>
        <v/>
      </c>
      <c r="J155" s="50" t="str">
        <f>IF(P155="","",IFERROR(ROUND(CHOOSE(VALUE(RIGHT(P155,1)),IF(MIERCOLES!C61="peso_corporal",IF(ISNUMBER(MIERCOLES!E61),MIERCOLES!E61,0)+MIERCOLES!F61,MIERCOLES!F61)*MIERCOLES!G61,IF(MIERCOLES!C61="peso_corporal",IF(ISNUMBER(MIERCOLES!E61),MIERCOLES!E61,0)+MIERCOLES!I61,MIERCOLES!I61)*MIERCOLES!J61,IF(MIERCOLES!C61="peso_corporal",IF(ISNUMBER(MIERCOLES!E61),MIERCOLES!E61,0)+MIERCOLES!L61,MIERCOLES!L61)*MIERCOLES!M61,IF(MIERCOLES!C61="peso_corporal",IF(ISNUMBER(MIERCOLES!E61),MIERCOLES!E61,0)+MIERCOLES!O61,MIERCOLES!O61)*MIERCOLES!P61,IF(MIERCOLES!C61="peso_corporal",IF(ISNUMBER(MIERCOLES!E61),MIERCOLES!E61,0)+MIERCOLES!R61,MIERCOLES!R61)*MIERCOLES!S61),1),""))</f>
        <v/>
      </c>
      <c r="K155" s="51" t="str">
        <f>IF(P155="","",IFERROR(ROUND(CHOOSE(VALUE(RIGHT(P155,1)),(IF(MIERCOLES!C61="peso_corporal",IF(ISNUMBER(MIERCOLES!E61),MIERCOLES!E61,0)+MIERCOLES!F61,MIERCOLES!F61))*(1+MIERCOLES!G61/30),(IF(MIERCOLES!C61="peso_corporal",IF(ISNUMBER(MIERCOLES!E61),MIERCOLES!E61,0)+MIERCOLES!I61,MIERCOLES!I61))*(1+MIERCOLES!J61/30),(IF(MIERCOLES!C61="peso_corporal",IF(ISNUMBER(MIERCOLES!E61),MIERCOLES!E61,0)+MIERCOLES!L61,MIERCOLES!L61))*(1+MIERCOLES!M61/30),(IF(MIERCOLES!C61="peso_corporal",IF(ISNUMBER(MIERCOLES!E61),MIERCOLES!E61,0)+MIERCOLES!O61,MIERCOLES!O61))*(1+MIERCOLES!P61/30),(IF(MIERCOLES!C61="peso_corporal",IF(ISNUMBER(MIERCOLES!E61),MIERCOLES!E61,0)+MIERCOLES!R61,MIERCOLES!R61))*(1+MIERCOLES!S61/30)),1),""))</f>
        <v/>
      </c>
      <c r="L155" s="52">
        <f>IFERROR(MIERCOLES!E61,"")</f>
        <v>80</v>
      </c>
      <c r="M155" s="53" t="str">
        <f>IFERROR(IF(K155="","-",IF(ISNUMBER(LOOKUP(2,1/((HISTORIAL!$O$3:$O$154=O155)*(HISTORIAL!$F$3:$F$154&lt;&gt;"")),HISTORIAL!$K$3:$K$154)),IF(K155&gt;LOOKUP(2,1/((HISTORIAL!$O$3:$O$154=O155)*(HISTORIAL!$F$3:$F$154&lt;&gt;"")),HISTORIAL!$K$3:$K$154),"^",IF(K155&lt;LOOKUP(2,1/((HISTORIAL!$O$3:$O$154=O155)*(HISTORIAL!$F$3:$F$154&lt;&gt;"")),HISTORIAL!$K$3:$K$154),"v","-")),"-")),"-")</f>
        <v>-</v>
      </c>
      <c r="N155" s="54" t="str">
        <f>IFERROR(VLOOKUP(A155,CONFIG!$A$10:$B$21,2,0),"")</f>
        <v>FUE</v>
      </c>
      <c r="O155" s="55" t="str">
        <f t="shared" si="5"/>
        <v>Prensa Pierna|Individual Horizontal</v>
      </c>
      <c r="P155" s="69" t="str">
        <f>MIERCOLES!AC61</f>
        <v/>
      </c>
    </row>
    <row r="156" spans="1:16" ht="14.1" customHeight="1">
      <c r="A156" s="37">
        <v>3</v>
      </c>
      <c r="B156" s="37" t="s">
        <v>279</v>
      </c>
      <c r="C156" s="44" t="str">
        <f>MIERCOLES!$A$62</f>
        <v>Extension Cuadriceps</v>
      </c>
      <c r="D156" s="45" t="str">
        <f>MIERCOLES!$B$62</f>
        <v>Vasto Externo</v>
      </c>
      <c r="E156" s="37" t="str">
        <f>MIERCOLES!$C$62</f>
        <v>--</v>
      </c>
      <c r="F156" s="46" t="str">
        <f>IF(P156="","",IFERROR(CHOOSE(VALUE(RIGHT(P156,1)),MIERCOLES!F62,MIERCOLES!I62,MIERCOLES!L62,MIERCOLES!O62,MIERCOLES!R62),""))</f>
        <v/>
      </c>
      <c r="G156" s="47" t="str">
        <f>IF(P156="","",IFERROR(CHOOSE(VALUE(RIGHT(P156,1)),MIERCOLES!G62,MIERCOLES!J62,MIERCOLES!M62,MIERCOLES!P62,MIERCOLES!S62),""))</f>
        <v/>
      </c>
      <c r="H156" s="48" t="str">
        <f>IF(P156="","",IFERROR(CHOOSE(VALUE(RIGHT(P156,1)),MIERCOLES!H62,MIERCOLES!K62,MIERCOLES!N62,MIERCOLES!Q62,MIERCOLES!T62),""))</f>
        <v/>
      </c>
      <c r="I156" s="49" t="str">
        <f t="shared" si="4"/>
        <v/>
      </c>
      <c r="J156" s="50" t="str">
        <f>IF(P156="","",IFERROR(ROUND(CHOOSE(VALUE(RIGHT(P156,1)),IF(MIERCOLES!C62="peso_corporal",IF(ISNUMBER(MIERCOLES!E62),MIERCOLES!E62,0)+MIERCOLES!F62,MIERCOLES!F62)*MIERCOLES!G62,IF(MIERCOLES!C62="peso_corporal",IF(ISNUMBER(MIERCOLES!E62),MIERCOLES!E62,0)+MIERCOLES!I62,MIERCOLES!I62)*MIERCOLES!J62,IF(MIERCOLES!C62="peso_corporal",IF(ISNUMBER(MIERCOLES!E62),MIERCOLES!E62,0)+MIERCOLES!L62,MIERCOLES!L62)*MIERCOLES!M62,IF(MIERCOLES!C62="peso_corporal",IF(ISNUMBER(MIERCOLES!E62),MIERCOLES!E62,0)+MIERCOLES!O62,MIERCOLES!O62)*MIERCOLES!P62,IF(MIERCOLES!C62="peso_corporal",IF(ISNUMBER(MIERCOLES!E62),MIERCOLES!E62,0)+MIERCOLES!R62,MIERCOLES!R62)*MIERCOLES!S62),1),""))</f>
        <v/>
      </c>
      <c r="K156" s="51" t="str">
        <f>IF(P156="","",IFERROR(ROUND(CHOOSE(VALUE(RIGHT(P156,1)),(IF(MIERCOLES!C62="peso_corporal",IF(ISNUMBER(MIERCOLES!E62),MIERCOLES!E62,0)+MIERCOLES!F62,MIERCOLES!F62))*(1+MIERCOLES!G62/30),(IF(MIERCOLES!C62="peso_corporal",IF(ISNUMBER(MIERCOLES!E62),MIERCOLES!E62,0)+MIERCOLES!I62,MIERCOLES!I62))*(1+MIERCOLES!J62/30),(IF(MIERCOLES!C62="peso_corporal",IF(ISNUMBER(MIERCOLES!E62),MIERCOLES!E62,0)+MIERCOLES!L62,MIERCOLES!L62))*(1+MIERCOLES!M62/30),(IF(MIERCOLES!C62="peso_corporal",IF(ISNUMBER(MIERCOLES!E62),MIERCOLES!E62,0)+MIERCOLES!O62,MIERCOLES!O62))*(1+MIERCOLES!P62/30),(IF(MIERCOLES!C62="peso_corporal",IF(ISNUMBER(MIERCOLES!E62),MIERCOLES!E62,0)+MIERCOLES!R62,MIERCOLES!R62))*(1+MIERCOLES!S62/30)),1),""))</f>
        <v/>
      </c>
      <c r="L156" s="52">
        <f>IFERROR(MIERCOLES!E62,"")</f>
        <v>80</v>
      </c>
      <c r="M156" s="53" t="str">
        <f>IFERROR(IF(K156="","-",IF(ISNUMBER(LOOKUP(2,1/((HISTORIAL!$O$3:$O$155=O156)*(HISTORIAL!$F$3:$F$155&lt;&gt;"")),HISTORIAL!$K$3:$K$155)),IF(K156&gt;LOOKUP(2,1/((HISTORIAL!$O$3:$O$155=O156)*(HISTORIAL!$F$3:$F$155&lt;&gt;"")),HISTORIAL!$K$3:$K$155),"^",IF(K156&lt;LOOKUP(2,1/((HISTORIAL!$O$3:$O$155=O156)*(HISTORIAL!$F$3:$F$155&lt;&gt;"")),HISTORIAL!$K$3:$K$155),"v","-")),"-")),"-")</f>
        <v>-</v>
      </c>
      <c r="N156" s="54" t="str">
        <f>IFERROR(VLOOKUP(A156,CONFIG!$A$10:$B$21,2,0),"")</f>
        <v>FUE</v>
      </c>
      <c r="O156" s="55" t="str">
        <f t="shared" si="5"/>
        <v>Extension Cuadriceps|Vasto Externo</v>
      </c>
      <c r="P156" s="69" t="str">
        <f>MIERCOLES!AC62</f>
        <v/>
      </c>
    </row>
    <row r="157" spans="1:16" ht="14.1" customHeight="1">
      <c r="A157" s="37">
        <v>3</v>
      </c>
      <c r="B157" s="37" t="s">
        <v>279</v>
      </c>
      <c r="C157" s="44" t="str">
        <f>MIERCOLES!$A$63</f>
        <v>Extension Cuadriceps</v>
      </c>
      <c r="D157" s="45" t="str">
        <f>MIERCOLES!$B$63</f>
        <v>Vasto Interno</v>
      </c>
      <c r="E157" s="37" t="str">
        <f>MIERCOLES!$C$63</f>
        <v>--</v>
      </c>
      <c r="F157" s="46" t="str">
        <f>IF(P157="","",IFERROR(CHOOSE(VALUE(RIGHT(P157,1)),MIERCOLES!F63,MIERCOLES!I63,MIERCOLES!L63,MIERCOLES!O63,MIERCOLES!R63),""))</f>
        <v/>
      </c>
      <c r="G157" s="47" t="str">
        <f>IF(P157="","",IFERROR(CHOOSE(VALUE(RIGHT(P157,1)),MIERCOLES!G63,MIERCOLES!J63,MIERCOLES!M63,MIERCOLES!P63,MIERCOLES!S63),""))</f>
        <v/>
      </c>
      <c r="H157" s="48" t="str">
        <f>IF(P157="","",IFERROR(CHOOSE(VALUE(RIGHT(P157,1)),MIERCOLES!H63,MIERCOLES!K63,MIERCOLES!N63,MIERCOLES!Q63,MIERCOLES!T63),""))</f>
        <v/>
      </c>
      <c r="I157" s="49" t="str">
        <f t="shared" si="4"/>
        <v/>
      </c>
      <c r="J157" s="50" t="str">
        <f>IF(P157="","",IFERROR(ROUND(CHOOSE(VALUE(RIGHT(P157,1)),IF(MIERCOLES!C63="peso_corporal",IF(ISNUMBER(MIERCOLES!E63),MIERCOLES!E63,0)+MIERCOLES!F63,MIERCOLES!F63)*MIERCOLES!G63,IF(MIERCOLES!C63="peso_corporal",IF(ISNUMBER(MIERCOLES!E63),MIERCOLES!E63,0)+MIERCOLES!I63,MIERCOLES!I63)*MIERCOLES!J63,IF(MIERCOLES!C63="peso_corporal",IF(ISNUMBER(MIERCOLES!E63),MIERCOLES!E63,0)+MIERCOLES!L63,MIERCOLES!L63)*MIERCOLES!M63,IF(MIERCOLES!C63="peso_corporal",IF(ISNUMBER(MIERCOLES!E63),MIERCOLES!E63,0)+MIERCOLES!O63,MIERCOLES!O63)*MIERCOLES!P63,IF(MIERCOLES!C63="peso_corporal",IF(ISNUMBER(MIERCOLES!E63),MIERCOLES!E63,0)+MIERCOLES!R63,MIERCOLES!R63)*MIERCOLES!S63),1),""))</f>
        <v/>
      </c>
      <c r="K157" s="51" t="str">
        <f>IF(P157="","",IFERROR(ROUND(CHOOSE(VALUE(RIGHT(P157,1)),(IF(MIERCOLES!C63="peso_corporal",IF(ISNUMBER(MIERCOLES!E63),MIERCOLES!E63,0)+MIERCOLES!F63,MIERCOLES!F63))*(1+MIERCOLES!G63/30),(IF(MIERCOLES!C63="peso_corporal",IF(ISNUMBER(MIERCOLES!E63),MIERCOLES!E63,0)+MIERCOLES!I63,MIERCOLES!I63))*(1+MIERCOLES!J63/30),(IF(MIERCOLES!C63="peso_corporal",IF(ISNUMBER(MIERCOLES!E63),MIERCOLES!E63,0)+MIERCOLES!L63,MIERCOLES!L63))*(1+MIERCOLES!M63/30),(IF(MIERCOLES!C63="peso_corporal",IF(ISNUMBER(MIERCOLES!E63),MIERCOLES!E63,0)+MIERCOLES!O63,MIERCOLES!O63))*(1+MIERCOLES!P63/30),(IF(MIERCOLES!C63="peso_corporal",IF(ISNUMBER(MIERCOLES!E63),MIERCOLES!E63,0)+MIERCOLES!R63,MIERCOLES!R63))*(1+MIERCOLES!S63/30)),1),""))</f>
        <v/>
      </c>
      <c r="L157" s="52">
        <f>IFERROR(MIERCOLES!E63,"")</f>
        <v>80</v>
      </c>
      <c r="M157" s="53" t="str">
        <f>IFERROR(IF(K157="","-",IF(ISNUMBER(LOOKUP(2,1/((HISTORIAL!$O$3:$O$156=O157)*(HISTORIAL!$F$3:$F$156&lt;&gt;"")),HISTORIAL!$K$3:$K$156)),IF(K157&gt;LOOKUP(2,1/((HISTORIAL!$O$3:$O$156=O157)*(HISTORIAL!$F$3:$F$156&lt;&gt;"")),HISTORIAL!$K$3:$K$156),"^",IF(K157&lt;LOOKUP(2,1/((HISTORIAL!$O$3:$O$156=O157)*(HISTORIAL!$F$3:$F$156&lt;&gt;"")),HISTORIAL!$K$3:$K$156),"v","-")),"-")),"-")</f>
        <v>-</v>
      </c>
      <c r="N157" s="54" t="str">
        <f>IFERROR(VLOOKUP(A157,CONFIG!$A$10:$B$21,2,0),"")</f>
        <v>FUE</v>
      </c>
      <c r="O157" s="55" t="str">
        <f t="shared" si="5"/>
        <v>Extension Cuadriceps|Vasto Interno</v>
      </c>
      <c r="P157" s="69" t="str">
        <f>MIERCOLES!AC63</f>
        <v/>
      </c>
    </row>
    <row r="158" spans="1:16" ht="14.1" customHeight="1">
      <c r="A158" s="37">
        <v>3</v>
      </c>
      <c r="B158" s="37" t="s">
        <v>279</v>
      </c>
      <c r="C158" s="44" t="str">
        <f>MIERCOLES!$A$65</f>
        <v>Elevacion Gemelo</v>
      </c>
      <c r="D158" s="45" t="str">
        <f>MIERCOLES!$B$65</f>
        <v>Sentado</v>
      </c>
      <c r="E158" s="37" t="str">
        <f>MIERCOLES!$C$65</f>
        <v>disco</v>
      </c>
      <c r="F158" s="46" t="str">
        <f>IF(P158="","",IFERROR(CHOOSE(VALUE(RIGHT(P158,1)),MIERCOLES!F65,MIERCOLES!I65,MIERCOLES!L65,MIERCOLES!O65,MIERCOLES!R65),""))</f>
        <v/>
      </c>
      <c r="G158" s="47" t="str">
        <f>IF(P158="","",IFERROR(CHOOSE(VALUE(RIGHT(P158,1)),MIERCOLES!G65,MIERCOLES!J65,MIERCOLES!M65,MIERCOLES!P65,MIERCOLES!S65),""))</f>
        <v/>
      </c>
      <c r="H158" s="48" t="str">
        <f>IF(P158="","",IFERROR(CHOOSE(VALUE(RIGHT(P158,1)),MIERCOLES!H65,MIERCOLES!K65,MIERCOLES!N65,MIERCOLES!Q65,MIERCOLES!T65),""))</f>
        <v/>
      </c>
      <c r="I158" s="49" t="str">
        <f t="shared" si="4"/>
        <v/>
      </c>
      <c r="J158" s="50" t="str">
        <f>IF(P158="","",IFERROR(ROUND(CHOOSE(VALUE(RIGHT(P158,1)),IF(MIERCOLES!C65="peso_corporal",IF(ISNUMBER(MIERCOLES!E65),MIERCOLES!E65,0)+MIERCOLES!F65,MIERCOLES!F65)*MIERCOLES!G65,IF(MIERCOLES!C65="peso_corporal",IF(ISNUMBER(MIERCOLES!E65),MIERCOLES!E65,0)+MIERCOLES!I65,MIERCOLES!I65)*MIERCOLES!J65,IF(MIERCOLES!C65="peso_corporal",IF(ISNUMBER(MIERCOLES!E65),MIERCOLES!E65,0)+MIERCOLES!L65,MIERCOLES!L65)*MIERCOLES!M65,IF(MIERCOLES!C65="peso_corporal",IF(ISNUMBER(MIERCOLES!E65),MIERCOLES!E65,0)+MIERCOLES!O65,MIERCOLES!O65)*MIERCOLES!P65,IF(MIERCOLES!C65="peso_corporal",IF(ISNUMBER(MIERCOLES!E65),MIERCOLES!E65,0)+MIERCOLES!R65,MIERCOLES!R65)*MIERCOLES!S65),1),""))</f>
        <v/>
      </c>
      <c r="K158" s="51" t="str">
        <f>IF(P158="","",IFERROR(ROUND(CHOOSE(VALUE(RIGHT(P158,1)),(IF(MIERCOLES!C65="peso_corporal",IF(ISNUMBER(MIERCOLES!E65),MIERCOLES!E65,0)+MIERCOLES!F65,MIERCOLES!F65))*(1+MIERCOLES!G65/30),(IF(MIERCOLES!C65="peso_corporal",IF(ISNUMBER(MIERCOLES!E65),MIERCOLES!E65,0)+MIERCOLES!I65,MIERCOLES!I65))*(1+MIERCOLES!J65/30),(IF(MIERCOLES!C65="peso_corporal",IF(ISNUMBER(MIERCOLES!E65),MIERCOLES!E65,0)+MIERCOLES!L65,MIERCOLES!L65))*(1+MIERCOLES!M65/30),(IF(MIERCOLES!C65="peso_corporal",IF(ISNUMBER(MIERCOLES!E65),MIERCOLES!E65,0)+MIERCOLES!O65,MIERCOLES!O65))*(1+MIERCOLES!P65/30),(IF(MIERCOLES!C65="peso_corporal",IF(ISNUMBER(MIERCOLES!E65),MIERCOLES!E65,0)+MIERCOLES!R65,MIERCOLES!R65))*(1+MIERCOLES!S65/30)),1),""))</f>
        <v/>
      </c>
      <c r="L158" s="52">
        <f>IFERROR(MIERCOLES!E65,"")</f>
        <v>80</v>
      </c>
      <c r="M158" s="53" t="str">
        <f>IFERROR(IF(K158="","-",IF(ISNUMBER(LOOKUP(2,1/((HISTORIAL!$O$3:$O$157=O158)*(HISTORIAL!$F$3:$F$157&lt;&gt;"")),HISTORIAL!$K$3:$K$157)),IF(K158&gt;LOOKUP(2,1/((HISTORIAL!$O$3:$O$157=O158)*(HISTORIAL!$F$3:$F$157&lt;&gt;"")),HISTORIAL!$K$3:$K$157),"^",IF(K158&lt;LOOKUP(2,1/((HISTORIAL!$O$3:$O$157=O158)*(HISTORIAL!$F$3:$F$157&lt;&gt;"")),HISTORIAL!$K$3:$K$157),"v","-")),"-")),"-")</f>
        <v>-</v>
      </c>
      <c r="N158" s="54" t="str">
        <f>IFERROR(VLOOKUP(A158,CONFIG!$A$10:$B$21,2,0),"")</f>
        <v>FUE</v>
      </c>
      <c r="O158" s="55" t="str">
        <f t="shared" si="5"/>
        <v>Elevacion Gemelo|Sentado</v>
      </c>
      <c r="P158" s="69" t="str">
        <f>MIERCOLES!AC65</f>
        <v/>
      </c>
    </row>
    <row r="159" spans="1:16" ht="14.1" customHeight="1">
      <c r="A159" s="37">
        <v>3</v>
      </c>
      <c r="B159" s="37" t="s">
        <v>279</v>
      </c>
      <c r="C159" s="44" t="str">
        <f>MIERCOLES!$A$66</f>
        <v>Elevacion Gemelo</v>
      </c>
      <c r="D159" s="45" t="str">
        <f>MIERCOLES!$B$66</f>
        <v>De Pie</v>
      </c>
      <c r="E159" s="37" t="str">
        <f>MIERCOLES!$C$66</f>
        <v>disco</v>
      </c>
      <c r="F159" s="46" t="str">
        <f>IF(P159="","",IFERROR(CHOOSE(VALUE(RIGHT(P159,1)),MIERCOLES!F66,MIERCOLES!I66,MIERCOLES!L66,MIERCOLES!O66,MIERCOLES!R66),""))</f>
        <v/>
      </c>
      <c r="G159" s="47" t="str">
        <f>IF(P159="","",IFERROR(CHOOSE(VALUE(RIGHT(P159,1)),MIERCOLES!G66,MIERCOLES!J66,MIERCOLES!M66,MIERCOLES!P66,MIERCOLES!S66),""))</f>
        <v/>
      </c>
      <c r="H159" s="48" t="str">
        <f>IF(P159="","",IFERROR(CHOOSE(VALUE(RIGHT(P159,1)),MIERCOLES!H66,MIERCOLES!K66,MIERCOLES!N66,MIERCOLES!Q66,MIERCOLES!T66),""))</f>
        <v/>
      </c>
      <c r="I159" s="49" t="str">
        <f t="shared" si="4"/>
        <v/>
      </c>
      <c r="J159" s="50" t="str">
        <f>IF(P159="","",IFERROR(ROUND(CHOOSE(VALUE(RIGHT(P159,1)),IF(MIERCOLES!C66="peso_corporal",IF(ISNUMBER(MIERCOLES!E66),MIERCOLES!E66,0)+MIERCOLES!F66,MIERCOLES!F66)*MIERCOLES!G66,IF(MIERCOLES!C66="peso_corporal",IF(ISNUMBER(MIERCOLES!E66),MIERCOLES!E66,0)+MIERCOLES!I66,MIERCOLES!I66)*MIERCOLES!J66,IF(MIERCOLES!C66="peso_corporal",IF(ISNUMBER(MIERCOLES!E66),MIERCOLES!E66,0)+MIERCOLES!L66,MIERCOLES!L66)*MIERCOLES!M66,IF(MIERCOLES!C66="peso_corporal",IF(ISNUMBER(MIERCOLES!E66),MIERCOLES!E66,0)+MIERCOLES!O66,MIERCOLES!O66)*MIERCOLES!P66,IF(MIERCOLES!C66="peso_corporal",IF(ISNUMBER(MIERCOLES!E66),MIERCOLES!E66,0)+MIERCOLES!R66,MIERCOLES!R66)*MIERCOLES!S66),1),""))</f>
        <v/>
      </c>
      <c r="K159" s="51" t="str">
        <f>IF(P159="","",IFERROR(ROUND(CHOOSE(VALUE(RIGHT(P159,1)),(IF(MIERCOLES!C66="peso_corporal",IF(ISNUMBER(MIERCOLES!E66),MIERCOLES!E66,0)+MIERCOLES!F66,MIERCOLES!F66))*(1+MIERCOLES!G66/30),(IF(MIERCOLES!C66="peso_corporal",IF(ISNUMBER(MIERCOLES!E66),MIERCOLES!E66,0)+MIERCOLES!I66,MIERCOLES!I66))*(1+MIERCOLES!J66/30),(IF(MIERCOLES!C66="peso_corporal",IF(ISNUMBER(MIERCOLES!E66),MIERCOLES!E66,0)+MIERCOLES!L66,MIERCOLES!L66))*(1+MIERCOLES!M66/30),(IF(MIERCOLES!C66="peso_corporal",IF(ISNUMBER(MIERCOLES!E66),MIERCOLES!E66,0)+MIERCOLES!O66,MIERCOLES!O66))*(1+MIERCOLES!P66/30),(IF(MIERCOLES!C66="peso_corporal",IF(ISNUMBER(MIERCOLES!E66),MIERCOLES!E66,0)+MIERCOLES!R66,MIERCOLES!R66))*(1+MIERCOLES!S66/30)),1),""))</f>
        <v/>
      </c>
      <c r="L159" s="52">
        <f>IFERROR(MIERCOLES!E66,"")</f>
        <v>80</v>
      </c>
      <c r="M159" s="53" t="str">
        <f>IFERROR(IF(K159="","-",IF(ISNUMBER(LOOKUP(2,1/((HISTORIAL!$O$3:$O$158=O159)*(HISTORIAL!$F$3:$F$158&lt;&gt;"")),HISTORIAL!$K$3:$K$158)),IF(K159&gt;LOOKUP(2,1/((HISTORIAL!$O$3:$O$158=O159)*(HISTORIAL!$F$3:$F$158&lt;&gt;"")),HISTORIAL!$K$3:$K$158),"^",IF(K159&lt;LOOKUP(2,1/((HISTORIAL!$O$3:$O$158=O159)*(HISTORIAL!$F$3:$F$158&lt;&gt;"")),HISTORIAL!$K$3:$K$158),"v","-")),"-")),"-")</f>
        <v>-</v>
      </c>
      <c r="N159" s="54" t="str">
        <f>IFERROR(VLOOKUP(A159,CONFIG!$A$10:$B$21,2,0),"")</f>
        <v>FUE</v>
      </c>
      <c r="O159" s="55" t="str">
        <f t="shared" si="5"/>
        <v>Elevacion Gemelo|De Pie</v>
      </c>
      <c r="P159" s="69" t="str">
        <f>MIERCOLES!AC66</f>
        <v/>
      </c>
    </row>
    <row r="160" spans="1:16" ht="14.1" customHeight="1">
      <c r="A160" s="37">
        <v>3</v>
      </c>
      <c r="B160" s="37" t="s">
        <v>279</v>
      </c>
      <c r="C160" s="44" t="str">
        <f>MIERCOLES!$A$68</f>
        <v>Hiperextension</v>
      </c>
      <c r="D160" s="45" t="str">
        <f>MIERCOLES!$B$68</f>
        <v>Banco Romano</v>
      </c>
      <c r="E160" s="37" t="str">
        <f>MIERCOLES!$C$68</f>
        <v>peso_corporal</v>
      </c>
      <c r="F160" s="46" t="str">
        <f>IF(P160="","",IFERROR(CHOOSE(VALUE(RIGHT(P160,1)),MIERCOLES!F68,MIERCOLES!I68,MIERCOLES!L68,MIERCOLES!O68,MIERCOLES!R68),""))</f>
        <v/>
      </c>
      <c r="G160" s="47" t="str">
        <f>IF(P160="","",IFERROR(CHOOSE(VALUE(RIGHT(P160,1)),MIERCOLES!G68,MIERCOLES!J68,MIERCOLES!M68,MIERCOLES!P68,MIERCOLES!S68),""))</f>
        <v/>
      </c>
      <c r="H160" s="48" t="str">
        <f>IF(P160="","",IFERROR(CHOOSE(VALUE(RIGHT(P160,1)),MIERCOLES!H68,MIERCOLES!K68,MIERCOLES!N68,MIERCOLES!Q68,MIERCOLES!T68),""))</f>
        <v/>
      </c>
      <c r="I160" s="49" t="str">
        <f t="shared" si="4"/>
        <v/>
      </c>
      <c r="J160" s="50" t="str">
        <f>IF(P160="","",IFERROR(ROUND(CHOOSE(VALUE(RIGHT(P160,1)),IF(MIERCOLES!C68="peso_corporal",IF(ISNUMBER(MIERCOLES!E68),MIERCOLES!E68,0)+MIERCOLES!F68,MIERCOLES!F68)*MIERCOLES!G68,IF(MIERCOLES!C68="peso_corporal",IF(ISNUMBER(MIERCOLES!E68),MIERCOLES!E68,0)+MIERCOLES!I68,MIERCOLES!I68)*MIERCOLES!J68,IF(MIERCOLES!C68="peso_corporal",IF(ISNUMBER(MIERCOLES!E68),MIERCOLES!E68,0)+MIERCOLES!L68,MIERCOLES!L68)*MIERCOLES!M68,IF(MIERCOLES!C68="peso_corporal",IF(ISNUMBER(MIERCOLES!E68),MIERCOLES!E68,0)+MIERCOLES!O68,MIERCOLES!O68)*MIERCOLES!P68,IF(MIERCOLES!C68="peso_corporal",IF(ISNUMBER(MIERCOLES!E68),MIERCOLES!E68,0)+MIERCOLES!R68,MIERCOLES!R68)*MIERCOLES!S68),1),""))</f>
        <v/>
      </c>
      <c r="K160" s="51" t="str">
        <f>IF(P160="","",IFERROR(ROUND(CHOOSE(VALUE(RIGHT(P160,1)),(IF(MIERCOLES!C68="peso_corporal",IF(ISNUMBER(MIERCOLES!E68),MIERCOLES!E68,0)+MIERCOLES!F68,MIERCOLES!F68))*(1+MIERCOLES!G68/30),(IF(MIERCOLES!C68="peso_corporal",IF(ISNUMBER(MIERCOLES!E68),MIERCOLES!E68,0)+MIERCOLES!I68,MIERCOLES!I68))*(1+MIERCOLES!J68/30),(IF(MIERCOLES!C68="peso_corporal",IF(ISNUMBER(MIERCOLES!E68),MIERCOLES!E68,0)+MIERCOLES!L68,MIERCOLES!L68))*(1+MIERCOLES!M68/30),(IF(MIERCOLES!C68="peso_corporal",IF(ISNUMBER(MIERCOLES!E68),MIERCOLES!E68,0)+MIERCOLES!O68,MIERCOLES!O68))*(1+MIERCOLES!P68/30),(IF(MIERCOLES!C68="peso_corporal",IF(ISNUMBER(MIERCOLES!E68),MIERCOLES!E68,0)+MIERCOLES!R68,MIERCOLES!R68))*(1+MIERCOLES!S68/30)),1),""))</f>
        <v/>
      </c>
      <c r="L160" s="52">
        <f>IFERROR(MIERCOLES!E68,"")</f>
        <v>80</v>
      </c>
      <c r="M160" s="53" t="str">
        <f>IFERROR(IF(K160="","-",IF(ISNUMBER(LOOKUP(2,1/((HISTORIAL!$O$3:$O$159=O160)*(HISTORIAL!$F$3:$F$159&lt;&gt;"")),HISTORIAL!$K$3:$K$159)),IF(K160&gt;LOOKUP(2,1/((HISTORIAL!$O$3:$O$159=O160)*(HISTORIAL!$F$3:$F$159&lt;&gt;"")),HISTORIAL!$K$3:$K$159),"^",IF(K160&lt;LOOKUP(2,1/((HISTORIAL!$O$3:$O$159=O160)*(HISTORIAL!$F$3:$F$159&lt;&gt;"")),HISTORIAL!$K$3:$K$159),"v","-")),"-")),"-")</f>
        <v>-</v>
      </c>
      <c r="N160" s="54" t="str">
        <f>IFERROR(VLOOKUP(A160,CONFIG!$A$10:$B$21,2,0),"")</f>
        <v>FUE</v>
      </c>
      <c r="O160" s="55" t="str">
        <f t="shared" si="5"/>
        <v>Hiperextension|Banco Romano</v>
      </c>
      <c r="P160" s="69" t="str">
        <f>MIERCOLES!AC68</f>
        <v/>
      </c>
    </row>
    <row r="161" spans="1:16" ht="14.1" customHeight="1">
      <c r="A161" s="37">
        <v>3</v>
      </c>
      <c r="B161" s="37" t="s">
        <v>279</v>
      </c>
      <c r="C161" s="44" t="str">
        <f>MIERCOLES!$A$69</f>
        <v>Peso Muerto Parcial</v>
      </c>
      <c r="D161" s="45" t="str">
        <f>MIERCOLES!$B$69</f>
        <v>Barra</v>
      </c>
      <c r="E161" s="37" t="str">
        <f>MIERCOLES!$C$69</f>
        <v>disco</v>
      </c>
      <c r="F161" s="46" t="str">
        <f>IF(P161="","",IFERROR(CHOOSE(VALUE(RIGHT(P161,1)),MIERCOLES!F69,MIERCOLES!I69,MIERCOLES!L69,MIERCOLES!O69,MIERCOLES!R69),""))</f>
        <v/>
      </c>
      <c r="G161" s="47" t="str">
        <f>IF(P161="","",IFERROR(CHOOSE(VALUE(RIGHT(P161,1)),MIERCOLES!G69,MIERCOLES!J69,MIERCOLES!M69,MIERCOLES!P69,MIERCOLES!S69),""))</f>
        <v/>
      </c>
      <c r="H161" s="48" t="str">
        <f>IF(P161="","",IFERROR(CHOOSE(VALUE(RIGHT(P161,1)),MIERCOLES!H69,MIERCOLES!K69,MIERCOLES!N69,MIERCOLES!Q69,MIERCOLES!T69),""))</f>
        <v/>
      </c>
      <c r="I161" s="49" t="str">
        <f t="shared" si="4"/>
        <v/>
      </c>
      <c r="J161" s="50" t="str">
        <f>IF(P161="","",IFERROR(ROUND(CHOOSE(VALUE(RIGHT(P161,1)),IF(MIERCOLES!C69="peso_corporal",IF(ISNUMBER(MIERCOLES!E69),MIERCOLES!E69,0)+MIERCOLES!F69,MIERCOLES!F69)*MIERCOLES!G69,IF(MIERCOLES!C69="peso_corporal",IF(ISNUMBER(MIERCOLES!E69),MIERCOLES!E69,0)+MIERCOLES!I69,MIERCOLES!I69)*MIERCOLES!J69,IF(MIERCOLES!C69="peso_corporal",IF(ISNUMBER(MIERCOLES!E69),MIERCOLES!E69,0)+MIERCOLES!L69,MIERCOLES!L69)*MIERCOLES!M69,IF(MIERCOLES!C69="peso_corporal",IF(ISNUMBER(MIERCOLES!E69),MIERCOLES!E69,0)+MIERCOLES!O69,MIERCOLES!O69)*MIERCOLES!P69,IF(MIERCOLES!C69="peso_corporal",IF(ISNUMBER(MIERCOLES!E69),MIERCOLES!E69,0)+MIERCOLES!R69,MIERCOLES!R69)*MIERCOLES!S69),1),""))</f>
        <v/>
      </c>
      <c r="K161" s="51" t="str">
        <f>IF(P161="","",IFERROR(ROUND(CHOOSE(VALUE(RIGHT(P161,1)),(IF(MIERCOLES!C69="peso_corporal",IF(ISNUMBER(MIERCOLES!E69),MIERCOLES!E69,0)+MIERCOLES!F69,MIERCOLES!F69))*(1+MIERCOLES!G69/30),(IF(MIERCOLES!C69="peso_corporal",IF(ISNUMBER(MIERCOLES!E69),MIERCOLES!E69,0)+MIERCOLES!I69,MIERCOLES!I69))*(1+MIERCOLES!J69/30),(IF(MIERCOLES!C69="peso_corporal",IF(ISNUMBER(MIERCOLES!E69),MIERCOLES!E69,0)+MIERCOLES!L69,MIERCOLES!L69))*(1+MIERCOLES!M69/30),(IF(MIERCOLES!C69="peso_corporal",IF(ISNUMBER(MIERCOLES!E69),MIERCOLES!E69,0)+MIERCOLES!O69,MIERCOLES!O69))*(1+MIERCOLES!P69/30),(IF(MIERCOLES!C69="peso_corporal",IF(ISNUMBER(MIERCOLES!E69),MIERCOLES!E69,0)+MIERCOLES!R69,MIERCOLES!R69))*(1+MIERCOLES!S69/30)),1),""))</f>
        <v/>
      </c>
      <c r="L161" s="52">
        <f>IFERROR(MIERCOLES!E69,"")</f>
        <v>80</v>
      </c>
      <c r="M161" s="53" t="str">
        <f>IFERROR(IF(K161="","-",IF(ISNUMBER(LOOKUP(2,1/((HISTORIAL!$O$3:$O$160=O161)*(HISTORIAL!$F$3:$F$160&lt;&gt;"")),HISTORIAL!$K$3:$K$160)),IF(K161&gt;LOOKUP(2,1/((HISTORIAL!$O$3:$O$160=O161)*(HISTORIAL!$F$3:$F$160&lt;&gt;"")),HISTORIAL!$K$3:$K$160),"^",IF(K161&lt;LOOKUP(2,1/((HISTORIAL!$O$3:$O$160=O161)*(HISTORIAL!$F$3:$F$160&lt;&gt;"")),HISTORIAL!$K$3:$K$160),"v","-")),"-")),"-")</f>
        <v>-</v>
      </c>
      <c r="N161" s="54" t="str">
        <f>IFERROR(VLOOKUP(A161,CONFIG!$A$10:$B$21,2,0),"")</f>
        <v>FUE</v>
      </c>
      <c r="O161" s="55" t="str">
        <f t="shared" si="5"/>
        <v>Peso Muerto Parcial|Barra</v>
      </c>
      <c r="P161" s="69" t="str">
        <f>MIERCOLES!AC69</f>
        <v/>
      </c>
    </row>
    <row r="162" spans="1:16" ht="14.1" customHeight="1">
      <c r="A162" s="37">
        <v>3</v>
      </c>
      <c r="B162" s="37" t="s">
        <v>279</v>
      </c>
      <c r="C162" s="44" t="str">
        <f>MIERCOLES!$A$71</f>
        <v>Crunch</v>
      </c>
      <c r="D162" s="45" t="str">
        <f>MIERCOLES!$B$71</f>
        <v>Polea</v>
      </c>
      <c r="E162" s="37" t="str">
        <f>MIERCOLES!$C$71</f>
        <v>polea</v>
      </c>
      <c r="F162" s="46" t="str">
        <f>IF(P162="","",IFERROR(CHOOSE(VALUE(RIGHT(P162,1)),MIERCOLES!F71,MIERCOLES!I71,MIERCOLES!L71,MIERCOLES!O71,MIERCOLES!R71),""))</f>
        <v/>
      </c>
      <c r="G162" s="47" t="str">
        <f>IF(P162="","",IFERROR(CHOOSE(VALUE(RIGHT(P162,1)),MIERCOLES!G71,MIERCOLES!J71,MIERCOLES!M71,MIERCOLES!P71,MIERCOLES!S71),""))</f>
        <v/>
      </c>
      <c r="H162" s="48" t="str">
        <f>IF(P162="","",IFERROR(CHOOSE(VALUE(RIGHT(P162,1)),MIERCOLES!H71,MIERCOLES!K71,MIERCOLES!N71,MIERCOLES!Q71,MIERCOLES!T71),""))</f>
        <v/>
      </c>
      <c r="I162" s="49" t="str">
        <f t="shared" si="4"/>
        <v/>
      </c>
      <c r="J162" s="50" t="str">
        <f>IF(P162="","",IFERROR(ROUND(CHOOSE(VALUE(RIGHT(P162,1)),IF(MIERCOLES!C71="peso_corporal",IF(ISNUMBER(MIERCOLES!E71),MIERCOLES!E71,0)+MIERCOLES!F71,MIERCOLES!F71)*MIERCOLES!G71,IF(MIERCOLES!C71="peso_corporal",IF(ISNUMBER(MIERCOLES!E71),MIERCOLES!E71,0)+MIERCOLES!I71,MIERCOLES!I71)*MIERCOLES!J71,IF(MIERCOLES!C71="peso_corporal",IF(ISNUMBER(MIERCOLES!E71),MIERCOLES!E71,0)+MIERCOLES!L71,MIERCOLES!L71)*MIERCOLES!M71,IF(MIERCOLES!C71="peso_corporal",IF(ISNUMBER(MIERCOLES!E71),MIERCOLES!E71,0)+MIERCOLES!O71,MIERCOLES!O71)*MIERCOLES!P71,IF(MIERCOLES!C71="peso_corporal",IF(ISNUMBER(MIERCOLES!E71),MIERCOLES!E71,0)+MIERCOLES!R71,MIERCOLES!R71)*MIERCOLES!S71),1),""))</f>
        <v/>
      </c>
      <c r="K162" s="51" t="str">
        <f>IF(P162="","",IFERROR(ROUND(CHOOSE(VALUE(RIGHT(P162,1)),(IF(MIERCOLES!C71="peso_corporal",IF(ISNUMBER(MIERCOLES!E71),MIERCOLES!E71,0)+MIERCOLES!F71,MIERCOLES!F71))*(1+MIERCOLES!G71/30),(IF(MIERCOLES!C71="peso_corporal",IF(ISNUMBER(MIERCOLES!E71),MIERCOLES!E71,0)+MIERCOLES!I71,MIERCOLES!I71))*(1+MIERCOLES!J71/30),(IF(MIERCOLES!C71="peso_corporal",IF(ISNUMBER(MIERCOLES!E71),MIERCOLES!E71,0)+MIERCOLES!L71,MIERCOLES!L71))*(1+MIERCOLES!M71/30),(IF(MIERCOLES!C71="peso_corporal",IF(ISNUMBER(MIERCOLES!E71),MIERCOLES!E71,0)+MIERCOLES!O71,MIERCOLES!O71))*(1+MIERCOLES!P71/30),(IF(MIERCOLES!C71="peso_corporal",IF(ISNUMBER(MIERCOLES!E71),MIERCOLES!E71,0)+MIERCOLES!R71,MIERCOLES!R71))*(1+MIERCOLES!S71/30)),1),""))</f>
        <v/>
      </c>
      <c r="L162" s="52">
        <f>IFERROR(MIERCOLES!E71,"")</f>
        <v>80</v>
      </c>
      <c r="M162" s="53" t="str">
        <f>IFERROR(IF(K162="","-",IF(ISNUMBER(LOOKUP(2,1/((HISTORIAL!$O$3:$O$161=O162)*(HISTORIAL!$F$3:$F$161&lt;&gt;"")),HISTORIAL!$K$3:$K$161)),IF(K162&gt;LOOKUP(2,1/((HISTORIAL!$O$3:$O$161=O162)*(HISTORIAL!$F$3:$F$161&lt;&gt;"")),HISTORIAL!$K$3:$K$161),"^",IF(K162&lt;LOOKUP(2,1/((HISTORIAL!$O$3:$O$161=O162)*(HISTORIAL!$F$3:$F$161&lt;&gt;"")),HISTORIAL!$K$3:$K$161),"v","-")),"-")),"-")</f>
        <v>-</v>
      </c>
      <c r="N162" s="54" t="str">
        <f>IFERROR(VLOOKUP(A162,CONFIG!$A$10:$B$21,2,0),"")</f>
        <v>FUE</v>
      </c>
      <c r="O162" s="55" t="str">
        <f t="shared" si="5"/>
        <v>Crunch|Polea</v>
      </c>
      <c r="P162" s="69" t="str">
        <f>MIERCOLES!AC71</f>
        <v/>
      </c>
    </row>
    <row r="163" spans="1:16" ht="14.1" customHeight="1">
      <c r="A163" s="37">
        <v>3</v>
      </c>
      <c r="B163" s="37" t="s">
        <v>279</v>
      </c>
      <c r="C163" s="44" t="str">
        <f>MIERCOLES!$A$72</f>
        <v>Plancha</v>
      </c>
      <c r="D163" s="45" t="str">
        <f>MIERCOLES!$B$72</f>
        <v>Abdominal</v>
      </c>
      <c r="E163" s="37" t="str">
        <f>MIERCOLES!$C$72</f>
        <v>--</v>
      </c>
      <c r="F163" s="46" t="str">
        <f>IF(P163="","",IFERROR(CHOOSE(VALUE(RIGHT(P163,1)),MIERCOLES!F72,MIERCOLES!I72,MIERCOLES!L72,MIERCOLES!O72,MIERCOLES!R72),""))</f>
        <v/>
      </c>
      <c r="G163" s="47" t="str">
        <f>IF(P163="","",IFERROR(CHOOSE(VALUE(RIGHT(P163,1)),MIERCOLES!G72,MIERCOLES!J72,MIERCOLES!M72,MIERCOLES!P72,MIERCOLES!S72),""))</f>
        <v/>
      </c>
      <c r="H163" s="48" t="str">
        <f>IF(P163="","",IFERROR(CHOOSE(VALUE(RIGHT(P163,1)),MIERCOLES!H72,MIERCOLES!K72,MIERCOLES!N72,MIERCOLES!Q72,MIERCOLES!T72),""))</f>
        <v/>
      </c>
      <c r="I163" s="49" t="str">
        <f t="shared" si="4"/>
        <v/>
      </c>
      <c r="J163" s="50" t="str">
        <f>IF(P163="","",IFERROR(ROUND(CHOOSE(VALUE(RIGHT(P163,1)),IF(MIERCOLES!C72="peso_corporal",IF(ISNUMBER(MIERCOLES!E72),MIERCOLES!E72,0)+MIERCOLES!F72,MIERCOLES!F72)*MIERCOLES!G72,IF(MIERCOLES!C72="peso_corporal",IF(ISNUMBER(MIERCOLES!E72),MIERCOLES!E72,0)+MIERCOLES!I72,MIERCOLES!I72)*MIERCOLES!J72,IF(MIERCOLES!C72="peso_corporal",IF(ISNUMBER(MIERCOLES!E72),MIERCOLES!E72,0)+MIERCOLES!L72,MIERCOLES!L72)*MIERCOLES!M72,IF(MIERCOLES!C72="peso_corporal",IF(ISNUMBER(MIERCOLES!E72),MIERCOLES!E72,0)+MIERCOLES!O72,MIERCOLES!O72)*MIERCOLES!P72,IF(MIERCOLES!C72="peso_corporal",IF(ISNUMBER(MIERCOLES!E72),MIERCOLES!E72,0)+MIERCOLES!R72,MIERCOLES!R72)*MIERCOLES!S72),1),""))</f>
        <v/>
      </c>
      <c r="K163" s="51" t="str">
        <f>IF(P163="","",IFERROR(ROUND(CHOOSE(VALUE(RIGHT(P163,1)),(IF(MIERCOLES!C72="peso_corporal",IF(ISNUMBER(MIERCOLES!E72),MIERCOLES!E72,0)+MIERCOLES!F72,MIERCOLES!F72))*(1+MIERCOLES!G72/30),(IF(MIERCOLES!C72="peso_corporal",IF(ISNUMBER(MIERCOLES!E72),MIERCOLES!E72,0)+MIERCOLES!I72,MIERCOLES!I72))*(1+MIERCOLES!J72/30),(IF(MIERCOLES!C72="peso_corporal",IF(ISNUMBER(MIERCOLES!E72),MIERCOLES!E72,0)+MIERCOLES!L72,MIERCOLES!L72))*(1+MIERCOLES!M72/30),(IF(MIERCOLES!C72="peso_corporal",IF(ISNUMBER(MIERCOLES!E72),MIERCOLES!E72,0)+MIERCOLES!O72,MIERCOLES!O72))*(1+MIERCOLES!P72/30),(IF(MIERCOLES!C72="peso_corporal",IF(ISNUMBER(MIERCOLES!E72),MIERCOLES!E72,0)+MIERCOLES!R72,MIERCOLES!R72))*(1+MIERCOLES!S72/30)),1),""))</f>
        <v/>
      </c>
      <c r="L163" s="52">
        <f>IFERROR(MIERCOLES!E72,"")</f>
        <v>80</v>
      </c>
      <c r="M163" s="53" t="str">
        <f>IFERROR(IF(K163="","-",IF(ISNUMBER(LOOKUP(2,1/((HISTORIAL!$O$3:$O$162=O163)*(HISTORIAL!$F$3:$F$162&lt;&gt;"")),HISTORIAL!$K$3:$K$162)),IF(K163&gt;LOOKUP(2,1/((HISTORIAL!$O$3:$O$162=O163)*(HISTORIAL!$F$3:$F$162&lt;&gt;"")),HISTORIAL!$K$3:$K$162),"^",IF(K163&lt;LOOKUP(2,1/((HISTORIAL!$O$3:$O$162=O163)*(HISTORIAL!$F$3:$F$162&lt;&gt;"")),HISTORIAL!$K$3:$K$162),"v","-")),"-")),"-")</f>
        <v>-</v>
      </c>
      <c r="N163" s="54" t="str">
        <f>IFERROR(VLOOKUP(A163,CONFIG!$A$10:$B$21,2,0),"")</f>
        <v>FUE</v>
      </c>
      <c r="O163" s="55" t="str">
        <f t="shared" si="5"/>
        <v>Plancha|Abdominal</v>
      </c>
      <c r="P163" s="69" t="str">
        <f>MIERCOLES!AC72</f>
        <v/>
      </c>
    </row>
    <row r="164" spans="1:16" ht="14.1" customHeight="1">
      <c r="A164" s="37">
        <v>3</v>
      </c>
      <c r="B164" s="37" t="s">
        <v>279</v>
      </c>
      <c r="C164" s="44" t="str">
        <f>MIERCOLES!$A$73</f>
        <v>Rueda Abdominal</v>
      </c>
      <c r="D164" s="45" t="str">
        <f>MIERCOLES!$B$73</f>
        <v>Ab Wheel</v>
      </c>
      <c r="E164" s="37" t="str">
        <f>MIERCOLES!$C$73</f>
        <v>--</v>
      </c>
      <c r="F164" s="46" t="str">
        <f>IF(P164="","",IFERROR(CHOOSE(VALUE(RIGHT(P164,1)),MIERCOLES!F73,MIERCOLES!I73,MIERCOLES!L73,MIERCOLES!O73,MIERCOLES!R73),""))</f>
        <v/>
      </c>
      <c r="G164" s="47" t="str">
        <f>IF(P164="","",IFERROR(CHOOSE(VALUE(RIGHT(P164,1)),MIERCOLES!G73,MIERCOLES!J73,MIERCOLES!M73,MIERCOLES!P73,MIERCOLES!S73),""))</f>
        <v/>
      </c>
      <c r="H164" s="48" t="str">
        <f>IF(P164="","",IFERROR(CHOOSE(VALUE(RIGHT(P164,1)),MIERCOLES!H73,MIERCOLES!K73,MIERCOLES!N73,MIERCOLES!Q73,MIERCOLES!T73),""))</f>
        <v/>
      </c>
      <c r="I164" s="49" t="str">
        <f t="shared" si="4"/>
        <v/>
      </c>
      <c r="J164" s="50" t="str">
        <f>IF(P164="","",IFERROR(ROUND(CHOOSE(VALUE(RIGHT(P164,1)),IF(MIERCOLES!C73="peso_corporal",IF(ISNUMBER(MIERCOLES!E73),MIERCOLES!E73,0)+MIERCOLES!F73,MIERCOLES!F73)*MIERCOLES!G73,IF(MIERCOLES!C73="peso_corporal",IF(ISNUMBER(MIERCOLES!E73),MIERCOLES!E73,0)+MIERCOLES!I73,MIERCOLES!I73)*MIERCOLES!J73,IF(MIERCOLES!C73="peso_corporal",IF(ISNUMBER(MIERCOLES!E73),MIERCOLES!E73,0)+MIERCOLES!L73,MIERCOLES!L73)*MIERCOLES!M73,IF(MIERCOLES!C73="peso_corporal",IF(ISNUMBER(MIERCOLES!E73),MIERCOLES!E73,0)+MIERCOLES!O73,MIERCOLES!O73)*MIERCOLES!P73,IF(MIERCOLES!C73="peso_corporal",IF(ISNUMBER(MIERCOLES!E73),MIERCOLES!E73,0)+MIERCOLES!R73,MIERCOLES!R73)*MIERCOLES!S73),1),""))</f>
        <v/>
      </c>
      <c r="K164" s="51" t="str">
        <f>IF(P164="","",IFERROR(ROUND(CHOOSE(VALUE(RIGHT(P164,1)),(IF(MIERCOLES!C73="peso_corporal",IF(ISNUMBER(MIERCOLES!E73),MIERCOLES!E73,0)+MIERCOLES!F73,MIERCOLES!F73))*(1+MIERCOLES!G73/30),(IF(MIERCOLES!C73="peso_corporal",IF(ISNUMBER(MIERCOLES!E73),MIERCOLES!E73,0)+MIERCOLES!I73,MIERCOLES!I73))*(1+MIERCOLES!J73/30),(IF(MIERCOLES!C73="peso_corporal",IF(ISNUMBER(MIERCOLES!E73),MIERCOLES!E73,0)+MIERCOLES!L73,MIERCOLES!L73))*(1+MIERCOLES!M73/30),(IF(MIERCOLES!C73="peso_corporal",IF(ISNUMBER(MIERCOLES!E73),MIERCOLES!E73,0)+MIERCOLES!O73,MIERCOLES!O73))*(1+MIERCOLES!P73/30),(IF(MIERCOLES!C73="peso_corporal",IF(ISNUMBER(MIERCOLES!E73),MIERCOLES!E73,0)+MIERCOLES!R73,MIERCOLES!R73))*(1+MIERCOLES!S73/30)),1),""))</f>
        <v/>
      </c>
      <c r="L164" s="52">
        <f>IFERROR(MIERCOLES!E73,"")</f>
        <v>80</v>
      </c>
      <c r="M164" s="53" t="str">
        <f>IFERROR(IF(K164="","-",IF(ISNUMBER(LOOKUP(2,1/((HISTORIAL!$O$3:$O$163=O164)*(HISTORIAL!$F$3:$F$163&lt;&gt;"")),HISTORIAL!$K$3:$K$163)),IF(K164&gt;LOOKUP(2,1/((HISTORIAL!$O$3:$O$163=O164)*(HISTORIAL!$F$3:$F$163&lt;&gt;"")),HISTORIAL!$K$3:$K$163),"^",IF(K164&lt;LOOKUP(2,1/((HISTORIAL!$O$3:$O$163=O164)*(HISTORIAL!$F$3:$F$163&lt;&gt;"")),HISTORIAL!$K$3:$K$163),"v","-")),"-")),"-")</f>
        <v>-</v>
      </c>
      <c r="N164" s="54" t="str">
        <f>IFERROR(VLOOKUP(A164,CONFIG!$A$10:$B$21,2,0),"")</f>
        <v>FUE</v>
      </c>
      <c r="O164" s="55" t="str">
        <f t="shared" si="5"/>
        <v>Rueda Abdominal|Ab Wheel</v>
      </c>
      <c r="P164" s="69" t="str">
        <f>MIERCOLES!AC73</f>
        <v/>
      </c>
    </row>
    <row r="165" spans="1:16" ht="14.1" customHeight="1">
      <c r="A165" s="37">
        <v>3</v>
      </c>
      <c r="B165" s="37" t="s">
        <v>279</v>
      </c>
      <c r="C165" s="44" t="str">
        <f>MIERCOLES!$A$74</f>
        <v>Elevacion Piernas</v>
      </c>
      <c r="D165" s="45" t="str">
        <f>MIERCOLES!$B$74</f>
        <v>Colgado</v>
      </c>
      <c r="E165" s="37" t="str">
        <f>MIERCOLES!$C$74</f>
        <v>peso_corporal</v>
      </c>
      <c r="F165" s="46" t="str">
        <f>IF(P165="","",IFERROR(CHOOSE(VALUE(RIGHT(P165,1)),MIERCOLES!F74,MIERCOLES!I74,MIERCOLES!L74,MIERCOLES!O74,MIERCOLES!R74),""))</f>
        <v/>
      </c>
      <c r="G165" s="47" t="str">
        <f>IF(P165="","",IFERROR(CHOOSE(VALUE(RIGHT(P165,1)),MIERCOLES!G74,MIERCOLES!J74,MIERCOLES!M74,MIERCOLES!P74,MIERCOLES!S74),""))</f>
        <v/>
      </c>
      <c r="H165" s="48" t="str">
        <f>IF(P165="","",IFERROR(CHOOSE(VALUE(RIGHT(P165,1)),MIERCOLES!H74,MIERCOLES!K74,MIERCOLES!N74,MIERCOLES!Q74,MIERCOLES!T74),""))</f>
        <v/>
      </c>
      <c r="I165" s="49" t="str">
        <f t="shared" si="4"/>
        <v/>
      </c>
      <c r="J165" s="50" t="str">
        <f>IF(P165="","",IFERROR(ROUND(CHOOSE(VALUE(RIGHT(P165,1)),IF(MIERCOLES!C74="peso_corporal",IF(ISNUMBER(MIERCOLES!E74),MIERCOLES!E74,0)+MIERCOLES!F74,MIERCOLES!F74)*MIERCOLES!G74,IF(MIERCOLES!C74="peso_corporal",IF(ISNUMBER(MIERCOLES!E74),MIERCOLES!E74,0)+MIERCOLES!I74,MIERCOLES!I74)*MIERCOLES!J74,IF(MIERCOLES!C74="peso_corporal",IF(ISNUMBER(MIERCOLES!E74),MIERCOLES!E74,0)+MIERCOLES!L74,MIERCOLES!L74)*MIERCOLES!M74,IF(MIERCOLES!C74="peso_corporal",IF(ISNUMBER(MIERCOLES!E74),MIERCOLES!E74,0)+MIERCOLES!O74,MIERCOLES!O74)*MIERCOLES!P74,IF(MIERCOLES!C74="peso_corporal",IF(ISNUMBER(MIERCOLES!E74),MIERCOLES!E74,0)+MIERCOLES!R74,MIERCOLES!R74)*MIERCOLES!S74),1),""))</f>
        <v/>
      </c>
      <c r="K165" s="51" t="str">
        <f>IF(P165="","",IFERROR(ROUND(CHOOSE(VALUE(RIGHT(P165,1)),(IF(MIERCOLES!C74="peso_corporal",IF(ISNUMBER(MIERCOLES!E74),MIERCOLES!E74,0)+MIERCOLES!F74,MIERCOLES!F74))*(1+MIERCOLES!G74/30),(IF(MIERCOLES!C74="peso_corporal",IF(ISNUMBER(MIERCOLES!E74),MIERCOLES!E74,0)+MIERCOLES!I74,MIERCOLES!I74))*(1+MIERCOLES!J74/30),(IF(MIERCOLES!C74="peso_corporal",IF(ISNUMBER(MIERCOLES!E74),MIERCOLES!E74,0)+MIERCOLES!L74,MIERCOLES!L74))*(1+MIERCOLES!M74/30),(IF(MIERCOLES!C74="peso_corporal",IF(ISNUMBER(MIERCOLES!E74),MIERCOLES!E74,0)+MIERCOLES!O74,MIERCOLES!O74))*(1+MIERCOLES!P74/30),(IF(MIERCOLES!C74="peso_corporal",IF(ISNUMBER(MIERCOLES!E74),MIERCOLES!E74,0)+MIERCOLES!R74,MIERCOLES!R74))*(1+MIERCOLES!S74/30)),1),""))</f>
        <v/>
      </c>
      <c r="L165" s="52">
        <f>IFERROR(MIERCOLES!E74,"")</f>
        <v>80</v>
      </c>
      <c r="M165" s="53" t="str">
        <f>IFERROR(IF(K165="","-",IF(ISNUMBER(LOOKUP(2,1/((HISTORIAL!$O$3:$O$164=O165)*(HISTORIAL!$F$3:$F$164&lt;&gt;"")),HISTORIAL!$K$3:$K$164)),IF(K165&gt;LOOKUP(2,1/((HISTORIAL!$O$3:$O$164=O165)*(HISTORIAL!$F$3:$F$164&lt;&gt;"")),HISTORIAL!$K$3:$K$164),"^",IF(K165&lt;LOOKUP(2,1/((HISTORIAL!$O$3:$O$164=O165)*(HISTORIAL!$F$3:$F$164&lt;&gt;"")),HISTORIAL!$K$3:$K$164),"v","-")),"-")),"-")</f>
        <v>-</v>
      </c>
      <c r="N165" s="54" t="str">
        <f>IFERROR(VLOOKUP(A165,CONFIG!$A$10:$B$21,2,0),"")</f>
        <v>FUE</v>
      </c>
      <c r="O165" s="55" t="str">
        <f t="shared" si="5"/>
        <v>Elevacion Piernas|Colgado</v>
      </c>
      <c r="P165" s="69" t="str">
        <f>MIERCOLES!AC74</f>
        <v/>
      </c>
    </row>
    <row r="166" spans="1:16" ht="14.1" customHeight="1">
      <c r="A166" s="37">
        <v>3</v>
      </c>
      <c r="B166" s="37" t="s">
        <v>280</v>
      </c>
      <c r="C166" s="44" t="str">
        <f>JUEVES!$A$62</f>
        <v>Press Militar</v>
      </c>
      <c r="D166" s="45" t="str">
        <f>JUEVES!$B$62</f>
        <v>Multipower</v>
      </c>
      <c r="E166" s="37" t="str">
        <f>JUEVES!$C$62</f>
        <v>--</v>
      </c>
      <c r="F166" s="46" t="str">
        <f>IF(P166="","",IFERROR(CHOOSE(VALUE(RIGHT(P166,1)),JUEVES!F62,JUEVES!I62,JUEVES!L62,JUEVES!O62,JUEVES!R62),""))</f>
        <v/>
      </c>
      <c r="G166" s="47" t="str">
        <f>IF(P166="","",IFERROR(CHOOSE(VALUE(RIGHT(P166,1)),JUEVES!G62,JUEVES!J62,JUEVES!M62,JUEVES!P62,JUEVES!S62),""))</f>
        <v/>
      </c>
      <c r="H166" s="48" t="str">
        <f>IF(P166="","",IFERROR(CHOOSE(VALUE(RIGHT(P166,1)),JUEVES!H62,JUEVES!K62,JUEVES!N62,JUEVES!Q62,JUEVES!T62),""))</f>
        <v/>
      </c>
      <c r="I166" s="49" t="str">
        <f t="shared" si="4"/>
        <v/>
      </c>
      <c r="J166" s="50" t="str">
        <f>IF(P166="","",IFERROR(ROUND(CHOOSE(VALUE(RIGHT(P166,1)),IF(JUEVES!C62="peso_corporal",IF(ISNUMBER(JUEVES!E62),JUEVES!E62,0)+JUEVES!F62,JUEVES!F62)*JUEVES!G62,IF(JUEVES!C62="peso_corporal",IF(ISNUMBER(JUEVES!E62),JUEVES!E62,0)+JUEVES!I62,JUEVES!I62)*JUEVES!J62,IF(JUEVES!C62="peso_corporal",IF(ISNUMBER(JUEVES!E62),JUEVES!E62,0)+JUEVES!L62,JUEVES!L62)*JUEVES!M62,IF(JUEVES!C62="peso_corporal",IF(ISNUMBER(JUEVES!E62),JUEVES!E62,0)+JUEVES!O62,JUEVES!O62)*JUEVES!P62,IF(JUEVES!C62="peso_corporal",IF(ISNUMBER(JUEVES!E62),JUEVES!E62,0)+JUEVES!R62,JUEVES!R62)*JUEVES!S62),1),""))</f>
        <v/>
      </c>
      <c r="K166" s="51" t="str">
        <f>IF(P166="","",IFERROR(ROUND(CHOOSE(VALUE(RIGHT(P166,1)),(IF(JUEVES!C62="peso_corporal",IF(ISNUMBER(JUEVES!E62),JUEVES!E62,0)+JUEVES!F62,JUEVES!F62))*(1+JUEVES!G62/30),(IF(JUEVES!C62="peso_corporal",IF(ISNUMBER(JUEVES!E62),JUEVES!E62,0)+JUEVES!I62,JUEVES!I62))*(1+JUEVES!J62/30),(IF(JUEVES!C62="peso_corporal",IF(ISNUMBER(JUEVES!E62),JUEVES!E62,0)+JUEVES!L62,JUEVES!L62))*(1+JUEVES!M62/30),(IF(JUEVES!C62="peso_corporal",IF(ISNUMBER(JUEVES!E62),JUEVES!E62,0)+JUEVES!O62,JUEVES!O62))*(1+JUEVES!P62/30),(IF(JUEVES!C62="peso_corporal",IF(ISNUMBER(JUEVES!E62),JUEVES!E62,0)+JUEVES!R62,JUEVES!R62))*(1+JUEVES!S62/30)),1),""))</f>
        <v/>
      </c>
      <c r="L166" s="52">
        <f>IFERROR(JUEVES!E62,"")</f>
        <v>80</v>
      </c>
      <c r="M166" s="53" t="str">
        <f>IFERROR(IF(K166="","-",IF(ISNUMBER(LOOKUP(2,1/((HISTORIAL!$O$3:$O$165=O166)*(HISTORIAL!$F$3:$F$165&lt;&gt;"")),HISTORIAL!$K$3:$K$165)),IF(K166&gt;LOOKUP(2,1/((HISTORIAL!$O$3:$O$165=O166)*(HISTORIAL!$F$3:$F$165&lt;&gt;"")),HISTORIAL!$K$3:$K$165),"^",IF(K166&lt;LOOKUP(2,1/((HISTORIAL!$O$3:$O$165=O166)*(HISTORIAL!$F$3:$F$165&lt;&gt;"")),HISTORIAL!$K$3:$K$165),"v","-")),"-")),"-")</f>
        <v>-</v>
      </c>
      <c r="N166" s="54" t="str">
        <f>IFERROR(VLOOKUP(A166,CONFIG!$A$10:$B$21,2,0),"")</f>
        <v>FUE</v>
      </c>
      <c r="O166" s="55" t="str">
        <f t="shared" si="5"/>
        <v>Press Militar|Multipower</v>
      </c>
      <c r="P166" s="69" t="str">
        <f>JUEVES!AC62</f>
        <v/>
      </c>
    </row>
    <row r="167" spans="1:16" ht="14.1" customHeight="1">
      <c r="A167" s="37">
        <v>3</v>
      </c>
      <c r="B167" s="37" t="s">
        <v>280</v>
      </c>
      <c r="C167" s="44" t="str">
        <f>JUEVES!$A$63</f>
        <v>Elevaciones Laterales</v>
      </c>
      <c r="D167" s="45" t="str">
        <f>JUEVES!$B$63</f>
        <v>Drop Set Maquina</v>
      </c>
      <c r="E167" s="37" t="str">
        <f>JUEVES!$C$63</f>
        <v>--</v>
      </c>
      <c r="F167" s="46" t="str">
        <f>IF(P167="","",IFERROR(CHOOSE(VALUE(RIGHT(P167,1)),JUEVES!F63,JUEVES!I63,JUEVES!L63,JUEVES!O63,JUEVES!R63),""))</f>
        <v/>
      </c>
      <c r="G167" s="47" t="str">
        <f>IF(P167="","",IFERROR(CHOOSE(VALUE(RIGHT(P167,1)),JUEVES!G63,JUEVES!J63,JUEVES!M63,JUEVES!P63,JUEVES!S63),""))</f>
        <v/>
      </c>
      <c r="H167" s="48" t="str">
        <f>IF(P167="","",IFERROR(CHOOSE(VALUE(RIGHT(P167,1)),JUEVES!H63,JUEVES!K63,JUEVES!N63,JUEVES!Q63,JUEVES!T63),""))</f>
        <v/>
      </c>
      <c r="I167" s="49" t="str">
        <f t="shared" si="4"/>
        <v/>
      </c>
      <c r="J167" s="50" t="str">
        <f>IF(P167="","",IFERROR(ROUND(CHOOSE(VALUE(RIGHT(P167,1)),IF(JUEVES!C63="peso_corporal",IF(ISNUMBER(JUEVES!E63),JUEVES!E63,0)+JUEVES!F63,JUEVES!F63)*JUEVES!G63,IF(JUEVES!C63="peso_corporal",IF(ISNUMBER(JUEVES!E63),JUEVES!E63,0)+JUEVES!I63,JUEVES!I63)*JUEVES!J63,IF(JUEVES!C63="peso_corporal",IF(ISNUMBER(JUEVES!E63),JUEVES!E63,0)+JUEVES!L63,JUEVES!L63)*JUEVES!M63,IF(JUEVES!C63="peso_corporal",IF(ISNUMBER(JUEVES!E63),JUEVES!E63,0)+JUEVES!O63,JUEVES!O63)*JUEVES!P63,IF(JUEVES!C63="peso_corporal",IF(ISNUMBER(JUEVES!E63),JUEVES!E63,0)+JUEVES!R63,JUEVES!R63)*JUEVES!S63),1),""))</f>
        <v/>
      </c>
      <c r="K167" s="51" t="str">
        <f>IF(P167="","",IFERROR(ROUND(CHOOSE(VALUE(RIGHT(P167,1)),(IF(JUEVES!C63="peso_corporal",IF(ISNUMBER(JUEVES!E63),JUEVES!E63,0)+JUEVES!F63,JUEVES!F63))*(1+JUEVES!G63/30),(IF(JUEVES!C63="peso_corporal",IF(ISNUMBER(JUEVES!E63),JUEVES!E63,0)+JUEVES!I63,JUEVES!I63))*(1+JUEVES!J63/30),(IF(JUEVES!C63="peso_corporal",IF(ISNUMBER(JUEVES!E63),JUEVES!E63,0)+JUEVES!L63,JUEVES!L63))*(1+JUEVES!M63/30),(IF(JUEVES!C63="peso_corporal",IF(ISNUMBER(JUEVES!E63),JUEVES!E63,0)+JUEVES!O63,JUEVES!O63))*(1+JUEVES!P63/30),(IF(JUEVES!C63="peso_corporal",IF(ISNUMBER(JUEVES!E63),JUEVES!E63,0)+JUEVES!R63,JUEVES!R63))*(1+JUEVES!S63/30)),1),""))</f>
        <v/>
      </c>
      <c r="L167" s="52">
        <f>IFERROR(JUEVES!E63,"")</f>
        <v>80</v>
      </c>
      <c r="M167" s="53" t="str">
        <f>IFERROR(IF(K167="","-",IF(ISNUMBER(LOOKUP(2,1/((HISTORIAL!$O$3:$O$166=O167)*(HISTORIAL!$F$3:$F$166&lt;&gt;"")),HISTORIAL!$K$3:$K$166)),IF(K167&gt;LOOKUP(2,1/((HISTORIAL!$O$3:$O$166=O167)*(HISTORIAL!$F$3:$F$166&lt;&gt;"")),HISTORIAL!$K$3:$K$166),"^",IF(K167&lt;LOOKUP(2,1/((HISTORIAL!$O$3:$O$166=O167)*(HISTORIAL!$F$3:$F$166&lt;&gt;"")),HISTORIAL!$K$3:$K$166),"v","-")),"-")),"-")</f>
        <v>-</v>
      </c>
      <c r="N167" s="54" t="str">
        <f>IFERROR(VLOOKUP(A167,CONFIG!$A$10:$B$21,2,0),"")</f>
        <v>FUE</v>
      </c>
      <c r="O167" s="55" t="str">
        <f t="shared" si="5"/>
        <v>Elevaciones Laterales|Drop Set Maquina</v>
      </c>
      <c r="P167" s="69" t="str">
        <f>JUEVES!AC63</f>
        <v/>
      </c>
    </row>
    <row r="168" spans="1:16" ht="14.1" customHeight="1">
      <c r="A168" s="37">
        <v>3</v>
      </c>
      <c r="B168" s="37" t="s">
        <v>280</v>
      </c>
      <c r="C168" s="44" t="str">
        <f>JUEVES!$A$65</f>
        <v>Pajaro</v>
      </c>
      <c r="D168" s="45" t="str">
        <f>JUEVES!$B$65</f>
        <v>Elevacion Posterior</v>
      </c>
      <c r="E168" s="37" t="str">
        <f>JUEVES!$C$65</f>
        <v>mancuerna</v>
      </c>
      <c r="F168" s="46" t="str">
        <f>IF(P168="","",IFERROR(CHOOSE(VALUE(RIGHT(P168,1)),JUEVES!F65,JUEVES!I65,JUEVES!L65,JUEVES!O65,JUEVES!R65),""))</f>
        <v/>
      </c>
      <c r="G168" s="47" t="str">
        <f>IF(P168="","",IFERROR(CHOOSE(VALUE(RIGHT(P168,1)),JUEVES!G65,JUEVES!J65,JUEVES!M65,JUEVES!P65,JUEVES!S65),""))</f>
        <v/>
      </c>
      <c r="H168" s="48" t="str">
        <f>IF(P168="","",IFERROR(CHOOSE(VALUE(RIGHT(P168,1)),JUEVES!H65,JUEVES!K65,JUEVES!N65,JUEVES!Q65,JUEVES!T65),""))</f>
        <v/>
      </c>
      <c r="I168" s="49" t="str">
        <f t="shared" si="4"/>
        <v/>
      </c>
      <c r="J168" s="50" t="str">
        <f>IF(P168="","",IFERROR(ROUND(CHOOSE(VALUE(RIGHT(P168,1)),IF(JUEVES!C65="peso_corporal",IF(ISNUMBER(JUEVES!E65),JUEVES!E65,0)+JUEVES!F65,JUEVES!F65)*JUEVES!G65,IF(JUEVES!C65="peso_corporal",IF(ISNUMBER(JUEVES!E65),JUEVES!E65,0)+JUEVES!I65,JUEVES!I65)*JUEVES!J65,IF(JUEVES!C65="peso_corporal",IF(ISNUMBER(JUEVES!E65),JUEVES!E65,0)+JUEVES!L65,JUEVES!L65)*JUEVES!M65,IF(JUEVES!C65="peso_corporal",IF(ISNUMBER(JUEVES!E65),JUEVES!E65,0)+JUEVES!O65,JUEVES!O65)*JUEVES!P65,IF(JUEVES!C65="peso_corporal",IF(ISNUMBER(JUEVES!E65),JUEVES!E65,0)+JUEVES!R65,JUEVES!R65)*JUEVES!S65),1),""))</f>
        <v/>
      </c>
      <c r="K168" s="51" t="str">
        <f>IF(P168="","",IFERROR(ROUND(CHOOSE(VALUE(RIGHT(P168,1)),(IF(JUEVES!C65="peso_corporal",IF(ISNUMBER(JUEVES!E65),JUEVES!E65,0)+JUEVES!F65,JUEVES!F65))*(1+JUEVES!G65/30),(IF(JUEVES!C65="peso_corporal",IF(ISNUMBER(JUEVES!E65),JUEVES!E65,0)+JUEVES!I65,JUEVES!I65))*(1+JUEVES!J65/30),(IF(JUEVES!C65="peso_corporal",IF(ISNUMBER(JUEVES!E65),JUEVES!E65,0)+JUEVES!L65,JUEVES!L65))*(1+JUEVES!M65/30),(IF(JUEVES!C65="peso_corporal",IF(ISNUMBER(JUEVES!E65),JUEVES!E65,0)+JUEVES!O65,JUEVES!O65))*(1+JUEVES!P65/30),(IF(JUEVES!C65="peso_corporal",IF(ISNUMBER(JUEVES!E65),JUEVES!E65,0)+JUEVES!R65,JUEVES!R65))*(1+JUEVES!S65/30)),1),""))</f>
        <v/>
      </c>
      <c r="L168" s="52">
        <f>IFERROR(JUEVES!E65,"")</f>
        <v>80</v>
      </c>
      <c r="M168" s="53" t="str">
        <f>IFERROR(IF(K168="","-",IF(ISNUMBER(LOOKUP(2,1/((HISTORIAL!$O$3:$O$167=O168)*(HISTORIAL!$F$3:$F$167&lt;&gt;"")),HISTORIAL!$K$3:$K$167)),IF(K168&gt;LOOKUP(2,1/((HISTORIAL!$O$3:$O$167=O168)*(HISTORIAL!$F$3:$F$167&lt;&gt;"")),HISTORIAL!$K$3:$K$167),"^",IF(K168&lt;LOOKUP(2,1/((HISTORIAL!$O$3:$O$167=O168)*(HISTORIAL!$F$3:$F$167&lt;&gt;"")),HISTORIAL!$K$3:$K$167),"v","-")),"-")),"-")</f>
        <v>-</v>
      </c>
      <c r="N168" s="54" t="str">
        <f>IFERROR(VLOOKUP(A168,CONFIG!$A$10:$B$21,2,0),"")</f>
        <v>FUE</v>
      </c>
      <c r="O168" s="55" t="str">
        <f t="shared" si="5"/>
        <v>Pajaro|Elevacion Posterior</v>
      </c>
      <c r="P168" s="69" t="str">
        <f>JUEVES!AC65</f>
        <v/>
      </c>
    </row>
    <row r="169" spans="1:16" ht="14.1" customHeight="1">
      <c r="A169" s="37">
        <v>3</v>
      </c>
      <c r="B169" s="37" t="s">
        <v>280</v>
      </c>
      <c r="C169" s="44" t="str">
        <f>JUEVES!$A$66</f>
        <v>Peck Deck Invertida</v>
      </c>
      <c r="D169" s="45" t="str">
        <f>JUEVES!$B$66</f>
        <v>Maquina</v>
      </c>
      <c r="E169" s="37" t="str">
        <f>JUEVES!$C$66</f>
        <v>polea</v>
      </c>
      <c r="F169" s="46" t="str">
        <f>IF(P169="","",IFERROR(CHOOSE(VALUE(RIGHT(P169,1)),JUEVES!F66,JUEVES!I66,JUEVES!L66,JUEVES!O66,JUEVES!R66),""))</f>
        <v/>
      </c>
      <c r="G169" s="47" t="str">
        <f>IF(P169="","",IFERROR(CHOOSE(VALUE(RIGHT(P169,1)),JUEVES!G66,JUEVES!J66,JUEVES!M66,JUEVES!P66,JUEVES!S66),""))</f>
        <v/>
      </c>
      <c r="H169" s="48" t="str">
        <f>IF(P169="","",IFERROR(CHOOSE(VALUE(RIGHT(P169,1)),JUEVES!H66,JUEVES!K66,JUEVES!N66,JUEVES!Q66,JUEVES!T66),""))</f>
        <v/>
      </c>
      <c r="I169" s="49" t="str">
        <f t="shared" si="4"/>
        <v/>
      </c>
      <c r="J169" s="50" t="str">
        <f>IF(P169="","",IFERROR(ROUND(CHOOSE(VALUE(RIGHT(P169,1)),IF(JUEVES!C66="peso_corporal",IF(ISNUMBER(JUEVES!E66),JUEVES!E66,0)+JUEVES!F66,JUEVES!F66)*JUEVES!G66,IF(JUEVES!C66="peso_corporal",IF(ISNUMBER(JUEVES!E66),JUEVES!E66,0)+JUEVES!I66,JUEVES!I66)*JUEVES!J66,IF(JUEVES!C66="peso_corporal",IF(ISNUMBER(JUEVES!E66),JUEVES!E66,0)+JUEVES!L66,JUEVES!L66)*JUEVES!M66,IF(JUEVES!C66="peso_corporal",IF(ISNUMBER(JUEVES!E66),JUEVES!E66,0)+JUEVES!O66,JUEVES!O66)*JUEVES!P66,IF(JUEVES!C66="peso_corporal",IF(ISNUMBER(JUEVES!E66),JUEVES!E66,0)+JUEVES!R66,JUEVES!R66)*JUEVES!S66),1),""))</f>
        <v/>
      </c>
      <c r="K169" s="51" t="str">
        <f>IF(P169="","",IFERROR(ROUND(CHOOSE(VALUE(RIGHT(P169,1)),(IF(JUEVES!C66="peso_corporal",IF(ISNUMBER(JUEVES!E66),JUEVES!E66,0)+JUEVES!F66,JUEVES!F66))*(1+JUEVES!G66/30),(IF(JUEVES!C66="peso_corporal",IF(ISNUMBER(JUEVES!E66),JUEVES!E66,0)+JUEVES!I66,JUEVES!I66))*(1+JUEVES!J66/30),(IF(JUEVES!C66="peso_corporal",IF(ISNUMBER(JUEVES!E66),JUEVES!E66,0)+JUEVES!L66,JUEVES!L66))*(1+JUEVES!M66/30),(IF(JUEVES!C66="peso_corporal",IF(ISNUMBER(JUEVES!E66),JUEVES!E66,0)+JUEVES!O66,JUEVES!O66))*(1+JUEVES!P66/30),(IF(JUEVES!C66="peso_corporal",IF(ISNUMBER(JUEVES!E66),JUEVES!E66,0)+JUEVES!R66,JUEVES!R66))*(1+JUEVES!S66/30)),1),""))</f>
        <v/>
      </c>
      <c r="L169" s="52">
        <f>IFERROR(JUEVES!E66,"")</f>
        <v>80</v>
      </c>
      <c r="M169" s="53" t="str">
        <f>IFERROR(IF(K169="","-",IF(ISNUMBER(LOOKUP(2,1/((HISTORIAL!$O$3:$O$168=O169)*(HISTORIAL!$F$3:$F$168&lt;&gt;"")),HISTORIAL!$K$3:$K$168)),IF(K169&gt;LOOKUP(2,1/((HISTORIAL!$O$3:$O$168=O169)*(HISTORIAL!$F$3:$F$168&lt;&gt;"")),HISTORIAL!$K$3:$K$168),"^",IF(K169&lt;LOOKUP(2,1/((HISTORIAL!$O$3:$O$168=O169)*(HISTORIAL!$F$3:$F$168&lt;&gt;"")),HISTORIAL!$K$3:$K$168),"v","-")),"-")),"-")</f>
        <v>-</v>
      </c>
      <c r="N169" s="54" t="str">
        <f>IFERROR(VLOOKUP(A169,CONFIG!$A$10:$B$21,2,0),"")</f>
        <v>FUE</v>
      </c>
      <c r="O169" s="55" t="str">
        <f t="shared" si="5"/>
        <v>Peck Deck Invertida|Maquina</v>
      </c>
      <c r="P169" s="69" t="str">
        <f>JUEVES!AC66</f>
        <v/>
      </c>
    </row>
    <row r="170" spans="1:16" ht="14.1" customHeight="1">
      <c r="A170" s="37">
        <v>3</v>
      </c>
      <c r="B170" s="37" t="s">
        <v>280</v>
      </c>
      <c r="C170" s="44" t="str">
        <f>JUEVES!$A$67</f>
        <v>Elevaciones Posteriores</v>
      </c>
      <c r="D170" s="45" t="str">
        <f>JUEVES!$B$67</f>
        <v>Polea Individual</v>
      </c>
      <c r="E170" s="37" t="str">
        <f>JUEVES!$C$67</f>
        <v>polea</v>
      </c>
      <c r="F170" s="46" t="str">
        <f>IF(P170="","",IFERROR(CHOOSE(VALUE(RIGHT(P170,1)),JUEVES!F67,JUEVES!I67,JUEVES!L67,JUEVES!O67,JUEVES!R67),""))</f>
        <v/>
      </c>
      <c r="G170" s="47" t="str">
        <f>IF(P170="","",IFERROR(CHOOSE(VALUE(RIGHT(P170,1)),JUEVES!G67,JUEVES!J67,JUEVES!M67,JUEVES!P67,JUEVES!S67),""))</f>
        <v/>
      </c>
      <c r="H170" s="48" t="str">
        <f>IF(P170="","",IFERROR(CHOOSE(VALUE(RIGHT(P170,1)),JUEVES!H67,JUEVES!K67,JUEVES!N67,JUEVES!Q67,JUEVES!T67),""))</f>
        <v/>
      </c>
      <c r="I170" s="49" t="str">
        <f t="shared" si="4"/>
        <v/>
      </c>
      <c r="J170" s="50" t="str">
        <f>IF(P170="","",IFERROR(ROUND(CHOOSE(VALUE(RIGHT(P170,1)),IF(JUEVES!C67="peso_corporal",IF(ISNUMBER(JUEVES!E67),JUEVES!E67,0)+JUEVES!F67,JUEVES!F67)*JUEVES!G67,IF(JUEVES!C67="peso_corporal",IF(ISNUMBER(JUEVES!E67),JUEVES!E67,0)+JUEVES!I67,JUEVES!I67)*JUEVES!J67,IF(JUEVES!C67="peso_corporal",IF(ISNUMBER(JUEVES!E67),JUEVES!E67,0)+JUEVES!L67,JUEVES!L67)*JUEVES!M67,IF(JUEVES!C67="peso_corporal",IF(ISNUMBER(JUEVES!E67),JUEVES!E67,0)+JUEVES!O67,JUEVES!O67)*JUEVES!P67,IF(JUEVES!C67="peso_corporal",IF(ISNUMBER(JUEVES!E67),JUEVES!E67,0)+JUEVES!R67,JUEVES!R67)*JUEVES!S67),1),""))</f>
        <v/>
      </c>
      <c r="K170" s="51" t="str">
        <f>IF(P170="","",IFERROR(ROUND(CHOOSE(VALUE(RIGHT(P170,1)),(IF(JUEVES!C67="peso_corporal",IF(ISNUMBER(JUEVES!E67),JUEVES!E67,0)+JUEVES!F67,JUEVES!F67))*(1+JUEVES!G67/30),(IF(JUEVES!C67="peso_corporal",IF(ISNUMBER(JUEVES!E67),JUEVES!E67,0)+JUEVES!I67,JUEVES!I67))*(1+JUEVES!J67/30),(IF(JUEVES!C67="peso_corporal",IF(ISNUMBER(JUEVES!E67),JUEVES!E67,0)+JUEVES!L67,JUEVES!L67))*(1+JUEVES!M67/30),(IF(JUEVES!C67="peso_corporal",IF(ISNUMBER(JUEVES!E67),JUEVES!E67,0)+JUEVES!O67,JUEVES!O67))*(1+JUEVES!P67/30),(IF(JUEVES!C67="peso_corporal",IF(ISNUMBER(JUEVES!E67),JUEVES!E67,0)+JUEVES!R67,JUEVES!R67))*(1+JUEVES!S67/30)),1),""))</f>
        <v/>
      </c>
      <c r="L170" s="52">
        <f>IFERROR(JUEVES!E67,"")</f>
        <v>80</v>
      </c>
      <c r="M170" s="53" t="str">
        <f>IFERROR(IF(K170="","-",IF(ISNUMBER(LOOKUP(2,1/((HISTORIAL!$O$3:$O$169=O170)*(HISTORIAL!$F$3:$F$169&lt;&gt;"")),HISTORIAL!$K$3:$K$169)),IF(K170&gt;LOOKUP(2,1/((HISTORIAL!$O$3:$O$169=O170)*(HISTORIAL!$F$3:$F$169&lt;&gt;"")),HISTORIAL!$K$3:$K$169),"^",IF(K170&lt;LOOKUP(2,1/((HISTORIAL!$O$3:$O$169=O170)*(HISTORIAL!$F$3:$F$169&lt;&gt;"")),HISTORIAL!$K$3:$K$169),"v","-")),"-")),"-")</f>
        <v>-</v>
      </c>
      <c r="N170" s="54" t="str">
        <f>IFERROR(VLOOKUP(A170,CONFIG!$A$10:$B$21,2,0),"")</f>
        <v>FUE</v>
      </c>
      <c r="O170" s="55" t="str">
        <f t="shared" si="5"/>
        <v>Elevaciones Posteriores|Polea Individual</v>
      </c>
      <c r="P170" s="69" t="str">
        <f>JUEVES!AC67</f>
        <v/>
      </c>
    </row>
    <row r="171" spans="1:16" ht="14.1" customHeight="1">
      <c r="A171" s="37">
        <v>3</v>
      </c>
      <c r="B171" s="37" t="s">
        <v>280</v>
      </c>
      <c r="C171" s="44" t="str">
        <f>JUEVES!$A$70</f>
        <v>Press Plano</v>
      </c>
      <c r="D171" s="45" t="str">
        <f>JUEVES!$B$70</f>
        <v>Mancuernas</v>
      </c>
      <c r="E171" s="37" t="str">
        <f>JUEVES!$C$70</f>
        <v>mancuerna</v>
      </c>
      <c r="F171" s="46" t="str">
        <f>IF(P171="","",IFERROR(CHOOSE(VALUE(RIGHT(P171,1)),JUEVES!F70,JUEVES!I70,JUEVES!L70,JUEVES!O70,JUEVES!R70),""))</f>
        <v/>
      </c>
      <c r="G171" s="47" t="str">
        <f>IF(P171="","",IFERROR(CHOOSE(VALUE(RIGHT(P171,1)),JUEVES!G70,JUEVES!J70,JUEVES!M70,JUEVES!P70,JUEVES!S70),""))</f>
        <v/>
      </c>
      <c r="H171" s="48" t="str">
        <f>IF(P171="","",IFERROR(CHOOSE(VALUE(RIGHT(P171,1)),JUEVES!H70,JUEVES!K70,JUEVES!N70,JUEVES!Q70,JUEVES!T70),""))</f>
        <v/>
      </c>
      <c r="I171" s="49" t="str">
        <f t="shared" si="4"/>
        <v/>
      </c>
      <c r="J171" s="50" t="str">
        <f>IF(P171="","",IFERROR(ROUND(CHOOSE(VALUE(RIGHT(P171,1)),IF(JUEVES!C70="peso_corporal",IF(ISNUMBER(JUEVES!E70),JUEVES!E70,0)+JUEVES!F70,JUEVES!F70)*JUEVES!G70,IF(JUEVES!C70="peso_corporal",IF(ISNUMBER(JUEVES!E70),JUEVES!E70,0)+JUEVES!I70,JUEVES!I70)*JUEVES!J70,IF(JUEVES!C70="peso_corporal",IF(ISNUMBER(JUEVES!E70),JUEVES!E70,0)+JUEVES!L70,JUEVES!L70)*JUEVES!M70,IF(JUEVES!C70="peso_corporal",IF(ISNUMBER(JUEVES!E70),JUEVES!E70,0)+JUEVES!O70,JUEVES!O70)*JUEVES!P70,IF(JUEVES!C70="peso_corporal",IF(ISNUMBER(JUEVES!E70),JUEVES!E70,0)+JUEVES!R70,JUEVES!R70)*JUEVES!S70),1),""))</f>
        <v/>
      </c>
      <c r="K171" s="51" t="str">
        <f>IF(P171="","",IFERROR(ROUND(CHOOSE(VALUE(RIGHT(P171,1)),(IF(JUEVES!C70="peso_corporal",IF(ISNUMBER(JUEVES!E70),JUEVES!E70,0)+JUEVES!F70,JUEVES!F70))*(1+JUEVES!G70/30),(IF(JUEVES!C70="peso_corporal",IF(ISNUMBER(JUEVES!E70),JUEVES!E70,0)+JUEVES!I70,JUEVES!I70))*(1+JUEVES!J70/30),(IF(JUEVES!C70="peso_corporal",IF(ISNUMBER(JUEVES!E70),JUEVES!E70,0)+JUEVES!L70,JUEVES!L70))*(1+JUEVES!M70/30),(IF(JUEVES!C70="peso_corporal",IF(ISNUMBER(JUEVES!E70),JUEVES!E70,0)+JUEVES!O70,JUEVES!O70))*(1+JUEVES!P70/30),(IF(JUEVES!C70="peso_corporal",IF(ISNUMBER(JUEVES!E70),JUEVES!E70,0)+JUEVES!R70,JUEVES!R70))*(1+JUEVES!S70/30)),1),""))</f>
        <v/>
      </c>
      <c r="L171" s="52">
        <f>IFERROR(JUEVES!E70,"")</f>
        <v>80</v>
      </c>
      <c r="M171" s="53" t="str">
        <f>IFERROR(IF(K171="","-",IF(ISNUMBER(LOOKUP(2,1/((HISTORIAL!$O$3:$O$170=O171)*(HISTORIAL!$F$3:$F$170&lt;&gt;"")),HISTORIAL!$K$3:$K$170)),IF(K171&gt;LOOKUP(2,1/((HISTORIAL!$O$3:$O$170=O171)*(HISTORIAL!$F$3:$F$170&lt;&gt;"")),HISTORIAL!$K$3:$K$170),"^",IF(K171&lt;LOOKUP(2,1/((HISTORIAL!$O$3:$O$170=O171)*(HISTORIAL!$F$3:$F$170&lt;&gt;"")),HISTORIAL!$K$3:$K$170),"v","-")),"-")),"-")</f>
        <v>-</v>
      </c>
      <c r="N171" s="54" t="str">
        <f>IFERROR(VLOOKUP(A171,CONFIG!$A$10:$B$21,2,0),"")</f>
        <v>FUE</v>
      </c>
      <c r="O171" s="55" t="str">
        <f t="shared" si="5"/>
        <v>Press Plano|Mancuernas</v>
      </c>
      <c r="P171" s="69" t="str">
        <f>JUEVES!AC70</f>
        <v/>
      </c>
    </row>
    <row r="172" spans="1:16" ht="14.1" customHeight="1">
      <c r="A172" s="37">
        <v>3</v>
      </c>
      <c r="B172" s="37" t="s">
        <v>280</v>
      </c>
      <c r="C172" s="44" t="str">
        <f>JUEVES!$A$72</f>
        <v>Press Inclinado</v>
      </c>
      <c r="D172" s="45" t="str">
        <f>JUEVES!$B$72</f>
        <v>Multipower</v>
      </c>
      <c r="E172" s="37" t="str">
        <f>JUEVES!$C$72</f>
        <v>disco</v>
      </c>
      <c r="F172" s="46" t="str">
        <f>IF(P172="","",IFERROR(CHOOSE(VALUE(RIGHT(P172,1)),JUEVES!F72,JUEVES!I72,JUEVES!L72,JUEVES!O72,JUEVES!R72),""))</f>
        <v/>
      </c>
      <c r="G172" s="47" t="str">
        <f>IF(P172="","",IFERROR(CHOOSE(VALUE(RIGHT(P172,1)),JUEVES!G72,JUEVES!J72,JUEVES!M72,JUEVES!P72,JUEVES!S72),""))</f>
        <v/>
      </c>
      <c r="H172" s="48" t="str">
        <f>IF(P172="","",IFERROR(CHOOSE(VALUE(RIGHT(P172,1)),JUEVES!H72,JUEVES!K72,JUEVES!N72,JUEVES!Q72,JUEVES!T72),""))</f>
        <v/>
      </c>
      <c r="I172" s="49" t="str">
        <f t="shared" si="4"/>
        <v/>
      </c>
      <c r="J172" s="50" t="str">
        <f>IF(P172="","",IFERROR(ROUND(CHOOSE(VALUE(RIGHT(P172,1)),IF(JUEVES!C72="peso_corporal",IF(ISNUMBER(JUEVES!E72),JUEVES!E72,0)+JUEVES!F72,JUEVES!F72)*JUEVES!G72,IF(JUEVES!C72="peso_corporal",IF(ISNUMBER(JUEVES!E72),JUEVES!E72,0)+JUEVES!I72,JUEVES!I72)*JUEVES!J72,IF(JUEVES!C72="peso_corporal",IF(ISNUMBER(JUEVES!E72),JUEVES!E72,0)+JUEVES!L72,JUEVES!L72)*JUEVES!M72,IF(JUEVES!C72="peso_corporal",IF(ISNUMBER(JUEVES!E72),JUEVES!E72,0)+JUEVES!O72,JUEVES!O72)*JUEVES!P72,IF(JUEVES!C72="peso_corporal",IF(ISNUMBER(JUEVES!E72),JUEVES!E72,0)+JUEVES!R72,JUEVES!R72)*JUEVES!S72),1),""))</f>
        <v/>
      </c>
      <c r="K172" s="51" t="str">
        <f>IF(P172="","",IFERROR(ROUND(CHOOSE(VALUE(RIGHT(P172,1)),(IF(JUEVES!C72="peso_corporal",IF(ISNUMBER(JUEVES!E72),JUEVES!E72,0)+JUEVES!F72,JUEVES!F72))*(1+JUEVES!G72/30),(IF(JUEVES!C72="peso_corporal",IF(ISNUMBER(JUEVES!E72),JUEVES!E72,0)+JUEVES!I72,JUEVES!I72))*(1+JUEVES!J72/30),(IF(JUEVES!C72="peso_corporal",IF(ISNUMBER(JUEVES!E72),JUEVES!E72,0)+JUEVES!L72,JUEVES!L72))*(1+JUEVES!M72/30),(IF(JUEVES!C72="peso_corporal",IF(ISNUMBER(JUEVES!E72),JUEVES!E72,0)+JUEVES!O72,JUEVES!O72))*(1+JUEVES!P72/30),(IF(JUEVES!C72="peso_corporal",IF(ISNUMBER(JUEVES!E72),JUEVES!E72,0)+JUEVES!R72,JUEVES!R72))*(1+JUEVES!S72/30)),1),""))</f>
        <v/>
      </c>
      <c r="L172" s="52">
        <f>IFERROR(JUEVES!E72,"")</f>
        <v>80</v>
      </c>
      <c r="M172" s="53" t="str">
        <f>IFERROR(IF(K172="","-",IF(ISNUMBER(LOOKUP(2,1/((HISTORIAL!$O$3:$O$171=O172)*(HISTORIAL!$F$3:$F$171&lt;&gt;"")),HISTORIAL!$K$3:$K$171)),IF(K172&gt;LOOKUP(2,1/((HISTORIAL!$O$3:$O$171=O172)*(HISTORIAL!$F$3:$F$171&lt;&gt;"")),HISTORIAL!$K$3:$K$171),"^",IF(K172&lt;LOOKUP(2,1/((HISTORIAL!$O$3:$O$171=O172)*(HISTORIAL!$F$3:$F$171&lt;&gt;"")),HISTORIAL!$K$3:$K$171),"v","-")),"-")),"-")</f>
        <v>-</v>
      </c>
      <c r="N172" s="54" t="str">
        <f>IFERROR(VLOOKUP(A172,CONFIG!$A$10:$B$21,2,0),"")</f>
        <v>FUE</v>
      </c>
      <c r="O172" s="55" t="str">
        <f t="shared" si="5"/>
        <v>Press Inclinado|Multipower</v>
      </c>
      <c r="P172" s="69" t="str">
        <f>JUEVES!AC72</f>
        <v/>
      </c>
    </row>
    <row r="173" spans="1:16" ht="14.1" customHeight="1">
      <c r="A173" s="37">
        <v>3</v>
      </c>
      <c r="B173" s="37" t="s">
        <v>280</v>
      </c>
      <c r="C173" s="44" t="str">
        <f>JUEVES!$A$74</f>
        <v>Aperturas</v>
      </c>
      <c r="D173" s="45" t="str">
        <f>JUEVES!$B$74</f>
        <v>Pec Deck Maquina</v>
      </c>
      <c r="E173" s="37" t="str">
        <f>JUEVES!$C$74</f>
        <v>--</v>
      </c>
      <c r="F173" s="46" t="str">
        <f>IF(P173="","",IFERROR(CHOOSE(VALUE(RIGHT(P173,1)),JUEVES!F74,JUEVES!I74,JUEVES!L74,JUEVES!O74,JUEVES!R74),""))</f>
        <v/>
      </c>
      <c r="G173" s="47" t="str">
        <f>IF(P173="","",IFERROR(CHOOSE(VALUE(RIGHT(P173,1)),JUEVES!G74,JUEVES!J74,JUEVES!M74,JUEVES!P74,JUEVES!S74),""))</f>
        <v/>
      </c>
      <c r="H173" s="48" t="str">
        <f>IF(P173="","",IFERROR(CHOOSE(VALUE(RIGHT(P173,1)),JUEVES!H74,JUEVES!K74,JUEVES!N74,JUEVES!Q74,JUEVES!T74),""))</f>
        <v/>
      </c>
      <c r="I173" s="49" t="str">
        <f t="shared" si="4"/>
        <v/>
      </c>
      <c r="J173" s="50" t="str">
        <f>IF(P173="","",IFERROR(ROUND(CHOOSE(VALUE(RIGHT(P173,1)),IF(JUEVES!C74="peso_corporal",IF(ISNUMBER(JUEVES!E74),JUEVES!E74,0)+JUEVES!F74,JUEVES!F74)*JUEVES!G74,IF(JUEVES!C74="peso_corporal",IF(ISNUMBER(JUEVES!E74),JUEVES!E74,0)+JUEVES!I74,JUEVES!I74)*JUEVES!J74,IF(JUEVES!C74="peso_corporal",IF(ISNUMBER(JUEVES!E74),JUEVES!E74,0)+JUEVES!L74,JUEVES!L74)*JUEVES!M74,IF(JUEVES!C74="peso_corporal",IF(ISNUMBER(JUEVES!E74),JUEVES!E74,0)+JUEVES!O74,JUEVES!O74)*JUEVES!P74,IF(JUEVES!C74="peso_corporal",IF(ISNUMBER(JUEVES!E74),JUEVES!E74,0)+JUEVES!R74,JUEVES!R74)*JUEVES!S74),1),""))</f>
        <v/>
      </c>
      <c r="K173" s="51" t="str">
        <f>IF(P173="","",IFERROR(ROUND(CHOOSE(VALUE(RIGHT(P173,1)),(IF(JUEVES!C74="peso_corporal",IF(ISNUMBER(JUEVES!E74),JUEVES!E74,0)+JUEVES!F74,JUEVES!F74))*(1+JUEVES!G74/30),(IF(JUEVES!C74="peso_corporal",IF(ISNUMBER(JUEVES!E74),JUEVES!E74,0)+JUEVES!I74,JUEVES!I74))*(1+JUEVES!J74/30),(IF(JUEVES!C74="peso_corporal",IF(ISNUMBER(JUEVES!E74),JUEVES!E74,0)+JUEVES!L74,JUEVES!L74))*(1+JUEVES!M74/30),(IF(JUEVES!C74="peso_corporal",IF(ISNUMBER(JUEVES!E74),JUEVES!E74,0)+JUEVES!O74,JUEVES!O74))*(1+JUEVES!P74/30),(IF(JUEVES!C74="peso_corporal",IF(ISNUMBER(JUEVES!E74),JUEVES!E74,0)+JUEVES!R74,JUEVES!R74))*(1+JUEVES!S74/30)),1),""))</f>
        <v/>
      </c>
      <c r="L173" s="52">
        <f>IFERROR(JUEVES!E74,"")</f>
        <v>80</v>
      </c>
      <c r="M173" s="53" t="str">
        <f>IFERROR(IF(K173="","-",IF(ISNUMBER(LOOKUP(2,1/((HISTORIAL!$O$3:$O$172=O173)*(HISTORIAL!$F$3:$F$172&lt;&gt;"")),HISTORIAL!$K$3:$K$172)),IF(K173&gt;LOOKUP(2,1/((HISTORIAL!$O$3:$O$172=O173)*(HISTORIAL!$F$3:$F$172&lt;&gt;"")),HISTORIAL!$K$3:$K$172),"^",IF(K173&lt;LOOKUP(2,1/((HISTORIAL!$O$3:$O$172=O173)*(HISTORIAL!$F$3:$F$172&lt;&gt;"")),HISTORIAL!$K$3:$K$172),"v","-")),"-")),"-")</f>
        <v>-</v>
      </c>
      <c r="N173" s="54" t="str">
        <f>IFERROR(VLOOKUP(A173,CONFIG!$A$10:$B$21,2,0),"")</f>
        <v>FUE</v>
      </c>
      <c r="O173" s="55" t="str">
        <f t="shared" si="5"/>
        <v>Aperturas|Pec Deck Maquina</v>
      </c>
      <c r="P173" s="69" t="str">
        <f>JUEVES!AC74</f>
        <v/>
      </c>
    </row>
    <row r="174" spans="1:16" ht="14.1" customHeight="1">
      <c r="A174" s="37">
        <v>3</v>
      </c>
      <c r="B174" s="37" t="s">
        <v>280</v>
      </c>
      <c r="C174" s="44" t="str">
        <f>JUEVES!$A$76</f>
        <v>Press Polea</v>
      </c>
      <c r="D174" s="45" t="str">
        <f>JUEVES!$B$76</f>
        <v>Barra Recta Diagonal Arriba</v>
      </c>
      <c r="E174" s="37" t="str">
        <f>JUEVES!$C$76</f>
        <v>polea</v>
      </c>
      <c r="F174" s="46" t="str">
        <f>IF(P174="","",IFERROR(CHOOSE(VALUE(RIGHT(P174,1)),JUEVES!F76,JUEVES!I76,JUEVES!L76,JUEVES!O76,JUEVES!R76),""))</f>
        <v/>
      </c>
      <c r="G174" s="47" t="str">
        <f>IF(P174="","",IFERROR(CHOOSE(VALUE(RIGHT(P174,1)),JUEVES!G76,JUEVES!J76,JUEVES!M76,JUEVES!P76,JUEVES!S76),""))</f>
        <v/>
      </c>
      <c r="H174" s="48" t="str">
        <f>IF(P174="","",IFERROR(CHOOSE(VALUE(RIGHT(P174,1)),JUEVES!H76,JUEVES!K76,JUEVES!N76,JUEVES!Q76,JUEVES!T76),""))</f>
        <v/>
      </c>
      <c r="I174" s="49" t="str">
        <f t="shared" si="4"/>
        <v/>
      </c>
      <c r="J174" s="50" t="str">
        <f>IF(P174="","",IFERROR(ROUND(CHOOSE(VALUE(RIGHT(P174,1)),IF(JUEVES!C76="peso_corporal",IF(ISNUMBER(JUEVES!E76),JUEVES!E76,0)+JUEVES!F76,JUEVES!F76)*JUEVES!G76,IF(JUEVES!C76="peso_corporal",IF(ISNUMBER(JUEVES!E76),JUEVES!E76,0)+JUEVES!I76,JUEVES!I76)*JUEVES!J76,IF(JUEVES!C76="peso_corporal",IF(ISNUMBER(JUEVES!E76),JUEVES!E76,0)+JUEVES!L76,JUEVES!L76)*JUEVES!M76,IF(JUEVES!C76="peso_corporal",IF(ISNUMBER(JUEVES!E76),JUEVES!E76,0)+JUEVES!O76,JUEVES!O76)*JUEVES!P76,IF(JUEVES!C76="peso_corporal",IF(ISNUMBER(JUEVES!E76),JUEVES!E76,0)+JUEVES!R76,JUEVES!R76)*JUEVES!S76),1),""))</f>
        <v/>
      </c>
      <c r="K174" s="51" t="str">
        <f>IF(P174="","",IFERROR(ROUND(CHOOSE(VALUE(RIGHT(P174,1)),(IF(JUEVES!C76="peso_corporal",IF(ISNUMBER(JUEVES!E76),JUEVES!E76,0)+JUEVES!F76,JUEVES!F76))*(1+JUEVES!G76/30),(IF(JUEVES!C76="peso_corporal",IF(ISNUMBER(JUEVES!E76),JUEVES!E76,0)+JUEVES!I76,JUEVES!I76))*(1+JUEVES!J76/30),(IF(JUEVES!C76="peso_corporal",IF(ISNUMBER(JUEVES!E76),JUEVES!E76,0)+JUEVES!L76,JUEVES!L76))*(1+JUEVES!M76/30),(IF(JUEVES!C76="peso_corporal",IF(ISNUMBER(JUEVES!E76),JUEVES!E76,0)+JUEVES!O76,JUEVES!O76))*(1+JUEVES!P76/30),(IF(JUEVES!C76="peso_corporal",IF(ISNUMBER(JUEVES!E76),JUEVES!E76,0)+JUEVES!R76,JUEVES!R76))*(1+JUEVES!S76/30)),1),""))</f>
        <v/>
      </c>
      <c r="L174" s="52">
        <f>IFERROR(JUEVES!E76,"")</f>
        <v>80</v>
      </c>
      <c r="M174" s="53" t="str">
        <f>IFERROR(IF(K174="","-",IF(ISNUMBER(LOOKUP(2,1/((HISTORIAL!$O$3:$O$173=O174)*(HISTORIAL!$F$3:$F$173&lt;&gt;"")),HISTORIAL!$K$3:$K$173)),IF(K174&gt;LOOKUP(2,1/((HISTORIAL!$O$3:$O$173=O174)*(HISTORIAL!$F$3:$F$173&lt;&gt;"")),HISTORIAL!$K$3:$K$173),"^",IF(K174&lt;LOOKUP(2,1/((HISTORIAL!$O$3:$O$173=O174)*(HISTORIAL!$F$3:$F$173&lt;&gt;"")),HISTORIAL!$K$3:$K$173),"v","-")),"-")),"-")</f>
        <v>-</v>
      </c>
      <c r="N174" s="54" t="str">
        <f>IFERROR(VLOOKUP(A174,CONFIG!$A$10:$B$21,2,0),"")</f>
        <v>FUE</v>
      </c>
      <c r="O174" s="55" t="str">
        <f t="shared" si="5"/>
        <v>Press Polea|Barra Recta Diagonal Arriba</v>
      </c>
      <c r="P174" s="69" t="str">
        <f>JUEVES!AC76</f>
        <v/>
      </c>
    </row>
    <row r="175" spans="1:16" ht="14.1" customHeight="1">
      <c r="A175" s="37">
        <v>3</v>
      </c>
      <c r="B175" s="37" t="s">
        <v>280</v>
      </c>
      <c r="C175" s="44" t="str">
        <f>JUEVES!$A$77</f>
        <v>Extension Triceps</v>
      </c>
      <c r="D175" s="45" t="str">
        <f>JUEVES!$B$77</f>
        <v>Polea Sobre Cabeza</v>
      </c>
      <c r="E175" s="37" t="str">
        <f>JUEVES!$C$77</f>
        <v>--</v>
      </c>
      <c r="F175" s="46" t="str">
        <f>IF(P175="","",IFERROR(CHOOSE(VALUE(RIGHT(P175,1)),JUEVES!F77,JUEVES!I77,JUEVES!L77,JUEVES!O77,JUEVES!R77),""))</f>
        <v/>
      </c>
      <c r="G175" s="47" t="str">
        <f>IF(P175="","",IFERROR(CHOOSE(VALUE(RIGHT(P175,1)),JUEVES!G77,JUEVES!J77,JUEVES!M77,JUEVES!P77,JUEVES!S77),""))</f>
        <v/>
      </c>
      <c r="H175" s="48" t="str">
        <f>IF(P175="","",IFERROR(CHOOSE(VALUE(RIGHT(P175,1)),JUEVES!H77,JUEVES!K77,JUEVES!N77,JUEVES!Q77,JUEVES!T77),""))</f>
        <v/>
      </c>
      <c r="I175" s="49" t="str">
        <f t="shared" si="4"/>
        <v/>
      </c>
      <c r="J175" s="50" t="str">
        <f>IF(P175="","",IFERROR(ROUND(CHOOSE(VALUE(RIGHT(P175,1)),IF(JUEVES!C77="peso_corporal",IF(ISNUMBER(JUEVES!E77),JUEVES!E77,0)+JUEVES!F77,JUEVES!F77)*JUEVES!G77,IF(JUEVES!C77="peso_corporal",IF(ISNUMBER(JUEVES!E77),JUEVES!E77,0)+JUEVES!I77,JUEVES!I77)*JUEVES!J77,IF(JUEVES!C77="peso_corporal",IF(ISNUMBER(JUEVES!E77),JUEVES!E77,0)+JUEVES!L77,JUEVES!L77)*JUEVES!M77,IF(JUEVES!C77="peso_corporal",IF(ISNUMBER(JUEVES!E77),JUEVES!E77,0)+JUEVES!O77,JUEVES!O77)*JUEVES!P77,IF(JUEVES!C77="peso_corporal",IF(ISNUMBER(JUEVES!E77),JUEVES!E77,0)+JUEVES!R77,JUEVES!R77)*JUEVES!S77),1),""))</f>
        <v/>
      </c>
      <c r="K175" s="51" t="str">
        <f>IF(P175="","",IFERROR(ROUND(CHOOSE(VALUE(RIGHT(P175,1)),(IF(JUEVES!C77="peso_corporal",IF(ISNUMBER(JUEVES!E77),JUEVES!E77,0)+JUEVES!F77,JUEVES!F77))*(1+JUEVES!G77/30),(IF(JUEVES!C77="peso_corporal",IF(ISNUMBER(JUEVES!E77),JUEVES!E77,0)+JUEVES!I77,JUEVES!I77))*(1+JUEVES!J77/30),(IF(JUEVES!C77="peso_corporal",IF(ISNUMBER(JUEVES!E77),JUEVES!E77,0)+JUEVES!L77,JUEVES!L77))*(1+JUEVES!M77/30),(IF(JUEVES!C77="peso_corporal",IF(ISNUMBER(JUEVES!E77),JUEVES!E77,0)+JUEVES!O77,JUEVES!O77))*(1+JUEVES!P77/30),(IF(JUEVES!C77="peso_corporal",IF(ISNUMBER(JUEVES!E77),JUEVES!E77,0)+JUEVES!R77,JUEVES!R77))*(1+JUEVES!S77/30)),1),""))</f>
        <v/>
      </c>
      <c r="L175" s="52">
        <f>IFERROR(JUEVES!E77,"")</f>
        <v>80</v>
      </c>
      <c r="M175" s="53" t="str">
        <f>IFERROR(IF(K175="","-",IF(ISNUMBER(LOOKUP(2,1/((HISTORIAL!$O$3:$O$174=O175)*(HISTORIAL!$F$3:$F$174&lt;&gt;"")),HISTORIAL!$K$3:$K$174)),IF(K175&gt;LOOKUP(2,1/((HISTORIAL!$O$3:$O$174=O175)*(HISTORIAL!$F$3:$F$174&lt;&gt;"")),HISTORIAL!$K$3:$K$174),"^",IF(K175&lt;LOOKUP(2,1/((HISTORIAL!$O$3:$O$174=O175)*(HISTORIAL!$F$3:$F$174&lt;&gt;"")),HISTORIAL!$K$3:$K$174),"v","-")),"-")),"-")</f>
        <v>-</v>
      </c>
      <c r="N175" s="54" t="str">
        <f>IFERROR(VLOOKUP(A175,CONFIG!$A$10:$B$21,2,0),"")</f>
        <v>FUE</v>
      </c>
      <c r="O175" s="55" t="str">
        <f t="shared" si="5"/>
        <v>Extension Triceps|Polea Sobre Cabeza</v>
      </c>
      <c r="P175" s="69" t="str">
        <f>JUEVES!AC77</f>
        <v/>
      </c>
    </row>
    <row r="176" spans="1:16" ht="14.1" customHeight="1">
      <c r="A176" s="37">
        <v>3</v>
      </c>
      <c r="B176" s="37" t="s">
        <v>280</v>
      </c>
      <c r="C176" s="44" t="str">
        <f>JUEVES!$A$79</f>
        <v>Extension Cuadriceps</v>
      </c>
      <c r="D176" s="45" t="str">
        <f>JUEVES!$B$79</f>
        <v>Vasto Interno</v>
      </c>
      <c r="E176" s="37" t="str">
        <f>JUEVES!$C$79</f>
        <v>--</v>
      </c>
      <c r="F176" s="46" t="str">
        <f>IF(P176="","",IFERROR(CHOOSE(VALUE(RIGHT(P176,1)),JUEVES!F79,JUEVES!I79,JUEVES!L79,JUEVES!O79,JUEVES!R79),""))</f>
        <v/>
      </c>
      <c r="G176" s="47" t="str">
        <f>IF(P176="","",IFERROR(CHOOSE(VALUE(RIGHT(P176,1)),JUEVES!G79,JUEVES!J79,JUEVES!M79,JUEVES!P79,JUEVES!S79),""))</f>
        <v/>
      </c>
      <c r="H176" s="48" t="str">
        <f>IF(P176="","",IFERROR(CHOOSE(VALUE(RIGHT(P176,1)),JUEVES!H79,JUEVES!K79,JUEVES!N79,JUEVES!Q79,JUEVES!T79),""))</f>
        <v/>
      </c>
      <c r="I176" s="49" t="str">
        <f t="shared" si="4"/>
        <v/>
      </c>
      <c r="J176" s="50" t="str">
        <f>IF(P176="","",IFERROR(ROUND(CHOOSE(VALUE(RIGHT(P176,1)),IF(JUEVES!C79="peso_corporal",IF(ISNUMBER(JUEVES!E79),JUEVES!E79,0)+JUEVES!F79,JUEVES!F79)*JUEVES!G79,IF(JUEVES!C79="peso_corporal",IF(ISNUMBER(JUEVES!E79),JUEVES!E79,0)+JUEVES!I79,JUEVES!I79)*JUEVES!J79,IF(JUEVES!C79="peso_corporal",IF(ISNUMBER(JUEVES!E79),JUEVES!E79,0)+JUEVES!L79,JUEVES!L79)*JUEVES!M79,IF(JUEVES!C79="peso_corporal",IF(ISNUMBER(JUEVES!E79),JUEVES!E79,0)+JUEVES!O79,JUEVES!O79)*JUEVES!P79,IF(JUEVES!C79="peso_corporal",IF(ISNUMBER(JUEVES!E79),JUEVES!E79,0)+JUEVES!R79,JUEVES!R79)*JUEVES!S79),1),""))</f>
        <v/>
      </c>
      <c r="K176" s="51" t="str">
        <f>IF(P176="","",IFERROR(ROUND(CHOOSE(VALUE(RIGHT(P176,1)),(IF(JUEVES!C79="peso_corporal",IF(ISNUMBER(JUEVES!E79),JUEVES!E79,0)+JUEVES!F79,JUEVES!F79))*(1+JUEVES!G79/30),(IF(JUEVES!C79="peso_corporal",IF(ISNUMBER(JUEVES!E79),JUEVES!E79,0)+JUEVES!I79,JUEVES!I79))*(1+JUEVES!J79/30),(IF(JUEVES!C79="peso_corporal",IF(ISNUMBER(JUEVES!E79),JUEVES!E79,0)+JUEVES!L79,JUEVES!L79))*(1+JUEVES!M79/30),(IF(JUEVES!C79="peso_corporal",IF(ISNUMBER(JUEVES!E79),JUEVES!E79,0)+JUEVES!O79,JUEVES!O79))*(1+JUEVES!P79/30),(IF(JUEVES!C79="peso_corporal",IF(ISNUMBER(JUEVES!E79),JUEVES!E79,0)+JUEVES!R79,JUEVES!R79))*(1+JUEVES!S79/30)),1),""))</f>
        <v/>
      </c>
      <c r="L176" s="52">
        <f>IFERROR(JUEVES!E79,"")</f>
        <v>80</v>
      </c>
      <c r="M176" s="53" t="str">
        <f>IFERROR(IF(K176="","-",IF(ISNUMBER(LOOKUP(2,1/((HISTORIAL!$O$3:$O$175=O176)*(HISTORIAL!$F$3:$F$175&lt;&gt;"")),HISTORIAL!$K$3:$K$175)),IF(K176&gt;LOOKUP(2,1/((HISTORIAL!$O$3:$O$175=O176)*(HISTORIAL!$F$3:$F$175&lt;&gt;"")),HISTORIAL!$K$3:$K$175),"^",IF(K176&lt;LOOKUP(2,1/((HISTORIAL!$O$3:$O$175=O176)*(HISTORIAL!$F$3:$F$175&lt;&gt;"")),HISTORIAL!$K$3:$K$175),"v","-")),"-")),"-")</f>
        <v>-</v>
      </c>
      <c r="N176" s="54" t="str">
        <f>IFERROR(VLOOKUP(A176,CONFIG!$A$10:$B$21,2,0),"")</f>
        <v>FUE</v>
      </c>
      <c r="O176" s="55" t="str">
        <f t="shared" si="5"/>
        <v>Extension Cuadriceps|Vasto Interno</v>
      </c>
      <c r="P176" s="69" t="str">
        <f>JUEVES!AC79</f>
        <v/>
      </c>
    </row>
    <row r="177" spans="1:16" ht="14.1" customHeight="1">
      <c r="A177" s="37">
        <v>3</v>
      </c>
      <c r="B177" s="37" t="s">
        <v>280</v>
      </c>
      <c r="C177" s="44" t="str">
        <f>JUEVES!$A$81</f>
        <v>Curl Biceps</v>
      </c>
      <c r="D177" s="45" t="str">
        <f>JUEVES!$B$81</f>
        <v>Concentrado Maquina</v>
      </c>
      <c r="E177" s="37" t="str">
        <f>JUEVES!$C$81</f>
        <v>polea</v>
      </c>
      <c r="F177" s="46" t="str">
        <f>IF(P177="","",IFERROR(CHOOSE(VALUE(RIGHT(P177,1)),JUEVES!F81,JUEVES!I81,JUEVES!L81,JUEVES!O81,JUEVES!R81),""))</f>
        <v/>
      </c>
      <c r="G177" s="47" t="str">
        <f>IF(P177="","",IFERROR(CHOOSE(VALUE(RIGHT(P177,1)),JUEVES!G81,JUEVES!J81,JUEVES!M81,JUEVES!P81,JUEVES!S81),""))</f>
        <v/>
      </c>
      <c r="H177" s="48" t="str">
        <f>IF(P177="","",IFERROR(CHOOSE(VALUE(RIGHT(P177,1)),JUEVES!H81,JUEVES!K81,JUEVES!N81,JUEVES!Q81,JUEVES!T81),""))</f>
        <v/>
      </c>
      <c r="I177" s="49" t="str">
        <f t="shared" si="4"/>
        <v/>
      </c>
      <c r="J177" s="50" t="str">
        <f>IF(P177="","",IFERROR(ROUND(CHOOSE(VALUE(RIGHT(P177,1)),IF(JUEVES!C81="peso_corporal",IF(ISNUMBER(JUEVES!E81),JUEVES!E81,0)+JUEVES!F81,JUEVES!F81)*JUEVES!G81,IF(JUEVES!C81="peso_corporal",IF(ISNUMBER(JUEVES!E81),JUEVES!E81,0)+JUEVES!I81,JUEVES!I81)*JUEVES!J81,IF(JUEVES!C81="peso_corporal",IF(ISNUMBER(JUEVES!E81),JUEVES!E81,0)+JUEVES!L81,JUEVES!L81)*JUEVES!M81,IF(JUEVES!C81="peso_corporal",IF(ISNUMBER(JUEVES!E81),JUEVES!E81,0)+JUEVES!O81,JUEVES!O81)*JUEVES!P81,IF(JUEVES!C81="peso_corporal",IF(ISNUMBER(JUEVES!E81),JUEVES!E81,0)+JUEVES!R81,JUEVES!R81)*JUEVES!S81),1),""))</f>
        <v/>
      </c>
      <c r="K177" s="51" t="str">
        <f>IF(P177="","",IFERROR(ROUND(CHOOSE(VALUE(RIGHT(P177,1)),(IF(JUEVES!C81="peso_corporal",IF(ISNUMBER(JUEVES!E81),JUEVES!E81,0)+JUEVES!F81,JUEVES!F81))*(1+JUEVES!G81/30),(IF(JUEVES!C81="peso_corporal",IF(ISNUMBER(JUEVES!E81),JUEVES!E81,0)+JUEVES!I81,JUEVES!I81))*(1+JUEVES!J81/30),(IF(JUEVES!C81="peso_corporal",IF(ISNUMBER(JUEVES!E81),JUEVES!E81,0)+JUEVES!L81,JUEVES!L81))*(1+JUEVES!M81/30),(IF(JUEVES!C81="peso_corporal",IF(ISNUMBER(JUEVES!E81),JUEVES!E81,0)+JUEVES!O81,JUEVES!O81))*(1+JUEVES!P81/30),(IF(JUEVES!C81="peso_corporal",IF(ISNUMBER(JUEVES!E81),JUEVES!E81,0)+JUEVES!R81,JUEVES!R81))*(1+JUEVES!S81/30)),1),""))</f>
        <v/>
      </c>
      <c r="L177" s="52">
        <f>IFERROR(JUEVES!E81,"")</f>
        <v>80</v>
      </c>
      <c r="M177" s="53" t="str">
        <f>IFERROR(IF(K177="","-",IF(ISNUMBER(LOOKUP(2,1/((HISTORIAL!$O$3:$O$176=O177)*(HISTORIAL!$F$3:$F$176&lt;&gt;"")),HISTORIAL!$K$3:$K$176)),IF(K177&gt;LOOKUP(2,1/((HISTORIAL!$O$3:$O$176=O177)*(HISTORIAL!$F$3:$F$176&lt;&gt;"")),HISTORIAL!$K$3:$K$176),"^",IF(K177&lt;LOOKUP(2,1/((HISTORIAL!$O$3:$O$176=O177)*(HISTORIAL!$F$3:$F$176&lt;&gt;"")),HISTORIAL!$K$3:$K$176),"v","-")),"-")),"-")</f>
        <v>-</v>
      </c>
      <c r="N177" s="54" t="str">
        <f>IFERROR(VLOOKUP(A177,CONFIG!$A$10:$B$21,2,0),"")</f>
        <v>FUE</v>
      </c>
      <c r="O177" s="55" t="str">
        <f t="shared" si="5"/>
        <v>Curl Biceps|Concentrado Maquina</v>
      </c>
      <c r="P177" s="69" t="str">
        <f>JUEVES!AC81</f>
        <v/>
      </c>
    </row>
    <row r="178" spans="1:16" ht="14.1" customHeight="1">
      <c r="A178" s="37">
        <v>3</v>
      </c>
      <c r="B178" s="37" t="s">
        <v>280</v>
      </c>
      <c r="C178" s="44" t="str">
        <f>JUEVES!$A$83</f>
        <v>Crunch</v>
      </c>
      <c r="D178" s="45" t="str">
        <f>JUEVES!$B$83</f>
        <v>Polea</v>
      </c>
      <c r="E178" s="37" t="str">
        <f>JUEVES!$C$83</f>
        <v>polea</v>
      </c>
      <c r="F178" s="46" t="str">
        <f>IF(P178="","",IFERROR(CHOOSE(VALUE(RIGHT(P178,1)),JUEVES!F83,JUEVES!I83,JUEVES!L83,JUEVES!O83,JUEVES!R83),""))</f>
        <v/>
      </c>
      <c r="G178" s="47" t="str">
        <f>IF(P178="","",IFERROR(CHOOSE(VALUE(RIGHT(P178,1)),JUEVES!G83,JUEVES!J83,JUEVES!M83,JUEVES!P83,JUEVES!S83),""))</f>
        <v/>
      </c>
      <c r="H178" s="48" t="str">
        <f>IF(P178="","",IFERROR(CHOOSE(VALUE(RIGHT(P178,1)),JUEVES!H83,JUEVES!K83,JUEVES!N83,JUEVES!Q83,JUEVES!T83),""))</f>
        <v/>
      </c>
      <c r="I178" s="49" t="str">
        <f t="shared" si="4"/>
        <v/>
      </c>
      <c r="J178" s="50" t="str">
        <f>IF(P178="","",IFERROR(ROUND(CHOOSE(VALUE(RIGHT(P178,1)),IF(JUEVES!C83="peso_corporal",IF(ISNUMBER(JUEVES!E83),JUEVES!E83,0)+JUEVES!F83,JUEVES!F83)*JUEVES!G83,IF(JUEVES!C83="peso_corporal",IF(ISNUMBER(JUEVES!E83),JUEVES!E83,0)+JUEVES!I83,JUEVES!I83)*JUEVES!J83,IF(JUEVES!C83="peso_corporal",IF(ISNUMBER(JUEVES!E83),JUEVES!E83,0)+JUEVES!L83,JUEVES!L83)*JUEVES!M83,IF(JUEVES!C83="peso_corporal",IF(ISNUMBER(JUEVES!E83),JUEVES!E83,0)+JUEVES!O83,JUEVES!O83)*JUEVES!P83,IF(JUEVES!C83="peso_corporal",IF(ISNUMBER(JUEVES!E83),JUEVES!E83,0)+JUEVES!R83,JUEVES!R83)*JUEVES!S83),1),""))</f>
        <v/>
      </c>
      <c r="K178" s="51" t="str">
        <f>IF(P178="","",IFERROR(ROUND(CHOOSE(VALUE(RIGHT(P178,1)),(IF(JUEVES!C83="peso_corporal",IF(ISNUMBER(JUEVES!E83),JUEVES!E83,0)+JUEVES!F83,JUEVES!F83))*(1+JUEVES!G83/30),(IF(JUEVES!C83="peso_corporal",IF(ISNUMBER(JUEVES!E83),JUEVES!E83,0)+JUEVES!I83,JUEVES!I83))*(1+JUEVES!J83/30),(IF(JUEVES!C83="peso_corporal",IF(ISNUMBER(JUEVES!E83),JUEVES!E83,0)+JUEVES!L83,JUEVES!L83))*(1+JUEVES!M83/30),(IF(JUEVES!C83="peso_corporal",IF(ISNUMBER(JUEVES!E83),JUEVES!E83,0)+JUEVES!O83,JUEVES!O83))*(1+JUEVES!P83/30),(IF(JUEVES!C83="peso_corporal",IF(ISNUMBER(JUEVES!E83),JUEVES!E83,0)+JUEVES!R83,JUEVES!R83))*(1+JUEVES!S83/30)),1),""))</f>
        <v/>
      </c>
      <c r="L178" s="52">
        <f>IFERROR(JUEVES!E83,"")</f>
        <v>80</v>
      </c>
      <c r="M178" s="53" t="str">
        <f>IFERROR(IF(K178="","-",IF(ISNUMBER(LOOKUP(2,1/((HISTORIAL!$O$3:$O$177=O178)*(HISTORIAL!$F$3:$F$177&lt;&gt;"")),HISTORIAL!$K$3:$K$177)),IF(K178&gt;LOOKUP(2,1/((HISTORIAL!$O$3:$O$177=O178)*(HISTORIAL!$F$3:$F$177&lt;&gt;"")),HISTORIAL!$K$3:$K$177),"^",IF(K178&lt;LOOKUP(2,1/((HISTORIAL!$O$3:$O$177=O178)*(HISTORIAL!$F$3:$F$177&lt;&gt;"")),HISTORIAL!$K$3:$K$177),"v","-")),"-")),"-")</f>
        <v>-</v>
      </c>
      <c r="N178" s="54" t="str">
        <f>IFERROR(VLOOKUP(A178,CONFIG!$A$10:$B$21,2,0),"")</f>
        <v>FUE</v>
      </c>
      <c r="O178" s="55" t="str">
        <f t="shared" si="5"/>
        <v>Crunch|Polea</v>
      </c>
      <c r="P178" s="69" t="str">
        <f>JUEVES!AC83</f>
        <v/>
      </c>
    </row>
    <row r="179" spans="1:16" ht="14.1" customHeight="1">
      <c r="A179" s="37">
        <v>3</v>
      </c>
      <c r="B179" s="37" t="s">
        <v>281</v>
      </c>
      <c r="C179" s="44" t="str">
        <f>SABADO!$A$61</f>
        <v>Pulldown</v>
      </c>
      <c r="D179" s="45" t="str">
        <f>SABADO!$B$61</f>
        <v>Polea Alta Brazos Rectos Prono</v>
      </c>
      <c r="E179" s="37" t="str">
        <f>SABADO!$C$61</f>
        <v>polea</v>
      </c>
      <c r="F179" s="46" t="str">
        <f>IF(P179="","",IFERROR(CHOOSE(VALUE(RIGHT(P179,1)),SABADO!F61,SABADO!I61,SABADO!L61,SABADO!O61,SABADO!R61),""))</f>
        <v/>
      </c>
      <c r="G179" s="47" t="str">
        <f>IF(P179="","",IFERROR(CHOOSE(VALUE(RIGHT(P179,1)),SABADO!G61,SABADO!J61,SABADO!M61,SABADO!P61,SABADO!S61),""))</f>
        <v/>
      </c>
      <c r="H179" s="48" t="str">
        <f>IF(P179="","",IFERROR(CHOOSE(VALUE(RIGHT(P179,1)),SABADO!H61,SABADO!K61,SABADO!N61,SABADO!Q61,SABADO!T61),""))</f>
        <v/>
      </c>
      <c r="I179" s="49" t="str">
        <f t="shared" si="4"/>
        <v/>
      </c>
      <c r="J179" s="50" t="str">
        <f>IF(P179="","",IFERROR(ROUND(CHOOSE(VALUE(RIGHT(P179,1)),IF(SABADO!C61="peso_corporal",IF(ISNUMBER(SABADO!E61),SABADO!E61,0)+SABADO!F61,SABADO!F61)*SABADO!G61,IF(SABADO!C61="peso_corporal",IF(ISNUMBER(SABADO!E61),SABADO!E61,0)+SABADO!I61,SABADO!I61)*SABADO!J61,IF(SABADO!C61="peso_corporal",IF(ISNUMBER(SABADO!E61),SABADO!E61,0)+SABADO!L61,SABADO!L61)*SABADO!M61,IF(SABADO!C61="peso_corporal",IF(ISNUMBER(SABADO!E61),SABADO!E61,0)+SABADO!O61,SABADO!O61)*SABADO!P61,IF(SABADO!C61="peso_corporal",IF(ISNUMBER(SABADO!E61),SABADO!E61,0)+SABADO!R61,SABADO!R61)*SABADO!S61),1),""))</f>
        <v/>
      </c>
      <c r="K179" s="51" t="str">
        <f>IF(P179="","",IFERROR(ROUND(CHOOSE(VALUE(RIGHT(P179,1)),(IF(SABADO!C61="peso_corporal",IF(ISNUMBER(SABADO!E61),SABADO!E61,0)+SABADO!F61,SABADO!F61))*(1+SABADO!G61/30),(IF(SABADO!C61="peso_corporal",IF(ISNUMBER(SABADO!E61),SABADO!E61,0)+SABADO!I61,SABADO!I61))*(1+SABADO!J61/30),(IF(SABADO!C61="peso_corporal",IF(ISNUMBER(SABADO!E61),SABADO!E61,0)+SABADO!L61,SABADO!L61))*(1+SABADO!M61/30),(IF(SABADO!C61="peso_corporal",IF(ISNUMBER(SABADO!E61),SABADO!E61,0)+SABADO!O61,SABADO!O61))*(1+SABADO!P61/30),(IF(SABADO!C61="peso_corporal",IF(ISNUMBER(SABADO!E61),SABADO!E61,0)+SABADO!R61,SABADO!R61))*(1+SABADO!S61/30)),1),""))</f>
        <v/>
      </c>
      <c r="L179" s="52">
        <f>IFERROR(SABADO!E61,"")</f>
        <v>80</v>
      </c>
      <c r="M179" s="53" t="str">
        <f>IFERROR(IF(K179="","-",IF(ISNUMBER(LOOKUP(2,1/((HISTORIAL!$O$3:$O$178=O179)*(HISTORIAL!$F$3:$F$178&lt;&gt;"")),HISTORIAL!$K$3:$K$178)),IF(K179&gt;LOOKUP(2,1/((HISTORIAL!$O$3:$O$178=O179)*(HISTORIAL!$F$3:$F$178&lt;&gt;"")),HISTORIAL!$K$3:$K$178),"^",IF(K179&lt;LOOKUP(2,1/((HISTORIAL!$O$3:$O$178=O179)*(HISTORIAL!$F$3:$F$178&lt;&gt;"")),HISTORIAL!$K$3:$K$178),"v","-")),"-")),"-")</f>
        <v>-</v>
      </c>
      <c r="N179" s="54" t="str">
        <f>IFERROR(VLOOKUP(A179,CONFIG!$A$10:$B$21,2,0),"")</f>
        <v>FUE</v>
      </c>
      <c r="O179" s="55" t="str">
        <f t="shared" si="5"/>
        <v>Pulldown|Polea Alta Brazos Rectos Prono</v>
      </c>
      <c r="P179" s="69" t="str">
        <f>SABADO!AC61</f>
        <v/>
      </c>
    </row>
    <row r="180" spans="1:16" ht="14.1" customHeight="1">
      <c r="A180" s="37">
        <v>3</v>
      </c>
      <c r="B180" s="37" t="s">
        <v>281</v>
      </c>
      <c r="C180" s="44" t="str">
        <f>SABADO!$A$63</f>
        <v>Remo</v>
      </c>
      <c r="D180" s="45" t="str">
        <f>SABADO!$B$63</f>
        <v>Maquina Neutro Estrecho</v>
      </c>
      <c r="E180" s="37" t="str">
        <f>SABADO!$C$63</f>
        <v>polea</v>
      </c>
      <c r="F180" s="46" t="str">
        <f>IF(P180="","",IFERROR(CHOOSE(VALUE(RIGHT(P180,1)),SABADO!F63,SABADO!I63,SABADO!L63,SABADO!O63,SABADO!R63),""))</f>
        <v/>
      </c>
      <c r="G180" s="47" t="str">
        <f>IF(P180="","",IFERROR(CHOOSE(VALUE(RIGHT(P180,1)),SABADO!G63,SABADO!J63,SABADO!M63,SABADO!P63,SABADO!S63),""))</f>
        <v/>
      </c>
      <c r="H180" s="48" t="str">
        <f>IF(P180="","",IFERROR(CHOOSE(VALUE(RIGHT(P180,1)),SABADO!H63,SABADO!K63,SABADO!N63,SABADO!Q63,SABADO!T63),""))</f>
        <v/>
      </c>
      <c r="I180" s="49" t="str">
        <f t="shared" si="4"/>
        <v/>
      </c>
      <c r="J180" s="50" t="str">
        <f>IF(P180="","",IFERROR(ROUND(CHOOSE(VALUE(RIGHT(P180,1)),IF(SABADO!C63="peso_corporal",IF(ISNUMBER(SABADO!E63),SABADO!E63,0)+SABADO!F63,SABADO!F63)*SABADO!G63,IF(SABADO!C63="peso_corporal",IF(ISNUMBER(SABADO!E63),SABADO!E63,0)+SABADO!I63,SABADO!I63)*SABADO!J63,IF(SABADO!C63="peso_corporal",IF(ISNUMBER(SABADO!E63),SABADO!E63,0)+SABADO!L63,SABADO!L63)*SABADO!M63,IF(SABADO!C63="peso_corporal",IF(ISNUMBER(SABADO!E63),SABADO!E63,0)+SABADO!O63,SABADO!O63)*SABADO!P63,IF(SABADO!C63="peso_corporal",IF(ISNUMBER(SABADO!E63),SABADO!E63,0)+SABADO!R63,SABADO!R63)*SABADO!S63),1),""))</f>
        <v/>
      </c>
      <c r="K180" s="51" t="str">
        <f>IF(P180="","",IFERROR(ROUND(CHOOSE(VALUE(RIGHT(P180,1)),(IF(SABADO!C63="peso_corporal",IF(ISNUMBER(SABADO!E63),SABADO!E63,0)+SABADO!F63,SABADO!F63))*(1+SABADO!G63/30),(IF(SABADO!C63="peso_corporal",IF(ISNUMBER(SABADO!E63),SABADO!E63,0)+SABADO!I63,SABADO!I63))*(1+SABADO!J63/30),(IF(SABADO!C63="peso_corporal",IF(ISNUMBER(SABADO!E63),SABADO!E63,0)+SABADO!L63,SABADO!L63))*(1+SABADO!M63/30),(IF(SABADO!C63="peso_corporal",IF(ISNUMBER(SABADO!E63),SABADO!E63,0)+SABADO!O63,SABADO!O63))*(1+SABADO!P63/30),(IF(SABADO!C63="peso_corporal",IF(ISNUMBER(SABADO!E63),SABADO!E63,0)+SABADO!R63,SABADO!R63))*(1+SABADO!S63/30)),1),""))</f>
        <v/>
      </c>
      <c r="L180" s="52">
        <f>IFERROR(SABADO!E63,"")</f>
        <v>80</v>
      </c>
      <c r="M180" s="53" t="str">
        <f>IFERROR(IF(K180="","-",IF(ISNUMBER(LOOKUP(2,1/((HISTORIAL!$O$3:$O$179=O180)*(HISTORIAL!$F$3:$F$179&lt;&gt;"")),HISTORIAL!$K$3:$K$179)),IF(K180&gt;LOOKUP(2,1/((HISTORIAL!$O$3:$O$179=O180)*(HISTORIAL!$F$3:$F$179&lt;&gt;"")),HISTORIAL!$K$3:$K$179),"^",IF(K180&lt;LOOKUP(2,1/((HISTORIAL!$O$3:$O$179=O180)*(HISTORIAL!$F$3:$F$179&lt;&gt;"")),HISTORIAL!$K$3:$K$179),"v","-")),"-")),"-")</f>
        <v>-</v>
      </c>
      <c r="N180" s="54" t="str">
        <f>IFERROR(VLOOKUP(A180,CONFIG!$A$10:$B$21,2,0),"")</f>
        <v>FUE</v>
      </c>
      <c r="O180" s="55" t="str">
        <f t="shared" si="5"/>
        <v>Remo|Maquina Neutro Estrecho</v>
      </c>
      <c r="P180" s="69" t="str">
        <f>SABADO!AC63</f>
        <v/>
      </c>
    </row>
    <row r="181" spans="1:16" ht="14.1" customHeight="1">
      <c r="A181" s="37">
        <v>3</v>
      </c>
      <c r="B181" s="37" t="s">
        <v>281</v>
      </c>
      <c r="C181" s="44" t="str">
        <f>SABADO!$A$64</f>
        <v>Remo</v>
      </c>
      <c r="D181" s="45" t="str">
        <f>SABADO!$B$64</f>
        <v>Maquina Neutro Ancho</v>
      </c>
      <c r="E181" s="37" t="str">
        <f>SABADO!$C$64</f>
        <v>polea</v>
      </c>
      <c r="F181" s="46" t="str">
        <f>IF(P181="","",IFERROR(CHOOSE(VALUE(RIGHT(P181,1)),SABADO!F64,SABADO!I64,SABADO!L64,SABADO!O64,SABADO!R64),""))</f>
        <v/>
      </c>
      <c r="G181" s="47" t="str">
        <f>IF(P181="","",IFERROR(CHOOSE(VALUE(RIGHT(P181,1)),SABADO!G64,SABADO!J64,SABADO!M64,SABADO!P64,SABADO!S64),""))</f>
        <v/>
      </c>
      <c r="H181" s="48" t="str">
        <f>IF(P181="","",IFERROR(CHOOSE(VALUE(RIGHT(P181,1)),SABADO!H64,SABADO!K64,SABADO!N64,SABADO!Q64,SABADO!T64),""))</f>
        <v/>
      </c>
      <c r="I181" s="49" t="str">
        <f t="shared" si="4"/>
        <v/>
      </c>
      <c r="J181" s="50" t="str">
        <f>IF(P181="","",IFERROR(ROUND(CHOOSE(VALUE(RIGHT(P181,1)),IF(SABADO!C64="peso_corporal",IF(ISNUMBER(SABADO!E64),SABADO!E64,0)+SABADO!F64,SABADO!F64)*SABADO!G64,IF(SABADO!C64="peso_corporal",IF(ISNUMBER(SABADO!E64),SABADO!E64,0)+SABADO!I64,SABADO!I64)*SABADO!J64,IF(SABADO!C64="peso_corporal",IF(ISNUMBER(SABADO!E64),SABADO!E64,0)+SABADO!L64,SABADO!L64)*SABADO!M64,IF(SABADO!C64="peso_corporal",IF(ISNUMBER(SABADO!E64),SABADO!E64,0)+SABADO!O64,SABADO!O64)*SABADO!P64,IF(SABADO!C64="peso_corporal",IF(ISNUMBER(SABADO!E64),SABADO!E64,0)+SABADO!R64,SABADO!R64)*SABADO!S64),1),""))</f>
        <v/>
      </c>
      <c r="K181" s="51" t="str">
        <f>IF(P181="","",IFERROR(ROUND(CHOOSE(VALUE(RIGHT(P181,1)),(IF(SABADO!C64="peso_corporal",IF(ISNUMBER(SABADO!E64),SABADO!E64,0)+SABADO!F64,SABADO!F64))*(1+SABADO!G64/30),(IF(SABADO!C64="peso_corporal",IF(ISNUMBER(SABADO!E64),SABADO!E64,0)+SABADO!I64,SABADO!I64))*(1+SABADO!J64/30),(IF(SABADO!C64="peso_corporal",IF(ISNUMBER(SABADO!E64),SABADO!E64,0)+SABADO!L64,SABADO!L64))*(1+SABADO!M64/30),(IF(SABADO!C64="peso_corporal",IF(ISNUMBER(SABADO!E64),SABADO!E64,0)+SABADO!O64,SABADO!O64))*(1+SABADO!P64/30),(IF(SABADO!C64="peso_corporal",IF(ISNUMBER(SABADO!E64),SABADO!E64,0)+SABADO!R64,SABADO!R64))*(1+SABADO!S64/30)),1),""))</f>
        <v/>
      </c>
      <c r="L181" s="52">
        <f>IFERROR(SABADO!E64,"")</f>
        <v>80</v>
      </c>
      <c r="M181" s="53" t="str">
        <f>IFERROR(IF(K181="","-",IF(ISNUMBER(LOOKUP(2,1/((HISTORIAL!$O$3:$O$180=O181)*(HISTORIAL!$F$3:$F$180&lt;&gt;"")),HISTORIAL!$K$3:$K$180)),IF(K181&gt;LOOKUP(2,1/((HISTORIAL!$O$3:$O$180=O181)*(HISTORIAL!$F$3:$F$180&lt;&gt;"")),HISTORIAL!$K$3:$K$180),"^",IF(K181&lt;LOOKUP(2,1/((HISTORIAL!$O$3:$O$180=O181)*(HISTORIAL!$F$3:$F$180&lt;&gt;"")),HISTORIAL!$K$3:$K$180),"v","-")),"-")),"-")</f>
        <v>-</v>
      </c>
      <c r="N181" s="54" t="str">
        <f>IFERROR(VLOOKUP(A181,CONFIG!$A$10:$B$21,2,0),"")</f>
        <v>FUE</v>
      </c>
      <c r="O181" s="55" t="str">
        <f t="shared" si="5"/>
        <v>Remo|Maquina Neutro Ancho</v>
      </c>
      <c r="P181" s="69" t="str">
        <f>SABADO!AC64</f>
        <v/>
      </c>
    </row>
    <row r="182" spans="1:16" ht="14.1" customHeight="1">
      <c r="A182" s="37">
        <v>3</v>
      </c>
      <c r="B182" s="37" t="s">
        <v>281</v>
      </c>
      <c r="C182" s="44" t="str">
        <f>SABADO!$A$65</f>
        <v>Peck Deck Invertida</v>
      </c>
      <c r="D182" s="45" t="str">
        <f>SABADO!$B$65</f>
        <v>Maquina</v>
      </c>
      <c r="E182" s="37" t="str">
        <f>SABADO!$C$65</f>
        <v>polea</v>
      </c>
      <c r="F182" s="46" t="str">
        <f>IF(P182="","",IFERROR(CHOOSE(VALUE(RIGHT(P182,1)),SABADO!F65,SABADO!I65,SABADO!L65,SABADO!O65,SABADO!R65),""))</f>
        <v/>
      </c>
      <c r="G182" s="47" t="str">
        <f>IF(P182="","",IFERROR(CHOOSE(VALUE(RIGHT(P182,1)),SABADO!G65,SABADO!J65,SABADO!M65,SABADO!P65,SABADO!S65),""))</f>
        <v/>
      </c>
      <c r="H182" s="48" t="str">
        <f>IF(P182="","",IFERROR(CHOOSE(VALUE(RIGHT(P182,1)),SABADO!H65,SABADO!K65,SABADO!N65,SABADO!Q65,SABADO!T65),""))</f>
        <v/>
      </c>
      <c r="I182" s="49" t="str">
        <f t="shared" si="4"/>
        <v/>
      </c>
      <c r="J182" s="50" t="str">
        <f>IF(P182="","",IFERROR(ROUND(CHOOSE(VALUE(RIGHT(P182,1)),IF(SABADO!C65="peso_corporal",IF(ISNUMBER(SABADO!E65),SABADO!E65,0)+SABADO!F65,SABADO!F65)*SABADO!G65,IF(SABADO!C65="peso_corporal",IF(ISNUMBER(SABADO!E65),SABADO!E65,0)+SABADO!I65,SABADO!I65)*SABADO!J65,IF(SABADO!C65="peso_corporal",IF(ISNUMBER(SABADO!E65),SABADO!E65,0)+SABADO!L65,SABADO!L65)*SABADO!M65,IF(SABADO!C65="peso_corporal",IF(ISNUMBER(SABADO!E65),SABADO!E65,0)+SABADO!O65,SABADO!O65)*SABADO!P65,IF(SABADO!C65="peso_corporal",IF(ISNUMBER(SABADO!E65),SABADO!E65,0)+SABADO!R65,SABADO!R65)*SABADO!S65),1),""))</f>
        <v/>
      </c>
      <c r="K182" s="51" t="str">
        <f>IF(P182="","",IFERROR(ROUND(CHOOSE(VALUE(RIGHT(P182,1)),(IF(SABADO!C65="peso_corporal",IF(ISNUMBER(SABADO!E65),SABADO!E65,0)+SABADO!F65,SABADO!F65))*(1+SABADO!G65/30),(IF(SABADO!C65="peso_corporal",IF(ISNUMBER(SABADO!E65),SABADO!E65,0)+SABADO!I65,SABADO!I65))*(1+SABADO!J65/30),(IF(SABADO!C65="peso_corporal",IF(ISNUMBER(SABADO!E65),SABADO!E65,0)+SABADO!L65,SABADO!L65))*(1+SABADO!M65/30),(IF(SABADO!C65="peso_corporal",IF(ISNUMBER(SABADO!E65),SABADO!E65,0)+SABADO!O65,SABADO!O65))*(1+SABADO!P65/30),(IF(SABADO!C65="peso_corporal",IF(ISNUMBER(SABADO!E65),SABADO!E65,0)+SABADO!R65,SABADO!R65))*(1+SABADO!S65/30)),1),""))</f>
        <v/>
      </c>
      <c r="L182" s="52">
        <f>IFERROR(SABADO!E65,"")</f>
        <v>80</v>
      </c>
      <c r="M182" s="53" t="str">
        <f>IFERROR(IF(K182="","-",IF(ISNUMBER(LOOKUP(2,1/((HISTORIAL!$O$3:$O$181=O182)*(HISTORIAL!$F$3:$F$181&lt;&gt;"")),HISTORIAL!$K$3:$K$181)),IF(K182&gt;LOOKUP(2,1/((HISTORIAL!$O$3:$O$181=O182)*(HISTORIAL!$F$3:$F$181&lt;&gt;"")),HISTORIAL!$K$3:$K$181),"^",IF(K182&lt;LOOKUP(2,1/((HISTORIAL!$O$3:$O$181=O182)*(HISTORIAL!$F$3:$F$181&lt;&gt;"")),HISTORIAL!$K$3:$K$181),"v","-")),"-")),"-")</f>
        <v>-</v>
      </c>
      <c r="N182" s="54" t="str">
        <f>IFERROR(VLOOKUP(A182,CONFIG!$A$10:$B$21,2,0),"")</f>
        <v>FUE</v>
      </c>
      <c r="O182" s="55" t="str">
        <f t="shared" si="5"/>
        <v>Peck Deck Invertida|Maquina</v>
      </c>
      <c r="P182" s="69" t="str">
        <f>SABADO!AC65</f>
        <v/>
      </c>
    </row>
    <row r="183" spans="1:16" ht="14.1" customHeight="1">
      <c r="A183" s="37">
        <v>3</v>
      </c>
      <c r="B183" s="37" t="s">
        <v>281</v>
      </c>
      <c r="C183" s="44" t="str">
        <f>SABADO!$A$67</f>
        <v>Curl Biceps</v>
      </c>
      <c r="D183" s="45" t="str">
        <f>SABADO!$B$67</f>
        <v>Concentrado Maquina</v>
      </c>
      <c r="E183" s="37" t="str">
        <f>SABADO!$C$67</f>
        <v>polea</v>
      </c>
      <c r="F183" s="46" t="str">
        <f>IF(P183="","",IFERROR(CHOOSE(VALUE(RIGHT(P183,1)),SABADO!F67,SABADO!I67,SABADO!L67,SABADO!O67,SABADO!R67),""))</f>
        <v/>
      </c>
      <c r="G183" s="47" t="str">
        <f>IF(P183="","",IFERROR(CHOOSE(VALUE(RIGHT(P183,1)),SABADO!G67,SABADO!J67,SABADO!M67,SABADO!P67,SABADO!S67),""))</f>
        <v/>
      </c>
      <c r="H183" s="48" t="str">
        <f>IF(P183="","",IFERROR(CHOOSE(VALUE(RIGHT(P183,1)),SABADO!H67,SABADO!K67,SABADO!N67,SABADO!Q67,SABADO!T67),""))</f>
        <v/>
      </c>
      <c r="I183" s="49" t="str">
        <f t="shared" si="4"/>
        <v/>
      </c>
      <c r="J183" s="50" t="str">
        <f>IF(P183="","",IFERROR(ROUND(CHOOSE(VALUE(RIGHT(P183,1)),IF(SABADO!C67="peso_corporal",IF(ISNUMBER(SABADO!E67),SABADO!E67,0)+SABADO!F67,SABADO!F67)*SABADO!G67,IF(SABADO!C67="peso_corporal",IF(ISNUMBER(SABADO!E67),SABADO!E67,0)+SABADO!I67,SABADO!I67)*SABADO!J67,IF(SABADO!C67="peso_corporal",IF(ISNUMBER(SABADO!E67),SABADO!E67,0)+SABADO!L67,SABADO!L67)*SABADO!M67,IF(SABADO!C67="peso_corporal",IF(ISNUMBER(SABADO!E67),SABADO!E67,0)+SABADO!O67,SABADO!O67)*SABADO!P67,IF(SABADO!C67="peso_corporal",IF(ISNUMBER(SABADO!E67),SABADO!E67,0)+SABADO!R67,SABADO!R67)*SABADO!S67),1),""))</f>
        <v/>
      </c>
      <c r="K183" s="51" t="str">
        <f>IF(P183="","",IFERROR(ROUND(CHOOSE(VALUE(RIGHT(P183,1)),(IF(SABADO!C67="peso_corporal",IF(ISNUMBER(SABADO!E67),SABADO!E67,0)+SABADO!F67,SABADO!F67))*(1+SABADO!G67/30),(IF(SABADO!C67="peso_corporal",IF(ISNUMBER(SABADO!E67),SABADO!E67,0)+SABADO!I67,SABADO!I67))*(1+SABADO!J67/30),(IF(SABADO!C67="peso_corporal",IF(ISNUMBER(SABADO!E67),SABADO!E67,0)+SABADO!L67,SABADO!L67))*(1+SABADO!M67/30),(IF(SABADO!C67="peso_corporal",IF(ISNUMBER(SABADO!E67),SABADO!E67,0)+SABADO!O67,SABADO!O67))*(1+SABADO!P67/30),(IF(SABADO!C67="peso_corporal",IF(ISNUMBER(SABADO!E67),SABADO!E67,0)+SABADO!R67,SABADO!R67))*(1+SABADO!S67/30)),1),""))</f>
        <v/>
      </c>
      <c r="L183" s="52">
        <f>IFERROR(SABADO!E67,"")</f>
        <v>80</v>
      </c>
      <c r="M183" s="53" t="str">
        <f>IFERROR(IF(K183="","-",IF(ISNUMBER(LOOKUP(2,1/((HISTORIAL!$O$3:$O$182=O183)*(HISTORIAL!$F$3:$F$182&lt;&gt;"")),HISTORIAL!$K$3:$K$182)),IF(K183&gt;LOOKUP(2,1/((HISTORIAL!$O$3:$O$182=O183)*(HISTORIAL!$F$3:$F$182&lt;&gt;"")),HISTORIAL!$K$3:$K$182),"^",IF(K183&lt;LOOKUP(2,1/((HISTORIAL!$O$3:$O$182=O183)*(HISTORIAL!$F$3:$F$182&lt;&gt;"")),HISTORIAL!$K$3:$K$182),"v","-")),"-")),"-")</f>
        <v>-</v>
      </c>
      <c r="N183" s="54" t="str">
        <f>IFERROR(VLOOKUP(A183,CONFIG!$A$10:$B$21,2,0),"")</f>
        <v>FUE</v>
      </c>
      <c r="O183" s="55" t="str">
        <f t="shared" si="5"/>
        <v>Curl Biceps|Concentrado Maquina</v>
      </c>
      <c r="P183" s="69" t="str">
        <f>SABADO!AC67</f>
        <v/>
      </c>
    </row>
    <row r="184" spans="1:16" ht="14.1" customHeight="1">
      <c r="A184" s="37">
        <v>3</v>
      </c>
      <c r="B184" s="37" t="s">
        <v>281</v>
      </c>
      <c r="C184" s="44" t="str">
        <f>SABADO!$A$68</f>
        <v>Curl Martillo</v>
      </c>
      <c r="D184" s="45" t="str">
        <f>SABADO!$B$68</f>
        <v>Polea Individual</v>
      </c>
      <c r="E184" s="37" t="str">
        <f>SABADO!$C$68</f>
        <v>polea</v>
      </c>
      <c r="F184" s="46" t="str">
        <f>IF(P184="","",IFERROR(CHOOSE(VALUE(RIGHT(P184,1)),SABADO!F68,SABADO!I68,SABADO!L68,SABADO!O68,SABADO!R68),""))</f>
        <v/>
      </c>
      <c r="G184" s="47" t="str">
        <f>IF(P184="","",IFERROR(CHOOSE(VALUE(RIGHT(P184,1)),SABADO!G68,SABADO!J68,SABADO!M68,SABADO!P68,SABADO!S68),""))</f>
        <v/>
      </c>
      <c r="H184" s="48" t="str">
        <f>IF(P184="","",IFERROR(CHOOSE(VALUE(RIGHT(P184,1)),SABADO!H68,SABADO!K68,SABADO!N68,SABADO!Q68,SABADO!T68),""))</f>
        <v/>
      </c>
      <c r="I184" s="49" t="str">
        <f t="shared" si="4"/>
        <v/>
      </c>
      <c r="J184" s="50" t="str">
        <f>IF(P184="","",IFERROR(ROUND(CHOOSE(VALUE(RIGHT(P184,1)),IF(SABADO!C68="peso_corporal",IF(ISNUMBER(SABADO!E68),SABADO!E68,0)+SABADO!F68,SABADO!F68)*SABADO!G68,IF(SABADO!C68="peso_corporal",IF(ISNUMBER(SABADO!E68),SABADO!E68,0)+SABADO!I68,SABADO!I68)*SABADO!J68,IF(SABADO!C68="peso_corporal",IF(ISNUMBER(SABADO!E68),SABADO!E68,0)+SABADO!L68,SABADO!L68)*SABADO!M68,IF(SABADO!C68="peso_corporal",IF(ISNUMBER(SABADO!E68),SABADO!E68,0)+SABADO!O68,SABADO!O68)*SABADO!P68,IF(SABADO!C68="peso_corporal",IF(ISNUMBER(SABADO!E68),SABADO!E68,0)+SABADO!R68,SABADO!R68)*SABADO!S68),1),""))</f>
        <v/>
      </c>
      <c r="K184" s="51" t="str">
        <f>IF(P184="","",IFERROR(ROUND(CHOOSE(VALUE(RIGHT(P184,1)),(IF(SABADO!C68="peso_corporal",IF(ISNUMBER(SABADO!E68),SABADO!E68,0)+SABADO!F68,SABADO!F68))*(1+SABADO!G68/30),(IF(SABADO!C68="peso_corporal",IF(ISNUMBER(SABADO!E68),SABADO!E68,0)+SABADO!I68,SABADO!I68))*(1+SABADO!J68/30),(IF(SABADO!C68="peso_corporal",IF(ISNUMBER(SABADO!E68),SABADO!E68,0)+SABADO!L68,SABADO!L68))*(1+SABADO!M68/30),(IF(SABADO!C68="peso_corporal",IF(ISNUMBER(SABADO!E68),SABADO!E68,0)+SABADO!O68,SABADO!O68))*(1+SABADO!P68/30),(IF(SABADO!C68="peso_corporal",IF(ISNUMBER(SABADO!E68),SABADO!E68,0)+SABADO!R68,SABADO!R68))*(1+SABADO!S68/30)),1),""))</f>
        <v/>
      </c>
      <c r="L184" s="52">
        <f>IFERROR(SABADO!E68,"")</f>
        <v>80</v>
      </c>
      <c r="M184" s="53" t="str">
        <f>IFERROR(IF(K184="","-",IF(ISNUMBER(LOOKUP(2,1/((HISTORIAL!$O$3:$O$183=O184)*(HISTORIAL!$F$3:$F$183&lt;&gt;"")),HISTORIAL!$K$3:$K$183)),IF(K184&gt;LOOKUP(2,1/((HISTORIAL!$O$3:$O$183=O184)*(HISTORIAL!$F$3:$F$183&lt;&gt;"")),HISTORIAL!$K$3:$K$183),"^",IF(K184&lt;LOOKUP(2,1/((HISTORIAL!$O$3:$O$183=O184)*(HISTORIAL!$F$3:$F$183&lt;&gt;"")),HISTORIAL!$K$3:$K$183),"v","-")),"-")),"-")</f>
        <v>-</v>
      </c>
      <c r="N184" s="54" t="str">
        <f>IFERROR(VLOOKUP(A184,CONFIG!$A$10:$B$21,2,0),"")</f>
        <v>FUE</v>
      </c>
      <c r="O184" s="55" t="str">
        <f t="shared" si="5"/>
        <v>Curl Martillo|Polea Individual</v>
      </c>
      <c r="P184" s="69" t="str">
        <f>SABADO!AC68</f>
        <v/>
      </c>
    </row>
    <row r="185" spans="1:16" ht="14.1" customHeight="1">
      <c r="A185" s="37">
        <v>3</v>
      </c>
      <c r="B185" s="37" t="s">
        <v>281</v>
      </c>
      <c r="C185" s="44" t="str">
        <f>SABADO!$A$70</f>
        <v>Curl Muneca</v>
      </c>
      <c r="D185" s="45" t="str">
        <f>SABADO!$B$70</f>
        <v>Supinado</v>
      </c>
      <c r="E185" s="37" t="str">
        <f>SABADO!$C$70</f>
        <v>mancuerna</v>
      </c>
      <c r="F185" s="46" t="str">
        <f>IF(P185="","",IFERROR(CHOOSE(VALUE(RIGHT(P185,1)),SABADO!F70,SABADO!I70,SABADO!L70,SABADO!O70,SABADO!R70),""))</f>
        <v/>
      </c>
      <c r="G185" s="47" t="str">
        <f>IF(P185="","",IFERROR(CHOOSE(VALUE(RIGHT(P185,1)),SABADO!G70,SABADO!J70,SABADO!M70,SABADO!P70,SABADO!S70),""))</f>
        <v/>
      </c>
      <c r="H185" s="48" t="str">
        <f>IF(P185="","",IFERROR(CHOOSE(VALUE(RIGHT(P185,1)),SABADO!H70,SABADO!K70,SABADO!N70,SABADO!Q70,SABADO!T70),""))</f>
        <v/>
      </c>
      <c r="I185" s="49" t="str">
        <f t="shared" si="4"/>
        <v/>
      </c>
      <c r="J185" s="50" t="str">
        <f>IF(P185="","",IFERROR(ROUND(CHOOSE(VALUE(RIGHT(P185,1)),IF(SABADO!C70="peso_corporal",IF(ISNUMBER(SABADO!E70),SABADO!E70,0)+SABADO!F70,SABADO!F70)*SABADO!G70,IF(SABADO!C70="peso_corporal",IF(ISNUMBER(SABADO!E70),SABADO!E70,0)+SABADO!I70,SABADO!I70)*SABADO!J70,IF(SABADO!C70="peso_corporal",IF(ISNUMBER(SABADO!E70),SABADO!E70,0)+SABADO!L70,SABADO!L70)*SABADO!M70,IF(SABADO!C70="peso_corporal",IF(ISNUMBER(SABADO!E70),SABADO!E70,0)+SABADO!O70,SABADO!O70)*SABADO!P70,IF(SABADO!C70="peso_corporal",IF(ISNUMBER(SABADO!E70),SABADO!E70,0)+SABADO!R70,SABADO!R70)*SABADO!S70),1),""))</f>
        <v/>
      </c>
      <c r="K185" s="51" t="str">
        <f>IF(P185="","",IFERROR(ROUND(CHOOSE(VALUE(RIGHT(P185,1)),(IF(SABADO!C70="peso_corporal",IF(ISNUMBER(SABADO!E70),SABADO!E70,0)+SABADO!F70,SABADO!F70))*(1+SABADO!G70/30),(IF(SABADO!C70="peso_corporal",IF(ISNUMBER(SABADO!E70),SABADO!E70,0)+SABADO!I70,SABADO!I70))*(1+SABADO!J70/30),(IF(SABADO!C70="peso_corporal",IF(ISNUMBER(SABADO!E70),SABADO!E70,0)+SABADO!L70,SABADO!L70))*(1+SABADO!M70/30),(IF(SABADO!C70="peso_corporal",IF(ISNUMBER(SABADO!E70),SABADO!E70,0)+SABADO!O70,SABADO!O70))*(1+SABADO!P70/30),(IF(SABADO!C70="peso_corporal",IF(ISNUMBER(SABADO!E70),SABADO!E70,0)+SABADO!R70,SABADO!R70))*(1+SABADO!S70/30)),1),""))</f>
        <v/>
      </c>
      <c r="L185" s="52">
        <f>IFERROR(SABADO!E70,"")</f>
        <v>80</v>
      </c>
      <c r="M185" s="53" t="str">
        <f>IFERROR(IF(K185="","-",IF(ISNUMBER(LOOKUP(2,1/((HISTORIAL!$O$3:$O$184=O185)*(HISTORIAL!$F$3:$F$184&lt;&gt;"")),HISTORIAL!$K$3:$K$184)),IF(K185&gt;LOOKUP(2,1/((HISTORIAL!$O$3:$O$184=O185)*(HISTORIAL!$F$3:$F$184&lt;&gt;"")),HISTORIAL!$K$3:$K$184),"^",IF(K185&lt;LOOKUP(2,1/((HISTORIAL!$O$3:$O$184=O185)*(HISTORIAL!$F$3:$F$184&lt;&gt;"")),HISTORIAL!$K$3:$K$184),"v","-")),"-")),"-")</f>
        <v>-</v>
      </c>
      <c r="N185" s="54" t="str">
        <f>IFERROR(VLOOKUP(A185,CONFIG!$A$10:$B$21,2,0),"")</f>
        <v>FUE</v>
      </c>
      <c r="O185" s="55" t="str">
        <f t="shared" si="5"/>
        <v>Curl Muneca|Supinado</v>
      </c>
      <c r="P185" s="69" t="str">
        <f>SABADO!AC70</f>
        <v/>
      </c>
    </row>
    <row r="186" spans="1:16" ht="14.1" customHeight="1">
      <c r="A186" s="37">
        <v>3</v>
      </c>
      <c r="B186" s="37" t="s">
        <v>281</v>
      </c>
      <c r="C186" s="44" t="str">
        <f>SABADO!$A$71</f>
        <v>Curl Muneca</v>
      </c>
      <c r="D186" s="45" t="str">
        <f>SABADO!$B$71</f>
        <v>Pronado</v>
      </c>
      <c r="E186" s="37" t="str">
        <f>SABADO!$C$71</f>
        <v>mancuerna</v>
      </c>
      <c r="F186" s="46" t="str">
        <f>IF(P186="","",IFERROR(CHOOSE(VALUE(RIGHT(P186,1)),SABADO!F71,SABADO!I71,SABADO!L71,SABADO!O71,SABADO!R71),""))</f>
        <v/>
      </c>
      <c r="G186" s="47" t="str">
        <f>IF(P186="","",IFERROR(CHOOSE(VALUE(RIGHT(P186,1)),SABADO!G71,SABADO!J71,SABADO!M71,SABADO!P71,SABADO!S71),""))</f>
        <v/>
      </c>
      <c r="H186" s="48" t="str">
        <f>IF(P186="","",IFERROR(CHOOSE(VALUE(RIGHT(P186,1)),SABADO!H71,SABADO!K71,SABADO!N71,SABADO!Q71,SABADO!T71),""))</f>
        <v/>
      </c>
      <c r="I186" s="49" t="str">
        <f t="shared" si="4"/>
        <v/>
      </c>
      <c r="J186" s="50" t="str">
        <f>IF(P186="","",IFERROR(ROUND(CHOOSE(VALUE(RIGHT(P186,1)),IF(SABADO!C71="peso_corporal",IF(ISNUMBER(SABADO!E71),SABADO!E71,0)+SABADO!F71,SABADO!F71)*SABADO!G71,IF(SABADO!C71="peso_corporal",IF(ISNUMBER(SABADO!E71),SABADO!E71,0)+SABADO!I71,SABADO!I71)*SABADO!J71,IF(SABADO!C71="peso_corporal",IF(ISNUMBER(SABADO!E71),SABADO!E71,0)+SABADO!L71,SABADO!L71)*SABADO!M71,IF(SABADO!C71="peso_corporal",IF(ISNUMBER(SABADO!E71),SABADO!E71,0)+SABADO!O71,SABADO!O71)*SABADO!P71,IF(SABADO!C71="peso_corporal",IF(ISNUMBER(SABADO!E71),SABADO!E71,0)+SABADO!R71,SABADO!R71)*SABADO!S71),1),""))</f>
        <v/>
      </c>
      <c r="K186" s="51" t="str">
        <f>IF(P186="","",IFERROR(ROUND(CHOOSE(VALUE(RIGHT(P186,1)),(IF(SABADO!C71="peso_corporal",IF(ISNUMBER(SABADO!E71),SABADO!E71,0)+SABADO!F71,SABADO!F71))*(1+SABADO!G71/30),(IF(SABADO!C71="peso_corporal",IF(ISNUMBER(SABADO!E71),SABADO!E71,0)+SABADO!I71,SABADO!I71))*(1+SABADO!J71/30),(IF(SABADO!C71="peso_corporal",IF(ISNUMBER(SABADO!E71),SABADO!E71,0)+SABADO!L71,SABADO!L71))*(1+SABADO!M71/30),(IF(SABADO!C71="peso_corporal",IF(ISNUMBER(SABADO!E71),SABADO!E71,0)+SABADO!O71,SABADO!O71))*(1+SABADO!P71/30),(IF(SABADO!C71="peso_corporal",IF(ISNUMBER(SABADO!E71),SABADO!E71,0)+SABADO!R71,SABADO!R71))*(1+SABADO!S71/30)),1),""))</f>
        <v/>
      </c>
      <c r="L186" s="52">
        <f>IFERROR(SABADO!E71,"")</f>
        <v>80</v>
      </c>
      <c r="M186" s="53" t="str">
        <f>IFERROR(IF(K186="","-",IF(ISNUMBER(LOOKUP(2,1/((HISTORIAL!$O$3:$O$185=O186)*(HISTORIAL!$F$3:$F$185&lt;&gt;"")),HISTORIAL!$K$3:$K$185)),IF(K186&gt;LOOKUP(2,1/((HISTORIAL!$O$3:$O$185=O186)*(HISTORIAL!$F$3:$F$185&lt;&gt;"")),HISTORIAL!$K$3:$K$185),"^",IF(K186&lt;LOOKUP(2,1/((HISTORIAL!$O$3:$O$185=O186)*(HISTORIAL!$F$3:$F$185&lt;&gt;"")),HISTORIAL!$K$3:$K$185),"v","-")),"-")),"-")</f>
        <v>-</v>
      </c>
      <c r="N186" s="54" t="str">
        <f>IFERROR(VLOOKUP(A186,CONFIG!$A$10:$B$21,2,0),"")</f>
        <v>FUE</v>
      </c>
      <c r="O186" s="55" t="str">
        <f t="shared" si="5"/>
        <v>Curl Muneca|Pronado</v>
      </c>
      <c r="P186" s="69" t="str">
        <f>SABADO!AC71</f>
        <v/>
      </c>
    </row>
    <row r="187" spans="1:16" ht="14.1" customHeight="1">
      <c r="A187" s="37">
        <v>3</v>
      </c>
      <c r="B187" s="37" t="s">
        <v>281</v>
      </c>
      <c r="C187" s="44" t="str">
        <f>SABADO!$A$73</f>
        <v>Elevaciones Laterales</v>
      </c>
      <c r="D187" s="45" t="str">
        <f>SABADO!$B$73</f>
        <v>Cable Polea Individual</v>
      </c>
      <c r="E187" s="37" t="str">
        <f>SABADO!$C$73</f>
        <v>polea</v>
      </c>
      <c r="F187" s="46" t="str">
        <f>IF(P187="","",IFERROR(CHOOSE(VALUE(RIGHT(P187,1)),SABADO!F73,SABADO!I73,SABADO!L73,SABADO!O73,SABADO!R73),""))</f>
        <v/>
      </c>
      <c r="G187" s="47" t="str">
        <f>IF(P187="","",IFERROR(CHOOSE(VALUE(RIGHT(P187,1)),SABADO!G73,SABADO!J73,SABADO!M73,SABADO!P73,SABADO!S73),""))</f>
        <v/>
      </c>
      <c r="H187" s="48" t="str">
        <f>IF(P187="","",IFERROR(CHOOSE(VALUE(RIGHT(P187,1)),SABADO!H73,SABADO!K73,SABADO!N73,SABADO!Q73,SABADO!T73),""))</f>
        <v/>
      </c>
      <c r="I187" s="49" t="str">
        <f t="shared" si="4"/>
        <v/>
      </c>
      <c r="J187" s="50" t="str">
        <f>IF(P187="","",IFERROR(ROUND(CHOOSE(VALUE(RIGHT(P187,1)),IF(SABADO!C73="peso_corporal",IF(ISNUMBER(SABADO!E73),SABADO!E73,0)+SABADO!F73,SABADO!F73)*SABADO!G73,IF(SABADO!C73="peso_corporal",IF(ISNUMBER(SABADO!E73),SABADO!E73,0)+SABADO!I73,SABADO!I73)*SABADO!J73,IF(SABADO!C73="peso_corporal",IF(ISNUMBER(SABADO!E73),SABADO!E73,0)+SABADO!L73,SABADO!L73)*SABADO!M73,IF(SABADO!C73="peso_corporal",IF(ISNUMBER(SABADO!E73),SABADO!E73,0)+SABADO!O73,SABADO!O73)*SABADO!P73,IF(SABADO!C73="peso_corporal",IF(ISNUMBER(SABADO!E73),SABADO!E73,0)+SABADO!R73,SABADO!R73)*SABADO!S73),1),""))</f>
        <v/>
      </c>
      <c r="K187" s="51" t="str">
        <f>IF(P187="","",IFERROR(ROUND(CHOOSE(VALUE(RIGHT(P187,1)),(IF(SABADO!C73="peso_corporal",IF(ISNUMBER(SABADO!E73),SABADO!E73,0)+SABADO!F73,SABADO!F73))*(1+SABADO!G73/30),(IF(SABADO!C73="peso_corporal",IF(ISNUMBER(SABADO!E73),SABADO!E73,0)+SABADO!I73,SABADO!I73))*(1+SABADO!J73/30),(IF(SABADO!C73="peso_corporal",IF(ISNUMBER(SABADO!E73),SABADO!E73,0)+SABADO!L73,SABADO!L73))*(1+SABADO!M73/30),(IF(SABADO!C73="peso_corporal",IF(ISNUMBER(SABADO!E73),SABADO!E73,0)+SABADO!O73,SABADO!O73))*(1+SABADO!P73/30),(IF(SABADO!C73="peso_corporal",IF(ISNUMBER(SABADO!E73),SABADO!E73,0)+SABADO!R73,SABADO!R73))*(1+SABADO!S73/30)),1),""))</f>
        <v/>
      </c>
      <c r="L187" s="52">
        <f>IFERROR(SABADO!E73,"")</f>
        <v>80</v>
      </c>
      <c r="M187" s="53" t="str">
        <f>IFERROR(IF(K187="","-",IF(ISNUMBER(LOOKUP(2,1/((HISTORIAL!$O$3:$O$186=O187)*(HISTORIAL!$F$3:$F$186&lt;&gt;"")),HISTORIAL!$K$3:$K$186)),IF(K187&gt;LOOKUP(2,1/((HISTORIAL!$O$3:$O$186=O187)*(HISTORIAL!$F$3:$F$186&lt;&gt;"")),HISTORIAL!$K$3:$K$186),"^",IF(K187&lt;LOOKUP(2,1/((HISTORIAL!$O$3:$O$186=O187)*(HISTORIAL!$F$3:$F$186&lt;&gt;"")),HISTORIAL!$K$3:$K$186),"v","-")),"-")),"-")</f>
        <v>-</v>
      </c>
      <c r="N187" s="54" t="str">
        <f>IFERROR(VLOOKUP(A187,CONFIG!$A$10:$B$21,2,0),"")</f>
        <v>FUE</v>
      </c>
      <c r="O187" s="55" t="str">
        <f t="shared" si="5"/>
        <v>Elevaciones Laterales|Cable Polea Individual</v>
      </c>
      <c r="P187" s="69" t="str">
        <f>SABADO!AC73</f>
        <v/>
      </c>
    </row>
    <row r="188" spans="1:16" ht="14.1" customHeight="1">
      <c r="A188" s="37">
        <v>3</v>
      </c>
      <c r="B188" s="37" t="s">
        <v>281</v>
      </c>
      <c r="C188" s="44" t="str">
        <f>SABADO!$A$75</f>
        <v>Encogimientos</v>
      </c>
      <c r="D188" s="45" t="str">
        <f>SABADO!$B$75</f>
        <v>Mancuernas Trapecio</v>
      </c>
      <c r="E188" s="37" t="str">
        <f>SABADO!$C$75</f>
        <v>mancuerna</v>
      </c>
      <c r="F188" s="46" t="str">
        <f>IF(P188="","",IFERROR(CHOOSE(VALUE(RIGHT(P188,1)),SABADO!F75,SABADO!I75,SABADO!L75,SABADO!O75,SABADO!R75),""))</f>
        <v/>
      </c>
      <c r="G188" s="47" t="str">
        <f>IF(P188="","",IFERROR(CHOOSE(VALUE(RIGHT(P188,1)),SABADO!G75,SABADO!J75,SABADO!M75,SABADO!P75,SABADO!S75),""))</f>
        <v/>
      </c>
      <c r="H188" s="48" t="str">
        <f>IF(P188="","",IFERROR(CHOOSE(VALUE(RIGHT(P188,1)),SABADO!H75,SABADO!K75,SABADO!N75,SABADO!Q75,SABADO!T75),""))</f>
        <v/>
      </c>
      <c r="I188" s="49" t="str">
        <f t="shared" si="4"/>
        <v/>
      </c>
      <c r="J188" s="50" t="str">
        <f>IF(P188="","",IFERROR(ROUND(CHOOSE(VALUE(RIGHT(P188,1)),IF(SABADO!C75="peso_corporal",IF(ISNUMBER(SABADO!E75),SABADO!E75,0)+SABADO!F75,SABADO!F75)*SABADO!G75,IF(SABADO!C75="peso_corporal",IF(ISNUMBER(SABADO!E75),SABADO!E75,0)+SABADO!I75,SABADO!I75)*SABADO!J75,IF(SABADO!C75="peso_corporal",IF(ISNUMBER(SABADO!E75),SABADO!E75,0)+SABADO!L75,SABADO!L75)*SABADO!M75,IF(SABADO!C75="peso_corporal",IF(ISNUMBER(SABADO!E75),SABADO!E75,0)+SABADO!O75,SABADO!O75)*SABADO!P75,IF(SABADO!C75="peso_corporal",IF(ISNUMBER(SABADO!E75),SABADO!E75,0)+SABADO!R75,SABADO!R75)*SABADO!S75),1),""))</f>
        <v/>
      </c>
      <c r="K188" s="51" t="str">
        <f>IF(P188="","",IFERROR(ROUND(CHOOSE(VALUE(RIGHT(P188,1)),(IF(SABADO!C75="peso_corporal",IF(ISNUMBER(SABADO!E75),SABADO!E75,0)+SABADO!F75,SABADO!F75))*(1+SABADO!G75/30),(IF(SABADO!C75="peso_corporal",IF(ISNUMBER(SABADO!E75),SABADO!E75,0)+SABADO!I75,SABADO!I75))*(1+SABADO!J75/30),(IF(SABADO!C75="peso_corporal",IF(ISNUMBER(SABADO!E75),SABADO!E75,0)+SABADO!L75,SABADO!L75))*(1+SABADO!M75/30),(IF(SABADO!C75="peso_corporal",IF(ISNUMBER(SABADO!E75),SABADO!E75,0)+SABADO!O75,SABADO!O75))*(1+SABADO!P75/30),(IF(SABADO!C75="peso_corporal",IF(ISNUMBER(SABADO!E75),SABADO!E75,0)+SABADO!R75,SABADO!R75))*(1+SABADO!S75/30)),1),""))</f>
        <v/>
      </c>
      <c r="L188" s="52">
        <f>IFERROR(SABADO!E75,"")</f>
        <v>80</v>
      </c>
      <c r="M188" s="53" t="str">
        <f>IFERROR(IF(K188="","-",IF(ISNUMBER(LOOKUP(2,1/((HISTORIAL!$O$3:$O$187=O188)*(HISTORIAL!$F$3:$F$187&lt;&gt;"")),HISTORIAL!$K$3:$K$187)),IF(K188&gt;LOOKUP(2,1/((HISTORIAL!$O$3:$O$187=O188)*(HISTORIAL!$F$3:$F$187&lt;&gt;"")),HISTORIAL!$K$3:$K$187),"^",IF(K188&lt;LOOKUP(2,1/((HISTORIAL!$O$3:$O$187=O188)*(HISTORIAL!$F$3:$F$187&lt;&gt;"")),HISTORIAL!$K$3:$K$187),"v","-")),"-")),"-")</f>
        <v>-</v>
      </c>
      <c r="N188" s="54" t="str">
        <f>IFERROR(VLOOKUP(A188,CONFIG!$A$10:$B$21,2,0),"")</f>
        <v>FUE</v>
      </c>
      <c r="O188" s="55" t="str">
        <f t="shared" si="5"/>
        <v>Encogimientos|Mancuernas Trapecio</v>
      </c>
      <c r="P188" s="69" t="str">
        <f>SABADO!AC75</f>
        <v/>
      </c>
    </row>
    <row r="189" spans="1:16" ht="14.1" customHeight="1">
      <c r="A189" s="37">
        <v>3</v>
      </c>
      <c r="B189" s="37" t="s">
        <v>281</v>
      </c>
      <c r="C189" s="44" t="str">
        <f>SABADO!$A$76</f>
        <v>Face Pull</v>
      </c>
      <c r="D189" s="45" t="str">
        <f>SABADO!$B$76</f>
        <v>Polea Alta Cuerda</v>
      </c>
      <c r="E189" s="37" t="str">
        <f>SABADO!$C$76</f>
        <v>polea</v>
      </c>
      <c r="F189" s="46" t="str">
        <f>IF(P189="","",IFERROR(CHOOSE(VALUE(RIGHT(P189,1)),SABADO!F76,SABADO!I76,SABADO!L76,SABADO!O76,SABADO!R76),""))</f>
        <v/>
      </c>
      <c r="G189" s="47" t="str">
        <f>IF(P189="","",IFERROR(CHOOSE(VALUE(RIGHT(P189,1)),SABADO!G76,SABADO!J76,SABADO!M76,SABADO!P76,SABADO!S76),""))</f>
        <v/>
      </c>
      <c r="H189" s="48" t="str">
        <f>IF(P189="","",IFERROR(CHOOSE(VALUE(RIGHT(P189,1)),SABADO!H76,SABADO!K76,SABADO!N76,SABADO!Q76,SABADO!T76),""))</f>
        <v/>
      </c>
      <c r="I189" s="49" t="str">
        <f t="shared" si="4"/>
        <v/>
      </c>
      <c r="J189" s="50" t="str">
        <f>IF(P189="","",IFERROR(ROUND(CHOOSE(VALUE(RIGHT(P189,1)),IF(SABADO!C76="peso_corporal",IF(ISNUMBER(SABADO!E76),SABADO!E76,0)+SABADO!F76,SABADO!F76)*SABADO!G76,IF(SABADO!C76="peso_corporal",IF(ISNUMBER(SABADO!E76),SABADO!E76,0)+SABADO!I76,SABADO!I76)*SABADO!J76,IF(SABADO!C76="peso_corporal",IF(ISNUMBER(SABADO!E76),SABADO!E76,0)+SABADO!L76,SABADO!L76)*SABADO!M76,IF(SABADO!C76="peso_corporal",IF(ISNUMBER(SABADO!E76),SABADO!E76,0)+SABADO!O76,SABADO!O76)*SABADO!P76,IF(SABADO!C76="peso_corporal",IF(ISNUMBER(SABADO!E76),SABADO!E76,0)+SABADO!R76,SABADO!R76)*SABADO!S76),1),""))</f>
        <v/>
      </c>
      <c r="K189" s="51" t="str">
        <f>IF(P189="","",IFERROR(ROUND(CHOOSE(VALUE(RIGHT(P189,1)),(IF(SABADO!C76="peso_corporal",IF(ISNUMBER(SABADO!E76),SABADO!E76,0)+SABADO!F76,SABADO!F76))*(1+SABADO!G76/30),(IF(SABADO!C76="peso_corporal",IF(ISNUMBER(SABADO!E76),SABADO!E76,0)+SABADO!I76,SABADO!I76))*(1+SABADO!J76/30),(IF(SABADO!C76="peso_corporal",IF(ISNUMBER(SABADO!E76),SABADO!E76,0)+SABADO!L76,SABADO!L76))*(1+SABADO!M76/30),(IF(SABADO!C76="peso_corporal",IF(ISNUMBER(SABADO!E76),SABADO!E76,0)+SABADO!O76,SABADO!O76))*(1+SABADO!P76/30),(IF(SABADO!C76="peso_corporal",IF(ISNUMBER(SABADO!E76),SABADO!E76,0)+SABADO!R76,SABADO!R76))*(1+SABADO!S76/30)),1),""))</f>
        <v/>
      </c>
      <c r="L189" s="52">
        <f>IFERROR(SABADO!E76,"")</f>
        <v>80</v>
      </c>
      <c r="M189" s="53" t="str">
        <f>IFERROR(IF(K189="","-",IF(ISNUMBER(LOOKUP(2,1/((HISTORIAL!$O$3:$O$188=O189)*(HISTORIAL!$F$3:$F$188&lt;&gt;"")),HISTORIAL!$K$3:$K$188)),IF(K189&gt;LOOKUP(2,1/((HISTORIAL!$O$3:$O$188=O189)*(HISTORIAL!$F$3:$F$188&lt;&gt;"")),HISTORIAL!$K$3:$K$188),"^",IF(K189&lt;LOOKUP(2,1/((HISTORIAL!$O$3:$O$188=O189)*(HISTORIAL!$F$3:$F$188&lt;&gt;"")),HISTORIAL!$K$3:$K$188),"v","-")),"-")),"-")</f>
        <v>-</v>
      </c>
      <c r="N189" s="54" t="str">
        <f>IFERROR(VLOOKUP(A189,CONFIG!$A$10:$B$21,2,0),"")</f>
        <v>FUE</v>
      </c>
      <c r="O189" s="55" t="str">
        <f t="shared" si="5"/>
        <v>Face Pull|Polea Alta Cuerda</v>
      </c>
      <c r="P189" s="69" t="str">
        <f>SABADO!AC76</f>
        <v/>
      </c>
    </row>
    <row r="190" spans="1:16" ht="14.1" customHeight="1">
      <c r="A190" s="37">
        <v>3</v>
      </c>
      <c r="B190" s="37" t="s">
        <v>281</v>
      </c>
      <c r="C190" s="44" t="str">
        <f>SABADO!$A$78</f>
        <v>Hiperextension</v>
      </c>
      <c r="D190" s="45" t="str">
        <f>SABADO!$B$78</f>
        <v>Banco Romano</v>
      </c>
      <c r="E190" s="37" t="str">
        <f>SABADO!$C$78</f>
        <v>peso_corporal</v>
      </c>
      <c r="F190" s="46" t="str">
        <f>IF(P190="","",IFERROR(CHOOSE(VALUE(RIGHT(P190,1)),SABADO!F78,SABADO!I78,SABADO!L78,SABADO!O78,SABADO!R78),""))</f>
        <v/>
      </c>
      <c r="G190" s="47" t="str">
        <f>IF(P190="","",IFERROR(CHOOSE(VALUE(RIGHT(P190,1)),SABADO!G78,SABADO!J78,SABADO!M78,SABADO!P78,SABADO!S78),""))</f>
        <v/>
      </c>
      <c r="H190" s="48" t="str">
        <f>IF(P190="","",IFERROR(CHOOSE(VALUE(RIGHT(P190,1)),SABADO!H78,SABADO!K78,SABADO!N78,SABADO!Q78,SABADO!T78),""))</f>
        <v/>
      </c>
      <c r="I190" s="49" t="str">
        <f t="shared" si="4"/>
        <v/>
      </c>
      <c r="J190" s="50" t="str">
        <f>IF(P190="","",IFERROR(ROUND(CHOOSE(VALUE(RIGHT(P190,1)),IF(SABADO!C78="peso_corporal",IF(ISNUMBER(SABADO!E78),SABADO!E78,0)+SABADO!F78,SABADO!F78)*SABADO!G78,IF(SABADO!C78="peso_corporal",IF(ISNUMBER(SABADO!E78),SABADO!E78,0)+SABADO!I78,SABADO!I78)*SABADO!J78,IF(SABADO!C78="peso_corporal",IF(ISNUMBER(SABADO!E78),SABADO!E78,0)+SABADO!L78,SABADO!L78)*SABADO!M78,IF(SABADO!C78="peso_corporal",IF(ISNUMBER(SABADO!E78),SABADO!E78,0)+SABADO!O78,SABADO!O78)*SABADO!P78,IF(SABADO!C78="peso_corporal",IF(ISNUMBER(SABADO!E78),SABADO!E78,0)+SABADO!R78,SABADO!R78)*SABADO!S78),1),""))</f>
        <v/>
      </c>
      <c r="K190" s="51" t="str">
        <f>IF(P190="","",IFERROR(ROUND(CHOOSE(VALUE(RIGHT(P190,1)),(IF(SABADO!C78="peso_corporal",IF(ISNUMBER(SABADO!E78),SABADO!E78,0)+SABADO!F78,SABADO!F78))*(1+SABADO!G78/30),(IF(SABADO!C78="peso_corporal",IF(ISNUMBER(SABADO!E78),SABADO!E78,0)+SABADO!I78,SABADO!I78))*(1+SABADO!J78/30),(IF(SABADO!C78="peso_corporal",IF(ISNUMBER(SABADO!E78),SABADO!E78,0)+SABADO!L78,SABADO!L78))*(1+SABADO!M78/30),(IF(SABADO!C78="peso_corporal",IF(ISNUMBER(SABADO!E78),SABADO!E78,0)+SABADO!O78,SABADO!O78))*(1+SABADO!P78/30),(IF(SABADO!C78="peso_corporal",IF(ISNUMBER(SABADO!E78),SABADO!E78,0)+SABADO!R78,SABADO!R78))*(1+SABADO!S78/30)),1),""))</f>
        <v/>
      </c>
      <c r="L190" s="52">
        <f>IFERROR(SABADO!E78,"")</f>
        <v>80</v>
      </c>
      <c r="M190" s="53" t="str">
        <f>IFERROR(IF(K190="","-",IF(ISNUMBER(LOOKUP(2,1/((HISTORIAL!$O$3:$O$189=O190)*(HISTORIAL!$F$3:$F$189&lt;&gt;"")),HISTORIAL!$K$3:$K$189)),IF(K190&gt;LOOKUP(2,1/((HISTORIAL!$O$3:$O$189=O190)*(HISTORIAL!$F$3:$F$189&lt;&gt;"")),HISTORIAL!$K$3:$K$189),"^",IF(K190&lt;LOOKUP(2,1/((HISTORIAL!$O$3:$O$189=O190)*(HISTORIAL!$F$3:$F$189&lt;&gt;"")),HISTORIAL!$K$3:$K$189),"v","-")),"-")),"-")</f>
        <v>-</v>
      </c>
      <c r="N190" s="54" t="str">
        <f>IFERROR(VLOOKUP(A190,CONFIG!$A$10:$B$21,2,0),"")</f>
        <v>FUE</v>
      </c>
      <c r="O190" s="55" t="str">
        <f t="shared" si="5"/>
        <v>Hiperextension|Banco Romano</v>
      </c>
      <c r="P190" s="69" t="str">
        <f>SABADO!AC78</f>
        <v/>
      </c>
    </row>
    <row r="191" spans="1:16" ht="14.1" customHeight="1">
      <c r="A191" s="37">
        <v>3</v>
      </c>
      <c r="B191" s="37" t="s">
        <v>281</v>
      </c>
      <c r="C191" s="44" t="str">
        <f>SABADO!$A$80</f>
        <v>Crunch</v>
      </c>
      <c r="D191" s="45" t="str">
        <f>SABADO!$B$80</f>
        <v>Polea</v>
      </c>
      <c r="E191" s="37" t="str">
        <f>SABADO!$C$80</f>
        <v>polea</v>
      </c>
      <c r="F191" s="46" t="str">
        <f>IF(P191="","",IFERROR(CHOOSE(VALUE(RIGHT(P191,1)),SABADO!F80,SABADO!I80,SABADO!L80,SABADO!O80,SABADO!R80),""))</f>
        <v/>
      </c>
      <c r="G191" s="47" t="str">
        <f>IF(P191="","",IFERROR(CHOOSE(VALUE(RIGHT(P191,1)),SABADO!G80,SABADO!J80,SABADO!M80,SABADO!P80,SABADO!S80),""))</f>
        <v/>
      </c>
      <c r="H191" s="48" t="str">
        <f>IF(P191="","",IFERROR(CHOOSE(VALUE(RIGHT(P191,1)),SABADO!H80,SABADO!K80,SABADO!N80,SABADO!Q80,SABADO!T80),""))</f>
        <v/>
      </c>
      <c r="I191" s="49" t="str">
        <f t="shared" si="4"/>
        <v/>
      </c>
      <c r="J191" s="50" t="str">
        <f>IF(P191="","",IFERROR(ROUND(CHOOSE(VALUE(RIGHT(P191,1)),IF(SABADO!C80="peso_corporal",IF(ISNUMBER(SABADO!E80),SABADO!E80,0)+SABADO!F80,SABADO!F80)*SABADO!G80,IF(SABADO!C80="peso_corporal",IF(ISNUMBER(SABADO!E80),SABADO!E80,0)+SABADO!I80,SABADO!I80)*SABADO!J80,IF(SABADO!C80="peso_corporal",IF(ISNUMBER(SABADO!E80),SABADO!E80,0)+SABADO!L80,SABADO!L80)*SABADO!M80,IF(SABADO!C80="peso_corporal",IF(ISNUMBER(SABADO!E80),SABADO!E80,0)+SABADO!O80,SABADO!O80)*SABADO!P80,IF(SABADO!C80="peso_corporal",IF(ISNUMBER(SABADO!E80),SABADO!E80,0)+SABADO!R80,SABADO!R80)*SABADO!S80),1),""))</f>
        <v/>
      </c>
      <c r="K191" s="51" t="str">
        <f>IF(P191="","",IFERROR(ROUND(CHOOSE(VALUE(RIGHT(P191,1)),(IF(SABADO!C80="peso_corporal",IF(ISNUMBER(SABADO!E80),SABADO!E80,0)+SABADO!F80,SABADO!F80))*(1+SABADO!G80/30),(IF(SABADO!C80="peso_corporal",IF(ISNUMBER(SABADO!E80),SABADO!E80,0)+SABADO!I80,SABADO!I80))*(1+SABADO!J80/30),(IF(SABADO!C80="peso_corporal",IF(ISNUMBER(SABADO!E80),SABADO!E80,0)+SABADO!L80,SABADO!L80))*(1+SABADO!M80/30),(IF(SABADO!C80="peso_corporal",IF(ISNUMBER(SABADO!E80),SABADO!E80,0)+SABADO!O80,SABADO!O80))*(1+SABADO!P80/30),(IF(SABADO!C80="peso_corporal",IF(ISNUMBER(SABADO!E80),SABADO!E80,0)+SABADO!R80,SABADO!R80))*(1+SABADO!S80/30)),1),""))</f>
        <v/>
      </c>
      <c r="L191" s="52">
        <f>IFERROR(SABADO!E80,"")</f>
        <v>80</v>
      </c>
      <c r="M191" s="53" t="str">
        <f>IFERROR(IF(K191="","-",IF(ISNUMBER(LOOKUP(2,1/((HISTORIAL!$O$3:$O$190=O191)*(HISTORIAL!$F$3:$F$190&lt;&gt;"")),HISTORIAL!$K$3:$K$190)),IF(K191&gt;LOOKUP(2,1/((HISTORIAL!$O$3:$O$190=O191)*(HISTORIAL!$F$3:$F$190&lt;&gt;"")),HISTORIAL!$K$3:$K$190),"^",IF(K191&lt;LOOKUP(2,1/((HISTORIAL!$O$3:$O$190=O191)*(HISTORIAL!$F$3:$F$190&lt;&gt;"")),HISTORIAL!$K$3:$K$190),"v","-")),"-")),"-")</f>
        <v>-</v>
      </c>
      <c r="N191" s="54" t="str">
        <f>IFERROR(VLOOKUP(A191,CONFIG!$A$10:$B$21,2,0),"")</f>
        <v>FUE</v>
      </c>
      <c r="O191" s="55" t="str">
        <f t="shared" si="5"/>
        <v>Crunch|Polea</v>
      </c>
      <c r="P191" s="69" t="str">
        <f>SABADO!AC80</f>
        <v/>
      </c>
    </row>
    <row r="192" spans="1:16" ht="14.1" customHeight="1">
      <c r="A192" s="37">
        <v>4</v>
      </c>
      <c r="B192" s="37" t="s">
        <v>277</v>
      </c>
      <c r="C192" s="44" t="str">
        <f>LUNES!$A$79</f>
        <v>Press Plano</v>
      </c>
      <c r="D192" s="45" t="str">
        <f>LUNES!$B$79</f>
        <v>Barra</v>
      </c>
      <c r="E192" s="37" t="str">
        <f>LUNES!$C$79</f>
        <v>disco</v>
      </c>
      <c r="F192" s="46" t="str">
        <f>IF(P192="","",IFERROR(CHOOSE(VALUE(RIGHT(P192,1)),LUNES!F79,LUNES!I79,LUNES!L79,LUNES!O79,LUNES!R79),""))</f>
        <v/>
      </c>
      <c r="G192" s="47" t="str">
        <f>IF(P192="","",IFERROR(CHOOSE(VALUE(RIGHT(P192,1)),LUNES!G79,LUNES!J79,LUNES!M79,LUNES!P79,LUNES!S79),""))</f>
        <v/>
      </c>
      <c r="H192" s="48" t="str">
        <f>IF(P192="","",IFERROR(CHOOSE(VALUE(RIGHT(P192,1)),LUNES!H79,LUNES!K79,LUNES!N79,LUNES!Q79,LUNES!T79),""))</f>
        <v/>
      </c>
      <c r="I192" s="49" t="str">
        <f t="shared" si="4"/>
        <v/>
      </c>
      <c r="J192" s="50" t="str">
        <f>IF(P192="","",IFERROR(ROUND(CHOOSE(VALUE(RIGHT(P192,1)),IF(LUNES!C79="peso_corporal",IF(ISNUMBER(LUNES!E79),LUNES!E79,0)+LUNES!F79,LUNES!F79)*LUNES!G79,IF(LUNES!C79="peso_corporal",IF(ISNUMBER(LUNES!E79),LUNES!E79,0)+LUNES!I79,LUNES!I79)*LUNES!J79,IF(LUNES!C79="peso_corporal",IF(ISNUMBER(LUNES!E79),LUNES!E79,0)+LUNES!L79,LUNES!L79)*LUNES!M79,IF(LUNES!C79="peso_corporal",IF(ISNUMBER(LUNES!E79),LUNES!E79,0)+LUNES!O79,LUNES!O79)*LUNES!P79,IF(LUNES!C79="peso_corporal",IF(ISNUMBER(LUNES!E79),LUNES!E79,0)+LUNES!R79,LUNES!R79)*LUNES!S79),1),""))</f>
        <v/>
      </c>
      <c r="K192" s="51" t="str">
        <f>IF(P192="","",IFERROR(ROUND(CHOOSE(VALUE(RIGHT(P192,1)),(IF(LUNES!C79="peso_corporal",IF(ISNUMBER(LUNES!E79),LUNES!E79,0)+LUNES!F79,LUNES!F79))*(1+LUNES!G79/30),(IF(LUNES!C79="peso_corporal",IF(ISNUMBER(LUNES!E79),LUNES!E79,0)+LUNES!I79,LUNES!I79))*(1+LUNES!J79/30),(IF(LUNES!C79="peso_corporal",IF(ISNUMBER(LUNES!E79),LUNES!E79,0)+LUNES!L79,LUNES!L79))*(1+LUNES!M79/30),(IF(LUNES!C79="peso_corporal",IF(ISNUMBER(LUNES!E79),LUNES!E79,0)+LUNES!O79,LUNES!O79))*(1+LUNES!P79/30),(IF(LUNES!C79="peso_corporal",IF(ISNUMBER(LUNES!E79),LUNES!E79,0)+LUNES!R79,LUNES!R79))*(1+LUNES!S79/30)),1),""))</f>
        <v/>
      </c>
      <c r="L192" s="52">
        <f>IFERROR(LUNES!E79,"")</f>
        <v>80</v>
      </c>
      <c r="M192" s="53" t="str">
        <f>IFERROR(IF(K192="","-",IF(ISNUMBER(LOOKUP(2,1/((HISTORIAL!$O$3:$O$191=O192)*(HISTORIAL!$F$3:$F$191&lt;&gt;"")),HISTORIAL!$K$3:$K$191)),IF(K192&gt;LOOKUP(2,1/((HISTORIAL!$O$3:$O$191=O192)*(HISTORIAL!$F$3:$F$191&lt;&gt;"")),HISTORIAL!$K$3:$K$191),"^",IF(K192&lt;LOOKUP(2,1/((HISTORIAL!$O$3:$O$191=O192)*(HISTORIAL!$F$3:$F$191&lt;&gt;"")),HISTORIAL!$K$3:$K$191),"v","-")),"-")),"-")</f>
        <v>-</v>
      </c>
      <c r="N192" s="54" t="str">
        <f>IFERROR(VLOOKUP(A192,CONFIG!$A$10:$B$21,2,0),"")</f>
        <v>HIP</v>
      </c>
      <c r="O192" s="55" t="str">
        <f t="shared" si="5"/>
        <v>Press Plano|Barra</v>
      </c>
      <c r="P192" s="69" t="str">
        <f>LUNES!AC79</f>
        <v/>
      </c>
    </row>
    <row r="193" spans="1:16" ht="14.1" customHeight="1">
      <c r="A193" s="37">
        <v>4</v>
      </c>
      <c r="B193" s="37" t="s">
        <v>277</v>
      </c>
      <c r="C193" s="44" t="str">
        <f>LUNES!$A$81</f>
        <v>Press Inclinado</v>
      </c>
      <c r="D193" s="45" t="str">
        <f>LUNES!$B$81</f>
        <v>Mancuernas</v>
      </c>
      <c r="E193" s="37" t="str">
        <f>LUNES!$C$81</f>
        <v>mancuerna</v>
      </c>
      <c r="F193" s="46" t="str">
        <f>IF(P193="","",IFERROR(CHOOSE(VALUE(RIGHT(P193,1)),LUNES!F81,LUNES!I81,LUNES!L81,LUNES!O81,LUNES!R81),""))</f>
        <v/>
      </c>
      <c r="G193" s="47" t="str">
        <f>IF(P193="","",IFERROR(CHOOSE(VALUE(RIGHT(P193,1)),LUNES!G81,LUNES!J81,LUNES!M81,LUNES!P81,LUNES!S81),""))</f>
        <v/>
      </c>
      <c r="H193" s="48" t="str">
        <f>IF(P193="","",IFERROR(CHOOSE(VALUE(RIGHT(P193,1)),LUNES!H81,LUNES!K81,LUNES!N81,LUNES!Q81,LUNES!T81),""))</f>
        <v/>
      </c>
      <c r="I193" s="49" t="str">
        <f t="shared" si="4"/>
        <v/>
      </c>
      <c r="J193" s="50" t="str">
        <f>IF(P193="","",IFERROR(ROUND(CHOOSE(VALUE(RIGHT(P193,1)),IF(LUNES!C81="peso_corporal",IF(ISNUMBER(LUNES!E81),LUNES!E81,0)+LUNES!F81,LUNES!F81)*LUNES!G81,IF(LUNES!C81="peso_corporal",IF(ISNUMBER(LUNES!E81),LUNES!E81,0)+LUNES!I81,LUNES!I81)*LUNES!J81,IF(LUNES!C81="peso_corporal",IF(ISNUMBER(LUNES!E81),LUNES!E81,0)+LUNES!L81,LUNES!L81)*LUNES!M81,IF(LUNES!C81="peso_corporal",IF(ISNUMBER(LUNES!E81),LUNES!E81,0)+LUNES!O81,LUNES!O81)*LUNES!P81,IF(LUNES!C81="peso_corporal",IF(ISNUMBER(LUNES!E81),LUNES!E81,0)+LUNES!R81,LUNES!R81)*LUNES!S81),1),""))</f>
        <v/>
      </c>
      <c r="K193" s="51" t="str">
        <f>IF(P193="","",IFERROR(ROUND(CHOOSE(VALUE(RIGHT(P193,1)),(IF(LUNES!C81="peso_corporal",IF(ISNUMBER(LUNES!E81),LUNES!E81,0)+LUNES!F81,LUNES!F81))*(1+LUNES!G81/30),(IF(LUNES!C81="peso_corporal",IF(ISNUMBER(LUNES!E81),LUNES!E81,0)+LUNES!I81,LUNES!I81))*(1+LUNES!J81/30),(IF(LUNES!C81="peso_corporal",IF(ISNUMBER(LUNES!E81),LUNES!E81,0)+LUNES!L81,LUNES!L81))*(1+LUNES!M81/30),(IF(LUNES!C81="peso_corporal",IF(ISNUMBER(LUNES!E81),LUNES!E81,0)+LUNES!O81,LUNES!O81))*(1+LUNES!P81/30),(IF(LUNES!C81="peso_corporal",IF(ISNUMBER(LUNES!E81),LUNES!E81,0)+LUNES!R81,LUNES!R81))*(1+LUNES!S81/30)),1),""))</f>
        <v/>
      </c>
      <c r="L193" s="52">
        <f>IFERROR(LUNES!E81,"")</f>
        <v>80</v>
      </c>
      <c r="M193" s="53" t="str">
        <f>IFERROR(IF(K193="","-",IF(ISNUMBER(LOOKUP(2,1/((HISTORIAL!$O$3:$O$192=O193)*(HISTORIAL!$F$3:$F$192&lt;&gt;"")),HISTORIAL!$K$3:$K$192)),IF(K193&gt;LOOKUP(2,1/((HISTORIAL!$O$3:$O$192=O193)*(HISTORIAL!$F$3:$F$192&lt;&gt;"")),HISTORIAL!$K$3:$K$192),"^",IF(K193&lt;LOOKUP(2,1/((HISTORIAL!$O$3:$O$192=O193)*(HISTORIAL!$F$3:$F$192&lt;&gt;"")),HISTORIAL!$K$3:$K$192),"v","-")),"-")),"-")</f>
        <v>-</v>
      </c>
      <c r="N193" s="54" t="str">
        <f>IFERROR(VLOOKUP(A193,CONFIG!$A$10:$B$21,2,0),"")</f>
        <v>HIP</v>
      </c>
      <c r="O193" s="55" t="str">
        <f t="shared" si="5"/>
        <v>Press Inclinado|Mancuernas</v>
      </c>
      <c r="P193" s="69" t="str">
        <f>LUNES!AC81</f>
        <v/>
      </c>
    </row>
    <row r="194" spans="1:16" ht="14.1" customHeight="1">
      <c r="A194" s="37">
        <v>4</v>
      </c>
      <c r="B194" s="37" t="s">
        <v>277</v>
      </c>
      <c r="C194" s="44" t="str">
        <f>LUNES!$A$83</f>
        <v>Fondos</v>
      </c>
      <c r="D194" s="45" t="str">
        <f>LUNES!$B$83</f>
        <v>Paralelas</v>
      </c>
      <c r="E194" s="37" t="str">
        <f>LUNES!$C$83</f>
        <v>peso_corporal</v>
      </c>
      <c r="F194" s="46" t="str">
        <f>IF(P194="","",IFERROR(CHOOSE(VALUE(RIGHT(P194,1)),LUNES!F83,LUNES!I83,LUNES!L83,LUNES!O83,LUNES!R83),""))</f>
        <v/>
      </c>
      <c r="G194" s="47" t="str">
        <f>IF(P194="","",IFERROR(CHOOSE(VALUE(RIGHT(P194,1)),LUNES!G83,LUNES!J83,LUNES!M83,LUNES!P83,LUNES!S83),""))</f>
        <v/>
      </c>
      <c r="H194" s="48" t="str">
        <f>IF(P194="","",IFERROR(CHOOSE(VALUE(RIGHT(P194,1)),LUNES!H83,LUNES!K83,LUNES!N83,LUNES!Q83,LUNES!T83),""))</f>
        <v/>
      </c>
      <c r="I194" s="49" t="str">
        <f t="shared" si="4"/>
        <v/>
      </c>
      <c r="J194" s="50" t="str">
        <f>IF(P194="","",IFERROR(ROUND(CHOOSE(VALUE(RIGHT(P194,1)),IF(LUNES!C83="peso_corporal",IF(ISNUMBER(LUNES!E83),LUNES!E83,0)+LUNES!F83,LUNES!F83)*LUNES!G83,IF(LUNES!C83="peso_corporal",IF(ISNUMBER(LUNES!E83),LUNES!E83,0)+LUNES!I83,LUNES!I83)*LUNES!J83,IF(LUNES!C83="peso_corporal",IF(ISNUMBER(LUNES!E83),LUNES!E83,0)+LUNES!L83,LUNES!L83)*LUNES!M83,IF(LUNES!C83="peso_corporal",IF(ISNUMBER(LUNES!E83),LUNES!E83,0)+LUNES!O83,LUNES!O83)*LUNES!P83,IF(LUNES!C83="peso_corporal",IF(ISNUMBER(LUNES!E83),LUNES!E83,0)+LUNES!R83,LUNES!R83)*LUNES!S83),1),""))</f>
        <v/>
      </c>
      <c r="K194" s="51" t="str">
        <f>IF(P194="","",IFERROR(ROUND(CHOOSE(VALUE(RIGHT(P194,1)),(IF(LUNES!C83="peso_corporal",IF(ISNUMBER(LUNES!E83),LUNES!E83,0)+LUNES!F83,LUNES!F83))*(1+LUNES!G83/30),(IF(LUNES!C83="peso_corporal",IF(ISNUMBER(LUNES!E83),LUNES!E83,0)+LUNES!I83,LUNES!I83))*(1+LUNES!J83/30),(IF(LUNES!C83="peso_corporal",IF(ISNUMBER(LUNES!E83),LUNES!E83,0)+LUNES!L83,LUNES!L83))*(1+LUNES!M83/30),(IF(LUNES!C83="peso_corporal",IF(ISNUMBER(LUNES!E83),LUNES!E83,0)+LUNES!O83,LUNES!O83))*(1+LUNES!P83/30),(IF(LUNES!C83="peso_corporal",IF(ISNUMBER(LUNES!E83),LUNES!E83,0)+LUNES!R83,LUNES!R83))*(1+LUNES!S83/30)),1),""))</f>
        <v/>
      </c>
      <c r="L194" s="52">
        <f>IFERROR(LUNES!E83,"")</f>
        <v>80</v>
      </c>
      <c r="M194" s="53" t="str">
        <f>IFERROR(IF(K194="","-",IF(ISNUMBER(LOOKUP(2,1/((HISTORIAL!$O$3:$O$193=O194)*(HISTORIAL!$F$3:$F$193&lt;&gt;"")),HISTORIAL!$K$3:$K$193)),IF(K194&gt;LOOKUP(2,1/((HISTORIAL!$O$3:$O$193=O194)*(HISTORIAL!$F$3:$F$193&lt;&gt;"")),HISTORIAL!$K$3:$K$193),"^",IF(K194&lt;LOOKUP(2,1/((HISTORIAL!$O$3:$O$193=O194)*(HISTORIAL!$F$3:$F$193&lt;&gt;"")),HISTORIAL!$K$3:$K$193),"v","-")),"-")),"-")</f>
        <v>-</v>
      </c>
      <c r="N194" s="54" t="str">
        <f>IFERROR(VLOOKUP(A194,CONFIG!$A$10:$B$21,2,0),"")</f>
        <v>HIP</v>
      </c>
      <c r="O194" s="55" t="str">
        <f t="shared" si="5"/>
        <v>Fondos|Paralelas</v>
      </c>
      <c r="P194" s="69" t="str">
        <f>LUNES!AC83</f>
        <v/>
      </c>
    </row>
    <row r="195" spans="1:16" ht="14.1" customHeight="1">
      <c r="A195" s="37">
        <v>4</v>
      </c>
      <c r="B195" s="37" t="s">
        <v>277</v>
      </c>
      <c r="C195" s="44" t="str">
        <f>LUNES!$A$84</f>
        <v>Aperturas</v>
      </c>
      <c r="D195" s="45" t="str">
        <f>LUNES!$B$84</f>
        <v>Polea Baja Crossover</v>
      </c>
      <c r="E195" s="37" t="str">
        <f>LUNES!$C$84</f>
        <v>--</v>
      </c>
      <c r="F195" s="46" t="str">
        <f>IF(P195="","",IFERROR(CHOOSE(VALUE(RIGHT(P195,1)),LUNES!F84,LUNES!I84,LUNES!L84,LUNES!O84,LUNES!R84),""))</f>
        <v/>
      </c>
      <c r="G195" s="47" t="str">
        <f>IF(P195="","",IFERROR(CHOOSE(VALUE(RIGHT(P195,1)),LUNES!G84,LUNES!J84,LUNES!M84,LUNES!P84,LUNES!S84),""))</f>
        <v/>
      </c>
      <c r="H195" s="48" t="str">
        <f>IF(P195="","",IFERROR(CHOOSE(VALUE(RIGHT(P195,1)),LUNES!H84,LUNES!K84,LUNES!N84,LUNES!Q84,LUNES!T84),""))</f>
        <v/>
      </c>
      <c r="I195" s="49" t="str">
        <f t="shared" ref="I195:I258" si="6">IF(P195="","",LEFT(P195,1))</f>
        <v/>
      </c>
      <c r="J195" s="50" t="str">
        <f>IF(P195="","",IFERROR(ROUND(CHOOSE(VALUE(RIGHT(P195,1)),IF(LUNES!C84="peso_corporal",IF(ISNUMBER(LUNES!E84),LUNES!E84,0)+LUNES!F84,LUNES!F84)*LUNES!G84,IF(LUNES!C84="peso_corporal",IF(ISNUMBER(LUNES!E84),LUNES!E84,0)+LUNES!I84,LUNES!I84)*LUNES!J84,IF(LUNES!C84="peso_corporal",IF(ISNUMBER(LUNES!E84),LUNES!E84,0)+LUNES!L84,LUNES!L84)*LUNES!M84,IF(LUNES!C84="peso_corporal",IF(ISNUMBER(LUNES!E84),LUNES!E84,0)+LUNES!O84,LUNES!O84)*LUNES!P84,IF(LUNES!C84="peso_corporal",IF(ISNUMBER(LUNES!E84),LUNES!E84,0)+LUNES!R84,LUNES!R84)*LUNES!S84),1),""))</f>
        <v/>
      </c>
      <c r="K195" s="51" t="str">
        <f>IF(P195="","",IFERROR(ROUND(CHOOSE(VALUE(RIGHT(P195,1)),(IF(LUNES!C84="peso_corporal",IF(ISNUMBER(LUNES!E84),LUNES!E84,0)+LUNES!F84,LUNES!F84))*(1+LUNES!G84/30),(IF(LUNES!C84="peso_corporal",IF(ISNUMBER(LUNES!E84),LUNES!E84,0)+LUNES!I84,LUNES!I84))*(1+LUNES!J84/30),(IF(LUNES!C84="peso_corporal",IF(ISNUMBER(LUNES!E84),LUNES!E84,0)+LUNES!L84,LUNES!L84))*(1+LUNES!M84/30),(IF(LUNES!C84="peso_corporal",IF(ISNUMBER(LUNES!E84),LUNES!E84,0)+LUNES!O84,LUNES!O84))*(1+LUNES!P84/30),(IF(LUNES!C84="peso_corporal",IF(ISNUMBER(LUNES!E84),LUNES!E84,0)+LUNES!R84,LUNES!R84))*(1+LUNES!S84/30)),1),""))</f>
        <v/>
      </c>
      <c r="L195" s="52">
        <f>IFERROR(LUNES!E84,"")</f>
        <v>80</v>
      </c>
      <c r="M195" s="53" t="str">
        <f>IFERROR(IF(K195="","-",IF(ISNUMBER(LOOKUP(2,1/((HISTORIAL!$O$3:$O$194=O195)*(HISTORIAL!$F$3:$F$194&lt;&gt;"")),HISTORIAL!$K$3:$K$194)),IF(K195&gt;LOOKUP(2,1/((HISTORIAL!$O$3:$O$194=O195)*(HISTORIAL!$F$3:$F$194&lt;&gt;"")),HISTORIAL!$K$3:$K$194),"^",IF(K195&lt;LOOKUP(2,1/((HISTORIAL!$O$3:$O$194=O195)*(HISTORIAL!$F$3:$F$194&lt;&gt;"")),HISTORIAL!$K$3:$K$194),"v","-")),"-")),"-")</f>
        <v>-</v>
      </c>
      <c r="N195" s="54" t="str">
        <f>IFERROR(VLOOKUP(A195,CONFIG!$A$10:$B$21,2,0),"")</f>
        <v>HIP</v>
      </c>
      <c r="O195" s="55" t="str">
        <f t="shared" ref="O195:O258" si="7">C195&amp;"|"&amp;D195</f>
        <v>Aperturas|Polea Baja Crossover</v>
      </c>
      <c r="P195" s="69" t="str">
        <f>LUNES!AC84</f>
        <v/>
      </c>
    </row>
    <row r="196" spans="1:16" ht="14.1" customHeight="1">
      <c r="A196" s="37">
        <v>4</v>
      </c>
      <c r="B196" s="37" t="s">
        <v>277</v>
      </c>
      <c r="C196" s="44" t="str">
        <f>LUNES!$A$85</f>
        <v>Aperturas</v>
      </c>
      <c r="D196" s="45" t="str">
        <f>LUNES!$B$85</f>
        <v>Pec Deck Maquina</v>
      </c>
      <c r="E196" s="37" t="str">
        <f>LUNES!$C$85</f>
        <v>--</v>
      </c>
      <c r="F196" s="46" t="str">
        <f>IF(P196="","",IFERROR(CHOOSE(VALUE(RIGHT(P196,1)),LUNES!F85,LUNES!I85,LUNES!L85,LUNES!O85,LUNES!R85),""))</f>
        <v/>
      </c>
      <c r="G196" s="47" t="str">
        <f>IF(P196="","",IFERROR(CHOOSE(VALUE(RIGHT(P196,1)),LUNES!G85,LUNES!J85,LUNES!M85,LUNES!P85,LUNES!S85),""))</f>
        <v/>
      </c>
      <c r="H196" s="48" t="str">
        <f>IF(P196="","",IFERROR(CHOOSE(VALUE(RIGHT(P196,1)),LUNES!H85,LUNES!K85,LUNES!N85,LUNES!Q85,LUNES!T85),""))</f>
        <v/>
      </c>
      <c r="I196" s="49" t="str">
        <f t="shared" si="6"/>
        <v/>
      </c>
      <c r="J196" s="50" t="str">
        <f>IF(P196="","",IFERROR(ROUND(CHOOSE(VALUE(RIGHT(P196,1)),IF(LUNES!C85="peso_corporal",IF(ISNUMBER(LUNES!E85),LUNES!E85,0)+LUNES!F85,LUNES!F85)*LUNES!G85,IF(LUNES!C85="peso_corporal",IF(ISNUMBER(LUNES!E85),LUNES!E85,0)+LUNES!I85,LUNES!I85)*LUNES!J85,IF(LUNES!C85="peso_corporal",IF(ISNUMBER(LUNES!E85),LUNES!E85,0)+LUNES!L85,LUNES!L85)*LUNES!M85,IF(LUNES!C85="peso_corporal",IF(ISNUMBER(LUNES!E85),LUNES!E85,0)+LUNES!O85,LUNES!O85)*LUNES!P85,IF(LUNES!C85="peso_corporal",IF(ISNUMBER(LUNES!E85),LUNES!E85,0)+LUNES!R85,LUNES!R85)*LUNES!S85),1),""))</f>
        <v/>
      </c>
      <c r="K196" s="51" t="str">
        <f>IF(P196="","",IFERROR(ROUND(CHOOSE(VALUE(RIGHT(P196,1)),(IF(LUNES!C85="peso_corporal",IF(ISNUMBER(LUNES!E85),LUNES!E85,0)+LUNES!F85,LUNES!F85))*(1+LUNES!G85/30),(IF(LUNES!C85="peso_corporal",IF(ISNUMBER(LUNES!E85),LUNES!E85,0)+LUNES!I85,LUNES!I85))*(1+LUNES!J85/30),(IF(LUNES!C85="peso_corporal",IF(ISNUMBER(LUNES!E85),LUNES!E85,0)+LUNES!L85,LUNES!L85))*(1+LUNES!M85/30),(IF(LUNES!C85="peso_corporal",IF(ISNUMBER(LUNES!E85),LUNES!E85,0)+LUNES!O85,LUNES!O85))*(1+LUNES!P85/30),(IF(LUNES!C85="peso_corporal",IF(ISNUMBER(LUNES!E85),LUNES!E85,0)+LUNES!R85,LUNES!R85))*(1+LUNES!S85/30)),1),""))</f>
        <v/>
      </c>
      <c r="L196" s="52">
        <f>IFERROR(LUNES!E85,"")</f>
        <v>80</v>
      </c>
      <c r="M196" s="53" t="str">
        <f>IFERROR(IF(K196="","-",IF(ISNUMBER(LOOKUP(2,1/((HISTORIAL!$O$3:$O$195=O196)*(HISTORIAL!$F$3:$F$195&lt;&gt;"")),HISTORIAL!$K$3:$K$195)),IF(K196&gt;LOOKUP(2,1/((HISTORIAL!$O$3:$O$195=O196)*(HISTORIAL!$F$3:$F$195&lt;&gt;"")),HISTORIAL!$K$3:$K$195),"^",IF(K196&lt;LOOKUP(2,1/((HISTORIAL!$O$3:$O$195=O196)*(HISTORIAL!$F$3:$F$195&lt;&gt;"")),HISTORIAL!$K$3:$K$195),"v","-")),"-")),"-")</f>
        <v>-</v>
      </c>
      <c r="N196" s="54" t="str">
        <f>IFERROR(VLOOKUP(A196,CONFIG!$A$10:$B$21,2,0),"")</f>
        <v>HIP</v>
      </c>
      <c r="O196" s="55" t="str">
        <f t="shared" si="7"/>
        <v>Aperturas|Pec Deck Maquina</v>
      </c>
      <c r="P196" s="69" t="str">
        <f>LUNES!AC85</f>
        <v/>
      </c>
    </row>
    <row r="197" spans="1:16" ht="14.1" customHeight="1">
      <c r="A197" s="37">
        <v>4</v>
      </c>
      <c r="B197" s="37" t="s">
        <v>277</v>
      </c>
      <c r="C197" s="44" t="str">
        <f>LUNES!$A$87</f>
        <v>Elevaciones Laterales</v>
      </c>
      <c r="D197" s="45" t="str">
        <f>LUNES!$B$87</f>
        <v>Cable Polea Individual</v>
      </c>
      <c r="E197" s="37" t="str">
        <f>LUNES!$C$87</f>
        <v>polea</v>
      </c>
      <c r="F197" s="46" t="str">
        <f>IF(P197="","",IFERROR(CHOOSE(VALUE(RIGHT(P197,1)),LUNES!F87,LUNES!I87,LUNES!L87,LUNES!O87,LUNES!R87),""))</f>
        <v/>
      </c>
      <c r="G197" s="47" t="str">
        <f>IF(P197="","",IFERROR(CHOOSE(VALUE(RIGHT(P197,1)),LUNES!G87,LUNES!J87,LUNES!M87,LUNES!P87,LUNES!S87),""))</f>
        <v/>
      </c>
      <c r="H197" s="48" t="str">
        <f>IF(P197="","",IFERROR(CHOOSE(VALUE(RIGHT(P197,1)),LUNES!H87,LUNES!K87,LUNES!N87,LUNES!Q87,LUNES!T87),""))</f>
        <v/>
      </c>
      <c r="I197" s="49" t="str">
        <f t="shared" si="6"/>
        <v/>
      </c>
      <c r="J197" s="50" t="str">
        <f>IF(P197="","",IFERROR(ROUND(CHOOSE(VALUE(RIGHT(P197,1)),IF(LUNES!C87="peso_corporal",IF(ISNUMBER(LUNES!E87),LUNES!E87,0)+LUNES!F87,LUNES!F87)*LUNES!G87,IF(LUNES!C87="peso_corporal",IF(ISNUMBER(LUNES!E87),LUNES!E87,0)+LUNES!I87,LUNES!I87)*LUNES!J87,IF(LUNES!C87="peso_corporal",IF(ISNUMBER(LUNES!E87),LUNES!E87,0)+LUNES!L87,LUNES!L87)*LUNES!M87,IF(LUNES!C87="peso_corporal",IF(ISNUMBER(LUNES!E87),LUNES!E87,0)+LUNES!O87,LUNES!O87)*LUNES!P87,IF(LUNES!C87="peso_corporal",IF(ISNUMBER(LUNES!E87),LUNES!E87,0)+LUNES!R87,LUNES!R87)*LUNES!S87),1),""))</f>
        <v/>
      </c>
      <c r="K197" s="51" t="str">
        <f>IF(P197="","",IFERROR(ROUND(CHOOSE(VALUE(RIGHT(P197,1)),(IF(LUNES!C87="peso_corporal",IF(ISNUMBER(LUNES!E87),LUNES!E87,0)+LUNES!F87,LUNES!F87))*(1+LUNES!G87/30),(IF(LUNES!C87="peso_corporal",IF(ISNUMBER(LUNES!E87),LUNES!E87,0)+LUNES!I87,LUNES!I87))*(1+LUNES!J87/30),(IF(LUNES!C87="peso_corporal",IF(ISNUMBER(LUNES!E87),LUNES!E87,0)+LUNES!L87,LUNES!L87))*(1+LUNES!M87/30),(IF(LUNES!C87="peso_corporal",IF(ISNUMBER(LUNES!E87),LUNES!E87,0)+LUNES!O87,LUNES!O87))*(1+LUNES!P87/30),(IF(LUNES!C87="peso_corporal",IF(ISNUMBER(LUNES!E87),LUNES!E87,0)+LUNES!R87,LUNES!R87))*(1+LUNES!S87/30)),1),""))</f>
        <v/>
      </c>
      <c r="L197" s="52">
        <f>IFERROR(LUNES!E87,"")</f>
        <v>80</v>
      </c>
      <c r="M197" s="53" t="str">
        <f>IFERROR(IF(K197="","-",IF(ISNUMBER(LOOKUP(2,1/((HISTORIAL!$O$3:$O$196=O197)*(HISTORIAL!$F$3:$F$196&lt;&gt;"")),HISTORIAL!$K$3:$K$196)),IF(K197&gt;LOOKUP(2,1/((HISTORIAL!$O$3:$O$196=O197)*(HISTORIAL!$F$3:$F$196&lt;&gt;"")),HISTORIAL!$K$3:$K$196),"^",IF(K197&lt;LOOKUP(2,1/((HISTORIAL!$O$3:$O$196=O197)*(HISTORIAL!$F$3:$F$196&lt;&gt;"")),HISTORIAL!$K$3:$K$196),"v","-")),"-")),"-")</f>
        <v>-</v>
      </c>
      <c r="N197" s="54" t="str">
        <f>IFERROR(VLOOKUP(A197,CONFIG!$A$10:$B$21,2,0),"")</f>
        <v>HIP</v>
      </c>
      <c r="O197" s="55" t="str">
        <f t="shared" si="7"/>
        <v>Elevaciones Laterales|Cable Polea Individual</v>
      </c>
      <c r="P197" s="69" t="str">
        <f>LUNES!AC87</f>
        <v/>
      </c>
    </row>
    <row r="198" spans="1:16" ht="14.1" customHeight="1">
      <c r="A198" s="37">
        <v>4</v>
      </c>
      <c r="B198" s="37" t="s">
        <v>277</v>
      </c>
      <c r="C198" s="44" t="str">
        <f>LUNES!$A$88</f>
        <v>Press Militar</v>
      </c>
      <c r="D198" s="45" t="str">
        <f>LUNES!$B$88</f>
        <v>Mancuernas Sentado</v>
      </c>
      <c r="E198" s="37" t="str">
        <f>LUNES!$C$88</f>
        <v>mancuerna</v>
      </c>
      <c r="F198" s="46" t="str">
        <f>IF(P198="","",IFERROR(CHOOSE(VALUE(RIGHT(P198,1)),LUNES!F88,LUNES!I88,LUNES!L88,LUNES!O88,LUNES!R88),""))</f>
        <v/>
      </c>
      <c r="G198" s="47" t="str">
        <f>IF(P198="","",IFERROR(CHOOSE(VALUE(RIGHT(P198,1)),LUNES!G88,LUNES!J88,LUNES!M88,LUNES!P88,LUNES!S88),""))</f>
        <v/>
      </c>
      <c r="H198" s="48" t="str">
        <f>IF(P198="","",IFERROR(CHOOSE(VALUE(RIGHT(P198,1)),LUNES!H88,LUNES!K88,LUNES!N88,LUNES!Q88,LUNES!T88),""))</f>
        <v/>
      </c>
      <c r="I198" s="49" t="str">
        <f t="shared" si="6"/>
        <v/>
      </c>
      <c r="J198" s="50" t="str">
        <f>IF(P198="","",IFERROR(ROUND(CHOOSE(VALUE(RIGHT(P198,1)),IF(LUNES!C88="peso_corporal",IF(ISNUMBER(LUNES!E88),LUNES!E88,0)+LUNES!F88,LUNES!F88)*LUNES!G88,IF(LUNES!C88="peso_corporal",IF(ISNUMBER(LUNES!E88),LUNES!E88,0)+LUNES!I88,LUNES!I88)*LUNES!J88,IF(LUNES!C88="peso_corporal",IF(ISNUMBER(LUNES!E88),LUNES!E88,0)+LUNES!L88,LUNES!L88)*LUNES!M88,IF(LUNES!C88="peso_corporal",IF(ISNUMBER(LUNES!E88),LUNES!E88,0)+LUNES!O88,LUNES!O88)*LUNES!P88,IF(LUNES!C88="peso_corporal",IF(ISNUMBER(LUNES!E88),LUNES!E88,0)+LUNES!R88,LUNES!R88)*LUNES!S88),1),""))</f>
        <v/>
      </c>
      <c r="K198" s="51" t="str">
        <f>IF(P198="","",IFERROR(ROUND(CHOOSE(VALUE(RIGHT(P198,1)),(IF(LUNES!C88="peso_corporal",IF(ISNUMBER(LUNES!E88),LUNES!E88,0)+LUNES!F88,LUNES!F88))*(1+LUNES!G88/30),(IF(LUNES!C88="peso_corporal",IF(ISNUMBER(LUNES!E88),LUNES!E88,0)+LUNES!I88,LUNES!I88))*(1+LUNES!J88/30),(IF(LUNES!C88="peso_corporal",IF(ISNUMBER(LUNES!E88),LUNES!E88,0)+LUNES!L88,LUNES!L88))*(1+LUNES!M88/30),(IF(LUNES!C88="peso_corporal",IF(ISNUMBER(LUNES!E88),LUNES!E88,0)+LUNES!O88,LUNES!O88))*(1+LUNES!P88/30),(IF(LUNES!C88="peso_corporal",IF(ISNUMBER(LUNES!E88),LUNES!E88,0)+LUNES!R88,LUNES!R88))*(1+LUNES!S88/30)),1),""))</f>
        <v/>
      </c>
      <c r="L198" s="52">
        <f>IFERROR(LUNES!E88,"")</f>
        <v>80</v>
      </c>
      <c r="M198" s="53" t="str">
        <f>IFERROR(IF(K198="","-",IF(ISNUMBER(LOOKUP(2,1/((HISTORIAL!$O$3:$O$197=O198)*(HISTORIAL!$F$3:$F$197&lt;&gt;"")),HISTORIAL!$K$3:$K$197)),IF(K198&gt;LOOKUP(2,1/((HISTORIAL!$O$3:$O$197=O198)*(HISTORIAL!$F$3:$F$197&lt;&gt;"")),HISTORIAL!$K$3:$K$197),"^",IF(K198&lt;LOOKUP(2,1/((HISTORIAL!$O$3:$O$197=O198)*(HISTORIAL!$F$3:$F$197&lt;&gt;"")),HISTORIAL!$K$3:$K$197),"v","-")),"-")),"-")</f>
        <v>-</v>
      </c>
      <c r="N198" s="54" t="str">
        <f>IFERROR(VLOOKUP(A198,CONFIG!$A$10:$B$21,2,0),"")</f>
        <v>HIP</v>
      </c>
      <c r="O198" s="55" t="str">
        <f t="shared" si="7"/>
        <v>Press Militar|Mancuernas Sentado</v>
      </c>
      <c r="P198" s="69" t="str">
        <f>LUNES!AC88</f>
        <v/>
      </c>
    </row>
    <row r="199" spans="1:16" ht="14.1" customHeight="1">
      <c r="A199" s="37">
        <v>4</v>
      </c>
      <c r="B199" s="37" t="s">
        <v>277</v>
      </c>
      <c r="C199" s="44" t="str">
        <f>LUNES!$A$90</f>
        <v>Extension Triceps</v>
      </c>
      <c r="D199" s="45" t="str">
        <f>LUNES!$B$90</f>
        <v>Press Neutro Polea Individual</v>
      </c>
      <c r="E199" s="37" t="str">
        <f>LUNES!$C$90</f>
        <v>--</v>
      </c>
      <c r="F199" s="46" t="str">
        <f>IF(P199="","",IFERROR(CHOOSE(VALUE(RIGHT(P199,1)),LUNES!F90,LUNES!I90,LUNES!L90,LUNES!O90,LUNES!R90),""))</f>
        <v/>
      </c>
      <c r="G199" s="47" t="str">
        <f>IF(P199="","",IFERROR(CHOOSE(VALUE(RIGHT(P199,1)),LUNES!G90,LUNES!J90,LUNES!M90,LUNES!P90,LUNES!S90),""))</f>
        <v/>
      </c>
      <c r="H199" s="48" t="str">
        <f>IF(P199="","",IFERROR(CHOOSE(VALUE(RIGHT(P199,1)),LUNES!H90,LUNES!K90,LUNES!N90,LUNES!Q90,LUNES!T90),""))</f>
        <v/>
      </c>
      <c r="I199" s="49" t="str">
        <f t="shared" si="6"/>
        <v/>
      </c>
      <c r="J199" s="50" t="str">
        <f>IF(P199="","",IFERROR(ROUND(CHOOSE(VALUE(RIGHT(P199,1)),IF(LUNES!C90="peso_corporal",IF(ISNUMBER(LUNES!E90),LUNES!E90,0)+LUNES!F90,LUNES!F90)*LUNES!G90,IF(LUNES!C90="peso_corporal",IF(ISNUMBER(LUNES!E90),LUNES!E90,0)+LUNES!I90,LUNES!I90)*LUNES!J90,IF(LUNES!C90="peso_corporal",IF(ISNUMBER(LUNES!E90),LUNES!E90,0)+LUNES!L90,LUNES!L90)*LUNES!M90,IF(LUNES!C90="peso_corporal",IF(ISNUMBER(LUNES!E90),LUNES!E90,0)+LUNES!O90,LUNES!O90)*LUNES!P90,IF(LUNES!C90="peso_corporal",IF(ISNUMBER(LUNES!E90),LUNES!E90,0)+LUNES!R90,LUNES!R90)*LUNES!S90),1),""))</f>
        <v/>
      </c>
      <c r="K199" s="51" t="str">
        <f>IF(P199="","",IFERROR(ROUND(CHOOSE(VALUE(RIGHT(P199,1)),(IF(LUNES!C90="peso_corporal",IF(ISNUMBER(LUNES!E90),LUNES!E90,0)+LUNES!F90,LUNES!F90))*(1+LUNES!G90/30),(IF(LUNES!C90="peso_corporal",IF(ISNUMBER(LUNES!E90),LUNES!E90,0)+LUNES!I90,LUNES!I90))*(1+LUNES!J90/30),(IF(LUNES!C90="peso_corporal",IF(ISNUMBER(LUNES!E90),LUNES!E90,0)+LUNES!L90,LUNES!L90))*(1+LUNES!M90/30),(IF(LUNES!C90="peso_corporal",IF(ISNUMBER(LUNES!E90),LUNES!E90,0)+LUNES!O90,LUNES!O90))*(1+LUNES!P90/30),(IF(LUNES!C90="peso_corporal",IF(ISNUMBER(LUNES!E90),LUNES!E90,0)+LUNES!R90,LUNES!R90))*(1+LUNES!S90/30)),1),""))</f>
        <v/>
      </c>
      <c r="L199" s="52">
        <f>IFERROR(LUNES!E90,"")</f>
        <v>80</v>
      </c>
      <c r="M199" s="53" t="str">
        <f>IFERROR(IF(K199="","-",IF(ISNUMBER(LOOKUP(2,1/((HISTORIAL!$O$3:$O$198=O199)*(HISTORIAL!$F$3:$F$198&lt;&gt;"")),HISTORIAL!$K$3:$K$198)),IF(K199&gt;LOOKUP(2,1/((HISTORIAL!$O$3:$O$198=O199)*(HISTORIAL!$F$3:$F$198&lt;&gt;"")),HISTORIAL!$K$3:$K$198),"^",IF(K199&lt;LOOKUP(2,1/((HISTORIAL!$O$3:$O$198=O199)*(HISTORIAL!$F$3:$F$198&lt;&gt;"")),HISTORIAL!$K$3:$K$198),"v","-")),"-")),"-")</f>
        <v>-</v>
      </c>
      <c r="N199" s="54" t="str">
        <f>IFERROR(VLOOKUP(A199,CONFIG!$A$10:$B$21,2,0),"")</f>
        <v>HIP</v>
      </c>
      <c r="O199" s="55" t="str">
        <f t="shared" si="7"/>
        <v>Extension Triceps|Press Neutro Polea Individual</v>
      </c>
      <c r="P199" s="69" t="str">
        <f>LUNES!AC90</f>
        <v/>
      </c>
    </row>
    <row r="200" spans="1:16" ht="14.1" customHeight="1">
      <c r="A200" s="37">
        <v>4</v>
      </c>
      <c r="B200" s="37" t="s">
        <v>277</v>
      </c>
      <c r="C200" s="44" t="str">
        <f>LUNES!$A$92</f>
        <v>Extension Cuadriceps</v>
      </c>
      <c r="D200" s="45" t="str">
        <f>LUNES!$B$92</f>
        <v>Vasto Externo</v>
      </c>
      <c r="E200" s="37" t="str">
        <f>LUNES!$C$92</f>
        <v>--</v>
      </c>
      <c r="F200" s="46" t="str">
        <f>IF(P200="","",IFERROR(CHOOSE(VALUE(RIGHT(P200,1)),LUNES!F92,LUNES!I92,LUNES!L92,LUNES!O92,LUNES!R92),""))</f>
        <v/>
      </c>
      <c r="G200" s="47" t="str">
        <f>IF(P200="","",IFERROR(CHOOSE(VALUE(RIGHT(P200,1)),LUNES!G92,LUNES!J92,LUNES!M92,LUNES!P92,LUNES!S92),""))</f>
        <v/>
      </c>
      <c r="H200" s="48" t="str">
        <f>IF(P200="","",IFERROR(CHOOSE(VALUE(RIGHT(P200,1)),LUNES!H92,LUNES!K92,LUNES!N92,LUNES!Q92,LUNES!T92),""))</f>
        <v/>
      </c>
      <c r="I200" s="49" t="str">
        <f t="shared" si="6"/>
        <v/>
      </c>
      <c r="J200" s="50" t="str">
        <f>IF(P200="","",IFERROR(ROUND(CHOOSE(VALUE(RIGHT(P200,1)),IF(LUNES!C92="peso_corporal",IF(ISNUMBER(LUNES!E92),LUNES!E92,0)+LUNES!F92,LUNES!F92)*LUNES!G92,IF(LUNES!C92="peso_corporal",IF(ISNUMBER(LUNES!E92),LUNES!E92,0)+LUNES!I92,LUNES!I92)*LUNES!J92,IF(LUNES!C92="peso_corporal",IF(ISNUMBER(LUNES!E92),LUNES!E92,0)+LUNES!L92,LUNES!L92)*LUNES!M92,IF(LUNES!C92="peso_corporal",IF(ISNUMBER(LUNES!E92),LUNES!E92,0)+LUNES!O92,LUNES!O92)*LUNES!P92,IF(LUNES!C92="peso_corporal",IF(ISNUMBER(LUNES!E92),LUNES!E92,0)+LUNES!R92,LUNES!R92)*LUNES!S92),1),""))</f>
        <v/>
      </c>
      <c r="K200" s="51" t="str">
        <f>IF(P200="","",IFERROR(ROUND(CHOOSE(VALUE(RIGHT(P200,1)),(IF(LUNES!C92="peso_corporal",IF(ISNUMBER(LUNES!E92),LUNES!E92,0)+LUNES!F92,LUNES!F92))*(1+LUNES!G92/30),(IF(LUNES!C92="peso_corporal",IF(ISNUMBER(LUNES!E92),LUNES!E92,0)+LUNES!I92,LUNES!I92))*(1+LUNES!J92/30),(IF(LUNES!C92="peso_corporal",IF(ISNUMBER(LUNES!E92),LUNES!E92,0)+LUNES!L92,LUNES!L92))*(1+LUNES!M92/30),(IF(LUNES!C92="peso_corporal",IF(ISNUMBER(LUNES!E92),LUNES!E92,0)+LUNES!O92,LUNES!O92))*(1+LUNES!P92/30),(IF(LUNES!C92="peso_corporal",IF(ISNUMBER(LUNES!E92),LUNES!E92,0)+LUNES!R92,LUNES!R92))*(1+LUNES!S92/30)),1),""))</f>
        <v/>
      </c>
      <c r="L200" s="52">
        <f>IFERROR(LUNES!E92,"")</f>
        <v>80</v>
      </c>
      <c r="M200" s="53" t="str">
        <f>IFERROR(IF(K200="","-",IF(ISNUMBER(LOOKUP(2,1/((HISTORIAL!$O$3:$O$199=O200)*(HISTORIAL!$F$3:$F$199&lt;&gt;"")),HISTORIAL!$K$3:$K$199)),IF(K200&gt;LOOKUP(2,1/((HISTORIAL!$O$3:$O$199=O200)*(HISTORIAL!$F$3:$F$199&lt;&gt;"")),HISTORIAL!$K$3:$K$199),"^",IF(K200&lt;LOOKUP(2,1/((HISTORIAL!$O$3:$O$199=O200)*(HISTORIAL!$F$3:$F$199&lt;&gt;"")),HISTORIAL!$K$3:$K$199),"v","-")),"-")),"-")</f>
        <v>-</v>
      </c>
      <c r="N200" s="54" t="str">
        <f>IFERROR(VLOOKUP(A200,CONFIG!$A$10:$B$21,2,0),"")</f>
        <v>HIP</v>
      </c>
      <c r="O200" s="55" t="str">
        <f t="shared" si="7"/>
        <v>Extension Cuadriceps|Vasto Externo</v>
      </c>
      <c r="P200" s="69" t="str">
        <f>LUNES!AC92</f>
        <v/>
      </c>
    </row>
    <row r="201" spans="1:16" ht="14.1" customHeight="1">
      <c r="A201" s="37">
        <v>4</v>
      </c>
      <c r="B201" s="37" t="s">
        <v>277</v>
      </c>
      <c r="C201" s="44" t="str">
        <f>LUNES!$A$94</f>
        <v>Curl Biceps</v>
      </c>
      <c r="D201" s="45" t="str">
        <f>LUNES!$B$94</f>
        <v>Inclinado Banco Mancuernas</v>
      </c>
      <c r="E201" s="37" t="str">
        <f>LUNES!$C$94</f>
        <v>mancuerna</v>
      </c>
      <c r="F201" s="46" t="str">
        <f>IF(P201="","",IFERROR(CHOOSE(VALUE(RIGHT(P201,1)),LUNES!F94,LUNES!I94,LUNES!L94,LUNES!O94,LUNES!R94),""))</f>
        <v/>
      </c>
      <c r="G201" s="47" t="str">
        <f>IF(P201="","",IFERROR(CHOOSE(VALUE(RIGHT(P201,1)),LUNES!G94,LUNES!J94,LUNES!M94,LUNES!P94,LUNES!S94),""))</f>
        <v/>
      </c>
      <c r="H201" s="48" t="str">
        <f>IF(P201="","",IFERROR(CHOOSE(VALUE(RIGHT(P201,1)),LUNES!H94,LUNES!K94,LUNES!N94,LUNES!Q94,LUNES!T94),""))</f>
        <v/>
      </c>
      <c r="I201" s="49" t="str">
        <f t="shared" si="6"/>
        <v/>
      </c>
      <c r="J201" s="50" t="str">
        <f>IF(P201="","",IFERROR(ROUND(CHOOSE(VALUE(RIGHT(P201,1)),IF(LUNES!C94="peso_corporal",IF(ISNUMBER(LUNES!E94),LUNES!E94,0)+LUNES!F94,LUNES!F94)*LUNES!G94,IF(LUNES!C94="peso_corporal",IF(ISNUMBER(LUNES!E94),LUNES!E94,0)+LUNES!I94,LUNES!I94)*LUNES!J94,IF(LUNES!C94="peso_corporal",IF(ISNUMBER(LUNES!E94),LUNES!E94,0)+LUNES!L94,LUNES!L94)*LUNES!M94,IF(LUNES!C94="peso_corporal",IF(ISNUMBER(LUNES!E94),LUNES!E94,0)+LUNES!O94,LUNES!O94)*LUNES!P94,IF(LUNES!C94="peso_corporal",IF(ISNUMBER(LUNES!E94),LUNES!E94,0)+LUNES!R94,LUNES!R94)*LUNES!S94),1),""))</f>
        <v/>
      </c>
      <c r="K201" s="51" t="str">
        <f>IF(P201="","",IFERROR(ROUND(CHOOSE(VALUE(RIGHT(P201,1)),(IF(LUNES!C94="peso_corporal",IF(ISNUMBER(LUNES!E94),LUNES!E94,0)+LUNES!F94,LUNES!F94))*(1+LUNES!G94/30),(IF(LUNES!C94="peso_corporal",IF(ISNUMBER(LUNES!E94),LUNES!E94,0)+LUNES!I94,LUNES!I94))*(1+LUNES!J94/30),(IF(LUNES!C94="peso_corporal",IF(ISNUMBER(LUNES!E94),LUNES!E94,0)+LUNES!L94,LUNES!L94))*(1+LUNES!M94/30),(IF(LUNES!C94="peso_corporal",IF(ISNUMBER(LUNES!E94),LUNES!E94,0)+LUNES!O94,LUNES!O94))*(1+LUNES!P94/30),(IF(LUNES!C94="peso_corporal",IF(ISNUMBER(LUNES!E94),LUNES!E94,0)+LUNES!R94,LUNES!R94))*(1+LUNES!S94/30)),1),""))</f>
        <v/>
      </c>
      <c r="L201" s="52">
        <f>IFERROR(LUNES!E94,"")</f>
        <v>80</v>
      </c>
      <c r="M201" s="53" t="str">
        <f>IFERROR(IF(K201="","-",IF(ISNUMBER(LOOKUP(2,1/((HISTORIAL!$O$3:$O$200=O201)*(HISTORIAL!$F$3:$F$200&lt;&gt;"")),HISTORIAL!$K$3:$K$200)),IF(K201&gt;LOOKUP(2,1/((HISTORIAL!$O$3:$O$200=O201)*(HISTORIAL!$F$3:$F$200&lt;&gt;"")),HISTORIAL!$K$3:$K$200),"^",IF(K201&lt;LOOKUP(2,1/((HISTORIAL!$O$3:$O$200=O201)*(HISTORIAL!$F$3:$F$200&lt;&gt;"")),HISTORIAL!$K$3:$K$200),"v","-")),"-")),"-")</f>
        <v>-</v>
      </c>
      <c r="N201" s="54" t="str">
        <f>IFERROR(VLOOKUP(A201,CONFIG!$A$10:$B$21,2,0),"")</f>
        <v>HIP</v>
      </c>
      <c r="O201" s="55" t="str">
        <f t="shared" si="7"/>
        <v>Curl Biceps|Inclinado Banco Mancuernas</v>
      </c>
      <c r="P201" s="69" t="str">
        <f>LUNES!AC94</f>
        <v/>
      </c>
    </row>
    <row r="202" spans="1:16" ht="14.1" customHeight="1">
      <c r="A202" s="37">
        <v>4</v>
      </c>
      <c r="B202" s="37" t="s">
        <v>277</v>
      </c>
      <c r="C202" s="44" t="str">
        <f>LUNES!$A$96</f>
        <v>Crunch</v>
      </c>
      <c r="D202" s="45" t="str">
        <f>LUNES!$B$96</f>
        <v>Polea</v>
      </c>
      <c r="E202" s="37" t="str">
        <f>LUNES!$C$96</f>
        <v>polea</v>
      </c>
      <c r="F202" s="46" t="str">
        <f>IF(P202="","",IFERROR(CHOOSE(VALUE(RIGHT(P202,1)),LUNES!F96,LUNES!I96,LUNES!L96,LUNES!O96,LUNES!R96),""))</f>
        <v/>
      </c>
      <c r="G202" s="47" t="str">
        <f>IF(P202="","",IFERROR(CHOOSE(VALUE(RIGHT(P202,1)),LUNES!G96,LUNES!J96,LUNES!M96,LUNES!P96,LUNES!S96),""))</f>
        <v/>
      </c>
      <c r="H202" s="48" t="str">
        <f>IF(P202="","",IFERROR(CHOOSE(VALUE(RIGHT(P202,1)),LUNES!H96,LUNES!K96,LUNES!N96,LUNES!Q96,LUNES!T96),""))</f>
        <v/>
      </c>
      <c r="I202" s="49" t="str">
        <f t="shared" si="6"/>
        <v/>
      </c>
      <c r="J202" s="50" t="str">
        <f>IF(P202="","",IFERROR(ROUND(CHOOSE(VALUE(RIGHT(P202,1)),IF(LUNES!C96="peso_corporal",IF(ISNUMBER(LUNES!E96),LUNES!E96,0)+LUNES!F96,LUNES!F96)*LUNES!G96,IF(LUNES!C96="peso_corporal",IF(ISNUMBER(LUNES!E96),LUNES!E96,0)+LUNES!I96,LUNES!I96)*LUNES!J96,IF(LUNES!C96="peso_corporal",IF(ISNUMBER(LUNES!E96),LUNES!E96,0)+LUNES!L96,LUNES!L96)*LUNES!M96,IF(LUNES!C96="peso_corporal",IF(ISNUMBER(LUNES!E96),LUNES!E96,0)+LUNES!O96,LUNES!O96)*LUNES!P96,IF(LUNES!C96="peso_corporal",IF(ISNUMBER(LUNES!E96),LUNES!E96,0)+LUNES!R96,LUNES!R96)*LUNES!S96),1),""))</f>
        <v/>
      </c>
      <c r="K202" s="51" t="str">
        <f>IF(P202="","",IFERROR(ROUND(CHOOSE(VALUE(RIGHT(P202,1)),(IF(LUNES!C96="peso_corporal",IF(ISNUMBER(LUNES!E96),LUNES!E96,0)+LUNES!F96,LUNES!F96))*(1+LUNES!G96/30),(IF(LUNES!C96="peso_corporal",IF(ISNUMBER(LUNES!E96),LUNES!E96,0)+LUNES!I96,LUNES!I96))*(1+LUNES!J96/30),(IF(LUNES!C96="peso_corporal",IF(ISNUMBER(LUNES!E96),LUNES!E96,0)+LUNES!L96,LUNES!L96))*(1+LUNES!M96/30),(IF(LUNES!C96="peso_corporal",IF(ISNUMBER(LUNES!E96),LUNES!E96,0)+LUNES!O96,LUNES!O96))*(1+LUNES!P96/30),(IF(LUNES!C96="peso_corporal",IF(ISNUMBER(LUNES!E96),LUNES!E96,0)+LUNES!R96,LUNES!R96))*(1+LUNES!S96/30)),1),""))</f>
        <v/>
      </c>
      <c r="L202" s="52">
        <f>IFERROR(LUNES!E96,"")</f>
        <v>80</v>
      </c>
      <c r="M202" s="53" t="str">
        <f>IFERROR(IF(K202="","-",IF(ISNUMBER(LOOKUP(2,1/((HISTORIAL!$O$3:$O$201=O202)*(HISTORIAL!$F$3:$F$201&lt;&gt;"")),HISTORIAL!$K$3:$K$201)),IF(K202&gt;LOOKUP(2,1/((HISTORIAL!$O$3:$O$201=O202)*(HISTORIAL!$F$3:$F$201&lt;&gt;"")),HISTORIAL!$K$3:$K$201),"^",IF(K202&lt;LOOKUP(2,1/((HISTORIAL!$O$3:$O$201=O202)*(HISTORIAL!$F$3:$F$201&lt;&gt;"")),HISTORIAL!$K$3:$K$201),"v","-")),"-")),"-")</f>
        <v>-</v>
      </c>
      <c r="N202" s="54" t="str">
        <f>IFERROR(VLOOKUP(A202,CONFIG!$A$10:$B$21,2,0),"")</f>
        <v>HIP</v>
      </c>
      <c r="O202" s="55" t="str">
        <f t="shared" si="7"/>
        <v>Crunch|Polea</v>
      </c>
      <c r="P202" s="69" t="str">
        <f>LUNES!AC96</f>
        <v/>
      </c>
    </row>
    <row r="203" spans="1:16" ht="14.1" customHeight="1">
      <c r="A203" s="37">
        <v>4</v>
      </c>
      <c r="B203" s="37" t="s">
        <v>278</v>
      </c>
      <c r="C203" s="44" t="str">
        <f>MARTES!$A$76</f>
        <v>Jalon</v>
      </c>
      <c r="D203" s="45" t="str">
        <f>MARTES!$B$76</f>
        <v>Polea Alta Prono Ancho</v>
      </c>
      <c r="E203" s="37" t="str">
        <f>MARTES!$C$76</f>
        <v>polea</v>
      </c>
      <c r="F203" s="46">
        <f>IF(P203="","",IFERROR(CHOOSE(VALUE(RIGHT(P203,1)),MARTES!F76,MARTES!I76,MARTES!L76,MARTES!O76,MARTES!R76),""))</f>
        <v>52.5</v>
      </c>
      <c r="G203" s="47">
        <f>IF(P203="","",IFERROR(CHOOSE(VALUE(RIGHT(P203,1)),MARTES!G76,MARTES!J76,MARTES!M76,MARTES!P76,MARTES!S76),""))</f>
        <v>7</v>
      </c>
      <c r="H203" s="48">
        <f>IF(P203="","",IFERROR(CHOOSE(VALUE(RIGHT(P203,1)),MARTES!H76,MARTES!K76,MARTES!N76,MARTES!Q76,MARTES!T76),""))</f>
        <v>2</v>
      </c>
      <c r="I203" s="49" t="str">
        <f t="shared" si="6"/>
        <v>A</v>
      </c>
      <c r="J203" s="50">
        <f>IF(P203="","",IFERROR(ROUND(CHOOSE(VALUE(RIGHT(P203,1)),IF(MARTES!C76="peso_corporal",IF(ISNUMBER(MARTES!E76),MARTES!E76,0)+MARTES!F76,MARTES!F76)*MARTES!G76,IF(MARTES!C76="peso_corporal",IF(ISNUMBER(MARTES!E76),MARTES!E76,0)+MARTES!I76,MARTES!I76)*MARTES!J76,IF(MARTES!C76="peso_corporal",IF(ISNUMBER(MARTES!E76),MARTES!E76,0)+MARTES!L76,MARTES!L76)*MARTES!M76,IF(MARTES!C76="peso_corporal",IF(ISNUMBER(MARTES!E76),MARTES!E76,0)+MARTES!O76,MARTES!O76)*MARTES!P76,IF(MARTES!C76="peso_corporal",IF(ISNUMBER(MARTES!E76),MARTES!E76,0)+MARTES!R76,MARTES!R76)*MARTES!S76),1),""))</f>
        <v>367.5</v>
      </c>
      <c r="K203" s="51">
        <f>IF(P203="","",IFERROR(ROUND(CHOOSE(VALUE(RIGHT(P203,1)),(IF(MARTES!C76="peso_corporal",IF(ISNUMBER(MARTES!E76),MARTES!E76,0)+MARTES!F76,MARTES!F76))*(1+MARTES!G76/30),(IF(MARTES!C76="peso_corporal",IF(ISNUMBER(MARTES!E76),MARTES!E76,0)+MARTES!I76,MARTES!I76))*(1+MARTES!J76/30),(IF(MARTES!C76="peso_corporal",IF(ISNUMBER(MARTES!E76),MARTES!E76,0)+MARTES!L76,MARTES!L76))*(1+MARTES!M76/30),(IF(MARTES!C76="peso_corporal",IF(ISNUMBER(MARTES!E76),MARTES!E76,0)+MARTES!O76,MARTES!O76))*(1+MARTES!P76/30),(IF(MARTES!C76="peso_corporal",IF(ISNUMBER(MARTES!E76),MARTES!E76,0)+MARTES!R76,MARTES!R76))*(1+MARTES!S76/30)),1),""))</f>
        <v>64.8</v>
      </c>
      <c r="L203" s="52">
        <f>IFERROR(MARTES!E76,"")</f>
        <v>80</v>
      </c>
      <c r="M203" s="53" t="str">
        <f>IFERROR(IF(K203="","-",IF(ISNUMBER(LOOKUP(2,1/((HISTORIAL!$O$3:$O$202=O203)*(HISTORIAL!$F$3:$F$202&lt;&gt;"")),HISTORIAL!$K$3:$K$202)),IF(K203&gt;LOOKUP(2,1/((HISTORIAL!$O$3:$O$202=O203)*(HISTORIAL!$F$3:$F$202&lt;&gt;"")),HISTORIAL!$K$3:$K$202),"^",IF(K203&lt;LOOKUP(2,1/((HISTORIAL!$O$3:$O$202=O203)*(HISTORIAL!$F$3:$F$202&lt;&gt;"")),HISTORIAL!$K$3:$K$202),"v","-")),"-")),"-")</f>
        <v>-</v>
      </c>
      <c r="N203" s="54" t="str">
        <f>IFERROR(VLOOKUP(A203,CONFIG!$A$10:$B$21,2,0),"")</f>
        <v>HIP</v>
      </c>
      <c r="O203" s="55" t="str">
        <f t="shared" si="7"/>
        <v>Jalon|Polea Alta Prono Ancho</v>
      </c>
      <c r="P203" s="69" t="str">
        <f>MARTES!AC76</f>
        <v>A2</v>
      </c>
    </row>
    <row r="204" spans="1:16" ht="14.1" customHeight="1">
      <c r="A204" s="37">
        <v>4</v>
      </c>
      <c r="B204" s="37" t="s">
        <v>278</v>
      </c>
      <c r="C204" s="44" t="str">
        <f>MARTES!$A$77</f>
        <v>Jalon</v>
      </c>
      <c r="D204" s="45" t="str">
        <f>MARTES!$B$77</f>
        <v>Polea Alta Supino Estrecho</v>
      </c>
      <c r="E204" s="37" t="str">
        <f>MARTES!$C$77</f>
        <v>polea</v>
      </c>
      <c r="F204" s="46">
        <f>IF(P204="","",IFERROR(CHOOSE(VALUE(RIGHT(P204,1)),MARTES!F77,MARTES!I77,MARTES!L77,MARTES!O77,MARTES!R77),""))</f>
        <v>60</v>
      </c>
      <c r="G204" s="47">
        <f>IF(P204="","",IFERROR(CHOOSE(VALUE(RIGHT(P204,1)),MARTES!G77,MARTES!J77,MARTES!M77,MARTES!P77,MARTES!S77),""))</f>
        <v>8</v>
      </c>
      <c r="H204" s="48">
        <f>IF(P204="","",IFERROR(CHOOSE(VALUE(RIGHT(P204,1)),MARTES!H77,MARTES!K77,MARTES!N77,MARTES!Q77,MARTES!T77),""))</f>
        <v>0</v>
      </c>
      <c r="I204" s="49" t="str">
        <f t="shared" si="6"/>
        <v>B</v>
      </c>
      <c r="J204" s="50">
        <f>IF(P204="","",IFERROR(ROUND(CHOOSE(VALUE(RIGHT(P204,1)),IF(MARTES!C77="peso_corporal",IF(ISNUMBER(MARTES!E77),MARTES!E77,0)+MARTES!F77,MARTES!F77)*MARTES!G77,IF(MARTES!C77="peso_corporal",IF(ISNUMBER(MARTES!E77),MARTES!E77,0)+MARTES!I77,MARTES!I77)*MARTES!J77,IF(MARTES!C77="peso_corporal",IF(ISNUMBER(MARTES!E77),MARTES!E77,0)+MARTES!L77,MARTES!L77)*MARTES!M77,IF(MARTES!C77="peso_corporal",IF(ISNUMBER(MARTES!E77),MARTES!E77,0)+MARTES!O77,MARTES!O77)*MARTES!P77,IF(MARTES!C77="peso_corporal",IF(ISNUMBER(MARTES!E77),MARTES!E77,0)+MARTES!R77,MARTES!R77)*MARTES!S77),1),""))</f>
        <v>480</v>
      </c>
      <c r="K204" s="51">
        <f>IF(P204="","",IFERROR(ROUND(CHOOSE(VALUE(RIGHT(P204,1)),(IF(MARTES!C77="peso_corporal",IF(ISNUMBER(MARTES!E77),MARTES!E77,0)+MARTES!F77,MARTES!F77))*(1+MARTES!G77/30),(IF(MARTES!C77="peso_corporal",IF(ISNUMBER(MARTES!E77),MARTES!E77,0)+MARTES!I77,MARTES!I77))*(1+MARTES!J77/30),(IF(MARTES!C77="peso_corporal",IF(ISNUMBER(MARTES!E77),MARTES!E77,0)+MARTES!L77,MARTES!L77))*(1+MARTES!M77/30),(IF(MARTES!C77="peso_corporal",IF(ISNUMBER(MARTES!E77),MARTES!E77,0)+MARTES!O77,MARTES!O77))*(1+MARTES!P77/30),(IF(MARTES!C77="peso_corporal",IF(ISNUMBER(MARTES!E77),MARTES!E77,0)+MARTES!R77,MARTES!R77))*(1+MARTES!S77/30)),1),""))</f>
        <v>76</v>
      </c>
      <c r="L204" s="52">
        <f>IFERROR(MARTES!E77,"")</f>
        <v>80</v>
      </c>
      <c r="M204" s="53" t="str">
        <f>IFERROR(IF(K204="","-",IF(ISNUMBER(LOOKUP(2,1/((HISTORIAL!$O$3:$O$203=O204)*(HISTORIAL!$F$3:$F$203&lt;&gt;"")),HISTORIAL!$K$3:$K$203)),IF(K204&gt;LOOKUP(2,1/((HISTORIAL!$O$3:$O$203=O204)*(HISTORIAL!$F$3:$F$203&lt;&gt;"")),HISTORIAL!$K$3:$K$203),"^",IF(K204&lt;LOOKUP(2,1/((HISTORIAL!$O$3:$O$203=O204)*(HISTORIAL!$F$3:$F$203&lt;&gt;"")),HISTORIAL!$K$3:$K$203),"v","-")),"-")),"-")</f>
        <v>-</v>
      </c>
      <c r="N204" s="54" t="str">
        <f>IFERROR(VLOOKUP(A204,CONFIG!$A$10:$B$21,2,0),"")</f>
        <v>HIP</v>
      </c>
      <c r="O204" s="55" t="str">
        <f t="shared" si="7"/>
        <v>Jalon|Polea Alta Supino Estrecho</v>
      </c>
      <c r="P204" s="69" t="str">
        <f>MARTES!AC77</f>
        <v>B2</v>
      </c>
    </row>
    <row r="205" spans="1:16" ht="14.1" customHeight="1">
      <c r="A205" s="37">
        <v>4</v>
      </c>
      <c r="B205" s="37" t="s">
        <v>278</v>
      </c>
      <c r="C205" s="44" t="str">
        <f>MARTES!$A$79</f>
        <v>Remo</v>
      </c>
      <c r="D205" s="45" t="str">
        <f>MARTES!$B$79</f>
        <v>Polea Baja Ancho Supino Trapecio</v>
      </c>
      <c r="E205" s="37" t="str">
        <f>MARTES!$C$79</f>
        <v>polea</v>
      </c>
      <c r="F205" s="46">
        <f>IF(P205="","",IFERROR(CHOOSE(VALUE(RIGHT(P205,1)),MARTES!F79,MARTES!I79,MARTES!L79,MARTES!O79,MARTES!R79),""))</f>
        <v>52.5</v>
      </c>
      <c r="G205" s="47">
        <f>IF(P205="","",IFERROR(CHOOSE(VALUE(RIGHT(P205,1)),MARTES!G79,MARTES!J79,MARTES!M79,MARTES!P79,MARTES!S79),""))</f>
        <v>7</v>
      </c>
      <c r="H205" s="48">
        <f>IF(P205="","",IFERROR(CHOOSE(VALUE(RIGHT(P205,1)),MARTES!H79,MARTES!K79,MARTES!N79,MARTES!Q79,MARTES!T79),""))</f>
        <v>2</v>
      </c>
      <c r="I205" s="49" t="str">
        <f t="shared" si="6"/>
        <v>A</v>
      </c>
      <c r="J205" s="50">
        <f>IF(P205="","",IFERROR(ROUND(CHOOSE(VALUE(RIGHT(P205,1)),IF(MARTES!C79="peso_corporal",IF(ISNUMBER(MARTES!E79),MARTES!E79,0)+MARTES!F79,MARTES!F79)*MARTES!G79,IF(MARTES!C79="peso_corporal",IF(ISNUMBER(MARTES!E79),MARTES!E79,0)+MARTES!I79,MARTES!I79)*MARTES!J79,IF(MARTES!C79="peso_corporal",IF(ISNUMBER(MARTES!E79),MARTES!E79,0)+MARTES!L79,MARTES!L79)*MARTES!M79,IF(MARTES!C79="peso_corporal",IF(ISNUMBER(MARTES!E79),MARTES!E79,0)+MARTES!O79,MARTES!O79)*MARTES!P79,IF(MARTES!C79="peso_corporal",IF(ISNUMBER(MARTES!E79),MARTES!E79,0)+MARTES!R79,MARTES!R79)*MARTES!S79),1),""))</f>
        <v>367.5</v>
      </c>
      <c r="K205" s="51">
        <f>IF(P205="","",IFERROR(ROUND(CHOOSE(VALUE(RIGHT(P205,1)),(IF(MARTES!C79="peso_corporal",IF(ISNUMBER(MARTES!E79),MARTES!E79,0)+MARTES!F79,MARTES!F79))*(1+MARTES!G79/30),(IF(MARTES!C79="peso_corporal",IF(ISNUMBER(MARTES!E79),MARTES!E79,0)+MARTES!I79,MARTES!I79))*(1+MARTES!J79/30),(IF(MARTES!C79="peso_corporal",IF(ISNUMBER(MARTES!E79),MARTES!E79,0)+MARTES!L79,MARTES!L79))*(1+MARTES!M79/30),(IF(MARTES!C79="peso_corporal",IF(ISNUMBER(MARTES!E79),MARTES!E79,0)+MARTES!O79,MARTES!O79))*(1+MARTES!P79/30),(IF(MARTES!C79="peso_corporal",IF(ISNUMBER(MARTES!E79),MARTES!E79,0)+MARTES!R79,MARTES!R79))*(1+MARTES!S79/30)),1),""))</f>
        <v>64.8</v>
      </c>
      <c r="L205" s="52">
        <f>IFERROR(MARTES!E79,"")</f>
        <v>80</v>
      </c>
      <c r="M205" s="53" t="str">
        <f>IFERROR(IF(K205="","-",IF(ISNUMBER(LOOKUP(2,1/((HISTORIAL!$O$3:$O$204=O205)*(HISTORIAL!$F$3:$F$204&lt;&gt;"")),HISTORIAL!$K$3:$K$204)),IF(K205&gt;LOOKUP(2,1/((HISTORIAL!$O$3:$O$204=O205)*(HISTORIAL!$F$3:$F$204&lt;&gt;"")),HISTORIAL!$K$3:$K$204),"^",IF(K205&lt;LOOKUP(2,1/((HISTORIAL!$O$3:$O$204=O205)*(HISTORIAL!$F$3:$F$204&lt;&gt;"")),HISTORIAL!$K$3:$K$204),"v","-")),"-")),"-")</f>
        <v>-</v>
      </c>
      <c r="N205" s="54" t="str">
        <f>IFERROR(VLOOKUP(A205,CONFIG!$A$10:$B$21,2,0),"")</f>
        <v>HIP</v>
      </c>
      <c r="O205" s="55" t="str">
        <f t="shared" si="7"/>
        <v>Remo|Polea Baja Ancho Supino Trapecio</v>
      </c>
      <c r="P205" s="69" t="str">
        <f>MARTES!AC79</f>
        <v>A3</v>
      </c>
    </row>
    <row r="206" spans="1:16" ht="14.1" customHeight="1">
      <c r="A206" s="37">
        <v>4</v>
      </c>
      <c r="B206" s="37" t="s">
        <v>278</v>
      </c>
      <c r="C206" s="44" t="str">
        <f>MARTES!$A$80</f>
        <v>Remo</v>
      </c>
      <c r="D206" s="45" t="str">
        <f>MARTES!$B$80</f>
        <v>Polea Individual</v>
      </c>
      <c r="E206" s="37" t="str">
        <f>MARTES!$C$80</f>
        <v>polea</v>
      </c>
      <c r="F206" s="46">
        <f>IF(P206="","",IFERROR(CHOOSE(VALUE(RIGHT(P206,1)),MARTES!F80,MARTES!I80,MARTES!L80,MARTES!O80,MARTES!R80),""))</f>
        <v>40</v>
      </c>
      <c r="G206" s="47">
        <f>IF(P206="","",IFERROR(CHOOSE(VALUE(RIGHT(P206,1)),MARTES!G80,MARTES!J80,MARTES!M80,MARTES!P80,MARTES!S80),""))</f>
        <v>7</v>
      </c>
      <c r="H206" s="48">
        <f>IF(P206="","",IFERROR(CHOOSE(VALUE(RIGHT(P206,1)),MARTES!H80,MARTES!K80,MARTES!N80,MARTES!Q80,MARTES!T80),""))</f>
        <v>3</v>
      </c>
      <c r="I206" s="49" t="str">
        <f t="shared" si="6"/>
        <v>A</v>
      </c>
      <c r="J206" s="50">
        <f>IF(P206="","",IFERROR(ROUND(CHOOSE(VALUE(RIGHT(P206,1)),IF(MARTES!C80="peso_corporal",IF(ISNUMBER(MARTES!E80),MARTES!E80,0)+MARTES!F80,MARTES!F80)*MARTES!G80,IF(MARTES!C80="peso_corporal",IF(ISNUMBER(MARTES!E80),MARTES!E80,0)+MARTES!I80,MARTES!I80)*MARTES!J80,IF(MARTES!C80="peso_corporal",IF(ISNUMBER(MARTES!E80),MARTES!E80,0)+MARTES!L80,MARTES!L80)*MARTES!M80,IF(MARTES!C80="peso_corporal",IF(ISNUMBER(MARTES!E80),MARTES!E80,0)+MARTES!O80,MARTES!O80)*MARTES!P80,IF(MARTES!C80="peso_corporal",IF(ISNUMBER(MARTES!E80),MARTES!E80,0)+MARTES!R80,MARTES!R80)*MARTES!S80),1),""))</f>
        <v>280</v>
      </c>
      <c r="K206" s="51">
        <f>IF(P206="","",IFERROR(ROUND(CHOOSE(VALUE(RIGHT(P206,1)),(IF(MARTES!C80="peso_corporal",IF(ISNUMBER(MARTES!E80),MARTES!E80,0)+MARTES!F80,MARTES!F80))*(1+MARTES!G80/30),(IF(MARTES!C80="peso_corporal",IF(ISNUMBER(MARTES!E80),MARTES!E80,0)+MARTES!I80,MARTES!I80))*(1+MARTES!J80/30),(IF(MARTES!C80="peso_corporal",IF(ISNUMBER(MARTES!E80),MARTES!E80,0)+MARTES!L80,MARTES!L80))*(1+MARTES!M80/30),(IF(MARTES!C80="peso_corporal",IF(ISNUMBER(MARTES!E80),MARTES!E80,0)+MARTES!O80,MARTES!O80))*(1+MARTES!P80/30),(IF(MARTES!C80="peso_corporal",IF(ISNUMBER(MARTES!E80),MARTES!E80,0)+MARTES!R80,MARTES!R80))*(1+MARTES!S80/30)),1),""))</f>
        <v>49.3</v>
      </c>
      <c r="L206" s="52">
        <f>IFERROR(MARTES!E80,"")</f>
        <v>80</v>
      </c>
      <c r="M206" s="53" t="str">
        <f>IFERROR(IF(K206="","-",IF(ISNUMBER(LOOKUP(2,1/((HISTORIAL!$O$3:$O$205=O206)*(HISTORIAL!$F$3:$F$205&lt;&gt;"")),HISTORIAL!$K$3:$K$205)),IF(K206&gt;LOOKUP(2,1/((HISTORIAL!$O$3:$O$205=O206)*(HISTORIAL!$F$3:$F$205&lt;&gt;"")),HISTORIAL!$K$3:$K$205),"^",IF(K206&lt;LOOKUP(2,1/((HISTORIAL!$O$3:$O$205=O206)*(HISTORIAL!$F$3:$F$205&lt;&gt;"")),HISTORIAL!$K$3:$K$205),"v","-")),"-")),"-")</f>
        <v>-</v>
      </c>
      <c r="N206" s="54" t="str">
        <f>IFERROR(VLOOKUP(A206,CONFIG!$A$10:$B$21,2,0),"")</f>
        <v>HIP</v>
      </c>
      <c r="O206" s="55" t="str">
        <f t="shared" si="7"/>
        <v>Remo|Polea Individual</v>
      </c>
      <c r="P206" s="69" t="str">
        <f>MARTES!AC80</f>
        <v>A2</v>
      </c>
    </row>
    <row r="207" spans="1:16" ht="14.1" customHeight="1">
      <c r="A207" s="37">
        <v>4</v>
      </c>
      <c r="B207" s="37" t="s">
        <v>278</v>
      </c>
      <c r="C207" s="44" t="str">
        <f>MARTES!$A$82</f>
        <v>Curl Biceps</v>
      </c>
      <c r="D207" s="45" t="str">
        <f>MARTES!$B$82</f>
        <v>Concentrado Maquina</v>
      </c>
      <c r="E207" s="37" t="str">
        <f>MARTES!$C$82</f>
        <v>polea</v>
      </c>
      <c r="F207" s="46">
        <f>IF(P207="","",IFERROR(CHOOSE(VALUE(RIGHT(P207,1)),MARTES!F82,MARTES!I82,MARTES!L82,MARTES!O82,MARTES!R82),""))</f>
        <v>40</v>
      </c>
      <c r="G207" s="47">
        <f>IF(P207="","",IFERROR(CHOOSE(VALUE(RIGHT(P207,1)),MARTES!G82,MARTES!J82,MARTES!M82,MARTES!P82,MARTES!S82),""))</f>
        <v>6</v>
      </c>
      <c r="H207" s="48">
        <f>IF(P207="","",IFERROR(CHOOSE(VALUE(RIGHT(P207,1)),MARTES!H82,MARTES!K82,MARTES!N82,MARTES!Q82,MARTES!T82),""))</f>
        <v>0</v>
      </c>
      <c r="I207" s="49" t="str">
        <f t="shared" si="6"/>
        <v>B</v>
      </c>
      <c r="J207" s="50">
        <f>IF(P207="","",IFERROR(ROUND(CHOOSE(VALUE(RIGHT(P207,1)),IF(MARTES!C82="peso_corporal",IF(ISNUMBER(MARTES!E82),MARTES!E82,0)+MARTES!F82,MARTES!F82)*MARTES!G82,IF(MARTES!C82="peso_corporal",IF(ISNUMBER(MARTES!E82),MARTES!E82,0)+MARTES!I82,MARTES!I82)*MARTES!J82,IF(MARTES!C82="peso_corporal",IF(ISNUMBER(MARTES!E82),MARTES!E82,0)+MARTES!L82,MARTES!L82)*MARTES!M82,IF(MARTES!C82="peso_corporal",IF(ISNUMBER(MARTES!E82),MARTES!E82,0)+MARTES!O82,MARTES!O82)*MARTES!P82,IF(MARTES!C82="peso_corporal",IF(ISNUMBER(MARTES!E82),MARTES!E82,0)+MARTES!R82,MARTES!R82)*MARTES!S82),1),""))</f>
        <v>240</v>
      </c>
      <c r="K207" s="51">
        <f>IF(P207="","",IFERROR(ROUND(CHOOSE(VALUE(RIGHT(P207,1)),(IF(MARTES!C82="peso_corporal",IF(ISNUMBER(MARTES!E82),MARTES!E82,0)+MARTES!F82,MARTES!F82))*(1+MARTES!G82/30),(IF(MARTES!C82="peso_corporal",IF(ISNUMBER(MARTES!E82),MARTES!E82,0)+MARTES!I82,MARTES!I82))*(1+MARTES!J82/30),(IF(MARTES!C82="peso_corporal",IF(ISNUMBER(MARTES!E82),MARTES!E82,0)+MARTES!L82,MARTES!L82))*(1+MARTES!M82/30),(IF(MARTES!C82="peso_corporal",IF(ISNUMBER(MARTES!E82),MARTES!E82,0)+MARTES!O82,MARTES!O82))*(1+MARTES!P82/30),(IF(MARTES!C82="peso_corporal",IF(ISNUMBER(MARTES!E82),MARTES!E82,0)+MARTES!R82,MARTES!R82))*(1+MARTES!S82/30)),1),""))</f>
        <v>48</v>
      </c>
      <c r="L207" s="52">
        <f>IFERROR(MARTES!E82,"")</f>
        <v>80</v>
      </c>
      <c r="M207" s="53" t="str">
        <f>IFERROR(IF(K207="","-",IF(ISNUMBER(LOOKUP(2,1/((HISTORIAL!$O$3:$O$206=O207)*(HISTORIAL!$F$3:$F$206&lt;&gt;"")),HISTORIAL!$K$3:$K$206)),IF(K207&gt;LOOKUP(2,1/((HISTORIAL!$O$3:$O$206=O207)*(HISTORIAL!$F$3:$F$206&lt;&gt;"")),HISTORIAL!$K$3:$K$206),"^",IF(K207&lt;LOOKUP(2,1/((HISTORIAL!$O$3:$O$206=O207)*(HISTORIAL!$F$3:$F$206&lt;&gt;"")),HISTORIAL!$K$3:$K$206),"v","-")),"-")),"-")</f>
        <v>-</v>
      </c>
      <c r="N207" s="54" t="str">
        <f>IFERROR(VLOOKUP(A207,CONFIG!$A$10:$B$21,2,0),"")</f>
        <v>HIP</v>
      </c>
      <c r="O207" s="55" t="str">
        <f t="shared" si="7"/>
        <v>Curl Biceps|Concentrado Maquina</v>
      </c>
      <c r="P207" s="69" t="str">
        <f>MARTES!AC82</f>
        <v>B3</v>
      </c>
    </row>
    <row r="208" spans="1:16" ht="14.1" customHeight="1">
      <c r="A208" s="37">
        <v>4</v>
      </c>
      <c r="B208" s="37" t="s">
        <v>278</v>
      </c>
      <c r="C208" s="44" t="str">
        <f>MARTES!$A$83</f>
        <v>Curl Martillo</v>
      </c>
      <c r="D208" s="45" t="str">
        <f>MARTES!$B$83</f>
        <v>Polea Individual</v>
      </c>
      <c r="E208" s="37" t="str">
        <f>MARTES!$C$83</f>
        <v>polea</v>
      </c>
      <c r="F208" s="46">
        <f>IF(P208="","",IFERROR(CHOOSE(VALUE(RIGHT(P208,1)),MARTES!F83,MARTES!I83,MARTES!L83,MARTES!O83,MARTES!R83),""))</f>
        <v>20</v>
      </c>
      <c r="G208" s="47">
        <f>IF(P208="","",IFERROR(CHOOSE(VALUE(RIGHT(P208,1)),MARTES!G83,MARTES!J83,MARTES!M83,MARTES!P83,MARTES!S83),""))</f>
        <v>8</v>
      </c>
      <c r="H208" s="48">
        <f>IF(P208="","",IFERROR(CHOOSE(VALUE(RIGHT(P208,1)),MARTES!H83,MARTES!K83,MARTES!N83,MARTES!Q83,MARTES!T83),""))</f>
        <v>3</v>
      </c>
      <c r="I208" s="49" t="str">
        <f t="shared" si="6"/>
        <v>A</v>
      </c>
      <c r="J208" s="50">
        <f>IF(P208="","",IFERROR(ROUND(CHOOSE(VALUE(RIGHT(P208,1)),IF(MARTES!C83="peso_corporal",IF(ISNUMBER(MARTES!E83),MARTES!E83,0)+MARTES!F83,MARTES!F83)*MARTES!G83,IF(MARTES!C83="peso_corporal",IF(ISNUMBER(MARTES!E83),MARTES!E83,0)+MARTES!I83,MARTES!I83)*MARTES!J83,IF(MARTES!C83="peso_corporal",IF(ISNUMBER(MARTES!E83),MARTES!E83,0)+MARTES!L83,MARTES!L83)*MARTES!M83,IF(MARTES!C83="peso_corporal",IF(ISNUMBER(MARTES!E83),MARTES!E83,0)+MARTES!O83,MARTES!O83)*MARTES!P83,IF(MARTES!C83="peso_corporal",IF(ISNUMBER(MARTES!E83),MARTES!E83,0)+MARTES!R83,MARTES!R83)*MARTES!S83),1),""))</f>
        <v>160</v>
      </c>
      <c r="K208" s="51">
        <f>IF(P208="","",IFERROR(ROUND(CHOOSE(VALUE(RIGHT(P208,1)),(IF(MARTES!C83="peso_corporal",IF(ISNUMBER(MARTES!E83),MARTES!E83,0)+MARTES!F83,MARTES!F83))*(1+MARTES!G83/30),(IF(MARTES!C83="peso_corporal",IF(ISNUMBER(MARTES!E83),MARTES!E83,0)+MARTES!I83,MARTES!I83))*(1+MARTES!J83/30),(IF(MARTES!C83="peso_corporal",IF(ISNUMBER(MARTES!E83),MARTES!E83,0)+MARTES!L83,MARTES!L83))*(1+MARTES!M83/30),(IF(MARTES!C83="peso_corporal",IF(ISNUMBER(MARTES!E83),MARTES!E83,0)+MARTES!O83,MARTES!O83))*(1+MARTES!P83/30),(IF(MARTES!C83="peso_corporal",IF(ISNUMBER(MARTES!E83),MARTES!E83,0)+MARTES!R83,MARTES!R83))*(1+MARTES!S83/30)),1),""))</f>
        <v>25.3</v>
      </c>
      <c r="L208" s="52">
        <f>IFERROR(MARTES!E83,"")</f>
        <v>80</v>
      </c>
      <c r="M208" s="53" t="str">
        <f>IFERROR(IF(K208="","-",IF(ISNUMBER(LOOKUP(2,1/((HISTORIAL!$O$3:$O$207=O208)*(HISTORIAL!$F$3:$F$207&lt;&gt;"")),HISTORIAL!$K$3:$K$207)),IF(K208&gt;LOOKUP(2,1/((HISTORIAL!$O$3:$O$207=O208)*(HISTORIAL!$F$3:$F$207&lt;&gt;"")),HISTORIAL!$K$3:$K$207),"^",IF(K208&lt;LOOKUP(2,1/((HISTORIAL!$O$3:$O$207=O208)*(HISTORIAL!$F$3:$F$207&lt;&gt;"")),HISTORIAL!$K$3:$K$207),"v","-")),"-")),"-")</f>
        <v>-</v>
      </c>
      <c r="N208" s="54" t="str">
        <f>IFERROR(VLOOKUP(A208,CONFIG!$A$10:$B$21,2,0),"")</f>
        <v>HIP</v>
      </c>
      <c r="O208" s="55" t="str">
        <f t="shared" si="7"/>
        <v>Curl Martillo|Polea Individual</v>
      </c>
      <c r="P208" s="69" t="str">
        <f>MARTES!AC83</f>
        <v>A3</v>
      </c>
    </row>
    <row r="209" spans="1:16" ht="14.1" customHeight="1">
      <c r="A209" s="37">
        <v>4</v>
      </c>
      <c r="B209" s="37" t="s">
        <v>278</v>
      </c>
      <c r="C209" s="44" t="str">
        <f>MARTES!$A$85</f>
        <v>Curl Muneca</v>
      </c>
      <c r="D209" s="45" t="str">
        <f>MARTES!$B$85</f>
        <v>Sulek Polea</v>
      </c>
      <c r="E209" s="37" t="str">
        <f>MARTES!$C$85</f>
        <v>polea</v>
      </c>
      <c r="F209" s="46">
        <f>IF(P209="","",IFERROR(CHOOSE(VALUE(RIGHT(P209,1)),MARTES!F85,MARTES!I85,MARTES!L85,MARTES!O85,MARTES!R85),""))</f>
        <v>62.5</v>
      </c>
      <c r="G209" s="47">
        <f>IF(P209="","",IFERROR(CHOOSE(VALUE(RIGHT(P209,1)),MARTES!G85,MARTES!J85,MARTES!M85,MARTES!P85,MARTES!S85),""))</f>
        <v>10</v>
      </c>
      <c r="H209" s="48">
        <f>IF(P209="","",IFERROR(CHOOSE(VALUE(RIGHT(P209,1)),MARTES!H85,MARTES!K85,MARTES!N85,MARTES!Q85,MARTES!T85),""))</f>
        <v>2</v>
      </c>
      <c r="I209" s="49" t="str">
        <f t="shared" si="6"/>
        <v>A</v>
      </c>
      <c r="J209" s="50">
        <f>IF(P209="","",IFERROR(ROUND(CHOOSE(VALUE(RIGHT(P209,1)),IF(MARTES!C85="peso_corporal",IF(ISNUMBER(MARTES!E85),MARTES!E85,0)+MARTES!F85,MARTES!F85)*MARTES!G85,IF(MARTES!C85="peso_corporal",IF(ISNUMBER(MARTES!E85),MARTES!E85,0)+MARTES!I85,MARTES!I85)*MARTES!J85,IF(MARTES!C85="peso_corporal",IF(ISNUMBER(MARTES!E85),MARTES!E85,0)+MARTES!L85,MARTES!L85)*MARTES!M85,IF(MARTES!C85="peso_corporal",IF(ISNUMBER(MARTES!E85),MARTES!E85,0)+MARTES!O85,MARTES!O85)*MARTES!P85,IF(MARTES!C85="peso_corporal",IF(ISNUMBER(MARTES!E85),MARTES!E85,0)+MARTES!R85,MARTES!R85)*MARTES!S85),1),""))</f>
        <v>625</v>
      </c>
      <c r="K209" s="51">
        <f>IF(P209="","",IFERROR(ROUND(CHOOSE(VALUE(RIGHT(P209,1)),(IF(MARTES!C85="peso_corporal",IF(ISNUMBER(MARTES!E85),MARTES!E85,0)+MARTES!F85,MARTES!F85))*(1+MARTES!G85/30),(IF(MARTES!C85="peso_corporal",IF(ISNUMBER(MARTES!E85),MARTES!E85,0)+MARTES!I85,MARTES!I85))*(1+MARTES!J85/30),(IF(MARTES!C85="peso_corporal",IF(ISNUMBER(MARTES!E85),MARTES!E85,0)+MARTES!L85,MARTES!L85))*(1+MARTES!M85/30),(IF(MARTES!C85="peso_corporal",IF(ISNUMBER(MARTES!E85),MARTES!E85,0)+MARTES!O85,MARTES!O85))*(1+MARTES!P85/30),(IF(MARTES!C85="peso_corporal",IF(ISNUMBER(MARTES!E85),MARTES!E85,0)+MARTES!R85,MARTES!R85))*(1+MARTES!S85/30)),1),""))</f>
        <v>83.3</v>
      </c>
      <c r="L209" s="52">
        <f>IFERROR(MARTES!E85,"")</f>
        <v>80</v>
      </c>
      <c r="M209" s="53" t="str">
        <f>IFERROR(IF(K209="","-",IF(ISNUMBER(LOOKUP(2,1/((HISTORIAL!$O$3:$O$208=O209)*(HISTORIAL!$F$3:$F$208&lt;&gt;"")),HISTORIAL!$K$3:$K$208)),IF(K209&gt;LOOKUP(2,1/((HISTORIAL!$O$3:$O$208=O209)*(HISTORIAL!$F$3:$F$208&lt;&gt;"")),HISTORIAL!$K$3:$K$208),"^",IF(K209&lt;LOOKUP(2,1/((HISTORIAL!$O$3:$O$208=O209)*(HISTORIAL!$F$3:$F$208&lt;&gt;"")),HISTORIAL!$K$3:$K$208),"v","-")),"-")),"-")</f>
        <v>-</v>
      </c>
      <c r="N209" s="54" t="str">
        <f>IFERROR(VLOOKUP(A209,CONFIG!$A$10:$B$21,2,0),"")</f>
        <v>HIP</v>
      </c>
      <c r="O209" s="55" t="str">
        <f t="shared" si="7"/>
        <v>Curl Muneca|Sulek Polea</v>
      </c>
      <c r="P209" s="69" t="str">
        <f>MARTES!AC85</f>
        <v>A4</v>
      </c>
    </row>
    <row r="210" spans="1:16" ht="14.1" customHeight="1">
      <c r="A210" s="37">
        <v>4</v>
      </c>
      <c r="B210" s="37" t="s">
        <v>278</v>
      </c>
      <c r="C210" s="44" t="str">
        <f>MARTES!$A$86</f>
        <v>Curl Muneca</v>
      </c>
      <c r="D210" s="45" t="str">
        <f>MARTES!$B$86</f>
        <v>Pronado</v>
      </c>
      <c r="E210" s="37" t="str">
        <f>MARTES!$C$86</f>
        <v>mancuerna</v>
      </c>
      <c r="F210" s="46" t="str">
        <f>IF(P210="","",IFERROR(CHOOSE(VALUE(RIGHT(P210,1)),MARTES!F86,MARTES!I86,MARTES!L86,MARTES!O86,MARTES!R86),""))</f>
        <v/>
      </c>
      <c r="G210" s="47" t="str">
        <f>IF(P210="","",IFERROR(CHOOSE(VALUE(RIGHT(P210,1)),MARTES!G86,MARTES!J86,MARTES!M86,MARTES!P86,MARTES!S86),""))</f>
        <v/>
      </c>
      <c r="H210" s="48" t="str">
        <f>IF(P210="","",IFERROR(CHOOSE(VALUE(RIGHT(P210,1)),MARTES!H86,MARTES!K86,MARTES!N86,MARTES!Q86,MARTES!T86),""))</f>
        <v/>
      </c>
      <c r="I210" s="49" t="str">
        <f t="shared" si="6"/>
        <v/>
      </c>
      <c r="J210" s="50" t="str">
        <f>IF(P210="","",IFERROR(ROUND(CHOOSE(VALUE(RIGHT(P210,1)),IF(MARTES!C86="peso_corporal",IF(ISNUMBER(MARTES!E86),MARTES!E86,0)+MARTES!F86,MARTES!F86)*MARTES!G86,IF(MARTES!C86="peso_corporal",IF(ISNUMBER(MARTES!E86),MARTES!E86,0)+MARTES!I86,MARTES!I86)*MARTES!J86,IF(MARTES!C86="peso_corporal",IF(ISNUMBER(MARTES!E86),MARTES!E86,0)+MARTES!L86,MARTES!L86)*MARTES!M86,IF(MARTES!C86="peso_corporal",IF(ISNUMBER(MARTES!E86),MARTES!E86,0)+MARTES!O86,MARTES!O86)*MARTES!P86,IF(MARTES!C86="peso_corporal",IF(ISNUMBER(MARTES!E86),MARTES!E86,0)+MARTES!R86,MARTES!R86)*MARTES!S86),1),""))</f>
        <v/>
      </c>
      <c r="K210" s="51" t="str">
        <f>IF(P210="","",IFERROR(ROUND(CHOOSE(VALUE(RIGHT(P210,1)),(IF(MARTES!C86="peso_corporal",IF(ISNUMBER(MARTES!E86),MARTES!E86,0)+MARTES!F86,MARTES!F86))*(1+MARTES!G86/30),(IF(MARTES!C86="peso_corporal",IF(ISNUMBER(MARTES!E86),MARTES!E86,0)+MARTES!I86,MARTES!I86))*(1+MARTES!J86/30),(IF(MARTES!C86="peso_corporal",IF(ISNUMBER(MARTES!E86),MARTES!E86,0)+MARTES!L86,MARTES!L86))*(1+MARTES!M86/30),(IF(MARTES!C86="peso_corporal",IF(ISNUMBER(MARTES!E86),MARTES!E86,0)+MARTES!O86,MARTES!O86))*(1+MARTES!P86/30),(IF(MARTES!C86="peso_corporal",IF(ISNUMBER(MARTES!E86),MARTES!E86,0)+MARTES!R86,MARTES!R86))*(1+MARTES!S86/30)),1),""))</f>
        <v/>
      </c>
      <c r="L210" s="52">
        <f>IFERROR(MARTES!E86,"")</f>
        <v>80</v>
      </c>
      <c r="M210" s="53" t="str">
        <f>IFERROR(IF(K210="","-",IF(ISNUMBER(LOOKUP(2,1/((HISTORIAL!$O$3:$O$209=O210)*(HISTORIAL!$F$3:$F$209&lt;&gt;"")),HISTORIAL!$K$3:$K$209)),IF(K210&gt;LOOKUP(2,1/((HISTORIAL!$O$3:$O$209=O210)*(HISTORIAL!$F$3:$F$209&lt;&gt;"")),HISTORIAL!$K$3:$K$209),"^",IF(K210&lt;LOOKUP(2,1/((HISTORIAL!$O$3:$O$209=O210)*(HISTORIAL!$F$3:$F$209&lt;&gt;"")),HISTORIAL!$K$3:$K$209),"v","-")),"-")),"-")</f>
        <v>-</v>
      </c>
      <c r="N210" s="54" t="str">
        <f>IFERROR(VLOOKUP(A210,CONFIG!$A$10:$B$21,2,0),"")</f>
        <v>HIP</v>
      </c>
      <c r="O210" s="55" t="str">
        <f t="shared" si="7"/>
        <v>Curl Muneca|Pronado</v>
      </c>
      <c r="P210" s="69" t="str">
        <f>MARTES!AC86</f>
        <v/>
      </c>
    </row>
    <row r="211" spans="1:16" ht="14.1" customHeight="1">
      <c r="A211" s="37">
        <v>4</v>
      </c>
      <c r="B211" s="37" t="s">
        <v>278</v>
      </c>
      <c r="C211" s="44" t="str">
        <f>MARTES!$A$88</f>
        <v>Farmer Carry</v>
      </c>
      <c r="D211" s="45" t="str">
        <f>MARTES!$B$88</f>
        <v>Libre</v>
      </c>
      <c r="E211" s="37" t="str">
        <f>MARTES!$C$88</f>
        <v>mancuerna</v>
      </c>
      <c r="F211" s="46" t="str">
        <f>IF(P211="","",IFERROR(CHOOSE(VALUE(RIGHT(P211,1)),MARTES!F88,MARTES!I88,MARTES!L88,MARTES!O88,MARTES!R88),""))</f>
        <v/>
      </c>
      <c r="G211" s="47" t="str">
        <f>IF(P211="","",IFERROR(CHOOSE(VALUE(RIGHT(P211,1)),MARTES!G88,MARTES!J88,MARTES!M88,MARTES!P88,MARTES!S88),""))</f>
        <v/>
      </c>
      <c r="H211" s="48" t="str">
        <f>IF(P211="","",IFERROR(CHOOSE(VALUE(RIGHT(P211,1)),MARTES!H88,MARTES!K88,MARTES!N88,MARTES!Q88,MARTES!T88),""))</f>
        <v/>
      </c>
      <c r="I211" s="49" t="str">
        <f t="shared" si="6"/>
        <v/>
      </c>
      <c r="J211" s="50" t="str">
        <f>IF(P211="","",IFERROR(ROUND(CHOOSE(VALUE(RIGHT(P211,1)),IF(MARTES!C88="peso_corporal",IF(ISNUMBER(MARTES!E88),MARTES!E88,0)+MARTES!F88,MARTES!F88)*MARTES!G88,IF(MARTES!C88="peso_corporal",IF(ISNUMBER(MARTES!E88),MARTES!E88,0)+MARTES!I88,MARTES!I88)*MARTES!J88,IF(MARTES!C88="peso_corporal",IF(ISNUMBER(MARTES!E88),MARTES!E88,0)+MARTES!L88,MARTES!L88)*MARTES!M88,IF(MARTES!C88="peso_corporal",IF(ISNUMBER(MARTES!E88),MARTES!E88,0)+MARTES!O88,MARTES!O88)*MARTES!P88,IF(MARTES!C88="peso_corporal",IF(ISNUMBER(MARTES!E88),MARTES!E88,0)+MARTES!R88,MARTES!R88)*MARTES!S88),1),""))</f>
        <v/>
      </c>
      <c r="K211" s="51" t="str">
        <f>IF(P211="","",IFERROR(ROUND(CHOOSE(VALUE(RIGHT(P211,1)),(IF(MARTES!C88="peso_corporal",IF(ISNUMBER(MARTES!E88),MARTES!E88,0)+MARTES!F88,MARTES!F88))*(1+MARTES!G88/30),(IF(MARTES!C88="peso_corporal",IF(ISNUMBER(MARTES!E88),MARTES!E88,0)+MARTES!I88,MARTES!I88))*(1+MARTES!J88/30),(IF(MARTES!C88="peso_corporal",IF(ISNUMBER(MARTES!E88),MARTES!E88,0)+MARTES!L88,MARTES!L88))*(1+MARTES!M88/30),(IF(MARTES!C88="peso_corporal",IF(ISNUMBER(MARTES!E88),MARTES!E88,0)+MARTES!O88,MARTES!O88))*(1+MARTES!P88/30),(IF(MARTES!C88="peso_corporal",IF(ISNUMBER(MARTES!E88),MARTES!E88,0)+MARTES!R88,MARTES!R88))*(1+MARTES!S88/30)),1),""))</f>
        <v/>
      </c>
      <c r="L211" s="52">
        <f>IFERROR(MARTES!E88,"")</f>
        <v>80</v>
      </c>
      <c r="M211" s="53" t="str">
        <f>IFERROR(IF(K211="","-",IF(ISNUMBER(LOOKUP(2,1/((HISTORIAL!$O$3:$O$210=O211)*(HISTORIAL!$F$3:$F$210&lt;&gt;"")),HISTORIAL!$K$3:$K$210)),IF(K211&gt;LOOKUP(2,1/((HISTORIAL!$O$3:$O$210=O211)*(HISTORIAL!$F$3:$F$210&lt;&gt;"")),HISTORIAL!$K$3:$K$210),"^",IF(K211&lt;LOOKUP(2,1/((HISTORIAL!$O$3:$O$210=O211)*(HISTORIAL!$F$3:$F$210&lt;&gt;"")),HISTORIAL!$K$3:$K$210),"v","-")),"-")),"-")</f>
        <v>-</v>
      </c>
      <c r="N211" s="54" t="str">
        <f>IFERROR(VLOOKUP(A211,CONFIG!$A$10:$B$21,2,0),"")</f>
        <v>HIP</v>
      </c>
      <c r="O211" s="55" t="str">
        <f t="shared" si="7"/>
        <v>Farmer Carry|Libre</v>
      </c>
      <c r="P211" s="69" t="str">
        <f>MARTES!AC88</f>
        <v/>
      </c>
    </row>
    <row r="212" spans="1:16" ht="14.1" customHeight="1">
      <c r="A212" s="37">
        <v>4</v>
      </c>
      <c r="B212" s="37" t="s">
        <v>278</v>
      </c>
      <c r="C212" s="44" t="str">
        <f>MARTES!$A$90</f>
        <v>Extension Triceps</v>
      </c>
      <c r="D212" s="45" t="str">
        <f>MARTES!$B$90</f>
        <v>Extension Polea Individual</v>
      </c>
      <c r="E212" s="37" t="str">
        <f>MARTES!$C$90</f>
        <v>polea</v>
      </c>
      <c r="F212" s="46">
        <f>IF(P212="","",IFERROR(CHOOSE(VALUE(RIGHT(P212,1)),MARTES!F90,MARTES!I90,MARTES!L90,MARTES!O90,MARTES!R90),""))</f>
        <v>27.5</v>
      </c>
      <c r="G212" s="47">
        <f>IF(P212="","",IFERROR(CHOOSE(VALUE(RIGHT(P212,1)),MARTES!G90,MARTES!J90,MARTES!M90,MARTES!P90,MARTES!S90),""))</f>
        <v>10</v>
      </c>
      <c r="H212" s="48">
        <f>IF(P212="","",IFERROR(CHOOSE(VALUE(RIGHT(P212,1)),MARTES!H90,MARTES!K90,MARTES!N90,MARTES!Q90,MARTES!T90),""))</f>
        <v>2</v>
      </c>
      <c r="I212" s="49" t="str">
        <f t="shared" si="6"/>
        <v>A</v>
      </c>
      <c r="J212" s="50">
        <f>IF(P212="","",IFERROR(ROUND(CHOOSE(VALUE(RIGHT(P212,1)),IF(MARTES!C90="peso_corporal",IF(ISNUMBER(MARTES!E90),MARTES!E90,0)+MARTES!F90,MARTES!F90)*MARTES!G90,IF(MARTES!C90="peso_corporal",IF(ISNUMBER(MARTES!E90),MARTES!E90,0)+MARTES!I90,MARTES!I90)*MARTES!J90,IF(MARTES!C90="peso_corporal",IF(ISNUMBER(MARTES!E90),MARTES!E90,0)+MARTES!L90,MARTES!L90)*MARTES!M90,IF(MARTES!C90="peso_corporal",IF(ISNUMBER(MARTES!E90),MARTES!E90,0)+MARTES!O90,MARTES!O90)*MARTES!P90,IF(MARTES!C90="peso_corporal",IF(ISNUMBER(MARTES!E90),MARTES!E90,0)+MARTES!R90,MARTES!R90)*MARTES!S90),1),""))</f>
        <v>275</v>
      </c>
      <c r="K212" s="51">
        <f>IF(P212="","",IFERROR(ROUND(CHOOSE(VALUE(RIGHT(P212,1)),(IF(MARTES!C90="peso_corporal",IF(ISNUMBER(MARTES!E90),MARTES!E90,0)+MARTES!F90,MARTES!F90))*(1+MARTES!G90/30),(IF(MARTES!C90="peso_corporal",IF(ISNUMBER(MARTES!E90),MARTES!E90,0)+MARTES!I90,MARTES!I90))*(1+MARTES!J90/30),(IF(MARTES!C90="peso_corporal",IF(ISNUMBER(MARTES!E90),MARTES!E90,0)+MARTES!L90,MARTES!L90))*(1+MARTES!M90/30),(IF(MARTES!C90="peso_corporal",IF(ISNUMBER(MARTES!E90),MARTES!E90,0)+MARTES!O90,MARTES!O90))*(1+MARTES!P90/30),(IF(MARTES!C90="peso_corporal",IF(ISNUMBER(MARTES!E90),MARTES!E90,0)+MARTES!R90,MARTES!R90))*(1+MARTES!S90/30)),1),""))</f>
        <v>36.700000000000003</v>
      </c>
      <c r="L212" s="52">
        <f>IFERROR(MARTES!E90,"")</f>
        <v>80</v>
      </c>
      <c r="M212" s="53" t="str">
        <f>IFERROR(IF(K212="","-",IF(ISNUMBER(LOOKUP(2,1/((HISTORIAL!$O$3:$O$211=O212)*(HISTORIAL!$F$3:$F$211&lt;&gt;"")),HISTORIAL!$K$3:$K$211)),IF(K212&gt;LOOKUP(2,1/((HISTORIAL!$O$3:$O$211=O212)*(HISTORIAL!$F$3:$F$211&lt;&gt;"")),HISTORIAL!$K$3:$K$211),"^",IF(K212&lt;LOOKUP(2,1/((HISTORIAL!$O$3:$O$211=O212)*(HISTORIAL!$F$3:$F$211&lt;&gt;"")),HISTORIAL!$K$3:$K$211),"v","-")),"-")),"-")</f>
        <v>-</v>
      </c>
      <c r="N212" s="54" t="str">
        <f>IFERROR(VLOOKUP(A212,CONFIG!$A$10:$B$21,2,0),"")</f>
        <v>HIP</v>
      </c>
      <c r="O212" s="55" t="str">
        <f t="shared" si="7"/>
        <v>Extension Triceps|Extension Polea Individual</v>
      </c>
      <c r="P212" s="69" t="str">
        <f>MARTES!AC90</f>
        <v>A1</v>
      </c>
    </row>
    <row r="213" spans="1:16" ht="14.1" customHeight="1">
      <c r="A213" s="37">
        <v>4</v>
      </c>
      <c r="B213" s="37" t="s">
        <v>278</v>
      </c>
      <c r="C213" s="44" t="str">
        <f>MARTES!$A$92</f>
        <v>Crunch</v>
      </c>
      <c r="D213" s="45" t="str">
        <f>MARTES!$B$92</f>
        <v>Polea</v>
      </c>
      <c r="E213" s="37" t="str">
        <f>MARTES!$C$92</f>
        <v>polea</v>
      </c>
      <c r="F213" s="46" t="str">
        <f>IF(P213="","",IFERROR(CHOOSE(VALUE(RIGHT(P213,1)),MARTES!F92,MARTES!I92,MARTES!L92,MARTES!O92,MARTES!R92),""))</f>
        <v/>
      </c>
      <c r="G213" s="47" t="str">
        <f>IF(P213="","",IFERROR(CHOOSE(VALUE(RIGHT(P213,1)),MARTES!G92,MARTES!J92,MARTES!M92,MARTES!P92,MARTES!S92),""))</f>
        <v/>
      </c>
      <c r="H213" s="48" t="str">
        <f>IF(P213="","",IFERROR(CHOOSE(VALUE(RIGHT(P213,1)),MARTES!H92,MARTES!K92,MARTES!N92,MARTES!Q92,MARTES!T92),""))</f>
        <v/>
      </c>
      <c r="I213" s="49" t="str">
        <f t="shared" si="6"/>
        <v/>
      </c>
      <c r="J213" s="50" t="str">
        <f>IF(P213="","",IFERROR(ROUND(CHOOSE(VALUE(RIGHT(P213,1)),IF(MARTES!C92="peso_corporal",IF(ISNUMBER(MARTES!E92),MARTES!E92,0)+MARTES!F92,MARTES!F92)*MARTES!G92,IF(MARTES!C92="peso_corporal",IF(ISNUMBER(MARTES!E92),MARTES!E92,0)+MARTES!I92,MARTES!I92)*MARTES!J92,IF(MARTES!C92="peso_corporal",IF(ISNUMBER(MARTES!E92),MARTES!E92,0)+MARTES!L92,MARTES!L92)*MARTES!M92,IF(MARTES!C92="peso_corporal",IF(ISNUMBER(MARTES!E92),MARTES!E92,0)+MARTES!O92,MARTES!O92)*MARTES!P92,IF(MARTES!C92="peso_corporal",IF(ISNUMBER(MARTES!E92),MARTES!E92,0)+MARTES!R92,MARTES!R92)*MARTES!S92),1),""))</f>
        <v/>
      </c>
      <c r="K213" s="51" t="str">
        <f>IF(P213="","",IFERROR(ROUND(CHOOSE(VALUE(RIGHT(P213,1)),(IF(MARTES!C92="peso_corporal",IF(ISNUMBER(MARTES!E92),MARTES!E92,0)+MARTES!F92,MARTES!F92))*(1+MARTES!G92/30),(IF(MARTES!C92="peso_corporal",IF(ISNUMBER(MARTES!E92),MARTES!E92,0)+MARTES!I92,MARTES!I92))*(1+MARTES!J92/30),(IF(MARTES!C92="peso_corporal",IF(ISNUMBER(MARTES!E92),MARTES!E92,0)+MARTES!L92,MARTES!L92))*(1+MARTES!M92/30),(IF(MARTES!C92="peso_corporal",IF(ISNUMBER(MARTES!E92),MARTES!E92,0)+MARTES!O92,MARTES!O92))*(1+MARTES!P92/30),(IF(MARTES!C92="peso_corporal",IF(ISNUMBER(MARTES!E92),MARTES!E92,0)+MARTES!R92,MARTES!R92))*(1+MARTES!S92/30)),1),""))</f>
        <v/>
      </c>
      <c r="L213" s="52">
        <f>IFERROR(MARTES!E92,"")</f>
        <v>80</v>
      </c>
      <c r="M213" s="53" t="str">
        <f>IFERROR(IF(K213="","-",IF(ISNUMBER(LOOKUP(2,1/((HISTORIAL!$O$3:$O$212=O213)*(HISTORIAL!$F$3:$F$212&lt;&gt;"")),HISTORIAL!$K$3:$K$212)),IF(K213&gt;LOOKUP(2,1/((HISTORIAL!$O$3:$O$212=O213)*(HISTORIAL!$F$3:$F$212&lt;&gt;"")),HISTORIAL!$K$3:$K$212),"^",IF(K213&lt;LOOKUP(2,1/((HISTORIAL!$O$3:$O$212=O213)*(HISTORIAL!$F$3:$F$212&lt;&gt;"")),HISTORIAL!$K$3:$K$212),"v","-")),"-")),"-")</f>
        <v>-</v>
      </c>
      <c r="N213" s="54" t="str">
        <f>IFERROR(VLOOKUP(A213,CONFIG!$A$10:$B$21,2,0),"")</f>
        <v>HIP</v>
      </c>
      <c r="O213" s="55" t="str">
        <f t="shared" si="7"/>
        <v>Crunch|Polea</v>
      </c>
      <c r="P213" s="69" t="str">
        <f>MARTES!AC92</f>
        <v/>
      </c>
    </row>
    <row r="214" spans="1:16" ht="14.1" customHeight="1">
      <c r="A214" s="37">
        <v>4</v>
      </c>
      <c r="B214" s="37" t="s">
        <v>279</v>
      </c>
      <c r="C214" s="44" t="str">
        <f>MIERCOLES!$A$78</f>
        <v>Curl Femoral</v>
      </c>
      <c r="D214" s="45" t="str">
        <f>MIERCOLES!$B$78</f>
        <v>Tumbado Maquina</v>
      </c>
      <c r="E214" s="37" t="str">
        <f>MIERCOLES!$C$78</f>
        <v>polea</v>
      </c>
      <c r="F214" s="46" t="str">
        <f>IF(P214="","",IFERROR(CHOOSE(VALUE(RIGHT(P214,1)),MIERCOLES!F78,MIERCOLES!I78,MIERCOLES!L78,MIERCOLES!O78,MIERCOLES!R78),""))</f>
        <v/>
      </c>
      <c r="G214" s="47" t="str">
        <f>IF(P214="","",IFERROR(CHOOSE(VALUE(RIGHT(P214,1)),MIERCOLES!G78,MIERCOLES!J78,MIERCOLES!M78,MIERCOLES!P78,MIERCOLES!S78),""))</f>
        <v/>
      </c>
      <c r="H214" s="48" t="str">
        <f>IF(P214="","",IFERROR(CHOOSE(VALUE(RIGHT(P214,1)),MIERCOLES!H78,MIERCOLES!K78,MIERCOLES!N78,MIERCOLES!Q78,MIERCOLES!T78),""))</f>
        <v/>
      </c>
      <c r="I214" s="49" t="str">
        <f t="shared" si="6"/>
        <v/>
      </c>
      <c r="J214" s="50" t="str">
        <f>IF(P214="","",IFERROR(ROUND(CHOOSE(VALUE(RIGHT(P214,1)),IF(MIERCOLES!C78="peso_corporal",IF(ISNUMBER(MIERCOLES!E78),MIERCOLES!E78,0)+MIERCOLES!F78,MIERCOLES!F78)*MIERCOLES!G78,IF(MIERCOLES!C78="peso_corporal",IF(ISNUMBER(MIERCOLES!E78),MIERCOLES!E78,0)+MIERCOLES!I78,MIERCOLES!I78)*MIERCOLES!J78,IF(MIERCOLES!C78="peso_corporal",IF(ISNUMBER(MIERCOLES!E78),MIERCOLES!E78,0)+MIERCOLES!L78,MIERCOLES!L78)*MIERCOLES!M78,IF(MIERCOLES!C78="peso_corporal",IF(ISNUMBER(MIERCOLES!E78),MIERCOLES!E78,0)+MIERCOLES!O78,MIERCOLES!O78)*MIERCOLES!P78,IF(MIERCOLES!C78="peso_corporal",IF(ISNUMBER(MIERCOLES!E78),MIERCOLES!E78,0)+MIERCOLES!R78,MIERCOLES!R78)*MIERCOLES!S78),1),""))</f>
        <v/>
      </c>
      <c r="K214" s="51" t="str">
        <f>IF(P214="","",IFERROR(ROUND(CHOOSE(VALUE(RIGHT(P214,1)),(IF(MIERCOLES!C78="peso_corporal",IF(ISNUMBER(MIERCOLES!E78),MIERCOLES!E78,0)+MIERCOLES!F78,MIERCOLES!F78))*(1+MIERCOLES!G78/30),(IF(MIERCOLES!C78="peso_corporal",IF(ISNUMBER(MIERCOLES!E78),MIERCOLES!E78,0)+MIERCOLES!I78,MIERCOLES!I78))*(1+MIERCOLES!J78/30),(IF(MIERCOLES!C78="peso_corporal",IF(ISNUMBER(MIERCOLES!E78),MIERCOLES!E78,0)+MIERCOLES!L78,MIERCOLES!L78))*(1+MIERCOLES!M78/30),(IF(MIERCOLES!C78="peso_corporal",IF(ISNUMBER(MIERCOLES!E78),MIERCOLES!E78,0)+MIERCOLES!O78,MIERCOLES!O78))*(1+MIERCOLES!P78/30),(IF(MIERCOLES!C78="peso_corporal",IF(ISNUMBER(MIERCOLES!E78),MIERCOLES!E78,0)+MIERCOLES!R78,MIERCOLES!R78))*(1+MIERCOLES!S78/30)),1),""))</f>
        <v/>
      </c>
      <c r="L214" s="52">
        <f>IFERROR(MIERCOLES!E78,"")</f>
        <v>80</v>
      </c>
      <c r="M214" s="53" t="str">
        <f>IFERROR(IF(K214="","-",IF(ISNUMBER(LOOKUP(2,1/((HISTORIAL!$O$3:$O$213=O214)*(HISTORIAL!$F$3:$F$213&lt;&gt;"")),HISTORIAL!$K$3:$K$213)),IF(K214&gt;LOOKUP(2,1/((HISTORIAL!$O$3:$O$213=O214)*(HISTORIAL!$F$3:$F$213&lt;&gt;"")),HISTORIAL!$K$3:$K$213),"^",IF(K214&lt;LOOKUP(2,1/((HISTORIAL!$O$3:$O$213=O214)*(HISTORIAL!$F$3:$F$213&lt;&gt;"")),HISTORIAL!$K$3:$K$213),"v","-")),"-")),"-")</f>
        <v>-</v>
      </c>
      <c r="N214" s="54" t="str">
        <f>IFERROR(VLOOKUP(A214,CONFIG!$A$10:$B$21,2,0),"")</f>
        <v>HIP</v>
      </c>
      <c r="O214" s="55" t="str">
        <f t="shared" si="7"/>
        <v>Curl Femoral|Tumbado Maquina</v>
      </c>
      <c r="P214" s="69" t="str">
        <f>MIERCOLES!AC78</f>
        <v/>
      </c>
    </row>
    <row r="215" spans="1:16" ht="14.1" customHeight="1">
      <c r="A215" s="37">
        <v>4</v>
      </c>
      <c r="B215" s="37" t="s">
        <v>279</v>
      </c>
      <c r="C215" s="44" t="str">
        <f>MIERCOLES!$A$79</f>
        <v>Curl Femoral</v>
      </c>
      <c r="D215" s="45" t="str">
        <f>MIERCOLES!$B$79</f>
        <v>Sentado Maquina</v>
      </c>
      <c r="E215" s="37" t="str">
        <f>MIERCOLES!$C$79</f>
        <v>polea</v>
      </c>
      <c r="F215" s="46" t="str">
        <f>IF(P215="","",IFERROR(CHOOSE(VALUE(RIGHT(P215,1)),MIERCOLES!F79,MIERCOLES!I79,MIERCOLES!L79,MIERCOLES!O79,MIERCOLES!R79),""))</f>
        <v/>
      </c>
      <c r="G215" s="47" t="str">
        <f>IF(P215="","",IFERROR(CHOOSE(VALUE(RIGHT(P215,1)),MIERCOLES!G79,MIERCOLES!J79,MIERCOLES!M79,MIERCOLES!P79,MIERCOLES!S79),""))</f>
        <v/>
      </c>
      <c r="H215" s="48" t="str">
        <f>IF(P215="","",IFERROR(CHOOSE(VALUE(RIGHT(P215,1)),MIERCOLES!H79,MIERCOLES!K79,MIERCOLES!N79,MIERCOLES!Q79,MIERCOLES!T79),""))</f>
        <v/>
      </c>
      <c r="I215" s="49" t="str">
        <f t="shared" si="6"/>
        <v/>
      </c>
      <c r="J215" s="50" t="str">
        <f>IF(P215="","",IFERROR(ROUND(CHOOSE(VALUE(RIGHT(P215,1)),IF(MIERCOLES!C79="peso_corporal",IF(ISNUMBER(MIERCOLES!E79),MIERCOLES!E79,0)+MIERCOLES!F79,MIERCOLES!F79)*MIERCOLES!G79,IF(MIERCOLES!C79="peso_corporal",IF(ISNUMBER(MIERCOLES!E79),MIERCOLES!E79,0)+MIERCOLES!I79,MIERCOLES!I79)*MIERCOLES!J79,IF(MIERCOLES!C79="peso_corporal",IF(ISNUMBER(MIERCOLES!E79),MIERCOLES!E79,0)+MIERCOLES!L79,MIERCOLES!L79)*MIERCOLES!M79,IF(MIERCOLES!C79="peso_corporal",IF(ISNUMBER(MIERCOLES!E79),MIERCOLES!E79,0)+MIERCOLES!O79,MIERCOLES!O79)*MIERCOLES!P79,IF(MIERCOLES!C79="peso_corporal",IF(ISNUMBER(MIERCOLES!E79),MIERCOLES!E79,0)+MIERCOLES!R79,MIERCOLES!R79)*MIERCOLES!S79),1),""))</f>
        <v/>
      </c>
      <c r="K215" s="51" t="str">
        <f>IF(P215="","",IFERROR(ROUND(CHOOSE(VALUE(RIGHT(P215,1)),(IF(MIERCOLES!C79="peso_corporal",IF(ISNUMBER(MIERCOLES!E79),MIERCOLES!E79,0)+MIERCOLES!F79,MIERCOLES!F79))*(1+MIERCOLES!G79/30),(IF(MIERCOLES!C79="peso_corporal",IF(ISNUMBER(MIERCOLES!E79),MIERCOLES!E79,0)+MIERCOLES!I79,MIERCOLES!I79))*(1+MIERCOLES!J79/30),(IF(MIERCOLES!C79="peso_corporal",IF(ISNUMBER(MIERCOLES!E79),MIERCOLES!E79,0)+MIERCOLES!L79,MIERCOLES!L79))*(1+MIERCOLES!M79/30),(IF(MIERCOLES!C79="peso_corporal",IF(ISNUMBER(MIERCOLES!E79),MIERCOLES!E79,0)+MIERCOLES!O79,MIERCOLES!O79))*(1+MIERCOLES!P79/30),(IF(MIERCOLES!C79="peso_corporal",IF(ISNUMBER(MIERCOLES!E79),MIERCOLES!E79,0)+MIERCOLES!R79,MIERCOLES!R79))*(1+MIERCOLES!S79/30)),1),""))</f>
        <v/>
      </c>
      <c r="L215" s="52">
        <f>IFERROR(MIERCOLES!E79,"")</f>
        <v>80</v>
      </c>
      <c r="M215" s="53" t="str">
        <f>IFERROR(IF(K215="","-",IF(ISNUMBER(LOOKUP(2,1/((HISTORIAL!$O$3:$O$214=O215)*(HISTORIAL!$F$3:$F$214&lt;&gt;"")),HISTORIAL!$K$3:$K$214)),IF(K215&gt;LOOKUP(2,1/((HISTORIAL!$O$3:$O$214=O215)*(HISTORIAL!$F$3:$F$214&lt;&gt;"")),HISTORIAL!$K$3:$K$214),"^",IF(K215&lt;LOOKUP(2,1/((HISTORIAL!$O$3:$O$214=O215)*(HISTORIAL!$F$3:$F$214&lt;&gt;"")),HISTORIAL!$K$3:$K$214),"v","-")),"-")),"-")</f>
        <v>-</v>
      </c>
      <c r="N215" s="54" t="str">
        <f>IFERROR(VLOOKUP(A215,CONFIG!$A$10:$B$21,2,0),"")</f>
        <v>HIP</v>
      </c>
      <c r="O215" s="55" t="str">
        <f t="shared" si="7"/>
        <v>Curl Femoral|Sentado Maquina</v>
      </c>
      <c r="P215" s="69" t="str">
        <f>MIERCOLES!AC79</f>
        <v/>
      </c>
    </row>
    <row r="216" spans="1:16" ht="14.1" customHeight="1">
      <c r="A216" s="37">
        <v>4</v>
      </c>
      <c r="B216" s="37" t="s">
        <v>279</v>
      </c>
      <c r="C216" s="44" t="str">
        <f>MIERCOLES!$A$80</f>
        <v>Curl Rumano</v>
      </c>
      <c r="D216" s="45" t="str">
        <f>MIERCOLES!$B$80</f>
        <v>Mancuernas</v>
      </c>
      <c r="E216" s="37" t="str">
        <f>MIERCOLES!$C$80</f>
        <v>mancuerna</v>
      </c>
      <c r="F216" s="46" t="str">
        <f>IF(P216="","",IFERROR(CHOOSE(VALUE(RIGHT(P216,1)),MIERCOLES!F80,MIERCOLES!I80,MIERCOLES!L80,MIERCOLES!O80,MIERCOLES!R80),""))</f>
        <v/>
      </c>
      <c r="G216" s="47" t="str">
        <f>IF(P216="","",IFERROR(CHOOSE(VALUE(RIGHT(P216,1)),MIERCOLES!G80,MIERCOLES!J80,MIERCOLES!M80,MIERCOLES!P80,MIERCOLES!S80),""))</f>
        <v/>
      </c>
      <c r="H216" s="48" t="str">
        <f>IF(P216="","",IFERROR(CHOOSE(VALUE(RIGHT(P216,1)),MIERCOLES!H80,MIERCOLES!K80,MIERCOLES!N80,MIERCOLES!Q80,MIERCOLES!T80),""))</f>
        <v/>
      </c>
      <c r="I216" s="49" t="str">
        <f t="shared" si="6"/>
        <v/>
      </c>
      <c r="J216" s="50" t="str">
        <f>IF(P216="","",IFERROR(ROUND(CHOOSE(VALUE(RIGHT(P216,1)),IF(MIERCOLES!C80="peso_corporal",IF(ISNUMBER(MIERCOLES!E80),MIERCOLES!E80,0)+MIERCOLES!F80,MIERCOLES!F80)*MIERCOLES!G80,IF(MIERCOLES!C80="peso_corporal",IF(ISNUMBER(MIERCOLES!E80),MIERCOLES!E80,0)+MIERCOLES!I80,MIERCOLES!I80)*MIERCOLES!J80,IF(MIERCOLES!C80="peso_corporal",IF(ISNUMBER(MIERCOLES!E80),MIERCOLES!E80,0)+MIERCOLES!L80,MIERCOLES!L80)*MIERCOLES!M80,IF(MIERCOLES!C80="peso_corporal",IF(ISNUMBER(MIERCOLES!E80),MIERCOLES!E80,0)+MIERCOLES!O80,MIERCOLES!O80)*MIERCOLES!P80,IF(MIERCOLES!C80="peso_corporal",IF(ISNUMBER(MIERCOLES!E80),MIERCOLES!E80,0)+MIERCOLES!R80,MIERCOLES!R80)*MIERCOLES!S80),1),""))</f>
        <v/>
      </c>
      <c r="K216" s="51" t="str">
        <f>IF(P216="","",IFERROR(ROUND(CHOOSE(VALUE(RIGHT(P216,1)),(IF(MIERCOLES!C80="peso_corporal",IF(ISNUMBER(MIERCOLES!E80),MIERCOLES!E80,0)+MIERCOLES!F80,MIERCOLES!F80))*(1+MIERCOLES!G80/30),(IF(MIERCOLES!C80="peso_corporal",IF(ISNUMBER(MIERCOLES!E80),MIERCOLES!E80,0)+MIERCOLES!I80,MIERCOLES!I80))*(1+MIERCOLES!J80/30),(IF(MIERCOLES!C80="peso_corporal",IF(ISNUMBER(MIERCOLES!E80),MIERCOLES!E80,0)+MIERCOLES!L80,MIERCOLES!L80))*(1+MIERCOLES!M80/30),(IF(MIERCOLES!C80="peso_corporal",IF(ISNUMBER(MIERCOLES!E80),MIERCOLES!E80,0)+MIERCOLES!O80,MIERCOLES!O80))*(1+MIERCOLES!P80/30),(IF(MIERCOLES!C80="peso_corporal",IF(ISNUMBER(MIERCOLES!E80),MIERCOLES!E80,0)+MIERCOLES!R80,MIERCOLES!R80))*(1+MIERCOLES!S80/30)),1),""))</f>
        <v/>
      </c>
      <c r="L216" s="52">
        <f>IFERROR(MIERCOLES!E80,"")</f>
        <v>80</v>
      </c>
      <c r="M216" s="53" t="str">
        <f>IFERROR(IF(K216="","-",IF(ISNUMBER(LOOKUP(2,1/((HISTORIAL!$O$3:$O$215=O216)*(HISTORIAL!$F$3:$F$215&lt;&gt;"")),HISTORIAL!$K$3:$K$215)),IF(K216&gt;LOOKUP(2,1/((HISTORIAL!$O$3:$O$215=O216)*(HISTORIAL!$F$3:$F$215&lt;&gt;"")),HISTORIAL!$K$3:$K$215),"^",IF(K216&lt;LOOKUP(2,1/((HISTORIAL!$O$3:$O$215=O216)*(HISTORIAL!$F$3:$F$215&lt;&gt;"")),HISTORIAL!$K$3:$K$215),"v","-")),"-")),"-")</f>
        <v>-</v>
      </c>
      <c r="N216" s="54" t="str">
        <f>IFERROR(VLOOKUP(A216,CONFIG!$A$10:$B$21,2,0),"")</f>
        <v>HIP</v>
      </c>
      <c r="O216" s="55" t="str">
        <f t="shared" si="7"/>
        <v>Curl Rumano|Mancuernas</v>
      </c>
      <c r="P216" s="69" t="str">
        <f>MIERCOLES!AC80</f>
        <v/>
      </c>
    </row>
    <row r="217" spans="1:16" ht="14.1" customHeight="1">
      <c r="A217" s="37">
        <v>4</v>
      </c>
      <c r="B217" s="37" t="s">
        <v>279</v>
      </c>
      <c r="C217" s="44" t="str">
        <f>MIERCOLES!$A$82</f>
        <v>Sentadilla</v>
      </c>
      <c r="D217" s="45" t="str">
        <f>MIERCOLES!$B$82</f>
        <v>Multipower Cuna Talones</v>
      </c>
      <c r="E217" s="37" t="str">
        <f>MIERCOLES!$C$82</f>
        <v>--</v>
      </c>
      <c r="F217" s="46" t="str">
        <f>IF(P217="","",IFERROR(CHOOSE(VALUE(RIGHT(P217,1)),MIERCOLES!F82,MIERCOLES!I82,MIERCOLES!L82,MIERCOLES!O82,MIERCOLES!R82),""))</f>
        <v/>
      </c>
      <c r="G217" s="47" t="str">
        <f>IF(P217="","",IFERROR(CHOOSE(VALUE(RIGHT(P217,1)),MIERCOLES!G82,MIERCOLES!J82,MIERCOLES!M82,MIERCOLES!P82,MIERCOLES!S82),""))</f>
        <v/>
      </c>
      <c r="H217" s="48" t="str">
        <f>IF(P217="","",IFERROR(CHOOSE(VALUE(RIGHT(P217,1)),MIERCOLES!H82,MIERCOLES!K82,MIERCOLES!N82,MIERCOLES!Q82,MIERCOLES!T82),""))</f>
        <v/>
      </c>
      <c r="I217" s="49" t="str">
        <f t="shared" si="6"/>
        <v/>
      </c>
      <c r="J217" s="50" t="str">
        <f>IF(P217="","",IFERROR(ROUND(CHOOSE(VALUE(RIGHT(P217,1)),IF(MIERCOLES!C82="peso_corporal",IF(ISNUMBER(MIERCOLES!E82),MIERCOLES!E82,0)+MIERCOLES!F82,MIERCOLES!F82)*MIERCOLES!G82,IF(MIERCOLES!C82="peso_corporal",IF(ISNUMBER(MIERCOLES!E82),MIERCOLES!E82,0)+MIERCOLES!I82,MIERCOLES!I82)*MIERCOLES!J82,IF(MIERCOLES!C82="peso_corporal",IF(ISNUMBER(MIERCOLES!E82),MIERCOLES!E82,0)+MIERCOLES!L82,MIERCOLES!L82)*MIERCOLES!M82,IF(MIERCOLES!C82="peso_corporal",IF(ISNUMBER(MIERCOLES!E82),MIERCOLES!E82,0)+MIERCOLES!O82,MIERCOLES!O82)*MIERCOLES!P82,IF(MIERCOLES!C82="peso_corporal",IF(ISNUMBER(MIERCOLES!E82),MIERCOLES!E82,0)+MIERCOLES!R82,MIERCOLES!R82)*MIERCOLES!S82),1),""))</f>
        <v/>
      </c>
      <c r="K217" s="51" t="str">
        <f>IF(P217="","",IFERROR(ROUND(CHOOSE(VALUE(RIGHT(P217,1)),(IF(MIERCOLES!C82="peso_corporal",IF(ISNUMBER(MIERCOLES!E82),MIERCOLES!E82,0)+MIERCOLES!F82,MIERCOLES!F82))*(1+MIERCOLES!G82/30),(IF(MIERCOLES!C82="peso_corporal",IF(ISNUMBER(MIERCOLES!E82),MIERCOLES!E82,0)+MIERCOLES!I82,MIERCOLES!I82))*(1+MIERCOLES!J82/30),(IF(MIERCOLES!C82="peso_corporal",IF(ISNUMBER(MIERCOLES!E82),MIERCOLES!E82,0)+MIERCOLES!L82,MIERCOLES!L82))*(1+MIERCOLES!M82/30),(IF(MIERCOLES!C82="peso_corporal",IF(ISNUMBER(MIERCOLES!E82),MIERCOLES!E82,0)+MIERCOLES!O82,MIERCOLES!O82))*(1+MIERCOLES!P82/30),(IF(MIERCOLES!C82="peso_corporal",IF(ISNUMBER(MIERCOLES!E82),MIERCOLES!E82,0)+MIERCOLES!R82,MIERCOLES!R82))*(1+MIERCOLES!S82/30)),1),""))</f>
        <v/>
      </c>
      <c r="L217" s="52">
        <f>IFERROR(MIERCOLES!E82,"")</f>
        <v>80</v>
      </c>
      <c r="M217" s="53" t="str">
        <f>IFERROR(IF(K217="","-",IF(ISNUMBER(LOOKUP(2,1/((HISTORIAL!$O$3:$O$216=O217)*(HISTORIAL!$F$3:$F$216&lt;&gt;"")),HISTORIAL!$K$3:$K$216)),IF(K217&gt;LOOKUP(2,1/((HISTORIAL!$O$3:$O$216=O217)*(HISTORIAL!$F$3:$F$216&lt;&gt;"")),HISTORIAL!$K$3:$K$216),"^",IF(K217&lt;LOOKUP(2,1/((HISTORIAL!$O$3:$O$216=O217)*(HISTORIAL!$F$3:$F$216&lt;&gt;"")),HISTORIAL!$K$3:$K$216),"v","-")),"-")),"-")</f>
        <v>-</v>
      </c>
      <c r="N217" s="54" t="str">
        <f>IFERROR(VLOOKUP(A217,CONFIG!$A$10:$B$21,2,0),"")</f>
        <v>HIP</v>
      </c>
      <c r="O217" s="55" t="str">
        <f t="shared" si="7"/>
        <v>Sentadilla|Multipower Cuna Talones</v>
      </c>
      <c r="P217" s="69" t="str">
        <f>MIERCOLES!AC82</f>
        <v/>
      </c>
    </row>
    <row r="218" spans="1:16" ht="14.1" customHeight="1">
      <c r="A218" s="37">
        <v>4</v>
      </c>
      <c r="B218" s="37" t="s">
        <v>279</v>
      </c>
      <c r="C218" s="44" t="str">
        <f>MIERCOLES!$A$83</f>
        <v>Prensa Pierna</v>
      </c>
      <c r="D218" s="45" t="str">
        <f>MIERCOLES!$B$83</f>
        <v>Individual Horizontal</v>
      </c>
      <c r="E218" s="37" t="str">
        <f>MIERCOLES!$C$83</f>
        <v>--</v>
      </c>
      <c r="F218" s="46" t="str">
        <f>IF(P218="","",IFERROR(CHOOSE(VALUE(RIGHT(P218,1)),MIERCOLES!F83,MIERCOLES!I83,MIERCOLES!L83,MIERCOLES!O83,MIERCOLES!R83),""))</f>
        <v/>
      </c>
      <c r="G218" s="47" t="str">
        <f>IF(P218="","",IFERROR(CHOOSE(VALUE(RIGHT(P218,1)),MIERCOLES!G83,MIERCOLES!J83,MIERCOLES!M83,MIERCOLES!P83,MIERCOLES!S83),""))</f>
        <v/>
      </c>
      <c r="H218" s="48" t="str">
        <f>IF(P218="","",IFERROR(CHOOSE(VALUE(RIGHT(P218,1)),MIERCOLES!H83,MIERCOLES!K83,MIERCOLES!N83,MIERCOLES!Q83,MIERCOLES!T83),""))</f>
        <v/>
      </c>
      <c r="I218" s="49" t="str">
        <f t="shared" si="6"/>
        <v/>
      </c>
      <c r="J218" s="50" t="str">
        <f>IF(P218="","",IFERROR(ROUND(CHOOSE(VALUE(RIGHT(P218,1)),IF(MIERCOLES!C83="peso_corporal",IF(ISNUMBER(MIERCOLES!E83),MIERCOLES!E83,0)+MIERCOLES!F83,MIERCOLES!F83)*MIERCOLES!G83,IF(MIERCOLES!C83="peso_corporal",IF(ISNUMBER(MIERCOLES!E83),MIERCOLES!E83,0)+MIERCOLES!I83,MIERCOLES!I83)*MIERCOLES!J83,IF(MIERCOLES!C83="peso_corporal",IF(ISNUMBER(MIERCOLES!E83),MIERCOLES!E83,0)+MIERCOLES!L83,MIERCOLES!L83)*MIERCOLES!M83,IF(MIERCOLES!C83="peso_corporal",IF(ISNUMBER(MIERCOLES!E83),MIERCOLES!E83,0)+MIERCOLES!O83,MIERCOLES!O83)*MIERCOLES!P83,IF(MIERCOLES!C83="peso_corporal",IF(ISNUMBER(MIERCOLES!E83),MIERCOLES!E83,0)+MIERCOLES!R83,MIERCOLES!R83)*MIERCOLES!S83),1),""))</f>
        <v/>
      </c>
      <c r="K218" s="51" t="str">
        <f>IF(P218="","",IFERROR(ROUND(CHOOSE(VALUE(RIGHT(P218,1)),(IF(MIERCOLES!C83="peso_corporal",IF(ISNUMBER(MIERCOLES!E83),MIERCOLES!E83,0)+MIERCOLES!F83,MIERCOLES!F83))*(1+MIERCOLES!G83/30),(IF(MIERCOLES!C83="peso_corporal",IF(ISNUMBER(MIERCOLES!E83),MIERCOLES!E83,0)+MIERCOLES!I83,MIERCOLES!I83))*(1+MIERCOLES!J83/30),(IF(MIERCOLES!C83="peso_corporal",IF(ISNUMBER(MIERCOLES!E83),MIERCOLES!E83,0)+MIERCOLES!L83,MIERCOLES!L83))*(1+MIERCOLES!M83/30),(IF(MIERCOLES!C83="peso_corporal",IF(ISNUMBER(MIERCOLES!E83),MIERCOLES!E83,0)+MIERCOLES!O83,MIERCOLES!O83))*(1+MIERCOLES!P83/30),(IF(MIERCOLES!C83="peso_corporal",IF(ISNUMBER(MIERCOLES!E83),MIERCOLES!E83,0)+MIERCOLES!R83,MIERCOLES!R83))*(1+MIERCOLES!S83/30)),1),""))</f>
        <v/>
      </c>
      <c r="L218" s="52">
        <f>IFERROR(MIERCOLES!E83,"")</f>
        <v>80</v>
      </c>
      <c r="M218" s="53" t="str">
        <f>IFERROR(IF(K218="","-",IF(ISNUMBER(LOOKUP(2,1/((HISTORIAL!$O$3:$O$217=O218)*(HISTORIAL!$F$3:$F$217&lt;&gt;"")),HISTORIAL!$K$3:$K$217)),IF(K218&gt;LOOKUP(2,1/((HISTORIAL!$O$3:$O$217=O218)*(HISTORIAL!$F$3:$F$217&lt;&gt;"")),HISTORIAL!$K$3:$K$217),"^",IF(K218&lt;LOOKUP(2,1/((HISTORIAL!$O$3:$O$217=O218)*(HISTORIAL!$F$3:$F$217&lt;&gt;"")),HISTORIAL!$K$3:$K$217),"v","-")),"-")),"-")</f>
        <v>-</v>
      </c>
      <c r="N218" s="54" t="str">
        <f>IFERROR(VLOOKUP(A218,CONFIG!$A$10:$B$21,2,0),"")</f>
        <v>HIP</v>
      </c>
      <c r="O218" s="55" t="str">
        <f t="shared" si="7"/>
        <v>Prensa Pierna|Individual Horizontal</v>
      </c>
      <c r="P218" s="69" t="str">
        <f>MIERCOLES!AC83</f>
        <v/>
      </c>
    </row>
    <row r="219" spans="1:16" ht="14.1" customHeight="1">
      <c r="A219" s="37">
        <v>4</v>
      </c>
      <c r="B219" s="37" t="s">
        <v>279</v>
      </c>
      <c r="C219" s="44" t="str">
        <f>MIERCOLES!$A$84</f>
        <v>Extension Cuadriceps</v>
      </c>
      <c r="D219" s="45" t="str">
        <f>MIERCOLES!$B$84</f>
        <v>Vasto Externo</v>
      </c>
      <c r="E219" s="37" t="str">
        <f>MIERCOLES!$C$84</f>
        <v>--</v>
      </c>
      <c r="F219" s="46" t="str">
        <f>IF(P219="","",IFERROR(CHOOSE(VALUE(RIGHT(P219,1)),MIERCOLES!F84,MIERCOLES!I84,MIERCOLES!L84,MIERCOLES!O84,MIERCOLES!R84),""))</f>
        <v/>
      </c>
      <c r="G219" s="47" t="str">
        <f>IF(P219="","",IFERROR(CHOOSE(VALUE(RIGHT(P219,1)),MIERCOLES!G84,MIERCOLES!J84,MIERCOLES!M84,MIERCOLES!P84,MIERCOLES!S84),""))</f>
        <v/>
      </c>
      <c r="H219" s="48" t="str">
        <f>IF(P219="","",IFERROR(CHOOSE(VALUE(RIGHT(P219,1)),MIERCOLES!H84,MIERCOLES!K84,MIERCOLES!N84,MIERCOLES!Q84,MIERCOLES!T84),""))</f>
        <v/>
      </c>
      <c r="I219" s="49" t="str">
        <f t="shared" si="6"/>
        <v/>
      </c>
      <c r="J219" s="50" t="str">
        <f>IF(P219="","",IFERROR(ROUND(CHOOSE(VALUE(RIGHT(P219,1)),IF(MIERCOLES!C84="peso_corporal",IF(ISNUMBER(MIERCOLES!E84),MIERCOLES!E84,0)+MIERCOLES!F84,MIERCOLES!F84)*MIERCOLES!G84,IF(MIERCOLES!C84="peso_corporal",IF(ISNUMBER(MIERCOLES!E84),MIERCOLES!E84,0)+MIERCOLES!I84,MIERCOLES!I84)*MIERCOLES!J84,IF(MIERCOLES!C84="peso_corporal",IF(ISNUMBER(MIERCOLES!E84),MIERCOLES!E84,0)+MIERCOLES!L84,MIERCOLES!L84)*MIERCOLES!M84,IF(MIERCOLES!C84="peso_corporal",IF(ISNUMBER(MIERCOLES!E84),MIERCOLES!E84,0)+MIERCOLES!O84,MIERCOLES!O84)*MIERCOLES!P84,IF(MIERCOLES!C84="peso_corporal",IF(ISNUMBER(MIERCOLES!E84),MIERCOLES!E84,0)+MIERCOLES!R84,MIERCOLES!R84)*MIERCOLES!S84),1),""))</f>
        <v/>
      </c>
      <c r="K219" s="51" t="str">
        <f>IF(P219="","",IFERROR(ROUND(CHOOSE(VALUE(RIGHT(P219,1)),(IF(MIERCOLES!C84="peso_corporal",IF(ISNUMBER(MIERCOLES!E84),MIERCOLES!E84,0)+MIERCOLES!F84,MIERCOLES!F84))*(1+MIERCOLES!G84/30),(IF(MIERCOLES!C84="peso_corporal",IF(ISNUMBER(MIERCOLES!E84),MIERCOLES!E84,0)+MIERCOLES!I84,MIERCOLES!I84))*(1+MIERCOLES!J84/30),(IF(MIERCOLES!C84="peso_corporal",IF(ISNUMBER(MIERCOLES!E84),MIERCOLES!E84,0)+MIERCOLES!L84,MIERCOLES!L84))*(1+MIERCOLES!M84/30),(IF(MIERCOLES!C84="peso_corporal",IF(ISNUMBER(MIERCOLES!E84),MIERCOLES!E84,0)+MIERCOLES!O84,MIERCOLES!O84))*(1+MIERCOLES!P84/30),(IF(MIERCOLES!C84="peso_corporal",IF(ISNUMBER(MIERCOLES!E84),MIERCOLES!E84,0)+MIERCOLES!R84,MIERCOLES!R84))*(1+MIERCOLES!S84/30)),1),""))</f>
        <v/>
      </c>
      <c r="L219" s="52">
        <f>IFERROR(MIERCOLES!E84,"")</f>
        <v>80</v>
      </c>
      <c r="M219" s="53" t="str">
        <f>IFERROR(IF(K219="","-",IF(ISNUMBER(LOOKUP(2,1/((HISTORIAL!$O$3:$O$218=O219)*(HISTORIAL!$F$3:$F$218&lt;&gt;"")),HISTORIAL!$K$3:$K$218)),IF(K219&gt;LOOKUP(2,1/((HISTORIAL!$O$3:$O$218=O219)*(HISTORIAL!$F$3:$F$218&lt;&gt;"")),HISTORIAL!$K$3:$K$218),"^",IF(K219&lt;LOOKUP(2,1/((HISTORIAL!$O$3:$O$218=O219)*(HISTORIAL!$F$3:$F$218&lt;&gt;"")),HISTORIAL!$K$3:$K$218),"v","-")),"-")),"-")</f>
        <v>-</v>
      </c>
      <c r="N219" s="54" t="str">
        <f>IFERROR(VLOOKUP(A219,CONFIG!$A$10:$B$21,2,0),"")</f>
        <v>HIP</v>
      </c>
      <c r="O219" s="55" t="str">
        <f t="shared" si="7"/>
        <v>Extension Cuadriceps|Vasto Externo</v>
      </c>
      <c r="P219" s="69" t="str">
        <f>MIERCOLES!AC84</f>
        <v/>
      </c>
    </row>
    <row r="220" spans="1:16" ht="14.1" customHeight="1">
      <c r="A220" s="37">
        <v>4</v>
      </c>
      <c r="B220" s="37" t="s">
        <v>279</v>
      </c>
      <c r="C220" s="44" t="str">
        <f>MIERCOLES!$A$85</f>
        <v>Extension Cuadriceps</v>
      </c>
      <c r="D220" s="45" t="str">
        <f>MIERCOLES!$B$85</f>
        <v>Vasto Interno</v>
      </c>
      <c r="E220" s="37" t="str">
        <f>MIERCOLES!$C$85</f>
        <v>--</v>
      </c>
      <c r="F220" s="46" t="str">
        <f>IF(P220="","",IFERROR(CHOOSE(VALUE(RIGHT(P220,1)),MIERCOLES!F85,MIERCOLES!I85,MIERCOLES!L85,MIERCOLES!O85,MIERCOLES!R85),""))</f>
        <v/>
      </c>
      <c r="G220" s="47" t="str">
        <f>IF(P220="","",IFERROR(CHOOSE(VALUE(RIGHT(P220,1)),MIERCOLES!G85,MIERCOLES!J85,MIERCOLES!M85,MIERCOLES!P85,MIERCOLES!S85),""))</f>
        <v/>
      </c>
      <c r="H220" s="48" t="str">
        <f>IF(P220="","",IFERROR(CHOOSE(VALUE(RIGHT(P220,1)),MIERCOLES!H85,MIERCOLES!K85,MIERCOLES!N85,MIERCOLES!Q85,MIERCOLES!T85),""))</f>
        <v/>
      </c>
      <c r="I220" s="49" t="str">
        <f t="shared" si="6"/>
        <v/>
      </c>
      <c r="J220" s="50" t="str">
        <f>IF(P220="","",IFERROR(ROUND(CHOOSE(VALUE(RIGHT(P220,1)),IF(MIERCOLES!C85="peso_corporal",IF(ISNUMBER(MIERCOLES!E85),MIERCOLES!E85,0)+MIERCOLES!F85,MIERCOLES!F85)*MIERCOLES!G85,IF(MIERCOLES!C85="peso_corporal",IF(ISNUMBER(MIERCOLES!E85),MIERCOLES!E85,0)+MIERCOLES!I85,MIERCOLES!I85)*MIERCOLES!J85,IF(MIERCOLES!C85="peso_corporal",IF(ISNUMBER(MIERCOLES!E85),MIERCOLES!E85,0)+MIERCOLES!L85,MIERCOLES!L85)*MIERCOLES!M85,IF(MIERCOLES!C85="peso_corporal",IF(ISNUMBER(MIERCOLES!E85),MIERCOLES!E85,0)+MIERCOLES!O85,MIERCOLES!O85)*MIERCOLES!P85,IF(MIERCOLES!C85="peso_corporal",IF(ISNUMBER(MIERCOLES!E85),MIERCOLES!E85,0)+MIERCOLES!R85,MIERCOLES!R85)*MIERCOLES!S85),1),""))</f>
        <v/>
      </c>
      <c r="K220" s="51" t="str">
        <f>IF(P220="","",IFERROR(ROUND(CHOOSE(VALUE(RIGHT(P220,1)),(IF(MIERCOLES!C85="peso_corporal",IF(ISNUMBER(MIERCOLES!E85),MIERCOLES!E85,0)+MIERCOLES!F85,MIERCOLES!F85))*(1+MIERCOLES!G85/30),(IF(MIERCOLES!C85="peso_corporal",IF(ISNUMBER(MIERCOLES!E85),MIERCOLES!E85,0)+MIERCOLES!I85,MIERCOLES!I85))*(1+MIERCOLES!J85/30),(IF(MIERCOLES!C85="peso_corporal",IF(ISNUMBER(MIERCOLES!E85),MIERCOLES!E85,0)+MIERCOLES!L85,MIERCOLES!L85))*(1+MIERCOLES!M85/30),(IF(MIERCOLES!C85="peso_corporal",IF(ISNUMBER(MIERCOLES!E85),MIERCOLES!E85,0)+MIERCOLES!O85,MIERCOLES!O85))*(1+MIERCOLES!P85/30),(IF(MIERCOLES!C85="peso_corporal",IF(ISNUMBER(MIERCOLES!E85),MIERCOLES!E85,0)+MIERCOLES!R85,MIERCOLES!R85))*(1+MIERCOLES!S85/30)),1),""))</f>
        <v/>
      </c>
      <c r="L220" s="52">
        <f>IFERROR(MIERCOLES!E85,"")</f>
        <v>80</v>
      </c>
      <c r="M220" s="53" t="str">
        <f>IFERROR(IF(K220="","-",IF(ISNUMBER(LOOKUP(2,1/((HISTORIAL!$O$3:$O$219=O220)*(HISTORIAL!$F$3:$F$219&lt;&gt;"")),HISTORIAL!$K$3:$K$219)),IF(K220&gt;LOOKUP(2,1/((HISTORIAL!$O$3:$O$219=O220)*(HISTORIAL!$F$3:$F$219&lt;&gt;"")),HISTORIAL!$K$3:$K$219),"^",IF(K220&lt;LOOKUP(2,1/((HISTORIAL!$O$3:$O$219=O220)*(HISTORIAL!$F$3:$F$219&lt;&gt;"")),HISTORIAL!$K$3:$K$219),"v","-")),"-")),"-")</f>
        <v>-</v>
      </c>
      <c r="N220" s="54" t="str">
        <f>IFERROR(VLOOKUP(A220,CONFIG!$A$10:$B$21,2,0),"")</f>
        <v>HIP</v>
      </c>
      <c r="O220" s="55" t="str">
        <f t="shared" si="7"/>
        <v>Extension Cuadriceps|Vasto Interno</v>
      </c>
      <c r="P220" s="69" t="str">
        <f>MIERCOLES!AC85</f>
        <v/>
      </c>
    </row>
    <row r="221" spans="1:16" ht="14.1" customHeight="1">
      <c r="A221" s="37">
        <v>4</v>
      </c>
      <c r="B221" s="37" t="s">
        <v>279</v>
      </c>
      <c r="C221" s="44" t="str">
        <f>MIERCOLES!$A$87</f>
        <v>Elevacion Gemelo</v>
      </c>
      <c r="D221" s="45" t="str">
        <f>MIERCOLES!$B$87</f>
        <v>Sentado</v>
      </c>
      <c r="E221" s="37" t="str">
        <f>MIERCOLES!$C$87</f>
        <v>disco</v>
      </c>
      <c r="F221" s="46" t="str">
        <f>IF(P221="","",IFERROR(CHOOSE(VALUE(RIGHT(P221,1)),MIERCOLES!F87,MIERCOLES!I87,MIERCOLES!L87,MIERCOLES!O87,MIERCOLES!R87),""))</f>
        <v/>
      </c>
      <c r="G221" s="47" t="str">
        <f>IF(P221="","",IFERROR(CHOOSE(VALUE(RIGHT(P221,1)),MIERCOLES!G87,MIERCOLES!J87,MIERCOLES!M87,MIERCOLES!P87,MIERCOLES!S87),""))</f>
        <v/>
      </c>
      <c r="H221" s="48" t="str">
        <f>IF(P221="","",IFERROR(CHOOSE(VALUE(RIGHT(P221,1)),MIERCOLES!H87,MIERCOLES!K87,MIERCOLES!N87,MIERCOLES!Q87,MIERCOLES!T87),""))</f>
        <v/>
      </c>
      <c r="I221" s="49" t="str">
        <f t="shared" si="6"/>
        <v/>
      </c>
      <c r="J221" s="50" t="str">
        <f>IF(P221="","",IFERROR(ROUND(CHOOSE(VALUE(RIGHT(P221,1)),IF(MIERCOLES!C87="peso_corporal",IF(ISNUMBER(MIERCOLES!E87),MIERCOLES!E87,0)+MIERCOLES!F87,MIERCOLES!F87)*MIERCOLES!G87,IF(MIERCOLES!C87="peso_corporal",IF(ISNUMBER(MIERCOLES!E87),MIERCOLES!E87,0)+MIERCOLES!I87,MIERCOLES!I87)*MIERCOLES!J87,IF(MIERCOLES!C87="peso_corporal",IF(ISNUMBER(MIERCOLES!E87),MIERCOLES!E87,0)+MIERCOLES!L87,MIERCOLES!L87)*MIERCOLES!M87,IF(MIERCOLES!C87="peso_corporal",IF(ISNUMBER(MIERCOLES!E87),MIERCOLES!E87,0)+MIERCOLES!O87,MIERCOLES!O87)*MIERCOLES!P87,IF(MIERCOLES!C87="peso_corporal",IF(ISNUMBER(MIERCOLES!E87),MIERCOLES!E87,0)+MIERCOLES!R87,MIERCOLES!R87)*MIERCOLES!S87),1),""))</f>
        <v/>
      </c>
      <c r="K221" s="51" t="str">
        <f>IF(P221="","",IFERROR(ROUND(CHOOSE(VALUE(RIGHT(P221,1)),(IF(MIERCOLES!C87="peso_corporal",IF(ISNUMBER(MIERCOLES!E87),MIERCOLES!E87,0)+MIERCOLES!F87,MIERCOLES!F87))*(1+MIERCOLES!G87/30),(IF(MIERCOLES!C87="peso_corporal",IF(ISNUMBER(MIERCOLES!E87),MIERCOLES!E87,0)+MIERCOLES!I87,MIERCOLES!I87))*(1+MIERCOLES!J87/30),(IF(MIERCOLES!C87="peso_corporal",IF(ISNUMBER(MIERCOLES!E87),MIERCOLES!E87,0)+MIERCOLES!L87,MIERCOLES!L87))*(1+MIERCOLES!M87/30),(IF(MIERCOLES!C87="peso_corporal",IF(ISNUMBER(MIERCOLES!E87),MIERCOLES!E87,0)+MIERCOLES!O87,MIERCOLES!O87))*(1+MIERCOLES!P87/30),(IF(MIERCOLES!C87="peso_corporal",IF(ISNUMBER(MIERCOLES!E87),MIERCOLES!E87,0)+MIERCOLES!R87,MIERCOLES!R87))*(1+MIERCOLES!S87/30)),1),""))</f>
        <v/>
      </c>
      <c r="L221" s="52">
        <f>IFERROR(MIERCOLES!E87,"")</f>
        <v>80</v>
      </c>
      <c r="M221" s="53" t="str">
        <f>IFERROR(IF(K221="","-",IF(ISNUMBER(LOOKUP(2,1/((HISTORIAL!$O$3:$O$220=O221)*(HISTORIAL!$F$3:$F$220&lt;&gt;"")),HISTORIAL!$K$3:$K$220)),IF(K221&gt;LOOKUP(2,1/((HISTORIAL!$O$3:$O$220=O221)*(HISTORIAL!$F$3:$F$220&lt;&gt;"")),HISTORIAL!$K$3:$K$220),"^",IF(K221&lt;LOOKUP(2,1/((HISTORIAL!$O$3:$O$220=O221)*(HISTORIAL!$F$3:$F$220&lt;&gt;"")),HISTORIAL!$K$3:$K$220),"v","-")),"-")),"-")</f>
        <v>-</v>
      </c>
      <c r="N221" s="54" t="str">
        <f>IFERROR(VLOOKUP(A221,CONFIG!$A$10:$B$21,2,0),"")</f>
        <v>HIP</v>
      </c>
      <c r="O221" s="55" t="str">
        <f t="shared" si="7"/>
        <v>Elevacion Gemelo|Sentado</v>
      </c>
      <c r="P221" s="69" t="str">
        <f>MIERCOLES!AC87</f>
        <v/>
      </c>
    </row>
    <row r="222" spans="1:16" ht="14.1" customHeight="1">
      <c r="A222" s="37">
        <v>4</v>
      </c>
      <c r="B222" s="37" t="s">
        <v>279</v>
      </c>
      <c r="C222" s="44" t="str">
        <f>MIERCOLES!$A$88</f>
        <v>Elevacion Gemelo</v>
      </c>
      <c r="D222" s="45" t="str">
        <f>MIERCOLES!$B$88</f>
        <v>De Pie</v>
      </c>
      <c r="E222" s="37" t="str">
        <f>MIERCOLES!$C$88</f>
        <v>disco</v>
      </c>
      <c r="F222" s="46" t="str">
        <f>IF(P222="","",IFERROR(CHOOSE(VALUE(RIGHT(P222,1)),MIERCOLES!F88,MIERCOLES!I88,MIERCOLES!L88,MIERCOLES!O88,MIERCOLES!R88),""))</f>
        <v/>
      </c>
      <c r="G222" s="47" t="str">
        <f>IF(P222="","",IFERROR(CHOOSE(VALUE(RIGHT(P222,1)),MIERCOLES!G88,MIERCOLES!J88,MIERCOLES!M88,MIERCOLES!P88,MIERCOLES!S88),""))</f>
        <v/>
      </c>
      <c r="H222" s="48" t="str">
        <f>IF(P222="","",IFERROR(CHOOSE(VALUE(RIGHT(P222,1)),MIERCOLES!H88,MIERCOLES!K88,MIERCOLES!N88,MIERCOLES!Q88,MIERCOLES!T88),""))</f>
        <v/>
      </c>
      <c r="I222" s="49" t="str">
        <f t="shared" si="6"/>
        <v/>
      </c>
      <c r="J222" s="50" t="str">
        <f>IF(P222="","",IFERROR(ROUND(CHOOSE(VALUE(RIGHT(P222,1)),IF(MIERCOLES!C88="peso_corporal",IF(ISNUMBER(MIERCOLES!E88),MIERCOLES!E88,0)+MIERCOLES!F88,MIERCOLES!F88)*MIERCOLES!G88,IF(MIERCOLES!C88="peso_corporal",IF(ISNUMBER(MIERCOLES!E88),MIERCOLES!E88,0)+MIERCOLES!I88,MIERCOLES!I88)*MIERCOLES!J88,IF(MIERCOLES!C88="peso_corporal",IF(ISNUMBER(MIERCOLES!E88),MIERCOLES!E88,0)+MIERCOLES!L88,MIERCOLES!L88)*MIERCOLES!M88,IF(MIERCOLES!C88="peso_corporal",IF(ISNUMBER(MIERCOLES!E88),MIERCOLES!E88,0)+MIERCOLES!O88,MIERCOLES!O88)*MIERCOLES!P88,IF(MIERCOLES!C88="peso_corporal",IF(ISNUMBER(MIERCOLES!E88),MIERCOLES!E88,0)+MIERCOLES!R88,MIERCOLES!R88)*MIERCOLES!S88),1),""))</f>
        <v/>
      </c>
      <c r="K222" s="51" t="str">
        <f>IF(P222="","",IFERROR(ROUND(CHOOSE(VALUE(RIGHT(P222,1)),(IF(MIERCOLES!C88="peso_corporal",IF(ISNUMBER(MIERCOLES!E88),MIERCOLES!E88,0)+MIERCOLES!F88,MIERCOLES!F88))*(1+MIERCOLES!G88/30),(IF(MIERCOLES!C88="peso_corporal",IF(ISNUMBER(MIERCOLES!E88),MIERCOLES!E88,0)+MIERCOLES!I88,MIERCOLES!I88))*(1+MIERCOLES!J88/30),(IF(MIERCOLES!C88="peso_corporal",IF(ISNUMBER(MIERCOLES!E88),MIERCOLES!E88,0)+MIERCOLES!L88,MIERCOLES!L88))*(1+MIERCOLES!M88/30),(IF(MIERCOLES!C88="peso_corporal",IF(ISNUMBER(MIERCOLES!E88),MIERCOLES!E88,0)+MIERCOLES!O88,MIERCOLES!O88))*(1+MIERCOLES!P88/30),(IF(MIERCOLES!C88="peso_corporal",IF(ISNUMBER(MIERCOLES!E88),MIERCOLES!E88,0)+MIERCOLES!R88,MIERCOLES!R88))*(1+MIERCOLES!S88/30)),1),""))</f>
        <v/>
      </c>
      <c r="L222" s="52">
        <f>IFERROR(MIERCOLES!E88,"")</f>
        <v>80</v>
      </c>
      <c r="M222" s="53" t="str">
        <f>IFERROR(IF(K222="","-",IF(ISNUMBER(LOOKUP(2,1/((HISTORIAL!$O$3:$O$221=O222)*(HISTORIAL!$F$3:$F$221&lt;&gt;"")),HISTORIAL!$K$3:$K$221)),IF(K222&gt;LOOKUP(2,1/((HISTORIAL!$O$3:$O$221=O222)*(HISTORIAL!$F$3:$F$221&lt;&gt;"")),HISTORIAL!$K$3:$K$221),"^",IF(K222&lt;LOOKUP(2,1/((HISTORIAL!$O$3:$O$221=O222)*(HISTORIAL!$F$3:$F$221&lt;&gt;"")),HISTORIAL!$K$3:$K$221),"v","-")),"-")),"-")</f>
        <v>-</v>
      </c>
      <c r="N222" s="54" t="str">
        <f>IFERROR(VLOOKUP(A222,CONFIG!$A$10:$B$21,2,0),"")</f>
        <v>HIP</v>
      </c>
      <c r="O222" s="55" t="str">
        <f t="shared" si="7"/>
        <v>Elevacion Gemelo|De Pie</v>
      </c>
      <c r="P222" s="69" t="str">
        <f>MIERCOLES!AC88</f>
        <v/>
      </c>
    </row>
    <row r="223" spans="1:16" ht="14.1" customHeight="1">
      <c r="A223" s="37">
        <v>4</v>
      </c>
      <c r="B223" s="37" t="s">
        <v>279</v>
      </c>
      <c r="C223" s="44" t="str">
        <f>MIERCOLES!$A$90</f>
        <v>Hiperextension</v>
      </c>
      <c r="D223" s="45" t="str">
        <f>MIERCOLES!$B$90</f>
        <v>Banco Romano</v>
      </c>
      <c r="E223" s="37" t="str">
        <f>MIERCOLES!$C$90</f>
        <v>peso_corporal</v>
      </c>
      <c r="F223" s="46" t="str">
        <f>IF(P223="","",IFERROR(CHOOSE(VALUE(RIGHT(P223,1)),MIERCOLES!F90,MIERCOLES!I90,MIERCOLES!L90,MIERCOLES!O90,MIERCOLES!R90),""))</f>
        <v/>
      </c>
      <c r="G223" s="47" t="str">
        <f>IF(P223="","",IFERROR(CHOOSE(VALUE(RIGHT(P223,1)),MIERCOLES!G90,MIERCOLES!J90,MIERCOLES!M90,MIERCOLES!P90,MIERCOLES!S90),""))</f>
        <v/>
      </c>
      <c r="H223" s="48" t="str">
        <f>IF(P223="","",IFERROR(CHOOSE(VALUE(RIGHT(P223,1)),MIERCOLES!H90,MIERCOLES!K90,MIERCOLES!N90,MIERCOLES!Q90,MIERCOLES!T90),""))</f>
        <v/>
      </c>
      <c r="I223" s="49" t="str">
        <f t="shared" si="6"/>
        <v/>
      </c>
      <c r="J223" s="50" t="str">
        <f>IF(P223="","",IFERROR(ROUND(CHOOSE(VALUE(RIGHT(P223,1)),IF(MIERCOLES!C90="peso_corporal",IF(ISNUMBER(MIERCOLES!E90),MIERCOLES!E90,0)+MIERCOLES!F90,MIERCOLES!F90)*MIERCOLES!G90,IF(MIERCOLES!C90="peso_corporal",IF(ISNUMBER(MIERCOLES!E90),MIERCOLES!E90,0)+MIERCOLES!I90,MIERCOLES!I90)*MIERCOLES!J90,IF(MIERCOLES!C90="peso_corporal",IF(ISNUMBER(MIERCOLES!E90),MIERCOLES!E90,0)+MIERCOLES!L90,MIERCOLES!L90)*MIERCOLES!M90,IF(MIERCOLES!C90="peso_corporal",IF(ISNUMBER(MIERCOLES!E90),MIERCOLES!E90,0)+MIERCOLES!O90,MIERCOLES!O90)*MIERCOLES!P90,IF(MIERCOLES!C90="peso_corporal",IF(ISNUMBER(MIERCOLES!E90),MIERCOLES!E90,0)+MIERCOLES!R90,MIERCOLES!R90)*MIERCOLES!S90),1),""))</f>
        <v/>
      </c>
      <c r="K223" s="51" t="str">
        <f>IF(P223="","",IFERROR(ROUND(CHOOSE(VALUE(RIGHT(P223,1)),(IF(MIERCOLES!C90="peso_corporal",IF(ISNUMBER(MIERCOLES!E90),MIERCOLES!E90,0)+MIERCOLES!F90,MIERCOLES!F90))*(1+MIERCOLES!G90/30),(IF(MIERCOLES!C90="peso_corporal",IF(ISNUMBER(MIERCOLES!E90),MIERCOLES!E90,0)+MIERCOLES!I90,MIERCOLES!I90))*(1+MIERCOLES!J90/30),(IF(MIERCOLES!C90="peso_corporal",IF(ISNUMBER(MIERCOLES!E90),MIERCOLES!E90,0)+MIERCOLES!L90,MIERCOLES!L90))*(1+MIERCOLES!M90/30),(IF(MIERCOLES!C90="peso_corporal",IF(ISNUMBER(MIERCOLES!E90),MIERCOLES!E90,0)+MIERCOLES!O90,MIERCOLES!O90))*(1+MIERCOLES!P90/30),(IF(MIERCOLES!C90="peso_corporal",IF(ISNUMBER(MIERCOLES!E90),MIERCOLES!E90,0)+MIERCOLES!R90,MIERCOLES!R90))*(1+MIERCOLES!S90/30)),1),""))</f>
        <v/>
      </c>
      <c r="L223" s="52">
        <f>IFERROR(MIERCOLES!E90,"")</f>
        <v>80</v>
      </c>
      <c r="M223" s="53" t="str">
        <f>IFERROR(IF(K223="","-",IF(ISNUMBER(LOOKUP(2,1/((HISTORIAL!$O$3:$O$222=O223)*(HISTORIAL!$F$3:$F$222&lt;&gt;"")),HISTORIAL!$K$3:$K$222)),IF(K223&gt;LOOKUP(2,1/((HISTORIAL!$O$3:$O$222=O223)*(HISTORIAL!$F$3:$F$222&lt;&gt;"")),HISTORIAL!$K$3:$K$222),"^",IF(K223&lt;LOOKUP(2,1/((HISTORIAL!$O$3:$O$222=O223)*(HISTORIAL!$F$3:$F$222&lt;&gt;"")),HISTORIAL!$K$3:$K$222),"v","-")),"-")),"-")</f>
        <v>-</v>
      </c>
      <c r="N223" s="54" t="str">
        <f>IFERROR(VLOOKUP(A223,CONFIG!$A$10:$B$21,2,0),"")</f>
        <v>HIP</v>
      </c>
      <c r="O223" s="55" t="str">
        <f t="shared" si="7"/>
        <v>Hiperextension|Banco Romano</v>
      </c>
      <c r="P223" s="69" t="str">
        <f>MIERCOLES!AC90</f>
        <v/>
      </c>
    </row>
    <row r="224" spans="1:16" ht="14.1" customHeight="1">
      <c r="A224" s="37">
        <v>4</v>
      </c>
      <c r="B224" s="37" t="s">
        <v>279</v>
      </c>
      <c r="C224" s="44" t="str">
        <f>MIERCOLES!$A$91</f>
        <v>Peso Muerto Parcial</v>
      </c>
      <c r="D224" s="45" t="str">
        <f>MIERCOLES!$B$91</f>
        <v>Barra</v>
      </c>
      <c r="E224" s="37" t="str">
        <f>MIERCOLES!$C$91</f>
        <v>disco</v>
      </c>
      <c r="F224" s="46" t="str">
        <f>IF(P224="","",IFERROR(CHOOSE(VALUE(RIGHT(P224,1)),MIERCOLES!F91,MIERCOLES!I91,MIERCOLES!L91,MIERCOLES!O91,MIERCOLES!R91),""))</f>
        <v/>
      </c>
      <c r="G224" s="47" t="str">
        <f>IF(P224="","",IFERROR(CHOOSE(VALUE(RIGHT(P224,1)),MIERCOLES!G91,MIERCOLES!J91,MIERCOLES!M91,MIERCOLES!P91,MIERCOLES!S91),""))</f>
        <v/>
      </c>
      <c r="H224" s="48" t="str">
        <f>IF(P224="","",IFERROR(CHOOSE(VALUE(RIGHT(P224,1)),MIERCOLES!H91,MIERCOLES!K91,MIERCOLES!N91,MIERCOLES!Q91,MIERCOLES!T91),""))</f>
        <v/>
      </c>
      <c r="I224" s="49" t="str">
        <f t="shared" si="6"/>
        <v/>
      </c>
      <c r="J224" s="50" t="str">
        <f>IF(P224="","",IFERROR(ROUND(CHOOSE(VALUE(RIGHT(P224,1)),IF(MIERCOLES!C91="peso_corporal",IF(ISNUMBER(MIERCOLES!E91),MIERCOLES!E91,0)+MIERCOLES!F91,MIERCOLES!F91)*MIERCOLES!G91,IF(MIERCOLES!C91="peso_corporal",IF(ISNUMBER(MIERCOLES!E91),MIERCOLES!E91,0)+MIERCOLES!I91,MIERCOLES!I91)*MIERCOLES!J91,IF(MIERCOLES!C91="peso_corporal",IF(ISNUMBER(MIERCOLES!E91),MIERCOLES!E91,0)+MIERCOLES!L91,MIERCOLES!L91)*MIERCOLES!M91,IF(MIERCOLES!C91="peso_corporal",IF(ISNUMBER(MIERCOLES!E91),MIERCOLES!E91,0)+MIERCOLES!O91,MIERCOLES!O91)*MIERCOLES!P91,IF(MIERCOLES!C91="peso_corporal",IF(ISNUMBER(MIERCOLES!E91),MIERCOLES!E91,0)+MIERCOLES!R91,MIERCOLES!R91)*MIERCOLES!S91),1),""))</f>
        <v/>
      </c>
      <c r="K224" s="51" t="str">
        <f>IF(P224="","",IFERROR(ROUND(CHOOSE(VALUE(RIGHT(P224,1)),(IF(MIERCOLES!C91="peso_corporal",IF(ISNUMBER(MIERCOLES!E91),MIERCOLES!E91,0)+MIERCOLES!F91,MIERCOLES!F91))*(1+MIERCOLES!G91/30),(IF(MIERCOLES!C91="peso_corporal",IF(ISNUMBER(MIERCOLES!E91),MIERCOLES!E91,0)+MIERCOLES!I91,MIERCOLES!I91))*(1+MIERCOLES!J91/30),(IF(MIERCOLES!C91="peso_corporal",IF(ISNUMBER(MIERCOLES!E91),MIERCOLES!E91,0)+MIERCOLES!L91,MIERCOLES!L91))*(1+MIERCOLES!M91/30),(IF(MIERCOLES!C91="peso_corporal",IF(ISNUMBER(MIERCOLES!E91),MIERCOLES!E91,0)+MIERCOLES!O91,MIERCOLES!O91))*(1+MIERCOLES!P91/30),(IF(MIERCOLES!C91="peso_corporal",IF(ISNUMBER(MIERCOLES!E91),MIERCOLES!E91,0)+MIERCOLES!R91,MIERCOLES!R91))*(1+MIERCOLES!S91/30)),1),""))</f>
        <v/>
      </c>
      <c r="L224" s="52">
        <f>IFERROR(MIERCOLES!E91,"")</f>
        <v>80</v>
      </c>
      <c r="M224" s="53" t="str">
        <f>IFERROR(IF(K224="","-",IF(ISNUMBER(LOOKUP(2,1/((HISTORIAL!$O$3:$O$223=O224)*(HISTORIAL!$F$3:$F$223&lt;&gt;"")),HISTORIAL!$K$3:$K$223)),IF(K224&gt;LOOKUP(2,1/((HISTORIAL!$O$3:$O$223=O224)*(HISTORIAL!$F$3:$F$223&lt;&gt;"")),HISTORIAL!$K$3:$K$223),"^",IF(K224&lt;LOOKUP(2,1/((HISTORIAL!$O$3:$O$223=O224)*(HISTORIAL!$F$3:$F$223&lt;&gt;"")),HISTORIAL!$K$3:$K$223),"v","-")),"-")),"-")</f>
        <v>-</v>
      </c>
      <c r="N224" s="54" t="str">
        <f>IFERROR(VLOOKUP(A224,CONFIG!$A$10:$B$21,2,0),"")</f>
        <v>HIP</v>
      </c>
      <c r="O224" s="55" t="str">
        <f t="shared" si="7"/>
        <v>Peso Muerto Parcial|Barra</v>
      </c>
      <c r="P224" s="69" t="str">
        <f>MIERCOLES!AC91</f>
        <v/>
      </c>
    </row>
    <row r="225" spans="1:16" ht="14.1" customHeight="1">
      <c r="A225" s="37">
        <v>4</v>
      </c>
      <c r="B225" s="37" t="s">
        <v>279</v>
      </c>
      <c r="C225" s="44" t="str">
        <f>MIERCOLES!$A$93</f>
        <v>Crunch</v>
      </c>
      <c r="D225" s="45" t="str">
        <f>MIERCOLES!$B$93</f>
        <v>Polea</v>
      </c>
      <c r="E225" s="37" t="str">
        <f>MIERCOLES!$C$93</f>
        <v>polea</v>
      </c>
      <c r="F225" s="46" t="str">
        <f>IF(P225="","",IFERROR(CHOOSE(VALUE(RIGHT(P225,1)),MIERCOLES!F93,MIERCOLES!I93,MIERCOLES!L93,MIERCOLES!O93,MIERCOLES!R93),""))</f>
        <v/>
      </c>
      <c r="G225" s="47" t="str">
        <f>IF(P225="","",IFERROR(CHOOSE(VALUE(RIGHT(P225,1)),MIERCOLES!G93,MIERCOLES!J93,MIERCOLES!M93,MIERCOLES!P93,MIERCOLES!S93),""))</f>
        <v/>
      </c>
      <c r="H225" s="48" t="str">
        <f>IF(P225="","",IFERROR(CHOOSE(VALUE(RIGHT(P225,1)),MIERCOLES!H93,MIERCOLES!K93,MIERCOLES!N93,MIERCOLES!Q93,MIERCOLES!T93),""))</f>
        <v/>
      </c>
      <c r="I225" s="49" t="str">
        <f t="shared" si="6"/>
        <v/>
      </c>
      <c r="J225" s="50" t="str">
        <f>IF(P225="","",IFERROR(ROUND(CHOOSE(VALUE(RIGHT(P225,1)),IF(MIERCOLES!C93="peso_corporal",IF(ISNUMBER(MIERCOLES!E93),MIERCOLES!E93,0)+MIERCOLES!F93,MIERCOLES!F93)*MIERCOLES!G93,IF(MIERCOLES!C93="peso_corporal",IF(ISNUMBER(MIERCOLES!E93),MIERCOLES!E93,0)+MIERCOLES!I93,MIERCOLES!I93)*MIERCOLES!J93,IF(MIERCOLES!C93="peso_corporal",IF(ISNUMBER(MIERCOLES!E93),MIERCOLES!E93,0)+MIERCOLES!L93,MIERCOLES!L93)*MIERCOLES!M93,IF(MIERCOLES!C93="peso_corporal",IF(ISNUMBER(MIERCOLES!E93),MIERCOLES!E93,0)+MIERCOLES!O93,MIERCOLES!O93)*MIERCOLES!P93,IF(MIERCOLES!C93="peso_corporal",IF(ISNUMBER(MIERCOLES!E93),MIERCOLES!E93,0)+MIERCOLES!R93,MIERCOLES!R93)*MIERCOLES!S93),1),""))</f>
        <v/>
      </c>
      <c r="K225" s="51" t="str">
        <f>IF(P225="","",IFERROR(ROUND(CHOOSE(VALUE(RIGHT(P225,1)),(IF(MIERCOLES!C93="peso_corporal",IF(ISNUMBER(MIERCOLES!E93),MIERCOLES!E93,0)+MIERCOLES!F93,MIERCOLES!F93))*(1+MIERCOLES!G93/30),(IF(MIERCOLES!C93="peso_corporal",IF(ISNUMBER(MIERCOLES!E93),MIERCOLES!E93,0)+MIERCOLES!I93,MIERCOLES!I93))*(1+MIERCOLES!J93/30),(IF(MIERCOLES!C93="peso_corporal",IF(ISNUMBER(MIERCOLES!E93),MIERCOLES!E93,0)+MIERCOLES!L93,MIERCOLES!L93))*(1+MIERCOLES!M93/30),(IF(MIERCOLES!C93="peso_corporal",IF(ISNUMBER(MIERCOLES!E93),MIERCOLES!E93,0)+MIERCOLES!O93,MIERCOLES!O93))*(1+MIERCOLES!P93/30),(IF(MIERCOLES!C93="peso_corporal",IF(ISNUMBER(MIERCOLES!E93),MIERCOLES!E93,0)+MIERCOLES!R93,MIERCOLES!R93))*(1+MIERCOLES!S93/30)),1),""))</f>
        <v/>
      </c>
      <c r="L225" s="52">
        <f>IFERROR(MIERCOLES!E93,"")</f>
        <v>80</v>
      </c>
      <c r="M225" s="53" t="str">
        <f>IFERROR(IF(K225="","-",IF(ISNUMBER(LOOKUP(2,1/((HISTORIAL!$O$3:$O$224=O225)*(HISTORIAL!$F$3:$F$224&lt;&gt;"")),HISTORIAL!$K$3:$K$224)),IF(K225&gt;LOOKUP(2,1/((HISTORIAL!$O$3:$O$224=O225)*(HISTORIAL!$F$3:$F$224&lt;&gt;"")),HISTORIAL!$K$3:$K$224),"^",IF(K225&lt;LOOKUP(2,1/((HISTORIAL!$O$3:$O$224=O225)*(HISTORIAL!$F$3:$F$224&lt;&gt;"")),HISTORIAL!$K$3:$K$224),"v","-")),"-")),"-")</f>
        <v>-</v>
      </c>
      <c r="N225" s="54" t="str">
        <f>IFERROR(VLOOKUP(A225,CONFIG!$A$10:$B$21,2,0),"")</f>
        <v>HIP</v>
      </c>
      <c r="O225" s="55" t="str">
        <f t="shared" si="7"/>
        <v>Crunch|Polea</v>
      </c>
      <c r="P225" s="69" t="str">
        <f>MIERCOLES!AC93</f>
        <v/>
      </c>
    </row>
    <row r="226" spans="1:16" ht="14.1" customHeight="1">
      <c r="A226" s="37">
        <v>4</v>
      </c>
      <c r="B226" s="37" t="s">
        <v>279</v>
      </c>
      <c r="C226" s="44" t="str">
        <f>MIERCOLES!$A$94</f>
        <v>Plancha</v>
      </c>
      <c r="D226" s="45" t="str">
        <f>MIERCOLES!$B$94</f>
        <v>Abdominal</v>
      </c>
      <c r="E226" s="37" t="str">
        <f>MIERCOLES!$C$94</f>
        <v>--</v>
      </c>
      <c r="F226" s="46" t="str">
        <f>IF(P226="","",IFERROR(CHOOSE(VALUE(RIGHT(P226,1)),MIERCOLES!F94,MIERCOLES!I94,MIERCOLES!L94,MIERCOLES!O94,MIERCOLES!R94),""))</f>
        <v/>
      </c>
      <c r="G226" s="47" t="str">
        <f>IF(P226="","",IFERROR(CHOOSE(VALUE(RIGHT(P226,1)),MIERCOLES!G94,MIERCOLES!J94,MIERCOLES!M94,MIERCOLES!P94,MIERCOLES!S94),""))</f>
        <v/>
      </c>
      <c r="H226" s="48" t="str">
        <f>IF(P226="","",IFERROR(CHOOSE(VALUE(RIGHT(P226,1)),MIERCOLES!H94,MIERCOLES!K94,MIERCOLES!N94,MIERCOLES!Q94,MIERCOLES!T94),""))</f>
        <v/>
      </c>
      <c r="I226" s="49" t="str">
        <f t="shared" si="6"/>
        <v/>
      </c>
      <c r="J226" s="50" t="str">
        <f>IF(P226="","",IFERROR(ROUND(CHOOSE(VALUE(RIGHT(P226,1)),IF(MIERCOLES!C94="peso_corporal",IF(ISNUMBER(MIERCOLES!E94),MIERCOLES!E94,0)+MIERCOLES!F94,MIERCOLES!F94)*MIERCOLES!G94,IF(MIERCOLES!C94="peso_corporal",IF(ISNUMBER(MIERCOLES!E94),MIERCOLES!E94,0)+MIERCOLES!I94,MIERCOLES!I94)*MIERCOLES!J94,IF(MIERCOLES!C94="peso_corporal",IF(ISNUMBER(MIERCOLES!E94),MIERCOLES!E94,0)+MIERCOLES!L94,MIERCOLES!L94)*MIERCOLES!M94,IF(MIERCOLES!C94="peso_corporal",IF(ISNUMBER(MIERCOLES!E94),MIERCOLES!E94,0)+MIERCOLES!O94,MIERCOLES!O94)*MIERCOLES!P94,IF(MIERCOLES!C94="peso_corporal",IF(ISNUMBER(MIERCOLES!E94),MIERCOLES!E94,0)+MIERCOLES!R94,MIERCOLES!R94)*MIERCOLES!S94),1),""))</f>
        <v/>
      </c>
      <c r="K226" s="51" t="str">
        <f>IF(P226="","",IFERROR(ROUND(CHOOSE(VALUE(RIGHT(P226,1)),(IF(MIERCOLES!C94="peso_corporal",IF(ISNUMBER(MIERCOLES!E94),MIERCOLES!E94,0)+MIERCOLES!F94,MIERCOLES!F94))*(1+MIERCOLES!G94/30),(IF(MIERCOLES!C94="peso_corporal",IF(ISNUMBER(MIERCOLES!E94),MIERCOLES!E94,0)+MIERCOLES!I94,MIERCOLES!I94))*(1+MIERCOLES!J94/30),(IF(MIERCOLES!C94="peso_corporal",IF(ISNUMBER(MIERCOLES!E94),MIERCOLES!E94,0)+MIERCOLES!L94,MIERCOLES!L94))*(1+MIERCOLES!M94/30),(IF(MIERCOLES!C94="peso_corporal",IF(ISNUMBER(MIERCOLES!E94),MIERCOLES!E94,0)+MIERCOLES!O94,MIERCOLES!O94))*(1+MIERCOLES!P94/30),(IF(MIERCOLES!C94="peso_corporal",IF(ISNUMBER(MIERCOLES!E94),MIERCOLES!E94,0)+MIERCOLES!R94,MIERCOLES!R94))*(1+MIERCOLES!S94/30)),1),""))</f>
        <v/>
      </c>
      <c r="L226" s="52">
        <f>IFERROR(MIERCOLES!E94,"")</f>
        <v>80</v>
      </c>
      <c r="M226" s="53" t="str">
        <f>IFERROR(IF(K226="","-",IF(ISNUMBER(LOOKUP(2,1/((HISTORIAL!$O$3:$O$225=O226)*(HISTORIAL!$F$3:$F$225&lt;&gt;"")),HISTORIAL!$K$3:$K$225)),IF(K226&gt;LOOKUP(2,1/((HISTORIAL!$O$3:$O$225=O226)*(HISTORIAL!$F$3:$F$225&lt;&gt;"")),HISTORIAL!$K$3:$K$225),"^",IF(K226&lt;LOOKUP(2,1/((HISTORIAL!$O$3:$O$225=O226)*(HISTORIAL!$F$3:$F$225&lt;&gt;"")),HISTORIAL!$K$3:$K$225),"v","-")),"-")),"-")</f>
        <v>-</v>
      </c>
      <c r="N226" s="54" t="str">
        <f>IFERROR(VLOOKUP(A226,CONFIG!$A$10:$B$21,2,0),"")</f>
        <v>HIP</v>
      </c>
      <c r="O226" s="55" t="str">
        <f t="shared" si="7"/>
        <v>Plancha|Abdominal</v>
      </c>
      <c r="P226" s="69" t="str">
        <f>MIERCOLES!AC94</f>
        <v/>
      </c>
    </row>
    <row r="227" spans="1:16" ht="14.1" customHeight="1">
      <c r="A227" s="37">
        <v>4</v>
      </c>
      <c r="B227" s="37" t="s">
        <v>279</v>
      </c>
      <c r="C227" s="44" t="str">
        <f>MIERCOLES!$A$95</f>
        <v>Rueda Abdominal</v>
      </c>
      <c r="D227" s="45" t="str">
        <f>MIERCOLES!$B$95</f>
        <v>Ab Wheel</v>
      </c>
      <c r="E227" s="37" t="str">
        <f>MIERCOLES!$C$95</f>
        <v>--</v>
      </c>
      <c r="F227" s="46" t="str">
        <f>IF(P227="","",IFERROR(CHOOSE(VALUE(RIGHT(P227,1)),MIERCOLES!F95,MIERCOLES!I95,MIERCOLES!L95,MIERCOLES!O95,MIERCOLES!R95),""))</f>
        <v/>
      </c>
      <c r="G227" s="47" t="str">
        <f>IF(P227="","",IFERROR(CHOOSE(VALUE(RIGHT(P227,1)),MIERCOLES!G95,MIERCOLES!J95,MIERCOLES!M95,MIERCOLES!P95,MIERCOLES!S95),""))</f>
        <v/>
      </c>
      <c r="H227" s="48" t="str">
        <f>IF(P227="","",IFERROR(CHOOSE(VALUE(RIGHT(P227,1)),MIERCOLES!H95,MIERCOLES!K95,MIERCOLES!N95,MIERCOLES!Q95,MIERCOLES!T95),""))</f>
        <v/>
      </c>
      <c r="I227" s="49" t="str">
        <f t="shared" si="6"/>
        <v/>
      </c>
      <c r="J227" s="50" t="str">
        <f>IF(P227="","",IFERROR(ROUND(CHOOSE(VALUE(RIGHT(P227,1)),IF(MIERCOLES!C95="peso_corporal",IF(ISNUMBER(MIERCOLES!E95),MIERCOLES!E95,0)+MIERCOLES!F95,MIERCOLES!F95)*MIERCOLES!G95,IF(MIERCOLES!C95="peso_corporal",IF(ISNUMBER(MIERCOLES!E95),MIERCOLES!E95,0)+MIERCOLES!I95,MIERCOLES!I95)*MIERCOLES!J95,IF(MIERCOLES!C95="peso_corporal",IF(ISNUMBER(MIERCOLES!E95),MIERCOLES!E95,0)+MIERCOLES!L95,MIERCOLES!L95)*MIERCOLES!M95,IF(MIERCOLES!C95="peso_corporal",IF(ISNUMBER(MIERCOLES!E95),MIERCOLES!E95,0)+MIERCOLES!O95,MIERCOLES!O95)*MIERCOLES!P95,IF(MIERCOLES!C95="peso_corporal",IF(ISNUMBER(MIERCOLES!E95),MIERCOLES!E95,0)+MIERCOLES!R95,MIERCOLES!R95)*MIERCOLES!S95),1),""))</f>
        <v/>
      </c>
      <c r="K227" s="51" t="str">
        <f>IF(P227="","",IFERROR(ROUND(CHOOSE(VALUE(RIGHT(P227,1)),(IF(MIERCOLES!C95="peso_corporal",IF(ISNUMBER(MIERCOLES!E95),MIERCOLES!E95,0)+MIERCOLES!F95,MIERCOLES!F95))*(1+MIERCOLES!G95/30),(IF(MIERCOLES!C95="peso_corporal",IF(ISNUMBER(MIERCOLES!E95),MIERCOLES!E95,0)+MIERCOLES!I95,MIERCOLES!I95))*(1+MIERCOLES!J95/30),(IF(MIERCOLES!C95="peso_corporal",IF(ISNUMBER(MIERCOLES!E95),MIERCOLES!E95,0)+MIERCOLES!L95,MIERCOLES!L95))*(1+MIERCOLES!M95/30),(IF(MIERCOLES!C95="peso_corporal",IF(ISNUMBER(MIERCOLES!E95),MIERCOLES!E95,0)+MIERCOLES!O95,MIERCOLES!O95))*(1+MIERCOLES!P95/30),(IF(MIERCOLES!C95="peso_corporal",IF(ISNUMBER(MIERCOLES!E95),MIERCOLES!E95,0)+MIERCOLES!R95,MIERCOLES!R95))*(1+MIERCOLES!S95/30)),1),""))</f>
        <v/>
      </c>
      <c r="L227" s="52">
        <f>IFERROR(MIERCOLES!E95,"")</f>
        <v>80</v>
      </c>
      <c r="M227" s="53" t="str">
        <f>IFERROR(IF(K227="","-",IF(ISNUMBER(LOOKUP(2,1/((HISTORIAL!$O$3:$O$226=O227)*(HISTORIAL!$F$3:$F$226&lt;&gt;"")),HISTORIAL!$K$3:$K$226)),IF(K227&gt;LOOKUP(2,1/((HISTORIAL!$O$3:$O$226=O227)*(HISTORIAL!$F$3:$F$226&lt;&gt;"")),HISTORIAL!$K$3:$K$226),"^",IF(K227&lt;LOOKUP(2,1/((HISTORIAL!$O$3:$O$226=O227)*(HISTORIAL!$F$3:$F$226&lt;&gt;"")),HISTORIAL!$K$3:$K$226),"v","-")),"-")),"-")</f>
        <v>-</v>
      </c>
      <c r="N227" s="54" t="str">
        <f>IFERROR(VLOOKUP(A227,CONFIG!$A$10:$B$21,2,0),"")</f>
        <v>HIP</v>
      </c>
      <c r="O227" s="55" t="str">
        <f t="shared" si="7"/>
        <v>Rueda Abdominal|Ab Wheel</v>
      </c>
      <c r="P227" s="69" t="str">
        <f>MIERCOLES!AC95</f>
        <v/>
      </c>
    </row>
    <row r="228" spans="1:16" ht="14.1" customHeight="1">
      <c r="A228" s="37">
        <v>4</v>
      </c>
      <c r="B228" s="37" t="s">
        <v>279</v>
      </c>
      <c r="C228" s="44" t="str">
        <f>MIERCOLES!$A$96</f>
        <v>Elevacion Piernas</v>
      </c>
      <c r="D228" s="45" t="str">
        <f>MIERCOLES!$B$96</f>
        <v>Colgado</v>
      </c>
      <c r="E228" s="37" t="str">
        <f>MIERCOLES!$C$96</f>
        <v>peso_corporal</v>
      </c>
      <c r="F228" s="46" t="str">
        <f>IF(P228="","",IFERROR(CHOOSE(VALUE(RIGHT(P228,1)),MIERCOLES!F96,MIERCOLES!I96,MIERCOLES!L96,MIERCOLES!O96,MIERCOLES!R96),""))</f>
        <v/>
      </c>
      <c r="G228" s="47" t="str">
        <f>IF(P228="","",IFERROR(CHOOSE(VALUE(RIGHT(P228,1)),MIERCOLES!G96,MIERCOLES!J96,MIERCOLES!M96,MIERCOLES!P96,MIERCOLES!S96),""))</f>
        <v/>
      </c>
      <c r="H228" s="48" t="str">
        <f>IF(P228="","",IFERROR(CHOOSE(VALUE(RIGHT(P228,1)),MIERCOLES!H96,MIERCOLES!K96,MIERCOLES!N96,MIERCOLES!Q96,MIERCOLES!T96),""))</f>
        <v/>
      </c>
      <c r="I228" s="49" t="str">
        <f t="shared" si="6"/>
        <v/>
      </c>
      <c r="J228" s="50" t="str">
        <f>IF(P228="","",IFERROR(ROUND(CHOOSE(VALUE(RIGHT(P228,1)),IF(MIERCOLES!C96="peso_corporal",IF(ISNUMBER(MIERCOLES!E96),MIERCOLES!E96,0)+MIERCOLES!F96,MIERCOLES!F96)*MIERCOLES!G96,IF(MIERCOLES!C96="peso_corporal",IF(ISNUMBER(MIERCOLES!E96),MIERCOLES!E96,0)+MIERCOLES!I96,MIERCOLES!I96)*MIERCOLES!J96,IF(MIERCOLES!C96="peso_corporal",IF(ISNUMBER(MIERCOLES!E96),MIERCOLES!E96,0)+MIERCOLES!L96,MIERCOLES!L96)*MIERCOLES!M96,IF(MIERCOLES!C96="peso_corporal",IF(ISNUMBER(MIERCOLES!E96),MIERCOLES!E96,0)+MIERCOLES!O96,MIERCOLES!O96)*MIERCOLES!P96,IF(MIERCOLES!C96="peso_corporal",IF(ISNUMBER(MIERCOLES!E96),MIERCOLES!E96,0)+MIERCOLES!R96,MIERCOLES!R96)*MIERCOLES!S96),1),""))</f>
        <v/>
      </c>
      <c r="K228" s="51" t="str">
        <f>IF(P228="","",IFERROR(ROUND(CHOOSE(VALUE(RIGHT(P228,1)),(IF(MIERCOLES!C96="peso_corporal",IF(ISNUMBER(MIERCOLES!E96),MIERCOLES!E96,0)+MIERCOLES!F96,MIERCOLES!F96))*(1+MIERCOLES!G96/30),(IF(MIERCOLES!C96="peso_corporal",IF(ISNUMBER(MIERCOLES!E96),MIERCOLES!E96,0)+MIERCOLES!I96,MIERCOLES!I96))*(1+MIERCOLES!J96/30),(IF(MIERCOLES!C96="peso_corporal",IF(ISNUMBER(MIERCOLES!E96),MIERCOLES!E96,0)+MIERCOLES!L96,MIERCOLES!L96))*(1+MIERCOLES!M96/30),(IF(MIERCOLES!C96="peso_corporal",IF(ISNUMBER(MIERCOLES!E96),MIERCOLES!E96,0)+MIERCOLES!O96,MIERCOLES!O96))*(1+MIERCOLES!P96/30),(IF(MIERCOLES!C96="peso_corporal",IF(ISNUMBER(MIERCOLES!E96),MIERCOLES!E96,0)+MIERCOLES!R96,MIERCOLES!R96))*(1+MIERCOLES!S96/30)),1),""))</f>
        <v/>
      </c>
      <c r="L228" s="52">
        <f>IFERROR(MIERCOLES!E96,"")</f>
        <v>80</v>
      </c>
      <c r="M228" s="53" t="str">
        <f>IFERROR(IF(K228="","-",IF(ISNUMBER(LOOKUP(2,1/((HISTORIAL!$O$3:$O$227=O228)*(HISTORIAL!$F$3:$F$227&lt;&gt;"")),HISTORIAL!$K$3:$K$227)),IF(K228&gt;LOOKUP(2,1/((HISTORIAL!$O$3:$O$227=O228)*(HISTORIAL!$F$3:$F$227&lt;&gt;"")),HISTORIAL!$K$3:$K$227),"^",IF(K228&lt;LOOKUP(2,1/((HISTORIAL!$O$3:$O$227=O228)*(HISTORIAL!$F$3:$F$227&lt;&gt;"")),HISTORIAL!$K$3:$K$227),"v","-")),"-")),"-")</f>
        <v>-</v>
      </c>
      <c r="N228" s="54" t="str">
        <f>IFERROR(VLOOKUP(A228,CONFIG!$A$10:$B$21,2,0),"")</f>
        <v>HIP</v>
      </c>
      <c r="O228" s="55" t="str">
        <f t="shared" si="7"/>
        <v>Elevacion Piernas|Colgado</v>
      </c>
      <c r="P228" s="69" t="str">
        <f>MIERCOLES!AC96</f>
        <v/>
      </c>
    </row>
    <row r="229" spans="1:16" ht="14.1" customHeight="1">
      <c r="A229" s="37">
        <v>4</v>
      </c>
      <c r="B229" s="37" t="s">
        <v>280</v>
      </c>
      <c r="C229" s="44" t="str">
        <f>JUEVES!$A$87</f>
        <v>Press Militar</v>
      </c>
      <c r="D229" s="45" t="str">
        <f>JUEVES!$B$87</f>
        <v>Multipower</v>
      </c>
      <c r="E229" s="37" t="str">
        <f>JUEVES!$C$87</f>
        <v>--</v>
      </c>
      <c r="F229" s="46" t="str">
        <f>IF(P229="","",IFERROR(CHOOSE(VALUE(RIGHT(P229,1)),JUEVES!F87,JUEVES!I87,JUEVES!L87,JUEVES!O87,JUEVES!R87),""))</f>
        <v/>
      </c>
      <c r="G229" s="47" t="str">
        <f>IF(P229="","",IFERROR(CHOOSE(VALUE(RIGHT(P229,1)),JUEVES!G87,JUEVES!J87,JUEVES!M87,JUEVES!P87,JUEVES!S87),""))</f>
        <v/>
      </c>
      <c r="H229" s="48" t="str">
        <f>IF(P229="","",IFERROR(CHOOSE(VALUE(RIGHT(P229,1)),JUEVES!H87,JUEVES!K87,JUEVES!N87,JUEVES!Q87,JUEVES!T87),""))</f>
        <v/>
      </c>
      <c r="I229" s="49" t="str">
        <f t="shared" si="6"/>
        <v/>
      </c>
      <c r="J229" s="50" t="str">
        <f>IF(P229="","",IFERROR(ROUND(CHOOSE(VALUE(RIGHT(P229,1)),IF(JUEVES!C87="peso_corporal",IF(ISNUMBER(JUEVES!E87),JUEVES!E87,0)+JUEVES!F87,JUEVES!F87)*JUEVES!G87,IF(JUEVES!C87="peso_corporal",IF(ISNUMBER(JUEVES!E87),JUEVES!E87,0)+JUEVES!I87,JUEVES!I87)*JUEVES!J87,IF(JUEVES!C87="peso_corporal",IF(ISNUMBER(JUEVES!E87),JUEVES!E87,0)+JUEVES!L87,JUEVES!L87)*JUEVES!M87,IF(JUEVES!C87="peso_corporal",IF(ISNUMBER(JUEVES!E87),JUEVES!E87,0)+JUEVES!O87,JUEVES!O87)*JUEVES!P87,IF(JUEVES!C87="peso_corporal",IF(ISNUMBER(JUEVES!E87),JUEVES!E87,0)+JUEVES!R87,JUEVES!R87)*JUEVES!S87),1),""))</f>
        <v/>
      </c>
      <c r="K229" s="51" t="str">
        <f>IF(P229="","",IFERROR(ROUND(CHOOSE(VALUE(RIGHT(P229,1)),(IF(JUEVES!C87="peso_corporal",IF(ISNUMBER(JUEVES!E87),JUEVES!E87,0)+JUEVES!F87,JUEVES!F87))*(1+JUEVES!G87/30),(IF(JUEVES!C87="peso_corporal",IF(ISNUMBER(JUEVES!E87),JUEVES!E87,0)+JUEVES!I87,JUEVES!I87))*(1+JUEVES!J87/30),(IF(JUEVES!C87="peso_corporal",IF(ISNUMBER(JUEVES!E87),JUEVES!E87,0)+JUEVES!L87,JUEVES!L87))*(1+JUEVES!M87/30),(IF(JUEVES!C87="peso_corporal",IF(ISNUMBER(JUEVES!E87),JUEVES!E87,0)+JUEVES!O87,JUEVES!O87))*(1+JUEVES!P87/30),(IF(JUEVES!C87="peso_corporal",IF(ISNUMBER(JUEVES!E87),JUEVES!E87,0)+JUEVES!R87,JUEVES!R87))*(1+JUEVES!S87/30)),1),""))</f>
        <v/>
      </c>
      <c r="L229" s="52">
        <f>IFERROR(JUEVES!E87,"")</f>
        <v>80</v>
      </c>
      <c r="M229" s="53" t="str">
        <f>IFERROR(IF(K229="","-",IF(ISNUMBER(LOOKUP(2,1/((HISTORIAL!$O$3:$O$228=O229)*(HISTORIAL!$F$3:$F$228&lt;&gt;"")),HISTORIAL!$K$3:$K$228)),IF(K229&gt;LOOKUP(2,1/((HISTORIAL!$O$3:$O$228=O229)*(HISTORIAL!$F$3:$F$228&lt;&gt;"")),HISTORIAL!$K$3:$K$228),"^",IF(K229&lt;LOOKUP(2,1/((HISTORIAL!$O$3:$O$228=O229)*(HISTORIAL!$F$3:$F$228&lt;&gt;"")),HISTORIAL!$K$3:$K$228),"v","-")),"-")),"-")</f>
        <v>-</v>
      </c>
      <c r="N229" s="54" t="str">
        <f>IFERROR(VLOOKUP(A229,CONFIG!$A$10:$B$21,2,0),"")</f>
        <v>HIP</v>
      </c>
      <c r="O229" s="55" t="str">
        <f t="shared" si="7"/>
        <v>Press Militar|Multipower</v>
      </c>
      <c r="P229" s="69" t="str">
        <f>JUEVES!AC87</f>
        <v/>
      </c>
    </row>
    <row r="230" spans="1:16" ht="14.1" customHeight="1">
      <c r="A230" s="37">
        <v>4</v>
      </c>
      <c r="B230" s="37" t="s">
        <v>280</v>
      </c>
      <c r="C230" s="44" t="str">
        <f>JUEVES!$A$88</f>
        <v>Elevaciones Laterales</v>
      </c>
      <c r="D230" s="45" t="str">
        <f>JUEVES!$B$88</f>
        <v>Drop Set Maquina</v>
      </c>
      <c r="E230" s="37" t="str">
        <f>JUEVES!$C$88</f>
        <v>--</v>
      </c>
      <c r="F230" s="46" t="str">
        <f>IF(P230="","",IFERROR(CHOOSE(VALUE(RIGHT(P230,1)),JUEVES!F88,JUEVES!I88,JUEVES!L88,JUEVES!O88,JUEVES!R88),""))</f>
        <v/>
      </c>
      <c r="G230" s="47" t="str">
        <f>IF(P230="","",IFERROR(CHOOSE(VALUE(RIGHT(P230,1)),JUEVES!G88,JUEVES!J88,JUEVES!M88,JUEVES!P88,JUEVES!S88),""))</f>
        <v/>
      </c>
      <c r="H230" s="48" t="str">
        <f>IF(P230="","",IFERROR(CHOOSE(VALUE(RIGHT(P230,1)),JUEVES!H88,JUEVES!K88,JUEVES!N88,JUEVES!Q88,JUEVES!T88),""))</f>
        <v/>
      </c>
      <c r="I230" s="49" t="str">
        <f t="shared" si="6"/>
        <v/>
      </c>
      <c r="J230" s="50" t="str">
        <f>IF(P230="","",IFERROR(ROUND(CHOOSE(VALUE(RIGHT(P230,1)),IF(JUEVES!C88="peso_corporal",IF(ISNUMBER(JUEVES!E88),JUEVES!E88,0)+JUEVES!F88,JUEVES!F88)*JUEVES!G88,IF(JUEVES!C88="peso_corporal",IF(ISNUMBER(JUEVES!E88),JUEVES!E88,0)+JUEVES!I88,JUEVES!I88)*JUEVES!J88,IF(JUEVES!C88="peso_corporal",IF(ISNUMBER(JUEVES!E88),JUEVES!E88,0)+JUEVES!L88,JUEVES!L88)*JUEVES!M88,IF(JUEVES!C88="peso_corporal",IF(ISNUMBER(JUEVES!E88),JUEVES!E88,0)+JUEVES!O88,JUEVES!O88)*JUEVES!P88,IF(JUEVES!C88="peso_corporal",IF(ISNUMBER(JUEVES!E88),JUEVES!E88,0)+JUEVES!R88,JUEVES!R88)*JUEVES!S88),1),""))</f>
        <v/>
      </c>
      <c r="K230" s="51" t="str">
        <f>IF(P230="","",IFERROR(ROUND(CHOOSE(VALUE(RIGHT(P230,1)),(IF(JUEVES!C88="peso_corporal",IF(ISNUMBER(JUEVES!E88),JUEVES!E88,0)+JUEVES!F88,JUEVES!F88))*(1+JUEVES!G88/30),(IF(JUEVES!C88="peso_corporal",IF(ISNUMBER(JUEVES!E88),JUEVES!E88,0)+JUEVES!I88,JUEVES!I88))*(1+JUEVES!J88/30),(IF(JUEVES!C88="peso_corporal",IF(ISNUMBER(JUEVES!E88),JUEVES!E88,0)+JUEVES!L88,JUEVES!L88))*(1+JUEVES!M88/30),(IF(JUEVES!C88="peso_corporal",IF(ISNUMBER(JUEVES!E88),JUEVES!E88,0)+JUEVES!O88,JUEVES!O88))*(1+JUEVES!P88/30),(IF(JUEVES!C88="peso_corporal",IF(ISNUMBER(JUEVES!E88),JUEVES!E88,0)+JUEVES!R88,JUEVES!R88))*(1+JUEVES!S88/30)),1),""))</f>
        <v/>
      </c>
      <c r="L230" s="52">
        <f>IFERROR(JUEVES!E88,"")</f>
        <v>80</v>
      </c>
      <c r="M230" s="53" t="str">
        <f>IFERROR(IF(K230="","-",IF(ISNUMBER(LOOKUP(2,1/((HISTORIAL!$O$3:$O$229=O230)*(HISTORIAL!$F$3:$F$229&lt;&gt;"")),HISTORIAL!$K$3:$K$229)),IF(K230&gt;LOOKUP(2,1/((HISTORIAL!$O$3:$O$229=O230)*(HISTORIAL!$F$3:$F$229&lt;&gt;"")),HISTORIAL!$K$3:$K$229),"^",IF(K230&lt;LOOKUP(2,1/((HISTORIAL!$O$3:$O$229=O230)*(HISTORIAL!$F$3:$F$229&lt;&gt;"")),HISTORIAL!$K$3:$K$229),"v","-")),"-")),"-")</f>
        <v>-</v>
      </c>
      <c r="N230" s="54" t="str">
        <f>IFERROR(VLOOKUP(A230,CONFIG!$A$10:$B$21,2,0),"")</f>
        <v>HIP</v>
      </c>
      <c r="O230" s="55" t="str">
        <f t="shared" si="7"/>
        <v>Elevaciones Laterales|Drop Set Maquina</v>
      </c>
      <c r="P230" s="69" t="str">
        <f>JUEVES!AC88</f>
        <v/>
      </c>
    </row>
    <row r="231" spans="1:16" ht="14.1" customHeight="1">
      <c r="A231" s="37">
        <v>4</v>
      </c>
      <c r="B231" s="37" t="s">
        <v>280</v>
      </c>
      <c r="C231" s="44" t="str">
        <f>JUEVES!$A$90</f>
        <v>Pajaro</v>
      </c>
      <c r="D231" s="45" t="str">
        <f>JUEVES!$B$90</f>
        <v>Elevacion Posterior</v>
      </c>
      <c r="E231" s="37" t="str">
        <f>JUEVES!$C$90</f>
        <v>mancuerna</v>
      </c>
      <c r="F231" s="46" t="str">
        <f>IF(P231="","",IFERROR(CHOOSE(VALUE(RIGHT(P231,1)),JUEVES!F90,JUEVES!I90,JUEVES!L90,JUEVES!O90,JUEVES!R90),""))</f>
        <v/>
      </c>
      <c r="G231" s="47" t="str">
        <f>IF(P231="","",IFERROR(CHOOSE(VALUE(RIGHT(P231,1)),JUEVES!G90,JUEVES!J90,JUEVES!M90,JUEVES!P90,JUEVES!S90),""))</f>
        <v/>
      </c>
      <c r="H231" s="48" t="str">
        <f>IF(P231="","",IFERROR(CHOOSE(VALUE(RIGHT(P231,1)),JUEVES!H90,JUEVES!K90,JUEVES!N90,JUEVES!Q90,JUEVES!T90),""))</f>
        <v/>
      </c>
      <c r="I231" s="49" t="str">
        <f t="shared" si="6"/>
        <v/>
      </c>
      <c r="J231" s="50" t="str">
        <f>IF(P231="","",IFERROR(ROUND(CHOOSE(VALUE(RIGHT(P231,1)),IF(JUEVES!C90="peso_corporal",IF(ISNUMBER(JUEVES!E90),JUEVES!E90,0)+JUEVES!F90,JUEVES!F90)*JUEVES!G90,IF(JUEVES!C90="peso_corporal",IF(ISNUMBER(JUEVES!E90),JUEVES!E90,0)+JUEVES!I90,JUEVES!I90)*JUEVES!J90,IF(JUEVES!C90="peso_corporal",IF(ISNUMBER(JUEVES!E90),JUEVES!E90,0)+JUEVES!L90,JUEVES!L90)*JUEVES!M90,IF(JUEVES!C90="peso_corporal",IF(ISNUMBER(JUEVES!E90),JUEVES!E90,0)+JUEVES!O90,JUEVES!O90)*JUEVES!P90,IF(JUEVES!C90="peso_corporal",IF(ISNUMBER(JUEVES!E90),JUEVES!E90,0)+JUEVES!R90,JUEVES!R90)*JUEVES!S90),1),""))</f>
        <v/>
      </c>
      <c r="K231" s="51" t="str">
        <f>IF(P231="","",IFERROR(ROUND(CHOOSE(VALUE(RIGHT(P231,1)),(IF(JUEVES!C90="peso_corporal",IF(ISNUMBER(JUEVES!E90),JUEVES!E90,0)+JUEVES!F90,JUEVES!F90))*(1+JUEVES!G90/30),(IF(JUEVES!C90="peso_corporal",IF(ISNUMBER(JUEVES!E90),JUEVES!E90,0)+JUEVES!I90,JUEVES!I90))*(1+JUEVES!J90/30),(IF(JUEVES!C90="peso_corporal",IF(ISNUMBER(JUEVES!E90),JUEVES!E90,0)+JUEVES!L90,JUEVES!L90))*(1+JUEVES!M90/30),(IF(JUEVES!C90="peso_corporal",IF(ISNUMBER(JUEVES!E90),JUEVES!E90,0)+JUEVES!O90,JUEVES!O90))*(1+JUEVES!P90/30),(IF(JUEVES!C90="peso_corporal",IF(ISNUMBER(JUEVES!E90),JUEVES!E90,0)+JUEVES!R90,JUEVES!R90))*(1+JUEVES!S90/30)),1),""))</f>
        <v/>
      </c>
      <c r="L231" s="52">
        <f>IFERROR(JUEVES!E90,"")</f>
        <v>80</v>
      </c>
      <c r="M231" s="53" t="str">
        <f>IFERROR(IF(K231="","-",IF(ISNUMBER(LOOKUP(2,1/((HISTORIAL!$O$3:$O$230=O231)*(HISTORIAL!$F$3:$F$230&lt;&gt;"")),HISTORIAL!$K$3:$K$230)),IF(K231&gt;LOOKUP(2,1/((HISTORIAL!$O$3:$O$230=O231)*(HISTORIAL!$F$3:$F$230&lt;&gt;"")),HISTORIAL!$K$3:$K$230),"^",IF(K231&lt;LOOKUP(2,1/((HISTORIAL!$O$3:$O$230=O231)*(HISTORIAL!$F$3:$F$230&lt;&gt;"")),HISTORIAL!$K$3:$K$230),"v","-")),"-")),"-")</f>
        <v>-</v>
      </c>
      <c r="N231" s="54" t="str">
        <f>IFERROR(VLOOKUP(A231,CONFIG!$A$10:$B$21,2,0),"")</f>
        <v>HIP</v>
      </c>
      <c r="O231" s="55" t="str">
        <f t="shared" si="7"/>
        <v>Pajaro|Elevacion Posterior</v>
      </c>
      <c r="P231" s="69" t="str">
        <f>JUEVES!AC90</f>
        <v/>
      </c>
    </row>
    <row r="232" spans="1:16" ht="14.1" customHeight="1">
      <c r="A232" s="37">
        <v>4</v>
      </c>
      <c r="B232" s="37" t="s">
        <v>280</v>
      </c>
      <c r="C232" s="44" t="str">
        <f>JUEVES!$A$91</f>
        <v>Peck Deck Invertida</v>
      </c>
      <c r="D232" s="45" t="str">
        <f>JUEVES!$B$91</f>
        <v>Maquina</v>
      </c>
      <c r="E232" s="37" t="str">
        <f>JUEVES!$C$91</f>
        <v>polea</v>
      </c>
      <c r="F232" s="46" t="str">
        <f>IF(P232="","",IFERROR(CHOOSE(VALUE(RIGHT(P232,1)),JUEVES!F91,JUEVES!I91,JUEVES!L91,JUEVES!O91,JUEVES!R91),""))</f>
        <v/>
      </c>
      <c r="G232" s="47" t="str">
        <f>IF(P232="","",IFERROR(CHOOSE(VALUE(RIGHT(P232,1)),JUEVES!G91,JUEVES!J91,JUEVES!M91,JUEVES!P91,JUEVES!S91),""))</f>
        <v/>
      </c>
      <c r="H232" s="48" t="str">
        <f>IF(P232="","",IFERROR(CHOOSE(VALUE(RIGHT(P232,1)),JUEVES!H91,JUEVES!K91,JUEVES!N91,JUEVES!Q91,JUEVES!T91),""))</f>
        <v/>
      </c>
      <c r="I232" s="49" t="str">
        <f t="shared" si="6"/>
        <v/>
      </c>
      <c r="J232" s="50" t="str">
        <f>IF(P232="","",IFERROR(ROUND(CHOOSE(VALUE(RIGHT(P232,1)),IF(JUEVES!C91="peso_corporal",IF(ISNUMBER(JUEVES!E91),JUEVES!E91,0)+JUEVES!F91,JUEVES!F91)*JUEVES!G91,IF(JUEVES!C91="peso_corporal",IF(ISNUMBER(JUEVES!E91),JUEVES!E91,0)+JUEVES!I91,JUEVES!I91)*JUEVES!J91,IF(JUEVES!C91="peso_corporal",IF(ISNUMBER(JUEVES!E91),JUEVES!E91,0)+JUEVES!L91,JUEVES!L91)*JUEVES!M91,IF(JUEVES!C91="peso_corporal",IF(ISNUMBER(JUEVES!E91),JUEVES!E91,0)+JUEVES!O91,JUEVES!O91)*JUEVES!P91,IF(JUEVES!C91="peso_corporal",IF(ISNUMBER(JUEVES!E91),JUEVES!E91,0)+JUEVES!R91,JUEVES!R91)*JUEVES!S91),1),""))</f>
        <v/>
      </c>
      <c r="K232" s="51" t="str">
        <f>IF(P232="","",IFERROR(ROUND(CHOOSE(VALUE(RIGHT(P232,1)),(IF(JUEVES!C91="peso_corporal",IF(ISNUMBER(JUEVES!E91),JUEVES!E91,0)+JUEVES!F91,JUEVES!F91))*(1+JUEVES!G91/30),(IF(JUEVES!C91="peso_corporal",IF(ISNUMBER(JUEVES!E91),JUEVES!E91,0)+JUEVES!I91,JUEVES!I91))*(1+JUEVES!J91/30),(IF(JUEVES!C91="peso_corporal",IF(ISNUMBER(JUEVES!E91),JUEVES!E91,0)+JUEVES!L91,JUEVES!L91))*(1+JUEVES!M91/30),(IF(JUEVES!C91="peso_corporal",IF(ISNUMBER(JUEVES!E91),JUEVES!E91,0)+JUEVES!O91,JUEVES!O91))*(1+JUEVES!P91/30),(IF(JUEVES!C91="peso_corporal",IF(ISNUMBER(JUEVES!E91),JUEVES!E91,0)+JUEVES!R91,JUEVES!R91))*(1+JUEVES!S91/30)),1),""))</f>
        <v/>
      </c>
      <c r="L232" s="52">
        <f>IFERROR(JUEVES!E91,"")</f>
        <v>80</v>
      </c>
      <c r="M232" s="53" t="str">
        <f>IFERROR(IF(K232="","-",IF(ISNUMBER(LOOKUP(2,1/((HISTORIAL!$O$3:$O$231=O232)*(HISTORIAL!$F$3:$F$231&lt;&gt;"")),HISTORIAL!$K$3:$K$231)),IF(K232&gt;LOOKUP(2,1/((HISTORIAL!$O$3:$O$231=O232)*(HISTORIAL!$F$3:$F$231&lt;&gt;"")),HISTORIAL!$K$3:$K$231),"^",IF(K232&lt;LOOKUP(2,1/((HISTORIAL!$O$3:$O$231=O232)*(HISTORIAL!$F$3:$F$231&lt;&gt;"")),HISTORIAL!$K$3:$K$231),"v","-")),"-")),"-")</f>
        <v>-</v>
      </c>
      <c r="N232" s="54" t="str">
        <f>IFERROR(VLOOKUP(A232,CONFIG!$A$10:$B$21,2,0),"")</f>
        <v>HIP</v>
      </c>
      <c r="O232" s="55" t="str">
        <f t="shared" si="7"/>
        <v>Peck Deck Invertida|Maquina</v>
      </c>
      <c r="P232" s="69" t="str">
        <f>JUEVES!AC91</f>
        <v/>
      </c>
    </row>
    <row r="233" spans="1:16" ht="14.1" customHeight="1">
      <c r="A233" s="37">
        <v>4</v>
      </c>
      <c r="B233" s="37" t="s">
        <v>280</v>
      </c>
      <c r="C233" s="44" t="str">
        <f>JUEVES!$A$92</f>
        <v>Elevaciones Posteriores</v>
      </c>
      <c r="D233" s="45" t="str">
        <f>JUEVES!$B$92</f>
        <v>Polea Individual</v>
      </c>
      <c r="E233" s="37" t="str">
        <f>JUEVES!$C$92</f>
        <v>polea</v>
      </c>
      <c r="F233" s="46" t="str">
        <f>IF(P233="","",IFERROR(CHOOSE(VALUE(RIGHT(P233,1)),JUEVES!F92,JUEVES!I92,JUEVES!L92,JUEVES!O92,JUEVES!R92),""))</f>
        <v/>
      </c>
      <c r="G233" s="47" t="str">
        <f>IF(P233="","",IFERROR(CHOOSE(VALUE(RIGHT(P233,1)),JUEVES!G92,JUEVES!J92,JUEVES!M92,JUEVES!P92,JUEVES!S92),""))</f>
        <v/>
      </c>
      <c r="H233" s="48" t="str">
        <f>IF(P233="","",IFERROR(CHOOSE(VALUE(RIGHT(P233,1)),JUEVES!H92,JUEVES!K92,JUEVES!N92,JUEVES!Q92,JUEVES!T92),""))</f>
        <v/>
      </c>
      <c r="I233" s="49" t="str">
        <f t="shared" si="6"/>
        <v/>
      </c>
      <c r="J233" s="50" t="str">
        <f>IF(P233="","",IFERROR(ROUND(CHOOSE(VALUE(RIGHT(P233,1)),IF(JUEVES!C92="peso_corporal",IF(ISNUMBER(JUEVES!E92),JUEVES!E92,0)+JUEVES!F92,JUEVES!F92)*JUEVES!G92,IF(JUEVES!C92="peso_corporal",IF(ISNUMBER(JUEVES!E92),JUEVES!E92,0)+JUEVES!I92,JUEVES!I92)*JUEVES!J92,IF(JUEVES!C92="peso_corporal",IF(ISNUMBER(JUEVES!E92),JUEVES!E92,0)+JUEVES!L92,JUEVES!L92)*JUEVES!M92,IF(JUEVES!C92="peso_corporal",IF(ISNUMBER(JUEVES!E92),JUEVES!E92,0)+JUEVES!O92,JUEVES!O92)*JUEVES!P92,IF(JUEVES!C92="peso_corporal",IF(ISNUMBER(JUEVES!E92),JUEVES!E92,0)+JUEVES!R92,JUEVES!R92)*JUEVES!S92),1),""))</f>
        <v/>
      </c>
      <c r="K233" s="51" t="str">
        <f>IF(P233="","",IFERROR(ROUND(CHOOSE(VALUE(RIGHT(P233,1)),(IF(JUEVES!C92="peso_corporal",IF(ISNUMBER(JUEVES!E92),JUEVES!E92,0)+JUEVES!F92,JUEVES!F92))*(1+JUEVES!G92/30),(IF(JUEVES!C92="peso_corporal",IF(ISNUMBER(JUEVES!E92),JUEVES!E92,0)+JUEVES!I92,JUEVES!I92))*(1+JUEVES!J92/30),(IF(JUEVES!C92="peso_corporal",IF(ISNUMBER(JUEVES!E92),JUEVES!E92,0)+JUEVES!L92,JUEVES!L92))*(1+JUEVES!M92/30),(IF(JUEVES!C92="peso_corporal",IF(ISNUMBER(JUEVES!E92),JUEVES!E92,0)+JUEVES!O92,JUEVES!O92))*(1+JUEVES!P92/30),(IF(JUEVES!C92="peso_corporal",IF(ISNUMBER(JUEVES!E92),JUEVES!E92,0)+JUEVES!R92,JUEVES!R92))*(1+JUEVES!S92/30)),1),""))</f>
        <v/>
      </c>
      <c r="L233" s="52">
        <f>IFERROR(JUEVES!E92,"")</f>
        <v>80</v>
      </c>
      <c r="M233" s="53" t="str">
        <f>IFERROR(IF(K233="","-",IF(ISNUMBER(LOOKUP(2,1/((HISTORIAL!$O$3:$O$232=O233)*(HISTORIAL!$F$3:$F$232&lt;&gt;"")),HISTORIAL!$K$3:$K$232)),IF(K233&gt;LOOKUP(2,1/((HISTORIAL!$O$3:$O$232=O233)*(HISTORIAL!$F$3:$F$232&lt;&gt;"")),HISTORIAL!$K$3:$K$232),"^",IF(K233&lt;LOOKUP(2,1/((HISTORIAL!$O$3:$O$232=O233)*(HISTORIAL!$F$3:$F$232&lt;&gt;"")),HISTORIAL!$K$3:$K$232),"v","-")),"-")),"-")</f>
        <v>-</v>
      </c>
      <c r="N233" s="54" t="str">
        <f>IFERROR(VLOOKUP(A233,CONFIG!$A$10:$B$21,2,0),"")</f>
        <v>HIP</v>
      </c>
      <c r="O233" s="55" t="str">
        <f t="shared" si="7"/>
        <v>Elevaciones Posteriores|Polea Individual</v>
      </c>
      <c r="P233" s="69" t="str">
        <f>JUEVES!AC92</f>
        <v/>
      </c>
    </row>
    <row r="234" spans="1:16" ht="14.1" customHeight="1">
      <c r="A234" s="37">
        <v>4</v>
      </c>
      <c r="B234" s="37" t="s">
        <v>280</v>
      </c>
      <c r="C234" s="44" t="str">
        <f>JUEVES!$A$95</f>
        <v>Press Plano</v>
      </c>
      <c r="D234" s="45" t="str">
        <f>JUEVES!$B$95</f>
        <v>Mancuernas</v>
      </c>
      <c r="E234" s="37" t="str">
        <f>JUEVES!$C$95</f>
        <v>mancuerna</v>
      </c>
      <c r="F234" s="46" t="str">
        <f>IF(P234="","",IFERROR(CHOOSE(VALUE(RIGHT(P234,1)),JUEVES!F95,JUEVES!I95,JUEVES!L95,JUEVES!O95,JUEVES!R95),""))</f>
        <v/>
      </c>
      <c r="G234" s="47" t="str">
        <f>IF(P234="","",IFERROR(CHOOSE(VALUE(RIGHT(P234,1)),JUEVES!G95,JUEVES!J95,JUEVES!M95,JUEVES!P95,JUEVES!S95),""))</f>
        <v/>
      </c>
      <c r="H234" s="48" t="str">
        <f>IF(P234="","",IFERROR(CHOOSE(VALUE(RIGHT(P234,1)),JUEVES!H95,JUEVES!K95,JUEVES!N95,JUEVES!Q95,JUEVES!T95),""))</f>
        <v/>
      </c>
      <c r="I234" s="49" t="str">
        <f t="shared" si="6"/>
        <v/>
      </c>
      <c r="J234" s="50" t="str">
        <f>IF(P234="","",IFERROR(ROUND(CHOOSE(VALUE(RIGHT(P234,1)),IF(JUEVES!C95="peso_corporal",IF(ISNUMBER(JUEVES!E95),JUEVES!E95,0)+JUEVES!F95,JUEVES!F95)*JUEVES!G95,IF(JUEVES!C95="peso_corporal",IF(ISNUMBER(JUEVES!E95),JUEVES!E95,0)+JUEVES!I95,JUEVES!I95)*JUEVES!J95,IF(JUEVES!C95="peso_corporal",IF(ISNUMBER(JUEVES!E95),JUEVES!E95,0)+JUEVES!L95,JUEVES!L95)*JUEVES!M95,IF(JUEVES!C95="peso_corporal",IF(ISNUMBER(JUEVES!E95),JUEVES!E95,0)+JUEVES!O95,JUEVES!O95)*JUEVES!P95,IF(JUEVES!C95="peso_corporal",IF(ISNUMBER(JUEVES!E95),JUEVES!E95,0)+JUEVES!R95,JUEVES!R95)*JUEVES!S95),1),""))</f>
        <v/>
      </c>
      <c r="K234" s="51" t="str">
        <f>IF(P234="","",IFERROR(ROUND(CHOOSE(VALUE(RIGHT(P234,1)),(IF(JUEVES!C95="peso_corporal",IF(ISNUMBER(JUEVES!E95),JUEVES!E95,0)+JUEVES!F95,JUEVES!F95))*(1+JUEVES!G95/30),(IF(JUEVES!C95="peso_corporal",IF(ISNUMBER(JUEVES!E95),JUEVES!E95,0)+JUEVES!I95,JUEVES!I95))*(1+JUEVES!J95/30),(IF(JUEVES!C95="peso_corporal",IF(ISNUMBER(JUEVES!E95),JUEVES!E95,0)+JUEVES!L95,JUEVES!L95))*(1+JUEVES!M95/30),(IF(JUEVES!C95="peso_corporal",IF(ISNUMBER(JUEVES!E95),JUEVES!E95,0)+JUEVES!O95,JUEVES!O95))*(1+JUEVES!P95/30),(IF(JUEVES!C95="peso_corporal",IF(ISNUMBER(JUEVES!E95),JUEVES!E95,0)+JUEVES!R95,JUEVES!R95))*(1+JUEVES!S95/30)),1),""))</f>
        <v/>
      </c>
      <c r="L234" s="52">
        <f>IFERROR(JUEVES!E95,"")</f>
        <v>80</v>
      </c>
      <c r="M234" s="53" t="str">
        <f>IFERROR(IF(K234="","-",IF(ISNUMBER(LOOKUP(2,1/((HISTORIAL!$O$3:$O$233=O234)*(HISTORIAL!$F$3:$F$233&lt;&gt;"")),HISTORIAL!$K$3:$K$233)),IF(K234&gt;LOOKUP(2,1/((HISTORIAL!$O$3:$O$233=O234)*(HISTORIAL!$F$3:$F$233&lt;&gt;"")),HISTORIAL!$K$3:$K$233),"^",IF(K234&lt;LOOKUP(2,1/((HISTORIAL!$O$3:$O$233=O234)*(HISTORIAL!$F$3:$F$233&lt;&gt;"")),HISTORIAL!$K$3:$K$233),"v","-")),"-")),"-")</f>
        <v>-</v>
      </c>
      <c r="N234" s="54" t="str">
        <f>IFERROR(VLOOKUP(A234,CONFIG!$A$10:$B$21,2,0),"")</f>
        <v>HIP</v>
      </c>
      <c r="O234" s="55" t="str">
        <f t="shared" si="7"/>
        <v>Press Plano|Mancuernas</v>
      </c>
      <c r="P234" s="69" t="str">
        <f>JUEVES!AC95</f>
        <v/>
      </c>
    </row>
    <row r="235" spans="1:16" ht="14.1" customHeight="1">
      <c r="A235" s="37">
        <v>4</v>
      </c>
      <c r="B235" s="37" t="s">
        <v>280</v>
      </c>
      <c r="C235" s="44" t="str">
        <f>JUEVES!$A$97</f>
        <v>Press Inclinado</v>
      </c>
      <c r="D235" s="45" t="str">
        <f>JUEVES!$B$97</f>
        <v>Multipower</v>
      </c>
      <c r="E235" s="37" t="str">
        <f>JUEVES!$C$97</f>
        <v>disco</v>
      </c>
      <c r="F235" s="46" t="str">
        <f>IF(P235="","",IFERROR(CHOOSE(VALUE(RIGHT(P235,1)),JUEVES!F97,JUEVES!I97,JUEVES!L97,JUEVES!O97,JUEVES!R97),""))</f>
        <v/>
      </c>
      <c r="G235" s="47" t="str">
        <f>IF(P235="","",IFERROR(CHOOSE(VALUE(RIGHT(P235,1)),JUEVES!G97,JUEVES!J97,JUEVES!M97,JUEVES!P97,JUEVES!S97),""))</f>
        <v/>
      </c>
      <c r="H235" s="48" t="str">
        <f>IF(P235="","",IFERROR(CHOOSE(VALUE(RIGHT(P235,1)),JUEVES!H97,JUEVES!K97,JUEVES!N97,JUEVES!Q97,JUEVES!T97),""))</f>
        <v/>
      </c>
      <c r="I235" s="49" t="str">
        <f t="shared" si="6"/>
        <v/>
      </c>
      <c r="J235" s="50" t="str">
        <f>IF(P235="","",IFERROR(ROUND(CHOOSE(VALUE(RIGHT(P235,1)),IF(JUEVES!C97="peso_corporal",IF(ISNUMBER(JUEVES!E97),JUEVES!E97,0)+JUEVES!F97,JUEVES!F97)*JUEVES!G97,IF(JUEVES!C97="peso_corporal",IF(ISNUMBER(JUEVES!E97),JUEVES!E97,0)+JUEVES!I97,JUEVES!I97)*JUEVES!J97,IF(JUEVES!C97="peso_corporal",IF(ISNUMBER(JUEVES!E97),JUEVES!E97,0)+JUEVES!L97,JUEVES!L97)*JUEVES!M97,IF(JUEVES!C97="peso_corporal",IF(ISNUMBER(JUEVES!E97),JUEVES!E97,0)+JUEVES!O97,JUEVES!O97)*JUEVES!P97,IF(JUEVES!C97="peso_corporal",IF(ISNUMBER(JUEVES!E97),JUEVES!E97,0)+JUEVES!R97,JUEVES!R97)*JUEVES!S97),1),""))</f>
        <v/>
      </c>
      <c r="K235" s="51" t="str">
        <f>IF(P235="","",IFERROR(ROUND(CHOOSE(VALUE(RIGHT(P235,1)),(IF(JUEVES!C97="peso_corporal",IF(ISNUMBER(JUEVES!E97),JUEVES!E97,0)+JUEVES!F97,JUEVES!F97))*(1+JUEVES!G97/30),(IF(JUEVES!C97="peso_corporal",IF(ISNUMBER(JUEVES!E97),JUEVES!E97,0)+JUEVES!I97,JUEVES!I97))*(1+JUEVES!J97/30),(IF(JUEVES!C97="peso_corporal",IF(ISNUMBER(JUEVES!E97),JUEVES!E97,0)+JUEVES!L97,JUEVES!L97))*(1+JUEVES!M97/30),(IF(JUEVES!C97="peso_corporal",IF(ISNUMBER(JUEVES!E97),JUEVES!E97,0)+JUEVES!O97,JUEVES!O97))*(1+JUEVES!P97/30),(IF(JUEVES!C97="peso_corporal",IF(ISNUMBER(JUEVES!E97),JUEVES!E97,0)+JUEVES!R97,JUEVES!R97))*(1+JUEVES!S97/30)),1),""))</f>
        <v/>
      </c>
      <c r="L235" s="52">
        <f>IFERROR(JUEVES!E97,"")</f>
        <v>80</v>
      </c>
      <c r="M235" s="53" t="str">
        <f>IFERROR(IF(K235="","-",IF(ISNUMBER(LOOKUP(2,1/((HISTORIAL!$O$3:$O$234=O235)*(HISTORIAL!$F$3:$F$234&lt;&gt;"")),HISTORIAL!$K$3:$K$234)),IF(K235&gt;LOOKUP(2,1/((HISTORIAL!$O$3:$O$234=O235)*(HISTORIAL!$F$3:$F$234&lt;&gt;"")),HISTORIAL!$K$3:$K$234),"^",IF(K235&lt;LOOKUP(2,1/((HISTORIAL!$O$3:$O$234=O235)*(HISTORIAL!$F$3:$F$234&lt;&gt;"")),HISTORIAL!$K$3:$K$234),"v","-")),"-")),"-")</f>
        <v>-</v>
      </c>
      <c r="N235" s="54" t="str">
        <f>IFERROR(VLOOKUP(A235,CONFIG!$A$10:$B$21,2,0),"")</f>
        <v>HIP</v>
      </c>
      <c r="O235" s="55" t="str">
        <f t="shared" si="7"/>
        <v>Press Inclinado|Multipower</v>
      </c>
      <c r="P235" s="69" t="str">
        <f>JUEVES!AC97</f>
        <v/>
      </c>
    </row>
    <row r="236" spans="1:16" ht="14.1" customHeight="1">
      <c r="A236" s="37">
        <v>4</v>
      </c>
      <c r="B236" s="37" t="s">
        <v>280</v>
      </c>
      <c r="C236" s="44" t="str">
        <f>JUEVES!$A$99</f>
        <v>Aperturas</v>
      </c>
      <c r="D236" s="45" t="str">
        <f>JUEVES!$B$99</f>
        <v>Pec Deck Maquina</v>
      </c>
      <c r="E236" s="37" t="str">
        <f>JUEVES!$C$99</f>
        <v>--</v>
      </c>
      <c r="F236" s="46" t="str">
        <f>IF(P236="","",IFERROR(CHOOSE(VALUE(RIGHT(P236,1)),JUEVES!F99,JUEVES!I99,JUEVES!L99,JUEVES!O99,JUEVES!R99),""))</f>
        <v/>
      </c>
      <c r="G236" s="47" t="str">
        <f>IF(P236="","",IFERROR(CHOOSE(VALUE(RIGHT(P236,1)),JUEVES!G99,JUEVES!J99,JUEVES!M99,JUEVES!P99,JUEVES!S99),""))</f>
        <v/>
      </c>
      <c r="H236" s="48" t="str">
        <f>IF(P236="","",IFERROR(CHOOSE(VALUE(RIGHT(P236,1)),JUEVES!H99,JUEVES!K99,JUEVES!N99,JUEVES!Q99,JUEVES!T99),""))</f>
        <v/>
      </c>
      <c r="I236" s="49" t="str">
        <f t="shared" si="6"/>
        <v/>
      </c>
      <c r="J236" s="50" t="str">
        <f>IF(P236="","",IFERROR(ROUND(CHOOSE(VALUE(RIGHT(P236,1)),IF(JUEVES!C99="peso_corporal",IF(ISNUMBER(JUEVES!E99),JUEVES!E99,0)+JUEVES!F99,JUEVES!F99)*JUEVES!G99,IF(JUEVES!C99="peso_corporal",IF(ISNUMBER(JUEVES!E99),JUEVES!E99,0)+JUEVES!I99,JUEVES!I99)*JUEVES!J99,IF(JUEVES!C99="peso_corporal",IF(ISNUMBER(JUEVES!E99),JUEVES!E99,0)+JUEVES!L99,JUEVES!L99)*JUEVES!M99,IF(JUEVES!C99="peso_corporal",IF(ISNUMBER(JUEVES!E99),JUEVES!E99,0)+JUEVES!O99,JUEVES!O99)*JUEVES!P99,IF(JUEVES!C99="peso_corporal",IF(ISNUMBER(JUEVES!E99),JUEVES!E99,0)+JUEVES!R99,JUEVES!R99)*JUEVES!S99),1),""))</f>
        <v/>
      </c>
      <c r="K236" s="51" t="str">
        <f>IF(P236="","",IFERROR(ROUND(CHOOSE(VALUE(RIGHT(P236,1)),(IF(JUEVES!C99="peso_corporal",IF(ISNUMBER(JUEVES!E99),JUEVES!E99,0)+JUEVES!F99,JUEVES!F99))*(1+JUEVES!G99/30),(IF(JUEVES!C99="peso_corporal",IF(ISNUMBER(JUEVES!E99),JUEVES!E99,0)+JUEVES!I99,JUEVES!I99))*(1+JUEVES!J99/30),(IF(JUEVES!C99="peso_corporal",IF(ISNUMBER(JUEVES!E99),JUEVES!E99,0)+JUEVES!L99,JUEVES!L99))*(1+JUEVES!M99/30),(IF(JUEVES!C99="peso_corporal",IF(ISNUMBER(JUEVES!E99),JUEVES!E99,0)+JUEVES!O99,JUEVES!O99))*(1+JUEVES!P99/30),(IF(JUEVES!C99="peso_corporal",IF(ISNUMBER(JUEVES!E99),JUEVES!E99,0)+JUEVES!R99,JUEVES!R99))*(1+JUEVES!S99/30)),1),""))</f>
        <v/>
      </c>
      <c r="L236" s="52">
        <f>IFERROR(JUEVES!E99,"")</f>
        <v>80</v>
      </c>
      <c r="M236" s="53" t="str">
        <f>IFERROR(IF(K236="","-",IF(ISNUMBER(LOOKUP(2,1/((HISTORIAL!$O$3:$O$235=O236)*(HISTORIAL!$F$3:$F$235&lt;&gt;"")),HISTORIAL!$K$3:$K$235)),IF(K236&gt;LOOKUP(2,1/((HISTORIAL!$O$3:$O$235=O236)*(HISTORIAL!$F$3:$F$235&lt;&gt;"")),HISTORIAL!$K$3:$K$235),"^",IF(K236&lt;LOOKUP(2,1/((HISTORIAL!$O$3:$O$235=O236)*(HISTORIAL!$F$3:$F$235&lt;&gt;"")),HISTORIAL!$K$3:$K$235),"v","-")),"-")),"-")</f>
        <v>-</v>
      </c>
      <c r="N236" s="54" t="str">
        <f>IFERROR(VLOOKUP(A236,CONFIG!$A$10:$B$21,2,0),"")</f>
        <v>HIP</v>
      </c>
      <c r="O236" s="55" t="str">
        <f t="shared" si="7"/>
        <v>Aperturas|Pec Deck Maquina</v>
      </c>
      <c r="P236" s="69" t="str">
        <f>JUEVES!AC99</f>
        <v/>
      </c>
    </row>
    <row r="237" spans="1:16" ht="14.1" customHeight="1">
      <c r="A237" s="37">
        <v>4</v>
      </c>
      <c r="B237" s="37" t="s">
        <v>280</v>
      </c>
      <c r="C237" s="44" t="str">
        <f>JUEVES!$A$101</f>
        <v>Press Polea</v>
      </c>
      <c r="D237" s="45" t="str">
        <f>JUEVES!$B$101</f>
        <v>Barra Recta Diagonal Arriba</v>
      </c>
      <c r="E237" s="37" t="str">
        <f>JUEVES!$C$101</f>
        <v>polea</v>
      </c>
      <c r="F237" s="46" t="str">
        <f>IF(P237="","",IFERROR(CHOOSE(VALUE(RIGHT(P237,1)),JUEVES!F101,JUEVES!I101,JUEVES!L101,JUEVES!O101,JUEVES!R101),""))</f>
        <v/>
      </c>
      <c r="G237" s="47" t="str">
        <f>IF(P237="","",IFERROR(CHOOSE(VALUE(RIGHT(P237,1)),JUEVES!G101,JUEVES!J101,JUEVES!M101,JUEVES!P101,JUEVES!S101),""))</f>
        <v/>
      </c>
      <c r="H237" s="48" t="str">
        <f>IF(P237="","",IFERROR(CHOOSE(VALUE(RIGHT(P237,1)),JUEVES!H101,JUEVES!K101,JUEVES!N101,JUEVES!Q101,JUEVES!T101),""))</f>
        <v/>
      </c>
      <c r="I237" s="49" t="str">
        <f t="shared" si="6"/>
        <v/>
      </c>
      <c r="J237" s="50" t="str">
        <f>IF(P237="","",IFERROR(ROUND(CHOOSE(VALUE(RIGHT(P237,1)),IF(JUEVES!C101="peso_corporal",IF(ISNUMBER(JUEVES!E101),JUEVES!E101,0)+JUEVES!F101,JUEVES!F101)*JUEVES!G101,IF(JUEVES!C101="peso_corporal",IF(ISNUMBER(JUEVES!E101),JUEVES!E101,0)+JUEVES!I101,JUEVES!I101)*JUEVES!J101,IF(JUEVES!C101="peso_corporal",IF(ISNUMBER(JUEVES!E101),JUEVES!E101,0)+JUEVES!L101,JUEVES!L101)*JUEVES!M101,IF(JUEVES!C101="peso_corporal",IF(ISNUMBER(JUEVES!E101),JUEVES!E101,0)+JUEVES!O101,JUEVES!O101)*JUEVES!P101,IF(JUEVES!C101="peso_corporal",IF(ISNUMBER(JUEVES!E101),JUEVES!E101,0)+JUEVES!R101,JUEVES!R101)*JUEVES!S101),1),""))</f>
        <v/>
      </c>
      <c r="K237" s="51" t="str">
        <f>IF(P237="","",IFERROR(ROUND(CHOOSE(VALUE(RIGHT(P237,1)),(IF(JUEVES!C101="peso_corporal",IF(ISNUMBER(JUEVES!E101),JUEVES!E101,0)+JUEVES!F101,JUEVES!F101))*(1+JUEVES!G101/30),(IF(JUEVES!C101="peso_corporal",IF(ISNUMBER(JUEVES!E101),JUEVES!E101,0)+JUEVES!I101,JUEVES!I101))*(1+JUEVES!J101/30),(IF(JUEVES!C101="peso_corporal",IF(ISNUMBER(JUEVES!E101),JUEVES!E101,0)+JUEVES!L101,JUEVES!L101))*(1+JUEVES!M101/30),(IF(JUEVES!C101="peso_corporal",IF(ISNUMBER(JUEVES!E101),JUEVES!E101,0)+JUEVES!O101,JUEVES!O101))*(1+JUEVES!P101/30),(IF(JUEVES!C101="peso_corporal",IF(ISNUMBER(JUEVES!E101),JUEVES!E101,0)+JUEVES!R101,JUEVES!R101))*(1+JUEVES!S101/30)),1),""))</f>
        <v/>
      </c>
      <c r="L237" s="52">
        <f>IFERROR(JUEVES!E101,"")</f>
        <v>80</v>
      </c>
      <c r="M237" s="53" t="str">
        <f>IFERROR(IF(K237="","-",IF(ISNUMBER(LOOKUP(2,1/((HISTORIAL!$O$3:$O$236=O237)*(HISTORIAL!$F$3:$F$236&lt;&gt;"")),HISTORIAL!$K$3:$K$236)),IF(K237&gt;LOOKUP(2,1/((HISTORIAL!$O$3:$O$236=O237)*(HISTORIAL!$F$3:$F$236&lt;&gt;"")),HISTORIAL!$K$3:$K$236),"^",IF(K237&lt;LOOKUP(2,1/((HISTORIAL!$O$3:$O$236=O237)*(HISTORIAL!$F$3:$F$236&lt;&gt;"")),HISTORIAL!$K$3:$K$236),"v","-")),"-")),"-")</f>
        <v>-</v>
      </c>
      <c r="N237" s="54" t="str">
        <f>IFERROR(VLOOKUP(A237,CONFIG!$A$10:$B$21,2,0),"")</f>
        <v>HIP</v>
      </c>
      <c r="O237" s="55" t="str">
        <f t="shared" si="7"/>
        <v>Press Polea|Barra Recta Diagonal Arriba</v>
      </c>
      <c r="P237" s="69" t="str">
        <f>JUEVES!AC101</f>
        <v/>
      </c>
    </row>
    <row r="238" spans="1:16" ht="14.1" customHeight="1">
      <c r="A238" s="37">
        <v>4</v>
      </c>
      <c r="B238" s="37" t="s">
        <v>280</v>
      </c>
      <c r="C238" s="44" t="str">
        <f>JUEVES!$A$102</f>
        <v>Extension Triceps</v>
      </c>
      <c r="D238" s="45" t="str">
        <f>JUEVES!$B$102</f>
        <v>Polea Sobre Cabeza</v>
      </c>
      <c r="E238" s="37" t="str">
        <f>JUEVES!$C$102</f>
        <v>--</v>
      </c>
      <c r="F238" s="46" t="str">
        <f>IF(P238="","",IFERROR(CHOOSE(VALUE(RIGHT(P238,1)),JUEVES!F102,JUEVES!I102,JUEVES!L102,JUEVES!O102,JUEVES!R102),""))</f>
        <v/>
      </c>
      <c r="G238" s="47" t="str">
        <f>IF(P238="","",IFERROR(CHOOSE(VALUE(RIGHT(P238,1)),JUEVES!G102,JUEVES!J102,JUEVES!M102,JUEVES!P102,JUEVES!S102),""))</f>
        <v/>
      </c>
      <c r="H238" s="48" t="str">
        <f>IF(P238="","",IFERROR(CHOOSE(VALUE(RIGHT(P238,1)),JUEVES!H102,JUEVES!K102,JUEVES!N102,JUEVES!Q102,JUEVES!T102),""))</f>
        <v/>
      </c>
      <c r="I238" s="49" t="str">
        <f t="shared" si="6"/>
        <v/>
      </c>
      <c r="J238" s="50" t="str">
        <f>IF(P238="","",IFERROR(ROUND(CHOOSE(VALUE(RIGHT(P238,1)),IF(JUEVES!C102="peso_corporal",IF(ISNUMBER(JUEVES!E102),JUEVES!E102,0)+JUEVES!F102,JUEVES!F102)*JUEVES!G102,IF(JUEVES!C102="peso_corporal",IF(ISNUMBER(JUEVES!E102),JUEVES!E102,0)+JUEVES!I102,JUEVES!I102)*JUEVES!J102,IF(JUEVES!C102="peso_corporal",IF(ISNUMBER(JUEVES!E102),JUEVES!E102,0)+JUEVES!L102,JUEVES!L102)*JUEVES!M102,IF(JUEVES!C102="peso_corporal",IF(ISNUMBER(JUEVES!E102),JUEVES!E102,0)+JUEVES!O102,JUEVES!O102)*JUEVES!P102,IF(JUEVES!C102="peso_corporal",IF(ISNUMBER(JUEVES!E102),JUEVES!E102,0)+JUEVES!R102,JUEVES!R102)*JUEVES!S102),1),""))</f>
        <v/>
      </c>
      <c r="K238" s="51" t="str">
        <f>IF(P238="","",IFERROR(ROUND(CHOOSE(VALUE(RIGHT(P238,1)),(IF(JUEVES!C102="peso_corporal",IF(ISNUMBER(JUEVES!E102),JUEVES!E102,0)+JUEVES!F102,JUEVES!F102))*(1+JUEVES!G102/30),(IF(JUEVES!C102="peso_corporal",IF(ISNUMBER(JUEVES!E102),JUEVES!E102,0)+JUEVES!I102,JUEVES!I102))*(1+JUEVES!J102/30),(IF(JUEVES!C102="peso_corporal",IF(ISNUMBER(JUEVES!E102),JUEVES!E102,0)+JUEVES!L102,JUEVES!L102))*(1+JUEVES!M102/30),(IF(JUEVES!C102="peso_corporal",IF(ISNUMBER(JUEVES!E102),JUEVES!E102,0)+JUEVES!O102,JUEVES!O102))*(1+JUEVES!P102/30),(IF(JUEVES!C102="peso_corporal",IF(ISNUMBER(JUEVES!E102),JUEVES!E102,0)+JUEVES!R102,JUEVES!R102))*(1+JUEVES!S102/30)),1),""))</f>
        <v/>
      </c>
      <c r="L238" s="52">
        <f>IFERROR(JUEVES!E102,"")</f>
        <v>80</v>
      </c>
      <c r="M238" s="53" t="str">
        <f>IFERROR(IF(K238="","-",IF(ISNUMBER(LOOKUP(2,1/((HISTORIAL!$O$3:$O$237=O238)*(HISTORIAL!$F$3:$F$237&lt;&gt;"")),HISTORIAL!$K$3:$K$237)),IF(K238&gt;LOOKUP(2,1/((HISTORIAL!$O$3:$O$237=O238)*(HISTORIAL!$F$3:$F$237&lt;&gt;"")),HISTORIAL!$K$3:$K$237),"^",IF(K238&lt;LOOKUP(2,1/((HISTORIAL!$O$3:$O$237=O238)*(HISTORIAL!$F$3:$F$237&lt;&gt;"")),HISTORIAL!$K$3:$K$237),"v","-")),"-")),"-")</f>
        <v>-</v>
      </c>
      <c r="N238" s="54" t="str">
        <f>IFERROR(VLOOKUP(A238,CONFIG!$A$10:$B$21,2,0),"")</f>
        <v>HIP</v>
      </c>
      <c r="O238" s="55" t="str">
        <f t="shared" si="7"/>
        <v>Extension Triceps|Polea Sobre Cabeza</v>
      </c>
      <c r="P238" s="69" t="str">
        <f>JUEVES!AC102</f>
        <v/>
      </c>
    </row>
    <row r="239" spans="1:16" ht="14.1" customHeight="1">
      <c r="A239" s="37">
        <v>4</v>
      </c>
      <c r="B239" s="37" t="s">
        <v>280</v>
      </c>
      <c r="C239" s="44" t="str">
        <f>JUEVES!$A$104</f>
        <v>Extension Cuadriceps</v>
      </c>
      <c r="D239" s="45" t="str">
        <f>JUEVES!$B$104</f>
        <v>Vasto Interno</v>
      </c>
      <c r="E239" s="37" t="str">
        <f>JUEVES!$C$104</f>
        <v>--</v>
      </c>
      <c r="F239" s="46" t="str">
        <f>IF(P239="","",IFERROR(CHOOSE(VALUE(RIGHT(P239,1)),JUEVES!F104,JUEVES!I104,JUEVES!L104,JUEVES!O104,JUEVES!R104),""))</f>
        <v/>
      </c>
      <c r="G239" s="47" t="str">
        <f>IF(P239="","",IFERROR(CHOOSE(VALUE(RIGHT(P239,1)),JUEVES!G104,JUEVES!J104,JUEVES!M104,JUEVES!P104,JUEVES!S104),""))</f>
        <v/>
      </c>
      <c r="H239" s="48" t="str">
        <f>IF(P239="","",IFERROR(CHOOSE(VALUE(RIGHT(P239,1)),JUEVES!H104,JUEVES!K104,JUEVES!N104,JUEVES!Q104,JUEVES!T104),""))</f>
        <v/>
      </c>
      <c r="I239" s="49" t="str">
        <f t="shared" si="6"/>
        <v/>
      </c>
      <c r="J239" s="50" t="str">
        <f>IF(P239="","",IFERROR(ROUND(CHOOSE(VALUE(RIGHT(P239,1)),IF(JUEVES!C104="peso_corporal",IF(ISNUMBER(JUEVES!E104),JUEVES!E104,0)+JUEVES!F104,JUEVES!F104)*JUEVES!G104,IF(JUEVES!C104="peso_corporal",IF(ISNUMBER(JUEVES!E104),JUEVES!E104,0)+JUEVES!I104,JUEVES!I104)*JUEVES!J104,IF(JUEVES!C104="peso_corporal",IF(ISNUMBER(JUEVES!E104),JUEVES!E104,0)+JUEVES!L104,JUEVES!L104)*JUEVES!M104,IF(JUEVES!C104="peso_corporal",IF(ISNUMBER(JUEVES!E104),JUEVES!E104,0)+JUEVES!O104,JUEVES!O104)*JUEVES!P104,IF(JUEVES!C104="peso_corporal",IF(ISNUMBER(JUEVES!E104),JUEVES!E104,0)+JUEVES!R104,JUEVES!R104)*JUEVES!S104),1),""))</f>
        <v/>
      </c>
      <c r="K239" s="51" t="str">
        <f>IF(P239="","",IFERROR(ROUND(CHOOSE(VALUE(RIGHT(P239,1)),(IF(JUEVES!C104="peso_corporal",IF(ISNUMBER(JUEVES!E104),JUEVES!E104,0)+JUEVES!F104,JUEVES!F104))*(1+JUEVES!G104/30),(IF(JUEVES!C104="peso_corporal",IF(ISNUMBER(JUEVES!E104),JUEVES!E104,0)+JUEVES!I104,JUEVES!I104))*(1+JUEVES!J104/30),(IF(JUEVES!C104="peso_corporal",IF(ISNUMBER(JUEVES!E104),JUEVES!E104,0)+JUEVES!L104,JUEVES!L104))*(1+JUEVES!M104/30),(IF(JUEVES!C104="peso_corporal",IF(ISNUMBER(JUEVES!E104),JUEVES!E104,0)+JUEVES!O104,JUEVES!O104))*(1+JUEVES!P104/30),(IF(JUEVES!C104="peso_corporal",IF(ISNUMBER(JUEVES!E104),JUEVES!E104,0)+JUEVES!R104,JUEVES!R104))*(1+JUEVES!S104/30)),1),""))</f>
        <v/>
      </c>
      <c r="L239" s="52">
        <f>IFERROR(JUEVES!E104,"")</f>
        <v>80</v>
      </c>
      <c r="M239" s="53" t="str">
        <f>IFERROR(IF(K239="","-",IF(ISNUMBER(LOOKUP(2,1/((HISTORIAL!$O$3:$O$238=O239)*(HISTORIAL!$F$3:$F$238&lt;&gt;"")),HISTORIAL!$K$3:$K$238)),IF(K239&gt;LOOKUP(2,1/((HISTORIAL!$O$3:$O$238=O239)*(HISTORIAL!$F$3:$F$238&lt;&gt;"")),HISTORIAL!$K$3:$K$238),"^",IF(K239&lt;LOOKUP(2,1/((HISTORIAL!$O$3:$O$238=O239)*(HISTORIAL!$F$3:$F$238&lt;&gt;"")),HISTORIAL!$K$3:$K$238),"v","-")),"-")),"-")</f>
        <v>-</v>
      </c>
      <c r="N239" s="54" t="str">
        <f>IFERROR(VLOOKUP(A239,CONFIG!$A$10:$B$21,2,0),"")</f>
        <v>HIP</v>
      </c>
      <c r="O239" s="55" t="str">
        <f t="shared" si="7"/>
        <v>Extension Cuadriceps|Vasto Interno</v>
      </c>
      <c r="P239" s="69" t="str">
        <f>JUEVES!AC104</f>
        <v/>
      </c>
    </row>
    <row r="240" spans="1:16" ht="14.1" customHeight="1">
      <c r="A240" s="37">
        <v>4</v>
      </c>
      <c r="B240" s="37" t="s">
        <v>280</v>
      </c>
      <c r="C240" s="44" t="str">
        <f>JUEVES!$A$106</f>
        <v>Curl Biceps</v>
      </c>
      <c r="D240" s="45" t="str">
        <f>JUEVES!$B$106</f>
        <v>Concentrado Maquina</v>
      </c>
      <c r="E240" s="37" t="str">
        <f>JUEVES!$C$106</f>
        <v>polea</v>
      </c>
      <c r="F240" s="46" t="str">
        <f>IF(P240="","",IFERROR(CHOOSE(VALUE(RIGHT(P240,1)),JUEVES!F106,JUEVES!I106,JUEVES!L106,JUEVES!O106,JUEVES!R106),""))</f>
        <v/>
      </c>
      <c r="G240" s="47" t="str">
        <f>IF(P240="","",IFERROR(CHOOSE(VALUE(RIGHT(P240,1)),JUEVES!G106,JUEVES!J106,JUEVES!M106,JUEVES!P106,JUEVES!S106),""))</f>
        <v/>
      </c>
      <c r="H240" s="48" t="str">
        <f>IF(P240="","",IFERROR(CHOOSE(VALUE(RIGHT(P240,1)),JUEVES!H106,JUEVES!K106,JUEVES!N106,JUEVES!Q106,JUEVES!T106),""))</f>
        <v/>
      </c>
      <c r="I240" s="49" t="str">
        <f t="shared" si="6"/>
        <v/>
      </c>
      <c r="J240" s="50" t="str">
        <f>IF(P240="","",IFERROR(ROUND(CHOOSE(VALUE(RIGHT(P240,1)),IF(JUEVES!C106="peso_corporal",IF(ISNUMBER(JUEVES!E106),JUEVES!E106,0)+JUEVES!F106,JUEVES!F106)*JUEVES!G106,IF(JUEVES!C106="peso_corporal",IF(ISNUMBER(JUEVES!E106),JUEVES!E106,0)+JUEVES!I106,JUEVES!I106)*JUEVES!J106,IF(JUEVES!C106="peso_corporal",IF(ISNUMBER(JUEVES!E106),JUEVES!E106,0)+JUEVES!L106,JUEVES!L106)*JUEVES!M106,IF(JUEVES!C106="peso_corporal",IF(ISNUMBER(JUEVES!E106),JUEVES!E106,0)+JUEVES!O106,JUEVES!O106)*JUEVES!P106,IF(JUEVES!C106="peso_corporal",IF(ISNUMBER(JUEVES!E106),JUEVES!E106,0)+JUEVES!R106,JUEVES!R106)*JUEVES!S106),1),""))</f>
        <v/>
      </c>
      <c r="K240" s="51" t="str">
        <f>IF(P240="","",IFERROR(ROUND(CHOOSE(VALUE(RIGHT(P240,1)),(IF(JUEVES!C106="peso_corporal",IF(ISNUMBER(JUEVES!E106),JUEVES!E106,0)+JUEVES!F106,JUEVES!F106))*(1+JUEVES!G106/30),(IF(JUEVES!C106="peso_corporal",IF(ISNUMBER(JUEVES!E106),JUEVES!E106,0)+JUEVES!I106,JUEVES!I106))*(1+JUEVES!J106/30),(IF(JUEVES!C106="peso_corporal",IF(ISNUMBER(JUEVES!E106),JUEVES!E106,0)+JUEVES!L106,JUEVES!L106))*(1+JUEVES!M106/30),(IF(JUEVES!C106="peso_corporal",IF(ISNUMBER(JUEVES!E106),JUEVES!E106,0)+JUEVES!O106,JUEVES!O106))*(1+JUEVES!P106/30),(IF(JUEVES!C106="peso_corporal",IF(ISNUMBER(JUEVES!E106),JUEVES!E106,0)+JUEVES!R106,JUEVES!R106))*(1+JUEVES!S106/30)),1),""))</f>
        <v/>
      </c>
      <c r="L240" s="52">
        <f>IFERROR(JUEVES!E106,"")</f>
        <v>80</v>
      </c>
      <c r="M240" s="53" t="str">
        <f>IFERROR(IF(K240="","-",IF(ISNUMBER(LOOKUP(2,1/((HISTORIAL!$O$3:$O$239=O240)*(HISTORIAL!$F$3:$F$239&lt;&gt;"")),HISTORIAL!$K$3:$K$239)),IF(K240&gt;LOOKUP(2,1/((HISTORIAL!$O$3:$O$239=O240)*(HISTORIAL!$F$3:$F$239&lt;&gt;"")),HISTORIAL!$K$3:$K$239),"^",IF(K240&lt;LOOKUP(2,1/((HISTORIAL!$O$3:$O$239=O240)*(HISTORIAL!$F$3:$F$239&lt;&gt;"")),HISTORIAL!$K$3:$K$239),"v","-")),"-")),"-")</f>
        <v>-</v>
      </c>
      <c r="N240" s="54" t="str">
        <f>IFERROR(VLOOKUP(A240,CONFIG!$A$10:$B$21,2,0),"")</f>
        <v>HIP</v>
      </c>
      <c r="O240" s="55" t="str">
        <f t="shared" si="7"/>
        <v>Curl Biceps|Concentrado Maquina</v>
      </c>
      <c r="P240" s="69" t="str">
        <f>JUEVES!AC106</f>
        <v/>
      </c>
    </row>
    <row r="241" spans="1:16" ht="14.1" customHeight="1">
      <c r="A241" s="37">
        <v>4</v>
      </c>
      <c r="B241" s="37" t="s">
        <v>280</v>
      </c>
      <c r="C241" s="44" t="str">
        <f>JUEVES!$A$108</f>
        <v>Crunch</v>
      </c>
      <c r="D241" s="45" t="str">
        <f>JUEVES!$B$108</f>
        <v>Polea</v>
      </c>
      <c r="E241" s="37" t="str">
        <f>JUEVES!$C$108</f>
        <v>polea</v>
      </c>
      <c r="F241" s="46" t="str">
        <f>IF(P241="","",IFERROR(CHOOSE(VALUE(RIGHT(P241,1)),JUEVES!F108,JUEVES!I108,JUEVES!L108,JUEVES!O108,JUEVES!R108),""))</f>
        <v/>
      </c>
      <c r="G241" s="47" t="str">
        <f>IF(P241="","",IFERROR(CHOOSE(VALUE(RIGHT(P241,1)),JUEVES!G108,JUEVES!J108,JUEVES!M108,JUEVES!P108,JUEVES!S108),""))</f>
        <v/>
      </c>
      <c r="H241" s="48" t="str">
        <f>IF(P241="","",IFERROR(CHOOSE(VALUE(RIGHT(P241,1)),JUEVES!H108,JUEVES!K108,JUEVES!N108,JUEVES!Q108,JUEVES!T108),""))</f>
        <v/>
      </c>
      <c r="I241" s="49" t="str">
        <f t="shared" si="6"/>
        <v/>
      </c>
      <c r="J241" s="50" t="str">
        <f>IF(P241="","",IFERROR(ROUND(CHOOSE(VALUE(RIGHT(P241,1)),IF(JUEVES!C108="peso_corporal",IF(ISNUMBER(JUEVES!E108),JUEVES!E108,0)+JUEVES!F108,JUEVES!F108)*JUEVES!G108,IF(JUEVES!C108="peso_corporal",IF(ISNUMBER(JUEVES!E108),JUEVES!E108,0)+JUEVES!I108,JUEVES!I108)*JUEVES!J108,IF(JUEVES!C108="peso_corporal",IF(ISNUMBER(JUEVES!E108),JUEVES!E108,0)+JUEVES!L108,JUEVES!L108)*JUEVES!M108,IF(JUEVES!C108="peso_corporal",IF(ISNUMBER(JUEVES!E108),JUEVES!E108,0)+JUEVES!O108,JUEVES!O108)*JUEVES!P108,IF(JUEVES!C108="peso_corporal",IF(ISNUMBER(JUEVES!E108),JUEVES!E108,0)+JUEVES!R108,JUEVES!R108)*JUEVES!S108),1),""))</f>
        <v/>
      </c>
      <c r="K241" s="51" t="str">
        <f>IF(P241="","",IFERROR(ROUND(CHOOSE(VALUE(RIGHT(P241,1)),(IF(JUEVES!C108="peso_corporal",IF(ISNUMBER(JUEVES!E108),JUEVES!E108,0)+JUEVES!F108,JUEVES!F108))*(1+JUEVES!G108/30),(IF(JUEVES!C108="peso_corporal",IF(ISNUMBER(JUEVES!E108),JUEVES!E108,0)+JUEVES!I108,JUEVES!I108))*(1+JUEVES!J108/30),(IF(JUEVES!C108="peso_corporal",IF(ISNUMBER(JUEVES!E108),JUEVES!E108,0)+JUEVES!L108,JUEVES!L108))*(1+JUEVES!M108/30),(IF(JUEVES!C108="peso_corporal",IF(ISNUMBER(JUEVES!E108),JUEVES!E108,0)+JUEVES!O108,JUEVES!O108))*(1+JUEVES!P108/30),(IF(JUEVES!C108="peso_corporal",IF(ISNUMBER(JUEVES!E108),JUEVES!E108,0)+JUEVES!R108,JUEVES!R108))*(1+JUEVES!S108/30)),1),""))</f>
        <v/>
      </c>
      <c r="L241" s="52">
        <f>IFERROR(JUEVES!E108,"")</f>
        <v>80</v>
      </c>
      <c r="M241" s="53" t="str">
        <f>IFERROR(IF(K241="","-",IF(ISNUMBER(LOOKUP(2,1/((HISTORIAL!$O$3:$O$240=O241)*(HISTORIAL!$F$3:$F$240&lt;&gt;"")),HISTORIAL!$K$3:$K$240)),IF(K241&gt;LOOKUP(2,1/((HISTORIAL!$O$3:$O$240=O241)*(HISTORIAL!$F$3:$F$240&lt;&gt;"")),HISTORIAL!$K$3:$K$240),"^",IF(K241&lt;LOOKUP(2,1/((HISTORIAL!$O$3:$O$240=O241)*(HISTORIAL!$F$3:$F$240&lt;&gt;"")),HISTORIAL!$K$3:$K$240),"v","-")),"-")),"-")</f>
        <v>-</v>
      </c>
      <c r="N241" s="54" t="str">
        <f>IFERROR(VLOOKUP(A241,CONFIG!$A$10:$B$21,2,0),"")</f>
        <v>HIP</v>
      </c>
      <c r="O241" s="55" t="str">
        <f t="shared" si="7"/>
        <v>Crunch|Polea</v>
      </c>
      <c r="P241" s="69" t="str">
        <f>JUEVES!AC108</f>
        <v/>
      </c>
    </row>
    <row r="242" spans="1:16" ht="14.1" customHeight="1">
      <c r="A242" s="37">
        <v>4</v>
      </c>
      <c r="B242" s="37" t="s">
        <v>281</v>
      </c>
      <c r="C242" s="44" t="str">
        <f>SABADO!$A$85</f>
        <v>Pulldown</v>
      </c>
      <c r="D242" s="45" t="str">
        <f>SABADO!$B$85</f>
        <v>Polea Alta Brazos Rectos Prono</v>
      </c>
      <c r="E242" s="37" t="str">
        <f>SABADO!$C$85</f>
        <v>polea</v>
      </c>
      <c r="F242" s="46" t="str">
        <f>IF(P242="","",IFERROR(CHOOSE(VALUE(RIGHT(P242,1)),SABADO!F85,SABADO!I85,SABADO!L85,SABADO!O85,SABADO!R85),""))</f>
        <v/>
      </c>
      <c r="G242" s="47" t="str">
        <f>IF(P242="","",IFERROR(CHOOSE(VALUE(RIGHT(P242,1)),SABADO!G85,SABADO!J85,SABADO!M85,SABADO!P85,SABADO!S85),""))</f>
        <v/>
      </c>
      <c r="H242" s="48" t="str">
        <f>IF(P242="","",IFERROR(CHOOSE(VALUE(RIGHT(P242,1)),SABADO!H85,SABADO!K85,SABADO!N85,SABADO!Q85,SABADO!T85),""))</f>
        <v/>
      </c>
      <c r="I242" s="49" t="str">
        <f t="shared" si="6"/>
        <v/>
      </c>
      <c r="J242" s="50" t="str">
        <f>IF(P242="","",IFERROR(ROUND(CHOOSE(VALUE(RIGHT(P242,1)),IF(SABADO!C85="peso_corporal",IF(ISNUMBER(SABADO!E85),SABADO!E85,0)+SABADO!F85,SABADO!F85)*SABADO!G85,IF(SABADO!C85="peso_corporal",IF(ISNUMBER(SABADO!E85),SABADO!E85,0)+SABADO!I85,SABADO!I85)*SABADO!J85,IF(SABADO!C85="peso_corporal",IF(ISNUMBER(SABADO!E85),SABADO!E85,0)+SABADO!L85,SABADO!L85)*SABADO!M85,IF(SABADO!C85="peso_corporal",IF(ISNUMBER(SABADO!E85),SABADO!E85,0)+SABADO!O85,SABADO!O85)*SABADO!P85,IF(SABADO!C85="peso_corporal",IF(ISNUMBER(SABADO!E85),SABADO!E85,0)+SABADO!R85,SABADO!R85)*SABADO!S85),1),""))</f>
        <v/>
      </c>
      <c r="K242" s="51" t="str">
        <f>IF(P242="","",IFERROR(ROUND(CHOOSE(VALUE(RIGHT(P242,1)),(IF(SABADO!C85="peso_corporal",IF(ISNUMBER(SABADO!E85),SABADO!E85,0)+SABADO!F85,SABADO!F85))*(1+SABADO!G85/30),(IF(SABADO!C85="peso_corporal",IF(ISNUMBER(SABADO!E85),SABADO!E85,0)+SABADO!I85,SABADO!I85))*(1+SABADO!J85/30),(IF(SABADO!C85="peso_corporal",IF(ISNUMBER(SABADO!E85),SABADO!E85,0)+SABADO!L85,SABADO!L85))*(1+SABADO!M85/30),(IF(SABADO!C85="peso_corporal",IF(ISNUMBER(SABADO!E85),SABADO!E85,0)+SABADO!O85,SABADO!O85))*(1+SABADO!P85/30),(IF(SABADO!C85="peso_corporal",IF(ISNUMBER(SABADO!E85),SABADO!E85,0)+SABADO!R85,SABADO!R85))*(1+SABADO!S85/30)),1),""))</f>
        <v/>
      </c>
      <c r="L242" s="52">
        <f>IFERROR(SABADO!E85,"")</f>
        <v>80</v>
      </c>
      <c r="M242" s="53" t="str">
        <f>IFERROR(IF(K242="","-",IF(ISNUMBER(LOOKUP(2,1/((HISTORIAL!$O$3:$O$241=O242)*(HISTORIAL!$F$3:$F$241&lt;&gt;"")),HISTORIAL!$K$3:$K$241)),IF(K242&gt;LOOKUP(2,1/((HISTORIAL!$O$3:$O$241=O242)*(HISTORIAL!$F$3:$F$241&lt;&gt;"")),HISTORIAL!$K$3:$K$241),"^",IF(K242&lt;LOOKUP(2,1/((HISTORIAL!$O$3:$O$241=O242)*(HISTORIAL!$F$3:$F$241&lt;&gt;"")),HISTORIAL!$K$3:$K$241),"v","-")),"-")),"-")</f>
        <v>-</v>
      </c>
      <c r="N242" s="54" t="str">
        <f>IFERROR(VLOOKUP(A242,CONFIG!$A$10:$B$21,2,0),"")</f>
        <v>HIP</v>
      </c>
      <c r="O242" s="55" t="str">
        <f t="shared" si="7"/>
        <v>Pulldown|Polea Alta Brazos Rectos Prono</v>
      </c>
      <c r="P242" s="69" t="str">
        <f>SABADO!AC85</f>
        <v/>
      </c>
    </row>
    <row r="243" spans="1:16" ht="14.1" customHeight="1">
      <c r="A243" s="37">
        <v>4</v>
      </c>
      <c r="B243" s="37" t="s">
        <v>281</v>
      </c>
      <c r="C243" s="44" t="str">
        <f>SABADO!$A$87</f>
        <v>Remo</v>
      </c>
      <c r="D243" s="45" t="str">
        <f>SABADO!$B$87</f>
        <v>Maquina Neutro Estrecho</v>
      </c>
      <c r="E243" s="37" t="str">
        <f>SABADO!$C$87</f>
        <v>polea</v>
      </c>
      <c r="F243" s="46" t="str">
        <f>IF(P243="","",IFERROR(CHOOSE(VALUE(RIGHT(P243,1)),SABADO!F87,SABADO!I87,SABADO!L87,SABADO!O87,SABADO!R87),""))</f>
        <v/>
      </c>
      <c r="G243" s="47" t="str">
        <f>IF(P243="","",IFERROR(CHOOSE(VALUE(RIGHT(P243,1)),SABADO!G87,SABADO!J87,SABADO!M87,SABADO!P87,SABADO!S87),""))</f>
        <v/>
      </c>
      <c r="H243" s="48" t="str">
        <f>IF(P243="","",IFERROR(CHOOSE(VALUE(RIGHT(P243,1)),SABADO!H87,SABADO!K87,SABADO!N87,SABADO!Q87,SABADO!T87),""))</f>
        <v/>
      </c>
      <c r="I243" s="49" t="str">
        <f t="shared" si="6"/>
        <v/>
      </c>
      <c r="J243" s="50" t="str">
        <f>IF(P243="","",IFERROR(ROUND(CHOOSE(VALUE(RIGHT(P243,1)),IF(SABADO!C87="peso_corporal",IF(ISNUMBER(SABADO!E87),SABADO!E87,0)+SABADO!F87,SABADO!F87)*SABADO!G87,IF(SABADO!C87="peso_corporal",IF(ISNUMBER(SABADO!E87),SABADO!E87,0)+SABADO!I87,SABADO!I87)*SABADO!J87,IF(SABADO!C87="peso_corporal",IF(ISNUMBER(SABADO!E87),SABADO!E87,0)+SABADO!L87,SABADO!L87)*SABADO!M87,IF(SABADO!C87="peso_corporal",IF(ISNUMBER(SABADO!E87),SABADO!E87,0)+SABADO!O87,SABADO!O87)*SABADO!P87,IF(SABADO!C87="peso_corporal",IF(ISNUMBER(SABADO!E87),SABADO!E87,0)+SABADO!R87,SABADO!R87)*SABADO!S87),1),""))</f>
        <v/>
      </c>
      <c r="K243" s="51" t="str">
        <f>IF(P243="","",IFERROR(ROUND(CHOOSE(VALUE(RIGHT(P243,1)),(IF(SABADO!C87="peso_corporal",IF(ISNUMBER(SABADO!E87),SABADO!E87,0)+SABADO!F87,SABADO!F87))*(1+SABADO!G87/30),(IF(SABADO!C87="peso_corporal",IF(ISNUMBER(SABADO!E87),SABADO!E87,0)+SABADO!I87,SABADO!I87))*(1+SABADO!J87/30),(IF(SABADO!C87="peso_corporal",IF(ISNUMBER(SABADO!E87),SABADO!E87,0)+SABADO!L87,SABADO!L87))*(1+SABADO!M87/30),(IF(SABADO!C87="peso_corporal",IF(ISNUMBER(SABADO!E87),SABADO!E87,0)+SABADO!O87,SABADO!O87))*(1+SABADO!P87/30),(IF(SABADO!C87="peso_corporal",IF(ISNUMBER(SABADO!E87),SABADO!E87,0)+SABADO!R87,SABADO!R87))*(1+SABADO!S87/30)),1),""))</f>
        <v/>
      </c>
      <c r="L243" s="52">
        <f>IFERROR(SABADO!E87,"")</f>
        <v>80</v>
      </c>
      <c r="M243" s="53" t="str">
        <f>IFERROR(IF(K243="","-",IF(ISNUMBER(LOOKUP(2,1/((HISTORIAL!$O$3:$O$242=O243)*(HISTORIAL!$F$3:$F$242&lt;&gt;"")),HISTORIAL!$K$3:$K$242)),IF(K243&gt;LOOKUP(2,1/((HISTORIAL!$O$3:$O$242=O243)*(HISTORIAL!$F$3:$F$242&lt;&gt;"")),HISTORIAL!$K$3:$K$242),"^",IF(K243&lt;LOOKUP(2,1/((HISTORIAL!$O$3:$O$242=O243)*(HISTORIAL!$F$3:$F$242&lt;&gt;"")),HISTORIAL!$K$3:$K$242),"v","-")),"-")),"-")</f>
        <v>-</v>
      </c>
      <c r="N243" s="54" t="str">
        <f>IFERROR(VLOOKUP(A243,CONFIG!$A$10:$B$21,2,0),"")</f>
        <v>HIP</v>
      </c>
      <c r="O243" s="55" t="str">
        <f t="shared" si="7"/>
        <v>Remo|Maquina Neutro Estrecho</v>
      </c>
      <c r="P243" s="69" t="str">
        <f>SABADO!AC87</f>
        <v/>
      </c>
    </row>
    <row r="244" spans="1:16" ht="14.1" customHeight="1">
      <c r="A244" s="37">
        <v>4</v>
      </c>
      <c r="B244" s="37" t="s">
        <v>281</v>
      </c>
      <c r="C244" s="44" t="str">
        <f>SABADO!$A$88</f>
        <v>Remo</v>
      </c>
      <c r="D244" s="45" t="str">
        <f>SABADO!$B$88</f>
        <v>Maquina Neutro Ancho</v>
      </c>
      <c r="E244" s="37" t="str">
        <f>SABADO!$C$88</f>
        <v>polea</v>
      </c>
      <c r="F244" s="46" t="str">
        <f>IF(P244="","",IFERROR(CHOOSE(VALUE(RIGHT(P244,1)),SABADO!F88,SABADO!I88,SABADO!L88,SABADO!O88,SABADO!R88),""))</f>
        <v/>
      </c>
      <c r="G244" s="47" t="str">
        <f>IF(P244="","",IFERROR(CHOOSE(VALUE(RIGHT(P244,1)),SABADO!G88,SABADO!J88,SABADO!M88,SABADO!P88,SABADO!S88),""))</f>
        <v/>
      </c>
      <c r="H244" s="48" t="str">
        <f>IF(P244="","",IFERROR(CHOOSE(VALUE(RIGHT(P244,1)),SABADO!H88,SABADO!K88,SABADO!N88,SABADO!Q88,SABADO!T88),""))</f>
        <v/>
      </c>
      <c r="I244" s="49" t="str">
        <f t="shared" si="6"/>
        <v/>
      </c>
      <c r="J244" s="50" t="str">
        <f>IF(P244="","",IFERROR(ROUND(CHOOSE(VALUE(RIGHT(P244,1)),IF(SABADO!C88="peso_corporal",IF(ISNUMBER(SABADO!E88),SABADO!E88,0)+SABADO!F88,SABADO!F88)*SABADO!G88,IF(SABADO!C88="peso_corporal",IF(ISNUMBER(SABADO!E88),SABADO!E88,0)+SABADO!I88,SABADO!I88)*SABADO!J88,IF(SABADO!C88="peso_corporal",IF(ISNUMBER(SABADO!E88),SABADO!E88,0)+SABADO!L88,SABADO!L88)*SABADO!M88,IF(SABADO!C88="peso_corporal",IF(ISNUMBER(SABADO!E88),SABADO!E88,0)+SABADO!O88,SABADO!O88)*SABADO!P88,IF(SABADO!C88="peso_corporal",IF(ISNUMBER(SABADO!E88),SABADO!E88,0)+SABADO!R88,SABADO!R88)*SABADO!S88),1),""))</f>
        <v/>
      </c>
      <c r="K244" s="51" t="str">
        <f>IF(P244="","",IFERROR(ROUND(CHOOSE(VALUE(RIGHT(P244,1)),(IF(SABADO!C88="peso_corporal",IF(ISNUMBER(SABADO!E88),SABADO!E88,0)+SABADO!F88,SABADO!F88))*(1+SABADO!G88/30),(IF(SABADO!C88="peso_corporal",IF(ISNUMBER(SABADO!E88),SABADO!E88,0)+SABADO!I88,SABADO!I88))*(1+SABADO!J88/30),(IF(SABADO!C88="peso_corporal",IF(ISNUMBER(SABADO!E88),SABADO!E88,0)+SABADO!L88,SABADO!L88))*(1+SABADO!M88/30),(IF(SABADO!C88="peso_corporal",IF(ISNUMBER(SABADO!E88),SABADO!E88,0)+SABADO!O88,SABADO!O88))*(1+SABADO!P88/30),(IF(SABADO!C88="peso_corporal",IF(ISNUMBER(SABADO!E88),SABADO!E88,0)+SABADO!R88,SABADO!R88))*(1+SABADO!S88/30)),1),""))</f>
        <v/>
      </c>
      <c r="L244" s="52">
        <f>IFERROR(SABADO!E88,"")</f>
        <v>80</v>
      </c>
      <c r="M244" s="53" t="str">
        <f>IFERROR(IF(K244="","-",IF(ISNUMBER(LOOKUP(2,1/((HISTORIAL!$O$3:$O$243=O244)*(HISTORIAL!$F$3:$F$243&lt;&gt;"")),HISTORIAL!$K$3:$K$243)),IF(K244&gt;LOOKUP(2,1/((HISTORIAL!$O$3:$O$243=O244)*(HISTORIAL!$F$3:$F$243&lt;&gt;"")),HISTORIAL!$K$3:$K$243),"^",IF(K244&lt;LOOKUP(2,1/((HISTORIAL!$O$3:$O$243=O244)*(HISTORIAL!$F$3:$F$243&lt;&gt;"")),HISTORIAL!$K$3:$K$243),"v","-")),"-")),"-")</f>
        <v>-</v>
      </c>
      <c r="N244" s="54" t="str">
        <f>IFERROR(VLOOKUP(A244,CONFIG!$A$10:$B$21,2,0),"")</f>
        <v>HIP</v>
      </c>
      <c r="O244" s="55" t="str">
        <f t="shared" si="7"/>
        <v>Remo|Maquina Neutro Ancho</v>
      </c>
      <c r="P244" s="69" t="str">
        <f>SABADO!AC88</f>
        <v/>
      </c>
    </row>
    <row r="245" spans="1:16" ht="14.1" customHeight="1">
      <c r="A245" s="37">
        <v>4</v>
      </c>
      <c r="B245" s="37" t="s">
        <v>281</v>
      </c>
      <c r="C245" s="44" t="str">
        <f>SABADO!$A$89</f>
        <v>Peck Deck Invertida</v>
      </c>
      <c r="D245" s="45" t="str">
        <f>SABADO!$B$89</f>
        <v>Maquina</v>
      </c>
      <c r="E245" s="37" t="str">
        <f>SABADO!$C$89</f>
        <v>polea</v>
      </c>
      <c r="F245" s="46" t="str">
        <f>IF(P245="","",IFERROR(CHOOSE(VALUE(RIGHT(P245,1)),SABADO!F89,SABADO!I89,SABADO!L89,SABADO!O89,SABADO!R89),""))</f>
        <v/>
      </c>
      <c r="G245" s="47" t="str">
        <f>IF(P245="","",IFERROR(CHOOSE(VALUE(RIGHT(P245,1)),SABADO!G89,SABADO!J89,SABADO!M89,SABADO!P89,SABADO!S89),""))</f>
        <v/>
      </c>
      <c r="H245" s="48" t="str">
        <f>IF(P245="","",IFERROR(CHOOSE(VALUE(RIGHT(P245,1)),SABADO!H89,SABADO!K89,SABADO!N89,SABADO!Q89,SABADO!T89),""))</f>
        <v/>
      </c>
      <c r="I245" s="49" t="str">
        <f t="shared" si="6"/>
        <v/>
      </c>
      <c r="J245" s="50" t="str">
        <f>IF(P245="","",IFERROR(ROUND(CHOOSE(VALUE(RIGHT(P245,1)),IF(SABADO!C89="peso_corporal",IF(ISNUMBER(SABADO!E89),SABADO!E89,0)+SABADO!F89,SABADO!F89)*SABADO!G89,IF(SABADO!C89="peso_corporal",IF(ISNUMBER(SABADO!E89),SABADO!E89,0)+SABADO!I89,SABADO!I89)*SABADO!J89,IF(SABADO!C89="peso_corporal",IF(ISNUMBER(SABADO!E89),SABADO!E89,0)+SABADO!L89,SABADO!L89)*SABADO!M89,IF(SABADO!C89="peso_corporal",IF(ISNUMBER(SABADO!E89),SABADO!E89,0)+SABADO!O89,SABADO!O89)*SABADO!P89,IF(SABADO!C89="peso_corporal",IF(ISNUMBER(SABADO!E89),SABADO!E89,0)+SABADO!R89,SABADO!R89)*SABADO!S89),1),""))</f>
        <v/>
      </c>
      <c r="K245" s="51" t="str">
        <f>IF(P245="","",IFERROR(ROUND(CHOOSE(VALUE(RIGHT(P245,1)),(IF(SABADO!C89="peso_corporal",IF(ISNUMBER(SABADO!E89),SABADO!E89,0)+SABADO!F89,SABADO!F89))*(1+SABADO!G89/30),(IF(SABADO!C89="peso_corporal",IF(ISNUMBER(SABADO!E89),SABADO!E89,0)+SABADO!I89,SABADO!I89))*(1+SABADO!J89/30),(IF(SABADO!C89="peso_corporal",IF(ISNUMBER(SABADO!E89),SABADO!E89,0)+SABADO!L89,SABADO!L89))*(1+SABADO!M89/30),(IF(SABADO!C89="peso_corporal",IF(ISNUMBER(SABADO!E89),SABADO!E89,0)+SABADO!O89,SABADO!O89))*(1+SABADO!P89/30),(IF(SABADO!C89="peso_corporal",IF(ISNUMBER(SABADO!E89),SABADO!E89,0)+SABADO!R89,SABADO!R89))*(1+SABADO!S89/30)),1),""))</f>
        <v/>
      </c>
      <c r="L245" s="52">
        <f>IFERROR(SABADO!E89,"")</f>
        <v>80</v>
      </c>
      <c r="M245" s="53" t="str">
        <f>IFERROR(IF(K245="","-",IF(ISNUMBER(LOOKUP(2,1/((HISTORIAL!$O$3:$O$244=O245)*(HISTORIAL!$F$3:$F$244&lt;&gt;"")),HISTORIAL!$K$3:$K$244)),IF(K245&gt;LOOKUP(2,1/((HISTORIAL!$O$3:$O$244=O245)*(HISTORIAL!$F$3:$F$244&lt;&gt;"")),HISTORIAL!$K$3:$K$244),"^",IF(K245&lt;LOOKUP(2,1/((HISTORIAL!$O$3:$O$244=O245)*(HISTORIAL!$F$3:$F$244&lt;&gt;"")),HISTORIAL!$K$3:$K$244),"v","-")),"-")),"-")</f>
        <v>-</v>
      </c>
      <c r="N245" s="54" t="str">
        <f>IFERROR(VLOOKUP(A245,CONFIG!$A$10:$B$21,2,0),"")</f>
        <v>HIP</v>
      </c>
      <c r="O245" s="55" t="str">
        <f t="shared" si="7"/>
        <v>Peck Deck Invertida|Maquina</v>
      </c>
      <c r="P245" s="69" t="str">
        <f>SABADO!AC89</f>
        <v/>
      </c>
    </row>
    <row r="246" spans="1:16" ht="14.1" customHeight="1">
      <c r="A246" s="37">
        <v>4</v>
      </c>
      <c r="B246" s="37" t="s">
        <v>281</v>
      </c>
      <c r="C246" s="44" t="str">
        <f>SABADO!$A$91</f>
        <v>Curl Biceps</v>
      </c>
      <c r="D246" s="45" t="str">
        <f>SABADO!$B$91</f>
        <v>Concentrado Maquina</v>
      </c>
      <c r="E246" s="37" t="str">
        <f>SABADO!$C$91</f>
        <v>polea</v>
      </c>
      <c r="F246" s="46" t="str">
        <f>IF(P246="","",IFERROR(CHOOSE(VALUE(RIGHT(P246,1)),SABADO!F91,SABADO!I91,SABADO!L91,SABADO!O91,SABADO!R91),""))</f>
        <v/>
      </c>
      <c r="G246" s="47" t="str">
        <f>IF(P246="","",IFERROR(CHOOSE(VALUE(RIGHT(P246,1)),SABADO!G91,SABADO!J91,SABADO!M91,SABADO!P91,SABADO!S91),""))</f>
        <v/>
      </c>
      <c r="H246" s="48" t="str">
        <f>IF(P246="","",IFERROR(CHOOSE(VALUE(RIGHT(P246,1)),SABADO!H91,SABADO!K91,SABADO!N91,SABADO!Q91,SABADO!T91),""))</f>
        <v/>
      </c>
      <c r="I246" s="49" t="str">
        <f t="shared" si="6"/>
        <v/>
      </c>
      <c r="J246" s="50" t="str">
        <f>IF(P246="","",IFERROR(ROUND(CHOOSE(VALUE(RIGHT(P246,1)),IF(SABADO!C91="peso_corporal",IF(ISNUMBER(SABADO!E91),SABADO!E91,0)+SABADO!F91,SABADO!F91)*SABADO!G91,IF(SABADO!C91="peso_corporal",IF(ISNUMBER(SABADO!E91),SABADO!E91,0)+SABADO!I91,SABADO!I91)*SABADO!J91,IF(SABADO!C91="peso_corporal",IF(ISNUMBER(SABADO!E91),SABADO!E91,0)+SABADO!L91,SABADO!L91)*SABADO!M91,IF(SABADO!C91="peso_corporal",IF(ISNUMBER(SABADO!E91),SABADO!E91,0)+SABADO!O91,SABADO!O91)*SABADO!P91,IF(SABADO!C91="peso_corporal",IF(ISNUMBER(SABADO!E91),SABADO!E91,0)+SABADO!R91,SABADO!R91)*SABADO!S91),1),""))</f>
        <v/>
      </c>
      <c r="K246" s="51" t="str">
        <f>IF(P246="","",IFERROR(ROUND(CHOOSE(VALUE(RIGHT(P246,1)),(IF(SABADO!C91="peso_corporal",IF(ISNUMBER(SABADO!E91),SABADO!E91,0)+SABADO!F91,SABADO!F91))*(1+SABADO!G91/30),(IF(SABADO!C91="peso_corporal",IF(ISNUMBER(SABADO!E91),SABADO!E91,0)+SABADO!I91,SABADO!I91))*(1+SABADO!J91/30),(IF(SABADO!C91="peso_corporal",IF(ISNUMBER(SABADO!E91),SABADO!E91,0)+SABADO!L91,SABADO!L91))*(1+SABADO!M91/30),(IF(SABADO!C91="peso_corporal",IF(ISNUMBER(SABADO!E91),SABADO!E91,0)+SABADO!O91,SABADO!O91))*(1+SABADO!P91/30),(IF(SABADO!C91="peso_corporal",IF(ISNUMBER(SABADO!E91),SABADO!E91,0)+SABADO!R91,SABADO!R91))*(1+SABADO!S91/30)),1),""))</f>
        <v/>
      </c>
      <c r="L246" s="52">
        <f>IFERROR(SABADO!E91,"")</f>
        <v>80</v>
      </c>
      <c r="M246" s="53" t="str">
        <f>IFERROR(IF(K246="","-",IF(ISNUMBER(LOOKUP(2,1/((HISTORIAL!$O$3:$O$245=O246)*(HISTORIAL!$F$3:$F$245&lt;&gt;"")),HISTORIAL!$K$3:$K$245)),IF(K246&gt;LOOKUP(2,1/((HISTORIAL!$O$3:$O$245=O246)*(HISTORIAL!$F$3:$F$245&lt;&gt;"")),HISTORIAL!$K$3:$K$245),"^",IF(K246&lt;LOOKUP(2,1/((HISTORIAL!$O$3:$O$245=O246)*(HISTORIAL!$F$3:$F$245&lt;&gt;"")),HISTORIAL!$K$3:$K$245),"v","-")),"-")),"-")</f>
        <v>-</v>
      </c>
      <c r="N246" s="54" t="str">
        <f>IFERROR(VLOOKUP(A246,CONFIG!$A$10:$B$21,2,0),"")</f>
        <v>HIP</v>
      </c>
      <c r="O246" s="55" t="str">
        <f t="shared" si="7"/>
        <v>Curl Biceps|Concentrado Maquina</v>
      </c>
      <c r="P246" s="69" t="str">
        <f>SABADO!AC91</f>
        <v/>
      </c>
    </row>
    <row r="247" spans="1:16" ht="14.1" customHeight="1">
      <c r="A247" s="37">
        <v>4</v>
      </c>
      <c r="B247" s="37" t="s">
        <v>281</v>
      </c>
      <c r="C247" s="44" t="str">
        <f>SABADO!$A$92</f>
        <v>Curl Martillo</v>
      </c>
      <c r="D247" s="45" t="str">
        <f>SABADO!$B$92</f>
        <v>Polea Individual</v>
      </c>
      <c r="E247" s="37" t="str">
        <f>SABADO!$C$92</f>
        <v>polea</v>
      </c>
      <c r="F247" s="46" t="str">
        <f>IF(P247="","",IFERROR(CHOOSE(VALUE(RIGHT(P247,1)),SABADO!F92,SABADO!I92,SABADO!L92,SABADO!O92,SABADO!R92),""))</f>
        <v/>
      </c>
      <c r="G247" s="47" t="str">
        <f>IF(P247="","",IFERROR(CHOOSE(VALUE(RIGHT(P247,1)),SABADO!G92,SABADO!J92,SABADO!M92,SABADO!P92,SABADO!S92),""))</f>
        <v/>
      </c>
      <c r="H247" s="48" t="str">
        <f>IF(P247="","",IFERROR(CHOOSE(VALUE(RIGHT(P247,1)),SABADO!H92,SABADO!K92,SABADO!N92,SABADO!Q92,SABADO!T92),""))</f>
        <v/>
      </c>
      <c r="I247" s="49" t="str">
        <f t="shared" si="6"/>
        <v/>
      </c>
      <c r="J247" s="50" t="str">
        <f>IF(P247="","",IFERROR(ROUND(CHOOSE(VALUE(RIGHT(P247,1)),IF(SABADO!C92="peso_corporal",IF(ISNUMBER(SABADO!E92),SABADO!E92,0)+SABADO!F92,SABADO!F92)*SABADO!G92,IF(SABADO!C92="peso_corporal",IF(ISNUMBER(SABADO!E92),SABADO!E92,0)+SABADO!I92,SABADO!I92)*SABADO!J92,IF(SABADO!C92="peso_corporal",IF(ISNUMBER(SABADO!E92),SABADO!E92,0)+SABADO!L92,SABADO!L92)*SABADO!M92,IF(SABADO!C92="peso_corporal",IF(ISNUMBER(SABADO!E92),SABADO!E92,0)+SABADO!O92,SABADO!O92)*SABADO!P92,IF(SABADO!C92="peso_corporal",IF(ISNUMBER(SABADO!E92),SABADO!E92,0)+SABADO!R92,SABADO!R92)*SABADO!S92),1),""))</f>
        <v/>
      </c>
      <c r="K247" s="51" t="str">
        <f>IF(P247="","",IFERROR(ROUND(CHOOSE(VALUE(RIGHT(P247,1)),(IF(SABADO!C92="peso_corporal",IF(ISNUMBER(SABADO!E92),SABADO!E92,0)+SABADO!F92,SABADO!F92))*(1+SABADO!G92/30),(IF(SABADO!C92="peso_corporal",IF(ISNUMBER(SABADO!E92),SABADO!E92,0)+SABADO!I92,SABADO!I92))*(1+SABADO!J92/30),(IF(SABADO!C92="peso_corporal",IF(ISNUMBER(SABADO!E92),SABADO!E92,0)+SABADO!L92,SABADO!L92))*(1+SABADO!M92/30),(IF(SABADO!C92="peso_corporal",IF(ISNUMBER(SABADO!E92),SABADO!E92,0)+SABADO!O92,SABADO!O92))*(1+SABADO!P92/30),(IF(SABADO!C92="peso_corporal",IF(ISNUMBER(SABADO!E92),SABADO!E92,0)+SABADO!R92,SABADO!R92))*(1+SABADO!S92/30)),1),""))</f>
        <v/>
      </c>
      <c r="L247" s="52">
        <f>IFERROR(SABADO!E92,"")</f>
        <v>80</v>
      </c>
      <c r="M247" s="53" t="str">
        <f>IFERROR(IF(K247="","-",IF(ISNUMBER(LOOKUP(2,1/((HISTORIAL!$O$3:$O$246=O247)*(HISTORIAL!$F$3:$F$246&lt;&gt;"")),HISTORIAL!$K$3:$K$246)),IF(K247&gt;LOOKUP(2,1/((HISTORIAL!$O$3:$O$246=O247)*(HISTORIAL!$F$3:$F$246&lt;&gt;"")),HISTORIAL!$K$3:$K$246),"^",IF(K247&lt;LOOKUP(2,1/((HISTORIAL!$O$3:$O$246=O247)*(HISTORIAL!$F$3:$F$246&lt;&gt;"")),HISTORIAL!$K$3:$K$246),"v","-")),"-")),"-")</f>
        <v>-</v>
      </c>
      <c r="N247" s="54" t="str">
        <f>IFERROR(VLOOKUP(A247,CONFIG!$A$10:$B$21,2,0),"")</f>
        <v>HIP</v>
      </c>
      <c r="O247" s="55" t="str">
        <f t="shared" si="7"/>
        <v>Curl Martillo|Polea Individual</v>
      </c>
      <c r="P247" s="69" t="str">
        <f>SABADO!AC92</f>
        <v/>
      </c>
    </row>
    <row r="248" spans="1:16" ht="14.1" customHeight="1">
      <c r="A248" s="37">
        <v>4</v>
      </c>
      <c r="B248" s="37" t="s">
        <v>281</v>
      </c>
      <c r="C248" s="44" t="str">
        <f>SABADO!$A$94</f>
        <v>Curl Muneca</v>
      </c>
      <c r="D248" s="45" t="str">
        <f>SABADO!$B$94</f>
        <v>Supinado</v>
      </c>
      <c r="E248" s="37" t="str">
        <f>SABADO!$C$94</f>
        <v>mancuerna</v>
      </c>
      <c r="F248" s="46" t="str">
        <f>IF(P248="","",IFERROR(CHOOSE(VALUE(RIGHT(P248,1)),SABADO!F94,SABADO!I94,SABADO!L94,SABADO!O94,SABADO!R94),""))</f>
        <v/>
      </c>
      <c r="G248" s="47" t="str">
        <f>IF(P248="","",IFERROR(CHOOSE(VALUE(RIGHT(P248,1)),SABADO!G94,SABADO!J94,SABADO!M94,SABADO!P94,SABADO!S94),""))</f>
        <v/>
      </c>
      <c r="H248" s="48" t="str">
        <f>IF(P248="","",IFERROR(CHOOSE(VALUE(RIGHT(P248,1)),SABADO!H94,SABADO!K94,SABADO!N94,SABADO!Q94,SABADO!T94),""))</f>
        <v/>
      </c>
      <c r="I248" s="49" t="str">
        <f t="shared" si="6"/>
        <v/>
      </c>
      <c r="J248" s="50" t="str">
        <f>IF(P248="","",IFERROR(ROUND(CHOOSE(VALUE(RIGHT(P248,1)),IF(SABADO!C94="peso_corporal",IF(ISNUMBER(SABADO!E94),SABADO!E94,0)+SABADO!F94,SABADO!F94)*SABADO!G94,IF(SABADO!C94="peso_corporal",IF(ISNUMBER(SABADO!E94),SABADO!E94,0)+SABADO!I94,SABADO!I94)*SABADO!J94,IF(SABADO!C94="peso_corporal",IF(ISNUMBER(SABADO!E94),SABADO!E94,0)+SABADO!L94,SABADO!L94)*SABADO!M94,IF(SABADO!C94="peso_corporal",IF(ISNUMBER(SABADO!E94),SABADO!E94,0)+SABADO!O94,SABADO!O94)*SABADO!P94,IF(SABADO!C94="peso_corporal",IF(ISNUMBER(SABADO!E94),SABADO!E94,0)+SABADO!R94,SABADO!R94)*SABADO!S94),1),""))</f>
        <v/>
      </c>
      <c r="K248" s="51" t="str">
        <f>IF(P248="","",IFERROR(ROUND(CHOOSE(VALUE(RIGHT(P248,1)),(IF(SABADO!C94="peso_corporal",IF(ISNUMBER(SABADO!E94),SABADO!E94,0)+SABADO!F94,SABADO!F94))*(1+SABADO!G94/30),(IF(SABADO!C94="peso_corporal",IF(ISNUMBER(SABADO!E94),SABADO!E94,0)+SABADO!I94,SABADO!I94))*(1+SABADO!J94/30),(IF(SABADO!C94="peso_corporal",IF(ISNUMBER(SABADO!E94),SABADO!E94,0)+SABADO!L94,SABADO!L94))*(1+SABADO!M94/30),(IF(SABADO!C94="peso_corporal",IF(ISNUMBER(SABADO!E94),SABADO!E94,0)+SABADO!O94,SABADO!O94))*(1+SABADO!P94/30),(IF(SABADO!C94="peso_corporal",IF(ISNUMBER(SABADO!E94),SABADO!E94,0)+SABADO!R94,SABADO!R94))*(1+SABADO!S94/30)),1),""))</f>
        <v/>
      </c>
      <c r="L248" s="52">
        <f>IFERROR(SABADO!E94,"")</f>
        <v>80</v>
      </c>
      <c r="M248" s="53" t="str">
        <f>IFERROR(IF(K248="","-",IF(ISNUMBER(LOOKUP(2,1/((HISTORIAL!$O$3:$O$247=O248)*(HISTORIAL!$F$3:$F$247&lt;&gt;"")),HISTORIAL!$K$3:$K$247)),IF(K248&gt;LOOKUP(2,1/((HISTORIAL!$O$3:$O$247=O248)*(HISTORIAL!$F$3:$F$247&lt;&gt;"")),HISTORIAL!$K$3:$K$247),"^",IF(K248&lt;LOOKUP(2,1/((HISTORIAL!$O$3:$O$247=O248)*(HISTORIAL!$F$3:$F$247&lt;&gt;"")),HISTORIAL!$K$3:$K$247),"v","-")),"-")),"-")</f>
        <v>-</v>
      </c>
      <c r="N248" s="54" t="str">
        <f>IFERROR(VLOOKUP(A248,CONFIG!$A$10:$B$21,2,0),"")</f>
        <v>HIP</v>
      </c>
      <c r="O248" s="55" t="str">
        <f t="shared" si="7"/>
        <v>Curl Muneca|Supinado</v>
      </c>
      <c r="P248" s="69" t="str">
        <f>SABADO!AC94</f>
        <v/>
      </c>
    </row>
    <row r="249" spans="1:16" ht="14.1" customHeight="1">
      <c r="A249" s="37">
        <v>4</v>
      </c>
      <c r="B249" s="37" t="s">
        <v>281</v>
      </c>
      <c r="C249" s="44" t="str">
        <f>SABADO!$A$95</f>
        <v>Curl Muneca</v>
      </c>
      <c r="D249" s="45" t="str">
        <f>SABADO!$B$95</f>
        <v>Pronado</v>
      </c>
      <c r="E249" s="37" t="str">
        <f>SABADO!$C$95</f>
        <v>mancuerna</v>
      </c>
      <c r="F249" s="46" t="str">
        <f>IF(P249="","",IFERROR(CHOOSE(VALUE(RIGHT(P249,1)),SABADO!F95,SABADO!I95,SABADO!L95,SABADO!O95,SABADO!R95),""))</f>
        <v/>
      </c>
      <c r="G249" s="47" t="str">
        <f>IF(P249="","",IFERROR(CHOOSE(VALUE(RIGHT(P249,1)),SABADO!G95,SABADO!J95,SABADO!M95,SABADO!P95,SABADO!S95),""))</f>
        <v/>
      </c>
      <c r="H249" s="48" t="str">
        <f>IF(P249="","",IFERROR(CHOOSE(VALUE(RIGHT(P249,1)),SABADO!H95,SABADO!K95,SABADO!N95,SABADO!Q95,SABADO!T95),""))</f>
        <v/>
      </c>
      <c r="I249" s="49" t="str">
        <f t="shared" si="6"/>
        <v/>
      </c>
      <c r="J249" s="50" t="str">
        <f>IF(P249="","",IFERROR(ROUND(CHOOSE(VALUE(RIGHT(P249,1)),IF(SABADO!C95="peso_corporal",IF(ISNUMBER(SABADO!E95),SABADO!E95,0)+SABADO!F95,SABADO!F95)*SABADO!G95,IF(SABADO!C95="peso_corporal",IF(ISNUMBER(SABADO!E95),SABADO!E95,0)+SABADO!I95,SABADO!I95)*SABADO!J95,IF(SABADO!C95="peso_corporal",IF(ISNUMBER(SABADO!E95),SABADO!E95,0)+SABADO!L95,SABADO!L95)*SABADO!M95,IF(SABADO!C95="peso_corporal",IF(ISNUMBER(SABADO!E95),SABADO!E95,0)+SABADO!O95,SABADO!O95)*SABADO!P95,IF(SABADO!C95="peso_corporal",IF(ISNUMBER(SABADO!E95),SABADO!E95,0)+SABADO!R95,SABADO!R95)*SABADO!S95),1),""))</f>
        <v/>
      </c>
      <c r="K249" s="51" t="str">
        <f>IF(P249="","",IFERROR(ROUND(CHOOSE(VALUE(RIGHT(P249,1)),(IF(SABADO!C95="peso_corporal",IF(ISNUMBER(SABADO!E95),SABADO!E95,0)+SABADO!F95,SABADO!F95))*(1+SABADO!G95/30),(IF(SABADO!C95="peso_corporal",IF(ISNUMBER(SABADO!E95),SABADO!E95,0)+SABADO!I95,SABADO!I95))*(1+SABADO!J95/30),(IF(SABADO!C95="peso_corporal",IF(ISNUMBER(SABADO!E95),SABADO!E95,0)+SABADO!L95,SABADO!L95))*(1+SABADO!M95/30),(IF(SABADO!C95="peso_corporal",IF(ISNUMBER(SABADO!E95),SABADO!E95,0)+SABADO!O95,SABADO!O95))*(1+SABADO!P95/30),(IF(SABADO!C95="peso_corporal",IF(ISNUMBER(SABADO!E95),SABADO!E95,0)+SABADO!R95,SABADO!R95))*(1+SABADO!S95/30)),1),""))</f>
        <v/>
      </c>
      <c r="L249" s="52">
        <f>IFERROR(SABADO!E95,"")</f>
        <v>80</v>
      </c>
      <c r="M249" s="53" t="str">
        <f>IFERROR(IF(K249="","-",IF(ISNUMBER(LOOKUP(2,1/((HISTORIAL!$O$3:$O$248=O249)*(HISTORIAL!$F$3:$F$248&lt;&gt;"")),HISTORIAL!$K$3:$K$248)),IF(K249&gt;LOOKUP(2,1/((HISTORIAL!$O$3:$O$248=O249)*(HISTORIAL!$F$3:$F$248&lt;&gt;"")),HISTORIAL!$K$3:$K$248),"^",IF(K249&lt;LOOKUP(2,1/((HISTORIAL!$O$3:$O$248=O249)*(HISTORIAL!$F$3:$F$248&lt;&gt;"")),HISTORIAL!$K$3:$K$248),"v","-")),"-")),"-")</f>
        <v>-</v>
      </c>
      <c r="N249" s="54" t="str">
        <f>IFERROR(VLOOKUP(A249,CONFIG!$A$10:$B$21,2,0),"")</f>
        <v>HIP</v>
      </c>
      <c r="O249" s="55" t="str">
        <f t="shared" si="7"/>
        <v>Curl Muneca|Pronado</v>
      </c>
      <c r="P249" s="69" t="str">
        <f>SABADO!AC95</f>
        <v/>
      </c>
    </row>
    <row r="250" spans="1:16" ht="14.1" customHeight="1">
      <c r="A250" s="37">
        <v>4</v>
      </c>
      <c r="B250" s="37" t="s">
        <v>281</v>
      </c>
      <c r="C250" s="44" t="str">
        <f>SABADO!$A$97</f>
        <v>Elevaciones Laterales</v>
      </c>
      <c r="D250" s="45" t="str">
        <f>SABADO!$B$97</f>
        <v>Cable Polea Individual</v>
      </c>
      <c r="E250" s="37" t="str">
        <f>SABADO!$C$97</f>
        <v>polea</v>
      </c>
      <c r="F250" s="46" t="str">
        <f>IF(P250="","",IFERROR(CHOOSE(VALUE(RIGHT(P250,1)),SABADO!F97,SABADO!I97,SABADO!L97,SABADO!O97,SABADO!R97),""))</f>
        <v/>
      </c>
      <c r="G250" s="47" t="str">
        <f>IF(P250="","",IFERROR(CHOOSE(VALUE(RIGHT(P250,1)),SABADO!G97,SABADO!J97,SABADO!M97,SABADO!P97,SABADO!S97),""))</f>
        <v/>
      </c>
      <c r="H250" s="48" t="str">
        <f>IF(P250="","",IFERROR(CHOOSE(VALUE(RIGHT(P250,1)),SABADO!H97,SABADO!K97,SABADO!N97,SABADO!Q97,SABADO!T97),""))</f>
        <v/>
      </c>
      <c r="I250" s="49" t="str">
        <f t="shared" si="6"/>
        <v/>
      </c>
      <c r="J250" s="50" t="str">
        <f>IF(P250="","",IFERROR(ROUND(CHOOSE(VALUE(RIGHT(P250,1)),IF(SABADO!C97="peso_corporal",IF(ISNUMBER(SABADO!E97),SABADO!E97,0)+SABADO!F97,SABADO!F97)*SABADO!G97,IF(SABADO!C97="peso_corporal",IF(ISNUMBER(SABADO!E97),SABADO!E97,0)+SABADO!I97,SABADO!I97)*SABADO!J97,IF(SABADO!C97="peso_corporal",IF(ISNUMBER(SABADO!E97),SABADO!E97,0)+SABADO!L97,SABADO!L97)*SABADO!M97,IF(SABADO!C97="peso_corporal",IF(ISNUMBER(SABADO!E97),SABADO!E97,0)+SABADO!O97,SABADO!O97)*SABADO!P97,IF(SABADO!C97="peso_corporal",IF(ISNUMBER(SABADO!E97),SABADO!E97,0)+SABADO!R97,SABADO!R97)*SABADO!S97),1),""))</f>
        <v/>
      </c>
      <c r="K250" s="51" t="str">
        <f>IF(P250="","",IFERROR(ROUND(CHOOSE(VALUE(RIGHT(P250,1)),(IF(SABADO!C97="peso_corporal",IF(ISNUMBER(SABADO!E97),SABADO!E97,0)+SABADO!F97,SABADO!F97))*(1+SABADO!G97/30),(IF(SABADO!C97="peso_corporal",IF(ISNUMBER(SABADO!E97),SABADO!E97,0)+SABADO!I97,SABADO!I97))*(1+SABADO!J97/30),(IF(SABADO!C97="peso_corporal",IF(ISNUMBER(SABADO!E97),SABADO!E97,0)+SABADO!L97,SABADO!L97))*(1+SABADO!M97/30),(IF(SABADO!C97="peso_corporal",IF(ISNUMBER(SABADO!E97),SABADO!E97,0)+SABADO!O97,SABADO!O97))*(1+SABADO!P97/30),(IF(SABADO!C97="peso_corporal",IF(ISNUMBER(SABADO!E97),SABADO!E97,0)+SABADO!R97,SABADO!R97))*(1+SABADO!S97/30)),1),""))</f>
        <v/>
      </c>
      <c r="L250" s="52">
        <f>IFERROR(SABADO!E97,"")</f>
        <v>80</v>
      </c>
      <c r="M250" s="53" t="str">
        <f>IFERROR(IF(K250="","-",IF(ISNUMBER(LOOKUP(2,1/((HISTORIAL!$O$3:$O$249=O250)*(HISTORIAL!$F$3:$F$249&lt;&gt;"")),HISTORIAL!$K$3:$K$249)),IF(K250&gt;LOOKUP(2,1/((HISTORIAL!$O$3:$O$249=O250)*(HISTORIAL!$F$3:$F$249&lt;&gt;"")),HISTORIAL!$K$3:$K$249),"^",IF(K250&lt;LOOKUP(2,1/((HISTORIAL!$O$3:$O$249=O250)*(HISTORIAL!$F$3:$F$249&lt;&gt;"")),HISTORIAL!$K$3:$K$249),"v","-")),"-")),"-")</f>
        <v>-</v>
      </c>
      <c r="N250" s="54" t="str">
        <f>IFERROR(VLOOKUP(A250,CONFIG!$A$10:$B$21,2,0),"")</f>
        <v>HIP</v>
      </c>
      <c r="O250" s="55" t="str">
        <f t="shared" si="7"/>
        <v>Elevaciones Laterales|Cable Polea Individual</v>
      </c>
      <c r="P250" s="69" t="str">
        <f>SABADO!AC97</f>
        <v/>
      </c>
    </row>
    <row r="251" spans="1:16" ht="14.1" customHeight="1">
      <c r="A251" s="37">
        <v>4</v>
      </c>
      <c r="B251" s="37" t="s">
        <v>281</v>
      </c>
      <c r="C251" s="44" t="str">
        <f>SABADO!$A$99</f>
        <v>Encogimientos</v>
      </c>
      <c r="D251" s="45" t="str">
        <f>SABADO!$B$99</f>
        <v>Mancuernas Trapecio</v>
      </c>
      <c r="E251" s="37" t="str">
        <f>SABADO!$C$99</f>
        <v>mancuerna</v>
      </c>
      <c r="F251" s="46" t="str">
        <f>IF(P251="","",IFERROR(CHOOSE(VALUE(RIGHT(P251,1)),SABADO!F99,SABADO!I99,SABADO!L99,SABADO!O99,SABADO!R99),""))</f>
        <v/>
      </c>
      <c r="G251" s="47" t="str">
        <f>IF(P251="","",IFERROR(CHOOSE(VALUE(RIGHT(P251,1)),SABADO!G99,SABADO!J99,SABADO!M99,SABADO!P99,SABADO!S99),""))</f>
        <v/>
      </c>
      <c r="H251" s="48" t="str">
        <f>IF(P251="","",IFERROR(CHOOSE(VALUE(RIGHT(P251,1)),SABADO!H99,SABADO!K99,SABADO!N99,SABADO!Q99,SABADO!T99),""))</f>
        <v/>
      </c>
      <c r="I251" s="49" t="str">
        <f t="shared" si="6"/>
        <v/>
      </c>
      <c r="J251" s="50" t="str">
        <f>IF(P251="","",IFERROR(ROUND(CHOOSE(VALUE(RIGHT(P251,1)),IF(SABADO!C99="peso_corporal",IF(ISNUMBER(SABADO!E99),SABADO!E99,0)+SABADO!F99,SABADO!F99)*SABADO!G99,IF(SABADO!C99="peso_corporal",IF(ISNUMBER(SABADO!E99),SABADO!E99,0)+SABADO!I99,SABADO!I99)*SABADO!J99,IF(SABADO!C99="peso_corporal",IF(ISNUMBER(SABADO!E99),SABADO!E99,0)+SABADO!L99,SABADO!L99)*SABADO!M99,IF(SABADO!C99="peso_corporal",IF(ISNUMBER(SABADO!E99),SABADO!E99,0)+SABADO!O99,SABADO!O99)*SABADO!P99,IF(SABADO!C99="peso_corporal",IF(ISNUMBER(SABADO!E99),SABADO!E99,0)+SABADO!R99,SABADO!R99)*SABADO!S99),1),""))</f>
        <v/>
      </c>
      <c r="K251" s="51" t="str">
        <f>IF(P251="","",IFERROR(ROUND(CHOOSE(VALUE(RIGHT(P251,1)),(IF(SABADO!C99="peso_corporal",IF(ISNUMBER(SABADO!E99),SABADO!E99,0)+SABADO!F99,SABADO!F99))*(1+SABADO!G99/30),(IF(SABADO!C99="peso_corporal",IF(ISNUMBER(SABADO!E99),SABADO!E99,0)+SABADO!I99,SABADO!I99))*(1+SABADO!J99/30),(IF(SABADO!C99="peso_corporal",IF(ISNUMBER(SABADO!E99),SABADO!E99,0)+SABADO!L99,SABADO!L99))*(1+SABADO!M99/30),(IF(SABADO!C99="peso_corporal",IF(ISNUMBER(SABADO!E99),SABADO!E99,0)+SABADO!O99,SABADO!O99))*(1+SABADO!P99/30),(IF(SABADO!C99="peso_corporal",IF(ISNUMBER(SABADO!E99),SABADO!E99,0)+SABADO!R99,SABADO!R99))*(1+SABADO!S99/30)),1),""))</f>
        <v/>
      </c>
      <c r="L251" s="52">
        <f>IFERROR(SABADO!E99,"")</f>
        <v>80</v>
      </c>
      <c r="M251" s="53" t="str">
        <f>IFERROR(IF(K251="","-",IF(ISNUMBER(LOOKUP(2,1/((HISTORIAL!$O$3:$O$250=O251)*(HISTORIAL!$F$3:$F$250&lt;&gt;"")),HISTORIAL!$K$3:$K$250)),IF(K251&gt;LOOKUP(2,1/((HISTORIAL!$O$3:$O$250=O251)*(HISTORIAL!$F$3:$F$250&lt;&gt;"")),HISTORIAL!$K$3:$K$250),"^",IF(K251&lt;LOOKUP(2,1/((HISTORIAL!$O$3:$O$250=O251)*(HISTORIAL!$F$3:$F$250&lt;&gt;"")),HISTORIAL!$K$3:$K$250),"v","-")),"-")),"-")</f>
        <v>-</v>
      </c>
      <c r="N251" s="54" t="str">
        <f>IFERROR(VLOOKUP(A251,CONFIG!$A$10:$B$21,2,0),"")</f>
        <v>HIP</v>
      </c>
      <c r="O251" s="55" t="str">
        <f t="shared" si="7"/>
        <v>Encogimientos|Mancuernas Trapecio</v>
      </c>
      <c r="P251" s="69" t="str">
        <f>SABADO!AC99</f>
        <v/>
      </c>
    </row>
    <row r="252" spans="1:16" ht="14.1" customHeight="1">
      <c r="A252" s="37">
        <v>4</v>
      </c>
      <c r="B252" s="37" t="s">
        <v>281</v>
      </c>
      <c r="C252" s="44" t="str">
        <f>SABADO!$A$100</f>
        <v>Face Pull</v>
      </c>
      <c r="D252" s="45" t="str">
        <f>SABADO!$B$100</f>
        <v>Polea Alta Cuerda</v>
      </c>
      <c r="E252" s="37" t="str">
        <f>SABADO!$C$100</f>
        <v>polea</v>
      </c>
      <c r="F252" s="46" t="str">
        <f>IF(P252="","",IFERROR(CHOOSE(VALUE(RIGHT(P252,1)),SABADO!F100,SABADO!I100,SABADO!L100,SABADO!O100,SABADO!R100),""))</f>
        <v/>
      </c>
      <c r="G252" s="47" t="str">
        <f>IF(P252="","",IFERROR(CHOOSE(VALUE(RIGHT(P252,1)),SABADO!G100,SABADO!J100,SABADO!M100,SABADO!P100,SABADO!S100),""))</f>
        <v/>
      </c>
      <c r="H252" s="48" t="str">
        <f>IF(P252="","",IFERROR(CHOOSE(VALUE(RIGHT(P252,1)),SABADO!H100,SABADO!K100,SABADO!N100,SABADO!Q100,SABADO!T100),""))</f>
        <v/>
      </c>
      <c r="I252" s="49" t="str">
        <f t="shared" si="6"/>
        <v/>
      </c>
      <c r="J252" s="50" t="str">
        <f>IF(P252="","",IFERROR(ROUND(CHOOSE(VALUE(RIGHT(P252,1)),IF(SABADO!C100="peso_corporal",IF(ISNUMBER(SABADO!E100),SABADO!E100,0)+SABADO!F100,SABADO!F100)*SABADO!G100,IF(SABADO!C100="peso_corporal",IF(ISNUMBER(SABADO!E100),SABADO!E100,0)+SABADO!I100,SABADO!I100)*SABADO!J100,IF(SABADO!C100="peso_corporal",IF(ISNUMBER(SABADO!E100),SABADO!E100,0)+SABADO!L100,SABADO!L100)*SABADO!M100,IF(SABADO!C100="peso_corporal",IF(ISNUMBER(SABADO!E100),SABADO!E100,0)+SABADO!O100,SABADO!O100)*SABADO!P100,IF(SABADO!C100="peso_corporal",IF(ISNUMBER(SABADO!E100),SABADO!E100,0)+SABADO!R100,SABADO!R100)*SABADO!S100),1),""))</f>
        <v/>
      </c>
      <c r="K252" s="51" t="str">
        <f>IF(P252="","",IFERROR(ROUND(CHOOSE(VALUE(RIGHT(P252,1)),(IF(SABADO!C100="peso_corporal",IF(ISNUMBER(SABADO!E100),SABADO!E100,0)+SABADO!F100,SABADO!F100))*(1+SABADO!G100/30),(IF(SABADO!C100="peso_corporal",IF(ISNUMBER(SABADO!E100),SABADO!E100,0)+SABADO!I100,SABADO!I100))*(1+SABADO!J100/30),(IF(SABADO!C100="peso_corporal",IF(ISNUMBER(SABADO!E100),SABADO!E100,0)+SABADO!L100,SABADO!L100))*(1+SABADO!M100/30),(IF(SABADO!C100="peso_corporal",IF(ISNUMBER(SABADO!E100),SABADO!E100,0)+SABADO!O100,SABADO!O100))*(1+SABADO!P100/30),(IF(SABADO!C100="peso_corporal",IF(ISNUMBER(SABADO!E100),SABADO!E100,0)+SABADO!R100,SABADO!R100))*(1+SABADO!S100/30)),1),""))</f>
        <v/>
      </c>
      <c r="L252" s="52">
        <f>IFERROR(SABADO!E100,"")</f>
        <v>80</v>
      </c>
      <c r="M252" s="53" t="str">
        <f>IFERROR(IF(K252="","-",IF(ISNUMBER(LOOKUP(2,1/((HISTORIAL!$O$3:$O$251=O252)*(HISTORIAL!$F$3:$F$251&lt;&gt;"")),HISTORIAL!$K$3:$K$251)),IF(K252&gt;LOOKUP(2,1/((HISTORIAL!$O$3:$O$251=O252)*(HISTORIAL!$F$3:$F$251&lt;&gt;"")),HISTORIAL!$K$3:$K$251),"^",IF(K252&lt;LOOKUP(2,1/((HISTORIAL!$O$3:$O$251=O252)*(HISTORIAL!$F$3:$F$251&lt;&gt;"")),HISTORIAL!$K$3:$K$251),"v","-")),"-")),"-")</f>
        <v>-</v>
      </c>
      <c r="N252" s="54" t="str">
        <f>IFERROR(VLOOKUP(A252,CONFIG!$A$10:$B$21,2,0),"")</f>
        <v>HIP</v>
      </c>
      <c r="O252" s="55" t="str">
        <f t="shared" si="7"/>
        <v>Face Pull|Polea Alta Cuerda</v>
      </c>
      <c r="P252" s="69" t="str">
        <f>SABADO!AC100</f>
        <v/>
      </c>
    </row>
    <row r="253" spans="1:16" ht="14.1" customHeight="1">
      <c r="A253" s="37">
        <v>4</v>
      </c>
      <c r="B253" s="37" t="s">
        <v>281</v>
      </c>
      <c r="C253" s="44" t="str">
        <f>SABADO!$A$102</f>
        <v>Hiperextension</v>
      </c>
      <c r="D253" s="45" t="str">
        <f>SABADO!$B$102</f>
        <v>Banco Romano</v>
      </c>
      <c r="E253" s="37" t="str">
        <f>SABADO!$C$102</f>
        <v>peso_corporal</v>
      </c>
      <c r="F253" s="46" t="str">
        <f>IF(P253="","",IFERROR(CHOOSE(VALUE(RIGHT(P253,1)),SABADO!F102,SABADO!I102,SABADO!L102,SABADO!O102,SABADO!R102),""))</f>
        <v/>
      </c>
      <c r="G253" s="47" t="str">
        <f>IF(P253="","",IFERROR(CHOOSE(VALUE(RIGHT(P253,1)),SABADO!G102,SABADO!J102,SABADO!M102,SABADO!P102,SABADO!S102),""))</f>
        <v/>
      </c>
      <c r="H253" s="48" t="str">
        <f>IF(P253="","",IFERROR(CHOOSE(VALUE(RIGHT(P253,1)),SABADO!H102,SABADO!K102,SABADO!N102,SABADO!Q102,SABADO!T102),""))</f>
        <v/>
      </c>
      <c r="I253" s="49" t="str">
        <f t="shared" si="6"/>
        <v/>
      </c>
      <c r="J253" s="50" t="str">
        <f>IF(P253="","",IFERROR(ROUND(CHOOSE(VALUE(RIGHT(P253,1)),IF(SABADO!C102="peso_corporal",IF(ISNUMBER(SABADO!E102),SABADO!E102,0)+SABADO!F102,SABADO!F102)*SABADO!G102,IF(SABADO!C102="peso_corporal",IF(ISNUMBER(SABADO!E102),SABADO!E102,0)+SABADO!I102,SABADO!I102)*SABADO!J102,IF(SABADO!C102="peso_corporal",IF(ISNUMBER(SABADO!E102),SABADO!E102,0)+SABADO!L102,SABADO!L102)*SABADO!M102,IF(SABADO!C102="peso_corporal",IF(ISNUMBER(SABADO!E102),SABADO!E102,0)+SABADO!O102,SABADO!O102)*SABADO!P102,IF(SABADO!C102="peso_corporal",IF(ISNUMBER(SABADO!E102),SABADO!E102,0)+SABADO!R102,SABADO!R102)*SABADO!S102),1),""))</f>
        <v/>
      </c>
      <c r="K253" s="51" t="str">
        <f>IF(P253="","",IFERROR(ROUND(CHOOSE(VALUE(RIGHT(P253,1)),(IF(SABADO!C102="peso_corporal",IF(ISNUMBER(SABADO!E102),SABADO!E102,0)+SABADO!F102,SABADO!F102))*(1+SABADO!G102/30),(IF(SABADO!C102="peso_corporal",IF(ISNUMBER(SABADO!E102),SABADO!E102,0)+SABADO!I102,SABADO!I102))*(1+SABADO!J102/30),(IF(SABADO!C102="peso_corporal",IF(ISNUMBER(SABADO!E102),SABADO!E102,0)+SABADO!L102,SABADO!L102))*(1+SABADO!M102/30),(IF(SABADO!C102="peso_corporal",IF(ISNUMBER(SABADO!E102),SABADO!E102,0)+SABADO!O102,SABADO!O102))*(1+SABADO!P102/30),(IF(SABADO!C102="peso_corporal",IF(ISNUMBER(SABADO!E102),SABADO!E102,0)+SABADO!R102,SABADO!R102))*(1+SABADO!S102/30)),1),""))</f>
        <v/>
      </c>
      <c r="L253" s="52">
        <f>IFERROR(SABADO!E102,"")</f>
        <v>80</v>
      </c>
      <c r="M253" s="53" t="str">
        <f>IFERROR(IF(K253="","-",IF(ISNUMBER(LOOKUP(2,1/((HISTORIAL!$O$3:$O$252=O253)*(HISTORIAL!$F$3:$F$252&lt;&gt;"")),HISTORIAL!$K$3:$K$252)),IF(K253&gt;LOOKUP(2,1/((HISTORIAL!$O$3:$O$252=O253)*(HISTORIAL!$F$3:$F$252&lt;&gt;"")),HISTORIAL!$K$3:$K$252),"^",IF(K253&lt;LOOKUP(2,1/((HISTORIAL!$O$3:$O$252=O253)*(HISTORIAL!$F$3:$F$252&lt;&gt;"")),HISTORIAL!$K$3:$K$252),"v","-")),"-")),"-")</f>
        <v>-</v>
      </c>
      <c r="N253" s="54" t="str">
        <f>IFERROR(VLOOKUP(A253,CONFIG!$A$10:$B$21,2,0),"")</f>
        <v>HIP</v>
      </c>
      <c r="O253" s="55" t="str">
        <f t="shared" si="7"/>
        <v>Hiperextension|Banco Romano</v>
      </c>
      <c r="P253" s="69" t="str">
        <f>SABADO!AC102</f>
        <v/>
      </c>
    </row>
    <row r="254" spans="1:16" ht="14.1" customHeight="1">
      <c r="A254" s="37">
        <v>4</v>
      </c>
      <c r="B254" s="37" t="s">
        <v>281</v>
      </c>
      <c r="C254" s="44" t="str">
        <f>SABADO!$A$104</f>
        <v>Crunch</v>
      </c>
      <c r="D254" s="45" t="str">
        <f>SABADO!$B$104</f>
        <v>Polea</v>
      </c>
      <c r="E254" s="37" t="str">
        <f>SABADO!$C$104</f>
        <v>polea</v>
      </c>
      <c r="F254" s="46" t="str">
        <f>IF(P254="","",IFERROR(CHOOSE(VALUE(RIGHT(P254,1)),SABADO!F104,SABADO!I104,SABADO!L104,SABADO!O104,SABADO!R104),""))</f>
        <v/>
      </c>
      <c r="G254" s="47" t="str">
        <f>IF(P254="","",IFERROR(CHOOSE(VALUE(RIGHT(P254,1)),SABADO!G104,SABADO!J104,SABADO!M104,SABADO!P104,SABADO!S104),""))</f>
        <v/>
      </c>
      <c r="H254" s="48" t="str">
        <f>IF(P254="","",IFERROR(CHOOSE(VALUE(RIGHT(P254,1)),SABADO!H104,SABADO!K104,SABADO!N104,SABADO!Q104,SABADO!T104),""))</f>
        <v/>
      </c>
      <c r="I254" s="49" t="str">
        <f t="shared" si="6"/>
        <v/>
      </c>
      <c r="J254" s="50" t="str">
        <f>IF(P254="","",IFERROR(ROUND(CHOOSE(VALUE(RIGHT(P254,1)),IF(SABADO!C104="peso_corporal",IF(ISNUMBER(SABADO!E104),SABADO!E104,0)+SABADO!F104,SABADO!F104)*SABADO!G104,IF(SABADO!C104="peso_corporal",IF(ISNUMBER(SABADO!E104),SABADO!E104,0)+SABADO!I104,SABADO!I104)*SABADO!J104,IF(SABADO!C104="peso_corporal",IF(ISNUMBER(SABADO!E104),SABADO!E104,0)+SABADO!L104,SABADO!L104)*SABADO!M104,IF(SABADO!C104="peso_corporal",IF(ISNUMBER(SABADO!E104),SABADO!E104,0)+SABADO!O104,SABADO!O104)*SABADO!P104,IF(SABADO!C104="peso_corporal",IF(ISNUMBER(SABADO!E104),SABADO!E104,0)+SABADO!R104,SABADO!R104)*SABADO!S104),1),""))</f>
        <v/>
      </c>
      <c r="K254" s="51" t="str">
        <f>IF(P254="","",IFERROR(ROUND(CHOOSE(VALUE(RIGHT(P254,1)),(IF(SABADO!C104="peso_corporal",IF(ISNUMBER(SABADO!E104),SABADO!E104,0)+SABADO!F104,SABADO!F104))*(1+SABADO!G104/30),(IF(SABADO!C104="peso_corporal",IF(ISNUMBER(SABADO!E104),SABADO!E104,0)+SABADO!I104,SABADO!I104))*(1+SABADO!J104/30),(IF(SABADO!C104="peso_corporal",IF(ISNUMBER(SABADO!E104),SABADO!E104,0)+SABADO!L104,SABADO!L104))*(1+SABADO!M104/30),(IF(SABADO!C104="peso_corporal",IF(ISNUMBER(SABADO!E104),SABADO!E104,0)+SABADO!O104,SABADO!O104))*(1+SABADO!P104/30),(IF(SABADO!C104="peso_corporal",IF(ISNUMBER(SABADO!E104),SABADO!E104,0)+SABADO!R104,SABADO!R104))*(1+SABADO!S104/30)),1),""))</f>
        <v/>
      </c>
      <c r="L254" s="52">
        <f>IFERROR(SABADO!E104,"")</f>
        <v>80</v>
      </c>
      <c r="M254" s="53" t="str">
        <f>IFERROR(IF(K254="","-",IF(ISNUMBER(LOOKUP(2,1/((HISTORIAL!$O$3:$O$253=O254)*(HISTORIAL!$F$3:$F$253&lt;&gt;"")),HISTORIAL!$K$3:$K$253)),IF(K254&gt;LOOKUP(2,1/((HISTORIAL!$O$3:$O$253=O254)*(HISTORIAL!$F$3:$F$253&lt;&gt;"")),HISTORIAL!$K$3:$K$253),"^",IF(K254&lt;LOOKUP(2,1/((HISTORIAL!$O$3:$O$253=O254)*(HISTORIAL!$F$3:$F$253&lt;&gt;"")),HISTORIAL!$K$3:$K$253),"v","-")),"-")),"-")</f>
        <v>-</v>
      </c>
      <c r="N254" s="54" t="str">
        <f>IFERROR(VLOOKUP(A254,CONFIG!$A$10:$B$21,2,0),"")</f>
        <v>HIP</v>
      </c>
      <c r="O254" s="55" t="str">
        <f t="shared" si="7"/>
        <v>Crunch|Polea</v>
      </c>
      <c r="P254" s="69" t="str">
        <f>SABADO!AC104</f>
        <v/>
      </c>
    </row>
    <row r="255" spans="1:16" ht="14.1" customHeight="1">
      <c r="A255" s="37">
        <v>5</v>
      </c>
      <c r="B255" s="37" t="s">
        <v>277</v>
      </c>
      <c r="C255" s="44" t="str">
        <f>LUNES!$A$101</f>
        <v>Press Plano</v>
      </c>
      <c r="D255" s="45" t="str">
        <f>LUNES!$B$101</f>
        <v>Barra</v>
      </c>
      <c r="E255" s="37" t="str">
        <f>LUNES!$C$101</f>
        <v>disco</v>
      </c>
      <c r="F255" s="46" t="str">
        <f>IF(P255="","",IFERROR(CHOOSE(VALUE(RIGHT(P255,1)),LUNES!F101,LUNES!I101,LUNES!L101,LUNES!O101,LUNES!R101),""))</f>
        <v/>
      </c>
      <c r="G255" s="47" t="str">
        <f>IF(P255="","",IFERROR(CHOOSE(VALUE(RIGHT(P255,1)),LUNES!G101,LUNES!J101,LUNES!M101,LUNES!P101,LUNES!S101),""))</f>
        <v/>
      </c>
      <c r="H255" s="48" t="str">
        <f>IF(P255="","",IFERROR(CHOOSE(VALUE(RIGHT(P255,1)),LUNES!H101,LUNES!K101,LUNES!N101,LUNES!Q101,LUNES!T101),""))</f>
        <v/>
      </c>
      <c r="I255" s="49" t="str">
        <f t="shared" si="6"/>
        <v/>
      </c>
      <c r="J255" s="50" t="str">
        <f>IF(P255="","",IFERROR(ROUND(CHOOSE(VALUE(RIGHT(P255,1)),IF(LUNES!C101="peso_corporal",IF(ISNUMBER(LUNES!E101),LUNES!E101,0)+LUNES!F101,LUNES!F101)*LUNES!G101,IF(LUNES!C101="peso_corporal",IF(ISNUMBER(LUNES!E101),LUNES!E101,0)+LUNES!I101,LUNES!I101)*LUNES!J101,IF(LUNES!C101="peso_corporal",IF(ISNUMBER(LUNES!E101),LUNES!E101,0)+LUNES!L101,LUNES!L101)*LUNES!M101,IF(LUNES!C101="peso_corporal",IF(ISNUMBER(LUNES!E101),LUNES!E101,0)+LUNES!O101,LUNES!O101)*LUNES!P101,IF(LUNES!C101="peso_corporal",IF(ISNUMBER(LUNES!E101),LUNES!E101,0)+LUNES!R101,LUNES!R101)*LUNES!S101),1),""))</f>
        <v/>
      </c>
      <c r="K255" s="51" t="str">
        <f>IF(P255="","",IFERROR(ROUND(CHOOSE(VALUE(RIGHT(P255,1)),(IF(LUNES!C101="peso_corporal",IF(ISNUMBER(LUNES!E101),LUNES!E101,0)+LUNES!F101,LUNES!F101))*(1+LUNES!G101/30),(IF(LUNES!C101="peso_corporal",IF(ISNUMBER(LUNES!E101),LUNES!E101,0)+LUNES!I101,LUNES!I101))*(1+LUNES!J101/30),(IF(LUNES!C101="peso_corporal",IF(ISNUMBER(LUNES!E101),LUNES!E101,0)+LUNES!L101,LUNES!L101))*(1+LUNES!M101/30),(IF(LUNES!C101="peso_corporal",IF(ISNUMBER(LUNES!E101),LUNES!E101,0)+LUNES!O101,LUNES!O101))*(1+LUNES!P101/30),(IF(LUNES!C101="peso_corporal",IF(ISNUMBER(LUNES!E101),LUNES!E101,0)+LUNES!R101,LUNES!R101))*(1+LUNES!S101/30)),1),""))</f>
        <v/>
      </c>
      <c r="L255" s="52">
        <f>IFERROR(LUNES!E101,"")</f>
        <v>80</v>
      </c>
      <c r="M255" s="53" t="str">
        <f>IFERROR(IF(K255="","-",IF(ISNUMBER(LOOKUP(2,1/((HISTORIAL!$O$3:$O$254=O255)*(HISTORIAL!$F$3:$F$254&lt;&gt;"")),HISTORIAL!$K$3:$K$254)),IF(K255&gt;LOOKUP(2,1/((HISTORIAL!$O$3:$O$254=O255)*(HISTORIAL!$F$3:$F$254&lt;&gt;"")),HISTORIAL!$K$3:$K$254),"^",IF(K255&lt;LOOKUP(2,1/((HISTORIAL!$O$3:$O$254=O255)*(HISTORIAL!$F$3:$F$254&lt;&gt;"")),HISTORIAL!$K$3:$K$254),"v","-")),"-")),"-")</f>
        <v>-</v>
      </c>
      <c r="N255" s="54" t="str">
        <f>IFERROR(VLOOKUP(A255,CONFIG!$A$10:$B$21,2,0),"")</f>
        <v>HIP</v>
      </c>
      <c r="O255" s="55" t="str">
        <f t="shared" si="7"/>
        <v>Press Plano|Barra</v>
      </c>
      <c r="P255" s="69" t="str">
        <f>LUNES!AC101</f>
        <v/>
      </c>
    </row>
    <row r="256" spans="1:16" ht="14.1" customHeight="1">
      <c r="A256" s="37">
        <v>5</v>
      </c>
      <c r="B256" s="37" t="s">
        <v>277</v>
      </c>
      <c r="C256" s="44" t="str">
        <f>LUNES!$A$103</f>
        <v>Press Inclinado</v>
      </c>
      <c r="D256" s="45" t="str">
        <f>LUNES!$B$103</f>
        <v>Mancuernas</v>
      </c>
      <c r="E256" s="37" t="str">
        <f>LUNES!$C$103</f>
        <v>mancuerna</v>
      </c>
      <c r="F256" s="46" t="str">
        <f>IF(P256="","",IFERROR(CHOOSE(VALUE(RIGHT(P256,1)),LUNES!F103,LUNES!I103,LUNES!L103,LUNES!O103,LUNES!R103),""))</f>
        <v/>
      </c>
      <c r="G256" s="47" t="str">
        <f>IF(P256="","",IFERROR(CHOOSE(VALUE(RIGHT(P256,1)),LUNES!G103,LUNES!J103,LUNES!M103,LUNES!P103,LUNES!S103),""))</f>
        <v/>
      </c>
      <c r="H256" s="48" t="str">
        <f>IF(P256="","",IFERROR(CHOOSE(VALUE(RIGHT(P256,1)),LUNES!H103,LUNES!K103,LUNES!N103,LUNES!Q103,LUNES!T103),""))</f>
        <v/>
      </c>
      <c r="I256" s="49" t="str">
        <f t="shared" si="6"/>
        <v/>
      </c>
      <c r="J256" s="50" t="str">
        <f>IF(P256="","",IFERROR(ROUND(CHOOSE(VALUE(RIGHT(P256,1)),IF(LUNES!C103="peso_corporal",IF(ISNUMBER(LUNES!E103),LUNES!E103,0)+LUNES!F103,LUNES!F103)*LUNES!G103,IF(LUNES!C103="peso_corporal",IF(ISNUMBER(LUNES!E103),LUNES!E103,0)+LUNES!I103,LUNES!I103)*LUNES!J103,IF(LUNES!C103="peso_corporal",IF(ISNUMBER(LUNES!E103),LUNES!E103,0)+LUNES!L103,LUNES!L103)*LUNES!M103,IF(LUNES!C103="peso_corporal",IF(ISNUMBER(LUNES!E103),LUNES!E103,0)+LUNES!O103,LUNES!O103)*LUNES!P103,IF(LUNES!C103="peso_corporal",IF(ISNUMBER(LUNES!E103),LUNES!E103,0)+LUNES!R103,LUNES!R103)*LUNES!S103),1),""))</f>
        <v/>
      </c>
      <c r="K256" s="51" t="str">
        <f>IF(P256="","",IFERROR(ROUND(CHOOSE(VALUE(RIGHT(P256,1)),(IF(LUNES!C103="peso_corporal",IF(ISNUMBER(LUNES!E103),LUNES!E103,0)+LUNES!F103,LUNES!F103))*(1+LUNES!G103/30),(IF(LUNES!C103="peso_corporal",IF(ISNUMBER(LUNES!E103),LUNES!E103,0)+LUNES!I103,LUNES!I103))*(1+LUNES!J103/30),(IF(LUNES!C103="peso_corporal",IF(ISNUMBER(LUNES!E103),LUNES!E103,0)+LUNES!L103,LUNES!L103))*(1+LUNES!M103/30),(IF(LUNES!C103="peso_corporal",IF(ISNUMBER(LUNES!E103),LUNES!E103,0)+LUNES!O103,LUNES!O103))*(1+LUNES!P103/30),(IF(LUNES!C103="peso_corporal",IF(ISNUMBER(LUNES!E103),LUNES!E103,0)+LUNES!R103,LUNES!R103))*(1+LUNES!S103/30)),1),""))</f>
        <v/>
      </c>
      <c r="L256" s="52">
        <f>IFERROR(LUNES!E103,"")</f>
        <v>80</v>
      </c>
      <c r="M256" s="53" t="str">
        <f>IFERROR(IF(K256="","-",IF(ISNUMBER(LOOKUP(2,1/((HISTORIAL!$O$3:$O$255=O256)*(HISTORIAL!$F$3:$F$255&lt;&gt;"")),HISTORIAL!$K$3:$K$255)),IF(K256&gt;LOOKUP(2,1/((HISTORIAL!$O$3:$O$255=O256)*(HISTORIAL!$F$3:$F$255&lt;&gt;"")),HISTORIAL!$K$3:$K$255),"^",IF(K256&lt;LOOKUP(2,1/((HISTORIAL!$O$3:$O$255=O256)*(HISTORIAL!$F$3:$F$255&lt;&gt;"")),HISTORIAL!$K$3:$K$255),"v","-")),"-")),"-")</f>
        <v>-</v>
      </c>
      <c r="N256" s="54" t="str">
        <f>IFERROR(VLOOKUP(A256,CONFIG!$A$10:$B$21,2,0),"")</f>
        <v>HIP</v>
      </c>
      <c r="O256" s="55" t="str">
        <f t="shared" si="7"/>
        <v>Press Inclinado|Mancuernas</v>
      </c>
      <c r="P256" s="69" t="str">
        <f>LUNES!AC103</f>
        <v/>
      </c>
    </row>
    <row r="257" spans="1:16" ht="14.1" customHeight="1">
      <c r="A257" s="37">
        <v>5</v>
      </c>
      <c r="B257" s="37" t="s">
        <v>277</v>
      </c>
      <c r="C257" s="44" t="str">
        <f>LUNES!$A$105</f>
        <v>Fondos</v>
      </c>
      <c r="D257" s="45" t="str">
        <f>LUNES!$B$105</f>
        <v>Paralelas</v>
      </c>
      <c r="E257" s="37" t="str">
        <f>LUNES!$C$105</f>
        <v>peso_corporal</v>
      </c>
      <c r="F257" s="46" t="str">
        <f>IF(P257="","",IFERROR(CHOOSE(VALUE(RIGHT(P257,1)),LUNES!F105,LUNES!I105,LUNES!L105,LUNES!O105,LUNES!R105),""))</f>
        <v/>
      </c>
      <c r="G257" s="47" t="str">
        <f>IF(P257="","",IFERROR(CHOOSE(VALUE(RIGHT(P257,1)),LUNES!G105,LUNES!J105,LUNES!M105,LUNES!P105,LUNES!S105),""))</f>
        <v/>
      </c>
      <c r="H257" s="48" t="str">
        <f>IF(P257="","",IFERROR(CHOOSE(VALUE(RIGHT(P257,1)),LUNES!H105,LUNES!K105,LUNES!N105,LUNES!Q105,LUNES!T105),""))</f>
        <v/>
      </c>
      <c r="I257" s="49" t="str">
        <f t="shared" si="6"/>
        <v/>
      </c>
      <c r="J257" s="50" t="str">
        <f>IF(P257="","",IFERROR(ROUND(CHOOSE(VALUE(RIGHT(P257,1)),IF(LUNES!C105="peso_corporal",IF(ISNUMBER(LUNES!E105),LUNES!E105,0)+LUNES!F105,LUNES!F105)*LUNES!G105,IF(LUNES!C105="peso_corporal",IF(ISNUMBER(LUNES!E105),LUNES!E105,0)+LUNES!I105,LUNES!I105)*LUNES!J105,IF(LUNES!C105="peso_corporal",IF(ISNUMBER(LUNES!E105),LUNES!E105,0)+LUNES!L105,LUNES!L105)*LUNES!M105,IF(LUNES!C105="peso_corporal",IF(ISNUMBER(LUNES!E105),LUNES!E105,0)+LUNES!O105,LUNES!O105)*LUNES!P105,IF(LUNES!C105="peso_corporal",IF(ISNUMBER(LUNES!E105),LUNES!E105,0)+LUNES!R105,LUNES!R105)*LUNES!S105),1),""))</f>
        <v/>
      </c>
      <c r="K257" s="51" t="str">
        <f>IF(P257="","",IFERROR(ROUND(CHOOSE(VALUE(RIGHT(P257,1)),(IF(LUNES!C105="peso_corporal",IF(ISNUMBER(LUNES!E105),LUNES!E105,0)+LUNES!F105,LUNES!F105))*(1+LUNES!G105/30),(IF(LUNES!C105="peso_corporal",IF(ISNUMBER(LUNES!E105),LUNES!E105,0)+LUNES!I105,LUNES!I105))*(1+LUNES!J105/30),(IF(LUNES!C105="peso_corporal",IF(ISNUMBER(LUNES!E105),LUNES!E105,0)+LUNES!L105,LUNES!L105))*(1+LUNES!M105/30),(IF(LUNES!C105="peso_corporal",IF(ISNUMBER(LUNES!E105),LUNES!E105,0)+LUNES!O105,LUNES!O105))*(1+LUNES!P105/30),(IF(LUNES!C105="peso_corporal",IF(ISNUMBER(LUNES!E105),LUNES!E105,0)+LUNES!R105,LUNES!R105))*(1+LUNES!S105/30)),1),""))</f>
        <v/>
      </c>
      <c r="L257" s="52">
        <f>IFERROR(LUNES!E105,"")</f>
        <v>80</v>
      </c>
      <c r="M257" s="53" t="str">
        <f>IFERROR(IF(K257="","-",IF(ISNUMBER(LOOKUP(2,1/((HISTORIAL!$O$3:$O$256=O257)*(HISTORIAL!$F$3:$F$256&lt;&gt;"")),HISTORIAL!$K$3:$K$256)),IF(K257&gt;LOOKUP(2,1/((HISTORIAL!$O$3:$O$256=O257)*(HISTORIAL!$F$3:$F$256&lt;&gt;"")),HISTORIAL!$K$3:$K$256),"^",IF(K257&lt;LOOKUP(2,1/((HISTORIAL!$O$3:$O$256=O257)*(HISTORIAL!$F$3:$F$256&lt;&gt;"")),HISTORIAL!$K$3:$K$256),"v","-")),"-")),"-")</f>
        <v>-</v>
      </c>
      <c r="N257" s="54" t="str">
        <f>IFERROR(VLOOKUP(A257,CONFIG!$A$10:$B$21,2,0),"")</f>
        <v>HIP</v>
      </c>
      <c r="O257" s="55" t="str">
        <f t="shared" si="7"/>
        <v>Fondos|Paralelas</v>
      </c>
      <c r="P257" s="69" t="str">
        <f>LUNES!AC105</f>
        <v/>
      </c>
    </row>
    <row r="258" spans="1:16" ht="14.1" customHeight="1">
      <c r="A258" s="37">
        <v>5</v>
      </c>
      <c r="B258" s="37" t="s">
        <v>277</v>
      </c>
      <c r="C258" s="44" t="str">
        <f>LUNES!$A$106</f>
        <v>Aperturas</v>
      </c>
      <c r="D258" s="45" t="str">
        <f>LUNES!$B$106</f>
        <v>Polea Baja Crossover</v>
      </c>
      <c r="E258" s="37" t="str">
        <f>LUNES!$C$106</f>
        <v>--</v>
      </c>
      <c r="F258" s="46" t="str">
        <f>IF(P258="","",IFERROR(CHOOSE(VALUE(RIGHT(P258,1)),LUNES!F106,LUNES!I106,LUNES!L106,LUNES!O106,LUNES!R106),""))</f>
        <v/>
      </c>
      <c r="G258" s="47" t="str">
        <f>IF(P258="","",IFERROR(CHOOSE(VALUE(RIGHT(P258,1)),LUNES!G106,LUNES!J106,LUNES!M106,LUNES!P106,LUNES!S106),""))</f>
        <v/>
      </c>
      <c r="H258" s="48" t="str">
        <f>IF(P258="","",IFERROR(CHOOSE(VALUE(RIGHT(P258,1)),LUNES!H106,LUNES!K106,LUNES!N106,LUNES!Q106,LUNES!T106),""))</f>
        <v/>
      </c>
      <c r="I258" s="49" t="str">
        <f t="shared" si="6"/>
        <v/>
      </c>
      <c r="J258" s="50" t="str">
        <f>IF(P258="","",IFERROR(ROUND(CHOOSE(VALUE(RIGHT(P258,1)),IF(LUNES!C106="peso_corporal",IF(ISNUMBER(LUNES!E106),LUNES!E106,0)+LUNES!F106,LUNES!F106)*LUNES!G106,IF(LUNES!C106="peso_corporal",IF(ISNUMBER(LUNES!E106),LUNES!E106,0)+LUNES!I106,LUNES!I106)*LUNES!J106,IF(LUNES!C106="peso_corporal",IF(ISNUMBER(LUNES!E106),LUNES!E106,0)+LUNES!L106,LUNES!L106)*LUNES!M106,IF(LUNES!C106="peso_corporal",IF(ISNUMBER(LUNES!E106),LUNES!E106,0)+LUNES!O106,LUNES!O106)*LUNES!P106,IF(LUNES!C106="peso_corporal",IF(ISNUMBER(LUNES!E106),LUNES!E106,0)+LUNES!R106,LUNES!R106)*LUNES!S106),1),""))</f>
        <v/>
      </c>
      <c r="K258" s="51" t="str">
        <f>IF(P258="","",IFERROR(ROUND(CHOOSE(VALUE(RIGHT(P258,1)),(IF(LUNES!C106="peso_corporal",IF(ISNUMBER(LUNES!E106),LUNES!E106,0)+LUNES!F106,LUNES!F106))*(1+LUNES!G106/30),(IF(LUNES!C106="peso_corporal",IF(ISNUMBER(LUNES!E106),LUNES!E106,0)+LUNES!I106,LUNES!I106))*(1+LUNES!J106/30),(IF(LUNES!C106="peso_corporal",IF(ISNUMBER(LUNES!E106),LUNES!E106,0)+LUNES!L106,LUNES!L106))*(1+LUNES!M106/30),(IF(LUNES!C106="peso_corporal",IF(ISNUMBER(LUNES!E106),LUNES!E106,0)+LUNES!O106,LUNES!O106))*(1+LUNES!P106/30),(IF(LUNES!C106="peso_corporal",IF(ISNUMBER(LUNES!E106),LUNES!E106,0)+LUNES!R106,LUNES!R106))*(1+LUNES!S106/30)),1),""))</f>
        <v/>
      </c>
      <c r="L258" s="52">
        <f>IFERROR(LUNES!E106,"")</f>
        <v>80</v>
      </c>
      <c r="M258" s="53" t="str">
        <f>IFERROR(IF(K258="","-",IF(ISNUMBER(LOOKUP(2,1/((HISTORIAL!$O$3:$O$257=O258)*(HISTORIAL!$F$3:$F$257&lt;&gt;"")),HISTORIAL!$K$3:$K$257)),IF(K258&gt;LOOKUP(2,1/((HISTORIAL!$O$3:$O$257=O258)*(HISTORIAL!$F$3:$F$257&lt;&gt;"")),HISTORIAL!$K$3:$K$257),"^",IF(K258&lt;LOOKUP(2,1/((HISTORIAL!$O$3:$O$257=O258)*(HISTORIAL!$F$3:$F$257&lt;&gt;"")),HISTORIAL!$K$3:$K$257),"v","-")),"-")),"-")</f>
        <v>-</v>
      </c>
      <c r="N258" s="54" t="str">
        <f>IFERROR(VLOOKUP(A258,CONFIG!$A$10:$B$21,2,0),"")</f>
        <v>HIP</v>
      </c>
      <c r="O258" s="55" t="str">
        <f t="shared" si="7"/>
        <v>Aperturas|Polea Baja Crossover</v>
      </c>
      <c r="P258" s="69" t="str">
        <f>LUNES!AC106</f>
        <v/>
      </c>
    </row>
    <row r="259" spans="1:16" ht="14.1" customHeight="1">
      <c r="A259" s="37">
        <v>5</v>
      </c>
      <c r="B259" s="37" t="s">
        <v>277</v>
      </c>
      <c r="C259" s="44" t="str">
        <f>LUNES!$A$107</f>
        <v>Aperturas</v>
      </c>
      <c r="D259" s="45" t="str">
        <f>LUNES!$B$107</f>
        <v>Pec Deck Maquina</v>
      </c>
      <c r="E259" s="37" t="str">
        <f>LUNES!$C$107</f>
        <v>--</v>
      </c>
      <c r="F259" s="46" t="str">
        <f>IF(P259="","",IFERROR(CHOOSE(VALUE(RIGHT(P259,1)),LUNES!F107,LUNES!I107,LUNES!L107,LUNES!O107,LUNES!R107),""))</f>
        <v/>
      </c>
      <c r="G259" s="47" t="str">
        <f>IF(P259="","",IFERROR(CHOOSE(VALUE(RIGHT(P259,1)),LUNES!G107,LUNES!J107,LUNES!M107,LUNES!P107,LUNES!S107),""))</f>
        <v/>
      </c>
      <c r="H259" s="48" t="str">
        <f>IF(P259="","",IFERROR(CHOOSE(VALUE(RIGHT(P259,1)),LUNES!H107,LUNES!K107,LUNES!N107,LUNES!Q107,LUNES!T107),""))</f>
        <v/>
      </c>
      <c r="I259" s="49" t="str">
        <f t="shared" ref="I259:I322" si="8">IF(P259="","",LEFT(P259,1))</f>
        <v/>
      </c>
      <c r="J259" s="50" t="str">
        <f>IF(P259="","",IFERROR(ROUND(CHOOSE(VALUE(RIGHT(P259,1)),IF(LUNES!C107="peso_corporal",IF(ISNUMBER(LUNES!E107),LUNES!E107,0)+LUNES!F107,LUNES!F107)*LUNES!G107,IF(LUNES!C107="peso_corporal",IF(ISNUMBER(LUNES!E107),LUNES!E107,0)+LUNES!I107,LUNES!I107)*LUNES!J107,IF(LUNES!C107="peso_corporal",IF(ISNUMBER(LUNES!E107),LUNES!E107,0)+LUNES!L107,LUNES!L107)*LUNES!M107,IF(LUNES!C107="peso_corporal",IF(ISNUMBER(LUNES!E107),LUNES!E107,0)+LUNES!O107,LUNES!O107)*LUNES!P107,IF(LUNES!C107="peso_corporal",IF(ISNUMBER(LUNES!E107),LUNES!E107,0)+LUNES!R107,LUNES!R107)*LUNES!S107),1),""))</f>
        <v/>
      </c>
      <c r="K259" s="51" t="str">
        <f>IF(P259="","",IFERROR(ROUND(CHOOSE(VALUE(RIGHT(P259,1)),(IF(LUNES!C107="peso_corporal",IF(ISNUMBER(LUNES!E107),LUNES!E107,0)+LUNES!F107,LUNES!F107))*(1+LUNES!G107/30),(IF(LUNES!C107="peso_corporal",IF(ISNUMBER(LUNES!E107),LUNES!E107,0)+LUNES!I107,LUNES!I107))*(1+LUNES!J107/30),(IF(LUNES!C107="peso_corporal",IF(ISNUMBER(LUNES!E107),LUNES!E107,0)+LUNES!L107,LUNES!L107))*(1+LUNES!M107/30),(IF(LUNES!C107="peso_corporal",IF(ISNUMBER(LUNES!E107),LUNES!E107,0)+LUNES!O107,LUNES!O107))*(1+LUNES!P107/30),(IF(LUNES!C107="peso_corporal",IF(ISNUMBER(LUNES!E107),LUNES!E107,0)+LUNES!R107,LUNES!R107))*(1+LUNES!S107/30)),1),""))</f>
        <v/>
      </c>
      <c r="L259" s="52">
        <f>IFERROR(LUNES!E107,"")</f>
        <v>80</v>
      </c>
      <c r="M259" s="53" t="str">
        <f>IFERROR(IF(K259="","-",IF(ISNUMBER(LOOKUP(2,1/((HISTORIAL!$O$3:$O$258=O259)*(HISTORIAL!$F$3:$F$258&lt;&gt;"")),HISTORIAL!$K$3:$K$258)),IF(K259&gt;LOOKUP(2,1/((HISTORIAL!$O$3:$O$258=O259)*(HISTORIAL!$F$3:$F$258&lt;&gt;"")),HISTORIAL!$K$3:$K$258),"^",IF(K259&lt;LOOKUP(2,1/((HISTORIAL!$O$3:$O$258=O259)*(HISTORIAL!$F$3:$F$258&lt;&gt;"")),HISTORIAL!$K$3:$K$258),"v","-")),"-")),"-")</f>
        <v>-</v>
      </c>
      <c r="N259" s="54" t="str">
        <f>IFERROR(VLOOKUP(A259,CONFIG!$A$10:$B$21,2,0),"")</f>
        <v>HIP</v>
      </c>
      <c r="O259" s="55" t="str">
        <f t="shared" ref="O259:O322" si="9">C259&amp;"|"&amp;D259</f>
        <v>Aperturas|Pec Deck Maquina</v>
      </c>
      <c r="P259" s="69" t="str">
        <f>LUNES!AC107</f>
        <v/>
      </c>
    </row>
    <row r="260" spans="1:16" ht="14.1" customHeight="1">
      <c r="A260" s="37">
        <v>5</v>
      </c>
      <c r="B260" s="37" t="s">
        <v>277</v>
      </c>
      <c r="C260" s="44" t="str">
        <f>LUNES!$A$109</f>
        <v>Elevaciones Laterales</v>
      </c>
      <c r="D260" s="45" t="str">
        <f>LUNES!$B$109</f>
        <v>Cable Polea Individual</v>
      </c>
      <c r="E260" s="37" t="str">
        <f>LUNES!$C$109</f>
        <v>polea</v>
      </c>
      <c r="F260" s="46" t="str">
        <f>IF(P260="","",IFERROR(CHOOSE(VALUE(RIGHT(P260,1)),LUNES!F109,LUNES!I109,LUNES!L109,LUNES!O109,LUNES!R109),""))</f>
        <v/>
      </c>
      <c r="G260" s="47" t="str">
        <f>IF(P260="","",IFERROR(CHOOSE(VALUE(RIGHT(P260,1)),LUNES!G109,LUNES!J109,LUNES!M109,LUNES!P109,LUNES!S109),""))</f>
        <v/>
      </c>
      <c r="H260" s="48" t="str">
        <f>IF(P260="","",IFERROR(CHOOSE(VALUE(RIGHT(P260,1)),LUNES!H109,LUNES!K109,LUNES!N109,LUNES!Q109,LUNES!T109),""))</f>
        <v/>
      </c>
      <c r="I260" s="49" t="str">
        <f t="shared" si="8"/>
        <v/>
      </c>
      <c r="J260" s="50" t="str">
        <f>IF(P260="","",IFERROR(ROUND(CHOOSE(VALUE(RIGHT(P260,1)),IF(LUNES!C109="peso_corporal",IF(ISNUMBER(LUNES!E109),LUNES!E109,0)+LUNES!F109,LUNES!F109)*LUNES!G109,IF(LUNES!C109="peso_corporal",IF(ISNUMBER(LUNES!E109),LUNES!E109,0)+LUNES!I109,LUNES!I109)*LUNES!J109,IF(LUNES!C109="peso_corporal",IF(ISNUMBER(LUNES!E109),LUNES!E109,0)+LUNES!L109,LUNES!L109)*LUNES!M109,IF(LUNES!C109="peso_corporal",IF(ISNUMBER(LUNES!E109),LUNES!E109,0)+LUNES!O109,LUNES!O109)*LUNES!P109,IF(LUNES!C109="peso_corporal",IF(ISNUMBER(LUNES!E109),LUNES!E109,0)+LUNES!R109,LUNES!R109)*LUNES!S109),1),""))</f>
        <v/>
      </c>
      <c r="K260" s="51" t="str">
        <f>IF(P260="","",IFERROR(ROUND(CHOOSE(VALUE(RIGHT(P260,1)),(IF(LUNES!C109="peso_corporal",IF(ISNUMBER(LUNES!E109),LUNES!E109,0)+LUNES!F109,LUNES!F109))*(1+LUNES!G109/30),(IF(LUNES!C109="peso_corporal",IF(ISNUMBER(LUNES!E109),LUNES!E109,0)+LUNES!I109,LUNES!I109))*(1+LUNES!J109/30),(IF(LUNES!C109="peso_corporal",IF(ISNUMBER(LUNES!E109),LUNES!E109,0)+LUNES!L109,LUNES!L109))*(1+LUNES!M109/30),(IF(LUNES!C109="peso_corporal",IF(ISNUMBER(LUNES!E109),LUNES!E109,0)+LUNES!O109,LUNES!O109))*(1+LUNES!P109/30),(IF(LUNES!C109="peso_corporal",IF(ISNUMBER(LUNES!E109),LUNES!E109,0)+LUNES!R109,LUNES!R109))*(1+LUNES!S109/30)),1),""))</f>
        <v/>
      </c>
      <c r="L260" s="52">
        <f>IFERROR(LUNES!E109,"")</f>
        <v>80</v>
      </c>
      <c r="M260" s="53" t="str">
        <f>IFERROR(IF(K260="","-",IF(ISNUMBER(LOOKUP(2,1/((HISTORIAL!$O$3:$O$259=O260)*(HISTORIAL!$F$3:$F$259&lt;&gt;"")),HISTORIAL!$K$3:$K$259)),IF(K260&gt;LOOKUP(2,1/((HISTORIAL!$O$3:$O$259=O260)*(HISTORIAL!$F$3:$F$259&lt;&gt;"")),HISTORIAL!$K$3:$K$259),"^",IF(K260&lt;LOOKUP(2,1/((HISTORIAL!$O$3:$O$259=O260)*(HISTORIAL!$F$3:$F$259&lt;&gt;"")),HISTORIAL!$K$3:$K$259),"v","-")),"-")),"-")</f>
        <v>-</v>
      </c>
      <c r="N260" s="54" t="str">
        <f>IFERROR(VLOOKUP(A260,CONFIG!$A$10:$B$21,2,0),"")</f>
        <v>HIP</v>
      </c>
      <c r="O260" s="55" t="str">
        <f t="shared" si="9"/>
        <v>Elevaciones Laterales|Cable Polea Individual</v>
      </c>
      <c r="P260" s="69" t="str">
        <f>LUNES!AC109</f>
        <v/>
      </c>
    </row>
    <row r="261" spans="1:16" ht="14.1" customHeight="1">
      <c r="A261" s="37">
        <v>5</v>
      </c>
      <c r="B261" s="37" t="s">
        <v>277</v>
      </c>
      <c r="C261" s="44" t="str">
        <f>LUNES!$A$110</f>
        <v>Press Militar</v>
      </c>
      <c r="D261" s="45" t="str">
        <f>LUNES!$B$110</f>
        <v>Mancuernas Sentado</v>
      </c>
      <c r="E261" s="37" t="str">
        <f>LUNES!$C$110</f>
        <v>mancuerna</v>
      </c>
      <c r="F261" s="46" t="str">
        <f>IF(P261="","",IFERROR(CHOOSE(VALUE(RIGHT(P261,1)),LUNES!F110,LUNES!I110,LUNES!L110,LUNES!O110,LUNES!R110),""))</f>
        <v/>
      </c>
      <c r="G261" s="47" t="str">
        <f>IF(P261="","",IFERROR(CHOOSE(VALUE(RIGHT(P261,1)),LUNES!G110,LUNES!J110,LUNES!M110,LUNES!P110,LUNES!S110),""))</f>
        <v/>
      </c>
      <c r="H261" s="48" t="str">
        <f>IF(P261="","",IFERROR(CHOOSE(VALUE(RIGHT(P261,1)),LUNES!H110,LUNES!K110,LUNES!N110,LUNES!Q110,LUNES!T110),""))</f>
        <v/>
      </c>
      <c r="I261" s="49" t="str">
        <f t="shared" si="8"/>
        <v/>
      </c>
      <c r="J261" s="50" t="str">
        <f>IF(P261="","",IFERROR(ROUND(CHOOSE(VALUE(RIGHT(P261,1)),IF(LUNES!C110="peso_corporal",IF(ISNUMBER(LUNES!E110),LUNES!E110,0)+LUNES!F110,LUNES!F110)*LUNES!G110,IF(LUNES!C110="peso_corporal",IF(ISNUMBER(LUNES!E110),LUNES!E110,0)+LUNES!I110,LUNES!I110)*LUNES!J110,IF(LUNES!C110="peso_corporal",IF(ISNUMBER(LUNES!E110),LUNES!E110,0)+LUNES!L110,LUNES!L110)*LUNES!M110,IF(LUNES!C110="peso_corporal",IF(ISNUMBER(LUNES!E110),LUNES!E110,0)+LUNES!O110,LUNES!O110)*LUNES!P110,IF(LUNES!C110="peso_corporal",IF(ISNUMBER(LUNES!E110),LUNES!E110,0)+LUNES!R110,LUNES!R110)*LUNES!S110),1),""))</f>
        <v/>
      </c>
      <c r="K261" s="51" t="str">
        <f>IF(P261="","",IFERROR(ROUND(CHOOSE(VALUE(RIGHT(P261,1)),(IF(LUNES!C110="peso_corporal",IF(ISNUMBER(LUNES!E110),LUNES!E110,0)+LUNES!F110,LUNES!F110))*(1+LUNES!G110/30),(IF(LUNES!C110="peso_corporal",IF(ISNUMBER(LUNES!E110),LUNES!E110,0)+LUNES!I110,LUNES!I110))*(1+LUNES!J110/30),(IF(LUNES!C110="peso_corporal",IF(ISNUMBER(LUNES!E110),LUNES!E110,0)+LUNES!L110,LUNES!L110))*(1+LUNES!M110/30),(IF(LUNES!C110="peso_corporal",IF(ISNUMBER(LUNES!E110),LUNES!E110,0)+LUNES!O110,LUNES!O110))*(1+LUNES!P110/30),(IF(LUNES!C110="peso_corporal",IF(ISNUMBER(LUNES!E110),LUNES!E110,0)+LUNES!R110,LUNES!R110))*(1+LUNES!S110/30)),1),""))</f>
        <v/>
      </c>
      <c r="L261" s="52">
        <f>IFERROR(LUNES!E110,"")</f>
        <v>80</v>
      </c>
      <c r="M261" s="53" t="str">
        <f>IFERROR(IF(K261="","-",IF(ISNUMBER(LOOKUP(2,1/((HISTORIAL!$O$3:$O$260=O261)*(HISTORIAL!$F$3:$F$260&lt;&gt;"")),HISTORIAL!$K$3:$K$260)),IF(K261&gt;LOOKUP(2,1/((HISTORIAL!$O$3:$O$260=O261)*(HISTORIAL!$F$3:$F$260&lt;&gt;"")),HISTORIAL!$K$3:$K$260),"^",IF(K261&lt;LOOKUP(2,1/((HISTORIAL!$O$3:$O$260=O261)*(HISTORIAL!$F$3:$F$260&lt;&gt;"")),HISTORIAL!$K$3:$K$260),"v","-")),"-")),"-")</f>
        <v>-</v>
      </c>
      <c r="N261" s="54" t="str">
        <f>IFERROR(VLOOKUP(A261,CONFIG!$A$10:$B$21,2,0),"")</f>
        <v>HIP</v>
      </c>
      <c r="O261" s="55" t="str">
        <f t="shared" si="9"/>
        <v>Press Militar|Mancuernas Sentado</v>
      </c>
      <c r="P261" s="69" t="str">
        <f>LUNES!AC110</f>
        <v/>
      </c>
    </row>
    <row r="262" spans="1:16" ht="14.1" customHeight="1">
      <c r="A262" s="37">
        <v>5</v>
      </c>
      <c r="B262" s="37" t="s">
        <v>277</v>
      </c>
      <c r="C262" s="44" t="str">
        <f>LUNES!$A$112</f>
        <v>Extension Triceps</v>
      </c>
      <c r="D262" s="45" t="str">
        <f>LUNES!$B$112</f>
        <v>Press Neutro Polea Individual</v>
      </c>
      <c r="E262" s="37" t="str">
        <f>LUNES!$C$112</f>
        <v>--</v>
      </c>
      <c r="F262" s="46" t="str">
        <f>IF(P262="","",IFERROR(CHOOSE(VALUE(RIGHT(P262,1)),LUNES!F112,LUNES!I112,LUNES!L112,LUNES!O112,LUNES!R112),""))</f>
        <v/>
      </c>
      <c r="G262" s="47" t="str">
        <f>IF(P262="","",IFERROR(CHOOSE(VALUE(RIGHT(P262,1)),LUNES!G112,LUNES!J112,LUNES!M112,LUNES!P112,LUNES!S112),""))</f>
        <v/>
      </c>
      <c r="H262" s="48" t="str">
        <f>IF(P262="","",IFERROR(CHOOSE(VALUE(RIGHT(P262,1)),LUNES!H112,LUNES!K112,LUNES!N112,LUNES!Q112,LUNES!T112),""))</f>
        <v/>
      </c>
      <c r="I262" s="49" t="str">
        <f t="shared" si="8"/>
        <v/>
      </c>
      <c r="J262" s="50" t="str">
        <f>IF(P262="","",IFERROR(ROUND(CHOOSE(VALUE(RIGHT(P262,1)),IF(LUNES!C112="peso_corporal",IF(ISNUMBER(LUNES!E112),LUNES!E112,0)+LUNES!F112,LUNES!F112)*LUNES!G112,IF(LUNES!C112="peso_corporal",IF(ISNUMBER(LUNES!E112),LUNES!E112,0)+LUNES!I112,LUNES!I112)*LUNES!J112,IF(LUNES!C112="peso_corporal",IF(ISNUMBER(LUNES!E112),LUNES!E112,0)+LUNES!L112,LUNES!L112)*LUNES!M112,IF(LUNES!C112="peso_corporal",IF(ISNUMBER(LUNES!E112),LUNES!E112,0)+LUNES!O112,LUNES!O112)*LUNES!P112,IF(LUNES!C112="peso_corporal",IF(ISNUMBER(LUNES!E112),LUNES!E112,0)+LUNES!R112,LUNES!R112)*LUNES!S112),1),""))</f>
        <v/>
      </c>
      <c r="K262" s="51" t="str">
        <f>IF(P262="","",IFERROR(ROUND(CHOOSE(VALUE(RIGHT(P262,1)),(IF(LUNES!C112="peso_corporal",IF(ISNUMBER(LUNES!E112),LUNES!E112,0)+LUNES!F112,LUNES!F112))*(1+LUNES!G112/30),(IF(LUNES!C112="peso_corporal",IF(ISNUMBER(LUNES!E112),LUNES!E112,0)+LUNES!I112,LUNES!I112))*(1+LUNES!J112/30),(IF(LUNES!C112="peso_corporal",IF(ISNUMBER(LUNES!E112),LUNES!E112,0)+LUNES!L112,LUNES!L112))*(1+LUNES!M112/30),(IF(LUNES!C112="peso_corporal",IF(ISNUMBER(LUNES!E112),LUNES!E112,0)+LUNES!O112,LUNES!O112))*(1+LUNES!P112/30),(IF(LUNES!C112="peso_corporal",IF(ISNUMBER(LUNES!E112),LUNES!E112,0)+LUNES!R112,LUNES!R112))*(1+LUNES!S112/30)),1),""))</f>
        <v/>
      </c>
      <c r="L262" s="52">
        <f>IFERROR(LUNES!E112,"")</f>
        <v>80</v>
      </c>
      <c r="M262" s="53" t="str">
        <f>IFERROR(IF(K262="","-",IF(ISNUMBER(LOOKUP(2,1/((HISTORIAL!$O$3:$O$261=O262)*(HISTORIAL!$F$3:$F$261&lt;&gt;"")),HISTORIAL!$K$3:$K$261)),IF(K262&gt;LOOKUP(2,1/((HISTORIAL!$O$3:$O$261=O262)*(HISTORIAL!$F$3:$F$261&lt;&gt;"")),HISTORIAL!$K$3:$K$261),"^",IF(K262&lt;LOOKUP(2,1/((HISTORIAL!$O$3:$O$261=O262)*(HISTORIAL!$F$3:$F$261&lt;&gt;"")),HISTORIAL!$K$3:$K$261),"v","-")),"-")),"-")</f>
        <v>-</v>
      </c>
      <c r="N262" s="54" t="str">
        <f>IFERROR(VLOOKUP(A262,CONFIG!$A$10:$B$21,2,0),"")</f>
        <v>HIP</v>
      </c>
      <c r="O262" s="55" t="str">
        <f t="shared" si="9"/>
        <v>Extension Triceps|Press Neutro Polea Individual</v>
      </c>
      <c r="P262" s="69" t="str">
        <f>LUNES!AC112</f>
        <v/>
      </c>
    </row>
    <row r="263" spans="1:16" ht="14.1" customHeight="1">
      <c r="A263" s="37">
        <v>5</v>
      </c>
      <c r="B263" s="37" t="s">
        <v>277</v>
      </c>
      <c r="C263" s="44" t="str">
        <f>LUNES!$A$114</f>
        <v>Extension Cuadriceps</v>
      </c>
      <c r="D263" s="45" t="str">
        <f>LUNES!$B$114</f>
        <v>Vasto Externo</v>
      </c>
      <c r="E263" s="37" t="str">
        <f>LUNES!$C$114</f>
        <v>--</v>
      </c>
      <c r="F263" s="46" t="str">
        <f>IF(P263="","",IFERROR(CHOOSE(VALUE(RIGHT(P263,1)),LUNES!F114,LUNES!I114,LUNES!L114,LUNES!O114,LUNES!R114),""))</f>
        <v/>
      </c>
      <c r="G263" s="47" t="str">
        <f>IF(P263="","",IFERROR(CHOOSE(VALUE(RIGHT(P263,1)),LUNES!G114,LUNES!J114,LUNES!M114,LUNES!P114,LUNES!S114),""))</f>
        <v/>
      </c>
      <c r="H263" s="48" t="str">
        <f>IF(P263="","",IFERROR(CHOOSE(VALUE(RIGHT(P263,1)),LUNES!H114,LUNES!K114,LUNES!N114,LUNES!Q114,LUNES!T114),""))</f>
        <v/>
      </c>
      <c r="I263" s="49" t="str">
        <f t="shared" si="8"/>
        <v/>
      </c>
      <c r="J263" s="50" t="str">
        <f>IF(P263="","",IFERROR(ROUND(CHOOSE(VALUE(RIGHT(P263,1)),IF(LUNES!C114="peso_corporal",IF(ISNUMBER(LUNES!E114),LUNES!E114,0)+LUNES!F114,LUNES!F114)*LUNES!G114,IF(LUNES!C114="peso_corporal",IF(ISNUMBER(LUNES!E114),LUNES!E114,0)+LUNES!I114,LUNES!I114)*LUNES!J114,IF(LUNES!C114="peso_corporal",IF(ISNUMBER(LUNES!E114),LUNES!E114,0)+LUNES!L114,LUNES!L114)*LUNES!M114,IF(LUNES!C114="peso_corporal",IF(ISNUMBER(LUNES!E114),LUNES!E114,0)+LUNES!O114,LUNES!O114)*LUNES!P114,IF(LUNES!C114="peso_corporal",IF(ISNUMBER(LUNES!E114),LUNES!E114,0)+LUNES!R114,LUNES!R114)*LUNES!S114),1),""))</f>
        <v/>
      </c>
      <c r="K263" s="51" t="str">
        <f>IF(P263="","",IFERROR(ROUND(CHOOSE(VALUE(RIGHT(P263,1)),(IF(LUNES!C114="peso_corporal",IF(ISNUMBER(LUNES!E114),LUNES!E114,0)+LUNES!F114,LUNES!F114))*(1+LUNES!G114/30),(IF(LUNES!C114="peso_corporal",IF(ISNUMBER(LUNES!E114),LUNES!E114,0)+LUNES!I114,LUNES!I114))*(1+LUNES!J114/30),(IF(LUNES!C114="peso_corporal",IF(ISNUMBER(LUNES!E114),LUNES!E114,0)+LUNES!L114,LUNES!L114))*(1+LUNES!M114/30),(IF(LUNES!C114="peso_corporal",IF(ISNUMBER(LUNES!E114),LUNES!E114,0)+LUNES!O114,LUNES!O114))*(1+LUNES!P114/30),(IF(LUNES!C114="peso_corporal",IF(ISNUMBER(LUNES!E114),LUNES!E114,0)+LUNES!R114,LUNES!R114))*(1+LUNES!S114/30)),1),""))</f>
        <v/>
      </c>
      <c r="L263" s="52">
        <f>IFERROR(LUNES!E114,"")</f>
        <v>80</v>
      </c>
      <c r="M263" s="53" t="str">
        <f>IFERROR(IF(K263="","-",IF(ISNUMBER(LOOKUP(2,1/((HISTORIAL!$O$3:$O$262=O263)*(HISTORIAL!$F$3:$F$262&lt;&gt;"")),HISTORIAL!$K$3:$K$262)),IF(K263&gt;LOOKUP(2,1/((HISTORIAL!$O$3:$O$262=O263)*(HISTORIAL!$F$3:$F$262&lt;&gt;"")),HISTORIAL!$K$3:$K$262),"^",IF(K263&lt;LOOKUP(2,1/((HISTORIAL!$O$3:$O$262=O263)*(HISTORIAL!$F$3:$F$262&lt;&gt;"")),HISTORIAL!$K$3:$K$262),"v","-")),"-")),"-")</f>
        <v>-</v>
      </c>
      <c r="N263" s="54" t="str">
        <f>IFERROR(VLOOKUP(A263,CONFIG!$A$10:$B$21,2,0),"")</f>
        <v>HIP</v>
      </c>
      <c r="O263" s="55" t="str">
        <f t="shared" si="9"/>
        <v>Extension Cuadriceps|Vasto Externo</v>
      </c>
      <c r="P263" s="69" t="str">
        <f>LUNES!AC114</f>
        <v/>
      </c>
    </row>
    <row r="264" spans="1:16" ht="14.1" customHeight="1">
      <c r="A264" s="37">
        <v>5</v>
      </c>
      <c r="B264" s="37" t="s">
        <v>277</v>
      </c>
      <c r="C264" s="44" t="str">
        <f>LUNES!$A$116</f>
        <v>Curl Biceps</v>
      </c>
      <c r="D264" s="45" t="str">
        <f>LUNES!$B$116</f>
        <v>Inclinado Banco Mancuernas</v>
      </c>
      <c r="E264" s="37" t="str">
        <f>LUNES!$C$116</f>
        <v>mancuerna</v>
      </c>
      <c r="F264" s="46" t="str">
        <f>IF(P264="","",IFERROR(CHOOSE(VALUE(RIGHT(P264,1)),LUNES!F116,LUNES!I116,LUNES!L116,LUNES!O116,LUNES!R116),""))</f>
        <v/>
      </c>
      <c r="G264" s="47" t="str">
        <f>IF(P264="","",IFERROR(CHOOSE(VALUE(RIGHT(P264,1)),LUNES!G116,LUNES!J116,LUNES!M116,LUNES!P116,LUNES!S116),""))</f>
        <v/>
      </c>
      <c r="H264" s="48" t="str">
        <f>IF(P264="","",IFERROR(CHOOSE(VALUE(RIGHT(P264,1)),LUNES!H116,LUNES!K116,LUNES!N116,LUNES!Q116,LUNES!T116),""))</f>
        <v/>
      </c>
      <c r="I264" s="49" t="str">
        <f t="shared" si="8"/>
        <v/>
      </c>
      <c r="J264" s="50" t="str">
        <f>IF(P264="","",IFERROR(ROUND(CHOOSE(VALUE(RIGHT(P264,1)),IF(LUNES!C116="peso_corporal",IF(ISNUMBER(LUNES!E116),LUNES!E116,0)+LUNES!F116,LUNES!F116)*LUNES!G116,IF(LUNES!C116="peso_corporal",IF(ISNUMBER(LUNES!E116),LUNES!E116,0)+LUNES!I116,LUNES!I116)*LUNES!J116,IF(LUNES!C116="peso_corporal",IF(ISNUMBER(LUNES!E116),LUNES!E116,0)+LUNES!L116,LUNES!L116)*LUNES!M116,IF(LUNES!C116="peso_corporal",IF(ISNUMBER(LUNES!E116),LUNES!E116,0)+LUNES!O116,LUNES!O116)*LUNES!P116,IF(LUNES!C116="peso_corporal",IF(ISNUMBER(LUNES!E116),LUNES!E116,0)+LUNES!R116,LUNES!R116)*LUNES!S116),1),""))</f>
        <v/>
      </c>
      <c r="K264" s="51" t="str">
        <f>IF(P264="","",IFERROR(ROUND(CHOOSE(VALUE(RIGHT(P264,1)),(IF(LUNES!C116="peso_corporal",IF(ISNUMBER(LUNES!E116),LUNES!E116,0)+LUNES!F116,LUNES!F116))*(1+LUNES!G116/30),(IF(LUNES!C116="peso_corporal",IF(ISNUMBER(LUNES!E116),LUNES!E116,0)+LUNES!I116,LUNES!I116))*(1+LUNES!J116/30),(IF(LUNES!C116="peso_corporal",IF(ISNUMBER(LUNES!E116),LUNES!E116,0)+LUNES!L116,LUNES!L116))*(1+LUNES!M116/30),(IF(LUNES!C116="peso_corporal",IF(ISNUMBER(LUNES!E116),LUNES!E116,0)+LUNES!O116,LUNES!O116))*(1+LUNES!P116/30),(IF(LUNES!C116="peso_corporal",IF(ISNUMBER(LUNES!E116),LUNES!E116,0)+LUNES!R116,LUNES!R116))*(1+LUNES!S116/30)),1),""))</f>
        <v/>
      </c>
      <c r="L264" s="52">
        <f>IFERROR(LUNES!E116,"")</f>
        <v>80</v>
      </c>
      <c r="M264" s="53" t="str">
        <f>IFERROR(IF(K264="","-",IF(ISNUMBER(LOOKUP(2,1/((HISTORIAL!$O$3:$O$263=O264)*(HISTORIAL!$F$3:$F$263&lt;&gt;"")),HISTORIAL!$K$3:$K$263)),IF(K264&gt;LOOKUP(2,1/((HISTORIAL!$O$3:$O$263=O264)*(HISTORIAL!$F$3:$F$263&lt;&gt;"")),HISTORIAL!$K$3:$K$263),"^",IF(K264&lt;LOOKUP(2,1/((HISTORIAL!$O$3:$O$263=O264)*(HISTORIAL!$F$3:$F$263&lt;&gt;"")),HISTORIAL!$K$3:$K$263),"v","-")),"-")),"-")</f>
        <v>-</v>
      </c>
      <c r="N264" s="54" t="str">
        <f>IFERROR(VLOOKUP(A264,CONFIG!$A$10:$B$21,2,0),"")</f>
        <v>HIP</v>
      </c>
      <c r="O264" s="55" t="str">
        <f t="shared" si="9"/>
        <v>Curl Biceps|Inclinado Banco Mancuernas</v>
      </c>
      <c r="P264" s="69" t="str">
        <f>LUNES!AC116</f>
        <v/>
      </c>
    </row>
    <row r="265" spans="1:16" ht="14.1" customHeight="1">
      <c r="A265" s="37">
        <v>5</v>
      </c>
      <c r="B265" s="37" t="s">
        <v>277</v>
      </c>
      <c r="C265" s="44" t="str">
        <f>LUNES!$A$118</f>
        <v>Crunch</v>
      </c>
      <c r="D265" s="45" t="str">
        <f>LUNES!$B$118</f>
        <v>Polea</v>
      </c>
      <c r="E265" s="37" t="str">
        <f>LUNES!$C$118</f>
        <v>polea</v>
      </c>
      <c r="F265" s="46" t="str">
        <f>IF(P265="","",IFERROR(CHOOSE(VALUE(RIGHT(P265,1)),LUNES!F118,LUNES!I118,LUNES!L118,LUNES!O118,LUNES!R118),""))</f>
        <v/>
      </c>
      <c r="G265" s="47" t="str">
        <f>IF(P265="","",IFERROR(CHOOSE(VALUE(RIGHT(P265,1)),LUNES!G118,LUNES!J118,LUNES!M118,LUNES!P118,LUNES!S118),""))</f>
        <v/>
      </c>
      <c r="H265" s="48" t="str">
        <f>IF(P265="","",IFERROR(CHOOSE(VALUE(RIGHT(P265,1)),LUNES!H118,LUNES!K118,LUNES!N118,LUNES!Q118,LUNES!T118),""))</f>
        <v/>
      </c>
      <c r="I265" s="49" t="str">
        <f t="shared" si="8"/>
        <v/>
      </c>
      <c r="J265" s="50" t="str">
        <f>IF(P265="","",IFERROR(ROUND(CHOOSE(VALUE(RIGHT(P265,1)),IF(LUNES!C118="peso_corporal",IF(ISNUMBER(LUNES!E118),LUNES!E118,0)+LUNES!F118,LUNES!F118)*LUNES!G118,IF(LUNES!C118="peso_corporal",IF(ISNUMBER(LUNES!E118),LUNES!E118,0)+LUNES!I118,LUNES!I118)*LUNES!J118,IF(LUNES!C118="peso_corporal",IF(ISNUMBER(LUNES!E118),LUNES!E118,0)+LUNES!L118,LUNES!L118)*LUNES!M118,IF(LUNES!C118="peso_corporal",IF(ISNUMBER(LUNES!E118),LUNES!E118,0)+LUNES!O118,LUNES!O118)*LUNES!P118,IF(LUNES!C118="peso_corporal",IF(ISNUMBER(LUNES!E118),LUNES!E118,0)+LUNES!R118,LUNES!R118)*LUNES!S118),1),""))</f>
        <v/>
      </c>
      <c r="K265" s="51" t="str">
        <f>IF(P265="","",IFERROR(ROUND(CHOOSE(VALUE(RIGHT(P265,1)),(IF(LUNES!C118="peso_corporal",IF(ISNUMBER(LUNES!E118),LUNES!E118,0)+LUNES!F118,LUNES!F118))*(1+LUNES!G118/30),(IF(LUNES!C118="peso_corporal",IF(ISNUMBER(LUNES!E118),LUNES!E118,0)+LUNES!I118,LUNES!I118))*(1+LUNES!J118/30),(IF(LUNES!C118="peso_corporal",IF(ISNUMBER(LUNES!E118),LUNES!E118,0)+LUNES!L118,LUNES!L118))*(1+LUNES!M118/30),(IF(LUNES!C118="peso_corporal",IF(ISNUMBER(LUNES!E118),LUNES!E118,0)+LUNES!O118,LUNES!O118))*(1+LUNES!P118/30),(IF(LUNES!C118="peso_corporal",IF(ISNUMBER(LUNES!E118),LUNES!E118,0)+LUNES!R118,LUNES!R118))*(1+LUNES!S118/30)),1),""))</f>
        <v/>
      </c>
      <c r="L265" s="52">
        <f>IFERROR(LUNES!E118,"")</f>
        <v>80</v>
      </c>
      <c r="M265" s="53" t="str">
        <f>IFERROR(IF(K265="","-",IF(ISNUMBER(LOOKUP(2,1/((HISTORIAL!$O$3:$O$264=O265)*(HISTORIAL!$F$3:$F$264&lt;&gt;"")),HISTORIAL!$K$3:$K$264)),IF(K265&gt;LOOKUP(2,1/((HISTORIAL!$O$3:$O$264=O265)*(HISTORIAL!$F$3:$F$264&lt;&gt;"")),HISTORIAL!$K$3:$K$264),"^",IF(K265&lt;LOOKUP(2,1/((HISTORIAL!$O$3:$O$264=O265)*(HISTORIAL!$F$3:$F$264&lt;&gt;"")),HISTORIAL!$K$3:$K$264),"v","-")),"-")),"-")</f>
        <v>-</v>
      </c>
      <c r="N265" s="54" t="str">
        <f>IFERROR(VLOOKUP(A265,CONFIG!$A$10:$B$21,2,0),"")</f>
        <v>HIP</v>
      </c>
      <c r="O265" s="55" t="str">
        <f t="shared" si="9"/>
        <v>Crunch|Polea</v>
      </c>
      <c r="P265" s="69" t="str">
        <f>LUNES!AC118</f>
        <v/>
      </c>
    </row>
    <row r="266" spans="1:16" ht="14.1" customHeight="1">
      <c r="A266" s="37">
        <v>5</v>
      </c>
      <c r="B266" s="37" t="s">
        <v>278</v>
      </c>
      <c r="C266" s="44" t="str">
        <f>MARTES!$A$97</f>
        <v>Jalon</v>
      </c>
      <c r="D266" s="45" t="str">
        <f>MARTES!$B$97</f>
        <v>Polea Alta Prono Ancho</v>
      </c>
      <c r="E266" s="37" t="str">
        <f>MARTES!$C$97</f>
        <v>polea</v>
      </c>
      <c r="F266" s="46" t="str">
        <f>IF(P266="","",IFERROR(CHOOSE(VALUE(RIGHT(P266,1)),MARTES!F97,MARTES!I97,MARTES!L97,MARTES!O97,MARTES!R97),""))</f>
        <v/>
      </c>
      <c r="G266" s="47" t="str">
        <f>IF(P266="","",IFERROR(CHOOSE(VALUE(RIGHT(P266,1)),MARTES!G97,MARTES!J97,MARTES!M97,MARTES!P97,MARTES!S97),""))</f>
        <v/>
      </c>
      <c r="H266" s="48" t="str">
        <f>IF(P266="","",IFERROR(CHOOSE(VALUE(RIGHT(P266,1)),MARTES!H97,MARTES!K97,MARTES!N97,MARTES!Q97,MARTES!T97),""))</f>
        <v/>
      </c>
      <c r="I266" s="49" t="str">
        <f t="shared" si="8"/>
        <v/>
      </c>
      <c r="J266" s="50" t="str">
        <f>IF(P266="","",IFERROR(ROUND(CHOOSE(VALUE(RIGHT(P266,1)),IF(MARTES!C97="peso_corporal",IF(ISNUMBER(MARTES!E97),MARTES!E97,0)+MARTES!F97,MARTES!F97)*MARTES!G97,IF(MARTES!C97="peso_corporal",IF(ISNUMBER(MARTES!E97),MARTES!E97,0)+MARTES!I97,MARTES!I97)*MARTES!J97,IF(MARTES!C97="peso_corporal",IF(ISNUMBER(MARTES!E97),MARTES!E97,0)+MARTES!L97,MARTES!L97)*MARTES!M97,IF(MARTES!C97="peso_corporal",IF(ISNUMBER(MARTES!E97),MARTES!E97,0)+MARTES!O97,MARTES!O97)*MARTES!P97,IF(MARTES!C97="peso_corporal",IF(ISNUMBER(MARTES!E97),MARTES!E97,0)+MARTES!R97,MARTES!R97)*MARTES!S97),1),""))</f>
        <v/>
      </c>
      <c r="K266" s="51" t="str">
        <f>IF(P266="","",IFERROR(ROUND(CHOOSE(VALUE(RIGHT(P266,1)),(IF(MARTES!C97="peso_corporal",IF(ISNUMBER(MARTES!E97),MARTES!E97,0)+MARTES!F97,MARTES!F97))*(1+MARTES!G97/30),(IF(MARTES!C97="peso_corporal",IF(ISNUMBER(MARTES!E97),MARTES!E97,0)+MARTES!I97,MARTES!I97))*(1+MARTES!J97/30),(IF(MARTES!C97="peso_corporal",IF(ISNUMBER(MARTES!E97),MARTES!E97,0)+MARTES!L97,MARTES!L97))*(1+MARTES!M97/30),(IF(MARTES!C97="peso_corporal",IF(ISNUMBER(MARTES!E97),MARTES!E97,0)+MARTES!O97,MARTES!O97))*(1+MARTES!P97/30),(IF(MARTES!C97="peso_corporal",IF(ISNUMBER(MARTES!E97),MARTES!E97,0)+MARTES!R97,MARTES!R97))*(1+MARTES!S97/30)),1),""))</f>
        <v/>
      </c>
      <c r="L266" s="52">
        <f>IFERROR(MARTES!E97,"")</f>
        <v>80</v>
      </c>
      <c r="M266" s="53" t="str">
        <f>IFERROR(IF(K266="","-",IF(ISNUMBER(LOOKUP(2,1/((HISTORIAL!$O$3:$O$265=O266)*(HISTORIAL!$F$3:$F$265&lt;&gt;"")),HISTORIAL!$K$3:$K$265)),IF(K266&gt;LOOKUP(2,1/((HISTORIAL!$O$3:$O$265=O266)*(HISTORIAL!$F$3:$F$265&lt;&gt;"")),HISTORIAL!$K$3:$K$265),"^",IF(K266&lt;LOOKUP(2,1/((HISTORIAL!$O$3:$O$265=O266)*(HISTORIAL!$F$3:$F$265&lt;&gt;"")),HISTORIAL!$K$3:$K$265),"v","-")),"-")),"-")</f>
        <v>-</v>
      </c>
      <c r="N266" s="54" t="str">
        <f>IFERROR(VLOOKUP(A266,CONFIG!$A$10:$B$21,2,0),"")</f>
        <v>HIP</v>
      </c>
      <c r="O266" s="55" t="str">
        <f t="shared" si="9"/>
        <v>Jalon|Polea Alta Prono Ancho</v>
      </c>
      <c r="P266" s="69" t="str">
        <f>MARTES!AC97</f>
        <v/>
      </c>
    </row>
    <row r="267" spans="1:16" ht="14.1" customHeight="1">
      <c r="A267" s="37">
        <v>5</v>
      </c>
      <c r="B267" s="37" t="s">
        <v>278</v>
      </c>
      <c r="C267" s="44" t="str">
        <f>MARTES!$A$98</f>
        <v>Jalon</v>
      </c>
      <c r="D267" s="45" t="str">
        <f>MARTES!$B$98</f>
        <v>Polea Alta Supino Estrecho</v>
      </c>
      <c r="E267" s="37" t="str">
        <f>MARTES!$C$98</f>
        <v>polea</v>
      </c>
      <c r="F267" s="46" t="str">
        <f>IF(P267="","",IFERROR(CHOOSE(VALUE(RIGHT(P267,1)),MARTES!F98,MARTES!I98,MARTES!L98,MARTES!O98,MARTES!R98),""))</f>
        <v/>
      </c>
      <c r="G267" s="47" t="str">
        <f>IF(P267="","",IFERROR(CHOOSE(VALUE(RIGHT(P267,1)),MARTES!G98,MARTES!J98,MARTES!M98,MARTES!P98,MARTES!S98),""))</f>
        <v/>
      </c>
      <c r="H267" s="48" t="str">
        <f>IF(P267="","",IFERROR(CHOOSE(VALUE(RIGHT(P267,1)),MARTES!H98,MARTES!K98,MARTES!N98,MARTES!Q98,MARTES!T98),""))</f>
        <v/>
      </c>
      <c r="I267" s="49" t="str">
        <f t="shared" si="8"/>
        <v/>
      </c>
      <c r="J267" s="50" t="str">
        <f>IF(P267="","",IFERROR(ROUND(CHOOSE(VALUE(RIGHT(P267,1)),IF(MARTES!C98="peso_corporal",IF(ISNUMBER(MARTES!E98),MARTES!E98,0)+MARTES!F98,MARTES!F98)*MARTES!G98,IF(MARTES!C98="peso_corporal",IF(ISNUMBER(MARTES!E98),MARTES!E98,0)+MARTES!I98,MARTES!I98)*MARTES!J98,IF(MARTES!C98="peso_corporal",IF(ISNUMBER(MARTES!E98),MARTES!E98,0)+MARTES!L98,MARTES!L98)*MARTES!M98,IF(MARTES!C98="peso_corporal",IF(ISNUMBER(MARTES!E98),MARTES!E98,0)+MARTES!O98,MARTES!O98)*MARTES!P98,IF(MARTES!C98="peso_corporal",IF(ISNUMBER(MARTES!E98),MARTES!E98,0)+MARTES!R98,MARTES!R98)*MARTES!S98),1),""))</f>
        <v/>
      </c>
      <c r="K267" s="51" t="str">
        <f>IF(P267="","",IFERROR(ROUND(CHOOSE(VALUE(RIGHT(P267,1)),(IF(MARTES!C98="peso_corporal",IF(ISNUMBER(MARTES!E98),MARTES!E98,0)+MARTES!F98,MARTES!F98))*(1+MARTES!G98/30),(IF(MARTES!C98="peso_corporal",IF(ISNUMBER(MARTES!E98),MARTES!E98,0)+MARTES!I98,MARTES!I98))*(1+MARTES!J98/30),(IF(MARTES!C98="peso_corporal",IF(ISNUMBER(MARTES!E98),MARTES!E98,0)+MARTES!L98,MARTES!L98))*(1+MARTES!M98/30),(IF(MARTES!C98="peso_corporal",IF(ISNUMBER(MARTES!E98),MARTES!E98,0)+MARTES!O98,MARTES!O98))*(1+MARTES!P98/30),(IF(MARTES!C98="peso_corporal",IF(ISNUMBER(MARTES!E98),MARTES!E98,0)+MARTES!R98,MARTES!R98))*(1+MARTES!S98/30)),1),""))</f>
        <v/>
      </c>
      <c r="L267" s="52">
        <f>IFERROR(MARTES!E98,"")</f>
        <v>80</v>
      </c>
      <c r="M267" s="53" t="str">
        <f>IFERROR(IF(K267="","-",IF(ISNUMBER(LOOKUP(2,1/((HISTORIAL!$O$3:$O$266=O267)*(HISTORIAL!$F$3:$F$266&lt;&gt;"")),HISTORIAL!$K$3:$K$266)),IF(K267&gt;LOOKUP(2,1/((HISTORIAL!$O$3:$O$266=O267)*(HISTORIAL!$F$3:$F$266&lt;&gt;"")),HISTORIAL!$K$3:$K$266),"^",IF(K267&lt;LOOKUP(2,1/((HISTORIAL!$O$3:$O$266=O267)*(HISTORIAL!$F$3:$F$266&lt;&gt;"")),HISTORIAL!$K$3:$K$266),"v","-")),"-")),"-")</f>
        <v>-</v>
      </c>
      <c r="N267" s="54" t="str">
        <f>IFERROR(VLOOKUP(A267,CONFIG!$A$10:$B$21,2,0),"")</f>
        <v>HIP</v>
      </c>
      <c r="O267" s="55" t="str">
        <f t="shared" si="9"/>
        <v>Jalon|Polea Alta Supino Estrecho</v>
      </c>
      <c r="P267" s="69" t="str">
        <f>MARTES!AC98</f>
        <v/>
      </c>
    </row>
    <row r="268" spans="1:16" ht="14.1" customHeight="1">
      <c r="A268" s="37">
        <v>5</v>
      </c>
      <c r="B268" s="37" t="s">
        <v>278</v>
      </c>
      <c r="C268" s="44" t="str">
        <f>MARTES!$A$100</f>
        <v>Remo</v>
      </c>
      <c r="D268" s="45" t="str">
        <f>MARTES!$B$100</f>
        <v>Maquina Hammer Neutro Unilateral</v>
      </c>
      <c r="E268" s="37" t="str">
        <f>MARTES!$C$100</f>
        <v>polea</v>
      </c>
      <c r="F268" s="46" t="str">
        <f>IF(P268="","",IFERROR(CHOOSE(VALUE(RIGHT(P268,1)),MARTES!F100,MARTES!I100,MARTES!L100,MARTES!O100,MARTES!R100),""))</f>
        <v/>
      </c>
      <c r="G268" s="47" t="str">
        <f>IF(P268="","",IFERROR(CHOOSE(VALUE(RIGHT(P268,1)),MARTES!G100,MARTES!J100,MARTES!M100,MARTES!P100,MARTES!S100),""))</f>
        <v/>
      </c>
      <c r="H268" s="48" t="str">
        <f>IF(P268="","",IFERROR(CHOOSE(VALUE(RIGHT(P268,1)),MARTES!H100,MARTES!K100,MARTES!N100,MARTES!Q100,MARTES!T100),""))</f>
        <v/>
      </c>
      <c r="I268" s="49" t="str">
        <f t="shared" si="8"/>
        <v/>
      </c>
      <c r="J268" s="50" t="str">
        <f>IF(P268="","",IFERROR(ROUND(CHOOSE(VALUE(RIGHT(P268,1)),IF(MARTES!C100="peso_corporal",IF(ISNUMBER(MARTES!E100),MARTES!E100,0)+MARTES!F100,MARTES!F100)*MARTES!G100,IF(MARTES!C100="peso_corporal",IF(ISNUMBER(MARTES!E100),MARTES!E100,0)+MARTES!I100,MARTES!I100)*MARTES!J100,IF(MARTES!C100="peso_corporal",IF(ISNUMBER(MARTES!E100),MARTES!E100,0)+MARTES!L100,MARTES!L100)*MARTES!M100,IF(MARTES!C100="peso_corporal",IF(ISNUMBER(MARTES!E100),MARTES!E100,0)+MARTES!O100,MARTES!O100)*MARTES!P100,IF(MARTES!C100="peso_corporal",IF(ISNUMBER(MARTES!E100),MARTES!E100,0)+MARTES!R100,MARTES!R100)*MARTES!S100),1),""))</f>
        <v/>
      </c>
      <c r="K268" s="51" t="str">
        <f>IF(P268="","",IFERROR(ROUND(CHOOSE(VALUE(RIGHT(P268,1)),(IF(MARTES!C100="peso_corporal",IF(ISNUMBER(MARTES!E100),MARTES!E100,0)+MARTES!F100,MARTES!F100))*(1+MARTES!G100/30),(IF(MARTES!C100="peso_corporal",IF(ISNUMBER(MARTES!E100),MARTES!E100,0)+MARTES!I100,MARTES!I100))*(1+MARTES!J100/30),(IF(MARTES!C100="peso_corporal",IF(ISNUMBER(MARTES!E100),MARTES!E100,0)+MARTES!L100,MARTES!L100))*(1+MARTES!M100/30),(IF(MARTES!C100="peso_corporal",IF(ISNUMBER(MARTES!E100),MARTES!E100,0)+MARTES!O100,MARTES!O100))*(1+MARTES!P100/30),(IF(MARTES!C100="peso_corporal",IF(ISNUMBER(MARTES!E100),MARTES!E100,0)+MARTES!R100,MARTES!R100))*(1+MARTES!S100/30)),1),""))</f>
        <v/>
      </c>
      <c r="L268" s="52">
        <f>IFERROR(MARTES!E100,"")</f>
        <v>80</v>
      </c>
      <c r="M268" s="53" t="str">
        <f>IFERROR(IF(K268="","-",IF(ISNUMBER(LOOKUP(2,1/((HISTORIAL!$O$3:$O$267=O268)*(HISTORIAL!$F$3:$F$267&lt;&gt;"")),HISTORIAL!$K$3:$K$267)),IF(K268&gt;LOOKUP(2,1/((HISTORIAL!$O$3:$O$267=O268)*(HISTORIAL!$F$3:$F$267&lt;&gt;"")),HISTORIAL!$K$3:$K$267),"^",IF(K268&lt;LOOKUP(2,1/((HISTORIAL!$O$3:$O$267=O268)*(HISTORIAL!$F$3:$F$267&lt;&gt;"")),HISTORIAL!$K$3:$K$267),"v","-")),"-")),"-")</f>
        <v>-</v>
      </c>
      <c r="N268" s="54" t="str">
        <f>IFERROR(VLOOKUP(A268,CONFIG!$A$10:$B$21,2,0),"")</f>
        <v>HIP</v>
      </c>
      <c r="O268" s="55" t="str">
        <f t="shared" si="9"/>
        <v>Remo|Maquina Hammer Neutro Unilateral</v>
      </c>
      <c r="P268" s="69" t="str">
        <f>MARTES!AC100</f>
        <v/>
      </c>
    </row>
    <row r="269" spans="1:16" ht="14.1" customHeight="1">
      <c r="A269" s="37">
        <v>5</v>
      </c>
      <c r="B269" s="37" t="s">
        <v>278</v>
      </c>
      <c r="C269" s="44" t="str">
        <f>MARTES!$A$101</f>
        <v>Remo</v>
      </c>
      <c r="D269" s="45" t="str">
        <f>MARTES!$B$101</f>
        <v>Maquina Prono</v>
      </c>
      <c r="E269" s="37" t="str">
        <f>MARTES!$C$101</f>
        <v>polea</v>
      </c>
      <c r="F269" s="46" t="str">
        <f>IF(P269="","",IFERROR(CHOOSE(VALUE(RIGHT(P269,1)),MARTES!F101,MARTES!I101,MARTES!L101,MARTES!O101,MARTES!R101),""))</f>
        <v/>
      </c>
      <c r="G269" s="47" t="str">
        <f>IF(P269="","",IFERROR(CHOOSE(VALUE(RIGHT(P269,1)),MARTES!G101,MARTES!J101,MARTES!M101,MARTES!P101,MARTES!S101),""))</f>
        <v/>
      </c>
      <c r="H269" s="48" t="str">
        <f>IF(P269="","",IFERROR(CHOOSE(VALUE(RIGHT(P269,1)),MARTES!H101,MARTES!K101,MARTES!N101,MARTES!Q101,MARTES!T101),""))</f>
        <v/>
      </c>
      <c r="I269" s="49" t="str">
        <f t="shared" si="8"/>
        <v/>
      </c>
      <c r="J269" s="50" t="str">
        <f>IF(P269="","",IFERROR(ROUND(CHOOSE(VALUE(RIGHT(P269,1)),IF(MARTES!C101="peso_corporal",IF(ISNUMBER(MARTES!E101),MARTES!E101,0)+MARTES!F101,MARTES!F101)*MARTES!G101,IF(MARTES!C101="peso_corporal",IF(ISNUMBER(MARTES!E101),MARTES!E101,0)+MARTES!I101,MARTES!I101)*MARTES!J101,IF(MARTES!C101="peso_corporal",IF(ISNUMBER(MARTES!E101),MARTES!E101,0)+MARTES!L101,MARTES!L101)*MARTES!M101,IF(MARTES!C101="peso_corporal",IF(ISNUMBER(MARTES!E101),MARTES!E101,0)+MARTES!O101,MARTES!O101)*MARTES!P101,IF(MARTES!C101="peso_corporal",IF(ISNUMBER(MARTES!E101),MARTES!E101,0)+MARTES!R101,MARTES!R101)*MARTES!S101),1),""))</f>
        <v/>
      </c>
      <c r="K269" s="51" t="str">
        <f>IF(P269="","",IFERROR(ROUND(CHOOSE(VALUE(RIGHT(P269,1)),(IF(MARTES!C101="peso_corporal",IF(ISNUMBER(MARTES!E101),MARTES!E101,0)+MARTES!F101,MARTES!F101))*(1+MARTES!G101/30),(IF(MARTES!C101="peso_corporal",IF(ISNUMBER(MARTES!E101),MARTES!E101,0)+MARTES!I101,MARTES!I101))*(1+MARTES!J101/30),(IF(MARTES!C101="peso_corporal",IF(ISNUMBER(MARTES!E101),MARTES!E101,0)+MARTES!L101,MARTES!L101))*(1+MARTES!M101/30),(IF(MARTES!C101="peso_corporal",IF(ISNUMBER(MARTES!E101),MARTES!E101,0)+MARTES!O101,MARTES!O101))*(1+MARTES!P101/30),(IF(MARTES!C101="peso_corporal",IF(ISNUMBER(MARTES!E101),MARTES!E101,0)+MARTES!R101,MARTES!R101))*(1+MARTES!S101/30)),1),""))</f>
        <v/>
      </c>
      <c r="L269" s="52">
        <f>IFERROR(MARTES!E101,"")</f>
        <v>80</v>
      </c>
      <c r="M269" s="53" t="str">
        <f>IFERROR(IF(K269="","-",IF(ISNUMBER(LOOKUP(2,1/((HISTORIAL!$O$3:$O$268=O269)*(HISTORIAL!$F$3:$F$268&lt;&gt;"")),HISTORIAL!$K$3:$K$268)),IF(K269&gt;LOOKUP(2,1/((HISTORIAL!$O$3:$O$268=O269)*(HISTORIAL!$F$3:$F$268&lt;&gt;"")),HISTORIAL!$K$3:$K$268),"^",IF(K269&lt;LOOKUP(2,1/((HISTORIAL!$O$3:$O$268=O269)*(HISTORIAL!$F$3:$F$268&lt;&gt;"")),HISTORIAL!$K$3:$K$268),"v","-")),"-")),"-")</f>
        <v>-</v>
      </c>
      <c r="N269" s="54" t="str">
        <f>IFERROR(VLOOKUP(A269,CONFIG!$A$10:$B$21,2,0),"")</f>
        <v>HIP</v>
      </c>
      <c r="O269" s="55" t="str">
        <f t="shared" si="9"/>
        <v>Remo|Maquina Prono</v>
      </c>
      <c r="P269" s="69" t="str">
        <f>MARTES!AC101</f>
        <v/>
      </c>
    </row>
    <row r="270" spans="1:16" ht="14.1" customHeight="1">
      <c r="A270" s="37">
        <v>5</v>
      </c>
      <c r="B270" s="37" t="s">
        <v>278</v>
      </c>
      <c r="C270" s="44" t="str">
        <f>MARTES!$A$103</f>
        <v>Curl Biceps</v>
      </c>
      <c r="D270" s="45" t="str">
        <f>MARTES!$B$103</f>
        <v>Inclinado Banco Mancuernas</v>
      </c>
      <c r="E270" s="37" t="str">
        <f>MARTES!$C$103</f>
        <v>mancuerna</v>
      </c>
      <c r="F270" s="46" t="str">
        <f>IF(P270="","",IFERROR(CHOOSE(VALUE(RIGHT(P270,1)),MARTES!F103,MARTES!I103,MARTES!L103,MARTES!O103,MARTES!R103),""))</f>
        <v/>
      </c>
      <c r="G270" s="47" t="str">
        <f>IF(P270="","",IFERROR(CHOOSE(VALUE(RIGHT(P270,1)),MARTES!G103,MARTES!J103,MARTES!M103,MARTES!P103,MARTES!S103),""))</f>
        <v/>
      </c>
      <c r="H270" s="48" t="str">
        <f>IF(P270="","",IFERROR(CHOOSE(VALUE(RIGHT(P270,1)),MARTES!H103,MARTES!K103,MARTES!N103,MARTES!Q103,MARTES!T103),""))</f>
        <v/>
      </c>
      <c r="I270" s="49" t="str">
        <f t="shared" si="8"/>
        <v/>
      </c>
      <c r="J270" s="50" t="str">
        <f>IF(P270="","",IFERROR(ROUND(CHOOSE(VALUE(RIGHT(P270,1)),IF(MARTES!C103="peso_corporal",IF(ISNUMBER(MARTES!E103),MARTES!E103,0)+MARTES!F103,MARTES!F103)*MARTES!G103,IF(MARTES!C103="peso_corporal",IF(ISNUMBER(MARTES!E103),MARTES!E103,0)+MARTES!I103,MARTES!I103)*MARTES!J103,IF(MARTES!C103="peso_corporal",IF(ISNUMBER(MARTES!E103),MARTES!E103,0)+MARTES!L103,MARTES!L103)*MARTES!M103,IF(MARTES!C103="peso_corporal",IF(ISNUMBER(MARTES!E103),MARTES!E103,0)+MARTES!O103,MARTES!O103)*MARTES!P103,IF(MARTES!C103="peso_corporal",IF(ISNUMBER(MARTES!E103),MARTES!E103,0)+MARTES!R103,MARTES!R103)*MARTES!S103),1),""))</f>
        <v/>
      </c>
      <c r="K270" s="51" t="str">
        <f>IF(P270="","",IFERROR(ROUND(CHOOSE(VALUE(RIGHT(P270,1)),(IF(MARTES!C103="peso_corporal",IF(ISNUMBER(MARTES!E103),MARTES!E103,0)+MARTES!F103,MARTES!F103))*(1+MARTES!G103/30),(IF(MARTES!C103="peso_corporal",IF(ISNUMBER(MARTES!E103),MARTES!E103,0)+MARTES!I103,MARTES!I103))*(1+MARTES!J103/30),(IF(MARTES!C103="peso_corporal",IF(ISNUMBER(MARTES!E103),MARTES!E103,0)+MARTES!L103,MARTES!L103))*(1+MARTES!M103/30),(IF(MARTES!C103="peso_corporal",IF(ISNUMBER(MARTES!E103),MARTES!E103,0)+MARTES!O103,MARTES!O103))*(1+MARTES!P103/30),(IF(MARTES!C103="peso_corporal",IF(ISNUMBER(MARTES!E103),MARTES!E103,0)+MARTES!R103,MARTES!R103))*(1+MARTES!S103/30)),1),""))</f>
        <v/>
      </c>
      <c r="L270" s="52">
        <f>IFERROR(MARTES!E103,"")</f>
        <v>80</v>
      </c>
      <c r="M270" s="53" t="str">
        <f>IFERROR(IF(K270="","-",IF(ISNUMBER(LOOKUP(2,1/((HISTORIAL!$O$3:$O$269=O270)*(HISTORIAL!$F$3:$F$269&lt;&gt;"")),HISTORIAL!$K$3:$K$269)),IF(K270&gt;LOOKUP(2,1/((HISTORIAL!$O$3:$O$269=O270)*(HISTORIAL!$F$3:$F$269&lt;&gt;"")),HISTORIAL!$K$3:$K$269),"^",IF(K270&lt;LOOKUP(2,1/((HISTORIAL!$O$3:$O$269=O270)*(HISTORIAL!$F$3:$F$269&lt;&gt;"")),HISTORIAL!$K$3:$K$269),"v","-")),"-")),"-")</f>
        <v>-</v>
      </c>
      <c r="N270" s="54" t="str">
        <f>IFERROR(VLOOKUP(A270,CONFIG!$A$10:$B$21,2,0),"")</f>
        <v>HIP</v>
      </c>
      <c r="O270" s="55" t="str">
        <f t="shared" si="9"/>
        <v>Curl Biceps|Inclinado Banco Mancuernas</v>
      </c>
      <c r="P270" s="69" t="str">
        <f>MARTES!AC103</f>
        <v/>
      </c>
    </row>
    <row r="271" spans="1:16" ht="14.1" customHeight="1">
      <c r="A271" s="37">
        <v>5</v>
      </c>
      <c r="B271" s="37" t="s">
        <v>278</v>
      </c>
      <c r="C271" s="44" t="str">
        <f>MARTES!$A$104</f>
        <v>Curl Biceps</v>
      </c>
      <c r="D271" s="45" t="str">
        <f>MARTES!$B$104</f>
        <v>Polea Baja Supino</v>
      </c>
      <c r="E271" s="37" t="str">
        <f>MARTES!$C$104</f>
        <v>polea</v>
      </c>
      <c r="F271" s="46" t="str">
        <f>IF(P271="","",IFERROR(CHOOSE(VALUE(RIGHT(P271,1)),MARTES!F104,MARTES!I104,MARTES!L104,MARTES!O104,MARTES!R104),""))</f>
        <v/>
      </c>
      <c r="G271" s="47" t="str">
        <f>IF(P271="","",IFERROR(CHOOSE(VALUE(RIGHT(P271,1)),MARTES!G104,MARTES!J104,MARTES!M104,MARTES!P104,MARTES!S104),""))</f>
        <v/>
      </c>
      <c r="H271" s="48" t="str">
        <f>IF(P271="","",IFERROR(CHOOSE(VALUE(RIGHT(P271,1)),MARTES!H104,MARTES!K104,MARTES!N104,MARTES!Q104,MARTES!T104),""))</f>
        <v/>
      </c>
      <c r="I271" s="49" t="str">
        <f t="shared" si="8"/>
        <v/>
      </c>
      <c r="J271" s="50" t="str">
        <f>IF(P271="","",IFERROR(ROUND(CHOOSE(VALUE(RIGHT(P271,1)),IF(MARTES!C104="peso_corporal",IF(ISNUMBER(MARTES!E104),MARTES!E104,0)+MARTES!F104,MARTES!F104)*MARTES!G104,IF(MARTES!C104="peso_corporal",IF(ISNUMBER(MARTES!E104),MARTES!E104,0)+MARTES!I104,MARTES!I104)*MARTES!J104,IF(MARTES!C104="peso_corporal",IF(ISNUMBER(MARTES!E104),MARTES!E104,0)+MARTES!L104,MARTES!L104)*MARTES!M104,IF(MARTES!C104="peso_corporal",IF(ISNUMBER(MARTES!E104),MARTES!E104,0)+MARTES!O104,MARTES!O104)*MARTES!P104,IF(MARTES!C104="peso_corporal",IF(ISNUMBER(MARTES!E104),MARTES!E104,0)+MARTES!R104,MARTES!R104)*MARTES!S104),1),""))</f>
        <v/>
      </c>
      <c r="K271" s="51" t="str">
        <f>IF(P271="","",IFERROR(ROUND(CHOOSE(VALUE(RIGHT(P271,1)),(IF(MARTES!C104="peso_corporal",IF(ISNUMBER(MARTES!E104),MARTES!E104,0)+MARTES!F104,MARTES!F104))*(1+MARTES!G104/30),(IF(MARTES!C104="peso_corporal",IF(ISNUMBER(MARTES!E104),MARTES!E104,0)+MARTES!I104,MARTES!I104))*(1+MARTES!J104/30),(IF(MARTES!C104="peso_corporal",IF(ISNUMBER(MARTES!E104),MARTES!E104,0)+MARTES!L104,MARTES!L104))*(1+MARTES!M104/30),(IF(MARTES!C104="peso_corporal",IF(ISNUMBER(MARTES!E104),MARTES!E104,0)+MARTES!O104,MARTES!O104))*(1+MARTES!P104/30),(IF(MARTES!C104="peso_corporal",IF(ISNUMBER(MARTES!E104),MARTES!E104,0)+MARTES!R104,MARTES!R104))*(1+MARTES!S104/30)),1),""))</f>
        <v/>
      </c>
      <c r="L271" s="52">
        <f>IFERROR(MARTES!E104,"")</f>
        <v>80</v>
      </c>
      <c r="M271" s="53" t="str">
        <f>IFERROR(IF(K271="","-",IF(ISNUMBER(LOOKUP(2,1/((HISTORIAL!$O$3:$O$270=O271)*(HISTORIAL!$F$3:$F$270&lt;&gt;"")),HISTORIAL!$K$3:$K$270)),IF(K271&gt;LOOKUP(2,1/((HISTORIAL!$O$3:$O$270=O271)*(HISTORIAL!$F$3:$F$270&lt;&gt;"")),HISTORIAL!$K$3:$K$270),"^",IF(K271&lt;LOOKUP(2,1/((HISTORIAL!$O$3:$O$270=O271)*(HISTORIAL!$F$3:$F$270&lt;&gt;"")),HISTORIAL!$K$3:$K$270),"v","-")),"-")),"-")</f>
        <v>-</v>
      </c>
      <c r="N271" s="54" t="str">
        <f>IFERROR(VLOOKUP(A271,CONFIG!$A$10:$B$21,2,0),"")</f>
        <v>HIP</v>
      </c>
      <c r="O271" s="55" t="str">
        <f t="shared" si="9"/>
        <v>Curl Biceps|Polea Baja Supino</v>
      </c>
      <c r="P271" s="69" t="str">
        <f>MARTES!AC104</f>
        <v/>
      </c>
    </row>
    <row r="272" spans="1:16" ht="14.1" customHeight="1">
      <c r="A272" s="37">
        <v>5</v>
      </c>
      <c r="B272" s="37" t="s">
        <v>278</v>
      </c>
      <c r="C272" s="44" t="str">
        <f>MARTES!$A$106</f>
        <v>Curl Muneca</v>
      </c>
      <c r="D272" s="45" t="str">
        <f>MARTES!$B$106</f>
        <v>Supinado</v>
      </c>
      <c r="E272" s="37" t="str">
        <f>MARTES!$C$106</f>
        <v>mancuerna</v>
      </c>
      <c r="F272" s="46" t="str">
        <f>IF(P272="","",IFERROR(CHOOSE(VALUE(RIGHT(P272,1)),MARTES!F106,MARTES!I106,MARTES!L106,MARTES!O106,MARTES!R106),""))</f>
        <v/>
      </c>
      <c r="G272" s="47" t="str">
        <f>IF(P272="","",IFERROR(CHOOSE(VALUE(RIGHT(P272,1)),MARTES!G106,MARTES!J106,MARTES!M106,MARTES!P106,MARTES!S106),""))</f>
        <v/>
      </c>
      <c r="H272" s="48" t="str">
        <f>IF(P272="","",IFERROR(CHOOSE(VALUE(RIGHT(P272,1)),MARTES!H106,MARTES!K106,MARTES!N106,MARTES!Q106,MARTES!T106),""))</f>
        <v/>
      </c>
      <c r="I272" s="49" t="str">
        <f t="shared" si="8"/>
        <v/>
      </c>
      <c r="J272" s="50" t="str">
        <f>IF(P272="","",IFERROR(ROUND(CHOOSE(VALUE(RIGHT(P272,1)),IF(MARTES!C106="peso_corporal",IF(ISNUMBER(MARTES!E106),MARTES!E106,0)+MARTES!F106,MARTES!F106)*MARTES!G106,IF(MARTES!C106="peso_corporal",IF(ISNUMBER(MARTES!E106),MARTES!E106,0)+MARTES!I106,MARTES!I106)*MARTES!J106,IF(MARTES!C106="peso_corporal",IF(ISNUMBER(MARTES!E106),MARTES!E106,0)+MARTES!L106,MARTES!L106)*MARTES!M106,IF(MARTES!C106="peso_corporal",IF(ISNUMBER(MARTES!E106),MARTES!E106,0)+MARTES!O106,MARTES!O106)*MARTES!P106,IF(MARTES!C106="peso_corporal",IF(ISNUMBER(MARTES!E106),MARTES!E106,0)+MARTES!R106,MARTES!R106)*MARTES!S106),1),""))</f>
        <v/>
      </c>
      <c r="K272" s="51" t="str">
        <f>IF(P272="","",IFERROR(ROUND(CHOOSE(VALUE(RIGHT(P272,1)),(IF(MARTES!C106="peso_corporal",IF(ISNUMBER(MARTES!E106),MARTES!E106,0)+MARTES!F106,MARTES!F106))*(1+MARTES!G106/30),(IF(MARTES!C106="peso_corporal",IF(ISNUMBER(MARTES!E106),MARTES!E106,0)+MARTES!I106,MARTES!I106))*(1+MARTES!J106/30),(IF(MARTES!C106="peso_corporal",IF(ISNUMBER(MARTES!E106),MARTES!E106,0)+MARTES!L106,MARTES!L106))*(1+MARTES!M106/30),(IF(MARTES!C106="peso_corporal",IF(ISNUMBER(MARTES!E106),MARTES!E106,0)+MARTES!O106,MARTES!O106))*(1+MARTES!P106/30),(IF(MARTES!C106="peso_corporal",IF(ISNUMBER(MARTES!E106),MARTES!E106,0)+MARTES!R106,MARTES!R106))*(1+MARTES!S106/30)),1),""))</f>
        <v/>
      </c>
      <c r="L272" s="52">
        <f>IFERROR(MARTES!E106,"")</f>
        <v>80</v>
      </c>
      <c r="M272" s="53" t="str">
        <f>IFERROR(IF(K272="","-",IF(ISNUMBER(LOOKUP(2,1/((HISTORIAL!$O$3:$O$271=O272)*(HISTORIAL!$F$3:$F$271&lt;&gt;"")),HISTORIAL!$K$3:$K$271)),IF(K272&gt;LOOKUP(2,1/((HISTORIAL!$O$3:$O$271=O272)*(HISTORIAL!$F$3:$F$271&lt;&gt;"")),HISTORIAL!$K$3:$K$271),"^",IF(K272&lt;LOOKUP(2,1/((HISTORIAL!$O$3:$O$271=O272)*(HISTORIAL!$F$3:$F$271&lt;&gt;"")),HISTORIAL!$K$3:$K$271),"v","-")),"-")),"-")</f>
        <v>-</v>
      </c>
      <c r="N272" s="54" t="str">
        <f>IFERROR(VLOOKUP(A272,CONFIG!$A$10:$B$21,2,0),"")</f>
        <v>HIP</v>
      </c>
      <c r="O272" s="55" t="str">
        <f t="shared" si="9"/>
        <v>Curl Muneca|Supinado</v>
      </c>
      <c r="P272" s="69" t="str">
        <f>MARTES!AC106</f>
        <v/>
      </c>
    </row>
    <row r="273" spans="1:16" ht="14.1" customHeight="1">
      <c r="A273" s="37">
        <v>5</v>
      </c>
      <c r="B273" s="37" t="s">
        <v>278</v>
      </c>
      <c r="C273" s="44" t="str">
        <f>MARTES!$A$107</f>
        <v>Curl Muneca</v>
      </c>
      <c r="D273" s="45" t="str">
        <f>MARTES!$B$107</f>
        <v>Pronado</v>
      </c>
      <c r="E273" s="37" t="str">
        <f>MARTES!$C$107</f>
        <v>mancuerna</v>
      </c>
      <c r="F273" s="46" t="str">
        <f>IF(P273="","",IFERROR(CHOOSE(VALUE(RIGHT(P273,1)),MARTES!F107,MARTES!I107,MARTES!L107,MARTES!O107,MARTES!R107),""))</f>
        <v/>
      </c>
      <c r="G273" s="47" t="str">
        <f>IF(P273="","",IFERROR(CHOOSE(VALUE(RIGHT(P273,1)),MARTES!G107,MARTES!J107,MARTES!M107,MARTES!P107,MARTES!S107),""))</f>
        <v/>
      </c>
      <c r="H273" s="48" t="str">
        <f>IF(P273="","",IFERROR(CHOOSE(VALUE(RIGHT(P273,1)),MARTES!H107,MARTES!K107,MARTES!N107,MARTES!Q107,MARTES!T107),""))</f>
        <v/>
      </c>
      <c r="I273" s="49" t="str">
        <f t="shared" si="8"/>
        <v/>
      </c>
      <c r="J273" s="50" t="str">
        <f>IF(P273="","",IFERROR(ROUND(CHOOSE(VALUE(RIGHT(P273,1)),IF(MARTES!C107="peso_corporal",IF(ISNUMBER(MARTES!E107),MARTES!E107,0)+MARTES!F107,MARTES!F107)*MARTES!G107,IF(MARTES!C107="peso_corporal",IF(ISNUMBER(MARTES!E107),MARTES!E107,0)+MARTES!I107,MARTES!I107)*MARTES!J107,IF(MARTES!C107="peso_corporal",IF(ISNUMBER(MARTES!E107),MARTES!E107,0)+MARTES!L107,MARTES!L107)*MARTES!M107,IF(MARTES!C107="peso_corporal",IF(ISNUMBER(MARTES!E107),MARTES!E107,0)+MARTES!O107,MARTES!O107)*MARTES!P107,IF(MARTES!C107="peso_corporal",IF(ISNUMBER(MARTES!E107),MARTES!E107,0)+MARTES!R107,MARTES!R107)*MARTES!S107),1),""))</f>
        <v/>
      </c>
      <c r="K273" s="51" t="str">
        <f>IF(P273="","",IFERROR(ROUND(CHOOSE(VALUE(RIGHT(P273,1)),(IF(MARTES!C107="peso_corporal",IF(ISNUMBER(MARTES!E107),MARTES!E107,0)+MARTES!F107,MARTES!F107))*(1+MARTES!G107/30),(IF(MARTES!C107="peso_corporal",IF(ISNUMBER(MARTES!E107),MARTES!E107,0)+MARTES!I107,MARTES!I107))*(1+MARTES!J107/30),(IF(MARTES!C107="peso_corporal",IF(ISNUMBER(MARTES!E107),MARTES!E107,0)+MARTES!L107,MARTES!L107))*(1+MARTES!M107/30),(IF(MARTES!C107="peso_corporal",IF(ISNUMBER(MARTES!E107),MARTES!E107,0)+MARTES!O107,MARTES!O107))*(1+MARTES!P107/30),(IF(MARTES!C107="peso_corporal",IF(ISNUMBER(MARTES!E107),MARTES!E107,0)+MARTES!R107,MARTES!R107))*(1+MARTES!S107/30)),1),""))</f>
        <v/>
      </c>
      <c r="L273" s="52">
        <f>IFERROR(MARTES!E107,"")</f>
        <v>80</v>
      </c>
      <c r="M273" s="53" t="str">
        <f>IFERROR(IF(K273="","-",IF(ISNUMBER(LOOKUP(2,1/((HISTORIAL!$O$3:$O$272=O273)*(HISTORIAL!$F$3:$F$272&lt;&gt;"")),HISTORIAL!$K$3:$K$272)),IF(K273&gt;LOOKUP(2,1/((HISTORIAL!$O$3:$O$272=O273)*(HISTORIAL!$F$3:$F$272&lt;&gt;"")),HISTORIAL!$K$3:$K$272),"^",IF(K273&lt;LOOKUP(2,1/((HISTORIAL!$O$3:$O$272=O273)*(HISTORIAL!$F$3:$F$272&lt;&gt;"")),HISTORIAL!$K$3:$K$272),"v","-")),"-")),"-")</f>
        <v>-</v>
      </c>
      <c r="N273" s="54" t="str">
        <f>IFERROR(VLOOKUP(A273,CONFIG!$A$10:$B$21,2,0),"")</f>
        <v>HIP</v>
      </c>
      <c r="O273" s="55" t="str">
        <f t="shared" si="9"/>
        <v>Curl Muneca|Pronado</v>
      </c>
      <c r="P273" s="69" t="str">
        <f>MARTES!AC107</f>
        <v/>
      </c>
    </row>
    <row r="274" spans="1:16" ht="14.1" customHeight="1">
      <c r="A274" s="37">
        <v>5</v>
      </c>
      <c r="B274" s="37" t="s">
        <v>278</v>
      </c>
      <c r="C274" s="44" t="str">
        <f>MARTES!$A$109</f>
        <v>Farmer Carry</v>
      </c>
      <c r="D274" s="45" t="str">
        <f>MARTES!$B$109</f>
        <v>Libre</v>
      </c>
      <c r="E274" s="37" t="str">
        <f>MARTES!$C$109</f>
        <v>mancuerna</v>
      </c>
      <c r="F274" s="46" t="str">
        <f>IF(P274="","",IFERROR(CHOOSE(VALUE(RIGHT(P274,1)),MARTES!F109,MARTES!I109,MARTES!L109,MARTES!O109,MARTES!R109),""))</f>
        <v/>
      </c>
      <c r="G274" s="47" t="str">
        <f>IF(P274="","",IFERROR(CHOOSE(VALUE(RIGHT(P274,1)),MARTES!G109,MARTES!J109,MARTES!M109,MARTES!P109,MARTES!S109),""))</f>
        <v/>
      </c>
      <c r="H274" s="48" t="str">
        <f>IF(P274="","",IFERROR(CHOOSE(VALUE(RIGHT(P274,1)),MARTES!H109,MARTES!K109,MARTES!N109,MARTES!Q109,MARTES!T109),""))</f>
        <v/>
      </c>
      <c r="I274" s="49" t="str">
        <f t="shared" si="8"/>
        <v/>
      </c>
      <c r="J274" s="50" t="str">
        <f>IF(P274="","",IFERROR(ROUND(CHOOSE(VALUE(RIGHT(P274,1)),IF(MARTES!C109="peso_corporal",IF(ISNUMBER(MARTES!E109),MARTES!E109,0)+MARTES!F109,MARTES!F109)*MARTES!G109,IF(MARTES!C109="peso_corporal",IF(ISNUMBER(MARTES!E109),MARTES!E109,0)+MARTES!I109,MARTES!I109)*MARTES!J109,IF(MARTES!C109="peso_corporal",IF(ISNUMBER(MARTES!E109),MARTES!E109,0)+MARTES!L109,MARTES!L109)*MARTES!M109,IF(MARTES!C109="peso_corporal",IF(ISNUMBER(MARTES!E109),MARTES!E109,0)+MARTES!O109,MARTES!O109)*MARTES!P109,IF(MARTES!C109="peso_corporal",IF(ISNUMBER(MARTES!E109),MARTES!E109,0)+MARTES!R109,MARTES!R109)*MARTES!S109),1),""))</f>
        <v/>
      </c>
      <c r="K274" s="51" t="str">
        <f>IF(P274="","",IFERROR(ROUND(CHOOSE(VALUE(RIGHT(P274,1)),(IF(MARTES!C109="peso_corporal",IF(ISNUMBER(MARTES!E109),MARTES!E109,0)+MARTES!F109,MARTES!F109))*(1+MARTES!G109/30),(IF(MARTES!C109="peso_corporal",IF(ISNUMBER(MARTES!E109),MARTES!E109,0)+MARTES!I109,MARTES!I109))*(1+MARTES!J109/30),(IF(MARTES!C109="peso_corporal",IF(ISNUMBER(MARTES!E109),MARTES!E109,0)+MARTES!L109,MARTES!L109))*(1+MARTES!M109/30),(IF(MARTES!C109="peso_corporal",IF(ISNUMBER(MARTES!E109),MARTES!E109,0)+MARTES!O109,MARTES!O109))*(1+MARTES!P109/30),(IF(MARTES!C109="peso_corporal",IF(ISNUMBER(MARTES!E109),MARTES!E109,0)+MARTES!R109,MARTES!R109))*(1+MARTES!S109/30)),1),""))</f>
        <v/>
      </c>
      <c r="L274" s="52">
        <f>IFERROR(MARTES!E109,"")</f>
        <v>80</v>
      </c>
      <c r="M274" s="53" t="str">
        <f>IFERROR(IF(K274="","-",IF(ISNUMBER(LOOKUP(2,1/((HISTORIAL!$O$3:$O$273=O274)*(HISTORIAL!$F$3:$F$273&lt;&gt;"")),HISTORIAL!$K$3:$K$273)),IF(K274&gt;LOOKUP(2,1/((HISTORIAL!$O$3:$O$273=O274)*(HISTORIAL!$F$3:$F$273&lt;&gt;"")),HISTORIAL!$K$3:$K$273),"^",IF(K274&lt;LOOKUP(2,1/((HISTORIAL!$O$3:$O$273=O274)*(HISTORIAL!$F$3:$F$273&lt;&gt;"")),HISTORIAL!$K$3:$K$273),"v","-")),"-")),"-")</f>
        <v>-</v>
      </c>
      <c r="N274" s="54" t="str">
        <f>IFERROR(VLOOKUP(A274,CONFIG!$A$10:$B$21,2,0),"")</f>
        <v>HIP</v>
      </c>
      <c r="O274" s="55" t="str">
        <f t="shared" si="9"/>
        <v>Farmer Carry|Libre</v>
      </c>
      <c r="P274" s="69" t="str">
        <f>MARTES!AC109</f>
        <v/>
      </c>
    </row>
    <row r="275" spans="1:16" ht="14.1" customHeight="1">
      <c r="A275" s="37">
        <v>5</v>
      </c>
      <c r="B275" s="37" t="s">
        <v>278</v>
      </c>
      <c r="C275" s="44" t="str">
        <f>MARTES!$A$111</f>
        <v>Skullcrusher</v>
      </c>
      <c r="D275" s="45" t="str">
        <f>MARTES!$B$111</f>
        <v>Mancuerna Tumbado</v>
      </c>
      <c r="E275" s="37" t="str">
        <f>MARTES!$C$111</f>
        <v>--</v>
      </c>
      <c r="F275" s="46" t="str">
        <f>IF(P275="","",IFERROR(CHOOSE(VALUE(RIGHT(P275,1)),MARTES!F111,MARTES!I111,MARTES!L111,MARTES!O111,MARTES!R111),""))</f>
        <v/>
      </c>
      <c r="G275" s="47" t="str">
        <f>IF(P275="","",IFERROR(CHOOSE(VALUE(RIGHT(P275,1)),MARTES!G111,MARTES!J111,MARTES!M111,MARTES!P111,MARTES!S111),""))</f>
        <v/>
      </c>
      <c r="H275" s="48" t="str">
        <f>IF(P275="","",IFERROR(CHOOSE(VALUE(RIGHT(P275,1)),MARTES!H111,MARTES!K111,MARTES!N111,MARTES!Q111,MARTES!T111),""))</f>
        <v/>
      </c>
      <c r="I275" s="49" t="str">
        <f t="shared" si="8"/>
        <v/>
      </c>
      <c r="J275" s="50" t="str">
        <f>IF(P275="","",IFERROR(ROUND(CHOOSE(VALUE(RIGHT(P275,1)),IF(MARTES!C111="peso_corporal",IF(ISNUMBER(MARTES!E111),MARTES!E111,0)+MARTES!F111,MARTES!F111)*MARTES!G111,IF(MARTES!C111="peso_corporal",IF(ISNUMBER(MARTES!E111),MARTES!E111,0)+MARTES!I111,MARTES!I111)*MARTES!J111,IF(MARTES!C111="peso_corporal",IF(ISNUMBER(MARTES!E111),MARTES!E111,0)+MARTES!L111,MARTES!L111)*MARTES!M111,IF(MARTES!C111="peso_corporal",IF(ISNUMBER(MARTES!E111),MARTES!E111,0)+MARTES!O111,MARTES!O111)*MARTES!P111,IF(MARTES!C111="peso_corporal",IF(ISNUMBER(MARTES!E111),MARTES!E111,0)+MARTES!R111,MARTES!R111)*MARTES!S111),1),""))</f>
        <v/>
      </c>
      <c r="K275" s="51" t="str">
        <f>IF(P275="","",IFERROR(ROUND(CHOOSE(VALUE(RIGHT(P275,1)),(IF(MARTES!C111="peso_corporal",IF(ISNUMBER(MARTES!E111),MARTES!E111,0)+MARTES!F111,MARTES!F111))*(1+MARTES!G111/30),(IF(MARTES!C111="peso_corporal",IF(ISNUMBER(MARTES!E111),MARTES!E111,0)+MARTES!I111,MARTES!I111))*(1+MARTES!J111/30),(IF(MARTES!C111="peso_corporal",IF(ISNUMBER(MARTES!E111),MARTES!E111,0)+MARTES!L111,MARTES!L111))*(1+MARTES!M111/30),(IF(MARTES!C111="peso_corporal",IF(ISNUMBER(MARTES!E111),MARTES!E111,0)+MARTES!O111,MARTES!O111))*(1+MARTES!P111/30),(IF(MARTES!C111="peso_corporal",IF(ISNUMBER(MARTES!E111),MARTES!E111,0)+MARTES!R111,MARTES!R111))*(1+MARTES!S111/30)),1),""))</f>
        <v/>
      </c>
      <c r="L275" s="52">
        <f>IFERROR(MARTES!E111,"")</f>
        <v>80</v>
      </c>
      <c r="M275" s="53" t="str">
        <f>IFERROR(IF(K275="","-",IF(ISNUMBER(LOOKUP(2,1/((HISTORIAL!$O$3:$O$274=O275)*(HISTORIAL!$F$3:$F$274&lt;&gt;"")),HISTORIAL!$K$3:$K$274)),IF(K275&gt;LOOKUP(2,1/((HISTORIAL!$O$3:$O$274=O275)*(HISTORIAL!$F$3:$F$274&lt;&gt;"")),HISTORIAL!$K$3:$K$274),"^",IF(K275&lt;LOOKUP(2,1/((HISTORIAL!$O$3:$O$274=O275)*(HISTORIAL!$F$3:$F$274&lt;&gt;"")),HISTORIAL!$K$3:$K$274),"v","-")),"-")),"-")</f>
        <v>-</v>
      </c>
      <c r="N275" s="54" t="str">
        <f>IFERROR(VLOOKUP(A275,CONFIG!$A$10:$B$21,2,0),"")</f>
        <v>HIP</v>
      </c>
      <c r="O275" s="55" t="str">
        <f t="shared" si="9"/>
        <v>Skullcrusher|Mancuerna Tumbado</v>
      </c>
      <c r="P275" s="69" t="str">
        <f>MARTES!AC111</f>
        <v/>
      </c>
    </row>
    <row r="276" spans="1:16" ht="14.1" customHeight="1">
      <c r="A276" s="37">
        <v>5</v>
      </c>
      <c r="B276" s="37" t="s">
        <v>278</v>
      </c>
      <c r="C276" s="44" t="str">
        <f>MARTES!$A$113</f>
        <v>Crunch</v>
      </c>
      <c r="D276" s="45" t="str">
        <f>MARTES!$B$113</f>
        <v>Polea</v>
      </c>
      <c r="E276" s="37" t="str">
        <f>MARTES!$C$113</f>
        <v>polea</v>
      </c>
      <c r="F276" s="46" t="str">
        <f>IF(P276="","",IFERROR(CHOOSE(VALUE(RIGHT(P276,1)),MARTES!F113,MARTES!I113,MARTES!L113,MARTES!O113,MARTES!R113),""))</f>
        <v/>
      </c>
      <c r="G276" s="47" t="str">
        <f>IF(P276="","",IFERROR(CHOOSE(VALUE(RIGHT(P276,1)),MARTES!G113,MARTES!J113,MARTES!M113,MARTES!P113,MARTES!S113),""))</f>
        <v/>
      </c>
      <c r="H276" s="48" t="str">
        <f>IF(P276="","",IFERROR(CHOOSE(VALUE(RIGHT(P276,1)),MARTES!H113,MARTES!K113,MARTES!N113,MARTES!Q113,MARTES!T113),""))</f>
        <v/>
      </c>
      <c r="I276" s="49" t="str">
        <f t="shared" si="8"/>
        <v/>
      </c>
      <c r="J276" s="50" t="str">
        <f>IF(P276="","",IFERROR(ROUND(CHOOSE(VALUE(RIGHT(P276,1)),IF(MARTES!C113="peso_corporal",IF(ISNUMBER(MARTES!E113),MARTES!E113,0)+MARTES!F113,MARTES!F113)*MARTES!G113,IF(MARTES!C113="peso_corporal",IF(ISNUMBER(MARTES!E113),MARTES!E113,0)+MARTES!I113,MARTES!I113)*MARTES!J113,IF(MARTES!C113="peso_corporal",IF(ISNUMBER(MARTES!E113),MARTES!E113,0)+MARTES!L113,MARTES!L113)*MARTES!M113,IF(MARTES!C113="peso_corporal",IF(ISNUMBER(MARTES!E113),MARTES!E113,0)+MARTES!O113,MARTES!O113)*MARTES!P113,IF(MARTES!C113="peso_corporal",IF(ISNUMBER(MARTES!E113),MARTES!E113,0)+MARTES!R113,MARTES!R113)*MARTES!S113),1),""))</f>
        <v/>
      </c>
      <c r="K276" s="51" t="str">
        <f>IF(P276="","",IFERROR(ROUND(CHOOSE(VALUE(RIGHT(P276,1)),(IF(MARTES!C113="peso_corporal",IF(ISNUMBER(MARTES!E113),MARTES!E113,0)+MARTES!F113,MARTES!F113))*(1+MARTES!G113/30),(IF(MARTES!C113="peso_corporal",IF(ISNUMBER(MARTES!E113),MARTES!E113,0)+MARTES!I113,MARTES!I113))*(1+MARTES!J113/30),(IF(MARTES!C113="peso_corporal",IF(ISNUMBER(MARTES!E113),MARTES!E113,0)+MARTES!L113,MARTES!L113))*(1+MARTES!M113/30),(IF(MARTES!C113="peso_corporal",IF(ISNUMBER(MARTES!E113),MARTES!E113,0)+MARTES!O113,MARTES!O113))*(1+MARTES!P113/30),(IF(MARTES!C113="peso_corporal",IF(ISNUMBER(MARTES!E113),MARTES!E113,0)+MARTES!R113,MARTES!R113))*(1+MARTES!S113/30)),1),""))</f>
        <v/>
      </c>
      <c r="L276" s="52">
        <f>IFERROR(MARTES!E113,"")</f>
        <v>80</v>
      </c>
      <c r="M276" s="53" t="str">
        <f>IFERROR(IF(K276="","-",IF(ISNUMBER(LOOKUP(2,1/((HISTORIAL!$O$3:$O$275=O276)*(HISTORIAL!$F$3:$F$275&lt;&gt;"")),HISTORIAL!$K$3:$K$275)),IF(K276&gt;LOOKUP(2,1/((HISTORIAL!$O$3:$O$275=O276)*(HISTORIAL!$F$3:$F$275&lt;&gt;"")),HISTORIAL!$K$3:$K$275),"^",IF(K276&lt;LOOKUP(2,1/((HISTORIAL!$O$3:$O$275=O276)*(HISTORIAL!$F$3:$F$275&lt;&gt;"")),HISTORIAL!$K$3:$K$275),"v","-")),"-")),"-")</f>
        <v>-</v>
      </c>
      <c r="N276" s="54" t="str">
        <f>IFERROR(VLOOKUP(A276,CONFIG!$A$10:$B$21,2,0),"")</f>
        <v>HIP</v>
      </c>
      <c r="O276" s="55" t="str">
        <f t="shared" si="9"/>
        <v>Crunch|Polea</v>
      </c>
      <c r="P276" s="69" t="str">
        <f>MARTES!AC113</f>
        <v/>
      </c>
    </row>
    <row r="277" spans="1:16" ht="14.1" customHeight="1">
      <c r="A277" s="37">
        <v>5</v>
      </c>
      <c r="B277" s="37" t="s">
        <v>279</v>
      </c>
      <c r="C277" s="44" t="str">
        <f>MIERCOLES!$A$100</f>
        <v>Curl Femoral</v>
      </c>
      <c r="D277" s="45" t="str">
        <f>MIERCOLES!$B$100</f>
        <v>Tumbado Maquina</v>
      </c>
      <c r="E277" s="37" t="str">
        <f>MIERCOLES!$C$100</f>
        <v>polea</v>
      </c>
      <c r="F277" s="46" t="str">
        <f>IF(P277="","",IFERROR(CHOOSE(VALUE(RIGHT(P277,1)),MIERCOLES!F100,MIERCOLES!I100,MIERCOLES!L100,MIERCOLES!O100,MIERCOLES!R100),""))</f>
        <v/>
      </c>
      <c r="G277" s="47" t="str">
        <f>IF(P277="","",IFERROR(CHOOSE(VALUE(RIGHT(P277,1)),MIERCOLES!G100,MIERCOLES!J100,MIERCOLES!M100,MIERCOLES!P100,MIERCOLES!S100),""))</f>
        <v/>
      </c>
      <c r="H277" s="48" t="str">
        <f>IF(P277="","",IFERROR(CHOOSE(VALUE(RIGHT(P277,1)),MIERCOLES!H100,MIERCOLES!K100,MIERCOLES!N100,MIERCOLES!Q100,MIERCOLES!T100),""))</f>
        <v/>
      </c>
      <c r="I277" s="49" t="str">
        <f t="shared" si="8"/>
        <v/>
      </c>
      <c r="J277" s="50" t="str">
        <f>IF(P277="","",IFERROR(ROUND(CHOOSE(VALUE(RIGHT(P277,1)),IF(MIERCOLES!C100="peso_corporal",IF(ISNUMBER(MIERCOLES!E100),MIERCOLES!E100,0)+MIERCOLES!F100,MIERCOLES!F100)*MIERCOLES!G100,IF(MIERCOLES!C100="peso_corporal",IF(ISNUMBER(MIERCOLES!E100),MIERCOLES!E100,0)+MIERCOLES!I100,MIERCOLES!I100)*MIERCOLES!J100,IF(MIERCOLES!C100="peso_corporal",IF(ISNUMBER(MIERCOLES!E100),MIERCOLES!E100,0)+MIERCOLES!L100,MIERCOLES!L100)*MIERCOLES!M100,IF(MIERCOLES!C100="peso_corporal",IF(ISNUMBER(MIERCOLES!E100),MIERCOLES!E100,0)+MIERCOLES!O100,MIERCOLES!O100)*MIERCOLES!P100,IF(MIERCOLES!C100="peso_corporal",IF(ISNUMBER(MIERCOLES!E100),MIERCOLES!E100,0)+MIERCOLES!R100,MIERCOLES!R100)*MIERCOLES!S100),1),""))</f>
        <v/>
      </c>
      <c r="K277" s="51" t="str">
        <f>IF(P277="","",IFERROR(ROUND(CHOOSE(VALUE(RIGHT(P277,1)),(IF(MIERCOLES!C100="peso_corporal",IF(ISNUMBER(MIERCOLES!E100),MIERCOLES!E100,0)+MIERCOLES!F100,MIERCOLES!F100))*(1+MIERCOLES!G100/30),(IF(MIERCOLES!C100="peso_corporal",IF(ISNUMBER(MIERCOLES!E100),MIERCOLES!E100,0)+MIERCOLES!I100,MIERCOLES!I100))*(1+MIERCOLES!J100/30),(IF(MIERCOLES!C100="peso_corporal",IF(ISNUMBER(MIERCOLES!E100),MIERCOLES!E100,0)+MIERCOLES!L100,MIERCOLES!L100))*(1+MIERCOLES!M100/30),(IF(MIERCOLES!C100="peso_corporal",IF(ISNUMBER(MIERCOLES!E100),MIERCOLES!E100,0)+MIERCOLES!O100,MIERCOLES!O100))*(1+MIERCOLES!P100/30),(IF(MIERCOLES!C100="peso_corporal",IF(ISNUMBER(MIERCOLES!E100),MIERCOLES!E100,0)+MIERCOLES!R100,MIERCOLES!R100))*(1+MIERCOLES!S100/30)),1),""))</f>
        <v/>
      </c>
      <c r="L277" s="52">
        <f>IFERROR(MIERCOLES!E100,"")</f>
        <v>80</v>
      </c>
      <c r="M277" s="53" t="str">
        <f>IFERROR(IF(K277="","-",IF(ISNUMBER(LOOKUP(2,1/((HISTORIAL!$O$3:$O$276=O277)*(HISTORIAL!$F$3:$F$276&lt;&gt;"")),HISTORIAL!$K$3:$K$276)),IF(K277&gt;LOOKUP(2,1/((HISTORIAL!$O$3:$O$276=O277)*(HISTORIAL!$F$3:$F$276&lt;&gt;"")),HISTORIAL!$K$3:$K$276),"^",IF(K277&lt;LOOKUP(2,1/((HISTORIAL!$O$3:$O$276=O277)*(HISTORIAL!$F$3:$F$276&lt;&gt;"")),HISTORIAL!$K$3:$K$276),"v","-")),"-")),"-")</f>
        <v>-</v>
      </c>
      <c r="N277" s="54" t="str">
        <f>IFERROR(VLOOKUP(A277,CONFIG!$A$10:$B$21,2,0),"")</f>
        <v>HIP</v>
      </c>
      <c r="O277" s="55" t="str">
        <f t="shared" si="9"/>
        <v>Curl Femoral|Tumbado Maquina</v>
      </c>
      <c r="P277" s="69" t="str">
        <f>MIERCOLES!AC100</f>
        <v/>
      </c>
    </row>
    <row r="278" spans="1:16" ht="14.1" customHeight="1">
      <c r="A278" s="37">
        <v>5</v>
      </c>
      <c r="B278" s="37" t="s">
        <v>279</v>
      </c>
      <c r="C278" s="44" t="str">
        <f>MIERCOLES!$A$101</f>
        <v>Curl Femoral</v>
      </c>
      <c r="D278" s="45" t="str">
        <f>MIERCOLES!$B$101</f>
        <v>Sentado Maquina</v>
      </c>
      <c r="E278" s="37" t="str">
        <f>MIERCOLES!$C$101</f>
        <v>polea</v>
      </c>
      <c r="F278" s="46" t="str">
        <f>IF(P278="","",IFERROR(CHOOSE(VALUE(RIGHT(P278,1)),MIERCOLES!F101,MIERCOLES!I101,MIERCOLES!L101,MIERCOLES!O101,MIERCOLES!R101),""))</f>
        <v/>
      </c>
      <c r="G278" s="47" t="str">
        <f>IF(P278="","",IFERROR(CHOOSE(VALUE(RIGHT(P278,1)),MIERCOLES!G101,MIERCOLES!J101,MIERCOLES!M101,MIERCOLES!P101,MIERCOLES!S101),""))</f>
        <v/>
      </c>
      <c r="H278" s="48" t="str">
        <f>IF(P278="","",IFERROR(CHOOSE(VALUE(RIGHT(P278,1)),MIERCOLES!H101,MIERCOLES!K101,MIERCOLES!N101,MIERCOLES!Q101,MIERCOLES!T101),""))</f>
        <v/>
      </c>
      <c r="I278" s="49" t="str">
        <f t="shared" si="8"/>
        <v/>
      </c>
      <c r="J278" s="50" t="str">
        <f>IF(P278="","",IFERROR(ROUND(CHOOSE(VALUE(RIGHT(P278,1)),IF(MIERCOLES!C101="peso_corporal",IF(ISNUMBER(MIERCOLES!E101),MIERCOLES!E101,0)+MIERCOLES!F101,MIERCOLES!F101)*MIERCOLES!G101,IF(MIERCOLES!C101="peso_corporal",IF(ISNUMBER(MIERCOLES!E101),MIERCOLES!E101,0)+MIERCOLES!I101,MIERCOLES!I101)*MIERCOLES!J101,IF(MIERCOLES!C101="peso_corporal",IF(ISNUMBER(MIERCOLES!E101),MIERCOLES!E101,0)+MIERCOLES!L101,MIERCOLES!L101)*MIERCOLES!M101,IF(MIERCOLES!C101="peso_corporal",IF(ISNUMBER(MIERCOLES!E101),MIERCOLES!E101,0)+MIERCOLES!O101,MIERCOLES!O101)*MIERCOLES!P101,IF(MIERCOLES!C101="peso_corporal",IF(ISNUMBER(MIERCOLES!E101),MIERCOLES!E101,0)+MIERCOLES!R101,MIERCOLES!R101)*MIERCOLES!S101),1),""))</f>
        <v/>
      </c>
      <c r="K278" s="51" t="str">
        <f>IF(P278="","",IFERROR(ROUND(CHOOSE(VALUE(RIGHT(P278,1)),(IF(MIERCOLES!C101="peso_corporal",IF(ISNUMBER(MIERCOLES!E101),MIERCOLES!E101,0)+MIERCOLES!F101,MIERCOLES!F101))*(1+MIERCOLES!G101/30),(IF(MIERCOLES!C101="peso_corporal",IF(ISNUMBER(MIERCOLES!E101),MIERCOLES!E101,0)+MIERCOLES!I101,MIERCOLES!I101))*(1+MIERCOLES!J101/30),(IF(MIERCOLES!C101="peso_corporal",IF(ISNUMBER(MIERCOLES!E101),MIERCOLES!E101,0)+MIERCOLES!L101,MIERCOLES!L101))*(1+MIERCOLES!M101/30),(IF(MIERCOLES!C101="peso_corporal",IF(ISNUMBER(MIERCOLES!E101),MIERCOLES!E101,0)+MIERCOLES!O101,MIERCOLES!O101))*(1+MIERCOLES!P101/30),(IF(MIERCOLES!C101="peso_corporal",IF(ISNUMBER(MIERCOLES!E101),MIERCOLES!E101,0)+MIERCOLES!R101,MIERCOLES!R101))*(1+MIERCOLES!S101/30)),1),""))</f>
        <v/>
      </c>
      <c r="L278" s="52">
        <f>IFERROR(MIERCOLES!E101,"")</f>
        <v>80</v>
      </c>
      <c r="M278" s="53" t="str">
        <f>IFERROR(IF(K278="","-",IF(ISNUMBER(LOOKUP(2,1/((HISTORIAL!$O$3:$O$277=O278)*(HISTORIAL!$F$3:$F$277&lt;&gt;"")),HISTORIAL!$K$3:$K$277)),IF(K278&gt;LOOKUP(2,1/((HISTORIAL!$O$3:$O$277=O278)*(HISTORIAL!$F$3:$F$277&lt;&gt;"")),HISTORIAL!$K$3:$K$277),"^",IF(K278&lt;LOOKUP(2,1/((HISTORIAL!$O$3:$O$277=O278)*(HISTORIAL!$F$3:$F$277&lt;&gt;"")),HISTORIAL!$K$3:$K$277),"v","-")),"-")),"-")</f>
        <v>-</v>
      </c>
      <c r="N278" s="54" t="str">
        <f>IFERROR(VLOOKUP(A278,CONFIG!$A$10:$B$21,2,0),"")</f>
        <v>HIP</v>
      </c>
      <c r="O278" s="55" t="str">
        <f t="shared" si="9"/>
        <v>Curl Femoral|Sentado Maquina</v>
      </c>
      <c r="P278" s="69" t="str">
        <f>MIERCOLES!AC101</f>
        <v/>
      </c>
    </row>
    <row r="279" spans="1:16" ht="14.1" customHeight="1">
      <c r="A279" s="37">
        <v>5</v>
      </c>
      <c r="B279" s="37" t="s">
        <v>279</v>
      </c>
      <c r="C279" s="44" t="str">
        <f>MIERCOLES!$A$102</f>
        <v>Curl Rumano</v>
      </c>
      <c r="D279" s="45" t="str">
        <f>MIERCOLES!$B$102</f>
        <v>Mancuernas</v>
      </c>
      <c r="E279" s="37" t="str">
        <f>MIERCOLES!$C$102</f>
        <v>mancuerna</v>
      </c>
      <c r="F279" s="46" t="str">
        <f>IF(P279="","",IFERROR(CHOOSE(VALUE(RIGHT(P279,1)),MIERCOLES!F102,MIERCOLES!I102,MIERCOLES!L102,MIERCOLES!O102,MIERCOLES!R102),""))</f>
        <v/>
      </c>
      <c r="G279" s="47" t="str">
        <f>IF(P279="","",IFERROR(CHOOSE(VALUE(RIGHT(P279,1)),MIERCOLES!G102,MIERCOLES!J102,MIERCOLES!M102,MIERCOLES!P102,MIERCOLES!S102),""))</f>
        <v/>
      </c>
      <c r="H279" s="48" t="str">
        <f>IF(P279="","",IFERROR(CHOOSE(VALUE(RIGHT(P279,1)),MIERCOLES!H102,MIERCOLES!K102,MIERCOLES!N102,MIERCOLES!Q102,MIERCOLES!T102),""))</f>
        <v/>
      </c>
      <c r="I279" s="49" t="str">
        <f t="shared" si="8"/>
        <v/>
      </c>
      <c r="J279" s="50" t="str">
        <f>IF(P279="","",IFERROR(ROUND(CHOOSE(VALUE(RIGHT(P279,1)),IF(MIERCOLES!C102="peso_corporal",IF(ISNUMBER(MIERCOLES!E102),MIERCOLES!E102,0)+MIERCOLES!F102,MIERCOLES!F102)*MIERCOLES!G102,IF(MIERCOLES!C102="peso_corporal",IF(ISNUMBER(MIERCOLES!E102),MIERCOLES!E102,0)+MIERCOLES!I102,MIERCOLES!I102)*MIERCOLES!J102,IF(MIERCOLES!C102="peso_corporal",IF(ISNUMBER(MIERCOLES!E102),MIERCOLES!E102,0)+MIERCOLES!L102,MIERCOLES!L102)*MIERCOLES!M102,IF(MIERCOLES!C102="peso_corporal",IF(ISNUMBER(MIERCOLES!E102),MIERCOLES!E102,0)+MIERCOLES!O102,MIERCOLES!O102)*MIERCOLES!P102,IF(MIERCOLES!C102="peso_corporal",IF(ISNUMBER(MIERCOLES!E102),MIERCOLES!E102,0)+MIERCOLES!R102,MIERCOLES!R102)*MIERCOLES!S102),1),""))</f>
        <v/>
      </c>
      <c r="K279" s="51" t="str">
        <f>IF(P279="","",IFERROR(ROUND(CHOOSE(VALUE(RIGHT(P279,1)),(IF(MIERCOLES!C102="peso_corporal",IF(ISNUMBER(MIERCOLES!E102),MIERCOLES!E102,0)+MIERCOLES!F102,MIERCOLES!F102))*(1+MIERCOLES!G102/30),(IF(MIERCOLES!C102="peso_corporal",IF(ISNUMBER(MIERCOLES!E102),MIERCOLES!E102,0)+MIERCOLES!I102,MIERCOLES!I102))*(1+MIERCOLES!J102/30),(IF(MIERCOLES!C102="peso_corporal",IF(ISNUMBER(MIERCOLES!E102),MIERCOLES!E102,0)+MIERCOLES!L102,MIERCOLES!L102))*(1+MIERCOLES!M102/30),(IF(MIERCOLES!C102="peso_corporal",IF(ISNUMBER(MIERCOLES!E102),MIERCOLES!E102,0)+MIERCOLES!O102,MIERCOLES!O102))*(1+MIERCOLES!P102/30),(IF(MIERCOLES!C102="peso_corporal",IF(ISNUMBER(MIERCOLES!E102),MIERCOLES!E102,0)+MIERCOLES!R102,MIERCOLES!R102))*(1+MIERCOLES!S102/30)),1),""))</f>
        <v/>
      </c>
      <c r="L279" s="52">
        <f>IFERROR(MIERCOLES!E102,"")</f>
        <v>80</v>
      </c>
      <c r="M279" s="53" t="str">
        <f>IFERROR(IF(K279="","-",IF(ISNUMBER(LOOKUP(2,1/((HISTORIAL!$O$3:$O$278=O279)*(HISTORIAL!$F$3:$F$278&lt;&gt;"")),HISTORIAL!$K$3:$K$278)),IF(K279&gt;LOOKUP(2,1/((HISTORIAL!$O$3:$O$278=O279)*(HISTORIAL!$F$3:$F$278&lt;&gt;"")),HISTORIAL!$K$3:$K$278),"^",IF(K279&lt;LOOKUP(2,1/((HISTORIAL!$O$3:$O$278=O279)*(HISTORIAL!$F$3:$F$278&lt;&gt;"")),HISTORIAL!$K$3:$K$278),"v","-")),"-")),"-")</f>
        <v>-</v>
      </c>
      <c r="N279" s="54" t="str">
        <f>IFERROR(VLOOKUP(A279,CONFIG!$A$10:$B$21,2,0),"")</f>
        <v>HIP</v>
      </c>
      <c r="O279" s="55" t="str">
        <f t="shared" si="9"/>
        <v>Curl Rumano|Mancuernas</v>
      </c>
      <c r="P279" s="69" t="str">
        <f>MIERCOLES!AC102</f>
        <v/>
      </c>
    </row>
    <row r="280" spans="1:16" ht="14.1" customHeight="1">
      <c r="A280" s="37">
        <v>5</v>
      </c>
      <c r="B280" s="37" t="s">
        <v>279</v>
      </c>
      <c r="C280" s="44" t="str">
        <f>MIERCOLES!$A$104</f>
        <v>Sentadilla</v>
      </c>
      <c r="D280" s="45" t="str">
        <f>MIERCOLES!$B$104</f>
        <v>Multipower Cuna Talones</v>
      </c>
      <c r="E280" s="37" t="str">
        <f>MIERCOLES!$C$104</f>
        <v>--</v>
      </c>
      <c r="F280" s="46" t="str">
        <f>IF(P280="","",IFERROR(CHOOSE(VALUE(RIGHT(P280,1)),MIERCOLES!F104,MIERCOLES!I104,MIERCOLES!L104,MIERCOLES!O104,MIERCOLES!R104),""))</f>
        <v/>
      </c>
      <c r="G280" s="47" t="str">
        <f>IF(P280="","",IFERROR(CHOOSE(VALUE(RIGHT(P280,1)),MIERCOLES!G104,MIERCOLES!J104,MIERCOLES!M104,MIERCOLES!P104,MIERCOLES!S104),""))</f>
        <v/>
      </c>
      <c r="H280" s="48" t="str">
        <f>IF(P280="","",IFERROR(CHOOSE(VALUE(RIGHT(P280,1)),MIERCOLES!H104,MIERCOLES!K104,MIERCOLES!N104,MIERCOLES!Q104,MIERCOLES!T104),""))</f>
        <v/>
      </c>
      <c r="I280" s="49" t="str">
        <f t="shared" si="8"/>
        <v/>
      </c>
      <c r="J280" s="50" t="str">
        <f>IF(P280="","",IFERROR(ROUND(CHOOSE(VALUE(RIGHT(P280,1)),IF(MIERCOLES!C104="peso_corporal",IF(ISNUMBER(MIERCOLES!E104),MIERCOLES!E104,0)+MIERCOLES!F104,MIERCOLES!F104)*MIERCOLES!G104,IF(MIERCOLES!C104="peso_corporal",IF(ISNUMBER(MIERCOLES!E104),MIERCOLES!E104,0)+MIERCOLES!I104,MIERCOLES!I104)*MIERCOLES!J104,IF(MIERCOLES!C104="peso_corporal",IF(ISNUMBER(MIERCOLES!E104),MIERCOLES!E104,0)+MIERCOLES!L104,MIERCOLES!L104)*MIERCOLES!M104,IF(MIERCOLES!C104="peso_corporal",IF(ISNUMBER(MIERCOLES!E104),MIERCOLES!E104,0)+MIERCOLES!O104,MIERCOLES!O104)*MIERCOLES!P104,IF(MIERCOLES!C104="peso_corporal",IF(ISNUMBER(MIERCOLES!E104),MIERCOLES!E104,0)+MIERCOLES!R104,MIERCOLES!R104)*MIERCOLES!S104),1),""))</f>
        <v/>
      </c>
      <c r="K280" s="51" t="str">
        <f>IF(P280="","",IFERROR(ROUND(CHOOSE(VALUE(RIGHT(P280,1)),(IF(MIERCOLES!C104="peso_corporal",IF(ISNUMBER(MIERCOLES!E104),MIERCOLES!E104,0)+MIERCOLES!F104,MIERCOLES!F104))*(1+MIERCOLES!G104/30),(IF(MIERCOLES!C104="peso_corporal",IF(ISNUMBER(MIERCOLES!E104),MIERCOLES!E104,0)+MIERCOLES!I104,MIERCOLES!I104))*(1+MIERCOLES!J104/30),(IF(MIERCOLES!C104="peso_corporal",IF(ISNUMBER(MIERCOLES!E104),MIERCOLES!E104,0)+MIERCOLES!L104,MIERCOLES!L104))*(1+MIERCOLES!M104/30),(IF(MIERCOLES!C104="peso_corporal",IF(ISNUMBER(MIERCOLES!E104),MIERCOLES!E104,0)+MIERCOLES!O104,MIERCOLES!O104))*(1+MIERCOLES!P104/30),(IF(MIERCOLES!C104="peso_corporal",IF(ISNUMBER(MIERCOLES!E104),MIERCOLES!E104,0)+MIERCOLES!R104,MIERCOLES!R104))*(1+MIERCOLES!S104/30)),1),""))</f>
        <v/>
      </c>
      <c r="L280" s="52">
        <f>IFERROR(MIERCOLES!E104,"")</f>
        <v>80</v>
      </c>
      <c r="M280" s="53" t="str">
        <f>IFERROR(IF(K280="","-",IF(ISNUMBER(LOOKUP(2,1/((HISTORIAL!$O$3:$O$279=O280)*(HISTORIAL!$F$3:$F$279&lt;&gt;"")),HISTORIAL!$K$3:$K$279)),IF(K280&gt;LOOKUP(2,1/((HISTORIAL!$O$3:$O$279=O280)*(HISTORIAL!$F$3:$F$279&lt;&gt;"")),HISTORIAL!$K$3:$K$279),"^",IF(K280&lt;LOOKUP(2,1/((HISTORIAL!$O$3:$O$279=O280)*(HISTORIAL!$F$3:$F$279&lt;&gt;"")),HISTORIAL!$K$3:$K$279),"v","-")),"-")),"-")</f>
        <v>-</v>
      </c>
      <c r="N280" s="54" t="str">
        <f>IFERROR(VLOOKUP(A280,CONFIG!$A$10:$B$21,2,0),"")</f>
        <v>HIP</v>
      </c>
      <c r="O280" s="55" t="str">
        <f t="shared" si="9"/>
        <v>Sentadilla|Multipower Cuna Talones</v>
      </c>
      <c r="P280" s="69" t="str">
        <f>MIERCOLES!AC104</f>
        <v/>
      </c>
    </row>
    <row r="281" spans="1:16" ht="14.1" customHeight="1">
      <c r="A281" s="37">
        <v>5</v>
      </c>
      <c r="B281" s="37" t="s">
        <v>279</v>
      </c>
      <c r="C281" s="44" t="str">
        <f>MIERCOLES!$A$105</f>
        <v>Prensa Pierna</v>
      </c>
      <c r="D281" s="45" t="str">
        <f>MIERCOLES!$B$105</f>
        <v>Individual Horizontal</v>
      </c>
      <c r="E281" s="37" t="str">
        <f>MIERCOLES!$C$105</f>
        <v>--</v>
      </c>
      <c r="F281" s="46" t="str">
        <f>IF(P281="","",IFERROR(CHOOSE(VALUE(RIGHT(P281,1)),MIERCOLES!F105,MIERCOLES!I105,MIERCOLES!L105,MIERCOLES!O105,MIERCOLES!R105),""))</f>
        <v/>
      </c>
      <c r="G281" s="47" t="str">
        <f>IF(P281="","",IFERROR(CHOOSE(VALUE(RIGHT(P281,1)),MIERCOLES!G105,MIERCOLES!J105,MIERCOLES!M105,MIERCOLES!P105,MIERCOLES!S105),""))</f>
        <v/>
      </c>
      <c r="H281" s="48" t="str">
        <f>IF(P281="","",IFERROR(CHOOSE(VALUE(RIGHT(P281,1)),MIERCOLES!H105,MIERCOLES!K105,MIERCOLES!N105,MIERCOLES!Q105,MIERCOLES!T105),""))</f>
        <v/>
      </c>
      <c r="I281" s="49" t="str">
        <f t="shared" si="8"/>
        <v/>
      </c>
      <c r="J281" s="50" t="str">
        <f>IF(P281="","",IFERROR(ROUND(CHOOSE(VALUE(RIGHT(P281,1)),IF(MIERCOLES!C105="peso_corporal",IF(ISNUMBER(MIERCOLES!E105),MIERCOLES!E105,0)+MIERCOLES!F105,MIERCOLES!F105)*MIERCOLES!G105,IF(MIERCOLES!C105="peso_corporal",IF(ISNUMBER(MIERCOLES!E105),MIERCOLES!E105,0)+MIERCOLES!I105,MIERCOLES!I105)*MIERCOLES!J105,IF(MIERCOLES!C105="peso_corporal",IF(ISNUMBER(MIERCOLES!E105),MIERCOLES!E105,0)+MIERCOLES!L105,MIERCOLES!L105)*MIERCOLES!M105,IF(MIERCOLES!C105="peso_corporal",IF(ISNUMBER(MIERCOLES!E105),MIERCOLES!E105,0)+MIERCOLES!O105,MIERCOLES!O105)*MIERCOLES!P105,IF(MIERCOLES!C105="peso_corporal",IF(ISNUMBER(MIERCOLES!E105),MIERCOLES!E105,0)+MIERCOLES!R105,MIERCOLES!R105)*MIERCOLES!S105),1),""))</f>
        <v/>
      </c>
      <c r="K281" s="51" t="str">
        <f>IF(P281="","",IFERROR(ROUND(CHOOSE(VALUE(RIGHT(P281,1)),(IF(MIERCOLES!C105="peso_corporal",IF(ISNUMBER(MIERCOLES!E105),MIERCOLES!E105,0)+MIERCOLES!F105,MIERCOLES!F105))*(1+MIERCOLES!G105/30),(IF(MIERCOLES!C105="peso_corporal",IF(ISNUMBER(MIERCOLES!E105),MIERCOLES!E105,0)+MIERCOLES!I105,MIERCOLES!I105))*(1+MIERCOLES!J105/30),(IF(MIERCOLES!C105="peso_corporal",IF(ISNUMBER(MIERCOLES!E105),MIERCOLES!E105,0)+MIERCOLES!L105,MIERCOLES!L105))*(1+MIERCOLES!M105/30),(IF(MIERCOLES!C105="peso_corporal",IF(ISNUMBER(MIERCOLES!E105),MIERCOLES!E105,0)+MIERCOLES!O105,MIERCOLES!O105))*(1+MIERCOLES!P105/30),(IF(MIERCOLES!C105="peso_corporal",IF(ISNUMBER(MIERCOLES!E105),MIERCOLES!E105,0)+MIERCOLES!R105,MIERCOLES!R105))*(1+MIERCOLES!S105/30)),1),""))</f>
        <v/>
      </c>
      <c r="L281" s="52">
        <f>IFERROR(MIERCOLES!E105,"")</f>
        <v>80</v>
      </c>
      <c r="M281" s="53" t="str">
        <f>IFERROR(IF(K281="","-",IF(ISNUMBER(LOOKUP(2,1/((HISTORIAL!$O$3:$O$280=O281)*(HISTORIAL!$F$3:$F$280&lt;&gt;"")),HISTORIAL!$K$3:$K$280)),IF(K281&gt;LOOKUP(2,1/((HISTORIAL!$O$3:$O$280=O281)*(HISTORIAL!$F$3:$F$280&lt;&gt;"")),HISTORIAL!$K$3:$K$280),"^",IF(K281&lt;LOOKUP(2,1/((HISTORIAL!$O$3:$O$280=O281)*(HISTORIAL!$F$3:$F$280&lt;&gt;"")),HISTORIAL!$K$3:$K$280),"v","-")),"-")),"-")</f>
        <v>-</v>
      </c>
      <c r="N281" s="54" t="str">
        <f>IFERROR(VLOOKUP(A281,CONFIG!$A$10:$B$21,2,0),"")</f>
        <v>HIP</v>
      </c>
      <c r="O281" s="55" t="str">
        <f t="shared" si="9"/>
        <v>Prensa Pierna|Individual Horizontal</v>
      </c>
      <c r="P281" s="69" t="str">
        <f>MIERCOLES!AC105</f>
        <v/>
      </c>
    </row>
    <row r="282" spans="1:16" ht="14.1" customHeight="1">
      <c r="A282" s="37">
        <v>5</v>
      </c>
      <c r="B282" s="37" t="s">
        <v>279</v>
      </c>
      <c r="C282" s="44" t="str">
        <f>MIERCOLES!$A$106</f>
        <v>Extension Cuadriceps</v>
      </c>
      <c r="D282" s="45" t="str">
        <f>MIERCOLES!$B$106</f>
        <v>Vasto Externo</v>
      </c>
      <c r="E282" s="37" t="str">
        <f>MIERCOLES!$C$106</f>
        <v>--</v>
      </c>
      <c r="F282" s="46" t="str">
        <f>IF(P282="","",IFERROR(CHOOSE(VALUE(RIGHT(P282,1)),MIERCOLES!F106,MIERCOLES!I106,MIERCOLES!L106,MIERCOLES!O106,MIERCOLES!R106),""))</f>
        <v/>
      </c>
      <c r="G282" s="47" t="str">
        <f>IF(P282="","",IFERROR(CHOOSE(VALUE(RIGHT(P282,1)),MIERCOLES!G106,MIERCOLES!J106,MIERCOLES!M106,MIERCOLES!P106,MIERCOLES!S106),""))</f>
        <v/>
      </c>
      <c r="H282" s="48" t="str">
        <f>IF(P282="","",IFERROR(CHOOSE(VALUE(RIGHT(P282,1)),MIERCOLES!H106,MIERCOLES!K106,MIERCOLES!N106,MIERCOLES!Q106,MIERCOLES!T106),""))</f>
        <v/>
      </c>
      <c r="I282" s="49" t="str">
        <f t="shared" si="8"/>
        <v/>
      </c>
      <c r="J282" s="50" t="str">
        <f>IF(P282="","",IFERROR(ROUND(CHOOSE(VALUE(RIGHT(P282,1)),IF(MIERCOLES!C106="peso_corporal",IF(ISNUMBER(MIERCOLES!E106),MIERCOLES!E106,0)+MIERCOLES!F106,MIERCOLES!F106)*MIERCOLES!G106,IF(MIERCOLES!C106="peso_corporal",IF(ISNUMBER(MIERCOLES!E106),MIERCOLES!E106,0)+MIERCOLES!I106,MIERCOLES!I106)*MIERCOLES!J106,IF(MIERCOLES!C106="peso_corporal",IF(ISNUMBER(MIERCOLES!E106),MIERCOLES!E106,0)+MIERCOLES!L106,MIERCOLES!L106)*MIERCOLES!M106,IF(MIERCOLES!C106="peso_corporal",IF(ISNUMBER(MIERCOLES!E106),MIERCOLES!E106,0)+MIERCOLES!O106,MIERCOLES!O106)*MIERCOLES!P106,IF(MIERCOLES!C106="peso_corporal",IF(ISNUMBER(MIERCOLES!E106),MIERCOLES!E106,0)+MIERCOLES!R106,MIERCOLES!R106)*MIERCOLES!S106),1),""))</f>
        <v/>
      </c>
      <c r="K282" s="51" t="str">
        <f>IF(P282="","",IFERROR(ROUND(CHOOSE(VALUE(RIGHT(P282,1)),(IF(MIERCOLES!C106="peso_corporal",IF(ISNUMBER(MIERCOLES!E106),MIERCOLES!E106,0)+MIERCOLES!F106,MIERCOLES!F106))*(1+MIERCOLES!G106/30),(IF(MIERCOLES!C106="peso_corporal",IF(ISNUMBER(MIERCOLES!E106),MIERCOLES!E106,0)+MIERCOLES!I106,MIERCOLES!I106))*(1+MIERCOLES!J106/30),(IF(MIERCOLES!C106="peso_corporal",IF(ISNUMBER(MIERCOLES!E106),MIERCOLES!E106,0)+MIERCOLES!L106,MIERCOLES!L106))*(1+MIERCOLES!M106/30),(IF(MIERCOLES!C106="peso_corporal",IF(ISNUMBER(MIERCOLES!E106),MIERCOLES!E106,0)+MIERCOLES!O106,MIERCOLES!O106))*(1+MIERCOLES!P106/30),(IF(MIERCOLES!C106="peso_corporal",IF(ISNUMBER(MIERCOLES!E106),MIERCOLES!E106,0)+MIERCOLES!R106,MIERCOLES!R106))*(1+MIERCOLES!S106/30)),1),""))</f>
        <v/>
      </c>
      <c r="L282" s="52">
        <f>IFERROR(MIERCOLES!E106,"")</f>
        <v>80</v>
      </c>
      <c r="M282" s="53" t="str">
        <f>IFERROR(IF(K282="","-",IF(ISNUMBER(LOOKUP(2,1/((HISTORIAL!$O$3:$O$281=O282)*(HISTORIAL!$F$3:$F$281&lt;&gt;"")),HISTORIAL!$K$3:$K$281)),IF(K282&gt;LOOKUP(2,1/((HISTORIAL!$O$3:$O$281=O282)*(HISTORIAL!$F$3:$F$281&lt;&gt;"")),HISTORIAL!$K$3:$K$281),"^",IF(K282&lt;LOOKUP(2,1/((HISTORIAL!$O$3:$O$281=O282)*(HISTORIAL!$F$3:$F$281&lt;&gt;"")),HISTORIAL!$K$3:$K$281),"v","-")),"-")),"-")</f>
        <v>-</v>
      </c>
      <c r="N282" s="54" t="str">
        <f>IFERROR(VLOOKUP(A282,CONFIG!$A$10:$B$21,2,0),"")</f>
        <v>HIP</v>
      </c>
      <c r="O282" s="55" t="str">
        <f t="shared" si="9"/>
        <v>Extension Cuadriceps|Vasto Externo</v>
      </c>
      <c r="P282" s="69" t="str">
        <f>MIERCOLES!AC106</f>
        <v/>
      </c>
    </row>
    <row r="283" spans="1:16" ht="14.1" customHeight="1">
      <c r="A283" s="37">
        <v>5</v>
      </c>
      <c r="B283" s="37" t="s">
        <v>279</v>
      </c>
      <c r="C283" s="44" t="str">
        <f>MIERCOLES!$A$107</f>
        <v>Extension Cuadriceps</v>
      </c>
      <c r="D283" s="45" t="str">
        <f>MIERCOLES!$B$107</f>
        <v>Vasto Interno</v>
      </c>
      <c r="E283" s="37" t="str">
        <f>MIERCOLES!$C$107</f>
        <v>--</v>
      </c>
      <c r="F283" s="46" t="str">
        <f>IF(P283="","",IFERROR(CHOOSE(VALUE(RIGHT(P283,1)),MIERCOLES!F107,MIERCOLES!I107,MIERCOLES!L107,MIERCOLES!O107,MIERCOLES!R107),""))</f>
        <v/>
      </c>
      <c r="G283" s="47" t="str">
        <f>IF(P283="","",IFERROR(CHOOSE(VALUE(RIGHT(P283,1)),MIERCOLES!G107,MIERCOLES!J107,MIERCOLES!M107,MIERCOLES!P107,MIERCOLES!S107),""))</f>
        <v/>
      </c>
      <c r="H283" s="48" t="str">
        <f>IF(P283="","",IFERROR(CHOOSE(VALUE(RIGHT(P283,1)),MIERCOLES!H107,MIERCOLES!K107,MIERCOLES!N107,MIERCOLES!Q107,MIERCOLES!T107),""))</f>
        <v/>
      </c>
      <c r="I283" s="49" t="str">
        <f t="shared" si="8"/>
        <v/>
      </c>
      <c r="J283" s="50" t="str">
        <f>IF(P283="","",IFERROR(ROUND(CHOOSE(VALUE(RIGHT(P283,1)),IF(MIERCOLES!C107="peso_corporal",IF(ISNUMBER(MIERCOLES!E107),MIERCOLES!E107,0)+MIERCOLES!F107,MIERCOLES!F107)*MIERCOLES!G107,IF(MIERCOLES!C107="peso_corporal",IF(ISNUMBER(MIERCOLES!E107),MIERCOLES!E107,0)+MIERCOLES!I107,MIERCOLES!I107)*MIERCOLES!J107,IF(MIERCOLES!C107="peso_corporal",IF(ISNUMBER(MIERCOLES!E107),MIERCOLES!E107,0)+MIERCOLES!L107,MIERCOLES!L107)*MIERCOLES!M107,IF(MIERCOLES!C107="peso_corporal",IF(ISNUMBER(MIERCOLES!E107),MIERCOLES!E107,0)+MIERCOLES!O107,MIERCOLES!O107)*MIERCOLES!P107,IF(MIERCOLES!C107="peso_corporal",IF(ISNUMBER(MIERCOLES!E107),MIERCOLES!E107,0)+MIERCOLES!R107,MIERCOLES!R107)*MIERCOLES!S107),1),""))</f>
        <v/>
      </c>
      <c r="K283" s="51" t="str">
        <f>IF(P283="","",IFERROR(ROUND(CHOOSE(VALUE(RIGHT(P283,1)),(IF(MIERCOLES!C107="peso_corporal",IF(ISNUMBER(MIERCOLES!E107),MIERCOLES!E107,0)+MIERCOLES!F107,MIERCOLES!F107))*(1+MIERCOLES!G107/30),(IF(MIERCOLES!C107="peso_corporal",IF(ISNUMBER(MIERCOLES!E107),MIERCOLES!E107,0)+MIERCOLES!I107,MIERCOLES!I107))*(1+MIERCOLES!J107/30),(IF(MIERCOLES!C107="peso_corporal",IF(ISNUMBER(MIERCOLES!E107),MIERCOLES!E107,0)+MIERCOLES!L107,MIERCOLES!L107))*(1+MIERCOLES!M107/30),(IF(MIERCOLES!C107="peso_corporal",IF(ISNUMBER(MIERCOLES!E107),MIERCOLES!E107,0)+MIERCOLES!O107,MIERCOLES!O107))*(1+MIERCOLES!P107/30),(IF(MIERCOLES!C107="peso_corporal",IF(ISNUMBER(MIERCOLES!E107),MIERCOLES!E107,0)+MIERCOLES!R107,MIERCOLES!R107))*(1+MIERCOLES!S107/30)),1),""))</f>
        <v/>
      </c>
      <c r="L283" s="52">
        <f>IFERROR(MIERCOLES!E107,"")</f>
        <v>80</v>
      </c>
      <c r="M283" s="53" t="str">
        <f>IFERROR(IF(K283="","-",IF(ISNUMBER(LOOKUP(2,1/((HISTORIAL!$O$3:$O$282=O283)*(HISTORIAL!$F$3:$F$282&lt;&gt;"")),HISTORIAL!$K$3:$K$282)),IF(K283&gt;LOOKUP(2,1/((HISTORIAL!$O$3:$O$282=O283)*(HISTORIAL!$F$3:$F$282&lt;&gt;"")),HISTORIAL!$K$3:$K$282),"^",IF(K283&lt;LOOKUP(2,1/((HISTORIAL!$O$3:$O$282=O283)*(HISTORIAL!$F$3:$F$282&lt;&gt;"")),HISTORIAL!$K$3:$K$282),"v","-")),"-")),"-")</f>
        <v>-</v>
      </c>
      <c r="N283" s="54" t="str">
        <f>IFERROR(VLOOKUP(A283,CONFIG!$A$10:$B$21,2,0),"")</f>
        <v>HIP</v>
      </c>
      <c r="O283" s="55" t="str">
        <f t="shared" si="9"/>
        <v>Extension Cuadriceps|Vasto Interno</v>
      </c>
      <c r="P283" s="69" t="str">
        <f>MIERCOLES!AC107</f>
        <v/>
      </c>
    </row>
    <row r="284" spans="1:16" ht="14.1" customHeight="1">
      <c r="A284" s="37">
        <v>5</v>
      </c>
      <c r="B284" s="37" t="s">
        <v>279</v>
      </c>
      <c r="C284" s="44" t="str">
        <f>MIERCOLES!$A$109</f>
        <v>Elevacion Gemelo</v>
      </c>
      <c r="D284" s="45" t="str">
        <f>MIERCOLES!$B$109</f>
        <v>Sentado</v>
      </c>
      <c r="E284" s="37" t="str">
        <f>MIERCOLES!$C$109</f>
        <v>disco</v>
      </c>
      <c r="F284" s="46" t="str">
        <f>IF(P284="","",IFERROR(CHOOSE(VALUE(RIGHT(P284,1)),MIERCOLES!F109,MIERCOLES!I109,MIERCOLES!L109,MIERCOLES!O109,MIERCOLES!R109),""))</f>
        <v/>
      </c>
      <c r="G284" s="47" t="str">
        <f>IF(P284="","",IFERROR(CHOOSE(VALUE(RIGHT(P284,1)),MIERCOLES!G109,MIERCOLES!J109,MIERCOLES!M109,MIERCOLES!P109,MIERCOLES!S109),""))</f>
        <v/>
      </c>
      <c r="H284" s="48" t="str">
        <f>IF(P284="","",IFERROR(CHOOSE(VALUE(RIGHT(P284,1)),MIERCOLES!H109,MIERCOLES!K109,MIERCOLES!N109,MIERCOLES!Q109,MIERCOLES!T109),""))</f>
        <v/>
      </c>
      <c r="I284" s="49" t="str">
        <f t="shared" si="8"/>
        <v/>
      </c>
      <c r="J284" s="50" t="str">
        <f>IF(P284="","",IFERROR(ROUND(CHOOSE(VALUE(RIGHT(P284,1)),IF(MIERCOLES!C109="peso_corporal",IF(ISNUMBER(MIERCOLES!E109),MIERCOLES!E109,0)+MIERCOLES!F109,MIERCOLES!F109)*MIERCOLES!G109,IF(MIERCOLES!C109="peso_corporal",IF(ISNUMBER(MIERCOLES!E109),MIERCOLES!E109,0)+MIERCOLES!I109,MIERCOLES!I109)*MIERCOLES!J109,IF(MIERCOLES!C109="peso_corporal",IF(ISNUMBER(MIERCOLES!E109),MIERCOLES!E109,0)+MIERCOLES!L109,MIERCOLES!L109)*MIERCOLES!M109,IF(MIERCOLES!C109="peso_corporal",IF(ISNUMBER(MIERCOLES!E109),MIERCOLES!E109,0)+MIERCOLES!O109,MIERCOLES!O109)*MIERCOLES!P109,IF(MIERCOLES!C109="peso_corporal",IF(ISNUMBER(MIERCOLES!E109),MIERCOLES!E109,0)+MIERCOLES!R109,MIERCOLES!R109)*MIERCOLES!S109),1),""))</f>
        <v/>
      </c>
      <c r="K284" s="51" t="str">
        <f>IF(P284="","",IFERROR(ROUND(CHOOSE(VALUE(RIGHT(P284,1)),(IF(MIERCOLES!C109="peso_corporal",IF(ISNUMBER(MIERCOLES!E109),MIERCOLES!E109,0)+MIERCOLES!F109,MIERCOLES!F109))*(1+MIERCOLES!G109/30),(IF(MIERCOLES!C109="peso_corporal",IF(ISNUMBER(MIERCOLES!E109),MIERCOLES!E109,0)+MIERCOLES!I109,MIERCOLES!I109))*(1+MIERCOLES!J109/30),(IF(MIERCOLES!C109="peso_corporal",IF(ISNUMBER(MIERCOLES!E109),MIERCOLES!E109,0)+MIERCOLES!L109,MIERCOLES!L109))*(1+MIERCOLES!M109/30),(IF(MIERCOLES!C109="peso_corporal",IF(ISNUMBER(MIERCOLES!E109),MIERCOLES!E109,0)+MIERCOLES!O109,MIERCOLES!O109))*(1+MIERCOLES!P109/30),(IF(MIERCOLES!C109="peso_corporal",IF(ISNUMBER(MIERCOLES!E109),MIERCOLES!E109,0)+MIERCOLES!R109,MIERCOLES!R109))*(1+MIERCOLES!S109/30)),1),""))</f>
        <v/>
      </c>
      <c r="L284" s="52">
        <f>IFERROR(MIERCOLES!E109,"")</f>
        <v>80</v>
      </c>
      <c r="M284" s="53" t="str">
        <f>IFERROR(IF(K284="","-",IF(ISNUMBER(LOOKUP(2,1/((HISTORIAL!$O$3:$O$283=O284)*(HISTORIAL!$F$3:$F$283&lt;&gt;"")),HISTORIAL!$K$3:$K$283)),IF(K284&gt;LOOKUP(2,1/((HISTORIAL!$O$3:$O$283=O284)*(HISTORIAL!$F$3:$F$283&lt;&gt;"")),HISTORIAL!$K$3:$K$283),"^",IF(K284&lt;LOOKUP(2,1/((HISTORIAL!$O$3:$O$283=O284)*(HISTORIAL!$F$3:$F$283&lt;&gt;"")),HISTORIAL!$K$3:$K$283),"v","-")),"-")),"-")</f>
        <v>-</v>
      </c>
      <c r="N284" s="54" t="str">
        <f>IFERROR(VLOOKUP(A284,CONFIG!$A$10:$B$21,2,0),"")</f>
        <v>HIP</v>
      </c>
      <c r="O284" s="55" t="str">
        <f t="shared" si="9"/>
        <v>Elevacion Gemelo|Sentado</v>
      </c>
      <c r="P284" s="69" t="str">
        <f>MIERCOLES!AC109</f>
        <v/>
      </c>
    </row>
    <row r="285" spans="1:16" ht="14.1" customHeight="1">
      <c r="A285" s="37">
        <v>5</v>
      </c>
      <c r="B285" s="37" t="s">
        <v>279</v>
      </c>
      <c r="C285" s="44" t="str">
        <f>MIERCOLES!$A$110</f>
        <v>Elevacion Gemelo</v>
      </c>
      <c r="D285" s="45" t="str">
        <f>MIERCOLES!$B$110</f>
        <v>De Pie</v>
      </c>
      <c r="E285" s="37" t="str">
        <f>MIERCOLES!$C$110</f>
        <v>disco</v>
      </c>
      <c r="F285" s="46" t="str">
        <f>IF(P285="","",IFERROR(CHOOSE(VALUE(RIGHT(P285,1)),MIERCOLES!F110,MIERCOLES!I110,MIERCOLES!L110,MIERCOLES!O110,MIERCOLES!R110),""))</f>
        <v/>
      </c>
      <c r="G285" s="47" t="str">
        <f>IF(P285="","",IFERROR(CHOOSE(VALUE(RIGHT(P285,1)),MIERCOLES!G110,MIERCOLES!J110,MIERCOLES!M110,MIERCOLES!P110,MIERCOLES!S110),""))</f>
        <v/>
      </c>
      <c r="H285" s="48" t="str">
        <f>IF(P285="","",IFERROR(CHOOSE(VALUE(RIGHT(P285,1)),MIERCOLES!H110,MIERCOLES!K110,MIERCOLES!N110,MIERCOLES!Q110,MIERCOLES!T110),""))</f>
        <v/>
      </c>
      <c r="I285" s="49" t="str">
        <f t="shared" si="8"/>
        <v/>
      </c>
      <c r="J285" s="50" t="str">
        <f>IF(P285="","",IFERROR(ROUND(CHOOSE(VALUE(RIGHT(P285,1)),IF(MIERCOLES!C110="peso_corporal",IF(ISNUMBER(MIERCOLES!E110),MIERCOLES!E110,0)+MIERCOLES!F110,MIERCOLES!F110)*MIERCOLES!G110,IF(MIERCOLES!C110="peso_corporal",IF(ISNUMBER(MIERCOLES!E110),MIERCOLES!E110,0)+MIERCOLES!I110,MIERCOLES!I110)*MIERCOLES!J110,IF(MIERCOLES!C110="peso_corporal",IF(ISNUMBER(MIERCOLES!E110),MIERCOLES!E110,0)+MIERCOLES!L110,MIERCOLES!L110)*MIERCOLES!M110,IF(MIERCOLES!C110="peso_corporal",IF(ISNUMBER(MIERCOLES!E110),MIERCOLES!E110,0)+MIERCOLES!O110,MIERCOLES!O110)*MIERCOLES!P110,IF(MIERCOLES!C110="peso_corporal",IF(ISNUMBER(MIERCOLES!E110),MIERCOLES!E110,0)+MIERCOLES!R110,MIERCOLES!R110)*MIERCOLES!S110),1),""))</f>
        <v/>
      </c>
      <c r="K285" s="51" t="str">
        <f>IF(P285="","",IFERROR(ROUND(CHOOSE(VALUE(RIGHT(P285,1)),(IF(MIERCOLES!C110="peso_corporal",IF(ISNUMBER(MIERCOLES!E110),MIERCOLES!E110,0)+MIERCOLES!F110,MIERCOLES!F110))*(1+MIERCOLES!G110/30),(IF(MIERCOLES!C110="peso_corporal",IF(ISNUMBER(MIERCOLES!E110),MIERCOLES!E110,0)+MIERCOLES!I110,MIERCOLES!I110))*(1+MIERCOLES!J110/30),(IF(MIERCOLES!C110="peso_corporal",IF(ISNUMBER(MIERCOLES!E110),MIERCOLES!E110,0)+MIERCOLES!L110,MIERCOLES!L110))*(1+MIERCOLES!M110/30),(IF(MIERCOLES!C110="peso_corporal",IF(ISNUMBER(MIERCOLES!E110),MIERCOLES!E110,0)+MIERCOLES!O110,MIERCOLES!O110))*(1+MIERCOLES!P110/30),(IF(MIERCOLES!C110="peso_corporal",IF(ISNUMBER(MIERCOLES!E110),MIERCOLES!E110,0)+MIERCOLES!R110,MIERCOLES!R110))*(1+MIERCOLES!S110/30)),1),""))</f>
        <v/>
      </c>
      <c r="L285" s="52">
        <f>IFERROR(MIERCOLES!E110,"")</f>
        <v>80</v>
      </c>
      <c r="M285" s="53" t="str">
        <f>IFERROR(IF(K285="","-",IF(ISNUMBER(LOOKUP(2,1/((HISTORIAL!$O$3:$O$284=O285)*(HISTORIAL!$F$3:$F$284&lt;&gt;"")),HISTORIAL!$K$3:$K$284)),IF(K285&gt;LOOKUP(2,1/((HISTORIAL!$O$3:$O$284=O285)*(HISTORIAL!$F$3:$F$284&lt;&gt;"")),HISTORIAL!$K$3:$K$284),"^",IF(K285&lt;LOOKUP(2,1/((HISTORIAL!$O$3:$O$284=O285)*(HISTORIAL!$F$3:$F$284&lt;&gt;"")),HISTORIAL!$K$3:$K$284),"v","-")),"-")),"-")</f>
        <v>-</v>
      </c>
      <c r="N285" s="54" t="str">
        <f>IFERROR(VLOOKUP(A285,CONFIG!$A$10:$B$21,2,0),"")</f>
        <v>HIP</v>
      </c>
      <c r="O285" s="55" t="str">
        <f t="shared" si="9"/>
        <v>Elevacion Gemelo|De Pie</v>
      </c>
      <c r="P285" s="69" t="str">
        <f>MIERCOLES!AC110</f>
        <v/>
      </c>
    </row>
    <row r="286" spans="1:16" ht="14.1" customHeight="1">
      <c r="A286" s="37">
        <v>5</v>
      </c>
      <c r="B286" s="37" t="s">
        <v>279</v>
      </c>
      <c r="C286" s="44" t="str">
        <f>MIERCOLES!$A$112</f>
        <v>Hiperextension</v>
      </c>
      <c r="D286" s="45" t="str">
        <f>MIERCOLES!$B$112</f>
        <v>Banco Romano</v>
      </c>
      <c r="E286" s="37" t="str">
        <f>MIERCOLES!$C$112</f>
        <v>peso_corporal</v>
      </c>
      <c r="F286" s="46" t="str">
        <f>IF(P286="","",IFERROR(CHOOSE(VALUE(RIGHT(P286,1)),MIERCOLES!F112,MIERCOLES!I112,MIERCOLES!L112,MIERCOLES!O112,MIERCOLES!R112),""))</f>
        <v/>
      </c>
      <c r="G286" s="47" t="str">
        <f>IF(P286="","",IFERROR(CHOOSE(VALUE(RIGHT(P286,1)),MIERCOLES!G112,MIERCOLES!J112,MIERCOLES!M112,MIERCOLES!P112,MIERCOLES!S112),""))</f>
        <v/>
      </c>
      <c r="H286" s="48" t="str">
        <f>IF(P286="","",IFERROR(CHOOSE(VALUE(RIGHT(P286,1)),MIERCOLES!H112,MIERCOLES!K112,MIERCOLES!N112,MIERCOLES!Q112,MIERCOLES!T112),""))</f>
        <v/>
      </c>
      <c r="I286" s="49" t="str">
        <f t="shared" si="8"/>
        <v/>
      </c>
      <c r="J286" s="50" t="str">
        <f>IF(P286="","",IFERROR(ROUND(CHOOSE(VALUE(RIGHT(P286,1)),IF(MIERCOLES!C112="peso_corporal",IF(ISNUMBER(MIERCOLES!E112),MIERCOLES!E112,0)+MIERCOLES!F112,MIERCOLES!F112)*MIERCOLES!G112,IF(MIERCOLES!C112="peso_corporal",IF(ISNUMBER(MIERCOLES!E112),MIERCOLES!E112,0)+MIERCOLES!I112,MIERCOLES!I112)*MIERCOLES!J112,IF(MIERCOLES!C112="peso_corporal",IF(ISNUMBER(MIERCOLES!E112),MIERCOLES!E112,0)+MIERCOLES!L112,MIERCOLES!L112)*MIERCOLES!M112,IF(MIERCOLES!C112="peso_corporal",IF(ISNUMBER(MIERCOLES!E112),MIERCOLES!E112,0)+MIERCOLES!O112,MIERCOLES!O112)*MIERCOLES!P112,IF(MIERCOLES!C112="peso_corporal",IF(ISNUMBER(MIERCOLES!E112),MIERCOLES!E112,0)+MIERCOLES!R112,MIERCOLES!R112)*MIERCOLES!S112),1),""))</f>
        <v/>
      </c>
      <c r="K286" s="51" t="str">
        <f>IF(P286="","",IFERROR(ROUND(CHOOSE(VALUE(RIGHT(P286,1)),(IF(MIERCOLES!C112="peso_corporal",IF(ISNUMBER(MIERCOLES!E112),MIERCOLES!E112,0)+MIERCOLES!F112,MIERCOLES!F112))*(1+MIERCOLES!G112/30),(IF(MIERCOLES!C112="peso_corporal",IF(ISNUMBER(MIERCOLES!E112),MIERCOLES!E112,0)+MIERCOLES!I112,MIERCOLES!I112))*(1+MIERCOLES!J112/30),(IF(MIERCOLES!C112="peso_corporal",IF(ISNUMBER(MIERCOLES!E112),MIERCOLES!E112,0)+MIERCOLES!L112,MIERCOLES!L112))*(1+MIERCOLES!M112/30),(IF(MIERCOLES!C112="peso_corporal",IF(ISNUMBER(MIERCOLES!E112),MIERCOLES!E112,0)+MIERCOLES!O112,MIERCOLES!O112))*(1+MIERCOLES!P112/30),(IF(MIERCOLES!C112="peso_corporal",IF(ISNUMBER(MIERCOLES!E112),MIERCOLES!E112,0)+MIERCOLES!R112,MIERCOLES!R112))*(1+MIERCOLES!S112/30)),1),""))</f>
        <v/>
      </c>
      <c r="L286" s="52">
        <f>IFERROR(MIERCOLES!E112,"")</f>
        <v>80</v>
      </c>
      <c r="M286" s="53" t="str">
        <f>IFERROR(IF(K286="","-",IF(ISNUMBER(LOOKUP(2,1/((HISTORIAL!$O$3:$O$285=O286)*(HISTORIAL!$F$3:$F$285&lt;&gt;"")),HISTORIAL!$K$3:$K$285)),IF(K286&gt;LOOKUP(2,1/((HISTORIAL!$O$3:$O$285=O286)*(HISTORIAL!$F$3:$F$285&lt;&gt;"")),HISTORIAL!$K$3:$K$285),"^",IF(K286&lt;LOOKUP(2,1/((HISTORIAL!$O$3:$O$285=O286)*(HISTORIAL!$F$3:$F$285&lt;&gt;"")),HISTORIAL!$K$3:$K$285),"v","-")),"-")),"-")</f>
        <v>-</v>
      </c>
      <c r="N286" s="54" t="str">
        <f>IFERROR(VLOOKUP(A286,CONFIG!$A$10:$B$21,2,0),"")</f>
        <v>HIP</v>
      </c>
      <c r="O286" s="55" t="str">
        <f t="shared" si="9"/>
        <v>Hiperextension|Banco Romano</v>
      </c>
      <c r="P286" s="69" t="str">
        <f>MIERCOLES!AC112</f>
        <v/>
      </c>
    </row>
    <row r="287" spans="1:16" ht="14.1" customHeight="1">
      <c r="A287" s="37">
        <v>5</v>
      </c>
      <c r="B287" s="37" t="s">
        <v>279</v>
      </c>
      <c r="C287" s="44" t="str">
        <f>MIERCOLES!$A$113</f>
        <v>Peso Muerto Parcial</v>
      </c>
      <c r="D287" s="45" t="str">
        <f>MIERCOLES!$B$113</f>
        <v>Barra</v>
      </c>
      <c r="E287" s="37" t="str">
        <f>MIERCOLES!$C$113</f>
        <v>disco</v>
      </c>
      <c r="F287" s="46" t="str">
        <f>IF(P287="","",IFERROR(CHOOSE(VALUE(RIGHT(P287,1)),MIERCOLES!F113,MIERCOLES!I113,MIERCOLES!L113,MIERCOLES!O113,MIERCOLES!R113),""))</f>
        <v/>
      </c>
      <c r="G287" s="47" t="str">
        <f>IF(P287="","",IFERROR(CHOOSE(VALUE(RIGHT(P287,1)),MIERCOLES!G113,MIERCOLES!J113,MIERCOLES!M113,MIERCOLES!P113,MIERCOLES!S113),""))</f>
        <v/>
      </c>
      <c r="H287" s="48" t="str">
        <f>IF(P287="","",IFERROR(CHOOSE(VALUE(RIGHT(P287,1)),MIERCOLES!H113,MIERCOLES!K113,MIERCOLES!N113,MIERCOLES!Q113,MIERCOLES!T113),""))</f>
        <v/>
      </c>
      <c r="I287" s="49" t="str">
        <f t="shared" si="8"/>
        <v/>
      </c>
      <c r="J287" s="50" t="str">
        <f>IF(P287="","",IFERROR(ROUND(CHOOSE(VALUE(RIGHT(P287,1)),IF(MIERCOLES!C113="peso_corporal",IF(ISNUMBER(MIERCOLES!E113),MIERCOLES!E113,0)+MIERCOLES!F113,MIERCOLES!F113)*MIERCOLES!G113,IF(MIERCOLES!C113="peso_corporal",IF(ISNUMBER(MIERCOLES!E113),MIERCOLES!E113,0)+MIERCOLES!I113,MIERCOLES!I113)*MIERCOLES!J113,IF(MIERCOLES!C113="peso_corporal",IF(ISNUMBER(MIERCOLES!E113),MIERCOLES!E113,0)+MIERCOLES!L113,MIERCOLES!L113)*MIERCOLES!M113,IF(MIERCOLES!C113="peso_corporal",IF(ISNUMBER(MIERCOLES!E113),MIERCOLES!E113,0)+MIERCOLES!O113,MIERCOLES!O113)*MIERCOLES!P113,IF(MIERCOLES!C113="peso_corporal",IF(ISNUMBER(MIERCOLES!E113),MIERCOLES!E113,0)+MIERCOLES!R113,MIERCOLES!R113)*MIERCOLES!S113),1),""))</f>
        <v/>
      </c>
      <c r="K287" s="51" t="str">
        <f>IF(P287="","",IFERROR(ROUND(CHOOSE(VALUE(RIGHT(P287,1)),(IF(MIERCOLES!C113="peso_corporal",IF(ISNUMBER(MIERCOLES!E113),MIERCOLES!E113,0)+MIERCOLES!F113,MIERCOLES!F113))*(1+MIERCOLES!G113/30),(IF(MIERCOLES!C113="peso_corporal",IF(ISNUMBER(MIERCOLES!E113),MIERCOLES!E113,0)+MIERCOLES!I113,MIERCOLES!I113))*(1+MIERCOLES!J113/30),(IF(MIERCOLES!C113="peso_corporal",IF(ISNUMBER(MIERCOLES!E113),MIERCOLES!E113,0)+MIERCOLES!L113,MIERCOLES!L113))*(1+MIERCOLES!M113/30),(IF(MIERCOLES!C113="peso_corporal",IF(ISNUMBER(MIERCOLES!E113),MIERCOLES!E113,0)+MIERCOLES!O113,MIERCOLES!O113))*(1+MIERCOLES!P113/30),(IF(MIERCOLES!C113="peso_corporal",IF(ISNUMBER(MIERCOLES!E113),MIERCOLES!E113,0)+MIERCOLES!R113,MIERCOLES!R113))*(1+MIERCOLES!S113/30)),1),""))</f>
        <v/>
      </c>
      <c r="L287" s="52">
        <f>IFERROR(MIERCOLES!E113,"")</f>
        <v>80</v>
      </c>
      <c r="M287" s="53" t="str">
        <f>IFERROR(IF(K287="","-",IF(ISNUMBER(LOOKUP(2,1/((HISTORIAL!$O$3:$O$286=O287)*(HISTORIAL!$F$3:$F$286&lt;&gt;"")),HISTORIAL!$K$3:$K$286)),IF(K287&gt;LOOKUP(2,1/((HISTORIAL!$O$3:$O$286=O287)*(HISTORIAL!$F$3:$F$286&lt;&gt;"")),HISTORIAL!$K$3:$K$286),"^",IF(K287&lt;LOOKUP(2,1/((HISTORIAL!$O$3:$O$286=O287)*(HISTORIAL!$F$3:$F$286&lt;&gt;"")),HISTORIAL!$K$3:$K$286),"v","-")),"-")),"-")</f>
        <v>-</v>
      </c>
      <c r="N287" s="54" t="str">
        <f>IFERROR(VLOOKUP(A287,CONFIG!$A$10:$B$21,2,0),"")</f>
        <v>HIP</v>
      </c>
      <c r="O287" s="55" t="str">
        <f t="shared" si="9"/>
        <v>Peso Muerto Parcial|Barra</v>
      </c>
      <c r="P287" s="69" t="str">
        <f>MIERCOLES!AC113</f>
        <v/>
      </c>
    </row>
    <row r="288" spans="1:16" ht="14.1" customHeight="1">
      <c r="A288" s="37">
        <v>5</v>
      </c>
      <c r="B288" s="37" t="s">
        <v>279</v>
      </c>
      <c r="C288" s="44" t="str">
        <f>MIERCOLES!$A$115</f>
        <v>Crunch</v>
      </c>
      <c r="D288" s="45" t="str">
        <f>MIERCOLES!$B$115</f>
        <v>Polea</v>
      </c>
      <c r="E288" s="37" t="str">
        <f>MIERCOLES!$C$115</f>
        <v>polea</v>
      </c>
      <c r="F288" s="46" t="str">
        <f>IF(P288="","",IFERROR(CHOOSE(VALUE(RIGHT(P288,1)),MIERCOLES!F115,MIERCOLES!I115,MIERCOLES!L115,MIERCOLES!O115,MIERCOLES!R115),""))</f>
        <v/>
      </c>
      <c r="G288" s="47" t="str">
        <f>IF(P288="","",IFERROR(CHOOSE(VALUE(RIGHT(P288,1)),MIERCOLES!G115,MIERCOLES!J115,MIERCOLES!M115,MIERCOLES!P115,MIERCOLES!S115),""))</f>
        <v/>
      </c>
      <c r="H288" s="48" t="str">
        <f>IF(P288="","",IFERROR(CHOOSE(VALUE(RIGHT(P288,1)),MIERCOLES!H115,MIERCOLES!K115,MIERCOLES!N115,MIERCOLES!Q115,MIERCOLES!T115),""))</f>
        <v/>
      </c>
      <c r="I288" s="49" t="str">
        <f t="shared" si="8"/>
        <v/>
      </c>
      <c r="J288" s="50" t="str">
        <f>IF(P288="","",IFERROR(ROUND(CHOOSE(VALUE(RIGHT(P288,1)),IF(MIERCOLES!C115="peso_corporal",IF(ISNUMBER(MIERCOLES!E115),MIERCOLES!E115,0)+MIERCOLES!F115,MIERCOLES!F115)*MIERCOLES!G115,IF(MIERCOLES!C115="peso_corporal",IF(ISNUMBER(MIERCOLES!E115),MIERCOLES!E115,0)+MIERCOLES!I115,MIERCOLES!I115)*MIERCOLES!J115,IF(MIERCOLES!C115="peso_corporal",IF(ISNUMBER(MIERCOLES!E115),MIERCOLES!E115,0)+MIERCOLES!L115,MIERCOLES!L115)*MIERCOLES!M115,IF(MIERCOLES!C115="peso_corporal",IF(ISNUMBER(MIERCOLES!E115),MIERCOLES!E115,0)+MIERCOLES!O115,MIERCOLES!O115)*MIERCOLES!P115,IF(MIERCOLES!C115="peso_corporal",IF(ISNUMBER(MIERCOLES!E115),MIERCOLES!E115,0)+MIERCOLES!R115,MIERCOLES!R115)*MIERCOLES!S115),1),""))</f>
        <v/>
      </c>
      <c r="K288" s="51" t="str">
        <f>IF(P288="","",IFERROR(ROUND(CHOOSE(VALUE(RIGHT(P288,1)),(IF(MIERCOLES!C115="peso_corporal",IF(ISNUMBER(MIERCOLES!E115),MIERCOLES!E115,0)+MIERCOLES!F115,MIERCOLES!F115))*(1+MIERCOLES!G115/30),(IF(MIERCOLES!C115="peso_corporal",IF(ISNUMBER(MIERCOLES!E115),MIERCOLES!E115,0)+MIERCOLES!I115,MIERCOLES!I115))*(1+MIERCOLES!J115/30),(IF(MIERCOLES!C115="peso_corporal",IF(ISNUMBER(MIERCOLES!E115),MIERCOLES!E115,0)+MIERCOLES!L115,MIERCOLES!L115))*(1+MIERCOLES!M115/30),(IF(MIERCOLES!C115="peso_corporal",IF(ISNUMBER(MIERCOLES!E115),MIERCOLES!E115,0)+MIERCOLES!O115,MIERCOLES!O115))*(1+MIERCOLES!P115/30),(IF(MIERCOLES!C115="peso_corporal",IF(ISNUMBER(MIERCOLES!E115),MIERCOLES!E115,0)+MIERCOLES!R115,MIERCOLES!R115))*(1+MIERCOLES!S115/30)),1),""))</f>
        <v/>
      </c>
      <c r="L288" s="52">
        <f>IFERROR(MIERCOLES!E115,"")</f>
        <v>80</v>
      </c>
      <c r="M288" s="53" t="str">
        <f>IFERROR(IF(K288="","-",IF(ISNUMBER(LOOKUP(2,1/((HISTORIAL!$O$3:$O$287=O288)*(HISTORIAL!$F$3:$F$287&lt;&gt;"")),HISTORIAL!$K$3:$K$287)),IF(K288&gt;LOOKUP(2,1/((HISTORIAL!$O$3:$O$287=O288)*(HISTORIAL!$F$3:$F$287&lt;&gt;"")),HISTORIAL!$K$3:$K$287),"^",IF(K288&lt;LOOKUP(2,1/((HISTORIAL!$O$3:$O$287=O288)*(HISTORIAL!$F$3:$F$287&lt;&gt;"")),HISTORIAL!$K$3:$K$287),"v","-")),"-")),"-")</f>
        <v>-</v>
      </c>
      <c r="N288" s="54" t="str">
        <f>IFERROR(VLOOKUP(A288,CONFIG!$A$10:$B$21,2,0),"")</f>
        <v>HIP</v>
      </c>
      <c r="O288" s="55" t="str">
        <f t="shared" si="9"/>
        <v>Crunch|Polea</v>
      </c>
      <c r="P288" s="69" t="str">
        <f>MIERCOLES!AC115</f>
        <v/>
      </c>
    </row>
    <row r="289" spans="1:16" ht="14.1" customHeight="1">
      <c r="A289" s="37">
        <v>5</v>
      </c>
      <c r="B289" s="37" t="s">
        <v>279</v>
      </c>
      <c r="C289" s="44" t="str">
        <f>MIERCOLES!$A$116</f>
        <v>Plancha</v>
      </c>
      <c r="D289" s="45" t="str">
        <f>MIERCOLES!$B$116</f>
        <v>Abdominal</v>
      </c>
      <c r="E289" s="37" t="str">
        <f>MIERCOLES!$C$116</f>
        <v>--</v>
      </c>
      <c r="F289" s="46" t="str">
        <f>IF(P289="","",IFERROR(CHOOSE(VALUE(RIGHT(P289,1)),MIERCOLES!F116,MIERCOLES!I116,MIERCOLES!L116,MIERCOLES!O116,MIERCOLES!R116),""))</f>
        <v/>
      </c>
      <c r="G289" s="47" t="str">
        <f>IF(P289="","",IFERROR(CHOOSE(VALUE(RIGHT(P289,1)),MIERCOLES!G116,MIERCOLES!J116,MIERCOLES!M116,MIERCOLES!P116,MIERCOLES!S116),""))</f>
        <v/>
      </c>
      <c r="H289" s="48" t="str">
        <f>IF(P289="","",IFERROR(CHOOSE(VALUE(RIGHT(P289,1)),MIERCOLES!H116,MIERCOLES!K116,MIERCOLES!N116,MIERCOLES!Q116,MIERCOLES!T116),""))</f>
        <v/>
      </c>
      <c r="I289" s="49" t="str">
        <f t="shared" si="8"/>
        <v/>
      </c>
      <c r="J289" s="50" t="str">
        <f>IF(P289="","",IFERROR(ROUND(CHOOSE(VALUE(RIGHT(P289,1)),IF(MIERCOLES!C116="peso_corporal",IF(ISNUMBER(MIERCOLES!E116),MIERCOLES!E116,0)+MIERCOLES!F116,MIERCOLES!F116)*MIERCOLES!G116,IF(MIERCOLES!C116="peso_corporal",IF(ISNUMBER(MIERCOLES!E116),MIERCOLES!E116,0)+MIERCOLES!I116,MIERCOLES!I116)*MIERCOLES!J116,IF(MIERCOLES!C116="peso_corporal",IF(ISNUMBER(MIERCOLES!E116),MIERCOLES!E116,0)+MIERCOLES!L116,MIERCOLES!L116)*MIERCOLES!M116,IF(MIERCOLES!C116="peso_corporal",IF(ISNUMBER(MIERCOLES!E116),MIERCOLES!E116,0)+MIERCOLES!O116,MIERCOLES!O116)*MIERCOLES!P116,IF(MIERCOLES!C116="peso_corporal",IF(ISNUMBER(MIERCOLES!E116),MIERCOLES!E116,0)+MIERCOLES!R116,MIERCOLES!R116)*MIERCOLES!S116),1),""))</f>
        <v/>
      </c>
      <c r="K289" s="51" t="str">
        <f>IF(P289="","",IFERROR(ROUND(CHOOSE(VALUE(RIGHT(P289,1)),(IF(MIERCOLES!C116="peso_corporal",IF(ISNUMBER(MIERCOLES!E116),MIERCOLES!E116,0)+MIERCOLES!F116,MIERCOLES!F116))*(1+MIERCOLES!G116/30),(IF(MIERCOLES!C116="peso_corporal",IF(ISNUMBER(MIERCOLES!E116),MIERCOLES!E116,0)+MIERCOLES!I116,MIERCOLES!I116))*(1+MIERCOLES!J116/30),(IF(MIERCOLES!C116="peso_corporal",IF(ISNUMBER(MIERCOLES!E116),MIERCOLES!E116,0)+MIERCOLES!L116,MIERCOLES!L116))*(1+MIERCOLES!M116/30),(IF(MIERCOLES!C116="peso_corporal",IF(ISNUMBER(MIERCOLES!E116),MIERCOLES!E116,0)+MIERCOLES!O116,MIERCOLES!O116))*(1+MIERCOLES!P116/30),(IF(MIERCOLES!C116="peso_corporal",IF(ISNUMBER(MIERCOLES!E116),MIERCOLES!E116,0)+MIERCOLES!R116,MIERCOLES!R116))*(1+MIERCOLES!S116/30)),1),""))</f>
        <v/>
      </c>
      <c r="L289" s="52">
        <f>IFERROR(MIERCOLES!E116,"")</f>
        <v>80</v>
      </c>
      <c r="M289" s="53" t="str">
        <f>IFERROR(IF(K289="","-",IF(ISNUMBER(LOOKUP(2,1/((HISTORIAL!$O$3:$O$288=O289)*(HISTORIAL!$F$3:$F$288&lt;&gt;"")),HISTORIAL!$K$3:$K$288)),IF(K289&gt;LOOKUP(2,1/((HISTORIAL!$O$3:$O$288=O289)*(HISTORIAL!$F$3:$F$288&lt;&gt;"")),HISTORIAL!$K$3:$K$288),"^",IF(K289&lt;LOOKUP(2,1/((HISTORIAL!$O$3:$O$288=O289)*(HISTORIAL!$F$3:$F$288&lt;&gt;"")),HISTORIAL!$K$3:$K$288),"v","-")),"-")),"-")</f>
        <v>-</v>
      </c>
      <c r="N289" s="54" t="str">
        <f>IFERROR(VLOOKUP(A289,CONFIG!$A$10:$B$21,2,0),"")</f>
        <v>HIP</v>
      </c>
      <c r="O289" s="55" t="str">
        <f t="shared" si="9"/>
        <v>Plancha|Abdominal</v>
      </c>
      <c r="P289" s="69" t="str">
        <f>MIERCOLES!AC116</f>
        <v/>
      </c>
    </row>
    <row r="290" spans="1:16" ht="14.1" customHeight="1">
      <c r="A290" s="37">
        <v>5</v>
      </c>
      <c r="B290" s="37" t="s">
        <v>279</v>
      </c>
      <c r="C290" s="44" t="str">
        <f>MIERCOLES!$A$117</f>
        <v>Rueda Abdominal</v>
      </c>
      <c r="D290" s="45" t="str">
        <f>MIERCOLES!$B$117</f>
        <v>Ab Wheel</v>
      </c>
      <c r="E290" s="37" t="str">
        <f>MIERCOLES!$C$117</f>
        <v>--</v>
      </c>
      <c r="F290" s="46" t="str">
        <f>IF(P290="","",IFERROR(CHOOSE(VALUE(RIGHT(P290,1)),MIERCOLES!F117,MIERCOLES!I117,MIERCOLES!L117,MIERCOLES!O117,MIERCOLES!R117),""))</f>
        <v/>
      </c>
      <c r="G290" s="47" t="str">
        <f>IF(P290="","",IFERROR(CHOOSE(VALUE(RIGHT(P290,1)),MIERCOLES!G117,MIERCOLES!J117,MIERCOLES!M117,MIERCOLES!P117,MIERCOLES!S117),""))</f>
        <v/>
      </c>
      <c r="H290" s="48" t="str">
        <f>IF(P290="","",IFERROR(CHOOSE(VALUE(RIGHT(P290,1)),MIERCOLES!H117,MIERCOLES!K117,MIERCOLES!N117,MIERCOLES!Q117,MIERCOLES!T117),""))</f>
        <v/>
      </c>
      <c r="I290" s="49" t="str">
        <f t="shared" si="8"/>
        <v/>
      </c>
      <c r="J290" s="50" t="str">
        <f>IF(P290="","",IFERROR(ROUND(CHOOSE(VALUE(RIGHT(P290,1)),IF(MIERCOLES!C117="peso_corporal",IF(ISNUMBER(MIERCOLES!E117),MIERCOLES!E117,0)+MIERCOLES!F117,MIERCOLES!F117)*MIERCOLES!G117,IF(MIERCOLES!C117="peso_corporal",IF(ISNUMBER(MIERCOLES!E117),MIERCOLES!E117,0)+MIERCOLES!I117,MIERCOLES!I117)*MIERCOLES!J117,IF(MIERCOLES!C117="peso_corporal",IF(ISNUMBER(MIERCOLES!E117),MIERCOLES!E117,0)+MIERCOLES!L117,MIERCOLES!L117)*MIERCOLES!M117,IF(MIERCOLES!C117="peso_corporal",IF(ISNUMBER(MIERCOLES!E117),MIERCOLES!E117,0)+MIERCOLES!O117,MIERCOLES!O117)*MIERCOLES!P117,IF(MIERCOLES!C117="peso_corporal",IF(ISNUMBER(MIERCOLES!E117),MIERCOLES!E117,0)+MIERCOLES!R117,MIERCOLES!R117)*MIERCOLES!S117),1),""))</f>
        <v/>
      </c>
      <c r="K290" s="51" t="str">
        <f>IF(P290="","",IFERROR(ROUND(CHOOSE(VALUE(RIGHT(P290,1)),(IF(MIERCOLES!C117="peso_corporal",IF(ISNUMBER(MIERCOLES!E117),MIERCOLES!E117,0)+MIERCOLES!F117,MIERCOLES!F117))*(1+MIERCOLES!G117/30),(IF(MIERCOLES!C117="peso_corporal",IF(ISNUMBER(MIERCOLES!E117),MIERCOLES!E117,0)+MIERCOLES!I117,MIERCOLES!I117))*(1+MIERCOLES!J117/30),(IF(MIERCOLES!C117="peso_corporal",IF(ISNUMBER(MIERCOLES!E117),MIERCOLES!E117,0)+MIERCOLES!L117,MIERCOLES!L117))*(1+MIERCOLES!M117/30),(IF(MIERCOLES!C117="peso_corporal",IF(ISNUMBER(MIERCOLES!E117),MIERCOLES!E117,0)+MIERCOLES!O117,MIERCOLES!O117))*(1+MIERCOLES!P117/30),(IF(MIERCOLES!C117="peso_corporal",IF(ISNUMBER(MIERCOLES!E117),MIERCOLES!E117,0)+MIERCOLES!R117,MIERCOLES!R117))*(1+MIERCOLES!S117/30)),1),""))</f>
        <v/>
      </c>
      <c r="L290" s="52">
        <f>IFERROR(MIERCOLES!E117,"")</f>
        <v>80</v>
      </c>
      <c r="M290" s="53" t="str">
        <f>IFERROR(IF(K290="","-",IF(ISNUMBER(LOOKUP(2,1/((HISTORIAL!$O$3:$O$289=O290)*(HISTORIAL!$F$3:$F$289&lt;&gt;"")),HISTORIAL!$K$3:$K$289)),IF(K290&gt;LOOKUP(2,1/((HISTORIAL!$O$3:$O$289=O290)*(HISTORIAL!$F$3:$F$289&lt;&gt;"")),HISTORIAL!$K$3:$K$289),"^",IF(K290&lt;LOOKUP(2,1/((HISTORIAL!$O$3:$O$289=O290)*(HISTORIAL!$F$3:$F$289&lt;&gt;"")),HISTORIAL!$K$3:$K$289),"v","-")),"-")),"-")</f>
        <v>-</v>
      </c>
      <c r="N290" s="54" t="str">
        <f>IFERROR(VLOOKUP(A290,CONFIG!$A$10:$B$21,2,0),"")</f>
        <v>HIP</v>
      </c>
      <c r="O290" s="55" t="str">
        <f t="shared" si="9"/>
        <v>Rueda Abdominal|Ab Wheel</v>
      </c>
      <c r="P290" s="69" t="str">
        <f>MIERCOLES!AC117</f>
        <v/>
      </c>
    </row>
    <row r="291" spans="1:16" ht="14.1" customHeight="1">
      <c r="A291" s="37">
        <v>5</v>
      </c>
      <c r="B291" s="37" t="s">
        <v>279</v>
      </c>
      <c r="C291" s="44" t="str">
        <f>MIERCOLES!$A$118</f>
        <v>Elevacion Piernas</v>
      </c>
      <c r="D291" s="45" t="str">
        <f>MIERCOLES!$B$118</f>
        <v>Colgado</v>
      </c>
      <c r="E291" s="37" t="str">
        <f>MIERCOLES!$C$118</f>
        <v>peso_corporal</v>
      </c>
      <c r="F291" s="46" t="str">
        <f>IF(P291="","",IFERROR(CHOOSE(VALUE(RIGHT(P291,1)),MIERCOLES!F118,MIERCOLES!I118,MIERCOLES!L118,MIERCOLES!O118,MIERCOLES!R118),""))</f>
        <v/>
      </c>
      <c r="G291" s="47" t="str">
        <f>IF(P291="","",IFERROR(CHOOSE(VALUE(RIGHT(P291,1)),MIERCOLES!G118,MIERCOLES!J118,MIERCOLES!M118,MIERCOLES!P118,MIERCOLES!S118),""))</f>
        <v/>
      </c>
      <c r="H291" s="48" t="str">
        <f>IF(P291="","",IFERROR(CHOOSE(VALUE(RIGHT(P291,1)),MIERCOLES!H118,MIERCOLES!K118,MIERCOLES!N118,MIERCOLES!Q118,MIERCOLES!T118),""))</f>
        <v/>
      </c>
      <c r="I291" s="49" t="str">
        <f t="shared" si="8"/>
        <v/>
      </c>
      <c r="J291" s="50" t="str">
        <f>IF(P291="","",IFERROR(ROUND(CHOOSE(VALUE(RIGHT(P291,1)),IF(MIERCOLES!C118="peso_corporal",IF(ISNUMBER(MIERCOLES!E118),MIERCOLES!E118,0)+MIERCOLES!F118,MIERCOLES!F118)*MIERCOLES!G118,IF(MIERCOLES!C118="peso_corporal",IF(ISNUMBER(MIERCOLES!E118),MIERCOLES!E118,0)+MIERCOLES!I118,MIERCOLES!I118)*MIERCOLES!J118,IF(MIERCOLES!C118="peso_corporal",IF(ISNUMBER(MIERCOLES!E118),MIERCOLES!E118,0)+MIERCOLES!L118,MIERCOLES!L118)*MIERCOLES!M118,IF(MIERCOLES!C118="peso_corporal",IF(ISNUMBER(MIERCOLES!E118),MIERCOLES!E118,0)+MIERCOLES!O118,MIERCOLES!O118)*MIERCOLES!P118,IF(MIERCOLES!C118="peso_corporal",IF(ISNUMBER(MIERCOLES!E118),MIERCOLES!E118,0)+MIERCOLES!R118,MIERCOLES!R118)*MIERCOLES!S118),1),""))</f>
        <v/>
      </c>
      <c r="K291" s="51" t="str">
        <f>IF(P291="","",IFERROR(ROUND(CHOOSE(VALUE(RIGHT(P291,1)),(IF(MIERCOLES!C118="peso_corporal",IF(ISNUMBER(MIERCOLES!E118),MIERCOLES!E118,0)+MIERCOLES!F118,MIERCOLES!F118))*(1+MIERCOLES!G118/30),(IF(MIERCOLES!C118="peso_corporal",IF(ISNUMBER(MIERCOLES!E118),MIERCOLES!E118,0)+MIERCOLES!I118,MIERCOLES!I118))*(1+MIERCOLES!J118/30),(IF(MIERCOLES!C118="peso_corporal",IF(ISNUMBER(MIERCOLES!E118),MIERCOLES!E118,0)+MIERCOLES!L118,MIERCOLES!L118))*(1+MIERCOLES!M118/30),(IF(MIERCOLES!C118="peso_corporal",IF(ISNUMBER(MIERCOLES!E118),MIERCOLES!E118,0)+MIERCOLES!O118,MIERCOLES!O118))*(1+MIERCOLES!P118/30),(IF(MIERCOLES!C118="peso_corporal",IF(ISNUMBER(MIERCOLES!E118),MIERCOLES!E118,0)+MIERCOLES!R118,MIERCOLES!R118))*(1+MIERCOLES!S118/30)),1),""))</f>
        <v/>
      </c>
      <c r="L291" s="52">
        <f>IFERROR(MIERCOLES!E118,"")</f>
        <v>80</v>
      </c>
      <c r="M291" s="53" t="str">
        <f>IFERROR(IF(K291="","-",IF(ISNUMBER(LOOKUP(2,1/((HISTORIAL!$O$3:$O$290=O291)*(HISTORIAL!$F$3:$F$290&lt;&gt;"")),HISTORIAL!$K$3:$K$290)),IF(K291&gt;LOOKUP(2,1/((HISTORIAL!$O$3:$O$290=O291)*(HISTORIAL!$F$3:$F$290&lt;&gt;"")),HISTORIAL!$K$3:$K$290),"^",IF(K291&lt;LOOKUP(2,1/((HISTORIAL!$O$3:$O$290=O291)*(HISTORIAL!$F$3:$F$290&lt;&gt;"")),HISTORIAL!$K$3:$K$290),"v","-")),"-")),"-")</f>
        <v>-</v>
      </c>
      <c r="N291" s="54" t="str">
        <f>IFERROR(VLOOKUP(A291,CONFIG!$A$10:$B$21,2,0),"")</f>
        <v>HIP</v>
      </c>
      <c r="O291" s="55" t="str">
        <f t="shared" si="9"/>
        <v>Elevacion Piernas|Colgado</v>
      </c>
      <c r="P291" s="69" t="str">
        <f>MIERCOLES!AC118</f>
        <v/>
      </c>
    </row>
    <row r="292" spans="1:16" ht="14.1" customHeight="1">
      <c r="A292" s="37">
        <v>5</v>
      </c>
      <c r="B292" s="37" t="s">
        <v>280</v>
      </c>
      <c r="C292" s="44" t="str">
        <f>JUEVES!$A$112</f>
        <v>Press Militar</v>
      </c>
      <c r="D292" s="45" t="str">
        <f>JUEVES!$B$112</f>
        <v>Multipower</v>
      </c>
      <c r="E292" s="37" t="str">
        <f>JUEVES!$C$112</f>
        <v>--</v>
      </c>
      <c r="F292" s="46" t="str">
        <f>IF(P292="","",IFERROR(CHOOSE(VALUE(RIGHT(P292,1)),JUEVES!F112,JUEVES!I112,JUEVES!L112,JUEVES!O112,JUEVES!R112),""))</f>
        <v/>
      </c>
      <c r="G292" s="47" t="str">
        <f>IF(P292="","",IFERROR(CHOOSE(VALUE(RIGHT(P292,1)),JUEVES!G112,JUEVES!J112,JUEVES!M112,JUEVES!P112,JUEVES!S112),""))</f>
        <v/>
      </c>
      <c r="H292" s="48" t="str">
        <f>IF(P292="","",IFERROR(CHOOSE(VALUE(RIGHT(P292,1)),JUEVES!H112,JUEVES!K112,JUEVES!N112,JUEVES!Q112,JUEVES!T112),""))</f>
        <v/>
      </c>
      <c r="I292" s="49" t="str">
        <f t="shared" si="8"/>
        <v/>
      </c>
      <c r="J292" s="50" t="str">
        <f>IF(P292="","",IFERROR(ROUND(CHOOSE(VALUE(RIGHT(P292,1)),IF(JUEVES!C112="peso_corporal",IF(ISNUMBER(JUEVES!E112),JUEVES!E112,0)+JUEVES!F112,JUEVES!F112)*JUEVES!G112,IF(JUEVES!C112="peso_corporal",IF(ISNUMBER(JUEVES!E112),JUEVES!E112,0)+JUEVES!I112,JUEVES!I112)*JUEVES!J112,IF(JUEVES!C112="peso_corporal",IF(ISNUMBER(JUEVES!E112),JUEVES!E112,0)+JUEVES!L112,JUEVES!L112)*JUEVES!M112,IF(JUEVES!C112="peso_corporal",IF(ISNUMBER(JUEVES!E112),JUEVES!E112,0)+JUEVES!O112,JUEVES!O112)*JUEVES!P112,IF(JUEVES!C112="peso_corporal",IF(ISNUMBER(JUEVES!E112),JUEVES!E112,0)+JUEVES!R112,JUEVES!R112)*JUEVES!S112),1),""))</f>
        <v/>
      </c>
      <c r="K292" s="51" t="str">
        <f>IF(P292="","",IFERROR(ROUND(CHOOSE(VALUE(RIGHT(P292,1)),(IF(JUEVES!C112="peso_corporal",IF(ISNUMBER(JUEVES!E112),JUEVES!E112,0)+JUEVES!F112,JUEVES!F112))*(1+JUEVES!G112/30),(IF(JUEVES!C112="peso_corporal",IF(ISNUMBER(JUEVES!E112),JUEVES!E112,0)+JUEVES!I112,JUEVES!I112))*(1+JUEVES!J112/30),(IF(JUEVES!C112="peso_corporal",IF(ISNUMBER(JUEVES!E112),JUEVES!E112,0)+JUEVES!L112,JUEVES!L112))*(1+JUEVES!M112/30),(IF(JUEVES!C112="peso_corporal",IF(ISNUMBER(JUEVES!E112),JUEVES!E112,0)+JUEVES!O112,JUEVES!O112))*(1+JUEVES!P112/30),(IF(JUEVES!C112="peso_corporal",IF(ISNUMBER(JUEVES!E112),JUEVES!E112,0)+JUEVES!R112,JUEVES!R112))*(1+JUEVES!S112/30)),1),""))</f>
        <v/>
      </c>
      <c r="L292" s="52">
        <f>IFERROR(JUEVES!E112,"")</f>
        <v>80</v>
      </c>
      <c r="M292" s="53" t="str">
        <f>IFERROR(IF(K292="","-",IF(ISNUMBER(LOOKUP(2,1/((HISTORIAL!$O$3:$O$291=O292)*(HISTORIAL!$F$3:$F$291&lt;&gt;"")),HISTORIAL!$K$3:$K$291)),IF(K292&gt;LOOKUP(2,1/((HISTORIAL!$O$3:$O$291=O292)*(HISTORIAL!$F$3:$F$291&lt;&gt;"")),HISTORIAL!$K$3:$K$291),"^",IF(K292&lt;LOOKUP(2,1/((HISTORIAL!$O$3:$O$291=O292)*(HISTORIAL!$F$3:$F$291&lt;&gt;"")),HISTORIAL!$K$3:$K$291),"v","-")),"-")),"-")</f>
        <v>-</v>
      </c>
      <c r="N292" s="54" t="str">
        <f>IFERROR(VLOOKUP(A292,CONFIG!$A$10:$B$21,2,0),"")</f>
        <v>HIP</v>
      </c>
      <c r="O292" s="55" t="str">
        <f t="shared" si="9"/>
        <v>Press Militar|Multipower</v>
      </c>
      <c r="P292" s="69" t="str">
        <f>JUEVES!AC112</f>
        <v/>
      </c>
    </row>
    <row r="293" spans="1:16" ht="14.1" customHeight="1">
      <c r="A293" s="37">
        <v>5</v>
      </c>
      <c r="B293" s="37" t="s">
        <v>280</v>
      </c>
      <c r="C293" s="44" t="str">
        <f>JUEVES!$A$113</f>
        <v>Elevaciones Laterales</v>
      </c>
      <c r="D293" s="45" t="str">
        <f>JUEVES!$B$113</f>
        <v>Drop Set Maquina</v>
      </c>
      <c r="E293" s="37" t="str">
        <f>JUEVES!$C$113</f>
        <v>--</v>
      </c>
      <c r="F293" s="46" t="str">
        <f>IF(P293="","",IFERROR(CHOOSE(VALUE(RIGHT(P293,1)),JUEVES!F113,JUEVES!I113,JUEVES!L113,JUEVES!O113,JUEVES!R113),""))</f>
        <v/>
      </c>
      <c r="G293" s="47" t="str">
        <f>IF(P293="","",IFERROR(CHOOSE(VALUE(RIGHT(P293,1)),JUEVES!G113,JUEVES!J113,JUEVES!M113,JUEVES!P113,JUEVES!S113),""))</f>
        <v/>
      </c>
      <c r="H293" s="48" t="str">
        <f>IF(P293="","",IFERROR(CHOOSE(VALUE(RIGHT(P293,1)),JUEVES!H113,JUEVES!K113,JUEVES!N113,JUEVES!Q113,JUEVES!T113),""))</f>
        <v/>
      </c>
      <c r="I293" s="49" t="str">
        <f t="shared" si="8"/>
        <v/>
      </c>
      <c r="J293" s="50" t="str">
        <f>IF(P293="","",IFERROR(ROUND(CHOOSE(VALUE(RIGHT(P293,1)),IF(JUEVES!C113="peso_corporal",IF(ISNUMBER(JUEVES!E113),JUEVES!E113,0)+JUEVES!F113,JUEVES!F113)*JUEVES!G113,IF(JUEVES!C113="peso_corporal",IF(ISNUMBER(JUEVES!E113),JUEVES!E113,0)+JUEVES!I113,JUEVES!I113)*JUEVES!J113,IF(JUEVES!C113="peso_corporal",IF(ISNUMBER(JUEVES!E113),JUEVES!E113,0)+JUEVES!L113,JUEVES!L113)*JUEVES!M113,IF(JUEVES!C113="peso_corporal",IF(ISNUMBER(JUEVES!E113),JUEVES!E113,0)+JUEVES!O113,JUEVES!O113)*JUEVES!P113,IF(JUEVES!C113="peso_corporal",IF(ISNUMBER(JUEVES!E113),JUEVES!E113,0)+JUEVES!R113,JUEVES!R113)*JUEVES!S113),1),""))</f>
        <v/>
      </c>
      <c r="K293" s="51" t="str">
        <f>IF(P293="","",IFERROR(ROUND(CHOOSE(VALUE(RIGHT(P293,1)),(IF(JUEVES!C113="peso_corporal",IF(ISNUMBER(JUEVES!E113),JUEVES!E113,0)+JUEVES!F113,JUEVES!F113))*(1+JUEVES!G113/30),(IF(JUEVES!C113="peso_corporal",IF(ISNUMBER(JUEVES!E113),JUEVES!E113,0)+JUEVES!I113,JUEVES!I113))*(1+JUEVES!J113/30),(IF(JUEVES!C113="peso_corporal",IF(ISNUMBER(JUEVES!E113),JUEVES!E113,0)+JUEVES!L113,JUEVES!L113))*(1+JUEVES!M113/30),(IF(JUEVES!C113="peso_corporal",IF(ISNUMBER(JUEVES!E113),JUEVES!E113,0)+JUEVES!O113,JUEVES!O113))*(1+JUEVES!P113/30),(IF(JUEVES!C113="peso_corporal",IF(ISNUMBER(JUEVES!E113),JUEVES!E113,0)+JUEVES!R113,JUEVES!R113))*(1+JUEVES!S113/30)),1),""))</f>
        <v/>
      </c>
      <c r="L293" s="52">
        <f>IFERROR(JUEVES!E113,"")</f>
        <v>80</v>
      </c>
      <c r="M293" s="53" t="str">
        <f>IFERROR(IF(K293="","-",IF(ISNUMBER(LOOKUP(2,1/((HISTORIAL!$O$3:$O$292=O293)*(HISTORIAL!$F$3:$F$292&lt;&gt;"")),HISTORIAL!$K$3:$K$292)),IF(K293&gt;LOOKUP(2,1/((HISTORIAL!$O$3:$O$292=O293)*(HISTORIAL!$F$3:$F$292&lt;&gt;"")),HISTORIAL!$K$3:$K$292),"^",IF(K293&lt;LOOKUP(2,1/((HISTORIAL!$O$3:$O$292=O293)*(HISTORIAL!$F$3:$F$292&lt;&gt;"")),HISTORIAL!$K$3:$K$292),"v","-")),"-")),"-")</f>
        <v>-</v>
      </c>
      <c r="N293" s="54" t="str">
        <f>IFERROR(VLOOKUP(A293,CONFIG!$A$10:$B$21,2,0),"")</f>
        <v>HIP</v>
      </c>
      <c r="O293" s="55" t="str">
        <f t="shared" si="9"/>
        <v>Elevaciones Laterales|Drop Set Maquina</v>
      </c>
      <c r="P293" s="69" t="str">
        <f>JUEVES!AC113</f>
        <v/>
      </c>
    </row>
    <row r="294" spans="1:16" ht="14.1" customHeight="1">
      <c r="A294" s="37">
        <v>5</v>
      </c>
      <c r="B294" s="37" t="s">
        <v>280</v>
      </c>
      <c r="C294" s="44" t="str">
        <f>JUEVES!$A$115</f>
        <v>Pajaro</v>
      </c>
      <c r="D294" s="45" t="str">
        <f>JUEVES!$B$115</f>
        <v>Elevacion Posterior</v>
      </c>
      <c r="E294" s="37" t="str">
        <f>JUEVES!$C$115</f>
        <v>mancuerna</v>
      </c>
      <c r="F294" s="46" t="str">
        <f>IF(P294="","",IFERROR(CHOOSE(VALUE(RIGHT(P294,1)),JUEVES!F115,JUEVES!I115,JUEVES!L115,JUEVES!O115,JUEVES!R115),""))</f>
        <v/>
      </c>
      <c r="G294" s="47" t="str">
        <f>IF(P294="","",IFERROR(CHOOSE(VALUE(RIGHT(P294,1)),JUEVES!G115,JUEVES!J115,JUEVES!M115,JUEVES!P115,JUEVES!S115),""))</f>
        <v/>
      </c>
      <c r="H294" s="48" t="str">
        <f>IF(P294="","",IFERROR(CHOOSE(VALUE(RIGHT(P294,1)),JUEVES!H115,JUEVES!K115,JUEVES!N115,JUEVES!Q115,JUEVES!T115),""))</f>
        <v/>
      </c>
      <c r="I294" s="49" t="str">
        <f t="shared" si="8"/>
        <v/>
      </c>
      <c r="J294" s="50" t="str">
        <f>IF(P294="","",IFERROR(ROUND(CHOOSE(VALUE(RIGHT(P294,1)),IF(JUEVES!C115="peso_corporal",IF(ISNUMBER(JUEVES!E115),JUEVES!E115,0)+JUEVES!F115,JUEVES!F115)*JUEVES!G115,IF(JUEVES!C115="peso_corporal",IF(ISNUMBER(JUEVES!E115),JUEVES!E115,0)+JUEVES!I115,JUEVES!I115)*JUEVES!J115,IF(JUEVES!C115="peso_corporal",IF(ISNUMBER(JUEVES!E115),JUEVES!E115,0)+JUEVES!L115,JUEVES!L115)*JUEVES!M115,IF(JUEVES!C115="peso_corporal",IF(ISNUMBER(JUEVES!E115),JUEVES!E115,0)+JUEVES!O115,JUEVES!O115)*JUEVES!P115,IF(JUEVES!C115="peso_corporal",IF(ISNUMBER(JUEVES!E115),JUEVES!E115,0)+JUEVES!R115,JUEVES!R115)*JUEVES!S115),1),""))</f>
        <v/>
      </c>
      <c r="K294" s="51" t="str">
        <f>IF(P294="","",IFERROR(ROUND(CHOOSE(VALUE(RIGHT(P294,1)),(IF(JUEVES!C115="peso_corporal",IF(ISNUMBER(JUEVES!E115),JUEVES!E115,0)+JUEVES!F115,JUEVES!F115))*(1+JUEVES!G115/30),(IF(JUEVES!C115="peso_corporal",IF(ISNUMBER(JUEVES!E115),JUEVES!E115,0)+JUEVES!I115,JUEVES!I115))*(1+JUEVES!J115/30),(IF(JUEVES!C115="peso_corporal",IF(ISNUMBER(JUEVES!E115),JUEVES!E115,0)+JUEVES!L115,JUEVES!L115))*(1+JUEVES!M115/30),(IF(JUEVES!C115="peso_corporal",IF(ISNUMBER(JUEVES!E115),JUEVES!E115,0)+JUEVES!O115,JUEVES!O115))*(1+JUEVES!P115/30),(IF(JUEVES!C115="peso_corporal",IF(ISNUMBER(JUEVES!E115),JUEVES!E115,0)+JUEVES!R115,JUEVES!R115))*(1+JUEVES!S115/30)),1),""))</f>
        <v/>
      </c>
      <c r="L294" s="52">
        <f>IFERROR(JUEVES!E115,"")</f>
        <v>80</v>
      </c>
      <c r="M294" s="53" t="str">
        <f>IFERROR(IF(K294="","-",IF(ISNUMBER(LOOKUP(2,1/((HISTORIAL!$O$3:$O$293=O294)*(HISTORIAL!$F$3:$F$293&lt;&gt;"")),HISTORIAL!$K$3:$K$293)),IF(K294&gt;LOOKUP(2,1/((HISTORIAL!$O$3:$O$293=O294)*(HISTORIAL!$F$3:$F$293&lt;&gt;"")),HISTORIAL!$K$3:$K$293),"^",IF(K294&lt;LOOKUP(2,1/((HISTORIAL!$O$3:$O$293=O294)*(HISTORIAL!$F$3:$F$293&lt;&gt;"")),HISTORIAL!$K$3:$K$293),"v","-")),"-")),"-")</f>
        <v>-</v>
      </c>
      <c r="N294" s="54" t="str">
        <f>IFERROR(VLOOKUP(A294,CONFIG!$A$10:$B$21,2,0),"")</f>
        <v>HIP</v>
      </c>
      <c r="O294" s="55" t="str">
        <f t="shared" si="9"/>
        <v>Pajaro|Elevacion Posterior</v>
      </c>
      <c r="P294" s="69" t="str">
        <f>JUEVES!AC115</f>
        <v/>
      </c>
    </row>
    <row r="295" spans="1:16" ht="14.1" customHeight="1">
      <c r="A295" s="37">
        <v>5</v>
      </c>
      <c r="B295" s="37" t="s">
        <v>280</v>
      </c>
      <c r="C295" s="44" t="str">
        <f>JUEVES!$A$116</f>
        <v>Peck Deck Invertida</v>
      </c>
      <c r="D295" s="45" t="str">
        <f>JUEVES!$B$116</f>
        <v>Maquina</v>
      </c>
      <c r="E295" s="37" t="str">
        <f>JUEVES!$C$116</f>
        <v>polea</v>
      </c>
      <c r="F295" s="46" t="str">
        <f>IF(P295="","",IFERROR(CHOOSE(VALUE(RIGHT(P295,1)),JUEVES!F116,JUEVES!I116,JUEVES!L116,JUEVES!O116,JUEVES!R116),""))</f>
        <v/>
      </c>
      <c r="G295" s="47" t="str">
        <f>IF(P295="","",IFERROR(CHOOSE(VALUE(RIGHT(P295,1)),JUEVES!G116,JUEVES!J116,JUEVES!M116,JUEVES!P116,JUEVES!S116),""))</f>
        <v/>
      </c>
      <c r="H295" s="48" t="str">
        <f>IF(P295="","",IFERROR(CHOOSE(VALUE(RIGHT(P295,1)),JUEVES!H116,JUEVES!K116,JUEVES!N116,JUEVES!Q116,JUEVES!T116),""))</f>
        <v/>
      </c>
      <c r="I295" s="49" t="str">
        <f t="shared" si="8"/>
        <v/>
      </c>
      <c r="J295" s="50" t="str">
        <f>IF(P295="","",IFERROR(ROUND(CHOOSE(VALUE(RIGHT(P295,1)),IF(JUEVES!C116="peso_corporal",IF(ISNUMBER(JUEVES!E116),JUEVES!E116,0)+JUEVES!F116,JUEVES!F116)*JUEVES!G116,IF(JUEVES!C116="peso_corporal",IF(ISNUMBER(JUEVES!E116),JUEVES!E116,0)+JUEVES!I116,JUEVES!I116)*JUEVES!J116,IF(JUEVES!C116="peso_corporal",IF(ISNUMBER(JUEVES!E116),JUEVES!E116,0)+JUEVES!L116,JUEVES!L116)*JUEVES!M116,IF(JUEVES!C116="peso_corporal",IF(ISNUMBER(JUEVES!E116),JUEVES!E116,0)+JUEVES!O116,JUEVES!O116)*JUEVES!P116,IF(JUEVES!C116="peso_corporal",IF(ISNUMBER(JUEVES!E116),JUEVES!E116,0)+JUEVES!R116,JUEVES!R116)*JUEVES!S116),1),""))</f>
        <v/>
      </c>
      <c r="K295" s="51" t="str">
        <f>IF(P295="","",IFERROR(ROUND(CHOOSE(VALUE(RIGHT(P295,1)),(IF(JUEVES!C116="peso_corporal",IF(ISNUMBER(JUEVES!E116),JUEVES!E116,0)+JUEVES!F116,JUEVES!F116))*(1+JUEVES!G116/30),(IF(JUEVES!C116="peso_corporal",IF(ISNUMBER(JUEVES!E116),JUEVES!E116,0)+JUEVES!I116,JUEVES!I116))*(1+JUEVES!J116/30),(IF(JUEVES!C116="peso_corporal",IF(ISNUMBER(JUEVES!E116),JUEVES!E116,0)+JUEVES!L116,JUEVES!L116))*(1+JUEVES!M116/30),(IF(JUEVES!C116="peso_corporal",IF(ISNUMBER(JUEVES!E116),JUEVES!E116,0)+JUEVES!O116,JUEVES!O116))*(1+JUEVES!P116/30),(IF(JUEVES!C116="peso_corporal",IF(ISNUMBER(JUEVES!E116),JUEVES!E116,0)+JUEVES!R116,JUEVES!R116))*(1+JUEVES!S116/30)),1),""))</f>
        <v/>
      </c>
      <c r="L295" s="52">
        <f>IFERROR(JUEVES!E116,"")</f>
        <v>80</v>
      </c>
      <c r="M295" s="53" t="str">
        <f>IFERROR(IF(K295="","-",IF(ISNUMBER(LOOKUP(2,1/((HISTORIAL!$O$3:$O$294=O295)*(HISTORIAL!$F$3:$F$294&lt;&gt;"")),HISTORIAL!$K$3:$K$294)),IF(K295&gt;LOOKUP(2,1/((HISTORIAL!$O$3:$O$294=O295)*(HISTORIAL!$F$3:$F$294&lt;&gt;"")),HISTORIAL!$K$3:$K$294),"^",IF(K295&lt;LOOKUP(2,1/((HISTORIAL!$O$3:$O$294=O295)*(HISTORIAL!$F$3:$F$294&lt;&gt;"")),HISTORIAL!$K$3:$K$294),"v","-")),"-")),"-")</f>
        <v>-</v>
      </c>
      <c r="N295" s="54" t="str">
        <f>IFERROR(VLOOKUP(A295,CONFIG!$A$10:$B$21,2,0),"")</f>
        <v>HIP</v>
      </c>
      <c r="O295" s="55" t="str">
        <f t="shared" si="9"/>
        <v>Peck Deck Invertida|Maquina</v>
      </c>
      <c r="P295" s="69" t="str">
        <f>JUEVES!AC116</f>
        <v/>
      </c>
    </row>
    <row r="296" spans="1:16" ht="14.1" customHeight="1">
      <c r="A296" s="37">
        <v>5</v>
      </c>
      <c r="B296" s="37" t="s">
        <v>280</v>
      </c>
      <c r="C296" s="44" t="str">
        <f>JUEVES!$A$117</f>
        <v>Elevaciones Posteriores</v>
      </c>
      <c r="D296" s="45" t="str">
        <f>JUEVES!$B$117</f>
        <v>Polea Individual</v>
      </c>
      <c r="E296" s="37" t="str">
        <f>JUEVES!$C$117</f>
        <v>polea</v>
      </c>
      <c r="F296" s="46" t="str">
        <f>IF(P296="","",IFERROR(CHOOSE(VALUE(RIGHT(P296,1)),JUEVES!F117,JUEVES!I117,JUEVES!L117,JUEVES!O117,JUEVES!R117),""))</f>
        <v/>
      </c>
      <c r="G296" s="47" t="str">
        <f>IF(P296="","",IFERROR(CHOOSE(VALUE(RIGHT(P296,1)),JUEVES!G117,JUEVES!J117,JUEVES!M117,JUEVES!P117,JUEVES!S117),""))</f>
        <v/>
      </c>
      <c r="H296" s="48" t="str">
        <f>IF(P296="","",IFERROR(CHOOSE(VALUE(RIGHT(P296,1)),JUEVES!H117,JUEVES!K117,JUEVES!N117,JUEVES!Q117,JUEVES!T117),""))</f>
        <v/>
      </c>
      <c r="I296" s="49" t="str">
        <f t="shared" si="8"/>
        <v/>
      </c>
      <c r="J296" s="50" t="str">
        <f>IF(P296="","",IFERROR(ROUND(CHOOSE(VALUE(RIGHT(P296,1)),IF(JUEVES!C117="peso_corporal",IF(ISNUMBER(JUEVES!E117),JUEVES!E117,0)+JUEVES!F117,JUEVES!F117)*JUEVES!G117,IF(JUEVES!C117="peso_corporal",IF(ISNUMBER(JUEVES!E117),JUEVES!E117,0)+JUEVES!I117,JUEVES!I117)*JUEVES!J117,IF(JUEVES!C117="peso_corporal",IF(ISNUMBER(JUEVES!E117),JUEVES!E117,0)+JUEVES!L117,JUEVES!L117)*JUEVES!M117,IF(JUEVES!C117="peso_corporal",IF(ISNUMBER(JUEVES!E117),JUEVES!E117,0)+JUEVES!O117,JUEVES!O117)*JUEVES!P117,IF(JUEVES!C117="peso_corporal",IF(ISNUMBER(JUEVES!E117),JUEVES!E117,0)+JUEVES!R117,JUEVES!R117)*JUEVES!S117),1),""))</f>
        <v/>
      </c>
      <c r="K296" s="51" t="str">
        <f>IF(P296="","",IFERROR(ROUND(CHOOSE(VALUE(RIGHT(P296,1)),(IF(JUEVES!C117="peso_corporal",IF(ISNUMBER(JUEVES!E117),JUEVES!E117,0)+JUEVES!F117,JUEVES!F117))*(1+JUEVES!G117/30),(IF(JUEVES!C117="peso_corporal",IF(ISNUMBER(JUEVES!E117),JUEVES!E117,0)+JUEVES!I117,JUEVES!I117))*(1+JUEVES!J117/30),(IF(JUEVES!C117="peso_corporal",IF(ISNUMBER(JUEVES!E117),JUEVES!E117,0)+JUEVES!L117,JUEVES!L117))*(1+JUEVES!M117/30),(IF(JUEVES!C117="peso_corporal",IF(ISNUMBER(JUEVES!E117),JUEVES!E117,0)+JUEVES!O117,JUEVES!O117))*(1+JUEVES!P117/30),(IF(JUEVES!C117="peso_corporal",IF(ISNUMBER(JUEVES!E117),JUEVES!E117,0)+JUEVES!R117,JUEVES!R117))*(1+JUEVES!S117/30)),1),""))</f>
        <v/>
      </c>
      <c r="L296" s="52">
        <f>IFERROR(JUEVES!E117,"")</f>
        <v>80</v>
      </c>
      <c r="M296" s="53" t="str">
        <f>IFERROR(IF(K296="","-",IF(ISNUMBER(LOOKUP(2,1/((HISTORIAL!$O$3:$O$295=O296)*(HISTORIAL!$F$3:$F$295&lt;&gt;"")),HISTORIAL!$K$3:$K$295)),IF(K296&gt;LOOKUP(2,1/((HISTORIAL!$O$3:$O$295=O296)*(HISTORIAL!$F$3:$F$295&lt;&gt;"")),HISTORIAL!$K$3:$K$295),"^",IF(K296&lt;LOOKUP(2,1/((HISTORIAL!$O$3:$O$295=O296)*(HISTORIAL!$F$3:$F$295&lt;&gt;"")),HISTORIAL!$K$3:$K$295),"v","-")),"-")),"-")</f>
        <v>-</v>
      </c>
      <c r="N296" s="54" t="str">
        <f>IFERROR(VLOOKUP(A296,CONFIG!$A$10:$B$21,2,0),"")</f>
        <v>HIP</v>
      </c>
      <c r="O296" s="55" t="str">
        <f t="shared" si="9"/>
        <v>Elevaciones Posteriores|Polea Individual</v>
      </c>
      <c r="P296" s="69" t="str">
        <f>JUEVES!AC117</f>
        <v/>
      </c>
    </row>
    <row r="297" spans="1:16" ht="14.1" customHeight="1">
      <c r="A297" s="37">
        <v>5</v>
      </c>
      <c r="B297" s="37" t="s">
        <v>280</v>
      </c>
      <c r="C297" s="44" t="str">
        <f>JUEVES!$A$120</f>
        <v>Press Plano</v>
      </c>
      <c r="D297" s="45" t="str">
        <f>JUEVES!$B$120</f>
        <v>Mancuernas</v>
      </c>
      <c r="E297" s="37" t="str">
        <f>JUEVES!$C$120</f>
        <v>mancuerna</v>
      </c>
      <c r="F297" s="46" t="str">
        <f>IF(P297="","",IFERROR(CHOOSE(VALUE(RIGHT(P297,1)),JUEVES!F120,JUEVES!I120,JUEVES!L120,JUEVES!O120,JUEVES!R120),""))</f>
        <v/>
      </c>
      <c r="G297" s="47" t="str">
        <f>IF(P297="","",IFERROR(CHOOSE(VALUE(RIGHT(P297,1)),JUEVES!G120,JUEVES!J120,JUEVES!M120,JUEVES!P120,JUEVES!S120),""))</f>
        <v/>
      </c>
      <c r="H297" s="48" t="str">
        <f>IF(P297="","",IFERROR(CHOOSE(VALUE(RIGHT(P297,1)),JUEVES!H120,JUEVES!K120,JUEVES!N120,JUEVES!Q120,JUEVES!T120),""))</f>
        <v/>
      </c>
      <c r="I297" s="49" t="str">
        <f t="shared" si="8"/>
        <v/>
      </c>
      <c r="J297" s="50" t="str">
        <f>IF(P297="","",IFERROR(ROUND(CHOOSE(VALUE(RIGHT(P297,1)),IF(JUEVES!C120="peso_corporal",IF(ISNUMBER(JUEVES!E120),JUEVES!E120,0)+JUEVES!F120,JUEVES!F120)*JUEVES!G120,IF(JUEVES!C120="peso_corporal",IF(ISNUMBER(JUEVES!E120),JUEVES!E120,0)+JUEVES!I120,JUEVES!I120)*JUEVES!J120,IF(JUEVES!C120="peso_corporal",IF(ISNUMBER(JUEVES!E120),JUEVES!E120,0)+JUEVES!L120,JUEVES!L120)*JUEVES!M120,IF(JUEVES!C120="peso_corporal",IF(ISNUMBER(JUEVES!E120),JUEVES!E120,0)+JUEVES!O120,JUEVES!O120)*JUEVES!P120,IF(JUEVES!C120="peso_corporal",IF(ISNUMBER(JUEVES!E120),JUEVES!E120,0)+JUEVES!R120,JUEVES!R120)*JUEVES!S120),1),""))</f>
        <v/>
      </c>
      <c r="K297" s="51" t="str">
        <f>IF(P297="","",IFERROR(ROUND(CHOOSE(VALUE(RIGHT(P297,1)),(IF(JUEVES!C120="peso_corporal",IF(ISNUMBER(JUEVES!E120),JUEVES!E120,0)+JUEVES!F120,JUEVES!F120))*(1+JUEVES!G120/30),(IF(JUEVES!C120="peso_corporal",IF(ISNUMBER(JUEVES!E120),JUEVES!E120,0)+JUEVES!I120,JUEVES!I120))*(1+JUEVES!J120/30),(IF(JUEVES!C120="peso_corporal",IF(ISNUMBER(JUEVES!E120),JUEVES!E120,0)+JUEVES!L120,JUEVES!L120))*(1+JUEVES!M120/30),(IF(JUEVES!C120="peso_corporal",IF(ISNUMBER(JUEVES!E120),JUEVES!E120,0)+JUEVES!O120,JUEVES!O120))*(1+JUEVES!P120/30),(IF(JUEVES!C120="peso_corporal",IF(ISNUMBER(JUEVES!E120),JUEVES!E120,0)+JUEVES!R120,JUEVES!R120))*(1+JUEVES!S120/30)),1),""))</f>
        <v/>
      </c>
      <c r="L297" s="52">
        <f>IFERROR(JUEVES!E120,"")</f>
        <v>80</v>
      </c>
      <c r="M297" s="53" t="str">
        <f>IFERROR(IF(K297="","-",IF(ISNUMBER(LOOKUP(2,1/((HISTORIAL!$O$3:$O$296=O297)*(HISTORIAL!$F$3:$F$296&lt;&gt;"")),HISTORIAL!$K$3:$K$296)),IF(K297&gt;LOOKUP(2,1/((HISTORIAL!$O$3:$O$296=O297)*(HISTORIAL!$F$3:$F$296&lt;&gt;"")),HISTORIAL!$K$3:$K$296),"^",IF(K297&lt;LOOKUP(2,1/((HISTORIAL!$O$3:$O$296=O297)*(HISTORIAL!$F$3:$F$296&lt;&gt;"")),HISTORIAL!$K$3:$K$296),"v","-")),"-")),"-")</f>
        <v>-</v>
      </c>
      <c r="N297" s="54" t="str">
        <f>IFERROR(VLOOKUP(A297,CONFIG!$A$10:$B$21,2,0),"")</f>
        <v>HIP</v>
      </c>
      <c r="O297" s="55" t="str">
        <f t="shared" si="9"/>
        <v>Press Plano|Mancuernas</v>
      </c>
      <c r="P297" s="69" t="str">
        <f>JUEVES!AC120</f>
        <v/>
      </c>
    </row>
    <row r="298" spans="1:16" ht="14.1" customHeight="1">
      <c r="A298" s="37">
        <v>5</v>
      </c>
      <c r="B298" s="37" t="s">
        <v>280</v>
      </c>
      <c r="C298" s="44" t="str">
        <f>JUEVES!$A$122</f>
        <v>Press Inclinado</v>
      </c>
      <c r="D298" s="45" t="str">
        <f>JUEVES!$B$122</f>
        <v>Multipower</v>
      </c>
      <c r="E298" s="37" t="str">
        <f>JUEVES!$C$122</f>
        <v>disco</v>
      </c>
      <c r="F298" s="46" t="str">
        <f>IF(P298="","",IFERROR(CHOOSE(VALUE(RIGHT(P298,1)),JUEVES!F122,JUEVES!I122,JUEVES!L122,JUEVES!O122,JUEVES!R122),""))</f>
        <v/>
      </c>
      <c r="G298" s="47" t="str">
        <f>IF(P298="","",IFERROR(CHOOSE(VALUE(RIGHT(P298,1)),JUEVES!G122,JUEVES!J122,JUEVES!M122,JUEVES!P122,JUEVES!S122),""))</f>
        <v/>
      </c>
      <c r="H298" s="48" t="str">
        <f>IF(P298="","",IFERROR(CHOOSE(VALUE(RIGHT(P298,1)),JUEVES!H122,JUEVES!K122,JUEVES!N122,JUEVES!Q122,JUEVES!T122),""))</f>
        <v/>
      </c>
      <c r="I298" s="49" t="str">
        <f t="shared" si="8"/>
        <v/>
      </c>
      <c r="J298" s="50" t="str">
        <f>IF(P298="","",IFERROR(ROUND(CHOOSE(VALUE(RIGHT(P298,1)),IF(JUEVES!C122="peso_corporal",IF(ISNUMBER(JUEVES!E122),JUEVES!E122,0)+JUEVES!F122,JUEVES!F122)*JUEVES!G122,IF(JUEVES!C122="peso_corporal",IF(ISNUMBER(JUEVES!E122),JUEVES!E122,0)+JUEVES!I122,JUEVES!I122)*JUEVES!J122,IF(JUEVES!C122="peso_corporal",IF(ISNUMBER(JUEVES!E122),JUEVES!E122,0)+JUEVES!L122,JUEVES!L122)*JUEVES!M122,IF(JUEVES!C122="peso_corporal",IF(ISNUMBER(JUEVES!E122),JUEVES!E122,0)+JUEVES!O122,JUEVES!O122)*JUEVES!P122,IF(JUEVES!C122="peso_corporal",IF(ISNUMBER(JUEVES!E122),JUEVES!E122,0)+JUEVES!R122,JUEVES!R122)*JUEVES!S122),1),""))</f>
        <v/>
      </c>
      <c r="K298" s="51" t="str">
        <f>IF(P298="","",IFERROR(ROUND(CHOOSE(VALUE(RIGHT(P298,1)),(IF(JUEVES!C122="peso_corporal",IF(ISNUMBER(JUEVES!E122),JUEVES!E122,0)+JUEVES!F122,JUEVES!F122))*(1+JUEVES!G122/30),(IF(JUEVES!C122="peso_corporal",IF(ISNUMBER(JUEVES!E122),JUEVES!E122,0)+JUEVES!I122,JUEVES!I122))*(1+JUEVES!J122/30),(IF(JUEVES!C122="peso_corporal",IF(ISNUMBER(JUEVES!E122),JUEVES!E122,0)+JUEVES!L122,JUEVES!L122))*(1+JUEVES!M122/30),(IF(JUEVES!C122="peso_corporal",IF(ISNUMBER(JUEVES!E122),JUEVES!E122,0)+JUEVES!O122,JUEVES!O122))*(1+JUEVES!P122/30),(IF(JUEVES!C122="peso_corporal",IF(ISNUMBER(JUEVES!E122),JUEVES!E122,0)+JUEVES!R122,JUEVES!R122))*(1+JUEVES!S122/30)),1),""))</f>
        <v/>
      </c>
      <c r="L298" s="52">
        <f>IFERROR(JUEVES!E122,"")</f>
        <v>80</v>
      </c>
      <c r="M298" s="53" t="str">
        <f>IFERROR(IF(K298="","-",IF(ISNUMBER(LOOKUP(2,1/((HISTORIAL!$O$3:$O$297=O298)*(HISTORIAL!$F$3:$F$297&lt;&gt;"")),HISTORIAL!$K$3:$K$297)),IF(K298&gt;LOOKUP(2,1/((HISTORIAL!$O$3:$O$297=O298)*(HISTORIAL!$F$3:$F$297&lt;&gt;"")),HISTORIAL!$K$3:$K$297),"^",IF(K298&lt;LOOKUP(2,1/((HISTORIAL!$O$3:$O$297=O298)*(HISTORIAL!$F$3:$F$297&lt;&gt;"")),HISTORIAL!$K$3:$K$297),"v","-")),"-")),"-")</f>
        <v>-</v>
      </c>
      <c r="N298" s="54" t="str">
        <f>IFERROR(VLOOKUP(A298,CONFIG!$A$10:$B$21,2,0),"")</f>
        <v>HIP</v>
      </c>
      <c r="O298" s="55" t="str">
        <f t="shared" si="9"/>
        <v>Press Inclinado|Multipower</v>
      </c>
      <c r="P298" s="69" t="str">
        <f>JUEVES!AC122</f>
        <v/>
      </c>
    </row>
    <row r="299" spans="1:16" ht="14.1" customHeight="1">
      <c r="A299" s="37">
        <v>5</v>
      </c>
      <c r="B299" s="37" t="s">
        <v>280</v>
      </c>
      <c r="C299" s="44" t="str">
        <f>JUEVES!$A$124</f>
        <v>Aperturas</v>
      </c>
      <c r="D299" s="45" t="str">
        <f>JUEVES!$B$124</f>
        <v>Pec Deck Maquina</v>
      </c>
      <c r="E299" s="37" t="str">
        <f>JUEVES!$C$124</f>
        <v>--</v>
      </c>
      <c r="F299" s="46" t="str">
        <f>IF(P299="","",IFERROR(CHOOSE(VALUE(RIGHT(P299,1)),JUEVES!F124,JUEVES!I124,JUEVES!L124,JUEVES!O124,JUEVES!R124),""))</f>
        <v/>
      </c>
      <c r="G299" s="47" t="str">
        <f>IF(P299="","",IFERROR(CHOOSE(VALUE(RIGHT(P299,1)),JUEVES!G124,JUEVES!J124,JUEVES!M124,JUEVES!P124,JUEVES!S124),""))</f>
        <v/>
      </c>
      <c r="H299" s="48" t="str">
        <f>IF(P299="","",IFERROR(CHOOSE(VALUE(RIGHT(P299,1)),JUEVES!H124,JUEVES!K124,JUEVES!N124,JUEVES!Q124,JUEVES!T124),""))</f>
        <v/>
      </c>
      <c r="I299" s="49" t="str">
        <f t="shared" si="8"/>
        <v/>
      </c>
      <c r="J299" s="50" t="str">
        <f>IF(P299="","",IFERROR(ROUND(CHOOSE(VALUE(RIGHT(P299,1)),IF(JUEVES!C124="peso_corporal",IF(ISNUMBER(JUEVES!E124),JUEVES!E124,0)+JUEVES!F124,JUEVES!F124)*JUEVES!G124,IF(JUEVES!C124="peso_corporal",IF(ISNUMBER(JUEVES!E124),JUEVES!E124,0)+JUEVES!I124,JUEVES!I124)*JUEVES!J124,IF(JUEVES!C124="peso_corporal",IF(ISNUMBER(JUEVES!E124),JUEVES!E124,0)+JUEVES!L124,JUEVES!L124)*JUEVES!M124,IF(JUEVES!C124="peso_corporal",IF(ISNUMBER(JUEVES!E124),JUEVES!E124,0)+JUEVES!O124,JUEVES!O124)*JUEVES!P124,IF(JUEVES!C124="peso_corporal",IF(ISNUMBER(JUEVES!E124),JUEVES!E124,0)+JUEVES!R124,JUEVES!R124)*JUEVES!S124),1),""))</f>
        <v/>
      </c>
      <c r="K299" s="51" t="str">
        <f>IF(P299="","",IFERROR(ROUND(CHOOSE(VALUE(RIGHT(P299,1)),(IF(JUEVES!C124="peso_corporal",IF(ISNUMBER(JUEVES!E124),JUEVES!E124,0)+JUEVES!F124,JUEVES!F124))*(1+JUEVES!G124/30),(IF(JUEVES!C124="peso_corporal",IF(ISNUMBER(JUEVES!E124),JUEVES!E124,0)+JUEVES!I124,JUEVES!I124))*(1+JUEVES!J124/30),(IF(JUEVES!C124="peso_corporal",IF(ISNUMBER(JUEVES!E124),JUEVES!E124,0)+JUEVES!L124,JUEVES!L124))*(1+JUEVES!M124/30),(IF(JUEVES!C124="peso_corporal",IF(ISNUMBER(JUEVES!E124),JUEVES!E124,0)+JUEVES!O124,JUEVES!O124))*(1+JUEVES!P124/30),(IF(JUEVES!C124="peso_corporal",IF(ISNUMBER(JUEVES!E124),JUEVES!E124,0)+JUEVES!R124,JUEVES!R124))*(1+JUEVES!S124/30)),1),""))</f>
        <v/>
      </c>
      <c r="L299" s="52">
        <f>IFERROR(JUEVES!E124,"")</f>
        <v>80</v>
      </c>
      <c r="M299" s="53" t="str">
        <f>IFERROR(IF(K299="","-",IF(ISNUMBER(LOOKUP(2,1/((HISTORIAL!$O$3:$O$298=O299)*(HISTORIAL!$F$3:$F$298&lt;&gt;"")),HISTORIAL!$K$3:$K$298)),IF(K299&gt;LOOKUP(2,1/((HISTORIAL!$O$3:$O$298=O299)*(HISTORIAL!$F$3:$F$298&lt;&gt;"")),HISTORIAL!$K$3:$K$298),"^",IF(K299&lt;LOOKUP(2,1/((HISTORIAL!$O$3:$O$298=O299)*(HISTORIAL!$F$3:$F$298&lt;&gt;"")),HISTORIAL!$K$3:$K$298),"v","-")),"-")),"-")</f>
        <v>-</v>
      </c>
      <c r="N299" s="54" t="str">
        <f>IFERROR(VLOOKUP(A299,CONFIG!$A$10:$B$21,2,0),"")</f>
        <v>HIP</v>
      </c>
      <c r="O299" s="55" t="str">
        <f t="shared" si="9"/>
        <v>Aperturas|Pec Deck Maquina</v>
      </c>
      <c r="P299" s="69" t="str">
        <f>JUEVES!AC124</f>
        <v/>
      </c>
    </row>
    <row r="300" spans="1:16" ht="14.1" customHeight="1">
      <c r="A300" s="37">
        <v>5</v>
      </c>
      <c r="B300" s="37" t="s">
        <v>280</v>
      </c>
      <c r="C300" s="44" t="str">
        <f>JUEVES!$A$126</f>
        <v>Press Polea</v>
      </c>
      <c r="D300" s="45" t="str">
        <f>JUEVES!$B$126</f>
        <v>Barra Recta Diagonal Arriba</v>
      </c>
      <c r="E300" s="37" t="str">
        <f>JUEVES!$C$126</f>
        <v>polea</v>
      </c>
      <c r="F300" s="46" t="str">
        <f>IF(P300="","",IFERROR(CHOOSE(VALUE(RIGHT(P300,1)),JUEVES!F126,JUEVES!I126,JUEVES!L126,JUEVES!O126,JUEVES!R126),""))</f>
        <v/>
      </c>
      <c r="G300" s="47" t="str">
        <f>IF(P300="","",IFERROR(CHOOSE(VALUE(RIGHT(P300,1)),JUEVES!G126,JUEVES!J126,JUEVES!M126,JUEVES!P126,JUEVES!S126),""))</f>
        <v/>
      </c>
      <c r="H300" s="48" t="str">
        <f>IF(P300="","",IFERROR(CHOOSE(VALUE(RIGHT(P300,1)),JUEVES!H126,JUEVES!K126,JUEVES!N126,JUEVES!Q126,JUEVES!T126),""))</f>
        <v/>
      </c>
      <c r="I300" s="49" t="str">
        <f t="shared" si="8"/>
        <v/>
      </c>
      <c r="J300" s="50" t="str">
        <f>IF(P300="","",IFERROR(ROUND(CHOOSE(VALUE(RIGHT(P300,1)),IF(JUEVES!C126="peso_corporal",IF(ISNUMBER(JUEVES!E126),JUEVES!E126,0)+JUEVES!F126,JUEVES!F126)*JUEVES!G126,IF(JUEVES!C126="peso_corporal",IF(ISNUMBER(JUEVES!E126),JUEVES!E126,0)+JUEVES!I126,JUEVES!I126)*JUEVES!J126,IF(JUEVES!C126="peso_corporal",IF(ISNUMBER(JUEVES!E126),JUEVES!E126,0)+JUEVES!L126,JUEVES!L126)*JUEVES!M126,IF(JUEVES!C126="peso_corporal",IF(ISNUMBER(JUEVES!E126),JUEVES!E126,0)+JUEVES!O126,JUEVES!O126)*JUEVES!P126,IF(JUEVES!C126="peso_corporal",IF(ISNUMBER(JUEVES!E126),JUEVES!E126,0)+JUEVES!R126,JUEVES!R126)*JUEVES!S126),1),""))</f>
        <v/>
      </c>
      <c r="K300" s="51" t="str">
        <f>IF(P300="","",IFERROR(ROUND(CHOOSE(VALUE(RIGHT(P300,1)),(IF(JUEVES!C126="peso_corporal",IF(ISNUMBER(JUEVES!E126),JUEVES!E126,0)+JUEVES!F126,JUEVES!F126))*(1+JUEVES!G126/30),(IF(JUEVES!C126="peso_corporal",IF(ISNUMBER(JUEVES!E126),JUEVES!E126,0)+JUEVES!I126,JUEVES!I126))*(1+JUEVES!J126/30),(IF(JUEVES!C126="peso_corporal",IF(ISNUMBER(JUEVES!E126),JUEVES!E126,0)+JUEVES!L126,JUEVES!L126))*(1+JUEVES!M126/30),(IF(JUEVES!C126="peso_corporal",IF(ISNUMBER(JUEVES!E126),JUEVES!E126,0)+JUEVES!O126,JUEVES!O126))*(1+JUEVES!P126/30),(IF(JUEVES!C126="peso_corporal",IF(ISNUMBER(JUEVES!E126),JUEVES!E126,0)+JUEVES!R126,JUEVES!R126))*(1+JUEVES!S126/30)),1),""))</f>
        <v/>
      </c>
      <c r="L300" s="52">
        <f>IFERROR(JUEVES!E126,"")</f>
        <v>80</v>
      </c>
      <c r="M300" s="53" t="str">
        <f>IFERROR(IF(K300="","-",IF(ISNUMBER(LOOKUP(2,1/((HISTORIAL!$O$3:$O$299=O300)*(HISTORIAL!$F$3:$F$299&lt;&gt;"")),HISTORIAL!$K$3:$K$299)),IF(K300&gt;LOOKUP(2,1/((HISTORIAL!$O$3:$O$299=O300)*(HISTORIAL!$F$3:$F$299&lt;&gt;"")),HISTORIAL!$K$3:$K$299),"^",IF(K300&lt;LOOKUP(2,1/((HISTORIAL!$O$3:$O$299=O300)*(HISTORIAL!$F$3:$F$299&lt;&gt;"")),HISTORIAL!$K$3:$K$299),"v","-")),"-")),"-")</f>
        <v>-</v>
      </c>
      <c r="N300" s="54" t="str">
        <f>IFERROR(VLOOKUP(A300,CONFIG!$A$10:$B$21,2,0),"")</f>
        <v>HIP</v>
      </c>
      <c r="O300" s="55" t="str">
        <f t="shared" si="9"/>
        <v>Press Polea|Barra Recta Diagonal Arriba</v>
      </c>
      <c r="P300" s="69" t="str">
        <f>JUEVES!AC126</f>
        <v/>
      </c>
    </row>
    <row r="301" spans="1:16" ht="14.1" customHeight="1">
      <c r="A301" s="37">
        <v>5</v>
      </c>
      <c r="B301" s="37" t="s">
        <v>280</v>
      </c>
      <c r="C301" s="44" t="str">
        <f>JUEVES!$A$127</f>
        <v>Extension Triceps</v>
      </c>
      <c r="D301" s="45" t="str">
        <f>JUEVES!$B$127</f>
        <v>Polea Sobre Cabeza</v>
      </c>
      <c r="E301" s="37" t="str">
        <f>JUEVES!$C$127</f>
        <v>--</v>
      </c>
      <c r="F301" s="46" t="str">
        <f>IF(P301="","",IFERROR(CHOOSE(VALUE(RIGHT(P301,1)),JUEVES!F127,JUEVES!I127,JUEVES!L127,JUEVES!O127,JUEVES!R127),""))</f>
        <v/>
      </c>
      <c r="G301" s="47" t="str">
        <f>IF(P301="","",IFERROR(CHOOSE(VALUE(RIGHT(P301,1)),JUEVES!G127,JUEVES!J127,JUEVES!M127,JUEVES!P127,JUEVES!S127),""))</f>
        <v/>
      </c>
      <c r="H301" s="48" t="str">
        <f>IF(P301="","",IFERROR(CHOOSE(VALUE(RIGHT(P301,1)),JUEVES!H127,JUEVES!K127,JUEVES!N127,JUEVES!Q127,JUEVES!T127),""))</f>
        <v/>
      </c>
      <c r="I301" s="49" t="str">
        <f t="shared" si="8"/>
        <v/>
      </c>
      <c r="J301" s="50" t="str">
        <f>IF(P301="","",IFERROR(ROUND(CHOOSE(VALUE(RIGHT(P301,1)),IF(JUEVES!C127="peso_corporal",IF(ISNUMBER(JUEVES!E127),JUEVES!E127,0)+JUEVES!F127,JUEVES!F127)*JUEVES!G127,IF(JUEVES!C127="peso_corporal",IF(ISNUMBER(JUEVES!E127),JUEVES!E127,0)+JUEVES!I127,JUEVES!I127)*JUEVES!J127,IF(JUEVES!C127="peso_corporal",IF(ISNUMBER(JUEVES!E127),JUEVES!E127,0)+JUEVES!L127,JUEVES!L127)*JUEVES!M127,IF(JUEVES!C127="peso_corporal",IF(ISNUMBER(JUEVES!E127),JUEVES!E127,0)+JUEVES!O127,JUEVES!O127)*JUEVES!P127,IF(JUEVES!C127="peso_corporal",IF(ISNUMBER(JUEVES!E127),JUEVES!E127,0)+JUEVES!R127,JUEVES!R127)*JUEVES!S127),1),""))</f>
        <v/>
      </c>
      <c r="K301" s="51" t="str">
        <f>IF(P301="","",IFERROR(ROUND(CHOOSE(VALUE(RIGHT(P301,1)),(IF(JUEVES!C127="peso_corporal",IF(ISNUMBER(JUEVES!E127),JUEVES!E127,0)+JUEVES!F127,JUEVES!F127))*(1+JUEVES!G127/30),(IF(JUEVES!C127="peso_corporal",IF(ISNUMBER(JUEVES!E127),JUEVES!E127,0)+JUEVES!I127,JUEVES!I127))*(1+JUEVES!J127/30),(IF(JUEVES!C127="peso_corporal",IF(ISNUMBER(JUEVES!E127),JUEVES!E127,0)+JUEVES!L127,JUEVES!L127))*(1+JUEVES!M127/30),(IF(JUEVES!C127="peso_corporal",IF(ISNUMBER(JUEVES!E127),JUEVES!E127,0)+JUEVES!O127,JUEVES!O127))*(1+JUEVES!P127/30),(IF(JUEVES!C127="peso_corporal",IF(ISNUMBER(JUEVES!E127),JUEVES!E127,0)+JUEVES!R127,JUEVES!R127))*(1+JUEVES!S127/30)),1),""))</f>
        <v/>
      </c>
      <c r="L301" s="52">
        <f>IFERROR(JUEVES!E127,"")</f>
        <v>80</v>
      </c>
      <c r="M301" s="53" t="str">
        <f>IFERROR(IF(K301="","-",IF(ISNUMBER(LOOKUP(2,1/((HISTORIAL!$O$3:$O$300=O301)*(HISTORIAL!$F$3:$F$300&lt;&gt;"")),HISTORIAL!$K$3:$K$300)),IF(K301&gt;LOOKUP(2,1/((HISTORIAL!$O$3:$O$300=O301)*(HISTORIAL!$F$3:$F$300&lt;&gt;"")),HISTORIAL!$K$3:$K$300),"^",IF(K301&lt;LOOKUP(2,1/((HISTORIAL!$O$3:$O$300=O301)*(HISTORIAL!$F$3:$F$300&lt;&gt;"")),HISTORIAL!$K$3:$K$300),"v","-")),"-")),"-")</f>
        <v>-</v>
      </c>
      <c r="N301" s="54" t="str">
        <f>IFERROR(VLOOKUP(A301,CONFIG!$A$10:$B$21,2,0),"")</f>
        <v>HIP</v>
      </c>
      <c r="O301" s="55" t="str">
        <f t="shared" si="9"/>
        <v>Extension Triceps|Polea Sobre Cabeza</v>
      </c>
      <c r="P301" s="69" t="str">
        <f>JUEVES!AC127</f>
        <v/>
      </c>
    </row>
    <row r="302" spans="1:16" ht="14.1" customHeight="1">
      <c r="A302" s="37">
        <v>5</v>
      </c>
      <c r="B302" s="37" t="s">
        <v>280</v>
      </c>
      <c r="C302" s="44" t="str">
        <f>JUEVES!$A$129</f>
        <v>Extension Cuadriceps</v>
      </c>
      <c r="D302" s="45" t="str">
        <f>JUEVES!$B$129</f>
        <v>Vasto Interno</v>
      </c>
      <c r="E302" s="37" t="str">
        <f>JUEVES!$C$129</f>
        <v>--</v>
      </c>
      <c r="F302" s="46" t="str">
        <f>IF(P302="","",IFERROR(CHOOSE(VALUE(RIGHT(P302,1)),JUEVES!F129,JUEVES!I129,JUEVES!L129,JUEVES!O129,JUEVES!R129),""))</f>
        <v/>
      </c>
      <c r="G302" s="47" t="str">
        <f>IF(P302="","",IFERROR(CHOOSE(VALUE(RIGHT(P302,1)),JUEVES!G129,JUEVES!J129,JUEVES!M129,JUEVES!P129,JUEVES!S129),""))</f>
        <v/>
      </c>
      <c r="H302" s="48" t="str">
        <f>IF(P302="","",IFERROR(CHOOSE(VALUE(RIGHT(P302,1)),JUEVES!H129,JUEVES!K129,JUEVES!N129,JUEVES!Q129,JUEVES!T129),""))</f>
        <v/>
      </c>
      <c r="I302" s="49" t="str">
        <f t="shared" si="8"/>
        <v/>
      </c>
      <c r="J302" s="50" t="str">
        <f>IF(P302="","",IFERROR(ROUND(CHOOSE(VALUE(RIGHT(P302,1)),IF(JUEVES!C129="peso_corporal",IF(ISNUMBER(JUEVES!E129),JUEVES!E129,0)+JUEVES!F129,JUEVES!F129)*JUEVES!G129,IF(JUEVES!C129="peso_corporal",IF(ISNUMBER(JUEVES!E129),JUEVES!E129,0)+JUEVES!I129,JUEVES!I129)*JUEVES!J129,IF(JUEVES!C129="peso_corporal",IF(ISNUMBER(JUEVES!E129),JUEVES!E129,0)+JUEVES!L129,JUEVES!L129)*JUEVES!M129,IF(JUEVES!C129="peso_corporal",IF(ISNUMBER(JUEVES!E129),JUEVES!E129,0)+JUEVES!O129,JUEVES!O129)*JUEVES!P129,IF(JUEVES!C129="peso_corporal",IF(ISNUMBER(JUEVES!E129),JUEVES!E129,0)+JUEVES!R129,JUEVES!R129)*JUEVES!S129),1),""))</f>
        <v/>
      </c>
      <c r="K302" s="51" t="str">
        <f>IF(P302="","",IFERROR(ROUND(CHOOSE(VALUE(RIGHT(P302,1)),(IF(JUEVES!C129="peso_corporal",IF(ISNUMBER(JUEVES!E129),JUEVES!E129,0)+JUEVES!F129,JUEVES!F129))*(1+JUEVES!G129/30),(IF(JUEVES!C129="peso_corporal",IF(ISNUMBER(JUEVES!E129),JUEVES!E129,0)+JUEVES!I129,JUEVES!I129))*(1+JUEVES!J129/30),(IF(JUEVES!C129="peso_corporal",IF(ISNUMBER(JUEVES!E129),JUEVES!E129,0)+JUEVES!L129,JUEVES!L129))*(1+JUEVES!M129/30),(IF(JUEVES!C129="peso_corporal",IF(ISNUMBER(JUEVES!E129),JUEVES!E129,0)+JUEVES!O129,JUEVES!O129))*(1+JUEVES!P129/30),(IF(JUEVES!C129="peso_corporal",IF(ISNUMBER(JUEVES!E129),JUEVES!E129,0)+JUEVES!R129,JUEVES!R129))*(1+JUEVES!S129/30)),1),""))</f>
        <v/>
      </c>
      <c r="L302" s="52">
        <f>IFERROR(JUEVES!E129,"")</f>
        <v>80</v>
      </c>
      <c r="M302" s="53" t="str">
        <f>IFERROR(IF(K302="","-",IF(ISNUMBER(LOOKUP(2,1/((HISTORIAL!$O$3:$O$301=O302)*(HISTORIAL!$F$3:$F$301&lt;&gt;"")),HISTORIAL!$K$3:$K$301)),IF(K302&gt;LOOKUP(2,1/((HISTORIAL!$O$3:$O$301=O302)*(HISTORIAL!$F$3:$F$301&lt;&gt;"")),HISTORIAL!$K$3:$K$301),"^",IF(K302&lt;LOOKUP(2,1/((HISTORIAL!$O$3:$O$301=O302)*(HISTORIAL!$F$3:$F$301&lt;&gt;"")),HISTORIAL!$K$3:$K$301),"v","-")),"-")),"-")</f>
        <v>-</v>
      </c>
      <c r="N302" s="54" t="str">
        <f>IFERROR(VLOOKUP(A302,CONFIG!$A$10:$B$21,2,0),"")</f>
        <v>HIP</v>
      </c>
      <c r="O302" s="55" t="str">
        <f t="shared" si="9"/>
        <v>Extension Cuadriceps|Vasto Interno</v>
      </c>
      <c r="P302" s="69" t="str">
        <f>JUEVES!AC129</f>
        <v/>
      </c>
    </row>
    <row r="303" spans="1:16" ht="14.1" customHeight="1">
      <c r="A303" s="37">
        <v>5</v>
      </c>
      <c r="B303" s="37" t="s">
        <v>280</v>
      </c>
      <c r="C303" s="44" t="str">
        <f>JUEVES!$A$131</f>
        <v>Curl Biceps</v>
      </c>
      <c r="D303" s="45" t="str">
        <f>JUEVES!$B$131</f>
        <v>Concentrado Maquina</v>
      </c>
      <c r="E303" s="37" t="str">
        <f>JUEVES!$C$131</f>
        <v>polea</v>
      </c>
      <c r="F303" s="46" t="str">
        <f>IF(P303="","",IFERROR(CHOOSE(VALUE(RIGHT(P303,1)),JUEVES!F131,JUEVES!I131,JUEVES!L131,JUEVES!O131,JUEVES!R131),""))</f>
        <v/>
      </c>
      <c r="G303" s="47" t="str">
        <f>IF(P303="","",IFERROR(CHOOSE(VALUE(RIGHT(P303,1)),JUEVES!G131,JUEVES!J131,JUEVES!M131,JUEVES!P131,JUEVES!S131),""))</f>
        <v/>
      </c>
      <c r="H303" s="48" t="str">
        <f>IF(P303="","",IFERROR(CHOOSE(VALUE(RIGHT(P303,1)),JUEVES!H131,JUEVES!K131,JUEVES!N131,JUEVES!Q131,JUEVES!T131),""))</f>
        <v/>
      </c>
      <c r="I303" s="49" t="str">
        <f t="shared" si="8"/>
        <v/>
      </c>
      <c r="J303" s="50" t="str">
        <f>IF(P303="","",IFERROR(ROUND(CHOOSE(VALUE(RIGHT(P303,1)),IF(JUEVES!C131="peso_corporal",IF(ISNUMBER(JUEVES!E131),JUEVES!E131,0)+JUEVES!F131,JUEVES!F131)*JUEVES!G131,IF(JUEVES!C131="peso_corporal",IF(ISNUMBER(JUEVES!E131),JUEVES!E131,0)+JUEVES!I131,JUEVES!I131)*JUEVES!J131,IF(JUEVES!C131="peso_corporal",IF(ISNUMBER(JUEVES!E131),JUEVES!E131,0)+JUEVES!L131,JUEVES!L131)*JUEVES!M131,IF(JUEVES!C131="peso_corporal",IF(ISNUMBER(JUEVES!E131),JUEVES!E131,0)+JUEVES!O131,JUEVES!O131)*JUEVES!P131,IF(JUEVES!C131="peso_corporal",IF(ISNUMBER(JUEVES!E131),JUEVES!E131,0)+JUEVES!R131,JUEVES!R131)*JUEVES!S131),1),""))</f>
        <v/>
      </c>
      <c r="K303" s="51" t="str">
        <f>IF(P303="","",IFERROR(ROUND(CHOOSE(VALUE(RIGHT(P303,1)),(IF(JUEVES!C131="peso_corporal",IF(ISNUMBER(JUEVES!E131),JUEVES!E131,0)+JUEVES!F131,JUEVES!F131))*(1+JUEVES!G131/30),(IF(JUEVES!C131="peso_corporal",IF(ISNUMBER(JUEVES!E131),JUEVES!E131,0)+JUEVES!I131,JUEVES!I131))*(1+JUEVES!J131/30),(IF(JUEVES!C131="peso_corporal",IF(ISNUMBER(JUEVES!E131),JUEVES!E131,0)+JUEVES!L131,JUEVES!L131))*(1+JUEVES!M131/30),(IF(JUEVES!C131="peso_corporal",IF(ISNUMBER(JUEVES!E131),JUEVES!E131,0)+JUEVES!O131,JUEVES!O131))*(1+JUEVES!P131/30),(IF(JUEVES!C131="peso_corporal",IF(ISNUMBER(JUEVES!E131),JUEVES!E131,0)+JUEVES!R131,JUEVES!R131))*(1+JUEVES!S131/30)),1),""))</f>
        <v/>
      </c>
      <c r="L303" s="52">
        <f>IFERROR(JUEVES!E131,"")</f>
        <v>80</v>
      </c>
      <c r="M303" s="53" t="str">
        <f>IFERROR(IF(K303="","-",IF(ISNUMBER(LOOKUP(2,1/((HISTORIAL!$O$3:$O$302=O303)*(HISTORIAL!$F$3:$F$302&lt;&gt;"")),HISTORIAL!$K$3:$K$302)),IF(K303&gt;LOOKUP(2,1/((HISTORIAL!$O$3:$O$302=O303)*(HISTORIAL!$F$3:$F$302&lt;&gt;"")),HISTORIAL!$K$3:$K$302),"^",IF(K303&lt;LOOKUP(2,1/((HISTORIAL!$O$3:$O$302=O303)*(HISTORIAL!$F$3:$F$302&lt;&gt;"")),HISTORIAL!$K$3:$K$302),"v","-")),"-")),"-")</f>
        <v>-</v>
      </c>
      <c r="N303" s="54" t="str">
        <f>IFERROR(VLOOKUP(A303,CONFIG!$A$10:$B$21,2,0),"")</f>
        <v>HIP</v>
      </c>
      <c r="O303" s="55" t="str">
        <f t="shared" si="9"/>
        <v>Curl Biceps|Concentrado Maquina</v>
      </c>
      <c r="P303" s="69" t="str">
        <f>JUEVES!AC131</f>
        <v/>
      </c>
    </row>
    <row r="304" spans="1:16" ht="14.1" customHeight="1">
      <c r="A304" s="37">
        <v>5</v>
      </c>
      <c r="B304" s="37" t="s">
        <v>280</v>
      </c>
      <c r="C304" s="44" t="str">
        <f>JUEVES!$A$133</f>
        <v>Crunch</v>
      </c>
      <c r="D304" s="45" t="str">
        <f>JUEVES!$B$133</f>
        <v>Polea</v>
      </c>
      <c r="E304" s="37" t="str">
        <f>JUEVES!$C$133</f>
        <v>polea</v>
      </c>
      <c r="F304" s="46" t="str">
        <f>IF(P304="","",IFERROR(CHOOSE(VALUE(RIGHT(P304,1)),JUEVES!F133,JUEVES!I133,JUEVES!L133,JUEVES!O133,JUEVES!R133),""))</f>
        <v/>
      </c>
      <c r="G304" s="47" t="str">
        <f>IF(P304="","",IFERROR(CHOOSE(VALUE(RIGHT(P304,1)),JUEVES!G133,JUEVES!J133,JUEVES!M133,JUEVES!P133,JUEVES!S133),""))</f>
        <v/>
      </c>
      <c r="H304" s="48" t="str">
        <f>IF(P304="","",IFERROR(CHOOSE(VALUE(RIGHT(P304,1)),JUEVES!H133,JUEVES!K133,JUEVES!N133,JUEVES!Q133,JUEVES!T133),""))</f>
        <v/>
      </c>
      <c r="I304" s="49" t="str">
        <f t="shared" si="8"/>
        <v/>
      </c>
      <c r="J304" s="50" t="str">
        <f>IF(P304="","",IFERROR(ROUND(CHOOSE(VALUE(RIGHT(P304,1)),IF(JUEVES!C133="peso_corporal",IF(ISNUMBER(JUEVES!E133),JUEVES!E133,0)+JUEVES!F133,JUEVES!F133)*JUEVES!G133,IF(JUEVES!C133="peso_corporal",IF(ISNUMBER(JUEVES!E133),JUEVES!E133,0)+JUEVES!I133,JUEVES!I133)*JUEVES!J133,IF(JUEVES!C133="peso_corporal",IF(ISNUMBER(JUEVES!E133),JUEVES!E133,0)+JUEVES!L133,JUEVES!L133)*JUEVES!M133,IF(JUEVES!C133="peso_corporal",IF(ISNUMBER(JUEVES!E133),JUEVES!E133,0)+JUEVES!O133,JUEVES!O133)*JUEVES!P133,IF(JUEVES!C133="peso_corporal",IF(ISNUMBER(JUEVES!E133),JUEVES!E133,0)+JUEVES!R133,JUEVES!R133)*JUEVES!S133),1),""))</f>
        <v/>
      </c>
      <c r="K304" s="51" t="str">
        <f>IF(P304="","",IFERROR(ROUND(CHOOSE(VALUE(RIGHT(P304,1)),(IF(JUEVES!C133="peso_corporal",IF(ISNUMBER(JUEVES!E133),JUEVES!E133,0)+JUEVES!F133,JUEVES!F133))*(1+JUEVES!G133/30),(IF(JUEVES!C133="peso_corporal",IF(ISNUMBER(JUEVES!E133),JUEVES!E133,0)+JUEVES!I133,JUEVES!I133))*(1+JUEVES!J133/30),(IF(JUEVES!C133="peso_corporal",IF(ISNUMBER(JUEVES!E133),JUEVES!E133,0)+JUEVES!L133,JUEVES!L133))*(1+JUEVES!M133/30),(IF(JUEVES!C133="peso_corporal",IF(ISNUMBER(JUEVES!E133),JUEVES!E133,0)+JUEVES!O133,JUEVES!O133))*(1+JUEVES!P133/30),(IF(JUEVES!C133="peso_corporal",IF(ISNUMBER(JUEVES!E133),JUEVES!E133,0)+JUEVES!R133,JUEVES!R133))*(1+JUEVES!S133/30)),1),""))</f>
        <v/>
      </c>
      <c r="L304" s="52">
        <f>IFERROR(JUEVES!E133,"")</f>
        <v>80</v>
      </c>
      <c r="M304" s="53" t="str">
        <f>IFERROR(IF(K304="","-",IF(ISNUMBER(LOOKUP(2,1/((HISTORIAL!$O$3:$O$303=O304)*(HISTORIAL!$F$3:$F$303&lt;&gt;"")),HISTORIAL!$K$3:$K$303)),IF(K304&gt;LOOKUP(2,1/((HISTORIAL!$O$3:$O$303=O304)*(HISTORIAL!$F$3:$F$303&lt;&gt;"")),HISTORIAL!$K$3:$K$303),"^",IF(K304&lt;LOOKUP(2,1/((HISTORIAL!$O$3:$O$303=O304)*(HISTORIAL!$F$3:$F$303&lt;&gt;"")),HISTORIAL!$K$3:$K$303),"v","-")),"-")),"-")</f>
        <v>-</v>
      </c>
      <c r="N304" s="54" t="str">
        <f>IFERROR(VLOOKUP(A304,CONFIG!$A$10:$B$21,2,0),"")</f>
        <v>HIP</v>
      </c>
      <c r="O304" s="55" t="str">
        <f t="shared" si="9"/>
        <v>Crunch|Polea</v>
      </c>
      <c r="P304" s="69" t="str">
        <f>JUEVES!AC133</f>
        <v/>
      </c>
    </row>
    <row r="305" spans="1:16" ht="14.1" customHeight="1">
      <c r="A305" s="37">
        <v>5</v>
      </c>
      <c r="B305" s="37" t="s">
        <v>281</v>
      </c>
      <c r="C305" s="44" t="str">
        <f>SABADO!$A$109</f>
        <v>Pulldown</v>
      </c>
      <c r="D305" s="45" t="str">
        <f>SABADO!$B$109</f>
        <v>Polea Alta Brazos Rectos Prono</v>
      </c>
      <c r="E305" s="37" t="str">
        <f>SABADO!$C$109</f>
        <v>polea</v>
      </c>
      <c r="F305" s="46" t="str">
        <f>IF(P305="","",IFERROR(CHOOSE(VALUE(RIGHT(P305,1)),SABADO!F109,SABADO!I109,SABADO!L109,SABADO!O109,SABADO!R109),""))</f>
        <v/>
      </c>
      <c r="G305" s="47" t="str">
        <f>IF(P305="","",IFERROR(CHOOSE(VALUE(RIGHT(P305,1)),SABADO!G109,SABADO!J109,SABADO!M109,SABADO!P109,SABADO!S109),""))</f>
        <v/>
      </c>
      <c r="H305" s="48" t="str">
        <f>IF(P305="","",IFERROR(CHOOSE(VALUE(RIGHT(P305,1)),SABADO!H109,SABADO!K109,SABADO!N109,SABADO!Q109,SABADO!T109),""))</f>
        <v/>
      </c>
      <c r="I305" s="49" t="str">
        <f t="shared" si="8"/>
        <v/>
      </c>
      <c r="J305" s="50" t="str">
        <f>IF(P305="","",IFERROR(ROUND(CHOOSE(VALUE(RIGHT(P305,1)),IF(SABADO!C109="peso_corporal",IF(ISNUMBER(SABADO!E109),SABADO!E109,0)+SABADO!F109,SABADO!F109)*SABADO!G109,IF(SABADO!C109="peso_corporal",IF(ISNUMBER(SABADO!E109),SABADO!E109,0)+SABADO!I109,SABADO!I109)*SABADO!J109,IF(SABADO!C109="peso_corporal",IF(ISNUMBER(SABADO!E109),SABADO!E109,0)+SABADO!L109,SABADO!L109)*SABADO!M109,IF(SABADO!C109="peso_corporal",IF(ISNUMBER(SABADO!E109),SABADO!E109,0)+SABADO!O109,SABADO!O109)*SABADO!P109,IF(SABADO!C109="peso_corporal",IF(ISNUMBER(SABADO!E109),SABADO!E109,0)+SABADO!R109,SABADO!R109)*SABADO!S109),1),""))</f>
        <v/>
      </c>
      <c r="K305" s="51" t="str">
        <f>IF(P305="","",IFERROR(ROUND(CHOOSE(VALUE(RIGHT(P305,1)),(IF(SABADO!C109="peso_corporal",IF(ISNUMBER(SABADO!E109),SABADO!E109,0)+SABADO!F109,SABADO!F109))*(1+SABADO!G109/30),(IF(SABADO!C109="peso_corporal",IF(ISNUMBER(SABADO!E109),SABADO!E109,0)+SABADO!I109,SABADO!I109))*(1+SABADO!J109/30),(IF(SABADO!C109="peso_corporal",IF(ISNUMBER(SABADO!E109),SABADO!E109,0)+SABADO!L109,SABADO!L109))*(1+SABADO!M109/30),(IF(SABADO!C109="peso_corporal",IF(ISNUMBER(SABADO!E109),SABADO!E109,0)+SABADO!O109,SABADO!O109))*(1+SABADO!P109/30),(IF(SABADO!C109="peso_corporal",IF(ISNUMBER(SABADO!E109),SABADO!E109,0)+SABADO!R109,SABADO!R109))*(1+SABADO!S109/30)),1),""))</f>
        <v/>
      </c>
      <c r="L305" s="52">
        <f>IFERROR(SABADO!E109,"")</f>
        <v>80</v>
      </c>
      <c r="M305" s="53" t="str">
        <f>IFERROR(IF(K305="","-",IF(ISNUMBER(LOOKUP(2,1/((HISTORIAL!$O$3:$O$304=O305)*(HISTORIAL!$F$3:$F$304&lt;&gt;"")),HISTORIAL!$K$3:$K$304)),IF(K305&gt;LOOKUP(2,1/((HISTORIAL!$O$3:$O$304=O305)*(HISTORIAL!$F$3:$F$304&lt;&gt;"")),HISTORIAL!$K$3:$K$304),"^",IF(K305&lt;LOOKUP(2,1/((HISTORIAL!$O$3:$O$304=O305)*(HISTORIAL!$F$3:$F$304&lt;&gt;"")),HISTORIAL!$K$3:$K$304),"v","-")),"-")),"-")</f>
        <v>-</v>
      </c>
      <c r="N305" s="54" t="str">
        <f>IFERROR(VLOOKUP(A305,CONFIG!$A$10:$B$21,2,0),"")</f>
        <v>HIP</v>
      </c>
      <c r="O305" s="55" t="str">
        <f t="shared" si="9"/>
        <v>Pulldown|Polea Alta Brazos Rectos Prono</v>
      </c>
      <c r="P305" s="69" t="str">
        <f>SABADO!AC109</f>
        <v/>
      </c>
    </row>
    <row r="306" spans="1:16" ht="14.1" customHeight="1">
      <c r="A306" s="37">
        <v>5</v>
      </c>
      <c r="B306" s="37" t="s">
        <v>281</v>
      </c>
      <c r="C306" s="44" t="str">
        <f>SABADO!$A$111</f>
        <v>Remo</v>
      </c>
      <c r="D306" s="45" t="str">
        <f>SABADO!$B$111</f>
        <v>Maquina Neutro Estrecho</v>
      </c>
      <c r="E306" s="37" t="str">
        <f>SABADO!$C$111</f>
        <v>polea</v>
      </c>
      <c r="F306" s="46" t="str">
        <f>IF(P306="","",IFERROR(CHOOSE(VALUE(RIGHT(P306,1)),SABADO!F111,SABADO!I111,SABADO!L111,SABADO!O111,SABADO!R111),""))</f>
        <v/>
      </c>
      <c r="G306" s="47" t="str">
        <f>IF(P306="","",IFERROR(CHOOSE(VALUE(RIGHT(P306,1)),SABADO!G111,SABADO!J111,SABADO!M111,SABADO!P111,SABADO!S111),""))</f>
        <v/>
      </c>
      <c r="H306" s="48" t="str">
        <f>IF(P306="","",IFERROR(CHOOSE(VALUE(RIGHT(P306,1)),SABADO!H111,SABADO!K111,SABADO!N111,SABADO!Q111,SABADO!T111),""))</f>
        <v/>
      </c>
      <c r="I306" s="49" t="str">
        <f t="shared" si="8"/>
        <v/>
      </c>
      <c r="J306" s="50" t="str">
        <f>IF(P306="","",IFERROR(ROUND(CHOOSE(VALUE(RIGHT(P306,1)),IF(SABADO!C111="peso_corporal",IF(ISNUMBER(SABADO!E111),SABADO!E111,0)+SABADO!F111,SABADO!F111)*SABADO!G111,IF(SABADO!C111="peso_corporal",IF(ISNUMBER(SABADO!E111),SABADO!E111,0)+SABADO!I111,SABADO!I111)*SABADO!J111,IF(SABADO!C111="peso_corporal",IF(ISNUMBER(SABADO!E111),SABADO!E111,0)+SABADO!L111,SABADO!L111)*SABADO!M111,IF(SABADO!C111="peso_corporal",IF(ISNUMBER(SABADO!E111),SABADO!E111,0)+SABADO!O111,SABADO!O111)*SABADO!P111,IF(SABADO!C111="peso_corporal",IF(ISNUMBER(SABADO!E111),SABADO!E111,0)+SABADO!R111,SABADO!R111)*SABADO!S111),1),""))</f>
        <v/>
      </c>
      <c r="K306" s="51" t="str">
        <f>IF(P306="","",IFERROR(ROUND(CHOOSE(VALUE(RIGHT(P306,1)),(IF(SABADO!C111="peso_corporal",IF(ISNUMBER(SABADO!E111),SABADO!E111,0)+SABADO!F111,SABADO!F111))*(1+SABADO!G111/30),(IF(SABADO!C111="peso_corporal",IF(ISNUMBER(SABADO!E111),SABADO!E111,0)+SABADO!I111,SABADO!I111))*(1+SABADO!J111/30),(IF(SABADO!C111="peso_corporal",IF(ISNUMBER(SABADO!E111),SABADO!E111,0)+SABADO!L111,SABADO!L111))*(1+SABADO!M111/30),(IF(SABADO!C111="peso_corporal",IF(ISNUMBER(SABADO!E111),SABADO!E111,0)+SABADO!O111,SABADO!O111))*(1+SABADO!P111/30),(IF(SABADO!C111="peso_corporal",IF(ISNUMBER(SABADO!E111),SABADO!E111,0)+SABADO!R111,SABADO!R111))*(1+SABADO!S111/30)),1),""))</f>
        <v/>
      </c>
      <c r="L306" s="52">
        <f>IFERROR(SABADO!E111,"")</f>
        <v>80</v>
      </c>
      <c r="M306" s="53" t="str">
        <f>IFERROR(IF(K306="","-",IF(ISNUMBER(LOOKUP(2,1/((HISTORIAL!$O$3:$O$305=O306)*(HISTORIAL!$F$3:$F$305&lt;&gt;"")),HISTORIAL!$K$3:$K$305)),IF(K306&gt;LOOKUP(2,1/((HISTORIAL!$O$3:$O$305=O306)*(HISTORIAL!$F$3:$F$305&lt;&gt;"")),HISTORIAL!$K$3:$K$305),"^",IF(K306&lt;LOOKUP(2,1/((HISTORIAL!$O$3:$O$305=O306)*(HISTORIAL!$F$3:$F$305&lt;&gt;"")),HISTORIAL!$K$3:$K$305),"v","-")),"-")),"-")</f>
        <v>-</v>
      </c>
      <c r="N306" s="54" t="str">
        <f>IFERROR(VLOOKUP(A306,CONFIG!$A$10:$B$21,2,0),"")</f>
        <v>HIP</v>
      </c>
      <c r="O306" s="55" t="str">
        <f t="shared" si="9"/>
        <v>Remo|Maquina Neutro Estrecho</v>
      </c>
      <c r="P306" s="69" t="str">
        <f>SABADO!AC111</f>
        <v/>
      </c>
    </row>
    <row r="307" spans="1:16" ht="14.1" customHeight="1">
      <c r="A307" s="37">
        <v>5</v>
      </c>
      <c r="B307" s="37" t="s">
        <v>281</v>
      </c>
      <c r="C307" s="44" t="str">
        <f>SABADO!$A$112</f>
        <v>Remo</v>
      </c>
      <c r="D307" s="45" t="str">
        <f>SABADO!$B$112</f>
        <v>Maquina Neutro Ancho</v>
      </c>
      <c r="E307" s="37" t="str">
        <f>SABADO!$C$112</f>
        <v>polea</v>
      </c>
      <c r="F307" s="46" t="str">
        <f>IF(P307="","",IFERROR(CHOOSE(VALUE(RIGHT(P307,1)),SABADO!F112,SABADO!I112,SABADO!L112,SABADO!O112,SABADO!R112),""))</f>
        <v/>
      </c>
      <c r="G307" s="47" t="str">
        <f>IF(P307="","",IFERROR(CHOOSE(VALUE(RIGHT(P307,1)),SABADO!G112,SABADO!J112,SABADO!M112,SABADO!P112,SABADO!S112),""))</f>
        <v/>
      </c>
      <c r="H307" s="48" t="str">
        <f>IF(P307="","",IFERROR(CHOOSE(VALUE(RIGHT(P307,1)),SABADO!H112,SABADO!K112,SABADO!N112,SABADO!Q112,SABADO!T112),""))</f>
        <v/>
      </c>
      <c r="I307" s="49" t="str">
        <f t="shared" si="8"/>
        <v/>
      </c>
      <c r="J307" s="50" t="str">
        <f>IF(P307="","",IFERROR(ROUND(CHOOSE(VALUE(RIGHT(P307,1)),IF(SABADO!C112="peso_corporal",IF(ISNUMBER(SABADO!E112),SABADO!E112,0)+SABADO!F112,SABADO!F112)*SABADO!G112,IF(SABADO!C112="peso_corporal",IF(ISNUMBER(SABADO!E112),SABADO!E112,0)+SABADO!I112,SABADO!I112)*SABADO!J112,IF(SABADO!C112="peso_corporal",IF(ISNUMBER(SABADO!E112),SABADO!E112,0)+SABADO!L112,SABADO!L112)*SABADO!M112,IF(SABADO!C112="peso_corporal",IF(ISNUMBER(SABADO!E112),SABADO!E112,0)+SABADO!O112,SABADO!O112)*SABADO!P112,IF(SABADO!C112="peso_corporal",IF(ISNUMBER(SABADO!E112),SABADO!E112,0)+SABADO!R112,SABADO!R112)*SABADO!S112),1),""))</f>
        <v/>
      </c>
      <c r="K307" s="51" t="str">
        <f>IF(P307="","",IFERROR(ROUND(CHOOSE(VALUE(RIGHT(P307,1)),(IF(SABADO!C112="peso_corporal",IF(ISNUMBER(SABADO!E112),SABADO!E112,0)+SABADO!F112,SABADO!F112))*(1+SABADO!G112/30),(IF(SABADO!C112="peso_corporal",IF(ISNUMBER(SABADO!E112),SABADO!E112,0)+SABADO!I112,SABADO!I112))*(1+SABADO!J112/30),(IF(SABADO!C112="peso_corporal",IF(ISNUMBER(SABADO!E112),SABADO!E112,0)+SABADO!L112,SABADO!L112))*(1+SABADO!M112/30),(IF(SABADO!C112="peso_corporal",IF(ISNUMBER(SABADO!E112),SABADO!E112,0)+SABADO!O112,SABADO!O112))*(1+SABADO!P112/30),(IF(SABADO!C112="peso_corporal",IF(ISNUMBER(SABADO!E112),SABADO!E112,0)+SABADO!R112,SABADO!R112))*(1+SABADO!S112/30)),1),""))</f>
        <v/>
      </c>
      <c r="L307" s="52">
        <f>IFERROR(SABADO!E112,"")</f>
        <v>80</v>
      </c>
      <c r="M307" s="53" t="str">
        <f>IFERROR(IF(K307="","-",IF(ISNUMBER(LOOKUP(2,1/((HISTORIAL!$O$3:$O$306=O307)*(HISTORIAL!$F$3:$F$306&lt;&gt;"")),HISTORIAL!$K$3:$K$306)),IF(K307&gt;LOOKUP(2,1/((HISTORIAL!$O$3:$O$306=O307)*(HISTORIAL!$F$3:$F$306&lt;&gt;"")),HISTORIAL!$K$3:$K$306),"^",IF(K307&lt;LOOKUP(2,1/((HISTORIAL!$O$3:$O$306=O307)*(HISTORIAL!$F$3:$F$306&lt;&gt;"")),HISTORIAL!$K$3:$K$306),"v","-")),"-")),"-")</f>
        <v>-</v>
      </c>
      <c r="N307" s="54" t="str">
        <f>IFERROR(VLOOKUP(A307,CONFIG!$A$10:$B$21,2,0),"")</f>
        <v>HIP</v>
      </c>
      <c r="O307" s="55" t="str">
        <f t="shared" si="9"/>
        <v>Remo|Maquina Neutro Ancho</v>
      </c>
      <c r="P307" s="69" t="str">
        <f>SABADO!AC112</f>
        <v/>
      </c>
    </row>
    <row r="308" spans="1:16" ht="14.1" customHeight="1">
      <c r="A308" s="37">
        <v>5</v>
      </c>
      <c r="B308" s="37" t="s">
        <v>281</v>
      </c>
      <c r="C308" s="44" t="str">
        <f>SABADO!$A$113</f>
        <v>Peck Deck Invertida</v>
      </c>
      <c r="D308" s="45" t="str">
        <f>SABADO!$B$113</f>
        <v>Maquina</v>
      </c>
      <c r="E308" s="37" t="str">
        <f>SABADO!$C$113</f>
        <v>polea</v>
      </c>
      <c r="F308" s="46" t="str">
        <f>IF(P308="","",IFERROR(CHOOSE(VALUE(RIGHT(P308,1)),SABADO!F113,SABADO!I113,SABADO!L113,SABADO!O113,SABADO!R113),""))</f>
        <v/>
      </c>
      <c r="G308" s="47" t="str">
        <f>IF(P308="","",IFERROR(CHOOSE(VALUE(RIGHT(P308,1)),SABADO!G113,SABADO!J113,SABADO!M113,SABADO!P113,SABADO!S113),""))</f>
        <v/>
      </c>
      <c r="H308" s="48" t="str">
        <f>IF(P308="","",IFERROR(CHOOSE(VALUE(RIGHT(P308,1)),SABADO!H113,SABADO!K113,SABADO!N113,SABADO!Q113,SABADO!T113),""))</f>
        <v/>
      </c>
      <c r="I308" s="49" t="str">
        <f t="shared" si="8"/>
        <v/>
      </c>
      <c r="J308" s="50" t="str">
        <f>IF(P308="","",IFERROR(ROUND(CHOOSE(VALUE(RIGHT(P308,1)),IF(SABADO!C113="peso_corporal",IF(ISNUMBER(SABADO!E113),SABADO!E113,0)+SABADO!F113,SABADO!F113)*SABADO!G113,IF(SABADO!C113="peso_corporal",IF(ISNUMBER(SABADO!E113),SABADO!E113,0)+SABADO!I113,SABADO!I113)*SABADO!J113,IF(SABADO!C113="peso_corporal",IF(ISNUMBER(SABADO!E113),SABADO!E113,0)+SABADO!L113,SABADO!L113)*SABADO!M113,IF(SABADO!C113="peso_corporal",IF(ISNUMBER(SABADO!E113),SABADO!E113,0)+SABADO!O113,SABADO!O113)*SABADO!P113,IF(SABADO!C113="peso_corporal",IF(ISNUMBER(SABADO!E113),SABADO!E113,0)+SABADO!R113,SABADO!R113)*SABADO!S113),1),""))</f>
        <v/>
      </c>
      <c r="K308" s="51" t="str">
        <f>IF(P308="","",IFERROR(ROUND(CHOOSE(VALUE(RIGHT(P308,1)),(IF(SABADO!C113="peso_corporal",IF(ISNUMBER(SABADO!E113),SABADO!E113,0)+SABADO!F113,SABADO!F113))*(1+SABADO!G113/30),(IF(SABADO!C113="peso_corporal",IF(ISNUMBER(SABADO!E113),SABADO!E113,0)+SABADO!I113,SABADO!I113))*(1+SABADO!J113/30),(IF(SABADO!C113="peso_corporal",IF(ISNUMBER(SABADO!E113),SABADO!E113,0)+SABADO!L113,SABADO!L113))*(1+SABADO!M113/30),(IF(SABADO!C113="peso_corporal",IF(ISNUMBER(SABADO!E113),SABADO!E113,0)+SABADO!O113,SABADO!O113))*(1+SABADO!P113/30),(IF(SABADO!C113="peso_corporal",IF(ISNUMBER(SABADO!E113),SABADO!E113,0)+SABADO!R113,SABADO!R113))*(1+SABADO!S113/30)),1),""))</f>
        <v/>
      </c>
      <c r="L308" s="52">
        <f>IFERROR(SABADO!E113,"")</f>
        <v>80</v>
      </c>
      <c r="M308" s="53" t="str">
        <f>IFERROR(IF(K308="","-",IF(ISNUMBER(LOOKUP(2,1/((HISTORIAL!$O$3:$O$307=O308)*(HISTORIAL!$F$3:$F$307&lt;&gt;"")),HISTORIAL!$K$3:$K$307)),IF(K308&gt;LOOKUP(2,1/((HISTORIAL!$O$3:$O$307=O308)*(HISTORIAL!$F$3:$F$307&lt;&gt;"")),HISTORIAL!$K$3:$K$307),"^",IF(K308&lt;LOOKUP(2,1/((HISTORIAL!$O$3:$O$307=O308)*(HISTORIAL!$F$3:$F$307&lt;&gt;"")),HISTORIAL!$K$3:$K$307),"v","-")),"-")),"-")</f>
        <v>-</v>
      </c>
      <c r="N308" s="54" t="str">
        <f>IFERROR(VLOOKUP(A308,CONFIG!$A$10:$B$21,2,0),"")</f>
        <v>HIP</v>
      </c>
      <c r="O308" s="55" t="str">
        <f t="shared" si="9"/>
        <v>Peck Deck Invertida|Maquina</v>
      </c>
      <c r="P308" s="69" t="str">
        <f>SABADO!AC113</f>
        <v/>
      </c>
    </row>
    <row r="309" spans="1:16" ht="14.1" customHeight="1">
      <c r="A309" s="37">
        <v>5</v>
      </c>
      <c r="B309" s="37" t="s">
        <v>281</v>
      </c>
      <c r="C309" s="44" t="str">
        <f>SABADO!$A$115</f>
        <v>Curl Biceps</v>
      </c>
      <c r="D309" s="45" t="str">
        <f>SABADO!$B$115</f>
        <v>Concentrado Maquina</v>
      </c>
      <c r="E309" s="37" t="str">
        <f>SABADO!$C$115</f>
        <v>polea</v>
      </c>
      <c r="F309" s="46" t="str">
        <f>IF(P309="","",IFERROR(CHOOSE(VALUE(RIGHT(P309,1)),SABADO!F115,SABADO!I115,SABADO!L115,SABADO!O115,SABADO!R115),""))</f>
        <v/>
      </c>
      <c r="G309" s="47" t="str">
        <f>IF(P309="","",IFERROR(CHOOSE(VALUE(RIGHT(P309,1)),SABADO!G115,SABADO!J115,SABADO!M115,SABADO!P115,SABADO!S115),""))</f>
        <v/>
      </c>
      <c r="H309" s="48" t="str">
        <f>IF(P309="","",IFERROR(CHOOSE(VALUE(RIGHT(P309,1)),SABADO!H115,SABADO!K115,SABADO!N115,SABADO!Q115,SABADO!T115),""))</f>
        <v/>
      </c>
      <c r="I309" s="49" t="str">
        <f t="shared" si="8"/>
        <v/>
      </c>
      <c r="J309" s="50" t="str">
        <f>IF(P309="","",IFERROR(ROUND(CHOOSE(VALUE(RIGHT(P309,1)),IF(SABADO!C115="peso_corporal",IF(ISNUMBER(SABADO!E115),SABADO!E115,0)+SABADO!F115,SABADO!F115)*SABADO!G115,IF(SABADO!C115="peso_corporal",IF(ISNUMBER(SABADO!E115),SABADO!E115,0)+SABADO!I115,SABADO!I115)*SABADO!J115,IF(SABADO!C115="peso_corporal",IF(ISNUMBER(SABADO!E115),SABADO!E115,0)+SABADO!L115,SABADO!L115)*SABADO!M115,IF(SABADO!C115="peso_corporal",IF(ISNUMBER(SABADO!E115),SABADO!E115,0)+SABADO!O115,SABADO!O115)*SABADO!P115,IF(SABADO!C115="peso_corporal",IF(ISNUMBER(SABADO!E115),SABADO!E115,0)+SABADO!R115,SABADO!R115)*SABADO!S115),1),""))</f>
        <v/>
      </c>
      <c r="K309" s="51" t="str">
        <f>IF(P309="","",IFERROR(ROUND(CHOOSE(VALUE(RIGHT(P309,1)),(IF(SABADO!C115="peso_corporal",IF(ISNUMBER(SABADO!E115),SABADO!E115,0)+SABADO!F115,SABADO!F115))*(1+SABADO!G115/30),(IF(SABADO!C115="peso_corporal",IF(ISNUMBER(SABADO!E115),SABADO!E115,0)+SABADO!I115,SABADO!I115))*(1+SABADO!J115/30),(IF(SABADO!C115="peso_corporal",IF(ISNUMBER(SABADO!E115),SABADO!E115,0)+SABADO!L115,SABADO!L115))*(1+SABADO!M115/30),(IF(SABADO!C115="peso_corporal",IF(ISNUMBER(SABADO!E115),SABADO!E115,0)+SABADO!O115,SABADO!O115))*(1+SABADO!P115/30),(IF(SABADO!C115="peso_corporal",IF(ISNUMBER(SABADO!E115),SABADO!E115,0)+SABADO!R115,SABADO!R115))*(1+SABADO!S115/30)),1),""))</f>
        <v/>
      </c>
      <c r="L309" s="52">
        <f>IFERROR(SABADO!E115,"")</f>
        <v>80</v>
      </c>
      <c r="M309" s="53" t="str">
        <f>IFERROR(IF(K309="","-",IF(ISNUMBER(LOOKUP(2,1/((HISTORIAL!$O$3:$O$308=O309)*(HISTORIAL!$F$3:$F$308&lt;&gt;"")),HISTORIAL!$K$3:$K$308)),IF(K309&gt;LOOKUP(2,1/((HISTORIAL!$O$3:$O$308=O309)*(HISTORIAL!$F$3:$F$308&lt;&gt;"")),HISTORIAL!$K$3:$K$308),"^",IF(K309&lt;LOOKUP(2,1/((HISTORIAL!$O$3:$O$308=O309)*(HISTORIAL!$F$3:$F$308&lt;&gt;"")),HISTORIAL!$K$3:$K$308),"v","-")),"-")),"-")</f>
        <v>-</v>
      </c>
      <c r="N309" s="54" t="str">
        <f>IFERROR(VLOOKUP(A309,CONFIG!$A$10:$B$21,2,0),"")</f>
        <v>HIP</v>
      </c>
      <c r="O309" s="55" t="str">
        <f t="shared" si="9"/>
        <v>Curl Biceps|Concentrado Maquina</v>
      </c>
      <c r="P309" s="69" t="str">
        <f>SABADO!AC115</f>
        <v/>
      </c>
    </row>
    <row r="310" spans="1:16" ht="14.1" customHeight="1">
      <c r="A310" s="37">
        <v>5</v>
      </c>
      <c r="B310" s="37" t="s">
        <v>281</v>
      </c>
      <c r="C310" s="44" t="str">
        <f>SABADO!$A$116</f>
        <v>Curl Martillo</v>
      </c>
      <c r="D310" s="45" t="str">
        <f>SABADO!$B$116</f>
        <v>Polea Individual</v>
      </c>
      <c r="E310" s="37" t="str">
        <f>SABADO!$C$116</f>
        <v>polea</v>
      </c>
      <c r="F310" s="46" t="str">
        <f>IF(P310="","",IFERROR(CHOOSE(VALUE(RIGHT(P310,1)),SABADO!F116,SABADO!I116,SABADO!L116,SABADO!O116,SABADO!R116),""))</f>
        <v/>
      </c>
      <c r="G310" s="47" t="str">
        <f>IF(P310="","",IFERROR(CHOOSE(VALUE(RIGHT(P310,1)),SABADO!G116,SABADO!J116,SABADO!M116,SABADO!P116,SABADO!S116),""))</f>
        <v/>
      </c>
      <c r="H310" s="48" t="str">
        <f>IF(P310="","",IFERROR(CHOOSE(VALUE(RIGHT(P310,1)),SABADO!H116,SABADO!K116,SABADO!N116,SABADO!Q116,SABADO!T116),""))</f>
        <v/>
      </c>
      <c r="I310" s="49" t="str">
        <f t="shared" si="8"/>
        <v/>
      </c>
      <c r="J310" s="50" t="str">
        <f>IF(P310="","",IFERROR(ROUND(CHOOSE(VALUE(RIGHT(P310,1)),IF(SABADO!C116="peso_corporal",IF(ISNUMBER(SABADO!E116),SABADO!E116,0)+SABADO!F116,SABADO!F116)*SABADO!G116,IF(SABADO!C116="peso_corporal",IF(ISNUMBER(SABADO!E116),SABADO!E116,0)+SABADO!I116,SABADO!I116)*SABADO!J116,IF(SABADO!C116="peso_corporal",IF(ISNUMBER(SABADO!E116),SABADO!E116,0)+SABADO!L116,SABADO!L116)*SABADO!M116,IF(SABADO!C116="peso_corporal",IF(ISNUMBER(SABADO!E116),SABADO!E116,0)+SABADO!O116,SABADO!O116)*SABADO!P116,IF(SABADO!C116="peso_corporal",IF(ISNUMBER(SABADO!E116),SABADO!E116,0)+SABADO!R116,SABADO!R116)*SABADO!S116),1),""))</f>
        <v/>
      </c>
      <c r="K310" s="51" t="str">
        <f>IF(P310="","",IFERROR(ROUND(CHOOSE(VALUE(RIGHT(P310,1)),(IF(SABADO!C116="peso_corporal",IF(ISNUMBER(SABADO!E116),SABADO!E116,0)+SABADO!F116,SABADO!F116))*(1+SABADO!G116/30),(IF(SABADO!C116="peso_corporal",IF(ISNUMBER(SABADO!E116),SABADO!E116,0)+SABADO!I116,SABADO!I116))*(1+SABADO!J116/30),(IF(SABADO!C116="peso_corporal",IF(ISNUMBER(SABADO!E116),SABADO!E116,0)+SABADO!L116,SABADO!L116))*(1+SABADO!M116/30),(IF(SABADO!C116="peso_corporal",IF(ISNUMBER(SABADO!E116),SABADO!E116,0)+SABADO!O116,SABADO!O116))*(1+SABADO!P116/30),(IF(SABADO!C116="peso_corporal",IF(ISNUMBER(SABADO!E116),SABADO!E116,0)+SABADO!R116,SABADO!R116))*(1+SABADO!S116/30)),1),""))</f>
        <v/>
      </c>
      <c r="L310" s="52">
        <f>IFERROR(SABADO!E116,"")</f>
        <v>80</v>
      </c>
      <c r="M310" s="53" t="str">
        <f>IFERROR(IF(K310="","-",IF(ISNUMBER(LOOKUP(2,1/((HISTORIAL!$O$3:$O$309=O310)*(HISTORIAL!$F$3:$F$309&lt;&gt;"")),HISTORIAL!$K$3:$K$309)),IF(K310&gt;LOOKUP(2,1/((HISTORIAL!$O$3:$O$309=O310)*(HISTORIAL!$F$3:$F$309&lt;&gt;"")),HISTORIAL!$K$3:$K$309),"^",IF(K310&lt;LOOKUP(2,1/((HISTORIAL!$O$3:$O$309=O310)*(HISTORIAL!$F$3:$F$309&lt;&gt;"")),HISTORIAL!$K$3:$K$309),"v","-")),"-")),"-")</f>
        <v>-</v>
      </c>
      <c r="N310" s="54" t="str">
        <f>IFERROR(VLOOKUP(A310,CONFIG!$A$10:$B$21,2,0),"")</f>
        <v>HIP</v>
      </c>
      <c r="O310" s="55" t="str">
        <f t="shared" si="9"/>
        <v>Curl Martillo|Polea Individual</v>
      </c>
      <c r="P310" s="69" t="str">
        <f>SABADO!AC116</f>
        <v/>
      </c>
    </row>
    <row r="311" spans="1:16" ht="14.1" customHeight="1">
      <c r="A311" s="37">
        <v>5</v>
      </c>
      <c r="B311" s="37" t="s">
        <v>281</v>
      </c>
      <c r="C311" s="44" t="str">
        <f>SABADO!$A$118</f>
        <v>Curl Muneca</v>
      </c>
      <c r="D311" s="45" t="str">
        <f>SABADO!$B$118</f>
        <v>Supinado</v>
      </c>
      <c r="E311" s="37" t="str">
        <f>SABADO!$C$118</f>
        <v>mancuerna</v>
      </c>
      <c r="F311" s="46" t="str">
        <f>IF(P311="","",IFERROR(CHOOSE(VALUE(RIGHT(P311,1)),SABADO!F118,SABADO!I118,SABADO!L118,SABADO!O118,SABADO!R118),""))</f>
        <v/>
      </c>
      <c r="G311" s="47" t="str">
        <f>IF(P311="","",IFERROR(CHOOSE(VALUE(RIGHT(P311,1)),SABADO!G118,SABADO!J118,SABADO!M118,SABADO!P118,SABADO!S118),""))</f>
        <v/>
      </c>
      <c r="H311" s="48" t="str">
        <f>IF(P311="","",IFERROR(CHOOSE(VALUE(RIGHT(P311,1)),SABADO!H118,SABADO!K118,SABADO!N118,SABADO!Q118,SABADO!T118),""))</f>
        <v/>
      </c>
      <c r="I311" s="49" t="str">
        <f t="shared" si="8"/>
        <v/>
      </c>
      <c r="J311" s="50" t="str">
        <f>IF(P311="","",IFERROR(ROUND(CHOOSE(VALUE(RIGHT(P311,1)),IF(SABADO!C118="peso_corporal",IF(ISNUMBER(SABADO!E118),SABADO!E118,0)+SABADO!F118,SABADO!F118)*SABADO!G118,IF(SABADO!C118="peso_corporal",IF(ISNUMBER(SABADO!E118),SABADO!E118,0)+SABADO!I118,SABADO!I118)*SABADO!J118,IF(SABADO!C118="peso_corporal",IF(ISNUMBER(SABADO!E118),SABADO!E118,0)+SABADO!L118,SABADO!L118)*SABADO!M118,IF(SABADO!C118="peso_corporal",IF(ISNUMBER(SABADO!E118),SABADO!E118,0)+SABADO!O118,SABADO!O118)*SABADO!P118,IF(SABADO!C118="peso_corporal",IF(ISNUMBER(SABADO!E118),SABADO!E118,0)+SABADO!R118,SABADO!R118)*SABADO!S118),1),""))</f>
        <v/>
      </c>
      <c r="K311" s="51" t="str">
        <f>IF(P311="","",IFERROR(ROUND(CHOOSE(VALUE(RIGHT(P311,1)),(IF(SABADO!C118="peso_corporal",IF(ISNUMBER(SABADO!E118),SABADO!E118,0)+SABADO!F118,SABADO!F118))*(1+SABADO!G118/30),(IF(SABADO!C118="peso_corporal",IF(ISNUMBER(SABADO!E118),SABADO!E118,0)+SABADO!I118,SABADO!I118))*(1+SABADO!J118/30),(IF(SABADO!C118="peso_corporal",IF(ISNUMBER(SABADO!E118),SABADO!E118,0)+SABADO!L118,SABADO!L118))*(1+SABADO!M118/30),(IF(SABADO!C118="peso_corporal",IF(ISNUMBER(SABADO!E118),SABADO!E118,0)+SABADO!O118,SABADO!O118))*(1+SABADO!P118/30),(IF(SABADO!C118="peso_corporal",IF(ISNUMBER(SABADO!E118),SABADO!E118,0)+SABADO!R118,SABADO!R118))*(1+SABADO!S118/30)),1),""))</f>
        <v/>
      </c>
      <c r="L311" s="52">
        <f>IFERROR(SABADO!E118,"")</f>
        <v>80</v>
      </c>
      <c r="M311" s="53" t="str">
        <f>IFERROR(IF(K311="","-",IF(ISNUMBER(LOOKUP(2,1/((HISTORIAL!$O$3:$O$310=O311)*(HISTORIAL!$F$3:$F$310&lt;&gt;"")),HISTORIAL!$K$3:$K$310)),IF(K311&gt;LOOKUP(2,1/((HISTORIAL!$O$3:$O$310=O311)*(HISTORIAL!$F$3:$F$310&lt;&gt;"")),HISTORIAL!$K$3:$K$310),"^",IF(K311&lt;LOOKUP(2,1/((HISTORIAL!$O$3:$O$310=O311)*(HISTORIAL!$F$3:$F$310&lt;&gt;"")),HISTORIAL!$K$3:$K$310),"v","-")),"-")),"-")</f>
        <v>-</v>
      </c>
      <c r="N311" s="54" t="str">
        <f>IFERROR(VLOOKUP(A311,CONFIG!$A$10:$B$21,2,0),"")</f>
        <v>HIP</v>
      </c>
      <c r="O311" s="55" t="str">
        <f t="shared" si="9"/>
        <v>Curl Muneca|Supinado</v>
      </c>
      <c r="P311" s="69" t="str">
        <f>SABADO!AC118</f>
        <v/>
      </c>
    </row>
    <row r="312" spans="1:16" ht="14.1" customHeight="1">
      <c r="A312" s="37">
        <v>5</v>
      </c>
      <c r="B312" s="37" t="s">
        <v>281</v>
      </c>
      <c r="C312" s="44" t="str">
        <f>SABADO!$A$119</f>
        <v>Curl Muneca</v>
      </c>
      <c r="D312" s="45" t="str">
        <f>SABADO!$B$119</f>
        <v>Pronado</v>
      </c>
      <c r="E312" s="37" t="str">
        <f>SABADO!$C$119</f>
        <v>mancuerna</v>
      </c>
      <c r="F312" s="46" t="str">
        <f>IF(P312="","",IFERROR(CHOOSE(VALUE(RIGHT(P312,1)),SABADO!F119,SABADO!I119,SABADO!L119,SABADO!O119,SABADO!R119),""))</f>
        <v/>
      </c>
      <c r="G312" s="47" t="str">
        <f>IF(P312="","",IFERROR(CHOOSE(VALUE(RIGHT(P312,1)),SABADO!G119,SABADO!J119,SABADO!M119,SABADO!P119,SABADO!S119),""))</f>
        <v/>
      </c>
      <c r="H312" s="48" t="str">
        <f>IF(P312="","",IFERROR(CHOOSE(VALUE(RIGHT(P312,1)),SABADO!H119,SABADO!K119,SABADO!N119,SABADO!Q119,SABADO!T119),""))</f>
        <v/>
      </c>
      <c r="I312" s="49" t="str">
        <f t="shared" si="8"/>
        <v/>
      </c>
      <c r="J312" s="50" t="str">
        <f>IF(P312="","",IFERROR(ROUND(CHOOSE(VALUE(RIGHT(P312,1)),IF(SABADO!C119="peso_corporal",IF(ISNUMBER(SABADO!E119),SABADO!E119,0)+SABADO!F119,SABADO!F119)*SABADO!G119,IF(SABADO!C119="peso_corporal",IF(ISNUMBER(SABADO!E119),SABADO!E119,0)+SABADO!I119,SABADO!I119)*SABADO!J119,IF(SABADO!C119="peso_corporal",IF(ISNUMBER(SABADO!E119),SABADO!E119,0)+SABADO!L119,SABADO!L119)*SABADO!M119,IF(SABADO!C119="peso_corporal",IF(ISNUMBER(SABADO!E119),SABADO!E119,0)+SABADO!O119,SABADO!O119)*SABADO!P119,IF(SABADO!C119="peso_corporal",IF(ISNUMBER(SABADO!E119),SABADO!E119,0)+SABADO!R119,SABADO!R119)*SABADO!S119),1),""))</f>
        <v/>
      </c>
      <c r="K312" s="51" t="str">
        <f>IF(P312="","",IFERROR(ROUND(CHOOSE(VALUE(RIGHT(P312,1)),(IF(SABADO!C119="peso_corporal",IF(ISNUMBER(SABADO!E119),SABADO!E119,0)+SABADO!F119,SABADO!F119))*(1+SABADO!G119/30),(IF(SABADO!C119="peso_corporal",IF(ISNUMBER(SABADO!E119),SABADO!E119,0)+SABADO!I119,SABADO!I119))*(1+SABADO!J119/30),(IF(SABADO!C119="peso_corporal",IF(ISNUMBER(SABADO!E119),SABADO!E119,0)+SABADO!L119,SABADO!L119))*(1+SABADO!M119/30),(IF(SABADO!C119="peso_corporal",IF(ISNUMBER(SABADO!E119),SABADO!E119,0)+SABADO!O119,SABADO!O119))*(1+SABADO!P119/30),(IF(SABADO!C119="peso_corporal",IF(ISNUMBER(SABADO!E119),SABADO!E119,0)+SABADO!R119,SABADO!R119))*(1+SABADO!S119/30)),1),""))</f>
        <v/>
      </c>
      <c r="L312" s="52">
        <f>IFERROR(SABADO!E119,"")</f>
        <v>80</v>
      </c>
      <c r="M312" s="53" t="str">
        <f>IFERROR(IF(K312="","-",IF(ISNUMBER(LOOKUP(2,1/((HISTORIAL!$O$3:$O$311=O312)*(HISTORIAL!$F$3:$F$311&lt;&gt;"")),HISTORIAL!$K$3:$K$311)),IF(K312&gt;LOOKUP(2,1/((HISTORIAL!$O$3:$O$311=O312)*(HISTORIAL!$F$3:$F$311&lt;&gt;"")),HISTORIAL!$K$3:$K$311),"^",IF(K312&lt;LOOKUP(2,1/((HISTORIAL!$O$3:$O$311=O312)*(HISTORIAL!$F$3:$F$311&lt;&gt;"")),HISTORIAL!$K$3:$K$311),"v","-")),"-")),"-")</f>
        <v>-</v>
      </c>
      <c r="N312" s="54" t="str">
        <f>IFERROR(VLOOKUP(A312,CONFIG!$A$10:$B$21,2,0),"")</f>
        <v>HIP</v>
      </c>
      <c r="O312" s="55" t="str">
        <f t="shared" si="9"/>
        <v>Curl Muneca|Pronado</v>
      </c>
      <c r="P312" s="69" t="str">
        <f>SABADO!AC119</f>
        <v/>
      </c>
    </row>
    <row r="313" spans="1:16" ht="14.1" customHeight="1">
      <c r="A313" s="37">
        <v>5</v>
      </c>
      <c r="B313" s="37" t="s">
        <v>281</v>
      </c>
      <c r="C313" s="44" t="str">
        <f>SABADO!$A$121</f>
        <v>Elevaciones Laterales</v>
      </c>
      <c r="D313" s="45" t="str">
        <f>SABADO!$B$121</f>
        <v>Cable Polea Individual</v>
      </c>
      <c r="E313" s="37" t="str">
        <f>SABADO!$C$121</f>
        <v>polea</v>
      </c>
      <c r="F313" s="46" t="str">
        <f>IF(P313="","",IFERROR(CHOOSE(VALUE(RIGHT(P313,1)),SABADO!F121,SABADO!I121,SABADO!L121,SABADO!O121,SABADO!R121),""))</f>
        <v/>
      </c>
      <c r="G313" s="47" t="str">
        <f>IF(P313="","",IFERROR(CHOOSE(VALUE(RIGHT(P313,1)),SABADO!G121,SABADO!J121,SABADO!M121,SABADO!P121,SABADO!S121),""))</f>
        <v/>
      </c>
      <c r="H313" s="48" t="str">
        <f>IF(P313="","",IFERROR(CHOOSE(VALUE(RIGHT(P313,1)),SABADO!H121,SABADO!K121,SABADO!N121,SABADO!Q121,SABADO!T121),""))</f>
        <v/>
      </c>
      <c r="I313" s="49" t="str">
        <f t="shared" si="8"/>
        <v/>
      </c>
      <c r="J313" s="50" t="str">
        <f>IF(P313="","",IFERROR(ROUND(CHOOSE(VALUE(RIGHT(P313,1)),IF(SABADO!C121="peso_corporal",IF(ISNUMBER(SABADO!E121),SABADO!E121,0)+SABADO!F121,SABADO!F121)*SABADO!G121,IF(SABADO!C121="peso_corporal",IF(ISNUMBER(SABADO!E121),SABADO!E121,0)+SABADO!I121,SABADO!I121)*SABADO!J121,IF(SABADO!C121="peso_corporal",IF(ISNUMBER(SABADO!E121),SABADO!E121,0)+SABADO!L121,SABADO!L121)*SABADO!M121,IF(SABADO!C121="peso_corporal",IF(ISNUMBER(SABADO!E121),SABADO!E121,0)+SABADO!O121,SABADO!O121)*SABADO!P121,IF(SABADO!C121="peso_corporal",IF(ISNUMBER(SABADO!E121),SABADO!E121,0)+SABADO!R121,SABADO!R121)*SABADO!S121),1),""))</f>
        <v/>
      </c>
      <c r="K313" s="51" t="str">
        <f>IF(P313="","",IFERROR(ROUND(CHOOSE(VALUE(RIGHT(P313,1)),(IF(SABADO!C121="peso_corporal",IF(ISNUMBER(SABADO!E121),SABADO!E121,0)+SABADO!F121,SABADO!F121))*(1+SABADO!G121/30),(IF(SABADO!C121="peso_corporal",IF(ISNUMBER(SABADO!E121),SABADO!E121,0)+SABADO!I121,SABADO!I121))*(1+SABADO!J121/30),(IF(SABADO!C121="peso_corporal",IF(ISNUMBER(SABADO!E121),SABADO!E121,0)+SABADO!L121,SABADO!L121))*(1+SABADO!M121/30),(IF(SABADO!C121="peso_corporal",IF(ISNUMBER(SABADO!E121),SABADO!E121,0)+SABADO!O121,SABADO!O121))*(1+SABADO!P121/30),(IF(SABADO!C121="peso_corporal",IF(ISNUMBER(SABADO!E121),SABADO!E121,0)+SABADO!R121,SABADO!R121))*(1+SABADO!S121/30)),1),""))</f>
        <v/>
      </c>
      <c r="L313" s="52">
        <f>IFERROR(SABADO!E121,"")</f>
        <v>80</v>
      </c>
      <c r="M313" s="53" t="str">
        <f>IFERROR(IF(K313="","-",IF(ISNUMBER(LOOKUP(2,1/((HISTORIAL!$O$3:$O$312=O313)*(HISTORIAL!$F$3:$F$312&lt;&gt;"")),HISTORIAL!$K$3:$K$312)),IF(K313&gt;LOOKUP(2,1/((HISTORIAL!$O$3:$O$312=O313)*(HISTORIAL!$F$3:$F$312&lt;&gt;"")),HISTORIAL!$K$3:$K$312),"^",IF(K313&lt;LOOKUP(2,1/((HISTORIAL!$O$3:$O$312=O313)*(HISTORIAL!$F$3:$F$312&lt;&gt;"")),HISTORIAL!$K$3:$K$312),"v","-")),"-")),"-")</f>
        <v>-</v>
      </c>
      <c r="N313" s="54" t="str">
        <f>IFERROR(VLOOKUP(A313,CONFIG!$A$10:$B$21,2,0),"")</f>
        <v>HIP</v>
      </c>
      <c r="O313" s="55" t="str">
        <f t="shared" si="9"/>
        <v>Elevaciones Laterales|Cable Polea Individual</v>
      </c>
      <c r="P313" s="69" t="str">
        <f>SABADO!AC121</f>
        <v/>
      </c>
    </row>
    <row r="314" spans="1:16" ht="14.1" customHeight="1">
      <c r="A314" s="37">
        <v>5</v>
      </c>
      <c r="B314" s="37" t="s">
        <v>281</v>
      </c>
      <c r="C314" s="44" t="str">
        <f>SABADO!$A$123</f>
        <v>Encogimientos</v>
      </c>
      <c r="D314" s="45" t="str">
        <f>SABADO!$B$123</f>
        <v>Mancuernas Trapecio</v>
      </c>
      <c r="E314" s="37" t="str">
        <f>SABADO!$C$123</f>
        <v>mancuerna</v>
      </c>
      <c r="F314" s="46" t="str">
        <f>IF(P314="","",IFERROR(CHOOSE(VALUE(RIGHT(P314,1)),SABADO!F123,SABADO!I123,SABADO!L123,SABADO!O123,SABADO!R123),""))</f>
        <v/>
      </c>
      <c r="G314" s="47" t="str">
        <f>IF(P314="","",IFERROR(CHOOSE(VALUE(RIGHT(P314,1)),SABADO!G123,SABADO!J123,SABADO!M123,SABADO!P123,SABADO!S123),""))</f>
        <v/>
      </c>
      <c r="H314" s="48" t="str">
        <f>IF(P314="","",IFERROR(CHOOSE(VALUE(RIGHT(P314,1)),SABADO!H123,SABADO!K123,SABADO!N123,SABADO!Q123,SABADO!T123),""))</f>
        <v/>
      </c>
      <c r="I314" s="49" t="str">
        <f t="shared" si="8"/>
        <v/>
      </c>
      <c r="J314" s="50" t="str">
        <f>IF(P314="","",IFERROR(ROUND(CHOOSE(VALUE(RIGHT(P314,1)),IF(SABADO!C123="peso_corporal",IF(ISNUMBER(SABADO!E123),SABADO!E123,0)+SABADO!F123,SABADO!F123)*SABADO!G123,IF(SABADO!C123="peso_corporal",IF(ISNUMBER(SABADO!E123),SABADO!E123,0)+SABADO!I123,SABADO!I123)*SABADO!J123,IF(SABADO!C123="peso_corporal",IF(ISNUMBER(SABADO!E123),SABADO!E123,0)+SABADO!L123,SABADO!L123)*SABADO!M123,IF(SABADO!C123="peso_corporal",IF(ISNUMBER(SABADO!E123),SABADO!E123,0)+SABADO!O123,SABADO!O123)*SABADO!P123,IF(SABADO!C123="peso_corporal",IF(ISNUMBER(SABADO!E123),SABADO!E123,0)+SABADO!R123,SABADO!R123)*SABADO!S123),1),""))</f>
        <v/>
      </c>
      <c r="K314" s="51" t="str">
        <f>IF(P314="","",IFERROR(ROUND(CHOOSE(VALUE(RIGHT(P314,1)),(IF(SABADO!C123="peso_corporal",IF(ISNUMBER(SABADO!E123),SABADO!E123,0)+SABADO!F123,SABADO!F123))*(1+SABADO!G123/30),(IF(SABADO!C123="peso_corporal",IF(ISNUMBER(SABADO!E123),SABADO!E123,0)+SABADO!I123,SABADO!I123))*(1+SABADO!J123/30),(IF(SABADO!C123="peso_corporal",IF(ISNUMBER(SABADO!E123),SABADO!E123,0)+SABADO!L123,SABADO!L123))*(1+SABADO!M123/30),(IF(SABADO!C123="peso_corporal",IF(ISNUMBER(SABADO!E123),SABADO!E123,0)+SABADO!O123,SABADO!O123))*(1+SABADO!P123/30),(IF(SABADO!C123="peso_corporal",IF(ISNUMBER(SABADO!E123),SABADO!E123,0)+SABADO!R123,SABADO!R123))*(1+SABADO!S123/30)),1),""))</f>
        <v/>
      </c>
      <c r="L314" s="52">
        <f>IFERROR(SABADO!E123,"")</f>
        <v>80</v>
      </c>
      <c r="M314" s="53" t="str">
        <f>IFERROR(IF(K314="","-",IF(ISNUMBER(LOOKUP(2,1/((HISTORIAL!$O$3:$O$313=O314)*(HISTORIAL!$F$3:$F$313&lt;&gt;"")),HISTORIAL!$K$3:$K$313)),IF(K314&gt;LOOKUP(2,1/((HISTORIAL!$O$3:$O$313=O314)*(HISTORIAL!$F$3:$F$313&lt;&gt;"")),HISTORIAL!$K$3:$K$313),"^",IF(K314&lt;LOOKUP(2,1/((HISTORIAL!$O$3:$O$313=O314)*(HISTORIAL!$F$3:$F$313&lt;&gt;"")),HISTORIAL!$K$3:$K$313),"v","-")),"-")),"-")</f>
        <v>-</v>
      </c>
      <c r="N314" s="54" t="str">
        <f>IFERROR(VLOOKUP(A314,CONFIG!$A$10:$B$21,2,0),"")</f>
        <v>HIP</v>
      </c>
      <c r="O314" s="55" t="str">
        <f t="shared" si="9"/>
        <v>Encogimientos|Mancuernas Trapecio</v>
      </c>
      <c r="P314" s="69" t="str">
        <f>SABADO!AC123</f>
        <v/>
      </c>
    </row>
    <row r="315" spans="1:16" ht="14.1" customHeight="1">
      <c r="A315" s="37">
        <v>5</v>
      </c>
      <c r="B315" s="37" t="s">
        <v>281</v>
      </c>
      <c r="C315" s="44" t="str">
        <f>SABADO!$A$124</f>
        <v>Face Pull</v>
      </c>
      <c r="D315" s="45" t="str">
        <f>SABADO!$B$124</f>
        <v>Polea Alta Cuerda</v>
      </c>
      <c r="E315" s="37" t="str">
        <f>SABADO!$C$124</f>
        <v>polea</v>
      </c>
      <c r="F315" s="46" t="str">
        <f>IF(P315="","",IFERROR(CHOOSE(VALUE(RIGHT(P315,1)),SABADO!F124,SABADO!I124,SABADO!L124,SABADO!O124,SABADO!R124),""))</f>
        <v/>
      </c>
      <c r="G315" s="47" t="str">
        <f>IF(P315="","",IFERROR(CHOOSE(VALUE(RIGHT(P315,1)),SABADO!G124,SABADO!J124,SABADO!M124,SABADO!P124,SABADO!S124),""))</f>
        <v/>
      </c>
      <c r="H315" s="48" t="str">
        <f>IF(P315="","",IFERROR(CHOOSE(VALUE(RIGHT(P315,1)),SABADO!H124,SABADO!K124,SABADO!N124,SABADO!Q124,SABADO!T124),""))</f>
        <v/>
      </c>
      <c r="I315" s="49" t="str">
        <f t="shared" si="8"/>
        <v/>
      </c>
      <c r="J315" s="50" t="str">
        <f>IF(P315="","",IFERROR(ROUND(CHOOSE(VALUE(RIGHT(P315,1)),IF(SABADO!C124="peso_corporal",IF(ISNUMBER(SABADO!E124),SABADO!E124,0)+SABADO!F124,SABADO!F124)*SABADO!G124,IF(SABADO!C124="peso_corporal",IF(ISNUMBER(SABADO!E124),SABADO!E124,0)+SABADO!I124,SABADO!I124)*SABADO!J124,IF(SABADO!C124="peso_corporal",IF(ISNUMBER(SABADO!E124),SABADO!E124,0)+SABADO!L124,SABADO!L124)*SABADO!M124,IF(SABADO!C124="peso_corporal",IF(ISNUMBER(SABADO!E124),SABADO!E124,0)+SABADO!O124,SABADO!O124)*SABADO!P124,IF(SABADO!C124="peso_corporal",IF(ISNUMBER(SABADO!E124),SABADO!E124,0)+SABADO!R124,SABADO!R124)*SABADO!S124),1),""))</f>
        <v/>
      </c>
      <c r="K315" s="51" t="str">
        <f>IF(P315="","",IFERROR(ROUND(CHOOSE(VALUE(RIGHT(P315,1)),(IF(SABADO!C124="peso_corporal",IF(ISNUMBER(SABADO!E124),SABADO!E124,0)+SABADO!F124,SABADO!F124))*(1+SABADO!G124/30),(IF(SABADO!C124="peso_corporal",IF(ISNUMBER(SABADO!E124),SABADO!E124,0)+SABADO!I124,SABADO!I124))*(1+SABADO!J124/30),(IF(SABADO!C124="peso_corporal",IF(ISNUMBER(SABADO!E124),SABADO!E124,0)+SABADO!L124,SABADO!L124))*(1+SABADO!M124/30),(IF(SABADO!C124="peso_corporal",IF(ISNUMBER(SABADO!E124),SABADO!E124,0)+SABADO!O124,SABADO!O124))*(1+SABADO!P124/30),(IF(SABADO!C124="peso_corporal",IF(ISNUMBER(SABADO!E124),SABADO!E124,0)+SABADO!R124,SABADO!R124))*(1+SABADO!S124/30)),1),""))</f>
        <v/>
      </c>
      <c r="L315" s="52">
        <f>IFERROR(SABADO!E124,"")</f>
        <v>80</v>
      </c>
      <c r="M315" s="53" t="str">
        <f>IFERROR(IF(K315="","-",IF(ISNUMBER(LOOKUP(2,1/((HISTORIAL!$O$3:$O$314=O315)*(HISTORIAL!$F$3:$F$314&lt;&gt;"")),HISTORIAL!$K$3:$K$314)),IF(K315&gt;LOOKUP(2,1/((HISTORIAL!$O$3:$O$314=O315)*(HISTORIAL!$F$3:$F$314&lt;&gt;"")),HISTORIAL!$K$3:$K$314),"^",IF(K315&lt;LOOKUP(2,1/((HISTORIAL!$O$3:$O$314=O315)*(HISTORIAL!$F$3:$F$314&lt;&gt;"")),HISTORIAL!$K$3:$K$314),"v","-")),"-")),"-")</f>
        <v>-</v>
      </c>
      <c r="N315" s="54" t="str">
        <f>IFERROR(VLOOKUP(A315,CONFIG!$A$10:$B$21,2,0),"")</f>
        <v>HIP</v>
      </c>
      <c r="O315" s="55" t="str">
        <f t="shared" si="9"/>
        <v>Face Pull|Polea Alta Cuerda</v>
      </c>
      <c r="P315" s="69" t="str">
        <f>SABADO!AC124</f>
        <v/>
      </c>
    </row>
    <row r="316" spans="1:16" ht="14.1" customHeight="1">
      <c r="A316" s="37">
        <v>5</v>
      </c>
      <c r="B316" s="37" t="s">
        <v>281</v>
      </c>
      <c r="C316" s="44" t="str">
        <f>SABADO!$A$126</f>
        <v>Hiperextension</v>
      </c>
      <c r="D316" s="45" t="str">
        <f>SABADO!$B$126</f>
        <v>Banco Romano</v>
      </c>
      <c r="E316" s="37" t="str">
        <f>SABADO!$C$126</f>
        <v>peso_corporal</v>
      </c>
      <c r="F316" s="46" t="str">
        <f>IF(P316="","",IFERROR(CHOOSE(VALUE(RIGHT(P316,1)),SABADO!F126,SABADO!I126,SABADO!L126,SABADO!O126,SABADO!R126),""))</f>
        <v/>
      </c>
      <c r="G316" s="47" t="str">
        <f>IF(P316="","",IFERROR(CHOOSE(VALUE(RIGHT(P316,1)),SABADO!G126,SABADO!J126,SABADO!M126,SABADO!P126,SABADO!S126),""))</f>
        <v/>
      </c>
      <c r="H316" s="48" t="str">
        <f>IF(P316="","",IFERROR(CHOOSE(VALUE(RIGHT(P316,1)),SABADO!H126,SABADO!K126,SABADO!N126,SABADO!Q126,SABADO!T126),""))</f>
        <v/>
      </c>
      <c r="I316" s="49" t="str">
        <f t="shared" si="8"/>
        <v/>
      </c>
      <c r="J316" s="50" t="str">
        <f>IF(P316="","",IFERROR(ROUND(CHOOSE(VALUE(RIGHT(P316,1)),IF(SABADO!C126="peso_corporal",IF(ISNUMBER(SABADO!E126),SABADO!E126,0)+SABADO!F126,SABADO!F126)*SABADO!G126,IF(SABADO!C126="peso_corporal",IF(ISNUMBER(SABADO!E126),SABADO!E126,0)+SABADO!I126,SABADO!I126)*SABADO!J126,IF(SABADO!C126="peso_corporal",IF(ISNUMBER(SABADO!E126),SABADO!E126,0)+SABADO!L126,SABADO!L126)*SABADO!M126,IF(SABADO!C126="peso_corporal",IF(ISNUMBER(SABADO!E126),SABADO!E126,0)+SABADO!O126,SABADO!O126)*SABADO!P126,IF(SABADO!C126="peso_corporal",IF(ISNUMBER(SABADO!E126),SABADO!E126,0)+SABADO!R126,SABADO!R126)*SABADO!S126),1),""))</f>
        <v/>
      </c>
      <c r="K316" s="51" t="str">
        <f>IF(P316="","",IFERROR(ROUND(CHOOSE(VALUE(RIGHT(P316,1)),(IF(SABADO!C126="peso_corporal",IF(ISNUMBER(SABADO!E126),SABADO!E126,0)+SABADO!F126,SABADO!F126))*(1+SABADO!G126/30),(IF(SABADO!C126="peso_corporal",IF(ISNUMBER(SABADO!E126),SABADO!E126,0)+SABADO!I126,SABADO!I126))*(1+SABADO!J126/30),(IF(SABADO!C126="peso_corporal",IF(ISNUMBER(SABADO!E126),SABADO!E126,0)+SABADO!L126,SABADO!L126))*(1+SABADO!M126/30),(IF(SABADO!C126="peso_corporal",IF(ISNUMBER(SABADO!E126),SABADO!E126,0)+SABADO!O126,SABADO!O126))*(1+SABADO!P126/30),(IF(SABADO!C126="peso_corporal",IF(ISNUMBER(SABADO!E126),SABADO!E126,0)+SABADO!R126,SABADO!R126))*(1+SABADO!S126/30)),1),""))</f>
        <v/>
      </c>
      <c r="L316" s="52">
        <f>IFERROR(SABADO!E126,"")</f>
        <v>80</v>
      </c>
      <c r="M316" s="53" t="str">
        <f>IFERROR(IF(K316="","-",IF(ISNUMBER(LOOKUP(2,1/((HISTORIAL!$O$3:$O$315=O316)*(HISTORIAL!$F$3:$F$315&lt;&gt;"")),HISTORIAL!$K$3:$K$315)),IF(K316&gt;LOOKUP(2,1/((HISTORIAL!$O$3:$O$315=O316)*(HISTORIAL!$F$3:$F$315&lt;&gt;"")),HISTORIAL!$K$3:$K$315),"^",IF(K316&lt;LOOKUP(2,1/((HISTORIAL!$O$3:$O$315=O316)*(HISTORIAL!$F$3:$F$315&lt;&gt;"")),HISTORIAL!$K$3:$K$315),"v","-")),"-")),"-")</f>
        <v>-</v>
      </c>
      <c r="N316" s="54" t="str">
        <f>IFERROR(VLOOKUP(A316,CONFIG!$A$10:$B$21,2,0),"")</f>
        <v>HIP</v>
      </c>
      <c r="O316" s="55" t="str">
        <f t="shared" si="9"/>
        <v>Hiperextension|Banco Romano</v>
      </c>
      <c r="P316" s="69" t="str">
        <f>SABADO!AC126</f>
        <v/>
      </c>
    </row>
    <row r="317" spans="1:16" ht="14.1" customHeight="1">
      <c r="A317" s="37">
        <v>5</v>
      </c>
      <c r="B317" s="37" t="s">
        <v>281</v>
      </c>
      <c r="C317" s="44" t="str">
        <f>SABADO!$A$128</f>
        <v>Crunch</v>
      </c>
      <c r="D317" s="45" t="str">
        <f>SABADO!$B$128</f>
        <v>Polea</v>
      </c>
      <c r="E317" s="37" t="str">
        <f>SABADO!$C$128</f>
        <v>polea</v>
      </c>
      <c r="F317" s="46" t="str">
        <f>IF(P317="","",IFERROR(CHOOSE(VALUE(RIGHT(P317,1)),SABADO!F128,SABADO!I128,SABADO!L128,SABADO!O128,SABADO!R128),""))</f>
        <v/>
      </c>
      <c r="G317" s="47" t="str">
        <f>IF(P317="","",IFERROR(CHOOSE(VALUE(RIGHT(P317,1)),SABADO!G128,SABADO!J128,SABADO!M128,SABADO!P128,SABADO!S128),""))</f>
        <v/>
      </c>
      <c r="H317" s="48" t="str">
        <f>IF(P317="","",IFERROR(CHOOSE(VALUE(RIGHT(P317,1)),SABADO!H128,SABADO!K128,SABADO!N128,SABADO!Q128,SABADO!T128),""))</f>
        <v/>
      </c>
      <c r="I317" s="49" t="str">
        <f t="shared" si="8"/>
        <v/>
      </c>
      <c r="J317" s="50" t="str">
        <f>IF(P317="","",IFERROR(ROUND(CHOOSE(VALUE(RIGHT(P317,1)),IF(SABADO!C128="peso_corporal",IF(ISNUMBER(SABADO!E128),SABADO!E128,0)+SABADO!F128,SABADO!F128)*SABADO!G128,IF(SABADO!C128="peso_corporal",IF(ISNUMBER(SABADO!E128),SABADO!E128,0)+SABADO!I128,SABADO!I128)*SABADO!J128,IF(SABADO!C128="peso_corporal",IF(ISNUMBER(SABADO!E128),SABADO!E128,0)+SABADO!L128,SABADO!L128)*SABADO!M128,IF(SABADO!C128="peso_corporal",IF(ISNUMBER(SABADO!E128),SABADO!E128,0)+SABADO!O128,SABADO!O128)*SABADO!P128,IF(SABADO!C128="peso_corporal",IF(ISNUMBER(SABADO!E128),SABADO!E128,0)+SABADO!R128,SABADO!R128)*SABADO!S128),1),""))</f>
        <v/>
      </c>
      <c r="K317" s="51" t="str">
        <f>IF(P317="","",IFERROR(ROUND(CHOOSE(VALUE(RIGHT(P317,1)),(IF(SABADO!C128="peso_corporal",IF(ISNUMBER(SABADO!E128),SABADO!E128,0)+SABADO!F128,SABADO!F128))*(1+SABADO!G128/30),(IF(SABADO!C128="peso_corporal",IF(ISNUMBER(SABADO!E128),SABADO!E128,0)+SABADO!I128,SABADO!I128))*(1+SABADO!J128/30),(IF(SABADO!C128="peso_corporal",IF(ISNUMBER(SABADO!E128),SABADO!E128,0)+SABADO!L128,SABADO!L128))*(1+SABADO!M128/30),(IF(SABADO!C128="peso_corporal",IF(ISNUMBER(SABADO!E128),SABADO!E128,0)+SABADO!O128,SABADO!O128))*(1+SABADO!P128/30),(IF(SABADO!C128="peso_corporal",IF(ISNUMBER(SABADO!E128),SABADO!E128,0)+SABADO!R128,SABADO!R128))*(1+SABADO!S128/30)),1),""))</f>
        <v/>
      </c>
      <c r="L317" s="52">
        <f>IFERROR(SABADO!E128,"")</f>
        <v>80</v>
      </c>
      <c r="M317" s="53" t="str">
        <f>IFERROR(IF(K317="","-",IF(ISNUMBER(LOOKUP(2,1/((HISTORIAL!$O$3:$O$316=O317)*(HISTORIAL!$F$3:$F$316&lt;&gt;"")),HISTORIAL!$K$3:$K$316)),IF(K317&gt;LOOKUP(2,1/((HISTORIAL!$O$3:$O$316=O317)*(HISTORIAL!$F$3:$F$316&lt;&gt;"")),HISTORIAL!$K$3:$K$316),"^",IF(K317&lt;LOOKUP(2,1/((HISTORIAL!$O$3:$O$316=O317)*(HISTORIAL!$F$3:$F$316&lt;&gt;"")),HISTORIAL!$K$3:$K$316),"v","-")),"-")),"-")</f>
        <v>-</v>
      </c>
      <c r="N317" s="54" t="str">
        <f>IFERROR(VLOOKUP(A317,CONFIG!$A$10:$B$21,2,0),"")</f>
        <v>HIP</v>
      </c>
      <c r="O317" s="55" t="str">
        <f t="shared" si="9"/>
        <v>Crunch|Polea</v>
      </c>
      <c r="P317" s="69" t="str">
        <f>SABADO!AC128</f>
        <v/>
      </c>
    </row>
    <row r="318" spans="1:16" ht="14.1" customHeight="1">
      <c r="A318" s="37">
        <v>6</v>
      </c>
      <c r="B318" s="37" t="s">
        <v>277</v>
      </c>
      <c r="C318" s="44" t="str">
        <f>LUNES!$A$123</f>
        <v>Press Plano</v>
      </c>
      <c r="D318" s="45" t="str">
        <f>LUNES!$B$123</f>
        <v>Barra</v>
      </c>
      <c r="E318" s="37" t="str">
        <f>LUNES!$C$123</f>
        <v>disco</v>
      </c>
      <c r="F318" s="46" t="str">
        <f>IF(P318="","",IFERROR(CHOOSE(VALUE(RIGHT(P318,1)),LUNES!F123,LUNES!I123,LUNES!L123,LUNES!O123,LUNES!R123),""))</f>
        <v/>
      </c>
      <c r="G318" s="47" t="str">
        <f>IF(P318="","",IFERROR(CHOOSE(VALUE(RIGHT(P318,1)),LUNES!G123,LUNES!J123,LUNES!M123,LUNES!P123,LUNES!S123),""))</f>
        <v/>
      </c>
      <c r="H318" s="48" t="str">
        <f>IF(P318="","",IFERROR(CHOOSE(VALUE(RIGHT(P318,1)),LUNES!H123,LUNES!K123,LUNES!N123,LUNES!Q123,LUNES!T123),""))</f>
        <v/>
      </c>
      <c r="I318" s="49" t="str">
        <f t="shared" si="8"/>
        <v/>
      </c>
      <c r="J318" s="50" t="str">
        <f>IF(P318="","",IFERROR(ROUND(CHOOSE(VALUE(RIGHT(P318,1)),IF(LUNES!C123="peso_corporal",IF(ISNUMBER(LUNES!E123),LUNES!E123,0)+LUNES!F123,LUNES!F123)*LUNES!G123,IF(LUNES!C123="peso_corporal",IF(ISNUMBER(LUNES!E123),LUNES!E123,0)+LUNES!I123,LUNES!I123)*LUNES!J123,IF(LUNES!C123="peso_corporal",IF(ISNUMBER(LUNES!E123),LUNES!E123,0)+LUNES!L123,LUNES!L123)*LUNES!M123,IF(LUNES!C123="peso_corporal",IF(ISNUMBER(LUNES!E123),LUNES!E123,0)+LUNES!O123,LUNES!O123)*LUNES!P123,IF(LUNES!C123="peso_corporal",IF(ISNUMBER(LUNES!E123),LUNES!E123,0)+LUNES!R123,LUNES!R123)*LUNES!S123),1),""))</f>
        <v/>
      </c>
      <c r="K318" s="51" t="str">
        <f>IF(P318="","",IFERROR(ROUND(CHOOSE(VALUE(RIGHT(P318,1)),(IF(LUNES!C123="peso_corporal",IF(ISNUMBER(LUNES!E123),LUNES!E123,0)+LUNES!F123,LUNES!F123))*(1+LUNES!G123/30),(IF(LUNES!C123="peso_corporal",IF(ISNUMBER(LUNES!E123),LUNES!E123,0)+LUNES!I123,LUNES!I123))*(1+LUNES!J123/30),(IF(LUNES!C123="peso_corporal",IF(ISNUMBER(LUNES!E123),LUNES!E123,0)+LUNES!L123,LUNES!L123))*(1+LUNES!M123/30),(IF(LUNES!C123="peso_corporal",IF(ISNUMBER(LUNES!E123),LUNES!E123,0)+LUNES!O123,LUNES!O123))*(1+LUNES!P123/30),(IF(LUNES!C123="peso_corporal",IF(ISNUMBER(LUNES!E123),LUNES!E123,0)+LUNES!R123,LUNES!R123))*(1+LUNES!S123/30)),1),""))</f>
        <v/>
      </c>
      <c r="L318" s="52">
        <f>IFERROR(LUNES!E123,"")</f>
        <v>80</v>
      </c>
      <c r="M318" s="53" t="str">
        <f>IFERROR(IF(K318="","-",IF(ISNUMBER(LOOKUP(2,1/((HISTORIAL!$O$3:$O$317=O318)*(HISTORIAL!$F$3:$F$317&lt;&gt;"")),HISTORIAL!$K$3:$K$317)),IF(K318&gt;LOOKUP(2,1/((HISTORIAL!$O$3:$O$317=O318)*(HISTORIAL!$F$3:$F$317&lt;&gt;"")),HISTORIAL!$K$3:$K$317),"^",IF(K318&lt;LOOKUP(2,1/((HISTORIAL!$O$3:$O$317=O318)*(HISTORIAL!$F$3:$F$317&lt;&gt;"")),HISTORIAL!$K$3:$K$317),"v","-")),"-")),"-")</f>
        <v>-</v>
      </c>
      <c r="N318" s="54" t="str">
        <f>IFERROR(VLOOKUP(A318,CONFIG!$A$10:$B$21,2,0),"")</f>
        <v>FUE</v>
      </c>
      <c r="O318" s="55" t="str">
        <f t="shared" si="9"/>
        <v>Press Plano|Barra</v>
      </c>
      <c r="P318" s="69" t="str">
        <f>LUNES!AC123</f>
        <v/>
      </c>
    </row>
    <row r="319" spans="1:16" ht="14.1" customHeight="1">
      <c r="A319" s="37">
        <v>6</v>
      </c>
      <c r="B319" s="37" t="s">
        <v>277</v>
      </c>
      <c r="C319" s="44" t="str">
        <f>LUNES!$A$125</f>
        <v>Press Inclinado</v>
      </c>
      <c r="D319" s="45" t="str">
        <f>LUNES!$B$125</f>
        <v>Mancuernas</v>
      </c>
      <c r="E319" s="37" t="str">
        <f>LUNES!$C$125</f>
        <v>mancuerna</v>
      </c>
      <c r="F319" s="46" t="str">
        <f>IF(P319="","",IFERROR(CHOOSE(VALUE(RIGHT(P319,1)),LUNES!F125,LUNES!I125,LUNES!L125,LUNES!O125,LUNES!R125),""))</f>
        <v/>
      </c>
      <c r="G319" s="47" t="str">
        <f>IF(P319="","",IFERROR(CHOOSE(VALUE(RIGHT(P319,1)),LUNES!G125,LUNES!J125,LUNES!M125,LUNES!P125,LUNES!S125),""))</f>
        <v/>
      </c>
      <c r="H319" s="48" t="str">
        <f>IF(P319="","",IFERROR(CHOOSE(VALUE(RIGHT(P319,1)),LUNES!H125,LUNES!K125,LUNES!N125,LUNES!Q125,LUNES!T125),""))</f>
        <v/>
      </c>
      <c r="I319" s="49" t="str">
        <f t="shared" si="8"/>
        <v/>
      </c>
      <c r="J319" s="50" t="str">
        <f>IF(P319="","",IFERROR(ROUND(CHOOSE(VALUE(RIGHT(P319,1)),IF(LUNES!C125="peso_corporal",IF(ISNUMBER(LUNES!E125),LUNES!E125,0)+LUNES!F125,LUNES!F125)*LUNES!G125,IF(LUNES!C125="peso_corporal",IF(ISNUMBER(LUNES!E125),LUNES!E125,0)+LUNES!I125,LUNES!I125)*LUNES!J125,IF(LUNES!C125="peso_corporal",IF(ISNUMBER(LUNES!E125),LUNES!E125,0)+LUNES!L125,LUNES!L125)*LUNES!M125,IF(LUNES!C125="peso_corporal",IF(ISNUMBER(LUNES!E125),LUNES!E125,0)+LUNES!O125,LUNES!O125)*LUNES!P125,IF(LUNES!C125="peso_corporal",IF(ISNUMBER(LUNES!E125),LUNES!E125,0)+LUNES!R125,LUNES!R125)*LUNES!S125),1),""))</f>
        <v/>
      </c>
      <c r="K319" s="51" t="str">
        <f>IF(P319="","",IFERROR(ROUND(CHOOSE(VALUE(RIGHT(P319,1)),(IF(LUNES!C125="peso_corporal",IF(ISNUMBER(LUNES!E125),LUNES!E125,0)+LUNES!F125,LUNES!F125))*(1+LUNES!G125/30),(IF(LUNES!C125="peso_corporal",IF(ISNUMBER(LUNES!E125),LUNES!E125,0)+LUNES!I125,LUNES!I125))*(1+LUNES!J125/30),(IF(LUNES!C125="peso_corporal",IF(ISNUMBER(LUNES!E125),LUNES!E125,0)+LUNES!L125,LUNES!L125))*(1+LUNES!M125/30),(IF(LUNES!C125="peso_corporal",IF(ISNUMBER(LUNES!E125),LUNES!E125,0)+LUNES!O125,LUNES!O125))*(1+LUNES!P125/30),(IF(LUNES!C125="peso_corporal",IF(ISNUMBER(LUNES!E125),LUNES!E125,0)+LUNES!R125,LUNES!R125))*(1+LUNES!S125/30)),1),""))</f>
        <v/>
      </c>
      <c r="L319" s="52">
        <f>IFERROR(LUNES!E125,"")</f>
        <v>80</v>
      </c>
      <c r="M319" s="53" t="str">
        <f>IFERROR(IF(K319="","-",IF(ISNUMBER(LOOKUP(2,1/((HISTORIAL!$O$3:$O$318=O319)*(HISTORIAL!$F$3:$F$318&lt;&gt;"")),HISTORIAL!$K$3:$K$318)),IF(K319&gt;LOOKUP(2,1/((HISTORIAL!$O$3:$O$318=O319)*(HISTORIAL!$F$3:$F$318&lt;&gt;"")),HISTORIAL!$K$3:$K$318),"^",IF(K319&lt;LOOKUP(2,1/((HISTORIAL!$O$3:$O$318=O319)*(HISTORIAL!$F$3:$F$318&lt;&gt;"")),HISTORIAL!$K$3:$K$318),"v","-")),"-")),"-")</f>
        <v>-</v>
      </c>
      <c r="N319" s="54" t="str">
        <f>IFERROR(VLOOKUP(A319,CONFIG!$A$10:$B$21,2,0),"")</f>
        <v>FUE</v>
      </c>
      <c r="O319" s="55" t="str">
        <f t="shared" si="9"/>
        <v>Press Inclinado|Mancuernas</v>
      </c>
      <c r="P319" s="69" t="str">
        <f>LUNES!AC125</f>
        <v/>
      </c>
    </row>
    <row r="320" spans="1:16" ht="14.1" customHeight="1">
      <c r="A320" s="37">
        <v>6</v>
      </c>
      <c r="B320" s="37" t="s">
        <v>277</v>
      </c>
      <c r="C320" s="44" t="str">
        <f>LUNES!$A$127</f>
        <v>Fondos</v>
      </c>
      <c r="D320" s="45" t="str">
        <f>LUNES!$B$127</f>
        <v>Paralelas</v>
      </c>
      <c r="E320" s="37" t="str">
        <f>LUNES!$C$127</f>
        <v>peso_corporal</v>
      </c>
      <c r="F320" s="46" t="str">
        <f>IF(P320="","",IFERROR(CHOOSE(VALUE(RIGHT(P320,1)),LUNES!F127,LUNES!I127,LUNES!L127,LUNES!O127,LUNES!R127),""))</f>
        <v/>
      </c>
      <c r="G320" s="47" t="str">
        <f>IF(P320="","",IFERROR(CHOOSE(VALUE(RIGHT(P320,1)),LUNES!G127,LUNES!J127,LUNES!M127,LUNES!P127,LUNES!S127),""))</f>
        <v/>
      </c>
      <c r="H320" s="48" t="str">
        <f>IF(P320="","",IFERROR(CHOOSE(VALUE(RIGHT(P320,1)),LUNES!H127,LUNES!K127,LUNES!N127,LUNES!Q127,LUNES!T127),""))</f>
        <v/>
      </c>
      <c r="I320" s="49" t="str">
        <f t="shared" si="8"/>
        <v/>
      </c>
      <c r="J320" s="50" t="str">
        <f>IF(P320="","",IFERROR(ROUND(CHOOSE(VALUE(RIGHT(P320,1)),IF(LUNES!C127="peso_corporal",IF(ISNUMBER(LUNES!E127),LUNES!E127,0)+LUNES!F127,LUNES!F127)*LUNES!G127,IF(LUNES!C127="peso_corporal",IF(ISNUMBER(LUNES!E127),LUNES!E127,0)+LUNES!I127,LUNES!I127)*LUNES!J127,IF(LUNES!C127="peso_corporal",IF(ISNUMBER(LUNES!E127),LUNES!E127,0)+LUNES!L127,LUNES!L127)*LUNES!M127,IF(LUNES!C127="peso_corporal",IF(ISNUMBER(LUNES!E127),LUNES!E127,0)+LUNES!O127,LUNES!O127)*LUNES!P127,IF(LUNES!C127="peso_corporal",IF(ISNUMBER(LUNES!E127),LUNES!E127,0)+LUNES!R127,LUNES!R127)*LUNES!S127),1),""))</f>
        <v/>
      </c>
      <c r="K320" s="51" t="str">
        <f>IF(P320="","",IFERROR(ROUND(CHOOSE(VALUE(RIGHT(P320,1)),(IF(LUNES!C127="peso_corporal",IF(ISNUMBER(LUNES!E127),LUNES!E127,0)+LUNES!F127,LUNES!F127))*(1+LUNES!G127/30),(IF(LUNES!C127="peso_corporal",IF(ISNUMBER(LUNES!E127),LUNES!E127,0)+LUNES!I127,LUNES!I127))*(1+LUNES!J127/30),(IF(LUNES!C127="peso_corporal",IF(ISNUMBER(LUNES!E127),LUNES!E127,0)+LUNES!L127,LUNES!L127))*(1+LUNES!M127/30),(IF(LUNES!C127="peso_corporal",IF(ISNUMBER(LUNES!E127),LUNES!E127,0)+LUNES!O127,LUNES!O127))*(1+LUNES!P127/30),(IF(LUNES!C127="peso_corporal",IF(ISNUMBER(LUNES!E127),LUNES!E127,0)+LUNES!R127,LUNES!R127))*(1+LUNES!S127/30)),1),""))</f>
        <v/>
      </c>
      <c r="L320" s="52">
        <f>IFERROR(LUNES!E127,"")</f>
        <v>80</v>
      </c>
      <c r="M320" s="53" t="str">
        <f>IFERROR(IF(K320="","-",IF(ISNUMBER(LOOKUP(2,1/((HISTORIAL!$O$3:$O$319=O320)*(HISTORIAL!$F$3:$F$319&lt;&gt;"")),HISTORIAL!$K$3:$K$319)),IF(K320&gt;LOOKUP(2,1/((HISTORIAL!$O$3:$O$319=O320)*(HISTORIAL!$F$3:$F$319&lt;&gt;"")),HISTORIAL!$K$3:$K$319),"^",IF(K320&lt;LOOKUP(2,1/((HISTORIAL!$O$3:$O$319=O320)*(HISTORIAL!$F$3:$F$319&lt;&gt;"")),HISTORIAL!$K$3:$K$319),"v","-")),"-")),"-")</f>
        <v>-</v>
      </c>
      <c r="N320" s="54" t="str">
        <f>IFERROR(VLOOKUP(A320,CONFIG!$A$10:$B$21,2,0),"")</f>
        <v>FUE</v>
      </c>
      <c r="O320" s="55" t="str">
        <f t="shared" si="9"/>
        <v>Fondos|Paralelas</v>
      </c>
      <c r="P320" s="69" t="str">
        <f>LUNES!AC127</f>
        <v/>
      </c>
    </row>
    <row r="321" spans="1:16" ht="14.1" customHeight="1">
      <c r="A321" s="37">
        <v>6</v>
      </c>
      <c r="B321" s="37" t="s">
        <v>277</v>
      </c>
      <c r="C321" s="44" t="str">
        <f>LUNES!$A$128</f>
        <v>Aperturas</v>
      </c>
      <c r="D321" s="45" t="str">
        <f>LUNES!$B$128</f>
        <v>Polea Baja Crossover</v>
      </c>
      <c r="E321" s="37" t="str">
        <f>LUNES!$C$128</f>
        <v>--</v>
      </c>
      <c r="F321" s="46" t="str">
        <f>IF(P321="","",IFERROR(CHOOSE(VALUE(RIGHT(P321,1)),LUNES!F128,LUNES!I128,LUNES!L128,LUNES!O128,LUNES!R128),""))</f>
        <v/>
      </c>
      <c r="G321" s="47" t="str">
        <f>IF(P321="","",IFERROR(CHOOSE(VALUE(RIGHT(P321,1)),LUNES!G128,LUNES!J128,LUNES!M128,LUNES!P128,LUNES!S128),""))</f>
        <v/>
      </c>
      <c r="H321" s="48" t="str">
        <f>IF(P321="","",IFERROR(CHOOSE(VALUE(RIGHT(P321,1)),LUNES!H128,LUNES!K128,LUNES!N128,LUNES!Q128,LUNES!T128),""))</f>
        <v/>
      </c>
      <c r="I321" s="49" t="str">
        <f t="shared" si="8"/>
        <v/>
      </c>
      <c r="J321" s="50" t="str">
        <f>IF(P321="","",IFERROR(ROUND(CHOOSE(VALUE(RIGHT(P321,1)),IF(LUNES!C128="peso_corporal",IF(ISNUMBER(LUNES!E128),LUNES!E128,0)+LUNES!F128,LUNES!F128)*LUNES!G128,IF(LUNES!C128="peso_corporal",IF(ISNUMBER(LUNES!E128),LUNES!E128,0)+LUNES!I128,LUNES!I128)*LUNES!J128,IF(LUNES!C128="peso_corporal",IF(ISNUMBER(LUNES!E128),LUNES!E128,0)+LUNES!L128,LUNES!L128)*LUNES!M128,IF(LUNES!C128="peso_corporal",IF(ISNUMBER(LUNES!E128),LUNES!E128,0)+LUNES!O128,LUNES!O128)*LUNES!P128,IF(LUNES!C128="peso_corporal",IF(ISNUMBER(LUNES!E128),LUNES!E128,0)+LUNES!R128,LUNES!R128)*LUNES!S128),1),""))</f>
        <v/>
      </c>
      <c r="K321" s="51" t="str">
        <f>IF(P321="","",IFERROR(ROUND(CHOOSE(VALUE(RIGHT(P321,1)),(IF(LUNES!C128="peso_corporal",IF(ISNUMBER(LUNES!E128),LUNES!E128,0)+LUNES!F128,LUNES!F128))*(1+LUNES!G128/30),(IF(LUNES!C128="peso_corporal",IF(ISNUMBER(LUNES!E128),LUNES!E128,0)+LUNES!I128,LUNES!I128))*(1+LUNES!J128/30),(IF(LUNES!C128="peso_corporal",IF(ISNUMBER(LUNES!E128),LUNES!E128,0)+LUNES!L128,LUNES!L128))*(1+LUNES!M128/30),(IF(LUNES!C128="peso_corporal",IF(ISNUMBER(LUNES!E128),LUNES!E128,0)+LUNES!O128,LUNES!O128))*(1+LUNES!P128/30),(IF(LUNES!C128="peso_corporal",IF(ISNUMBER(LUNES!E128),LUNES!E128,0)+LUNES!R128,LUNES!R128))*(1+LUNES!S128/30)),1),""))</f>
        <v/>
      </c>
      <c r="L321" s="52">
        <f>IFERROR(LUNES!E128,"")</f>
        <v>80</v>
      </c>
      <c r="M321" s="53" t="str">
        <f>IFERROR(IF(K321="","-",IF(ISNUMBER(LOOKUP(2,1/((HISTORIAL!$O$3:$O$320=O321)*(HISTORIAL!$F$3:$F$320&lt;&gt;"")),HISTORIAL!$K$3:$K$320)),IF(K321&gt;LOOKUP(2,1/((HISTORIAL!$O$3:$O$320=O321)*(HISTORIAL!$F$3:$F$320&lt;&gt;"")),HISTORIAL!$K$3:$K$320),"^",IF(K321&lt;LOOKUP(2,1/((HISTORIAL!$O$3:$O$320=O321)*(HISTORIAL!$F$3:$F$320&lt;&gt;"")),HISTORIAL!$K$3:$K$320),"v","-")),"-")),"-")</f>
        <v>-</v>
      </c>
      <c r="N321" s="54" t="str">
        <f>IFERROR(VLOOKUP(A321,CONFIG!$A$10:$B$21,2,0),"")</f>
        <v>FUE</v>
      </c>
      <c r="O321" s="55" t="str">
        <f t="shared" si="9"/>
        <v>Aperturas|Polea Baja Crossover</v>
      </c>
      <c r="P321" s="69" t="str">
        <f>LUNES!AC128</f>
        <v/>
      </c>
    </row>
    <row r="322" spans="1:16" ht="14.1" customHeight="1">
      <c r="A322" s="37">
        <v>6</v>
      </c>
      <c r="B322" s="37" t="s">
        <v>277</v>
      </c>
      <c r="C322" s="44" t="str">
        <f>LUNES!$A$129</f>
        <v>Aperturas</v>
      </c>
      <c r="D322" s="45" t="str">
        <f>LUNES!$B$129</f>
        <v>Pec Deck Maquina</v>
      </c>
      <c r="E322" s="37" t="str">
        <f>LUNES!$C$129</f>
        <v>--</v>
      </c>
      <c r="F322" s="46" t="str">
        <f>IF(P322="","",IFERROR(CHOOSE(VALUE(RIGHT(P322,1)),LUNES!F129,LUNES!I129,LUNES!L129,LUNES!O129,LUNES!R129),""))</f>
        <v/>
      </c>
      <c r="G322" s="47" t="str">
        <f>IF(P322="","",IFERROR(CHOOSE(VALUE(RIGHT(P322,1)),LUNES!G129,LUNES!J129,LUNES!M129,LUNES!P129,LUNES!S129),""))</f>
        <v/>
      </c>
      <c r="H322" s="48" t="str">
        <f>IF(P322="","",IFERROR(CHOOSE(VALUE(RIGHT(P322,1)),LUNES!H129,LUNES!K129,LUNES!N129,LUNES!Q129,LUNES!T129),""))</f>
        <v/>
      </c>
      <c r="I322" s="49" t="str">
        <f t="shared" si="8"/>
        <v/>
      </c>
      <c r="J322" s="50" t="str">
        <f>IF(P322="","",IFERROR(ROUND(CHOOSE(VALUE(RIGHT(P322,1)),IF(LUNES!C129="peso_corporal",IF(ISNUMBER(LUNES!E129),LUNES!E129,0)+LUNES!F129,LUNES!F129)*LUNES!G129,IF(LUNES!C129="peso_corporal",IF(ISNUMBER(LUNES!E129),LUNES!E129,0)+LUNES!I129,LUNES!I129)*LUNES!J129,IF(LUNES!C129="peso_corporal",IF(ISNUMBER(LUNES!E129),LUNES!E129,0)+LUNES!L129,LUNES!L129)*LUNES!M129,IF(LUNES!C129="peso_corporal",IF(ISNUMBER(LUNES!E129),LUNES!E129,0)+LUNES!O129,LUNES!O129)*LUNES!P129,IF(LUNES!C129="peso_corporal",IF(ISNUMBER(LUNES!E129),LUNES!E129,0)+LUNES!R129,LUNES!R129)*LUNES!S129),1),""))</f>
        <v/>
      </c>
      <c r="K322" s="51" t="str">
        <f>IF(P322="","",IFERROR(ROUND(CHOOSE(VALUE(RIGHT(P322,1)),(IF(LUNES!C129="peso_corporal",IF(ISNUMBER(LUNES!E129),LUNES!E129,0)+LUNES!F129,LUNES!F129))*(1+LUNES!G129/30),(IF(LUNES!C129="peso_corporal",IF(ISNUMBER(LUNES!E129),LUNES!E129,0)+LUNES!I129,LUNES!I129))*(1+LUNES!J129/30),(IF(LUNES!C129="peso_corporal",IF(ISNUMBER(LUNES!E129),LUNES!E129,0)+LUNES!L129,LUNES!L129))*(1+LUNES!M129/30),(IF(LUNES!C129="peso_corporal",IF(ISNUMBER(LUNES!E129),LUNES!E129,0)+LUNES!O129,LUNES!O129))*(1+LUNES!P129/30),(IF(LUNES!C129="peso_corporal",IF(ISNUMBER(LUNES!E129),LUNES!E129,0)+LUNES!R129,LUNES!R129))*(1+LUNES!S129/30)),1),""))</f>
        <v/>
      </c>
      <c r="L322" s="52">
        <f>IFERROR(LUNES!E129,"")</f>
        <v>80</v>
      </c>
      <c r="M322" s="53" t="str">
        <f>IFERROR(IF(K322="","-",IF(ISNUMBER(LOOKUP(2,1/((HISTORIAL!$O$3:$O$321=O322)*(HISTORIAL!$F$3:$F$321&lt;&gt;"")),HISTORIAL!$K$3:$K$321)),IF(K322&gt;LOOKUP(2,1/((HISTORIAL!$O$3:$O$321=O322)*(HISTORIAL!$F$3:$F$321&lt;&gt;"")),HISTORIAL!$K$3:$K$321),"^",IF(K322&lt;LOOKUP(2,1/((HISTORIAL!$O$3:$O$321=O322)*(HISTORIAL!$F$3:$F$321&lt;&gt;"")),HISTORIAL!$K$3:$K$321),"v","-")),"-")),"-")</f>
        <v>-</v>
      </c>
      <c r="N322" s="54" t="str">
        <f>IFERROR(VLOOKUP(A322,CONFIG!$A$10:$B$21,2,0),"")</f>
        <v>FUE</v>
      </c>
      <c r="O322" s="55" t="str">
        <f t="shared" si="9"/>
        <v>Aperturas|Pec Deck Maquina</v>
      </c>
      <c r="P322" s="69" t="str">
        <f>LUNES!AC129</f>
        <v/>
      </c>
    </row>
    <row r="323" spans="1:16" ht="14.1" customHeight="1">
      <c r="A323" s="37">
        <v>6</v>
      </c>
      <c r="B323" s="37" t="s">
        <v>277</v>
      </c>
      <c r="C323" s="44" t="str">
        <f>LUNES!$A$131</f>
        <v>Elevaciones Laterales</v>
      </c>
      <c r="D323" s="45" t="str">
        <f>LUNES!$B$131</f>
        <v>Cable Polea Individual</v>
      </c>
      <c r="E323" s="37" t="str">
        <f>LUNES!$C$131</f>
        <v>polea</v>
      </c>
      <c r="F323" s="46" t="str">
        <f>IF(P323="","",IFERROR(CHOOSE(VALUE(RIGHT(P323,1)),LUNES!F131,LUNES!I131,LUNES!L131,LUNES!O131,LUNES!R131),""))</f>
        <v/>
      </c>
      <c r="G323" s="47" t="str">
        <f>IF(P323="","",IFERROR(CHOOSE(VALUE(RIGHT(P323,1)),LUNES!G131,LUNES!J131,LUNES!M131,LUNES!P131,LUNES!S131),""))</f>
        <v/>
      </c>
      <c r="H323" s="48" t="str">
        <f>IF(P323="","",IFERROR(CHOOSE(VALUE(RIGHT(P323,1)),LUNES!H131,LUNES!K131,LUNES!N131,LUNES!Q131,LUNES!T131),""))</f>
        <v/>
      </c>
      <c r="I323" s="49" t="str">
        <f t="shared" ref="I323:I386" si="10">IF(P323="","",LEFT(P323,1))</f>
        <v/>
      </c>
      <c r="J323" s="50" t="str">
        <f>IF(P323="","",IFERROR(ROUND(CHOOSE(VALUE(RIGHT(P323,1)),IF(LUNES!C131="peso_corporal",IF(ISNUMBER(LUNES!E131),LUNES!E131,0)+LUNES!F131,LUNES!F131)*LUNES!G131,IF(LUNES!C131="peso_corporal",IF(ISNUMBER(LUNES!E131),LUNES!E131,0)+LUNES!I131,LUNES!I131)*LUNES!J131,IF(LUNES!C131="peso_corporal",IF(ISNUMBER(LUNES!E131),LUNES!E131,0)+LUNES!L131,LUNES!L131)*LUNES!M131,IF(LUNES!C131="peso_corporal",IF(ISNUMBER(LUNES!E131),LUNES!E131,0)+LUNES!O131,LUNES!O131)*LUNES!P131,IF(LUNES!C131="peso_corporal",IF(ISNUMBER(LUNES!E131),LUNES!E131,0)+LUNES!R131,LUNES!R131)*LUNES!S131),1),""))</f>
        <v/>
      </c>
      <c r="K323" s="51" t="str">
        <f>IF(P323="","",IFERROR(ROUND(CHOOSE(VALUE(RIGHT(P323,1)),(IF(LUNES!C131="peso_corporal",IF(ISNUMBER(LUNES!E131),LUNES!E131,0)+LUNES!F131,LUNES!F131))*(1+LUNES!G131/30),(IF(LUNES!C131="peso_corporal",IF(ISNUMBER(LUNES!E131),LUNES!E131,0)+LUNES!I131,LUNES!I131))*(1+LUNES!J131/30),(IF(LUNES!C131="peso_corporal",IF(ISNUMBER(LUNES!E131),LUNES!E131,0)+LUNES!L131,LUNES!L131))*(1+LUNES!M131/30),(IF(LUNES!C131="peso_corporal",IF(ISNUMBER(LUNES!E131),LUNES!E131,0)+LUNES!O131,LUNES!O131))*(1+LUNES!P131/30),(IF(LUNES!C131="peso_corporal",IF(ISNUMBER(LUNES!E131),LUNES!E131,0)+LUNES!R131,LUNES!R131))*(1+LUNES!S131/30)),1),""))</f>
        <v/>
      </c>
      <c r="L323" s="52">
        <f>IFERROR(LUNES!E131,"")</f>
        <v>80</v>
      </c>
      <c r="M323" s="53" t="str">
        <f>IFERROR(IF(K323="","-",IF(ISNUMBER(LOOKUP(2,1/((HISTORIAL!$O$3:$O$322=O323)*(HISTORIAL!$F$3:$F$322&lt;&gt;"")),HISTORIAL!$K$3:$K$322)),IF(K323&gt;LOOKUP(2,1/((HISTORIAL!$O$3:$O$322=O323)*(HISTORIAL!$F$3:$F$322&lt;&gt;"")),HISTORIAL!$K$3:$K$322),"^",IF(K323&lt;LOOKUP(2,1/((HISTORIAL!$O$3:$O$322=O323)*(HISTORIAL!$F$3:$F$322&lt;&gt;"")),HISTORIAL!$K$3:$K$322),"v","-")),"-")),"-")</f>
        <v>-</v>
      </c>
      <c r="N323" s="54" t="str">
        <f>IFERROR(VLOOKUP(A323,CONFIG!$A$10:$B$21,2,0),"")</f>
        <v>FUE</v>
      </c>
      <c r="O323" s="55" t="str">
        <f t="shared" ref="O323:O386" si="11">C323&amp;"|"&amp;D323</f>
        <v>Elevaciones Laterales|Cable Polea Individual</v>
      </c>
      <c r="P323" s="69" t="str">
        <f>LUNES!AC131</f>
        <v/>
      </c>
    </row>
    <row r="324" spans="1:16" ht="14.1" customHeight="1">
      <c r="A324" s="37">
        <v>6</v>
      </c>
      <c r="B324" s="37" t="s">
        <v>277</v>
      </c>
      <c r="C324" s="44" t="str">
        <f>LUNES!$A$132</f>
        <v>Press Militar</v>
      </c>
      <c r="D324" s="45" t="str">
        <f>LUNES!$B$132</f>
        <v>Mancuernas Sentado</v>
      </c>
      <c r="E324" s="37" t="str">
        <f>LUNES!$C$132</f>
        <v>mancuerna</v>
      </c>
      <c r="F324" s="46" t="str">
        <f>IF(P324="","",IFERROR(CHOOSE(VALUE(RIGHT(P324,1)),LUNES!F132,LUNES!I132,LUNES!L132,LUNES!O132,LUNES!R132),""))</f>
        <v/>
      </c>
      <c r="G324" s="47" t="str">
        <f>IF(P324="","",IFERROR(CHOOSE(VALUE(RIGHT(P324,1)),LUNES!G132,LUNES!J132,LUNES!M132,LUNES!P132,LUNES!S132),""))</f>
        <v/>
      </c>
      <c r="H324" s="48" t="str">
        <f>IF(P324="","",IFERROR(CHOOSE(VALUE(RIGHT(P324,1)),LUNES!H132,LUNES!K132,LUNES!N132,LUNES!Q132,LUNES!T132),""))</f>
        <v/>
      </c>
      <c r="I324" s="49" t="str">
        <f t="shared" si="10"/>
        <v/>
      </c>
      <c r="J324" s="50" t="str">
        <f>IF(P324="","",IFERROR(ROUND(CHOOSE(VALUE(RIGHT(P324,1)),IF(LUNES!C132="peso_corporal",IF(ISNUMBER(LUNES!E132),LUNES!E132,0)+LUNES!F132,LUNES!F132)*LUNES!G132,IF(LUNES!C132="peso_corporal",IF(ISNUMBER(LUNES!E132),LUNES!E132,0)+LUNES!I132,LUNES!I132)*LUNES!J132,IF(LUNES!C132="peso_corporal",IF(ISNUMBER(LUNES!E132),LUNES!E132,0)+LUNES!L132,LUNES!L132)*LUNES!M132,IF(LUNES!C132="peso_corporal",IF(ISNUMBER(LUNES!E132),LUNES!E132,0)+LUNES!O132,LUNES!O132)*LUNES!P132,IF(LUNES!C132="peso_corporal",IF(ISNUMBER(LUNES!E132),LUNES!E132,0)+LUNES!R132,LUNES!R132)*LUNES!S132),1),""))</f>
        <v/>
      </c>
      <c r="K324" s="51" t="str">
        <f>IF(P324="","",IFERROR(ROUND(CHOOSE(VALUE(RIGHT(P324,1)),(IF(LUNES!C132="peso_corporal",IF(ISNUMBER(LUNES!E132),LUNES!E132,0)+LUNES!F132,LUNES!F132))*(1+LUNES!G132/30),(IF(LUNES!C132="peso_corporal",IF(ISNUMBER(LUNES!E132),LUNES!E132,0)+LUNES!I132,LUNES!I132))*(1+LUNES!J132/30),(IF(LUNES!C132="peso_corporal",IF(ISNUMBER(LUNES!E132),LUNES!E132,0)+LUNES!L132,LUNES!L132))*(1+LUNES!M132/30),(IF(LUNES!C132="peso_corporal",IF(ISNUMBER(LUNES!E132),LUNES!E132,0)+LUNES!O132,LUNES!O132))*(1+LUNES!P132/30),(IF(LUNES!C132="peso_corporal",IF(ISNUMBER(LUNES!E132),LUNES!E132,0)+LUNES!R132,LUNES!R132))*(1+LUNES!S132/30)),1),""))</f>
        <v/>
      </c>
      <c r="L324" s="52">
        <f>IFERROR(LUNES!E132,"")</f>
        <v>80</v>
      </c>
      <c r="M324" s="53" t="str">
        <f>IFERROR(IF(K324="","-",IF(ISNUMBER(LOOKUP(2,1/((HISTORIAL!$O$3:$O$323=O324)*(HISTORIAL!$F$3:$F$323&lt;&gt;"")),HISTORIAL!$K$3:$K$323)),IF(K324&gt;LOOKUP(2,1/((HISTORIAL!$O$3:$O$323=O324)*(HISTORIAL!$F$3:$F$323&lt;&gt;"")),HISTORIAL!$K$3:$K$323),"^",IF(K324&lt;LOOKUP(2,1/((HISTORIAL!$O$3:$O$323=O324)*(HISTORIAL!$F$3:$F$323&lt;&gt;"")),HISTORIAL!$K$3:$K$323),"v","-")),"-")),"-")</f>
        <v>-</v>
      </c>
      <c r="N324" s="54" t="str">
        <f>IFERROR(VLOOKUP(A324,CONFIG!$A$10:$B$21,2,0),"")</f>
        <v>FUE</v>
      </c>
      <c r="O324" s="55" t="str">
        <f t="shared" si="11"/>
        <v>Press Militar|Mancuernas Sentado</v>
      </c>
      <c r="P324" s="69" t="str">
        <f>LUNES!AC132</f>
        <v/>
      </c>
    </row>
    <row r="325" spans="1:16" ht="14.1" customHeight="1">
      <c r="A325" s="37">
        <v>6</v>
      </c>
      <c r="B325" s="37" t="s">
        <v>277</v>
      </c>
      <c r="C325" s="44" t="str">
        <f>LUNES!$A$134</f>
        <v>Extension Triceps</v>
      </c>
      <c r="D325" s="45" t="str">
        <f>LUNES!$B$134</f>
        <v>Press Neutro Polea Individual</v>
      </c>
      <c r="E325" s="37" t="str">
        <f>LUNES!$C$134</f>
        <v>--</v>
      </c>
      <c r="F325" s="46" t="str">
        <f>IF(P325="","",IFERROR(CHOOSE(VALUE(RIGHT(P325,1)),LUNES!F134,LUNES!I134,LUNES!L134,LUNES!O134,LUNES!R134),""))</f>
        <v/>
      </c>
      <c r="G325" s="47" t="str">
        <f>IF(P325="","",IFERROR(CHOOSE(VALUE(RIGHT(P325,1)),LUNES!G134,LUNES!J134,LUNES!M134,LUNES!P134,LUNES!S134),""))</f>
        <v/>
      </c>
      <c r="H325" s="48" t="str">
        <f>IF(P325="","",IFERROR(CHOOSE(VALUE(RIGHT(P325,1)),LUNES!H134,LUNES!K134,LUNES!N134,LUNES!Q134,LUNES!T134),""))</f>
        <v/>
      </c>
      <c r="I325" s="49" t="str">
        <f t="shared" si="10"/>
        <v/>
      </c>
      <c r="J325" s="50" t="str">
        <f>IF(P325="","",IFERROR(ROUND(CHOOSE(VALUE(RIGHT(P325,1)),IF(LUNES!C134="peso_corporal",IF(ISNUMBER(LUNES!E134),LUNES!E134,0)+LUNES!F134,LUNES!F134)*LUNES!G134,IF(LUNES!C134="peso_corporal",IF(ISNUMBER(LUNES!E134),LUNES!E134,0)+LUNES!I134,LUNES!I134)*LUNES!J134,IF(LUNES!C134="peso_corporal",IF(ISNUMBER(LUNES!E134),LUNES!E134,0)+LUNES!L134,LUNES!L134)*LUNES!M134,IF(LUNES!C134="peso_corporal",IF(ISNUMBER(LUNES!E134),LUNES!E134,0)+LUNES!O134,LUNES!O134)*LUNES!P134,IF(LUNES!C134="peso_corporal",IF(ISNUMBER(LUNES!E134),LUNES!E134,0)+LUNES!R134,LUNES!R134)*LUNES!S134),1),""))</f>
        <v/>
      </c>
      <c r="K325" s="51" t="str">
        <f>IF(P325="","",IFERROR(ROUND(CHOOSE(VALUE(RIGHT(P325,1)),(IF(LUNES!C134="peso_corporal",IF(ISNUMBER(LUNES!E134),LUNES!E134,0)+LUNES!F134,LUNES!F134))*(1+LUNES!G134/30),(IF(LUNES!C134="peso_corporal",IF(ISNUMBER(LUNES!E134),LUNES!E134,0)+LUNES!I134,LUNES!I134))*(1+LUNES!J134/30),(IF(LUNES!C134="peso_corporal",IF(ISNUMBER(LUNES!E134),LUNES!E134,0)+LUNES!L134,LUNES!L134))*(1+LUNES!M134/30),(IF(LUNES!C134="peso_corporal",IF(ISNUMBER(LUNES!E134),LUNES!E134,0)+LUNES!O134,LUNES!O134))*(1+LUNES!P134/30),(IF(LUNES!C134="peso_corporal",IF(ISNUMBER(LUNES!E134),LUNES!E134,0)+LUNES!R134,LUNES!R134))*(1+LUNES!S134/30)),1),""))</f>
        <v/>
      </c>
      <c r="L325" s="52">
        <f>IFERROR(LUNES!E134,"")</f>
        <v>80</v>
      </c>
      <c r="M325" s="53" t="str">
        <f>IFERROR(IF(K325="","-",IF(ISNUMBER(LOOKUP(2,1/((HISTORIAL!$O$3:$O$324=O325)*(HISTORIAL!$F$3:$F$324&lt;&gt;"")),HISTORIAL!$K$3:$K$324)),IF(K325&gt;LOOKUP(2,1/((HISTORIAL!$O$3:$O$324=O325)*(HISTORIAL!$F$3:$F$324&lt;&gt;"")),HISTORIAL!$K$3:$K$324),"^",IF(K325&lt;LOOKUP(2,1/((HISTORIAL!$O$3:$O$324=O325)*(HISTORIAL!$F$3:$F$324&lt;&gt;"")),HISTORIAL!$K$3:$K$324),"v","-")),"-")),"-")</f>
        <v>-</v>
      </c>
      <c r="N325" s="54" t="str">
        <f>IFERROR(VLOOKUP(A325,CONFIG!$A$10:$B$21,2,0),"")</f>
        <v>FUE</v>
      </c>
      <c r="O325" s="55" t="str">
        <f t="shared" si="11"/>
        <v>Extension Triceps|Press Neutro Polea Individual</v>
      </c>
      <c r="P325" s="69" t="str">
        <f>LUNES!AC134</f>
        <v/>
      </c>
    </row>
    <row r="326" spans="1:16" ht="14.1" customHeight="1">
      <c r="A326" s="37">
        <v>6</v>
      </c>
      <c r="B326" s="37" t="s">
        <v>277</v>
      </c>
      <c r="C326" s="44" t="str">
        <f>LUNES!$A$136</f>
        <v>Extension Cuadriceps</v>
      </c>
      <c r="D326" s="45" t="str">
        <f>LUNES!$B$136</f>
        <v>Vasto Externo</v>
      </c>
      <c r="E326" s="37" t="str">
        <f>LUNES!$C$136</f>
        <v>--</v>
      </c>
      <c r="F326" s="46" t="str">
        <f>IF(P326="","",IFERROR(CHOOSE(VALUE(RIGHT(P326,1)),LUNES!F136,LUNES!I136,LUNES!L136,LUNES!O136,LUNES!R136),""))</f>
        <v/>
      </c>
      <c r="G326" s="47" t="str">
        <f>IF(P326="","",IFERROR(CHOOSE(VALUE(RIGHT(P326,1)),LUNES!G136,LUNES!J136,LUNES!M136,LUNES!P136,LUNES!S136),""))</f>
        <v/>
      </c>
      <c r="H326" s="48" t="str">
        <f>IF(P326="","",IFERROR(CHOOSE(VALUE(RIGHT(P326,1)),LUNES!H136,LUNES!K136,LUNES!N136,LUNES!Q136,LUNES!T136),""))</f>
        <v/>
      </c>
      <c r="I326" s="49" t="str">
        <f t="shared" si="10"/>
        <v/>
      </c>
      <c r="J326" s="50" t="str">
        <f>IF(P326="","",IFERROR(ROUND(CHOOSE(VALUE(RIGHT(P326,1)),IF(LUNES!C136="peso_corporal",IF(ISNUMBER(LUNES!E136),LUNES!E136,0)+LUNES!F136,LUNES!F136)*LUNES!G136,IF(LUNES!C136="peso_corporal",IF(ISNUMBER(LUNES!E136),LUNES!E136,0)+LUNES!I136,LUNES!I136)*LUNES!J136,IF(LUNES!C136="peso_corporal",IF(ISNUMBER(LUNES!E136),LUNES!E136,0)+LUNES!L136,LUNES!L136)*LUNES!M136,IF(LUNES!C136="peso_corporal",IF(ISNUMBER(LUNES!E136),LUNES!E136,0)+LUNES!O136,LUNES!O136)*LUNES!P136,IF(LUNES!C136="peso_corporal",IF(ISNUMBER(LUNES!E136),LUNES!E136,0)+LUNES!R136,LUNES!R136)*LUNES!S136),1),""))</f>
        <v/>
      </c>
      <c r="K326" s="51" t="str">
        <f>IF(P326="","",IFERROR(ROUND(CHOOSE(VALUE(RIGHT(P326,1)),(IF(LUNES!C136="peso_corporal",IF(ISNUMBER(LUNES!E136),LUNES!E136,0)+LUNES!F136,LUNES!F136))*(1+LUNES!G136/30),(IF(LUNES!C136="peso_corporal",IF(ISNUMBER(LUNES!E136),LUNES!E136,0)+LUNES!I136,LUNES!I136))*(1+LUNES!J136/30),(IF(LUNES!C136="peso_corporal",IF(ISNUMBER(LUNES!E136),LUNES!E136,0)+LUNES!L136,LUNES!L136))*(1+LUNES!M136/30),(IF(LUNES!C136="peso_corporal",IF(ISNUMBER(LUNES!E136),LUNES!E136,0)+LUNES!O136,LUNES!O136))*(1+LUNES!P136/30),(IF(LUNES!C136="peso_corporal",IF(ISNUMBER(LUNES!E136),LUNES!E136,0)+LUNES!R136,LUNES!R136))*(1+LUNES!S136/30)),1),""))</f>
        <v/>
      </c>
      <c r="L326" s="52">
        <f>IFERROR(LUNES!E136,"")</f>
        <v>80</v>
      </c>
      <c r="M326" s="53" t="str">
        <f>IFERROR(IF(K326="","-",IF(ISNUMBER(LOOKUP(2,1/((HISTORIAL!$O$3:$O$325=O326)*(HISTORIAL!$F$3:$F$325&lt;&gt;"")),HISTORIAL!$K$3:$K$325)),IF(K326&gt;LOOKUP(2,1/((HISTORIAL!$O$3:$O$325=O326)*(HISTORIAL!$F$3:$F$325&lt;&gt;"")),HISTORIAL!$K$3:$K$325),"^",IF(K326&lt;LOOKUP(2,1/((HISTORIAL!$O$3:$O$325=O326)*(HISTORIAL!$F$3:$F$325&lt;&gt;"")),HISTORIAL!$K$3:$K$325),"v","-")),"-")),"-")</f>
        <v>-</v>
      </c>
      <c r="N326" s="54" t="str">
        <f>IFERROR(VLOOKUP(A326,CONFIG!$A$10:$B$21,2,0),"")</f>
        <v>FUE</v>
      </c>
      <c r="O326" s="55" t="str">
        <f t="shared" si="11"/>
        <v>Extension Cuadriceps|Vasto Externo</v>
      </c>
      <c r="P326" s="69" t="str">
        <f>LUNES!AC136</f>
        <v/>
      </c>
    </row>
    <row r="327" spans="1:16" ht="14.1" customHeight="1">
      <c r="A327" s="37">
        <v>6</v>
      </c>
      <c r="B327" s="37" t="s">
        <v>277</v>
      </c>
      <c r="C327" s="44" t="str">
        <f>LUNES!$A$138</f>
        <v>Curl Biceps</v>
      </c>
      <c r="D327" s="45" t="str">
        <f>LUNES!$B$138</f>
        <v>Inclinado Banco Mancuernas</v>
      </c>
      <c r="E327" s="37" t="str">
        <f>LUNES!$C$138</f>
        <v>mancuerna</v>
      </c>
      <c r="F327" s="46" t="str">
        <f>IF(P327="","",IFERROR(CHOOSE(VALUE(RIGHT(P327,1)),LUNES!F138,LUNES!I138,LUNES!L138,LUNES!O138,LUNES!R138),""))</f>
        <v/>
      </c>
      <c r="G327" s="47" t="str">
        <f>IF(P327="","",IFERROR(CHOOSE(VALUE(RIGHT(P327,1)),LUNES!G138,LUNES!J138,LUNES!M138,LUNES!P138,LUNES!S138),""))</f>
        <v/>
      </c>
      <c r="H327" s="48" t="str">
        <f>IF(P327="","",IFERROR(CHOOSE(VALUE(RIGHT(P327,1)),LUNES!H138,LUNES!K138,LUNES!N138,LUNES!Q138,LUNES!T138),""))</f>
        <v/>
      </c>
      <c r="I327" s="49" t="str">
        <f t="shared" si="10"/>
        <v/>
      </c>
      <c r="J327" s="50" t="str">
        <f>IF(P327="","",IFERROR(ROUND(CHOOSE(VALUE(RIGHT(P327,1)),IF(LUNES!C138="peso_corporal",IF(ISNUMBER(LUNES!E138),LUNES!E138,0)+LUNES!F138,LUNES!F138)*LUNES!G138,IF(LUNES!C138="peso_corporal",IF(ISNUMBER(LUNES!E138),LUNES!E138,0)+LUNES!I138,LUNES!I138)*LUNES!J138,IF(LUNES!C138="peso_corporal",IF(ISNUMBER(LUNES!E138),LUNES!E138,0)+LUNES!L138,LUNES!L138)*LUNES!M138,IF(LUNES!C138="peso_corporal",IF(ISNUMBER(LUNES!E138),LUNES!E138,0)+LUNES!O138,LUNES!O138)*LUNES!P138,IF(LUNES!C138="peso_corporal",IF(ISNUMBER(LUNES!E138),LUNES!E138,0)+LUNES!R138,LUNES!R138)*LUNES!S138),1),""))</f>
        <v/>
      </c>
      <c r="K327" s="51" t="str">
        <f>IF(P327="","",IFERROR(ROUND(CHOOSE(VALUE(RIGHT(P327,1)),(IF(LUNES!C138="peso_corporal",IF(ISNUMBER(LUNES!E138),LUNES!E138,0)+LUNES!F138,LUNES!F138))*(1+LUNES!G138/30),(IF(LUNES!C138="peso_corporal",IF(ISNUMBER(LUNES!E138),LUNES!E138,0)+LUNES!I138,LUNES!I138))*(1+LUNES!J138/30),(IF(LUNES!C138="peso_corporal",IF(ISNUMBER(LUNES!E138),LUNES!E138,0)+LUNES!L138,LUNES!L138))*(1+LUNES!M138/30),(IF(LUNES!C138="peso_corporal",IF(ISNUMBER(LUNES!E138),LUNES!E138,0)+LUNES!O138,LUNES!O138))*(1+LUNES!P138/30),(IF(LUNES!C138="peso_corporal",IF(ISNUMBER(LUNES!E138),LUNES!E138,0)+LUNES!R138,LUNES!R138))*(1+LUNES!S138/30)),1),""))</f>
        <v/>
      </c>
      <c r="L327" s="52">
        <f>IFERROR(LUNES!E138,"")</f>
        <v>80</v>
      </c>
      <c r="M327" s="53" t="str">
        <f>IFERROR(IF(K327="","-",IF(ISNUMBER(LOOKUP(2,1/((HISTORIAL!$O$3:$O$326=O327)*(HISTORIAL!$F$3:$F$326&lt;&gt;"")),HISTORIAL!$K$3:$K$326)),IF(K327&gt;LOOKUP(2,1/((HISTORIAL!$O$3:$O$326=O327)*(HISTORIAL!$F$3:$F$326&lt;&gt;"")),HISTORIAL!$K$3:$K$326),"^",IF(K327&lt;LOOKUP(2,1/((HISTORIAL!$O$3:$O$326=O327)*(HISTORIAL!$F$3:$F$326&lt;&gt;"")),HISTORIAL!$K$3:$K$326),"v","-")),"-")),"-")</f>
        <v>-</v>
      </c>
      <c r="N327" s="54" t="str">
        <f>IFERROR(VLOOKUP(A327,CONFIG!$A$10:$B$21,2,0),"")</f>
        <v>FUE</v>
      </c>
      <c r="O327" s="55" t="str">
        <f t="shared" si="11"/>
        <v>Curl Biceps|Inclinado Banco Mancuernas</v>
      </c>
      <c r="P327" s="69" t="str">
        <f>LUNES!AC138</f>
        <v/>
      </c>
    </row>
    <row r="328" spans="1:16" ht="14.1" customHeight="1">
      <c r="A328" s="37">
        <v>6</v>
      </c>
      <c r="B328" s="37" t="s">
        <v>277</v>
      </c>
      <c r="C328" s="44" t="str">
        <f>LUNES!$A$140</f>
        <v>Crunch</v>
      </c>
      <c r="D328" s="45" t="str">
        <f>LUNES!$B$140</f>
        <v>Polea</v>
      </c>
      <c r="E328" s="37" t="str">
        <f>LUNES!$C$140</f>
        <v>polea</v>
      </c>
      <c r="F328" s="46" t="str">
        <f>IF(P328="","",IFERROR(CHOOSE(VALUE(RIGHT(P328,1)),LUNES!F140,LUNES!I140,LUNES!L140,LUNES!O140,LUNES!R140),""))</f>
        <v/>
      </c>
      <c r="G328" s="47" t="str">
        <f>IF(P328="","",IFERROR(CHOOSE(VALUE(RIGHT(P328,1)),LUNES!G140,LUNES!J140,LUNES!M140,LUNES!P140,LUNES!S140),""))</f>
        <v/>
      </c>
      <c r="H328" s="48" t="str">
        <f>IF(P328="","",IFERROR(CHOOSE(VALUE(RIGHT(P328,1)),LUNES!H140,LUNES!K140,LUNES!N140,LUNES!Q140,LUNES!T140),""))</f>
        <v/>
      </c>
      <c r="I328" s="49" t="str">
        <f t="shared" si="10"/>
        <v/>
      </c>
      <c r="J328" s="50" t="str">
        <f>IF(P328="","",IFERROR(ROUND(CHOOSE(VALUE(RIGHT(P328,1)),IF(LUNES!C140="peso_corporal",IF(ISNUMBER(LUNES!E140),LUNES!E140,0)+LUNES!F140,LUNES!F140)*LUNES!G140,IF(LUNES!C140="peso_corporal",IF(ISNUMBER(LUNES!E140),LUNES!E140,0)+LUNES!I140,LUNES!I140)*LUNES!J140,IF(LUNES!C140="peso_corporal",IF(ISNUMBER(LUNES!E140),LUNES!E140,0)+LUNES!L140,LUNES!L140)*LUNES!M140,IF(LUNES!C140="peso_corporal",IF(ISNUMBER(LUNES!E140),LUNES!E140,0)+LUNES!O140,LUNES!O140)*LUNES!P140,IF(LUNES!C140="peso_corporal",IF(ISNUMBER(LUNES!E140),LUNES!E140,0)+LUNES!R140,LUNES!R140)*LUNES!S140),1),""))</f>
        <v/>
      </c>
      <c r="K328" s="51" t="str">
        <f>IF(P328="","",IFERROR(ROUND(CHOOSE(VALUE(RIGHT(P328,1)),(IF(LUNES!C140="peso_corporal",IF(ISNUMBER(LUNES!E140),LUNES!E140,0)+LUNES!F140,LUNES!F140))*(1+LUNES!G140/30),(IF(LUNES!C140="peso_corporal",IF(ISNUMBER(LUNES!E140),LUNES!E140,0)+LUNES!I140,LUNES!I140))*(1+LUNES!J140/30),(IF(LUNES!C140="peso_corporal",IF(ISNUMBER(LUNES!E140),LUNES!E140,0)+LUNES!L140,LUNES!L140))*(1+LUNES!M140/30),(IF(LUNES!C140="peso_corporal",IF(ISNUMBER(LUNES!E140),LUNES!E140,0)+LUNES!O140,LUNES!O140))*(1+LUNES!P140/30),(IF(LUNES!C140="peso_corporal",IF(ISNUMBER(LUNES!E140),LUNES!E140,0)+LUNES!R140,LUNES!R140))*(1+LUNES!S140/30)),1),""))</f>
        <v/>
      </c>
      <c r="L328" s="52">
        <f>IFERROR(LUNES!E140,"")</f>
        <v>80</v>
      </c>
      <c r="M328" s="53" t="str">
        <f>IFERROR(IF(K328="","-",IF(ISNUMBER(LOOKUP(2,1/((HISTORIAL!$O$3:$O$327=O328)*(HISTORIAL!$F$3:$F$327&lt;&gt;"")),HISTORIAL!$K$3:$K$327)),IF(K328&gt;LOOKUP(2,1/((HISTORIAL!$O$3:$O$327=O328)*(HISTORIAL!$F$3:$F$327&lt;&gt;"")),HISTORIAL!$K$3:$K$327),"^",IF(K328&lt;LOOKUP(2,1/((HISTORIAL!$O$3:$O$327=O328)*(HISTORIAL!$F$3:$F$327&lt;&gt;"")),HISTORIAL!$K$3:$K$327),"v","-")),"-")),"-")</f>
        <v>-</v>
      </c>
      <c r="N328" s="54" t="str">
        <f>IFERROR(VLOOKUP(A328,CONFIG!$A$10:$B$21,2,0),"")</f>
        <v>FUE</v>
      </c>
      <c r="O328" s="55" t="str">
        <f t="shared" si="11"/>
        <v>Crunch|Polea</v>
      </c>
      <c r="P328" s="69" t="str">
        <f>LUNES!AC140</f>
        <v/>
      </c>
    </row>
    <row r="329" spans="1:16" ht="14.1" customHeight="1">
      <c r="A329" s="37">
        <v>6</v>
      </c>
      <c r="B329" s="37" t="s">
        <v>278</v>
      </c>
      <c r="C329" s="44" t="str">
        <f>MARTES!$A$118</f>
        <v>Dominadas</v>
      </c>
      <c r="D329" s="45" t="str">
        <f>MARTES!$B$118</f>
        <v>Polea Alta Prono Ancho</v>
      </c>
      <c r="E329" s="37" t="str">
        <f>MARTES!$C$118</f>
        <v>peso_corporal</v>
      </c>
      <c r="F329" s="46" t="str">
        <f>IF(P329="","",IFERROR(CHOOSE(VALUE(RIGHT(P329,1)),MARTES!F118,MARTES!I118,MARTES!L118,MARTES!O118,MARTES!R118),""))</f>
        <v/>
      </c>
      <c r="G329" s="47" t="str">
        <f>IF(P329="","",IFERROR(CHOOSE(VALUE(RIGHT(P329,1)),MARTES!G118,MARTES!J118,MARTES!M118,MARTES!P118,MARTES!S118),""))</f>
        <v/>
      </c>
      <c r="H329" s="48" t="str">
        <f>IF(P329="","",IFERROR(CHOOSE(VALUE(RIGHT(P329,1)),MARTES!H118,MARTES!K118,MARTES!N118,MARTES!Q118,MARTES!T118),""))</f>
        <v/>
      </c>
      <c r="I329" s="49" t="str">
        <f t="shared" si="10"/>
        <v/>
      </c>
      <c r="J329" s="50" t="str">
        <f>IF(P329="","",IFERROR(ROUND(CHOOSE(VALUE(RIGHT(P329,1)),IF(MARTES!C118="peso_corporal",IF(ISNUMBER(MARTES!E118),MARTES!E118,0)+MARTES!F118,MARTES!F118)*MARTES!G118,IF(MARTES!C118="peso_corporal",IF(ISNUMBER(MARTES!E118),MARTES!E118,0)+MARTES!I118,MARTES!I118)*MARTES!J118,IF(MARTES!C118="peso_corporal",IF(ISNUMBER(MARTES!E118),MARTES!E118,0)+MARTES!L118,MARTES!L118)*MARTES!M118,IF(MARTES!C118="peso_corporal",IF(ISNUMBER(MARTES!E118),MARTES!E118,0)+MARTES!O118,MARTES!O118)*MARTES!P118,IF(MARTES!C118="peso_corporal",IF(ISNUMBER(MARTES!E118),MARTES!E118,0)+MARTES!R118,MARTES!R118)*MARTES!S118),1),""))</f>
        <v/>
      </c>
      <c r="K329" s="51" t="str">
        <f>IF(P329="","",IFERROR(ROUND(CHOOSE(VALUE(RIGHT(P329,1)),(IF(MARTES!C118="peso_corporal",IF(ISNUMBER(MARTES!E118),MARTES!E118,0)+MARTES!F118,MARTES!F118))*(1+MARTES!G118/30),(IF(MARTES!C118="peso_corporal",IF(ISNUMBER(MARTES!E118),MARTES!E118,0)+MARTES!I118,MARTES!I118))*(1+MARTES!J118/30),(IF(MARTES!C118="peso_corporal",IF(ISNUMBER(MARTES!E118),MARTES!E118,0)+MARTES!L118,MARTES!L118))*(1+MARTES!M118/30),(IF(MARTES!C118="peso_corporal",IF(ISNUMBER(MARTES!E118),MARTES!E118,0)+MARTES!O118,MARTES!O118))*(1+MARTES!P118/30),(IF(MARTES!C118="peso_corporal",IF(ISNUMBER(MARTES!E118),MARTES!E118,0)+MARTES!R118,MARTES!R118))*(1+MARTES!S118/30)),1),""))</f>
        <v/>
      </c>
      <c r="L329" s="52">
        <f>IFERROR(MARTES!E118,"")</f>
        <v>80</v>
      </c>
      <c r="M329" s="53" t="str">
        <f>IFERROR(IF(K329="","-",IF(ISNUMBER(LOOKUP(2,1/((HISTORIAL!$O$3:$O$328=O329)*(HISTORIAL!$F$3:$F$328&lt;&gt;"")),HISTORIAL!$K$3:$K$328)),IF(K329&gt;LOOKUP(2,1/((HISTORIAL!$O$3:$O$328=O329)*(HISTORIAL!$F$3:$F$328&lt;&gt;"")),HISTORIAL!$K$3:$K$328),"^",IF(K329&lt;LOOKUP(2,1/((HISTORIAL!$O$3:$O$328=O329)*(HISTORIAL!$F$3:$F$328&lt;&gt;"")),HISTORIAL!$K$3:$K$328),"v","-")),"-")),"-")</f>
        <v>-</v>
      </c>
      <c r="N329" s="54" t="str">
        <f>IFERROR(VLOOKUP(A329,CONFIG!$A$10:$B$21,2,0),"")</f>
        <v>FUE</v>
      </c>
      <c r="O329" s="55" t="str">
        <f t="shared" si="11"/>
        <v>Dominadas|Polea Alta Prono Ancho</v>
      </c>
      <c r="P329" s="69" t="str">
        <f>MARTES!AC118</f>
        <v/>
      </c>
    </row>
    <row r="330" spans="1:16" ht="14.1" customHeight="1">
      <c r="A330" s="37">
        <v>6</v>
      </c>
      <c r="B330" s="37" t="s">
        <v>278</v>
      </c>
      <c r="C330" s="44" t="str">
        <f>MARTES!$A$119</f>
        <v>Pulldown</v>
      </c>
      <c r="D330" s="45" t="str">
        <f>MARTES!$B$119</f>
        <v>Polea Alta Brazos Rectos Prono</v>
      </c>
      <c r="E330" s="37" t="str">
        <f>MARTES!$C$119</f>
        <v>polea</v>
      </c>
      <c r="F330" s="46" t="str">
        <f>IF(P330="","",IFERROR(CHOOSE(VALUE(RIGHT(P330,1)),MARTES!F119,MARTES!I119,MARTES!L119,MARTES!O119,MARTES!R119),""))</f>
        <v/>
      </c>
      <c r="G330" s="47" t="str">
        <f>IF(P330="","",IFERROR(CHOOSE(VALUE(RIGHT(P330,1)),MARTES!G119,MARTES!J119,MARTES!M119,MARTES!P119,MARTES!S119),""))</f>
        <v/>
      </c>
      <c r="H330" s="48" t="str">
        <f>IF(P330="","",IFERROR(CHOOSE(VALUE(RIGHT(P330,1)),MARTES!H119,MARTES!K119,MARTES!N119,MARTES!Q119,MARTES!T119),""))</f>
        <v/>
      </c>
      <c r="I330" s="49" t="str">
        <f t="shared" si="10"/>
        <v/>
      </c>
      <c r="J330" s="50" t="str">
        <f>IF(P330="","",IFERROR(ROUND(CHOOSE(VALUE(RIGHT(P330,1)),IF(MARTES!C119="peso_corporal",IF(ISNUMBER(MARTES!E119),MARTES!E119,0)+MARTES!F119,MARTES!F119)*MARTES!G119,IF(MARTES!C119="peso_corporal",IF(ISNUMBER(MARTES!E119),MARTES!E119,0)+MARTES!I119,MARTES!I119)*MARTES!J119,IF(MARTES!C119="peso_corporal",IF(ISNUMBER(MARTES!E119),MARTES!E119,0)+MARTES!L119,MARTES!L119)*MARTES!M119,IF(MARTES!C119="peso_corporal",IF(ISNUMBER(MARTES!E119),MARTES!E119,0)+MARTES!O119,MARTES!O119)*MARTES!P119,IF(MARTES!C119="peso_corporal",IF(ISNUMBER(MARTES!E119),MARTES!E119,0)+MARTES!R119,MARTES!R119)*MARTES!S119),1),""))</f>
        <v/>
      </c>
      <c r="K330" s="51" t="str">
        <f>IF(P330="","",IFERROR(ROUND(CHOOSE(VALUE(RIGHT(P330,1)),(IF(MARTES!C119="peso_corporal",IF(ISNUMBER(MARTES!E119),MARTES!E119,0)+MARTES!F119,MARTES!F119))*(1+MARTES!G119/30),(IF(MARTES!C119="peso_corporal",IF(ISNUMBER(MARTES!E119),MARTES!E119,0)+MARTES!I119,MARTES!I119))*(1+MARTES!J119/30),(IF(MARTES!C119="peso_corporal",IF(ISNUMBER(MARTES!E119),MARTES!E119,0)+MARTES!L119,MARTES!L119))*(1+MARTES!M119/30),(IF(MARTES!C119="peso_corporal",IF(ISNUMBER(MARTES!E119),MARTES!E119,0)+MARTES!O119,MARTES!O119))*(1+MARTES!P119/30),(IF(MARTES!C119="peso_corporal",IF(ISNUMBER(MARTES!E119),MARTES!E119,0)+MARTES!R119,MARTES!R119))*(1+MARTES!S119/30)),1),""))</f>
        <v/>
      </c>
      <c r="L330" s="52">
        <f>IFERROR(MARTES!E119,"")</f>
        <v>80</v>
      </c>
      <c r="M330" s="53" t="str">
        <f>IFERROR(IF(K330="","-",IF(ISNUMBER(LOOKUP(2,1/((HISTORIAL!$O$3:$O$329=O330)*(HISTORIAL!$F$3:$F$329&lt;&gt;"")),HISTORIAL!$K$3:$K$329)),IF(K330&gt;LOOKUP(2,1/((HISTORIAL!$O$3:$O$329=O330)*(HISTORIAL!$F$3:$F$329&lt;&gt;"")),HISTORIAL!$K$3:$K$329),"^",IF(K330&lt;LOOKUP(2,1/((HISTORIAL!$O$3:$O$329=O330)*(HISTORIAL!$F$3:$F$329&lt;&gt;"")),HISTORIAL!$K$3:$K$329),"v","-")),"-")),"-")</f>
        <v>-</v>
      </c>
      <c r="N330" s="54" t="str">
        <f>IFERROR(VLOOKUP(A330,CONFIG!$A$10:$B$21,2,0),"")</f>
        <v>FUE</v>
      </c>
      <c r="O330" s="55" t="str">
        <f t="shared" si="11"/>
        <v>Pulldown|Polea Alta Brazos Rectos Prono</v>
      </c>
      <c r="P330" s="69" t="str">
        <f>MARTES!AC119</f>
        <v/>
      </c>
    </row>
    <row r="331" spans="1:16" ht="14.1" customHeight="1">
      <c r="A331" s="37">
        <v>6</v>
      </c>
      <c r="B331" s="37" t="s">
        <v>278</v>
      </c>
      <c r="C331" s="44" t="str">
        <f>MARTES!$A$121</f>
        <v>Remo</v>
      </c>
      <c r="D331" s="45" t="str">
        <f>MARTES!$B$121</f>
        <v>Maquina Hammer Neutro Unilateral</v>
      </c>
      <c r="E331" s="37" t="str">
        <f>MARTES!$C$121</f>
        <v>polea</v>
      </c>
      <c r="F331" s="46" t="str">
        <f>IF(P331="","",IFERROR(CHOOSE(VALUE(RIGHT(P331,1)),MARTES!F121,MARTES!I121,MARTES!L121,MARTES!O121,MARTES!R121),""))</f>
        <v/>
      </c>
      <c r="G331" s="47" t="str">
        <f>IF(P331="","",IFERROR(CHOOSE(VALUE(RIGHT(P331,1)),MARTES!G121,MARTES!J121,MARTES!M121,MARTES!P121,MARTES!S121),""))</f>
        <v/>
      </c>
      <c r="H331" s="48" t="str">
        <f>IF(P331="","",IFERROR(CHOOSE(VALUE(RIGHT(P331,1)),MARTES!H121,MARTES!K121,MARTES!N121,MARTES!Q121,MARTES!T121),""))</f>
        <v/>
      </c>
      <c r="I331" s="49" t="str">
        <f t="shared" si="10"/>
        <v/>
      </c>
      <c r="J331" s="50" t="str">
        <f>IF(P331="","",IFERROR(ROUND(CHOOSE(VALUE(RIGHT(P331,1)),IF(MARTES!C121="peso_corporal",IF(ISNUMBER(MARTES!E121),MARTES!E121,0)+MARTES!F121,MARTES!F121)*MARTES!G121,IF(MARTES!C121="peso_corporal",IF(ISNUMBER(MARTES!E121),MARTES!E121,0)+MARTES!I121,MARTES!I121)*MARTES!J121,IF(MARTES!C121="peso_corporal",IF(ISNUMBER(MARTES!E121),MARTES!E121,0)+MARTES!L121,MARTES!L121)*MARTES!M121,IF(MARTES!C121="peso_corporal",IF(ISNUMBER(MARTES!E121),MARTES!E121,0)+MARTES!O121,MARTES!O121)*MARTES!P121,IF(MARTES!C121="peso_corporal",IF(ISNUMBER(MARTES!E121),MARTES!E121,0)+MARTES!R121,MARTES!R121)*MARTES!S121),1),""))</f>
        <v/>
      </c>
      <c r="K331" s="51" t="str">
        <f>IF(P331="","",IFERROR(ROUND(CHOOSE(VALUE(RIGHT(P331,1)),(IF(MARTES!C121="peso_corporal",IF(ISNUMBER(MARTES!E121),MARTES!E121,0)+MARTES!F121,MARTES!F121))*(1+MARTES!G121/30),(IF(MARTES!C121="peso_corporal",IF(ISNUMBER(MARTES!E121),MARTES!E121,0)+MARTES!I121,MARTES!I121))*(1+MARTES!J121/30),(IF(MARTES!C121="peso_corporal",IF(ISNUMBER(MARTES!E121),MARTES!E121,0)+MARTES!L121,MARTES!L121))*(1+MARTES!M121/30),(IF(MARTES!C121="peso_corporal",IF(ISNUMBER(MARTES!E121),MARTES!E121,0)+MARTES!O121,MARTES!O121))*(1+MARTES!P121/30),(IF(MARTES!C121="peso_corporal",IF(ISNUMBER(MARTES!E121),MARTES!E121,0)+MARTES!R121,MARTES!R121))*(1+MARTES!S121/30)),1),""))</f>
        <v/>
      </c>
      <c r="L331" s="52">
        <f>IFERROR(MARTES!E121,"")</f>
        <v>80</v>
      </c>
      <c r="M331" s="53" t="str">
        <f>IFERROR(IF(K331="","-",IF(ISNUMBER(LOOKUP(2,1/((HISTORIAL!$O$3:$O$330=O331)*(HISTORIAL!$F$3:$F$330&lt;&gt;"")),HISTORIAL!$K$3:$K$330)),IF(K331&gt;LOOKUP(2,1/((HISTORIAL!$O$3:$O$330=O331)*(HISTORIAL!$F$3:$F$330&lt;&gt;"")),HISTORIAL!$K$3:$K$330),"^",IF(K331&lt;LOOKUP(2,1/((HISTORIAL!$O$3:$O$330=O331)*(HISTORIAL!$F$3:$F$330&lt;&gt;"")),HISTORIAL!$K$3:$K$330),"v","-")),"-")),"-")</f>
        <v>-</v>
      </c>
      <c r="N331" s="54" t="str">
        <f>IFERROR(VLOOKUP(A331,CONFIG!$A$10:$B$21,2,0),"")</f>
        <v>FUE</v>
      </c>
      <c r="O331" s="55" t="str">
        <f t="shared" si="11"/>
        <v>Remo|Maquina Hammer Neutro Unilateral</v>
      </c>
      <c r="P331" s="69" t="str">
        <f>MARTES!AC121</f>
        <v/>
      </c>
    </row>
    <row r="332" spans="1:16" ht="14.1" customHeight="1">
      <c r="A332" s="37">
        <v>6</v>
      </c>
      <c r="B332" s="37" t="s">
        <v>278</v>
      </c>
      <c r="C332" s="44" t="str">
        <f>MARTES!$A$122</f>
        <v>Remo</v>
      </c>
      <c r="D332" s="45" t="str">
        <f>MARTES!$B$122</f>
        <v>Maquina Prono</v>
      </c>
      <c r="E332" s="37" t="str">
        <f>MARTES!$C$122</f>
        <v>polea</v>
      </c>
      <c r="F332" s="46" t="str">
        <f>IF(P332="","",IFERROR(CHOOSE(VALUE(RIGHT(P332,1)),MARTES!F122,MARTES!I122,MARTES!L122,MARTES!O122,MARTES!R122),""))</f>
        <v/>
      </c>
      <c r="G332" s="47" t="str">
        <f>IF(P332="","",IFERROR(CHOOSE(VALUE(RIGHT(P332,1)),MARTES!G122,MARTES!J122,MARTES!M122,MARTES!P122,MARTES!S122),""))</f>
        <v/>
      </c>
      <c r="H332" s="48" t="str">
        <f>IF(P332="","",IFERROR(CHOOSE(VALUE(RIGHT(P332,1)),MARTES!H122,MARTES!K122,MARTES!N122,MARTES!Q122,MARTES!T122),""))</f>
        <v/>
      </c>
      <c r="I332" s="49" t="str">
        <f t="shared" si="10"/>
        <v/>
      </c>
      <c r="J332" s="50" t="str">
        <f>IF(P332="","",IFERROR(ROUND(CHOOSE(VALUE(RIGHT(P332,1)),IF(MARTES!C122="peso_corporal",IF(ISNUMBER(MARTES!E122),MARTES!E122,0)+MARTES!F122,MARTES!F122)*MARTES!G122,IF(MARTES!C122="peso_corporal",IF(ISNUMBER(MARTES!E122),MARTES!E122,0)+MARTES!I122,MARTES!I122)*MARTES!J122,IF(MARTES!C122="peso_corporal",IF(ISNUMBER(MARTES!E122),MARTES!E122,0)+MARTES!L122,MARTES!L122)*MARTES!M122,IF(MARTES!C122="peso_corporal",IF(ISNUMBER(MARTES!E122),MARTES!E122,0)+MARTES!O122,MARTES!O122)*MARTES!P122,IF(MARTES!C122="peso_corporal",IF(ISNUMBER(MARTES!E122),MARTES!E122,0)+MARTES!R122,MARTES!R122)*MARTES!S122),1),""))</f>
        <v/>
      </c>
      <c r="K332" s="51" t="str">
        <f>IF(P332="","",IFERROR(ROUND(CHOOSE(VALUE(RIGHT(P332,1)),(IF(MARTES!C122="peso_corporal",IF(ISNUMBER(MARTES!E122),MARTES!E122,0)+MARTES!F122,MARTES!F122))*(1+MARTES!G122/30),(IF(MARTES!C122="peso_corporal",IF(ISNUMBER(MARTES!E122),MARTES!E122,0)+MARTES!I122,MARTES!I122))*(1+MARTES!J122/30),(IF(MARTES!C122="peso_corporal",IF(ISNUMBER(MARTES!E122),MARTES!E122,0)+MARTES!L122,MARTES!L122))*(1+MARTES!M122/30),(IF(MARTES!C122="peso_corporal",IF(ISNUMBER(MARTES!E122),MARTES!E122,0)+MARTES!O122,MARTES!O122))*(1+MARTES!P122/30),(IF(MARTES!C122="peso_corporal",IF(ISNUMBER(MARTES!E122),MARTES!E122,0)+MARTES!R122,MARTES!R122))*(1+MARTES!S122/30)),1),""))</f>
        <v/>
      </c>
      <c r="L332" s="52">
        <f>IFERROR(MARTES!E122,"")</f>
        <v>80</v>
      </c>
      <c r="M332" s="53" t="str">
        <f>IFERROR(IF(K332="","-",IF(ISNUMBER(LOOKUP(2,1/((HISTORIAL!$O$3:$O$331=O332)*(HISTORIAL!$F$3:$F$331&lt;&gt;"")),HISTORIAL!$K$3:$K$331)),IF(K332&gt;LOOKUP(2,1/((HISTORIAL!$O$3:$O$331=O332)*(HISTORIAL!$F$3:$F$331&lt;&gt;"")),HISTORIAL!$K$3:$K$331),"^",IF(K332&lt;LOOKUP(2,1/((HISTORIAL!$O$3:$O$331=O332)*(HISTORIAL!$F$3:$F$331&lt;&gt;"")),HISTORIAL!$K$3:$K$331),"v","-")),"-")),"-")</f>
        <v>-</v>
      </c>
      <c r="N332" s="54" t="str">
        <f>IFERROR(VLOOKUP(A332,CONFIG!$A$10:$B$21,2,0),"")</f>
        <v>FUE</v>
      </c>
      <c r="O332" s="55" t="str">
        <f t="shared" si="11"/>
        <v>Remo|Maquina Prono</v>
      </c>
      <c r="P332" s="69" t="str">
        <f>MARTES!AC122</f>
        <v/>
      </c>
    </row>
    <row r="333" spans="1:16" ht="14.1" customHeight="1">
      <c r="A333" s="37">
        <v>6</v>
      </c>
      <c r="B333" s="37" t="s">
        <v>278</v>
      </c>
      <c r="C333" s="44" t="str">
        <f>MARTES!$A$124</f>
        <v>Curl Biceps</v>
      </c>
      <c r="D333" s="45" t="str">
        <f>MARTES!$B$124</f>
        <v>Inclinado Banco Mancuernas</v>
      </c>
      <c r="E333" s="37" t="str">
        <f>MARTES!$C$124</f>
        <v>mancuerna</v>
      </c>
      <c r="F333" s="46" t="str">
        <f>IF(P333="","",IFERROR(CHOOSE(VALUE(RIGHT(P333,1)),MARTES!F124,MARTES!I124,MARTES!L124,MARTES!O124,MARTES!R124),""))</f>
        <v/>
      </c>
      <c r="G333" s="47" t="str">
        <f>IF(P333="","",IFERROR(CHOOSE(VALUE(RIGHT(P333,1)),MARTES!G124,MARTES!J124,MARTES!M124,MARTES!P124,MARTES!S124),""))</f>
        <v/>
      </c>
      <c r="H333" s="48" t="str">
        <f>IF(P333="","",IFERROR(CHOOSE(VALUE(RIGHT(P333,1)),MARTES!H124,MARTES!K124,MARTES!N124,MARTES!Q124,MARTES!T124),""))</f>
        <v/>
      </c>
      <c r="I333" s="49" t="str">
        <f t="shared" si="10"/>
        <v/>
      </c>
      <c r="J333" s="50" t="str">
        <f>IF(P333="","",IFERROR(ROUND(CHOOSE(VALUE(RIGHT(P333,1)),IF(MARTES!C124="peso_corporal",IF(ISNUMBER(MARTES!E124),MARTES!E124,0)+MARTES!F124,MARTES!F124)*MARTES!G124,IF(MARTES!C124="peso_corporal",IF(ISNUMBER(MARTES!E124),MARTES!E124,0)+MARTES!I124,MARTES!I124)*MARTES!J124,IF(MARTES!C124="peso_corporal",IF(ISNUMBER(MARTES!E124),MARTES!E124,0)+MARTES!L124,MARTES!L124)*MARTES!M124,IF(MARTES!C124="peso_corporal",IF(ISNUMBER(MARTES!E124),MARTES!E124,0)+MARTES!O124,MARTES!O124)*MARTES!P124,IF(MARTES!C124="peso_corporal",IF(ISNUMBER(MARTES!E124),MARTES!E124,0)+MARTES!R124,MARTES!R124)*MARTES!S124),1),""))</f>
        <v/>
      </c>
      <c r="K333" s="51" t="str">
        <f>IF(P333="","",IFERROR(ROUND(CHOOSE(VALUE(RIGHT(P333,1)),(IF(MARTES!C124="peso_corporal",IF(ISNUMBER(MARTES!E124),MARTES!E124,0)+MARTES!F124,MARTES!F124))*(1+MARTES!G124/30),(IF(MARTES!C124="peso_corporal",IF(ISNUMBER(MARTES!E124),MARTES!E124,0)+MARTES!I124,MARTES!I124))*(1+MARTES!J124/30),(IF(MARTES!C124="peso_corporal",IF(ISNUMBER(MARTES!E124),MARTES!E124,0)+MARTES!L124,MARTES!L124))*(1+MARTES!M124/30),(IF(MARTES!C124="peso_corporal",IF(ISNUMBER(MARTES!E124),MARTES!E124,0)+MARTES!O124,MARTES!O124))*(1+MARTES!P124/30),(IF(MARTES!C124="peso_corporal",IF(ISNUMBER(MARTES!E124),MARTES!E124,0)+MARTES!R124,MARTES!R124))*(1+MARTES!S124/30)),1),""))</f>
        <v/>
      </c>
      <c r="L333" s="52">
        <f>IFERROR(MARTES!E124,"")</f>
        <v>80</v>
      </c>
      <c r="M333" s="53" t="str">
        <f>IFERROR(IF(K333="","-",IF(ISNUMBER(LOOKUP(2,1/((HISTORIAL!$O$3:$O$332=O333)*(HISTORIAL!$F$3:$F$332&lt;&gt;"")),HISTORIAL!$K$3:$K$332)),IF(K333&gt;LOOKUP(2,1/((HISTORIAL!$O$3:$O$332=O333)*(HISTORIAL!$F$3:$F$332&lt;&gt;"")),HISTORIAL!$K$3:$K$332),"^",IF(K333&lt;LOOKUP(2,1/((HISTORIAL!$O$3:$O$332=O333)*(HISTORIAL!$F$3:$F$332&lt;&gt;"")),HISTORIAL!$K$3:$K$332),"v","-")),"-")),"-")</f>
        <v>-</v>
      </c>
      <c r="N333" s="54" t="str">
        <f>IFERROR(VLOOKUP(A333,CONFIG!$A$10:$B$21,2,0),"")</f>
        <v>FUE</v>
      </c>
      <c r="O333" s="55" t="str">
        <f t="shared" si="11"/>
        <v>Curl Biceps|Inclinado Banco Mancuernas</v>
      </c>
      <c r="P333" s="69" t="str">
        <f>MARTES!AC124</f>
        <v/>
      </c>
    </row>
    <row r="334" spans="1:16" ht="14.1" customHeight="1">
      <c r="A334" s="37">
        <v>6</v>
      </c>
      <c r="B334" s="37" t="s">
        <v>278</v>
      </c>
      <c r="C334" s="44" t="str">
        <f>MARTES!$A$125</f>
        <v>Curl Biceps</v>
      </c>
      <c r="D334" s="45" t="str">
        <f>MARTES!$B$125</f>
        <v>Polea Baja Supino</v>
      </c>
      <c r="E334" s="37" t="str">
        <f>MARTES!$C$125</f>
        <v>polea</v>
      </c>
      <c r="F334" s="46" t="str">
        <f>IF(P334="","",IFERROR(CHOOSE(VALUE(RIGHT(P334,1)),MARTES!F125,MARTES!I125,MARTES!L125,MARTES!O125,MARTES!R125),""))</f>
        <v/>
      </c>
      <c r="G334" s="47" t="str">
        <f>IF(P334="","",IFERROR(CHOOSE(VALUE(RIGHT(P334,1)),MARTES!G125,MARTES!J125,MARTES!M125,MARTES!P125,MARTES!S125),""))</f>
        <v/>
      </c>
      <c r="H334" s="48" t="str">
        <f>IF(P334="","",IFERROR(CHOOSE(VALUE(RIGHT(P334,1)),MARTES!H125,MARTES!K125,MARTES!N125,MARTES!Q125,MARTES!T125),""))</f>
        <v/>
      </c>
      <c r="I334" s="49" t="str">
        <f t="shared" si="10"/>
        <v/>
      </c>
      <c r="J334" s="50" t="str">
        <f>IF(P334="","",IFERROR(ROUND(CHOOSE(VALUE(RIGHT(P334,1)),IF(MARTES!C125="peso_corporal",IF(ISNUMBER(MARTES!E125),MARTES!E125,0)+MARTES!F125,MARTES!F125)*MARTES!G125,IF(MARTES!C125="peso_corporal",IF(ISNUMBER(MARTES!E125),MARTES!E125,0)+MARTES!I125,MARTES!I125)*MARTES!J125,IF(MARTES!C125="peso_corporal",IF(ISNUMBER(MARTES!E125),MARTES!E125,0)+MARTES!L125,MARTES!L125)*MARTES!M125,IF(MARTES!C125="peso_corporal",IF(ISNUMBER(MARTES!E125),MARTES!E125,0)+MARTES!O125,MARTES!O125)*MARTES!P125,IF(MARTES!C125="peso_corporal",IF(ISNUMBER(MARTES!E125),MARTES!E125,0)+MARTES!R125,MARTES!R125)*MARTES!S125),1),""))</f>
        <v/>
      </c>
      <c r="K334" s="51" t="str">
        <f>IF(P334="","",IFERROR(ROUND(CHOOSE(VALUE(RIGHT(P334,1)),(IF(MARTES!C125="peso_corporal",IF(ISNUMBER(MARTES!E125),MARTES!E125,0)+MARTES!F125,MARTES!F125))*(1+MARTES!G125/30),(IF(MARTES!C125="peso_corporal",IF(ISNUMBER(MARTES!E125),MARTES!E125,0)+MARTES!I125,MARTES!I125))*(1+MARTES!J125/30),(IF(MARTES!C125="peso_corporal",IF(ISNUMBER(MARTES!E125),MARTES!E125,0)+MARTES!L125,MARTES!L125))*(1+MARTES!M125/30),(IF(MARTES!C125="peso_corporal",IF(ISNUMBER(MARTES!E125),MARTES!E125,0)+MARTES!O125,MARTES!O125))*(1+MARTES!P125/30),(IF(MARTES!C125="peso_corporal",IF(ISNUMBER(MARTES!E125),MARTES!E125,0)+MARTES!R125,MARTES!R125))*(1+MARTES!S125/30)),1),""))</f>
        <v/>
      </c>
      <c r="L334" s="52">
        <f>IFERROR(MARTES!E125,"")</f>
        <v>80</v>
      </c>
      <c r="M334" s="53" t="str">
        <f>IFERROR(IF(K334="","-",IF(ISNUMBER(LOOKUP(2,1/((HISTORIAL!$O$3:$O$333=O334)*(HISTORIAL!$F$3:$F$333&lt;&gt;"")),HISTORIAL!$K$3:$K$333)),IF(K334&gt;LOOKUP(2,1/((HISTORIAL!$O$3:$O$333=O334)*(HISTORIAL!$F$3:$F$333&lt;&gt;"")),HISTORIAL!$K$3:$K$333),"^",IF(K334&lt;LOOKUP(2,1/((HISTORIAL!$O$3:$O$333=O334)*(HISTORIAL!$F$3:$F$333&lt;&gt;"")),HISTORIAL!$K$3:$K$333),"v","-")),"-")),"-")</f>
        <v>-</v>
      </c>
      <c r="N334" s="54" t="str">
        <f>IFERROR(VLOOKUP(A334,CONFIG!$A$10:$B$21,2,0),"")</f>
        <v>FUE</v>
      </c>
      <c r="O334" s="55" t="str">
        <f t="shared" si="11"/>
        <v>Curl Biceps|Polea Baja Supino</v>
      </c>
      <c r="P334" s="69" t="str">
        <f>MARTES!AC125</f>
        <v/>
      </c>
    </row>
    <row r="335" spans="1:16" ht="14.1" customHeight="1">
      <c r="A335" s="37">
        <v>6</v>
      </c>
      <c r="B335" s="37" t="s">
        <v>278</v>
      </c>
      <c r="C335" s="44" t="str">
        <f>MARTES!$A$127</f>
        <v>Curl Muneca</v>
      </c>
      <c r="D335" s="45" t="str">
        <f>MARTES!$B$127</f>
        <v>Supinado</v>
      </c>
      <c r="E335" s="37" t="str">
        <f>MARTES!$C$127</f>
        <v>mancuerna</v>
      </c>
      <c r="F335" s="46" t="str">
        <f>IF(P335="","",IFERROR(CHOOSE(VALUE(RIGHT(P335,1)),MARTES!F127,MARTES!I127,MARTES!L127,MARTES!O127,MARTES!R127),""))</f>
        <v/>
      </c>
      <c r="G335" s="47" t="str">
        <f>IF(P335="","",IFERROR(CHOOSE(VALUE(RIGHT(P335,1)),MARTES!G127,MARTES!J127,MARTES!M127,MARTES!P127,MARTES!S127),""))</f>
        <v/>
      </c>
      <c r="H335" s="48" t="str">
        <f>IF(P335="","",IFERROR(CHOOSE(VALUE(RIGHT(P335,1)),MARTES!H127,MARTES!K127,MARTES!N127,MARTES!Q127,MARTES!T127),""))</f>
        <v/>
      </c>
      <c r="I335" s="49" t="str">
        <f t="shared" si="10"/>
        <v/>
      </c>
      <c r="J335" s="50" t="str">
        <f>IF(P335="","",IFERROR(ROUND(CHOOSE(VALUE(RIGHT(P335,1)),IF(MARTES!C127="peso_corporal",IF(ISNUMBER(MARTES!E127),MARTES!E127,0)+MARTES!F127,MARTES!F127)*MARTES!G127,IF(MARTES!C127="peso_corporal",IF(ISNUMBER(MARTES!E127),MARTES!E127,0)+MARTES!I127,MARTES!I127)*MARTES!J127,IF(MARTES!C127="peso_corporal",IF(ISNUMBER(MARTES!E127),MARTES!E127,0)+MARTES!L127,MARTES!L127)*MARTES!M127,IF(MARTES!C127="peso_corporal",IF(ISNUMBER(MARTES!E127),MARTES!E127,0)+MARTES!O127,MARTES!O127)*MARTES!P127,IF(MARTES!C127="peso_corporal",IF(ISNUMBER(MARTES!E127),MARTES!E127,0)+MARTES!R127,MARTES!R127)*MARTES!S127),1),""))</f>
        <v/>
      </c>
      <c r="K335" s="51" t="str">
        <f>IF(P335="","",IFERROR(ROUND(CHOOSE(VALUE(RIGHT(P335,1)),(IF(MARTES!C127="peso_corporal",IF(ISNUMBER(MARTES!E127),MARTES!E127,0)+MARTES!F127,MARTES!F127))*(1+MARTES!G127/30),(IF(MARTES!C127="peso_corporal",IF(ISNUMBER(MARTES!E127),MARTES!E127,0)+MARTES!I127,MARTES!I127))*(1+MARTES!J127/30),(IF(MARTES!C127="peso_corporal",IF(ISNUMBER(MARTES!E127),MARTES!E127,0)+MARTES!L127,MARTES!L127))*(1+MARTES!M127/30),(IF(MARTES!C127="peso_corporal",IF(ISNUMBER(MARTES!E127),MARTES!E127,0)+MARTES!O127,MARTES!O127))*(1+MARTES!P127/30),(IF(MARTES!C127="peso_corporal",IF(ISNUMBER(MARTES!E127),MARTES!E127,0)+MARTES!R127,MARTES!R127))*(1+MARTES!S127/30)),1),""))</f>
        <v/>
      </c>
      <c r="L335" s="52">
        <f>IFERROR(MARTES!E127,"")</f>
        <v>80</v>
      </c>
      <c r="M335" s="53" t="str">
        <f>IFERROR(IF(K335="","-",IF(ISNUMBER(LOOKUP(2,1/((HISTORIAL!$O$3:$O$334=O335)*(HISTORIAL!$F$3:$F$334&lt;&gt;"")),HISTORIAL!$K$3:$K$334)),IF(K335&gt;LOOKUP(2,1/((HISTORIAL!$O$3:$O$334=O335)*(HISTORIAL!$F$3:$F$334&lt;&gt;"")),HISTORIAL!$K$3:$K$334),"^",IF(K335&lt;LOOKUP(2,1/((HISTORIAL!$O$3:$O$334=O335)*(HISTORIAL!$F$3:$F$334&lt;&gt;"")),HISTORIAL!$K$3:$K$334),"v","-")),"-")),"-")</f>
        <v>-</v>
      </c>
      <c r="N335" s="54" t="str">
        <f>IFERROR(VLOOKUP(A335,CONFIG!$A$10:$B$21,2,0),"")</f>
        <v>FUE</v>
      </c>
      <c r="O335" s="55" t="str">
        <f t="shared" si="11"/>
        <v>Curl Muneca|Supinado</v>
      </c>
      <c r="P335" s="69" t="str">
        <f>MARTES!AC127</f>
        <v/>
      </c>
    </row>
    <row r="336" spans="1:16" ht="14.1" customHeight="1">
      <c r="A336" s="37">
        <v>6</v>
      </c>
      <c r="B336" s="37" t="s">
        <v>278</v>
      </c>
      <c r="C336" s="44" t="str">
        <f>MARTES!$A$128</f>
        <v>Curl Muneca</v>
      </c>
      <c r="D336" s="45" t="str">
        <f>MARTES!$B$128</f>
        <v>Pronado</v>
      </c>
      <c r="E336" s="37" t="str">
        <f>MARTES!$C$128</f>
        <v>mancuerna</v>
      </c>
      <c r="F336" s="46" t="str">
        <f>IF(P336="","",IFERROR(CHOOSE(VALUE(RIGHT(P336,1)),MARTES!F128,MARTES!I128,MARTES!L128,MARTES!O128,MARTES!R128),""))</f>
        <v/>
      </c>
      <c r="G336" s="47" t="str">
        <f>IF(P336="","",IFERROR(CHOOSE(VALUE(RIGHT(P336,1)),MARTES!G128,MARTES!J128,MARTES!M128,MARTES!P128,MARTES!S128),""))</f>
        <v/>
      </c>
      <c r="H336" s="48" t="str">
        <f>IF(P336="","",IFERROR(CHOOSE(VALUE(RIGHT(P336,1)),MARTES!H128,MARTES!K128,MARTES!N128,MARTES!Q128,MARTES!T128),""))</f>
        <v/>
      </c>
      <c r="I336" s="49" t="str">
        <f t="shared" si="10"/>
        <v/>
      </c>
      <c r="J336" s="50" t="str">
        <f>IF(P336="","",IFERROR(ROUND(CHOOSE(VALUE(RIGHT(P336,1)),IF(MARTES!C128="peso_corporal",IF(ISNUMBER(MARTES!E128),MARTES!E128,0)+MARTES!F128,MARTES!F128)*MARTES!G128,IF(MARTES!C128="peso_corporal",IF(ISNUMBER(MARTES!E128),MARTES!E128,0)+MARTES!I128,MARTES!I128)*MARTES!J128,IF(MARTES!C128="peso_corporal",IF(ISNUMBER(MARTES!E128),MARTES!E128,0)+MARTES!L128,MARTES!L128)*MARTES!M128,IF(MARTES!C128="peso_corporal",IF(ISNUMBER(MARTES!E128),MARTES!E128,0)+MARTES!O128,MARTES!O128)*MARTES!P128,IF(MARTES!C128="peso_corporal",IF(ISNUMBER(MARTES!E128),MARTES!E128,0)+MARTES!R128,MARTES!R128)*MARTES!S128),1),""))</f>
        <v/>
      </c>
      <c r="K336" s="51" t="str">
        <f>IF(P336="","",IFERROR(ROUND(CHOOSE(VALUE(RIGHT(P336,1)),(IF(MARTES!C128="peso_corporal",IF(ISNUMBER(MARTES!E128),MARTES!E128,0)+MARTES!F128,MARTES!F128))*(1+MARTES!G128/30),(IF(MARTES!C128="peso_corporal",IF(ISNUMBER(MARTES!E128),MARTES!E128,0)+MARTES!I128,MARTES!I128))*(1+MARTES!J128/30),(IF(MARTES!C128="peso_corporal",IF(ISNUMBER(MARTES!E128),MARTES!E128,0)+MARTES!L128,MARTES!L128))*(1+MARTES!M128/30),(IF(MARTES!C128="peso_corporal",IF(ISNUMBER(MARTES!E128),MARTES!E128,0)+MARTES!O128,MARTES!O128))*(1+MARTES!P128/30),(IF(MARTES!C128="peso_corporal",IF(ISNUMBER(MARTES!E128),MARTES!E128,0)+MARTES!R128,MARTES!R128))*(1+MARTES!S128/30)),1),""))</f>
        <v/>
      </c>
      <c r="L336" s="52">
        <f>IFERROR(MARTES!E128,"")</f>
        <v>80</v>
      </c>
      <c r="M336" s="53" t="str">
        <f>IFERROR(IF(K336="","-",IF(ISNUMBER(LOOKUP(2,1/((HISTORIAL!$O$3:$O$335=O336)*(HISTORIAL!$F$3:$F$335&lt;&gt;"")),HISTORIAL!$K$3:$K$335)),IF(K336&gt;LOOKUP(2,1/((HISTORIAL!$O$3:$O$335=O336)*(HISTORIAL!$F$3:$F$335&lt;&gt;"")),HISTORIAL!$K$3:$K$335),"^",IF(K336&lt;LOOKUP(2,1/((HISTORIAL!$O$3:$O$335=O336)*(HISTORIAL!$F$3:$F$335&lt;&gt;"")),HISTORIAL!$K$3:$K$335),"v","-")),"-")),"-")</f>
        <v>-</v>
      </c>
      <c r="N336" s="54" t="str">
        <f>IFERROR(VLOOKUP(A336,CONFIG!$A$10:$B$21,2,0),"")</f>
        <v>FUE</v>
      </c>
      <c r="O336" s="55" t="str">
        <f t="shared" si="11"/>
        <v>Curl Muneca|Pronado</v>
      </c>
      <c r="P336" s="69" t="str">
        <f>MARTES!AC128</f>
        <v/>
      </c>
    </row>
    <row r="337" spans="1:16" ht="14.1" customHeight="1">
      <c r="A337" s="37">
        <v>6</v>
      </c>
      <c r="B337" s="37" t="s">
        <v>278</v>
      </c>
      <c r="C337" s="44" t="str">
        <f>MARTES!$A$130</f>
        <v>Farmer Carry</v>
      </c>
      <c r="D337" s="45" t="str">
        <f>MARTES!$B$130</f>
        <v>Libre</v>
      </c>
      <c r="E337" s="37" t="str">
        <f>MARTES!$C$130</f>
        <v>mancuerna</v>
      </c>
      <c r="F337" s="46" t="str">
        <f>IF(P337="","",IFERROR(CHOOSE(VALUE(RIGHT(P337,1)),MARTES!F130,MARTES!I130,MARTES!L130,MARTES!O130,MARTES!R130),""))</f>
        <v/>
      </c>
      <c r="G337" s="47" t="str">
        <f>IF(P337="","",IFERROR(CHOOSE(VALUE(RIGHT(P337,1)),MARTES!G130,MARTES!J130,MARTES!M130,MARTES!P130,MARTES!S130),""))</f>
        <v/>
      </c>
      <c r="H337" s="48" t="str">
        <f>IF(P337="","",IFERROR(CHOOSE(VALUE(RIGHT(P337,1)),MARTES!H130,MARTES!K130,MARTES!N130,MARTES!Q130,MARTES!T130),""))</f>
        <v/>
      </c>
      <c r="I337" s="49" t="str">
        <f t="shared" si="10"/>
        <v/>
      </c>
      <c r="J337" s="50" t="str">
        <f>IF(P337="","",IFERROR(ROUND(CHOOSE(VALUE(RIGHT(P337,1)),IF(MARTES!C130="peso_corporal",IF(ISNUMBER(MARTES!E130),MARTES!E130,0)+MARTES!F130,MARTES!F130)*MARTES!G130,IF(MARTES!C130="peso_corporal",IF(ISNUMBER(MARTES!E130),MARTES!E130,0)+MARTES!I130,MARTES!I130)*MARTES!J130,IF(MARTES!C130="peso_corporal",IF(ISNUMBER(MARTES!E130),MARTES!E130,0)+MARTES!L130,MARTES!L130)*MARTES!M130,IF(MARTES!C130="peso_corporal",IF(ISNUMBER(MARTES!E130),MARTES!E130,0)+MARTES!O130,MARTES!O130)*MARTES!P130,IF(MARTES!C130="peso_corporal",IF(ISNUMBER(MARTES!E130),MARTES!E130,0)+MARTES!R130,MARTES!R130)*MARTES!S130),1),""))</f>
        <v/>
      </c>
      <c r="K337" s="51" t="str">
        <f>IF(P337="","",IFERROR(ROUND(CHOOSE(VALUE(RIGHT(P337,1)),(IF(MARTES!C130="peso_corporal",IF(ISNUMBER(MARTES!E130),MARTES!E130,0)+MARTES!F130,MARTES!F130))*(1+MARTES!G130/30),(IF(MARTES!C130="peso_corporal",IF(ISNUMBER(MARTES!E130),MARTES!E130,0)+MARTES!I130,MARTES!I130))*(1+MARTES!J130/30),(IF(MARTES!C130="peso_corporal",IF(ISNUMBER(MARTES!E130),MARTES!E130,0)+MARTES!L130,MARTES!L130))*(1+MARTES!M130/30),(IF(MARTES!C130="peso_corporal",IF(ISNUMBER(MARTES!E130),MARTES!E130,0)+MARTES!O130,MARTES!O130))*(1+MARTES!P130/30),(IF(MARTES!C130="peso_corporal",IF(ISNUMBER(MARTES!E130),MARTES!E130,0)+MARTES!R130,MARTES!R130))*(1+MARTES!S130/30)),1),""))</f>
        <v/>
      </c>
      <c r="L337" s="52">
        <f>IFERROR(MARTES!E130,"")</f>
        <v>80</v>
      </c>
      <c r="M337" s="53" t="str">
        <f>IFERROR(IF(K337="","-",IF(ISNUMBER(LOOKUP(2,1/((HISTORIAL!$O$3:$O$336=O337)*(HISTORIAL!$F$3:$F$336&lt;&gt;"")),HISTORIAL!$K$3:$K$336)),IF(K337&gt;LOOKUP(2,1/((HISTORIAL!$O$3:$O$336=O337)*(HISTORIAL!$F$3:$F$336&lt;&gt;"")),HISTORIAL!$K$3:$K$336),"^",IF(K337&lt;LOOKUP(2,1/((HISTORIAL!$O$3:$O$336=O337)*(HISTORIAL!$F$3:$F$336&lt;&gt;"")),HISTORIAL!$K$3:$K$336),"v","-")),"-")),"-")</f>
        <v>-</v>
      </c>
      <c r="N337" s="54" t="str">
        <f>IFERROR(VLOOKUP(A337,CONFIG!$A$10:$B$21,2,0),"")</f>
        <v>FUE</v>
      </c>
      <c r="O337" s="55" t="str">
        <f t="shared" si="11"/>
        <v>Farmer Carry|Libre</v>
      </c>
      <c r="P337" s="69" t="str">
        <f>MARTES!AC130</f>
        <v/>
      </c>
    </row>
    <row r="338" spans="1:16" ht="14.1" customHeight="1">
      <c r="A338" s="37">
        <v>6</v>
      </c>
      <c r="B338" s="37" t="s">
        <v>278</v>
      </c>
      <c r="C338" s="44" t="str">
        <f>MARTES!$A$132</f>
        <v>Skullcrusher</v>
      </c>
      <c r="D338" s="45" t="str">
        <f>MARTES!$B$132</f>
        <v>Mancuerna Tumbado</v>
      </c>
      <c r="E338" s="37" t="str">
        <f>MARTES!$C$132</f>
        <v>--</v>
      </c>
      <c r="F338" s="46" t="str">
        <f>IF(P338="","",IFERROR(CHOOSE(VALUE(RIGHT(P338,1)),MARTES!F132,MARTES!I132,MARTES!L132,MARTES!O132,MARTES!R132),""))</f>
        <v/>
      </c>
      <c r="G338" s="47" t="str">
        <f>IF(P338="","",IFERROR(CHOOSE(VALUE(RIGHT(P338,1)),MARTES!G132,MARTES!J132,MARTES!M132,MARTES!P132,MARTES!S132),""))</f>
        <v/>
      </c>
      <c r="H338" s="48" t="str">
        <f>IF(P338="","",IFERROR(CHOOSE(VALUE(RIGHT(P338,1)),MARTES!H132,MARTES!K132,MARTES!N132,MARTES!Q132,MARTES!T132),""))</f>
        <v/>
      </c>
      <c r="I338" s="49" t="str">
        <f t="shared" si="10"/>
        <v/>
      </c>
      <c r="J338" s="50" t="str">
        <f>IF(P338="","",IFERROR(ROUND(CHOOSE(VALUE(RIGHT(P338,1)),IF(MARTES!C132="peso_corporal",IF(ISNUMBER(MARTES!E132),MARTES!E132,0)+MARTES!F132,MARTES!F132)*MARTES!G132,IF(MARTES!C132="peso_corporal",IF(ISNUMBER(MARTES!E132),MARTES!E132,0)+MARTES!I132,MARTES!I132)*MARTES!J132,IF(MARTES!C132="peso_corporal",IF(ISNUMBER(MARTES!E132),MARTES!E132,0)+MARTES!L132,MARTES!L132)*MARTES!M132,IF(MARTES!C132="peso_corporal",IF(ISNUMBER(MARTES!E132),MARTES!E132,0)+MARTES!O132,MARTES!O132)*MARTES!P132,IF(MARTES!C132="peso_corporal",IF(ISNUMBER(MARTES!E132),MARTES!E132,0)+MARTES!R132,MARTES!R132)*MARTES!S132),1),""))</f>
        <v/>
      </c>
      <c r="K338" s="51" t="str">
        <f>IF(P338="","",IFERROR(ROUND(CHOOSE(VALUE(RIGHT(P338,1)),(IF(MARTES!C132="peso_corporal",IF(ISNUMBER(MARTES!E132),MARTES!E132,0)+MARTES!F132,MARTES!F132))*(1+MARTES!G132/30),(IF(MARTES!C132="peso_corporal",IF(ISNUMBER(MARTES!E132),MARTES!E132,0)+MARTES!I132,MARTES!I132))*(1+MARTES!J132/30),(IF(MARTES!C132="peso_corporal",IF(ISNUMBER(MARTES!E132),MARTES!E132,0)+MARTES!L132,MARTES!L132))*(1+MARTES!M132/30),(IF(MARTES!C132="peso_corporal",IF(ISNUMBER(MARTES!E132),MARTES!E132,0)+MARTES!O132,MARTES!O132))*(1+MARTES!P132/30),(IF(MARTES!C132="peso_corporal",IF(ISNUMBER(MARTES!E132),MARTES!E132,0)+MARTES!R132,MARTES!R132))*(1+MARTES!S132/30)),1),""))</f>
        <v/>
      </c>
      <c r="L338" s="52">
        <f>IFERROR(MARTES!E132,"")</f>
        <v>80</v>
      </c>
      <c r="M338" s="53" t="str">
        <f>IFERROR(IF(K338="","-",IF(ISNUMBER(LOOKUP(2,1/((HISTORIAL!$O$3:$O$337=O338)*(HISTORIAL!$F$3:$F$337&lt;&gt;"")),HISTORIAL!$K$3:$K$337)),IF(K338&gt;LOOKUP(2,1/((HISTORIAL!$O$3:$O$337=O338)*(HISTORIAL!$F$3:$F$337&lt;&gt;"")),HISTORIAL!$K$3:$K$337),"^",IF(K338&lt;LOOKUP(2,1/((HISTORIAL!$O$3:$O$337=O338)*(HISTORIAL!$F$3:$F$337&lt;&gt;"")),HISTORIAL!$K$3:$K$337),"v","-")),"-")),"-")</f>
        <v>-</v>
      </c>
      <c r="N338" s="54" t="str">
        <f>IFERROR(VLOOKUP(A338,CONFIG!$A$10:$B$21,2,0),"")</f>
        <v>FUE</v>
      </c>
      <c r="O338" s="55" t="str">
        <f t="shared" si="11"/>
        <v>Skullcrusher|Mancuerna Tumbado</v>
      </c>
      <c r="P338" s="69" t="str">
        <f>MARTES!AC132</f>
        <v/>
      </c>
    </row>
    <row r="339" spans="1:16" ht="14.1" customHeight="1">
      <c r="A339" s="37">
        <v>6</v>
      </c>
      <c r="B339" s="37" t="s">
        <v>278</v>
      </c>
      <c r="C339" s="44" t="str">
        <f>MARTES!$A$134</f>
        <v>Crunch</v>
      </c>
      <c r="D339" s="45" t="str">
        <f>MARTES!$B$134</f>
        <v>Polea</v>
      </c>
      <c r="E339" s="37" t="str">
        <f>MARTES!$C$134</f>
        <v>polea</v>
      </c>
      <c r="F339" s="46" t="str">
        <f>IF(P339="","",IFERROR(CHOOSE(VALUE(RIGHT(P339,1)),MARTES!F134,MARTES!I134,MARTES!L134,MARTES!O134,MARTES!R134),""))</f>
        <v/>
      </c>
      <c r="G339" s="47" t="str">
        <f>IF(P339="","",IFERROR(CHOOSE(VALUE(RIGHT(P339,1)),MARTES!G134,MARTES!J134,MARTES!M134,MARTES!P134,MARTES!S134),""))</f>
        <v/>
      </c>
      <c r="H339" s="48" t="str">
        <f>IF(P339="","",IFERROR(CHOOSE(VALUE(RIGHT(P339,1)),MARTES!H134,MARTES!K134,MARTES!N134,MARTES!Q134,MARTES!T134),""))</f>
        <v/>
      </c>
      <c r="I339" s="49" t="str">
        <f t="shared" si="10"/>
        <v/>
      </c>
      <c r="J339" s="50" t="str">
        <f>IF(P339="","",IFERROR(ROUND(CHOOSE(VALUE(RIGHT(P339,1)),IF(MARTES!C134="peso_corporal",IF(ISNUMBER(MARTES!E134),MARTES!E134,0)+MARTES!F134,MARTES!F134)*MARTES!G134,IF(MARTES!C134="peso_corporal",IF(ISNUMBER(MARTES!E134),MARTES!E134,0)+MARTES!I134,MARTES!I134)*MARTES!J134,IF(MARTES!C134="peso_corporal",IF(ISNUMBER(MARTES!E134),MARTES!E134,0)+MARTES!L134,MARTES!L134)*MARTES!M134,IF(MARTES!C134="peso_corporal",IF(ISNUMBER(MARTES!E134),MARTES!E134,0)+MARTES!O134,MARTES!O134)*MARTES!P134,IF(MARTES!C134="peso_corporal",IF(ISNUMBER(MARTES!E134),MARTES!E134,0)+MARTES!R134,MARTES!R134)*MARTES!S134),1),""))</f>
        <v/>
      </c>
      <c r="K339" s="51" t="str">
        <f>IF(P339="","",IFERROR(ROUND(CHOOSE(VALUE(RIGHT(P339,1)),(IF(MARTES!C134="peso_corporal",IF(ISNUMBER(MARTES!E134),MARTES!E134,0)+MARTES!F134,MARTES!F134))*(1+MARTES!G134/30),(IF(MARTES!C134="peso_corporal",IF(ISNUMBER(MARTES!E134),MARTES!E134,0)+MARTES!I134,MARTES!I134))*(1+MARTES!J134/30),(IF(MARTES!C134="peso_corporal",IF(ISNUMBER(MARTES!E134),MARTES!E134,0)+MARTES!L134,MARTES!L134))*(1+MARTES!M134/30),(IF(MARTES!C134="peso_corporal",IF(ISNUMBER(MARTES!E134),MARTES!E134,0)+MARTES!O134,MARTES!O134))*(1+MARTES!P134/30),(IF(MARTES!C134="peso_corporal",IF(ISNUMBER(MARTES!E134),MARTES!E134,0)+MARTES!R134,MARTES!R134))*(1+MARTES!S134/30)),1),""))</f>
        <v/>
      </c>
      <c r="L339" s="52">
        <f>IFERROR(MARTES!E134,"")</f>
        <v>80</v>
      </c>
      <c r="M339" s="53" t="str">
        <f>IFERROR(IF(K339="","-",IF(ISNUMBER(LOOKUP(2,1/((HISTORIAL!$O$3:$O$338=O339)*(HISTORIAL!$F$3:$F$338&lt;&gt;"")),HISTORIAL!$K$3:$K$338)),IF(K339&gt;LOOKUP(2,1/((HISTORIAL!$O$3:$O$338=O339)*(HISTORIAL!$F$3:$F$338&lt;&gt;"")),HISTORIAL!$K$3:$K$338),"^",IF(K339&lt;LOOKUP(2,1/((HISTORIAL!$O$3:$O$338=O339)*(HISTORIAL!$F$3:$F$338&lt;&gt;"")),HISTORIAL!$K$3:$K$338),"v","-")),"-")),"-")</f>
        <v>-</v>
      </c>
      <c r="N339" s="54" t="str">
        <f>IFERROR(VLOOKUP(A339,CONFIG!$A$10:$B$21,2,0),"")</f>
        <v>FUE</v>
      </c>
      <c r="O339" s="55" t="str">
        <f t="shared" si="11"/>
        <v>Crunch|Polea</v>
      </c>
      <c r="P339" s="69" t="str">
        <f>MARTES!AC134</f>
        <v/>
      </c>
    </row>
    <row r="340" spans="1:16" ht="14.1" customHeight="1">
      <c r="A340" s="37">
        <v>6</v>
      </c>
      <c r="B340" s="37" t="s">
        <v>279</v>
      </c>
      <c r="C340" s="44" t="str">
        <f>MIERCOLES!$A$122</f>
        <v>Curl Femoral</v>
      </c>
      <c r="D340" s="45" t="str">
        <f>MIERCOLES!$B$122</f>
        <v>Tumbado Maquina</v>
      </c>
      <c r="E340" s="37" t="str">
        <f>MIERCOLES!$C$122</f>
        <v>polea</v>
      </c>
      <c r="F340" s="46" t="str">
        <f>IF(P340="","",IFERROR(CHOOSE(VALUE(RIGHT(P340,1)),MIERCOLES!F122,MIERCOLES!I122,MIERCOLES!L122,MIERCOLES!O122,MIERCOLES!R122),""))</f>
        <v/>
      </c>
      <c r="G340" s="47" t="str">
        <f>IF(P340="","",IFERROR(CHOOSE(VALUE(RIGHT(P340,1)),MIERCOLES!G122,MIERCOLES!J122,MIERCOLES!M122,MIERCOLES!P122,MIERCOLES!S122),""))</f>
        <v/>
      </c>
      <c r="H340" s="48" t="str">
        <f>IF(P340="","",IFERROR(CHOOSE(VALUE(RIGHT(P340,1)),MIERCOLES!H122,MIERCOLES!K122,MIERCOLES!N122,MIERCOLES!Q122,MIERCOLES!T122),""))</f>
        <v/>
      </c>
      <c r="I340" s="49" t="str">
        <f t="shared" si="10"/>
        <v/>
      </c>
      <c r="J340" s="50" t="str">
        <f>IF(P340="","",IFERROR(ROUND(CHOOSE(VALUE(RIGHT(P340,1)),IF(MIERCOLES!C122="peso_corporal",IF(ISNUMBER(MIERCOLES!E122),MIERCOLES!E122,0)+MIERCOLES!F122,MIERCOLES!F122)*MIERCOLES!G122,IF(MIERCOLES!C122="peso_corporal",IF(ISNUMBER(MIERCOLES!E122),MIERCOLES!E122,0)+MIERCOLES!I122,MIERCOLES!I122)*MIERCOLES!J122,IF(MIERCOLES!C122="peso_corporal",IF(ISNUMBER(MIERCOLES!E122),MIERCOLES!E122,0)+MIERCOLES!L122,MIERCOLES!L122)*MIERCOLES!M122,IF(MIERCOLES!C122="peso_corporal",IF(ISNUMBER(MIERCOLES!E122),MIERCOLES!E122,0)+MIERCOLES!O122,MIERCOLES!O122)*MIERCOLES!P122,IF(MIERCOLES!C122="peso_corporal",IF(ISNUMBER(MIERCOLES!E122),MIERCOLES!E122,0)+MIERCOLES!R122,MIERCOLES!R122)*MIERCOLES!S122),1),""))</f>
        <v/>
      </c>
      <c r="K340" s="51" t="str">
        <f>IF(P340="","",IFERROR(ROUND(CHOOSE(VALUE(RIGHT(P340,1)),(IF(MIERCOLES!C122="peso_corporal",IF(ISNUMBER(MIERCOLES!E122),MIERCOLES!E122,0)+MIERCOLES!F122,MIERCOLES!F122))*(1+MIERCOLES!G122/30),(IF(MIERCOLES!C122="peso_corporal",IF(ISNUMBER(MIERCOLES!E122),MIERCOLES!E122,0)+MIERCOLES!I122,MIERCOLES!I122))*(1+MIERCOLES!J122/30),(IF(MIERCOLES!C122="peso_corporal",IF(ISNUMBER(MIERCOLES!E122),MIERCOLES!E122,0)+MIERCOLES!L122,MIERCOLES!L122))*(1+MIERCOLES!M122/30),(IF(MIERCOLES!C122="peso_corporal",IF(ISNUMBER(MIERCOLES!E122),MIERCOLES!E122,0)+MIERCOLES!O122,MIERCOLES!O122))*(1+MIERCOLES!P122/30),(IF(MIERCOLES!C122="peso_corporal",IF(ISNUMBER(MIERCOLES!E122),MIERCOLES!E122,0)+MIERCOLES!R122,MIERCOLES!R122))*(1+MIERCOLES!S122/30)),1),""))</f>
        <v/>
      </c>
      <c r="L340" s="52">
        <f>IFERROR(MIERCOLES!E122,"")</f>
        <v>80</v>
      </c>
      <c r="M340" s="53" t="str">
        <f>IFERROR(IF(K340="","-",IF(ISNUMBER(LOOKUP(2,1/((HISTORIAL!$O$3:$O$339=O340)*(HISTORIAL!$F$3:$F$339&lt;&gt;"")),HISTORIAL!$K$3:$K$339)),IF(K340&gt;LOOKUP(2,1/((HISTORIAL!$O$3:$O$339=O340)*(HISTORIAL!$F$3:$F$339&lt;&gt;"")),HISTORIAL!$K$3:$K$339),"^",IF(K340&lt;LOOKUP(2,1/((HISTORIAL!$O$3:$O$339=O340)*(HISTORIAL!$F$3:$F$339&lt;&gt;"")),HISTORIAL!$K$3:$K$339),"v","-")),"-")),"-")</f>
        <v>-</v>
      </c>
      <c r="N340" s="54" t="str">
        <f>IFERROR(VLOOKUP(A340,CONFIG!$A$10:$B$21,2,0),"")</f>
        <v>FUE</v>
      </c>
      <c r="O340" s="55" t="str">
        <f t="shared" si="11"/>
        <v>Curl Femoral|Tumbado Maquina</v>
      </c>
      <c r="P340" s="69" t="str">
        <f>MIERCOLES!AC122</f>
        <v/>
      </c>
    </row>
    <row r="341" spans="1:16" ht="14.1" customHeight="1">
      <c r="A341" s="37">
        <v>6</v>
      </c>
      <c r="B341" s="37" t="s">
        <v>279</v>
      </c>
      <c r="C341" s="44" t="str">
        <f>MIERCOLES!$A$123</f>
        <v>Curl Femoral</v>
      </c>
      <c r="D341" s="45" t="str">
        <f>MIERCOLES!$B$123</f>
        <v>Sentado Maquina</v>
      </c>
      <c r="E341" s="37" t="str">
        <f>MIERCOLES!$C$123</f>
        <v>polea</v>
      </c>
      <c r="F341" s="46" t="str">
        <f>IF(P341="","",IFERROR(CHOOSE(VALUE(RIGHT(P341,1)),MIERCOLES!F123,MIERCOLES!I123,MIERCOLES!L123,MIERCOLES!O123,MIERCOLES!R123),""))</f>
        <v/>
      </c>
      <c r="G341" s="47" t="str">
        <f>IF(P341="","",IFERROR(CHOOSE(VALUE(RIGHT(P341,1)),MIERCOLES!G123,MIERCOLES!J123,MIERCOLES!M123,MIERCOLES!P123,MIERCOLES!S123),""))</f>
        <v/>
      </c>
      <c r="H341" s="48" t="str">
        <f>IF(P341="","",IFERROR(CHOOSE(VALUE(RIGHT(P341,1)),MIERCOLES!H123,MIERCOLES!K123,MIERCOLES!N123,MIERCOLES!Q123,MIERCOLES!T123),""))</f>
        <v/>
      </c>
      <c r="I341" s="49" t="str">
        <f t="shared" si="10"/>
        <v/>
      </c>
      <c r="J341" s="50" t="str">
        <f>IF(P341="","",IFERROR(ROUND(CHOOSE(VALUE(RIGHT(P341,1)),IF(MIERCOLES!C123="peso_corporal",IF(ISNUMBER(MIERCOLES!E123),MIERCOLES!E123,0)+MIERCOLES!F123,MIERCOLES!F123)*MIERCOLES!G123,IF(MIERCOLES!C123="peso_corporal",IF(ISNUMBER(MIERCOLES!E123),MIERCOLES!E123,0)+MIERCOLES!I123,MIERCOLES!I123)*MIERCOLES!J123,IF(MIERCOLES!C123="peso_corporal",IF(ISNUMBER(MIERCOLES!E123),MIERCOLES!E123,0)+MIERCOLES!L123,MIERCOLES!L123)*MIERCOLES!M123,IF(MIERCOLES!C123="peso_corporal",IF(ISNUMBER(MIERCOLES!E123),MIERCOLES!E123,0)+MIERCOLES!O123,MIERCOLES!O123)*MIERCOLES!P123,IF(MIERCOLES!C123="peso_corporal",IF(ISNUMBER(MIERCOLES!E123),MIERCOLES!E123,0)+MIERCOLES!R123,MIERCOLES!R123)*MIERCOLES!S123),1),""))</f>
        <v/>
      </c>
      <c r="K341" s="51" t="str">
        <f>IF(P341="","",IFERROR(ROUND(CHOOSE(VALUE(RIGHT(P341,1)),(IF(MIERCOLES!C123="peso_corporal",IF(ISNUMBER(MIERCOLES!E123),MIERCOLES!E123,0)+MIERCOLES!F123,MIERCOLES!F123))*(1+MIERCOLES!G123/30),(IF(MIERCOLES!C123="peso_corporal",IF(ISNUMBER(MIERCOLES!E123),MIERCOLES!E123,0)+MIERCOLES!I123,MIERCOLES!I123))*(1+MIERCOLES!J123/30),(IF(MIERCOLES!C123="peso_corporal",IF(ISNUMBER(MIERCOLES!E123),MIERCOLES!E123,0)+MIERCOLES!L123,MIERCOLES!L123))*(1+MIERCOLES!M123/30),(IF(MIERCOLES!C123="peso_corporal",IF(ISNUMBER(MIERCOLES!E123),MIERCOLES!E123,0)+MIERCOLES!O123,MIERCOLES!O123))*(1+MIERCOLES!P123/30),(IF(MIERCOLES!C123="peso_corporal",IF(ISNUMBER(MIERCOLES!E123),MIERCOLES!E123,0)+MIERCOLES!R123,MIERCOLES!R123))*(1+MIERCOLES!S123/30)),1),""))</f>
        <v/>
      </c>
      <c r="L341" s="52">
        <f>IFERROR(MIERCOLES!E123,"")</f>
        <v>80</v>
      </c>
      <c r="M341" s="53" t="str">
        <f>IFERROR(IF(K341="","-",IF(ISNUMBER(LOOKUP(2,1/((HISTORIAL!$O$3:$O$340=O341)*(HISTORIAL!$F$3:$F$340&lt;&gt;"")),HISTORIAL!$K$3:$K$340)),IF(K341&gt;LOOKUP(2,1/((HISTORIAL!$O$3:$O$340=O341)*(HISTORIAL!$F$3:$F$340&lt;&gt;"")),HISTORIAL!$K$3:$K$340),"^",IF(K341&lt;LOOKUP(2,1/((HISTORIAL!$O$3:$O$340=O341)*(HISTORIAL!$F$3:$F$340&lt;&gt;"")),HISTORIAL!$K$3:$K$340),"v","-")),"-")),"-")</f>
        <v>-</v>
      </c>
      <c r="N341" s="54" t="str">
        <f>IFERROR(VLOOKUP(A341,CONFIG!$A$10:$B$21,2,0),"")</f>
        <v>FUE</v>
      </c>
      <c r="O341" s="55" t="str">
        <f t="shared" si="11"/>
        <v>Curl Femoral|Sentado Maquina</v>
      </c>
      <c r="P341" s="69" t="str">
        <f>MIERCOLES!AC123</f>
        <v/>
      </c>
    </row>
    <row r="342" spans="1:16" ht="14.1" customHeight="1">
      <c r="A342" s="37">
        <v>6</v>
      </c>
      <c r="B342" s="37" t="s">
        <v>279</v>
      </c>
      <c r="C342" s="44" t="str">
        <f>MIERCOLES!$A$124</f>
        <v>Curl Rumano</v>
      </c>
      <c r="D342" s="45" t="str">
        <f>MIERCOLES!$B$124</f>
        <v>Mancuernas</v>
      </c>
      <c r="E342" s="37" t="str">
        <f>MIERCOLES!$C$124</f>
        <v>mancuerna</v>
      </c>
      <c r="F342" s="46" t="str">
        <f>IF(P342="","",IFERROR(CHOOSE(VALUE(RIGHT(P342,1)),MIERCOLES!F124,MIERCOLES!I124,MIERCOLES!L124,MIERCOLES!O124,MIERCOLES!R124),""))</f>
        <v/>
      </c>
      <c r="G342" s="47" t="str">
        <f>IF(P342="","",IFERROR(CHOOSE(VALUE(RIGHT(P342,1)),MIERCOLES!G124,MIERCOLES!J124,MIERCOLES!M124,MIERCOLES!P124,MIERCOLES!S124),""))</f>
        <v/>
      </c>
      <c r="H342" s="48" t="str">
        <f>IF(P342="","",IFERROR(CHOOSE(VALUE(RIGHT(P342,1)),MIERCOLES!H124,MIERCOLES!K124,MIERCOLES!N124,MIERCOLES!Q124,MIERCOLES!T124),""))</f>
        <v/>
      </c>
      <c r="I342" s="49" t="str">
        <f t="shared" si="10"/>
        <v/>
      </c>
      <c r="J342" s="50" t="str">
        <f>IF(P342="","",IFERROR(ROUND(CHOOSE(VALUE(RIGHT(P342,1)),IF(MIERCOLES!C124="peso_corporal",IF(ISNUMBER(MIERCOLES!E124),MIERCOLES!E124,0)+MIERCOLES!F124,MIERCOLES!F124)*MIERCOLES!G124,IF(MIERCOLES!C124="peso_corporal",IF(ISNUMBER(MIERCOLES!E124),MIERCOLES!E124,0)+MIERCOLES!I124,MIERCOLES!I124)*MIERCOLES!J124,IF(MIERCOLES!C124="peso_corporal",IF(ISNUMBER(MIERCOLES!E124),MIERCOLES!E124,0)+MIERCOLES!L124,MIERCOLES!L124)*MIERCOLES!M124,IF(MIERCOLES!C124="peso_corporal",IF(ISNUMBER(MIERCOLES!E124),MIERCOLES!E124,0)+MIERCOLES!O124,MIERCOLES!O124)*MIERCOLES!P124,IF(MIERCOLES!C124="peso_corporal",IF(ISNUMBER(MIERCOLES!E124),MIERCOLES!E124,0)+MIERCOLES!R124,MIERCOLES!R124)*MIERCOLES!S124),1),""))</f>
        <v/>
      </c>
      <c r="K342" s="51" t="str">
        <f>IF(P342="","",IFERROR(ROUND(CHOOSE(VALUE(RIGHT(P342,1)),(IF(MIERCOLES!C124="peso_corporal",IF(ISNUMBER(MIERCOLES!E124),MIERCOLES!E124,0)+MIERCOLES!F124,MIERCOLES!F124))*(1+MIERCOLES!G124/30),(IF(MIERCOLES!C124="peso_corporal",IF(ISNUMBER(MIERCOLES!E124),MIERCOLES!E124,0)+MIERCOLES!I124,MIERCOLES!I124))*(1+MIERCOLES!J124/30),(IF(MIERCOLES!C124="peso_corporal",IF(ISNUMBER(MIERCOLES!E124),MIERCOLES!E124,0)+MIERCOLES!L124,MIERCOLES!L124))*(1+MIERCOLES!M124/30),(IF(MIERCOLES!C124="peso_corporal",IF(ISNUMBER(MIERCOLES!E124),MIERCOLES!E124,0)+MIERCOLES!O124,MIERCOLES!O124))*(1+MIERCOLES!P124/30),(IF(MIERCOLES!C124="peso_corporal",IF(ISNUMBER(MIERCOLES!E124),MIERCOLES!E124,0)+MIERCOLES!R124,MIERCOLES!R124))*(1+MIERCOLES!S124/30)),1),""))</f>
        <v/>
      </c>
      <c r="L342" s="52">
        <f>IFERROR(MIERCOLES!E124,"")</f>
        <v>80</v>
      </c>
      <c r="M342" s="53" t="str">
        <f>IFERROR(IF(K342="","-",IF(ISNUMBER(LOOKUP(2,1/((HISTORIAL!$O$3:$O$341=O342)*(HISTORIAL!$F$3:$F$341&lt;&gt;"")),HISTORIAL!$K$3:$K$341)),IF(K342&gt;LOOKUP(2,1/((HISTORIAL!$O$3:$O$341=O342)*(HISTORIAL!$F$3:$F$341&lt;&gt;"")),HISTORIAL!$K$3:$K$341),"^",IF(K342&lt;LOOKUP(2,1/((HISTORIAL!$O$3:$O$341=O342)*(HISTORIAL!$F$3:$F$341&lt;&gt;"")),HISTORIAL!$K$3:$K$341),"v","-")),"-")),"-")</f>
        <v>-</v>
      </c>
      <c r="N342" s="54" t="str">
        <f>IFERROR(VLOOKUP(A342,CONFIG!$A$10:$B$21,2,0),"")</f>
        <v>FUE</v>
      </c>
      <c r="O342" s="55" t="str">
        <f t="shared" si="11"/>
        <v>Curl Rumano|Mancuernas</v>
      </c>
      <c r="P342" s="69" t="str">
        <f>MIERCOLES!AC124</f>
        <v/>
      </c>
    </row>
    <row r="343" spans="1:16" ht="14.1" customHeight="1">
      <c r="A343" s="37">
        <v>6</v>
      </c>
      <c r="B343" s="37" t="s">
        <v>279</v>
      </c>
      <c r="C343" s="44" t="str">
        <f>MIERCOLES!$A$126</f>
        <v>Sentadilla</v>
      </c>
      <c r="D343" s="45" t="str">
        <f>MIERCOLES!$B$126</f>
        <v>Multipower Cuna Talones</v>
      </c>
      <c r="E343" s="37" t="str">
        <f>MIERCOLES!$C$126</f>
        <v>--</v>
      </c>
      <c r="F343" s="46" t="str">
        <f>IF(P343="","",IFERROR(CHOOSE(VALUE(RIGHT(P343,1)),MIERCOLES!F126,MIERCOLES!I126,MIERCOLES!L126,MIERCOLES!O126,MIERCOLES!R126),""))</f>
        <v/>
      </c>
      <c r="G343" s="47" t="str">
        <f>IF(P343="","",IFERROR(CHOOSE(VALUE(RIGHT(P343,1)),MIERCOLES!G126,MIERCOLES!J126,MIERCOLES!M126,MIERCOLES!P126,MIERCOLES!S126),""))</f>
        <v/>
      </c>
      <c r="H343" s="48" t="str">
        <f>IF(P343="","",IFERROR(CHOOSE(VALUE(RIGHT(P343,1)),MIERCOLES!H126,MIERCOLES!K126,MIERCOLES!N126,MIERCOLES!Q126,MIERCOLES!T126),""))</f>
        <v/>
      </c>
      <c r="I343" s="49" t="str">
        <f t="shared" si="10"/>
        <v/>
      </c>
      <c r="J343" s="50" t="str">
        <f>IF(P343="","",IFERROR(ROUND(CHOOSE(VALUE(RIGHT(P343,1)),IF(MIERCOLES!C126="peso_corporal",IF(ISNUMBER(MIERCOLES!E126),MIERCOLES!E126,0)+MIERCOLES!F126,MIERCOLES!F126)*MIERCOLES!G126,IF(MIERCOLES!C126="peso_corporal",IF(ISNUMBER(MIERCOLES!E126),MIERCOLES!E126,0)+MIERCOLES!I126,MIERCOLES!I126)*MIERCOLES!J126,IF(MIERCOLES!C126="peso_corporal",IF(ISNUMBER(MIERCOLES!E126),MIERCOLES!E126,0)+MIERCOLES!L126,MIERCOLES!L126)*MIERCOLES!M126,IF(MIERCOLES!C126="peso_corporal",IF(ISNUMBER(MIERCOLES!E126),MIERCOLES!E126,0)+MIERCOLES!O126,MIERCOLES!O126)*MIERCOLES!P126,IF(MIERCOLES!C126="peso_corporal",IF(ISNUMBER(MIERCOLES!E126),MIERCOLES!E126,0)+MIERCOLES!R126,MIERCOLES!R126)*MIERCOLES!S126),1),""))</f>
        <v/>
      </c>
      <c r="K343" s="51" t="str">
        <f>IF(P343="","",IFERROR(ROUND(CHOOSE(VALUE(RIGHT(P343,1)),(IF(MIERCOLES!C126="peso_corporal",IF(ISNUMBER(MIERCOLES!E126),MIERCOLES!E126,0)+MIERCOLES!F126,MIERCOLES!F126))*(1+MIERCOLES!G126/30),(IF(MIERCOLES!C126="peso_corporal",IF(ISNUMBER(MIERCOLES!E126),MIERCOLES!E126,0)+MIERCOLES!I126,MIERCOLES!I126))*(1+MIERCOLES!J126/30),(IF(MIERCOLES!C126="peso_corporal",IF(ISNUMBER(MIERCOLES!E126),MIERCOLES!E126,0)+MIERCOLES!L126,MIERCOLES!L126))*(1+MIERCOLES!M126/30),(IF(MIERCOLES!C126="peso_corporal",IF(ISNUMBER(MIERCOLES!E126),MIERCOLES!E126,0)+MIERCOLES!O126,MIERCOLES!O126))*(1+MIERCOLES!P126/30),(IF(MIERCOLES!C126="peso_corporal",IF(ISNUMBER(MIERCOLES!E126),MIERCOLES!E126,0)+MIERCOLES!R126,MIERCOLES!R126))*(1+MIERCOLES!S126/30)),1),""))</f>
        <v/>
      </c>
      <c r="L343" s="52">
        <f>IFERROR(MIERCOLES!E126,"")</f>
        <v>80</v>
      </c>
      <c r="M343" s="53" t="str">
        <f>IFERROR(IF(K343="","-",IF(ISNUMBER(LOOKUP(2,1/((HISTORIAL!$O$3:$O$342=O343)*(HISTORIAL!$F$3:$F$342&lt;&gt;"")),HISTORIAL!$K$3:$K$342)),IF(K343&gt;LOOKUP(2,1/((HISTORIAL!$O$3:$O$342=O343)*(HISTORIAL!$F$3:$F$342&lt;&gt;"")),HISTORIAL!$K$3:$K$342),"^",IF(K343&lt;LOOKUP(2,1/((HISTORIAL!$O$3:$O$342=O343)*(HISTORIAL!$F$3:$F$342&lt;&gt;"")),HISTORIAL!$K$3:$K$342),"v","-")),"-")),"-")</f>
        <v>-</v>
      </c>
      <c r="N343" s="54" t="str">
        <f>IFERROR(VLOOKUP(A343,CONFIG!$A$10:$B$21,2,0),"")</f>
        <v>FUE</v>
      </c>
      <c r="O343" s="55" t="str">
        <f t="shared" si="11"/>
        <v>Sentadilla|Multipower Cuna Talones</v>
      </c>
      <c r="P343" s="69" t="str">
        <f>MIERCOLES!AC126</f>
        <v/>
      </c>
    </row>
    <row r="344" spans="1:16" ht="14.1" customHeight="1">
      <c r="A344" s="37">
        <v>6</v>
      </c>
      <c r="B344" s="37" t="s">
        <v>279</v>
      </c>
      <c r="C344" s="44" t="str">
        <f>MIERCOLES!$A$127</f>
        <v>Prensa Pierna</v>
      </c>
      <c r="D344" s="45" t="str">
        <f>MIERCOLES!$B$127</f>
        <v>Individual Horizontal</v>
      </c>
      <c r="E344" s="37" t="str">
        <f>MIERCOLES!$C$127</f>
        <v>--</v>
      </c>
      <c r="F344" s="46" t="str">
        <f>IF(P344="","",IFERROR(CHOOSE(VALUE(RIGHT(P344,1)),MIERCOLES!F127,MIERCOLES!I127,MIERCOLES!L127,MIERCOLES!O127,MIERCOLES!R127),""))</f>
        <v/>
      </c>
      <c r="G344" s="47" t="str">
        <f>IF(P344="","",IFERROR(CHOOSE(VALUE(RIGHT(P344,1)),MIERCOLES!G127,MIERCOLES!J127,MIERCOLES!M127,MIERCOLES!P127,MIERCOLES!S127),""))</f>
        <v/>
      </c>
      <c r="H344" s="48" t="str">
        <f>IF(P344="","",IFERROR(CHOOSE(VALUE(RIGHT(P344,1)),MIERCOLES!H127,MIERCOLES!K127,MIERCOLES!N127,MIERCOLES!Q127,MIERCOLES!T127),""))</f>
        <v/>
      </c>
      <c r="I344" s="49" t="str">
        <f t="shared" si="10"/>
        <v/>
      </c>
      <c r="J344" s="50" t="str">
        <f>IF(P344="","",IFERROR(ROUND(CHOOSE(VALUE(RIGHT(P344,1)),IF(MIERCOLES!C127="peso_corporal",IF(ISNUMBER(MIERCOLES!E127),MIERCOLES!E127,0)+MIERCOLES!F127,MIERCOLES!F127)*MIERCOLES!G127,IF(MIERCOLES!C127="peso_corporal",IF(ISNUMBER(MIERCOLES!E127),MIERCOLES!E127,0)+MIERCOLES!I127,MIERCOLES!I127)*MIERCOLES!J127,IF(MIERCOLES!C127="peso_corporal",IF(ISNUMBER(MIERCOLES!E127),MIERCOLES!E127,0)+MIERCOLES!L127,MIERCOLES!L127)*MIERCOLES!M127,IF(MIERCOLES!C127="peso_corporal",IF(ISNUMBER(MIERCOLES!E127),MIERCOLES!E127,0)+MIERCOLES!O127,MIERCOLES!O127)*MIERCOLES!P127,IF(MIERCOLES!C127="peso_corporal",IF(ISNUMBER(MIERCOLES!E127),MIERCOLES!E127,0)+MIERCOLES!R127,MIERCOLES!R127)*MIERCOLES!S127),1),""))</f>
        <v/>
      </c>
      <c r="K344" s="51" t="str">
        <f>IF(P344="","",IFERROR(ROUND(CHOOSE(VALUE(RIGHT(P344,1)),(IF(MIERCOLES!C127="peso_corporal",IF(ISNUMBER(MIERCOLES!E127),MIERCOLES!E127,0)+MIERCOLES!F127,MIERCOLES!F127))*(1+MIERCOLES!G127/30),(IF(MIERCOLES!C127="peso_corporal",IF(ISNUMBER(MIERCOLES!E127),MIERCOLES!E127,0)+MIERCOLES!I127,MIERCOLES!I127))*(1+MIERCOLES!J127/30),(IF(MIERCOLES!C127="peso_corporal",IF(ISNUMBER(MIERCOLES!E127),MIERCOLES!E127,0)+MIERCOLES!L127,MIERCOLES!L127))*(1+MIERCOLES!M127/30),(IF(MIERCOLES!C127="peso_corporal",IF(ISNUMBER(MIERCOLES!E127),MIERCOLES!E127,0)+MIERCOLES!O127,MIERCOLES!O127))*(1+MIERCOLES!P127/30),(IF(MIERCOLES!C127="peso_corporal",IF(ISNUMBER(MIERCOLES!E127),MIERCOLES!E127,0)+MIERCOLES!R127,MIERCOLES!R127))*(1+MIERCOLES!S127/30)),1),""))</f>
        <v/>
      </c>
      <c r="L344" s="52">
        <f>IFERROR(MIERCOLES!E127,"")</f>
        <v>80</v>
      </c>
      <c r="M344" s="53" t="str">
        <f>IFERROR(IF(K344="","-",IF(ISNUMBER(LOOKUP(2,1/((HISTORIAL!$O$3:$O$343=O344)*(HISTORIAL!$F$3:$F$343&lt;&gt;"")),HISTORIAL!$K$3:$K$343)),IF(K344&gt;LOOKUP(2,1/((HISTORIAL!$O$3:$O$343=O344)*(HISTORIAL!$F$3:$F$343&lt;&gt;"")),HISTORIAL!$K$3:$K$343),"^",IF(K344&lt;LOOKUP(2,1/((HISTORIAL!$O$3:$O$343=O344)*(HISTORIAL!$F$3:$F$343&lt;&gt;"")),HISTORIAL!$K$3:$K$343),"v","-")),"-")),"-")</f>
        <v>-</v>
      </c>
      <c r="N344" s="54" t="str">
        <f>IFERROR(VLOOKUP(A344,CONFIG!$A$10:$B$21,2,0),"")</f>
        <v>FUE</v>
      </c>
      <c r="O344" s="55" t="str">
        <f t="shared" si="11"/>
        <v>Prensa Pierna|Individual Horizontal</v>
      </c>
      <c r="P344" s="69" t="str">
        <f>MIERCOLES!AC127</f>
        <v/>
      </c>
    </row>
    <row r="345" spans="1:16" ht="14.1" customHeight="1">
      <c r="A345" s="37">
        <v>6</v>
      </c>
      <c r="B345" s="37" t="s">
        <v>279</v>
      </c>
      <c r="C345" s="44" t="str">
        <f>MIERCOLES!$A$128</f>
        <v>Extension Cuadriceps</v>
      </c>
      <c r="D345" s="45" t="str">
        <f>MIERCOLES!$B$128</f>
        <v>Vasto Externo</v>
      </c>
      <c r="E345" s="37" t="str">
        <f>MIERCOLES!$C$128</f>
        <v>--</v>
      </c>
      <c r="F345" s="46" t="str">
        <f>IF(P345="","",IFERROR(CHOOSE(VALUE(RIGHT(P345,1)),MIERCOLES!F128,MIERCOLES!I128,MIERCOLES!L128,MIERCOLES!O128,MIERCOLES!R128),""))</f>
        <v/>
      </c>
      <c r="G345" s="47" t="str">
        <f>IF(P345="","",IFERROR(CHOOSE(VALUE(RIGHT(P345,1)),MIERCOLES!G128,MIERCOLES!J128,MIERCOLES!M128,MIERCOLES!P128,MIERCOLES!S128),""))</f>
        <v/>
      </c>
      <c r="H345" s="48" t="str">
        <f>IF(P345="","",IFERROR(CHOOSE(VALUE(RIGHT(P345,1)),MIERCOLES!H128,MIERCOLES!K128,MIERCOLES!N128,MIERCOLES!Q128,MIERCOLES!T128),""))</f>
        <v/>
      </c>
      <c r="I345" s="49" t="str">
        <f t="shared" si="10"/>
        <v/>
      </c>
      <c r="J345" s="50" t="str">
        <f>IF(P345="","",IFERROR(ROUND(CHOOSE(VALUE(RIGHT(P345,1)),IF(MIERCOLES!C128="peso_corporal",IF(ISNUMBER(MIERCOLES!E128),MIERCOLES!E128,0)+MIERCOLES!F128,MIERCOLES!F128)*MIERCOLES!G128,IF(MIERCOLES!C128="peso_corporal",IF(ISNUMBER(MIERCOLES!E128),MIERCOLES!E128,0)+MIERCOLES!I128,MIERCOLES!I128)*MIERCOLES!J128,IF(MIERCOLES!C128="peso_corporal",IF(ISNUMBER(MIERCOLES!E128),MIERCOLES!E128,0)+MIERCOLES!L128,MIERCOLES!L128)*MIERCOLES!M128,IF(MIERCOLES!C128="peso_corporal",IF(ISNUMBER(MIERCOLES!E128),MIERCOLES!E128,0)+MIERCOLES!O128,MIERCOLES!O128)*MIERCOLES!P128,IF(MIERCOLES!C128="peso_corporal",IF(ISNUMBER(MIERCOLES!E128),MIERCOLES!E128,0)+MIERCOLES!R128,MIERCOLES!R128)*MIERCOLES!S128),1),""))</f>
        <v/>
      </c>
      <c r="K345" s="51" t="str">
        <f>IF(P345="","",IFERROR(ROUND(CHOOSE(VALUE(RIGHT(P345,1)),(IF(MIERCOLES!C128="peso_corporal",IF(ISNUMBER(MIERCOLES!E128),MIERCOLES!E128,0)+MIERCOLES!F128,MIERCOLES!F128))*(1+MIERCOLES!G128/30),(IF(MIERCOLES!C128="peso_corporal",IF(ISNUMBER(MIERCOLES!E128),MIERCOLES!E128,0)+MIERCOLES!I128,MIERCOLES!I128))*(1+MIERCOLES!J128/30),(IF(MIERCOLES!C128="peso_corporal",IF(ISNUMBER(MIERCOLES!E128),MIERCOLES!E128,0)+MIERCOLES!L128,MIERCOLES!L128))*(1+MIERCOLES!M128/30),(IF(MIERCOLES!C128="peso_corporal",IF(ISNUMBER(MIERCOLES!E128),MIERCOLES!E128,0)+MIERCOLES!O128,MIERCOLES!O128))*(1+MIERCOLES!P128/30),(IF(MIERCOLES!C128="peso_corporal",IF(ISNUMBER(MIERCOLES!E128),MIERCOLES!E128,0)+MIERCOLES!R128,MIERCOLES!R128))*(1+MIERCOLES!S128/30)),1),""))</f>
        <v/>
      </c>
      <c r="L345" s="52">
        <f>IFERROR(MIERCOLES!E128,"")</f>
        <v>80</v>
      </c>
      <c r="M345" s="53" t="str">
        <f>IFERROR(IF(K345="","-",IF(ISNUMBER(LOOKUP(2,1/((HISTORIAL!$O$3:$O$344=O345)*(HISTORIAL!$F$3:$F$344&lt;&gt;"")),HISTORIAL!$K$3:$K$344)),IF(K345&gt;LOOKUP(2,1/((HISTORIAL!$O$3:$O$344=O345)*(HISTORIAL!$F$3:$F$344&lt;&gt;"")),HISTORIAL!$K$3:$K$344),"^",IF(K345&lt;LOOKUP(2,1/((HISTORIAL!$O$3:$O$344=O345)*(HISTORIAL!$F$3:$F$344&lt;&gt;"")),HISTORIAL!$K$3:$K$344),"v","-")),"-")),"-")</f>
        <v>-</v>
      </c>
      <c r="N345" s="54" t="str">
        <f>IFERROR(VLOOKUP(A345,CONFIG!$A$10:$B$21,2,0),"")</f>
        <v>FUE</v>
      </c>
      <c r="O345" s="55" t="str">
        <f t="shared" si="11"/>
        <v>Extension Cuadriceps|Vasto Externo</v>
      </c>
      <c r="P345" s="69" t="str">
        <f>MIERCOLES!AC128</f>
        <v/>
      </c>
    </row>
    <row r="346" spans="1:16" ht="14.1" customHeight="1">
      <c r="A346" s="37">
        <v>6</v>
      </c>
      <c r="B346" s="37" t="s">
        <v>279</v>
      </c>
      <c r="C346" s="44" t="str">
        <f>MIERCOLES!$A$129</f>
        <v>Extension Cuadriceps</v>
      </c>
      <c r="D346" s="45" t="str">
        <f>MIERCOLES!$B$129</f>
        <v>Vasto Interno</v>
      </c>
      <c r="E346" s="37" t="str">
        <f>MIERCOLES!$C$129</f>
        <v>--</v>
      </c>
      <c r="F346" s="46" t="str">
        <f>IF(P346="","",IFERROR(CHOOSE(VALUE(RIGHT(P346,1)),MIERCOLES!F129,MIERCOLES!I129,MIERCOLES!L129,MIERCOLES!O129,MIERCOLES!R129),""))</f>
        <v/>
      </c>
      <c r="G346" s="47" t="str">
        <f>IF(P346="","",IFERROR(CHOOSE(VALUE(RIGHT(P346,1)),MIERCOLES!G129,MIERCOLES!J129,MIERCOLES!M129,MIERCOLES!P129,MIERCOLES!S129),""))</f>
        <v/>
      </c>
      <c r="H346" s="48" t="str">
        <f>IF(P346="","",IFERROR(CHOOSE(VALUE(RIGHT(P346,1)),MIERCOLES!H129,MIERCOLES!K129,MIERCOLES!N129,MIERCOLES!Q129,MIERCOLES!T129),""))</f>
        <v/>
      </c>
      <c r="I346" s="49" t="str">
        <f t="shared" si="10"/>
        <v/>
      </c>
      <c r="J346" s="50" t="str">
        <f>IF(P346="","",IFERROR(ROUND(CHOOSE(VALUE(RIGHT(P346,1)),IF(MIERCOLES!C129="peso_corporal",IF(ISNUMBER(MIERCOLES!E129),MIERCOLES!E129,0)+MIERCOLES!F129,MIERCOLES!F129)*MIERCOLES!G129,IF(MIERCOLES!C129="peso_corporal",IF(ISNUMBER(MIERCOLES!E129),MIERCOLES!E129,0)+MIERCOLES!I129,MIERCOLES!I129)*MIERCOLES!J129,IF(MIERCOLES!C129="peso_corporal",IF(ISNUMBER(MIERCOLES!E129),MIERCOLES!E129,0)+MIERCOLES!L129,MIERCOLES!L129)*MIERCOLES!M129,IF(MIERCOLES!C129="peso_corporal",IF(ISNUMBER(MIERCOLES!E129),MIERCOLES!E129,0)+MIERCOLES!O129,MIERCOLES!O129)*MIERCOLES!P129,IF(MIERCOLES!C129="peso_corporal",IF(ISNUMBER(MIERCOLES!E129),MIERCOLES!E129,0)+MIERCOLES!R129,MIERCOLES!R129)*MIERCOLES!S129),1),""))</f>
        <v/>
      </c>
      <c r="K346" s="51" t="str">
        <f>IF(P346="","",IFERROR(ROUND(CHOOSE(VALUE(RIGHT(P346,1)),(IF(MIERCOLES!C129="peso_corporal",IF(ISNUMBER(MIERCOLES!E129),MIERCOLES!E129,0)+MIERCOLES!F129,MIERCOLES!F129))*(1+MIERCOLES!G129/30),(IF(MIERCOLES!C129="peso_corporal",IF(ISNUMBER(MIERCOLES!E129),MIERCOLES!E129,0)+MIERCOLES!I129,MIERCOLES!I129))*(1+MIERCOLES!J129/30),(IF(MIERCOLES!C129="peso_corporal",IF(ISNUMBER(MIERCOLES!E129),MIERCOLES!E129,0)+MIERCOLES!L129,MIERCOLES!L129))*(1+MIERCOLES!M129/30),(IF(MIERCOLES!C129="peso_corporal",IF(ISNUMBER(MIERCOLES!E129),MIERCOLES!E129,0)+MIERCOLES!O129,MIERCOLES!O129))*(1+MIERCOLES!P129/30),(IF(MIERCOLES!C129="peso_corporal",IF(ISNUMBER(MIERCOLES!E129),MIERCOLES!E129,0)+MIERCOLES!R129,MIERCOLES!R129))*(1+MIERCOLES!S129/30)),1),""))</f>
        <v/>
      </c>
      <c r="L346" s="52">
        <f>IFERROR(MIERCOLES!E129,"")</f>
        <v>80</v>
      </c>
      <c r="M346" s="53" t="str">
        <f>IFERROR(IF(K346="","-",IF(ISNUMBER(LOOKUP(2,1/((HISTORIAL!$O$3:$O$345=O346)*(HISTORIAL!$F$3:$F$345&lt;&gt;"")),HISTORIAL!$K$3:$K$345)),IF(K346&gt;LOOKUP(2,1/((HISTORIAL!$O$3:$O$345=O346)*(HISTORIAL!$F$3:$F$345&lt;&gt;"")),HISTORIAL!$K$3:$K$345),"^",IF(K346&lt;LOOKUP(2,1/((HISTORIAL!$O$3:$O$345=O346)*(HISTORIAL!$F$3:$F$345&lt;&gt;"")),HISTORIAL!$K$3:$K$345),"v","-")),"-")),"-")</f>
        <v>-</v>
      </c>
      <c r="N346" s="54" t="str">
        <f>IFERROR(VLOOKUP(A346,CONFIG!$A$10:$B$21,2,0),"")</f>
        <v>FUE</v>
      </c>
      <c r="O346" s="55" t="str">
        <f t="shared" si="11"/>
        <v>Extension Cuadriceps|Vasto Interno</v>
      </c>
      <c r="P346" s="69" t="str">
        <f>MIERCOLES!AC129</f>
        <v/>
      </c>
    </row>
    <row r="347" spans="1:16" ht="14.1" customHeight="1">
      <c r="A347" s="37">
        <v>6</v>
      </c>
      <c r="B347" s="37" t="s">
        <v>279</v>
      </c>
      <c r="C347" s="44" t="str">
        <f>MIERCOLES!$A$131</f>
        <v>Elevacion Gemelo</v>
      </c>
      <c r="D347" s="45" t="str">
        <f>MIERCOLES!$B$131</f>
        <v>Sentado</v>
      </c>
      <c r="E347" s="37" t="str">
        <f>MIERCOLES!$C$131</f>
        <v>disco</v>
      </c>
      <c r="F347" s="46" t="str">
        <f>IF(P347="","",IFERROR(CHOOSE(VALUE(RIGHT(P347,1)),MIERCOLES!F131,MIERCOLES!I131,MIERCOLES!L131,MIERCOLES!O131,MIERCOLES!R131),""))</f>
        <v/>
      </c>
      <c r="G347" s="47" t="str">
        <f>IF(P347="","",IFERROR(CHOOSE(VALUE(RIGHT(P347,1)),MIERCOLES!G131,MIERCOLES!J131,MIERCOLES!M131,MIERCOLES!P131,MIERCOLES!S131),""))</f>
        <v/>
      </c>
      <c r="H347" s="48" t="str">
        <f>IF(P347="","",IFERROR(CHOOSE(VALUE(RIGHT(P347,1)),MIERCOLES!H131,MIERCOLES!K131,MIERCOLES!N131,MIERCOLES!Q131,MIERCOLES!T131),""))</f>
        <v/>
      </c>
      <c r="I347" s="49" t="str">
        <f t="shared" si="10"/>
        <v/>
      </c>
      <c r="J347" s="50" t="str">
        <f>IF(P347="","",IFERROR(ROUND(CHOOSE(VALUE(RIGHT(P347,1)),IF(MIERCOLES!C131="peso_corporal",IF(ISNUMBER(MIERCOLES!E131),MIERCOLES!E131,0)+MIERCOLES!F131,MIERCOLES!F131)*MIERCOLES!G131,IF(MIERCOLES!C131="peso_corporal",IF(ISNUMBER(MIERCOLES!E131),MIERCOLES!E131,0)+MIERCOLES!I131,MIERCOLES!I131)*MIERCOLES!J131,IF(MIERCOLES!C131="peso_corporal",IF(ISNUMBER(MIERCOLES!E131),MIERCOLES!E131,0)+MIERCOLES!L131,MIERCOLES!L131)*MIERCOLES!M131,IF(MIERCOLES!C131="peso_corporal",IF(ISNUMBER(MIERCOLES!E131),MIERCOLES!E131,0)+MIERCOLES!O131,MIERCOLES!O131)*MIERCOLES!P131,IF(MIERCOLES!C131="peso_corporal",IF(ISNUMBER(MIERCOLES!E131),MIERCOLES!E131,0)+MIERCOLES!R131,MIERCOLES!R131)*MIERCOLES!S131),1),""))</f>
        <v/>
      </c>
      <c r="K347" s="51" t="str">
        <f>IF(P347="","",IFERROR(ROUND(CHOOSE(VALUE(RIGHT(P347,1)),(IF(MIERCOLES!C131="peso_corporal",IF(ISNUMBER(MIERCOLES!E131),MIERCOLES!E131,0)+MIERCOLES!F131,MIERCOLES!F131))*(1+MIERCOLES!G131/30),(IF(MIERCOLES!C131="peso_corporal",IF(ISNUMBER(MIERCOLES!E131),MIERCOLES!E131,0)+MIERCOLES!I131,MIERCOLES!I131))*(1+MIERCOLES!J131/30),(IF(MIERCOLES!C131="peso_corporal",IF(ISNUMBER(MIERCOLES!E131),MIERCOLES!E131,0)+MIERCOLES!L131,MIERCOLES!L131))*(1+MIERCOLES!M131/30),(IF(MIERCOLES!C131="peso_corporal",IF(ISNUMBER(MIERCOLES!E131),MIERCOLES!E131,0)+MIERCOLES!O131,MIERCOLES!O131))*(1+MIERCOLES!P131/30),(IF(MIERCOLES!C131="peso_corporal",IF(ISNUMBER(MIERCOLES!E131),MIERCOLES!E131,0)+MIERCOLES!R131,MIERCOLES!R131))*(1+MIERCOLES!S131/30)),1),""))</f>
        <v/>
      </c>
      <c r="L347" s="52">
        <f>IFERROR(MIERCOLES!E131,"")</f>
        <v>80</v>
      </c>
      <c r="M347" s="53" t="str">
        <f>IFERROR(IF(K347="","-",IF(ISNUMBER(LOOKUP(2,1/((HISTORIAL!$O$3:$O$346=O347)*(HISTORIAL!$F$3:$F$346&lt;&gt;"")),HISTORIAL!$K$3:$K$346)),IF(K347&gt;LOOKUP(2,1/((HISTORIAL!$O$3:$O$346=O347)*(HISTORIAL!$F$3:$F$346&lt;&gt;"")),HISTORIAL!$K$3:$K$346),"^",IF(K347&lt;LOOKUP(2,1/((HISTORIAL!$O$3:$O$346=O347)*(HISTORIAL!$F$3:$F$346&lt;&gt;"")),HISTORIAL!$K$3:$K$346),"v","-")),"-")),"-")</f>
        <v>-</v>
      </c>
      <c r="N347" s="54" t="str">
        <f>IFERROR(VLOOKUP(A347,CONFIG!$A$10:$B$21,2,0),"")</f>
        <v>FUE</v>
      </c>
      <c r="O347" s="55" t="str">
        <f t="shared" si="11"/>
        <v>Elevacion Gemelo|Sentado</v>
      </c>
      <c r="P347" s="69" t="str">
        <f>MIERCOLES!AC131</f>
        <v/>
      </c>
    </row>
    <row r="348" spans="1:16" ht="14.1" customHeight="1">
      <c r="A348" s="37">
        <v>6</v>
      </c>
      <c r="B348" s="37" t="s">
        <v>279</v>
      </c>
      <c r="C348" s="44" t="str">
        <f>MIERCOLES!$A$132</f>
        <v>Elevacion Gemelo</v>
      </c>
      <c r="D348" s="45" t="str">
        <f>MIERCOLES!$B$132</f>
        <v>De Pie</v>
      </c>
      <c r="E348" s="37" t="str">
        <f>MIERCOLES!$C$132</f>
        <v>disco</v>
      </c>
      <c r="F348" s="46" t="str">
        <f>IF(P348="","",IFERROR(CHOOSE(VALUE(RIGHT(P348,1)),MIERCOLES!F132,MIERCOLES!I132,MIERCOLES!L132,MIERCOLES!O132,MIERCOLES!R132),""))</f>
        <v/>
      </c>
      <c r="G348" s="47" t="str">
        <f>IF(P348="","",IFERROR(CHOOSE(VALUE(RIGHT(P348,1)),MIERCOLES!G132,MIERCOLES!J132,MIERCOLES!M132,MIERCOLES!P132,MIERCOLES!S132),""))</f>
        <v/>
      </c>
      <c r="H348" s="48" t="str">
        <f>IF(P348="","",IFERROR(CHOOSE(VALUE(RIGHT(P348,1)),MIERCOLES!H132,MIERCOLES!K132,MIERCOLES!N132,MIERCOLES!Q132,MIERCOLES!T132),""))</f>
        <v/>
      </c>
      <c r="I348" s="49" t="str">
        <f t="shared" si="10"/>
        <v/>
      </c>
      <c r="J348" s="50" t="str">
        <f>IF(P348="","",IFERROR(ROUND(CHOOSE(VALUE(RIGHT(P348,1)),IF(MIERCOLES!C132="peso_corporal",IF(ISNUMBER(MIERCOLES!E132),MIERCOLES!E132,0)+MIERCOLES!F132,MIERCOLES!F132)*MIERCOLES!G132,IF(MIERCOLES!C132="peso_corporal",IF(ISNUMBER(MIERCOLES!E132),MIERCOLES!E132,0)+MIERCOLES!I132,MIERCOLES!I132)*MIERCOLES!J132,IF(MIERCOLES!C132="peso_corporal",IF(ISNUMBER(MIERCOLES!E132),MIERCOLES!E132,0)+MIERCOLES!L132,MIERCOLES!L132)*MIERCOLES!M132,IF(MIERCOLES!C132="peso_corporal",IF(ISNUMBER(MIERCOLES!E132),MIERCOLES!E132,0)+MIERCOLES!O132,MIERCOLES!O132)*MIERCOLES!P132,IF(MIERCOLES!C132="peso_corporal",IF(ISNUMBER(MIERCOLES!E132),MIERCOLES!E132,0)+MIERCOLES!R132,MIERCOLES!R132)*MIERCOLES!S132),1),""))</f>
        <v/>
      </c>
      <c r="K348" s="51" t="str">
        <f>IF(P348="","",IFERROR(ROUND(CHOOSE(VALUE(RIGHT(P348,1)),(IF(MIERCOLES!C132="peso_corporal",IF(ISNUMBER(MIERCOLES!E132),MIERCOLES!E132,0)+MIERCOLES!F132,MIERCOLES!F132))*(1+MIERCOLES!G132/30),(IF(MIERCOLES!C132="peso_corporal",IF(ISNUMBER(MIERCOLES!E132),MIERCOLES!E132,0)+MIERCOLES!I132,MIERCOLES!I132))*(1+MIERCOLES!J132/30),(IF(MIERCOLES!C132="peso_corporal",IF(ISNUMBER(MIERCOLES!E132),MIERCOLES!E132,0)+MIERCOLES!L132,MIERCOLES!L132))*(1+MIERCOLES!M132/30),(IF(MIERCOLES!C132="peso_corporal",IF(ISNUMBER(MIERCOLES!E132),MIERCOLES!E132,0)+MIERCOLES!O132,MIERCOLES!O132))*(1+MIERCOLES!P132/30),(IF(MIERCOLES!C132="peso_corporal",IF(ISNUMBER(MIERCOLES!E132),MIERCOLES!E132,0)+MIERCOLES!R132,MIERCOLES!R132))*(1+MIERCOLES!S132/30)),1),""))</f>
        <v/>
      </c>
      <c r="L348" s="52">
        <f>IFERROR(MIERCOLES!E132,"")</f>
        <v>80</v>
      </c>
      <c r="M348" s="53" t="str">
        <f>IFERROR(IF(K348="","-",IF(ISNUMBER(LOOKUP(2,1/((HISTORIAL!$O$3:$O$347=O348)*(HISTORIAL!$F$3:$F$347&lt;&gt;"")),HISTORIAL!$K$3:$K$347)),IF(K348&gt;LOOKUP(2,1/((HISTORIAL!$O$3:$O$347=O348)*(HISTORIAL!$F$3:$F$347&lt;&gt;"")),HISTORIAL!$K$3:$K$347),"^",IF(K348&lt;LOOKUP(2,1/((HISTORIAL!$O$3:$O$347=O348)*(HISTORIAL!$F$3:$F$347&lt;&gt;"")),HISTORIAL!$K$3:$K$347),"v","-")),"-")),"-")</f>
        <v>-</v>
      </c>
      <c r="N348" s="54" t="str">
        <f>IFERROR(VLOOKUP(A348,CONFIG!$A$10:$B$21,2,0),"")</f>
        <v>FUE</v>
      </c>
      <c r="O348" s="55" t="str">
        <f t="shared" si="11"/>
        <v>Elevacion Gemelo|De Pie</v>
      </c>
      <c r="P348" s="69" t="str">
        <f>MIERCOLES!AC132</f>
        <v/>
      </c>
    </row>
    <row r="349" spans="1:16" ht="14.1" customHeight="1">
      <c r="A349" s="37">
        <v>6</v>
      </c>
      <c r="B349" s="37" t="s">
        <v>279</v>
      </c>
      <c r="C349" s="44" t="str">
        <f>MIERCOLES!$A$134</f>
        <v>Hiperextension</v>
      </c>
      <c r="D349" s="45" t="str">
        <f>MIERCOLES!$B$134</f>
        <v>Banco Romano</v>
      </c>
      <c r="E349" s="37" t="str">
        <f>MIERCOLES!$C$134</f>
        <v>peso_corporal</v>
      </c>
      <c r="F349" s="46" t="str">
        <f>IF(P349="","",IFERROR(CHOOSE(VALUE(RIGHT(P349,1)),MIERCOLES!F134,MIERCOLES!I134,MIERCOLES!L134,MIERCOLES!O134,MIERCOLES!R134),""))</f>
        <v/>
      </c>
      <c r="G349" s="47" t="str">
        <f>IF(P349="","",IFERROR(CHOOSE(VALUE(RIGHT(P349,1)),MIERCOLES!G134,MIERCOLES!J134,MIERCOLES!M134,MIERCOLES!P134,MIERCOLES!S134),""))</f>
        <v/>
      </c>
      <c r="H349" s="48" t="str">
        <f>IF(P349="","",IFERROR(CHOOSE(VALUE(RIGHT(P349,1)),MIERCOLES!H134,MIERCOLES!K134,MIERCOLES!N134,MIERCOLES!Q134,MIERCOLES!T134),""))</f>
        <v/>
      </c>
      <c r="I349" s="49" t="str">
        <f t="shared" si="10"/>
        <v/>
      </c>
      <c r="J349" s="50" t="str">
        <f>IF(P349="","",IFERROR(ROUND(CHOOSE(VALUE(RIGHT(P349,1)),IF(MIERCOLES!C134="peso_corporal",IF(ISNUMBER(MIERCOLES!E134),MIERCOLES!E134,0)+MIERCOLES!F134,MIERCOLES!F134)*MIERCOLES!G134,IF(MIERCOLES!C134="peso_corporal",IF(ISNUMBER(MIERCOLES!E134),MIERCOLES!E134,0)+MIERCOLES!I134,MIERCOLES!I134)*MIERCOLES!J134,IF(MIERCOLES!C134="peso_corporal",IF(ISNUMBER(MIERCOLES!E134),MIERCOLES!E134,0)+MIERCOLES!L134,MIERCOLES!L134)*MIERCOLES!M134,IF(MIERCOLES!C134="peso_corporal",IF(ISNUMBER(MIERCOLES!E134),MIERCOLES!E134,0)+MIERCOLES!O134,MIERCOLES!O134)*MIERCOLES!P134,IF(MIERCOLES!C134="peso_corporal",IF(ISNUMBER(MIERCOLES!E134),MIERCOLES!E134,0)+MIERCOLES!R134,MIERCOLES!R134)*MIERCOLES!S134),1),""))</f>
        <v/>
      </c>
      <c r="K349" s="51" t="str">
        <f>IF(P349="","",IFERROR(ROUND(CHOOSE(VALUE(RIGHT(P349,1)),(IF(MIERCOLES!C134="peso_corporal",IF(ISNUMBER(MIERCOLES!E134),MIERCOLES!E134,0)+MIERCOLES!F134,MIERCOLES!F134))*(1+MIERCOLES!G134/30),(IF(MIERCOLES!C134="peso_corporal",IF(ISNUMBER(MIERCOLES!E134),MIERCOLES!E134,0)+MIERCOLES!I134,MIERCOLES!I134))*(1+MIERCOLES!J134/30),(IF(MIERCOLES!C134="peso_corporal",IF(ISNUMBER(MIERCOLES!E134),MIERCOLES!E134,0)+MIERCOLES!L134,MIERCOLES!L134))*(1+MIERCOLES!M134/30),(IF(MIERCOLES!C134="peso_corporal",IF(ISNUMBER(MIERCOLES!E134),MIERCOLES!E134,0)+MIERCOLES!O134,MIERCOLES!O134))*(1+MIERCOLES!P134/30),(IF(MIERCOLES!C134="peso_corporal",IF(ISNUMBER(MIERCOLES!E134),MIERCOLES!E134,0)+MIERCOLES!R134,MIERCOLES!R134))*(1+MIERCOLES!S134/30)),1),""))</f>
        <v/>
      </c>
      <c r="L349" s="52">
        <f>IFERROR(MIERCOLES!E134,"")</f>
        <v>80</v>
      </c>
      <c r="M349" s="53" t="str">
        <f>IFERROR(IF(K349="","-",IF(ISNUMBER(LOOKUP(2,1/((HISTORIAL!$O$3:$O$348=O349)*(HISTORIAL!$F$3:$F$348&lt;&gt;"")),HISTORIAL!$K$3:$K$348)),IF(K349&gt;LOOKUP(2,1/((HISTORIAL!$O$3:$O$348=O349)*(HISTORIAL!$F$3:$F$348&lt;&gt;"")),HISTORIAL!$K$3:$K$348),"^",IF(K349&lt;LOOKUP(2,1/((HISTORIAL!$O$3:$O$348=O349)*(HISTORIAL!$F$3:$F$348&lt;&gt;"")),HISTORIAL!$K$3:$K$348),"v","-")),"-")),"-")</f>
        <v>-</v>
      </c>
      <c r="N349" s="54" t="str">
        <f>IFERROR(VLOOKUP(A349,CONFIG!$A$10:$B$21,2,0),"")</f>
        <v>FUE</v>
      </c>
      <c r="O349" s="55" t="str">
        <f t="shared" si="11"/>
        <v>Hiperextension|Banco Romano</v>
      </c>
      <c r="P349" s="69" t="str">
        <f>MIERCOLES!AC134</f>
        <v/>
      </c>
    </row>
    <row r="350" spans="1:16" ht="14.1" customHeight="1">
      <c r="A350" s="37">
        <v>6</v>
      </c>
      <c r="B350" s="37" t="s">
        <v>279</v>
      </c>
      <c r="C350" s="44" t="str">
        <f>MIERCOLES!$A$135</f>
        <v>Peso Muerto Parcial</v>
      </c>
      <c r="D350" s="45" t="str">
        <f>MIERCOLES!$B$135</f>
        <v>Barra</v>
      </c>
      <c r="E350" s="37" t="str">
        <f>MIERCOLES!$C$135</f>
        <v>disco</v>
      </c>
      <c r="F350" s="46" t="str">
        <f>IF(P350="","",IFERROR(CHOOSE(VALUE(RIGHT(P350,1)),MIERCOLES!F135,MIERCOLES!I135,MIERCOLES!L135,MIERCOLES!O135,MIERCOLES!R135),""))</f>
        <v/>
      </c>
      <c r="G350" s="47" t="str">
        <f>IF(P350="","",IFERROR(CHOOSE(VALUE(RIGHT(P350,1)),MIERCOLES!G135,MIERCOLES!J135,MIERCOLES!M135,MIERCOLES!P135,MIERCOLES!S135),""))</f>
        <v/>
      </c>
      <c r="H350" s="48" t="str">
        <f>IF(P350="","",IFERROR(CHOOSE(VALUE(RIGHT(P350,1)),MIERCOLES!H135,MIERCOLES!K135,MIERCOLES!N135,MIERCOLES!Q135,MIERCOLES!T135),""))</f>
        <v/>
      </c>
      <c r="I350" s="49" t="str">
        <f t="shared" si="10"/>
        <v/>
      </c>
      <c r="J350" s="50" t="str">
        <f>IF(P350="","",IFERROR(ROUND(CHOOSE(VALUE(RIGHT(P350,1)),IF(MIERCOLES!C135="peso_corporal",IF(ISNUMBER(MIERCOLES!E135),MIERCOLES!E135,0)+MIERCOLES!F135,MIERCOLES!F135)*MIERCOLES!G135,IF(MIERCOLES!C135="peso_corporal",IF(ISNUMBER(MIERCOLES!E135),MIERCOLES!E135,0)+MIERCOLES!I135,MIERCOLES!I135)*MIERCOLES!J135,IF(MIERCOLES!C135="peso_corporal",IF(ISNUMBER(MIERCOLES!E135),MIERCOLES!E135,0)+MIERCOLES!L135,MIERCOLES!L135)*MIERCOLES!M135,IF(MIERCOLES!C135="peso_corporal",IF(ISNUMBER(MIERCOLES!E135),MIERCOLES!E135,0)+MIERCOLES!O135,MIERCOLES!O135)*MIERCOLES!P135,IF(MIERCOLES!C135="peso_corporal",IF(ISNUMBER(MIERCOLES!E135),MIERCOLES!E135,0)+MIERCOLES!R135,MIERCOLES!R135)*MIERCOLES!S135),1),""))</f>
        <v/>
      </c>
      <c r="K350" s="51" t="str">
        <f>IF(P350="","",IFERROR(ROUND(CHOOSE(VALUE(RIGHT(P350,1)),(IF(MIERCOLES!C135="peso_corporal",IF(ISNUMBER(MIERCOLES!E135),MIERCOLES!E135,0)+MIERCOLES!F135,MIERCOLES!F135))*(1+MIERCOLES!G135/30),(IF(MIERCOLES!C135="peso_corporal",IF(ISNUMBER(MIERCOLES!E135),MIERCOLES!E135,0)+MIERCOLES!I135,MIERCOLES!I135))*(1+MIERCOLES!J135/30),(IF(MIERCOLES!C135="peso_corporal",IF(ISNUMBER(MIERCOLES!E135),MIERCOLES!E135,0)+MIERCOLES!L135,MIERCOLES!L135))*(1+MIERCOLES!M135/30),(IF(MIERCOLES!C135="peso_corporal",IF(ISNUMBER(MIERCOLES!E135),MIERCOLES!E135,0)+MIERCOLES!O135,MIERCOLES!O135))*(1+MIERCOLES!P135/30),(IF(MIERCOLES!C135="peso_corporal",IF(ISNUMBER(MIERCOLES!E135),MIERCOLES!E135,0)+MIERCOLES!R135,MIERCOLES!R135))*(1+MIERCOLES!S135/30)),1),""))</f>
        <v/>
      </c>
      <c r="L350" s="52">
        <f>IFERROR(MIERCOLES!E135,"")</f>
        <v>80</v>
      </c>
      <c r="M350" s="53" t="str">
        <f>IFERROR(IF(K350="","-",IF(ISNUMBER(LOOKUP(2,1/((HISTORIAL!$O$3:$O$349=O350)*(HISTORIAL!$F$3:$F$349&lt;&gt;"")),HISTORIAL!$K$3:$K$349)),IF(K350&gt;LOOKUP(2,1/((HISTORIAL!$O$3:$O$349=O350)*(HISTORIAL!$F$3:$F$349&lt;&gt;"")),HISTORIAL!$K$3:$K$349),"^",IF(K350&lt;LOOKUP(2,1/((HISTORIAL!$O$3:$O$349=O350)*(HISTORIAL!$F$3:$F$349&lt;&gt;"")),HISTORIAL!$K$3:$K$349),"v","-")),"-")),"-")</f>
        <v>-</v>
      </c>
      <c r="N350" s="54" t="str">
        <f>IFERROR(VLOOKUP(A350,CONFIG!$A$10:$B$21,2,0),"")</f>
        <v>FUE</v>
      </c>
      <c r="O350" s="55" t="str">
        <f t="shared" si="11"/>
        <v>Peso Muerto Parcial|Barra</v>
      </c>
      <c r="P350" s="69" t="str">
        <f>MIERCOLES!AC135</f>
        <v/>
      </c>
    </row>
    <row r="351" spans="1:16" ht="14.1" customHeight="1">
      <c r="A351" s="37">
        <v>6</v>
      </c>
      <c r="B351" s="37" t="s">
        <v>279</v>
      </c>
      <c r="C351" s="44" t="str">
        <f>MIERCOLES!$A$137</f>
        <v>Crunch</v>
      </c>
      <c r="D351" s="45" t="str">
        <f>MIERCOLES!$B$137</f>
        <v>Polea</v>
      </c>
      <c r="E351" s="37" t="str">
        <f>MIERCOLES!$C$137</f>
        <v>polea</v>
      </c>
      <c r="F351" s="46" t="str">
        <f>IF(P351="","",IFERROR(CHOOSE(VALUE(RIGHT(P351,1)),MIERCOLES!F137,MIERCOLES!I137,MIERCOLES!L137,MIERCOLES!O137,MIERCOLES!R137),""))</f>
        <v/>
      </c>
      <c r="G351" s="47" t="str">
        <f>IF(P351="","",IFERROR(CHOOSE(VALUE(RIGHT(P351,1)),MIERCOLES!G137,MIERCOLES!J137,MIERCOLES!M137,MIERCOLES!P137,MIERCOLES!S137),""))</f>
        <v/>
      </c>
      <c r="H351" s="48" t="str">
        <f>IF(P351="","",IFERROR(CHOOSE(VALUE(RIGHT(P351,1)),MIERCOLES!H137,MIERCOLES!K137,MIERCOLES!N137,MIERCOLES!Q137,MIERCOLES!T137),""))</f>
        <v/>
      </c>
      <c r="I351" s="49" t="str">
        <f t="shared" si="10"/>
        <v/>
      </c>
      <c r="J351" s="50" t="str">
        <f>IF(P351="","",IFERROR(ROUND(CHOOSE(VALUE(RIGHT(P351,1)),IF(MIERCOLES!C137="peso_corporal",IF(ISNUMBER(MIERCOLES!E137),MIERCOLES!E137,0)+MIERCOLES!F137,MIERCOLES!F137)*MIERCOLES!G137,IF(MIERCOLES!C137="peso_corporal",IF(ISNUMBER(MIERCOLES!E137),MIERCOLES!E137,0)+MIERCOLES!I137,MIERCOLES!I137)*MIERCOLES!J137,IF(MIERCOLES!C137="peso_corporal",IF(ISNUMBER(MIERCOLES!E137),MIERCOLES!E137,0)+MIERCOLES!L137,MIERCOLES!L137)*MIERCOLES!M137,IF(MIERCOLES!C137="peso_corporal",IF(ISNUMBER(MIERCOLES!E137),MIERCOLES!E137,0)+MIERCOLES!O137,MIERCOLES!O137)*MIERCOLES!P137,IF(MIERCOLES!C137="peso_corporal",IF(ISNUMBER(MIERCOLES!E137),MIERCOLES!E137,0)+MIERCOLES!R137,MIERCOLES!R137)*MIERCOLES!S137),1),""))</f>
        <v/>
      </c>
      <c r="K351" s="51" t="str">
        <f>IF(P351="","",IFERROR(ROUND(CHOOSE(VALUE(RIGHT(P351,1)),(IF(MIERCOLES!C137="peso_corporal",IF(ISNUMBER(MIERCOLES!E137),MIERCOLES!E137,0)+MIERCOLES!F137,MIERCOLES!F137))*(1+MIERCOLES!G137/30),(IF(MIERCOLES!C137="peso_corporal",IF(ISNUMBER(MIERCOLES!E137),MIERCOLES!E137,0)+MIERCOLES!I137,MIERCOLES!I137))*(1+MIERCOLES!J137/30),(IF(MIERCOLES!C137="peso_corporal",IF(ISNUMBER(MIERCOLES!E137),MIERCOLES!E137,0)+MIERCOLES!L137,MIERCOLES!L137))*(1+MIERCOLES!M137/30),(IF(MIERCOLES!C137="peso_corporal",IF(ISNUMBER(MIERCOLES!E137),MIERCOLES!E137,0)+MIERCOLES!O137,MIERCOLES!O137))*(1+MIERCOLES!P137/30),(IF(MIERCOLES!C137="peso_corporal",IF(ISNUMBER(MIERCOLES!E137),MIERCOLES!E137,0)+MIERCOLES!R137,MIERCOLES!R137))*(1+MIERCOLES!S137/30)),1),""))</f>
        <v/>
      </c>
      <c r="L351" s="52">
        <f>IFERROR(MIERCOLES!E137,"")</f>
        <v>80</v>
      </c>
      <c r="M351" s="53" t="str">
        <f>IFERROR(IF(K351="","-",IF(ISNUMBER(LOOKUP(2,1/((HISTORIAL!$O$3:$O$350=O351)*(HISTORIAL!$F$3:$F$350&lt;&gt;"")),HISTORIAL!$K$3:$K$350)),IF(K351&gt;LOOKUP(2,1/((HISTORIAL!$O$3:$O$350=O351)*(HISTORIAL!$F$3:$F$350&lt;&gt;"")),HISTORIAL!$K$3:$K$350),"^",IF(K351&lt;LOOKUP(2,1/((HISTORIAL!$O$3:$O$350=O351)*(HISTORIAL!$F$3:$F$350&lt;&gt;"")),HISTORIAL!$K$3:$K$350),"v","-")),"-")),"-")</f>
        <v>-</v>
      </c>
      <c r="N351" s="54" t="str">
        <f>IFERROR(VLOOKUP(A351,CONFIG!$A$10:$B$21,2,0),"")</f>
        <v>FUE</v>
      </c>
      <c r="O351" s="55" t="str">
        <f t="shared" si="11"/>
        <v>Crunch|Polea</v>
      </c>
      <c r="P351" s="69" t="str">
        <f>MIERCOLES!AC137</f>
        <v/>
      </c>
    </row>
    <row r="352" spans="1:16" ht="14.1" customHeight="1">
      <c r="A352" s="37">
        <v>6</v>
      </c>
      <c r="B352" s="37" t="s">
        <v>279</v>
      </c>
      <c r="C352" s="44" t="str">
        <f>MIERCOLES!$A$138</f>
        <v>Plancha</v>
      </c>
      <c r="D352" s="45" t="str">
        <f>MIERCOLES!$B$138</f>
        <v>Abdominal</v>
      </c>
      <c r="E352" s="37" t="str">
        <f>MIERCOLES!$C$138</f>
        <v>--</v>
      </c>
      <c r="F352" s="46" t="str">
        <f>IF(P352="","",IFERROR(CHOOSE(VALUE(RIGHT(P352,1)),MIERCOLES!F138,MIERCOLES!I138,MIERCOLES!L138,MIERCOLES!O138,MIERCOLES!R138),""))</f>
        <v/>
      </c>
      <c r="G352" s="47" t="str">
        <f>IF(P352="","",IFERROR(CHOOSE(VALUE(RIGHT(P352,1)),MIERCOLES!G138,MIERCOLES!J138,MIERCOLES!M138,MIERCOLES!P138,MIERCOLES!S138),""))</f>
        <v/>
      </c>
      <c r="H352" s="48" t="str">
        <f>IF(P352="","",IFERROR(CHOOSE(VALUE(RIGHT(P352,1)),MIERCOLES!H138,MIERCOLES!K138,MIERCOLES!N138,MIERCOLES!Q138,MIERCOLES!T138),""))</f>
        <v/>
      </c>
      <c r="I352" s="49" t="str">
        <f t="shared" si="10"/>
        <v/>
      </c>
      <c r="J352" s="50" t="str">
        <f>IF(P352="","",IFERROR(ROUND(CHOOSE(VALUE(RIGHT(P352,1)),IF(MIERCOLES!C138="peso_corporal",IF(ISNUMBER(MIERCOLES!E138),MIERCOLES!E138,0)+MIERCOLES!F138,MIERCOLES!F138)*MIERCOLES!G138,IF(MIERCOLES!C138="peso_corporal",IF(ISNUMBER(MIERCOLES!E138),MIERCOLES!E138,0)+MIERCOLES!I138,MIERCOLES!I138)*MIERCOLES!J138,IF(MIERCOLES!C138="peso_corporal",IF(ISNUMBER(MIERCOLES!E138),MIERCOLES!E138,0)+MIERCOLES!L138,MIERCOLES!L138)*MIERCOLES!M138,IF(MIERCOLES!C138="peso_corporal",IF(ISNUMBER(MIERCOLES!E138),MIERCOLES!E138,0)+MIERCOLES!O138,MIERCOLES!O138)*MIERCOLES!P138,IF(MIERCOLES!C138="peso_corporal",IF(ISNUMBER(MIERCOLES!E138),MIERCOLES!E138,0)+MIERCOLES!R138,MIERCOLES!R138)*MIERCOLES!S138),1),""))</f>
        <v/>
      </c>
      <c r="K352" s="51" t="str">
        <f>IF(P352="","",IFERROR(ROUND(CHOOSE(VALUE(RIGHT(P352,1)),(IF(MIERCOLES!C138="peso_corporal",IF(ISNUMBER(MIERCOLES!E138),MIERCOLES!E138,0)+MIERCOLES!F138,MIERCOLES!F138))*(1+MIERCOLES!G138/30),(IF(MIERCOLES!C138="peso_corporal",IF(ISNUMBER(MIERCOLES!E138),MIERCOLES!E138,0)+MIERCOLES!I138,MIERCOLES!I138))*(1+MIERCOLES!J138/30),(IF(MIERCOLES!C138="peso_corporal",IF(ISNUMBER(MIERCOLES!E138),MIERCOLES!E138,0)+MIERCOLES!L138,MIERCOLES!L138))*(1+MIERCOLES!M138/30),(IF(MIERCOLES!C138="peso_corporal",IF(ISNUMBER(MIERCOLES!E138),MIERCOLES!E138,0)+MIERCOLES!O138,MIERCOLES!O138))*(1+MIERCOLES!P138/30),(IF(MIERCOLES!C138="peso_corporal",IF(ISNUMBER(MIERCOLES!E138),MIERCOLES!E138,0)+MIERCOLES!R138,MIERCOLES!R138))*(1+MIERCOLES!S138/30)),1),""))</f>
        <v/>
      </c>
      <c r="L352" s="52">
        <f>IFERROR(MIERCOLES!E138,"")</f>
        <v>80</v>
      </c>
      <c r="M352" s="53" t="str">
        <f>IFERROR(IF(K352="","-",IF(ISNUMBER(LOOKUP(2,1/((HISTORIAL!$O$3:$O$351=O352)*(HISTORIAL!$F$3:$F$351&lt;&gt;"")),HISTORIAL!$K$3:$K$351)),IF(K352&gt;LOOKUP(2,1/((HISTORIAL!$O$3:$O$351=O352)*(HISTORIAL!$F$3:$F$351&lt;&gt;"")),HISTORIAL!$K$3:$K$351),"^",IF(K352&lt;LOOKUP(2,1/((HISTORIAL!$O$3:$O$351=O352)*(HISTORIAL!$F$3:$F$351&lt;&gt;"")),HISTORIAL!$K$3:$K$351),"v","-")),"-")),"-")</f>
        <v>-</v>
      </c>
      <c r="N352" s="54" t="str">
        <f>IFERROR(VLOOKUP(A352,CONFIG!$A$10:$B$21,2,0),"")</f>
        <v>FUE</v>
      </c>
      <c r="O352" s="55" t="str">
        <f t="shared" si="11"/>
        <v>Plancha|Abdominal</v>
      </c>
      <c r="P352" s="69" t="str">
        <f>MIERCOLES!AC138</f>
        <v/>
      </c>
    </row>
    <row r="353" spans="1:16" ht="14.1" customHeight="1">
      <c r="A353" s="37">
        <v>6</v>
      </c>
      <c r="B353" s="37" t="s">
        <v>279</v>
      </c>
      <c r="C353" s="44" t="str">
        <f>MIERCOLES!$A$139</f>
        <v>Rueda Abdominal</v>
      </c>
      <c r="D353" s="45" t="str">
        <f>MIERCOLES!$B$139</f>
        <v>Ab Wheel</v>
      </c>
      <c r="E353" s="37" t="str">
        <f>MIERCOLES!$C$139</f>
        <v>--</v>
      </c>
      <c r="F353" s="46" t="str">
        <f>IF(P353="","",IFERROR(CHOOSE(VALUE(RIGHT(P353,1)),MIERCOLES!F139,MIERCOLES!I139,MIERCOLES!L139,MIERCOLES!O139,MIERCOLES!R139),""))</f>
        <v/>
      </c>
      <c r="G353" s="47" t="str">
        <f>IF(P353="","",IFERROR(CHOOSE(VALUE(RIGHT(P353,1)),MIERCOLES!G139,MIERCOLES!J139,MIERCOLES!M139,MIERCOLES!P139,MIERCOLES!S139),""))</f>
        <v/>
      </c>
      <c r="H353" s="48" t="str">
        <f>IF(P353="","",IFERROR(CHOOSE(VALUE(RIGHT(P353,1)),MIERCOLES!H139,MIERCOLES!K139,MIERCOLES!N139,MIERCOLES!Q139,MIERCOLES!T139),""))</f>
        <v/>
      </c>
      <c r="I353" s="49" t="str">
        <f t="shared" si="10"/>
        <v/>
      </c>
      <c r="J353" s="50" t="str">
        <f>IF(P353="","",IFERROR(ROUND(CHOOSE(VALUE(RIGHT(P353,1)),IF(MIERCOLES!C139="peso_corporal",IF(ISNUMBER(MIERCOLES!E139),MIERCOLES!E139,0)+MIERCOLES!F139,MIERCOLES!F139)*MIERCOLES!G139,IF(MIERCOLES!C139="peso_corporal",IF(ISNUMBER(MIERCOLES!E139),MIERCOLES!E139,0)+MIERCOLES!I139,MIERCOLES!I139)*MIERCOLES!J139,IF(MIERCOLES!C139="peso_corporal",IF(ISNUMBER(MIERCOLES!E139),MIERCOLES!E139,0)+MIERCOLES!L139,MIERCOLES!L139)*MIERCOLES!M139,IF(MIERCOLES!C139="peso_corporal",IF(ISNUMBER(MIERCOLES!E139),MIERCOLES!E139,0)+MIERCOLES!O139,MIERCOLES!O139)*MIERCOLES!P139,IF(MIERCOLES!C139="peso_corporal",IF(ISNUMBER(MIERCOLES!E139),MIERCOLES!E139,0)+MIERCOLES!R139,MIERCOLES!R139)*MIERCOLES!S139),1),""))</f>
        <v/>
      </c>
      <c r="K353" s="51" t="str">
        <f>IF(P353="","",IFERROR(ROUND(CHOOSE(VALUE(RIGHT(P353,1)),(IF(MIERCOLES!C139="peso_corporal",IF(ISNUMBER(MIERCOLES!E139),MIERCOLES!E139,0)+MIERCOLES!F139,MIERCOLES!F139))*(1+MIERCOLES!G139/30),(IF(MIERCOLES!C139="peso_corporal",IF(ISNUMBER(MIERCOLES!E139),MIERCOLES!E139,0)+MIERCOLES!I139,MIERCOLES!I139))*(1+MIERCOLES!J139/30),(IF(MIERCOLES!C139="peso_corporal",IF(ISNUMBER(MIERCOLES!E139),MIERCOLES!E139,0)+MIERCOLES!L139,MIERCOLES!L139))*(1+MIERCOLES!M139/30),(IF(MIERCOLES!C139="peso_corporal",IF(ISNUMBER(MIERCOLES!E139),MIERCOLES!E139,0)+MIERCOLES!O139,MIERCOLES!O139))*(1+MIERCOLES!P139/30),(IF(MIERCOLES!C139="peso_corporal",IF(ISNUMBER(MIERCOLES!E139),MIERCOLES!E139,0)+MIERCOLES!R139,MIERCOLES!R139))*(1+MIERCOLES!S139/30)),1),""))</f>
        <v/>
      </c>
      <c r="L353" s="52">
        <f>IFERROR(MIERCOLES!E139,"")</f>
        <v>80</v>
      </c>
      <c r="M353" s="53" t="str">
        <f>IFERROR(IF(K353="","-",IF(ISNUMBER(LOOKUP(2,1/((HISTORIAL!$O$3:$O$352=O353)*(HISTORIAL!$F$3:$F$352&lt;&gt;"")),HISTORIAL!$K$3:$K$352)),IF(K353&gt;LOOKUP(2,1/((HISTORIAL!$O$3:$O$352=O353)*(HISTORIAL!$F$3:$F$352&lt;&gt;"")),HISTORIAL!$K$3:$K$352),"^",IF(K353&lt;LOOKUP(2,1/((HISTORIAL!$O$3:$O$352=O353)*(HISTORIAL!$F$3:$F$352&lt;&gt;"")),HISTORIAL!$K$3:$K$352),"v","-")),"-")),"-")</f>
        <v>-</v>
      </c>
      <c r="N353" s="54" t="str">
        <f>IFERROR(VLOOKUP(A353,CONFIG!$A$10:$B$21,2,0),"")</f>
        <v>FUE</v>
      </c>
      <c r="O353" s="55" t="str">
        <f t="shared" si="11"/>
        <v>Rueda Abdominal|Ab Wheel</v>
      </c>
      <c r="P353" s="69" t="str">
        <f>MIERCOLES!AC139</f>
        <v/>
      </c>
    </row>
    <row r="354" spans="1:16" ht="14.1" customHeight="1">
      <c r="A354" s="37">
        <v>6</v>
      </c>
      <c r="B354" s="37" t="s">
        <v>279</v>
      </c>
      <c r="C354" s="44" t="str">
        <f>MIERCOLES!$A$140</f>
        <v>Elevacion Piernas</v>
      </c>
      <c r="D354" s="45" t="str">
        <f>MIERCOLES!$B$140</f>
        <v>Colgado</v>
      </c>
      <c r="E354" s="37" t="str">
        <f>MIERCOLES!$C$140</f>
        <v>peso_corporal</v>
      </c>
      <c r="F354" s="46" t="str">
        <f>IF(P354="","",IFERROR(CHOOSE(VALUE(RIGHT(P354,1)),MIERCOLES!F140,MIERCOLES!I140,MIERCOLES!L140,MIERCOLES!O140,MIERCOLES!R140),""))</f>
        <v/>
      </c>
      <c r="G354" s="47" t="str">
        <f>IF(P354="","",IFERROR(CHOOSE(VALUE(RIGHT(P354,1)),MIERCOLES!G140,MIERCOLES!J140,MIERCOLES!M140,MIERCOLES!P140,MIERCOLES!S140),""))</f>
        <v/>
      </c>
      <c r="H354" s="48" t="str">
        <f>IF(P354="","",IFERROR(CHOOSE(VALUE(RIGHT(P354,1)),MIERCOLES!H140,MIERCOLES!K140,MIERCOLES!N140,MIERCOLES!Q140,MIERCOLES!T140),""))</f>
        <v/>
      </c>
      <c r="I354" s="49" t="str">
        <f t="shared" si="10"/>
        <v/>
      </c>
      <c r="J354" s="50" t="str">
        <f>IF(P354="","",IFERROR(ROUND(CHOOSE(VALUE(RIGHT(P354,1)),IF(MIERCOLES!C140="peso_corporal",IF(ISNUMBER(MIERCOLES!E140),MIERCOLES!E140,0)+MIERCOLES!F140,MIERCOLES!F140)*MIERCOLES!G140,IF(MIERCOLES!C140="peso_corporal",IF(ISNUMBER(MIERCOLES!E140),MIERCOLES!E140,0)+MIERCOLES!I140,MIERCOLES!I140)*MIERCOLES!J140,IF(MIERCOLES!C140="peso_corporal",IF(ISNUMBER(MIERCOLES!E140),MIERCOLES!E140,0)+MIERCOLES!L140,MIERCOLES!L140)*MIERCOLES!M140,IF(MIERCOLES!C140="peso_corporal",IF(ISNUMBER(MIERCOLES!E140),MIERCOLES!E140,0)+MIERCOLES!O140,MIERCOLES!O140)*MIERCOLES!P140,IF(MIERCOLES!C140="peso_corporal",IF(ISNUMBER(MIERCOLES!E140),MIERCOLES!E140,0)+MIERCOLES!R140,MIERCOLES!R140)*MIERCOLES!S140),1),""))</f>
        <v/>
      </c>
      <c r="K354" s="51" t="str">
        <f>IF(P354="","",IFERROR(ROUND(CHOOSE(VALUE(RIGHT(P354,1)),(IF(MIERCOLES!C140="peso_corporal",IF(ISNUMBER(MIERCOLES!E140),MIERCOLES!E140,0)+MIERCOLES!F140,MIERCOLES!F140))*(1+MIERCOLES!G140/30),(IF(MIERCOLES!C140="peso_corporal",IF(ISNUMBER(MIERCOLES!E140),MIERCOLES!E140,0)+MIERCOLES!I140,MIERCOLES!I140))*(1+MIERCOLES!J140/30),(IF(MIERCOLES!C140="peso_corporal",IF(ISNUMBER(MIERCOLES!E140),MIERCOLES!E140,0)+MIERCOLES!L140,MIERCOLES!L140))*(1+MIERCOLES!M140/30),(IF(MIERCOLES!C140="peso_corporal",IF(ISNUMBER(MIERCOLES!E140),MIERCOLES!E140,0)+MIERCOLES!O140,MIERCOLES!O140))*(1+MIERCOLES!P140/30),(IF(MIERCOLES!C140="peso_corporal",IF(ISNUMBER(MIERCOLES!E140),MIERCOLES!E140,0)+MIERCOLES!R140,MIERCOLES!R140))*(1+MIERCOLES!S140/30)),1),""))</f>
        <v/>
      </c>
      <c r="L354" s="52">
        <f>IFERROR(MIERCOLES!E140,"")</f>
        <v>80</v>
      </c>
      <c r="M354" s="53" t="str">
        <f>IFERROR(IF(K354="","-",IF(ISNUMBER(LOOKUP(2,1/((HISTORIAL!$O$3:$O$353=O354)*(HISTORIAL!$F$3:$F$353&lt;&gt;"")),HISTORIAL!$K$3:$K$353)),IF(K354&gt;LOOKUP(2,1/((HISTORIAL!$O$3:$O$353=O354)*(HISTORIAL!$F$3:$F$353&lt;&gt;"")),HISTORIAL!$K$3:$K$353),"^",IF(K354&lt;LOOKUP(2,1/((HISTORIAL!$O$3:$O$353=O354)*(HISTORIAL!$F$3:$F$353&lt;&gt;"")),HISTORIAL!$K$3:$K$353),"v","-")),"-")),"-")</f>
        <v>-</v>
      </c>
      <c r="N354" s="54" t="str">
        <f>IFERROR(VLOOKUP(A354,CONFIG!$A$10:$B$21,2,0),"")</f>
        <v>FUE</v>
      </c>
      <c r="O354" s="55" t="str">
        <f t="shared" si="11"/>
        <v>Elevacion Piernas|Colgado</v>
      </c>
      <c r="P354" s="69" t="str">
        <f>MIERCOLES!AC140</f>
        <v/>
      </c>
    </row>
    <row r="355" spans="1:16" ht="14.1" customHeight="1">
      <c r="A355" s="37">
        <v>6</v>
      </c>
      <c r="B355" s="37" t="s">
        <v>280</v>
      </c>
      <c r="C355" s="44" t="str">
        <f>JUEVES!$A$137</f>
        <v>Press Militar</v>
      </c>
      <c r="D355" s="45" t="str">
        <f>JUEVES!$B$137</f>
        <v>Multipower</v>
      </c>
      <c r="E355" s="37" t="str">
        <f>JUEVES!$C$137</f>
        <v>--</v>
      </c>
      <c r="F355" s="46" t="str">
        <f>IF(P355="","",IFERROR(CHOOSE(VALUE(RIGHT(P355,1)),JUEVES!F137,JUEVES!I137,JUEVES!L137,JUEVES!O137,JUEVES!R137),""))</f>
        <v/>
      </c>
      <c r="G355" s="47" t="str">
        <f>IF(P355="","",IFERROR(CHOOSE(VALUE(RIGHT(P355,1)),JUEVES!G137,JUEVES!J137,JUEVES!M137,JUEVES!P137,JUEVES!S137),""))</f>
        <v/>
      </c>
      <c r="H355" s="48" t="str">
        <f>IF(P355="","",IFERROR(CHOOSE(VALUE(RIGHT(P355,1)),JUEVES!H137,JUEVES!K137,JUEVES!N137,JUEVES!Q137,JUEVES!T137),""))</f>
        <v/>
      </c>
      <c r="I355" s="49" t="str">
        <f t="shared" si="10"/>
        <v/>
      </c>
      <c r="J355" s="50" t="str">
        <f>IF(P355="","",IFERROR(ROUND(CHOOSE(VALUE(RIGHT(P355,1)),IF(JUEVES!C137="peso_corporal",IF(ISNUMBER(JUEVES!E137),JUEVES!E137,0)+JUEVES!F137,JUEVES!F137)*JUEVES!G137,IF(JUEVES!C137="peso_corporal",IF(ISNUMBER(JUEVES!E137),JUEVES!E137,0)+JUEVES!I137,JUEVES!I137)*JUEVES!J137,IF(JUEVES!C137="peso_corporal",IF(ISNUMBER(JUEVES!E137),JUEVES!E137,0)+JUEVES!L137,JUEVES!L137)*JUEVES!M137,IF(JUEVES!C137="peso_corporal",IF(ISNUMBER(JUEVES!E137),JUEVES!E137,0)+JUEVES!O137,JUEVES!O137)*JUEVES!P137,IF(JUEVES!C137="peso_corporal",IF(ISNUMBER(JUEVES!E137),JUEVES!E137,0)+JUEVES!R137,JUEVES!R137)*JUEVES!S137),1),""))</f>
        <v/>
      </c>
      <c r="K355" s="51" t="str">
        <f>IF(P355="","",IFERROR(ROUND(CHOOSE(VALUE(RIGHT(P355,1)),(IF(JUEVES!C137="peso_corporal",IF(ISNUMBER(JUEVES!E137),JUEVES!E137,0)+JUEVES!F137,JUEVES!F137))*(1+JUEVES!G137/30),(IF(JUEVES!C137="peso_corporal",IF(ISNUMBER(JUEVES!E137),JUEVES!E137,0)+JUEVES!I137,JUEVES!I137))*(1+JUEVES!J137/30),(IF(JUEVES!C137="peso_corporal",IF(ISNUMBER(JUEVES!E137),JUEVES!E137,0)+JUEVES!L137,JUEVES!L137))*(1+JUEVES!M137/30),(IF(JUEVES!C137="peso_corporal",IF(ISNUMBER(JUEVES!E137),JUEVES!E137,0)+JUEVES!O137,JUEVES!O137))*(1+JUEVES!P137/30),(IF(JUEVES!C137="peso_corporal",IF(ISNUMBER(JUEVES!E137),JUEVES!E137,0)+JUEVES!R137,JUEVES!R137))*(1+JUEVES!S137/30)),1),""))</f>
        <v/>
      </c>
      <c r="L355" s="52">
        <f>IFERROR(JUEVES!E137,"")</f>
        <v>80</v>
      </c>
      <c r="M355" s="53" t="str">
        <f>IFERROR(IF(K355="","-",IF(ISNUMBER(LOOKUP(2,1/((HISTORIAL!$O$3:$O$354=O355)*(HISTORIAL!$F$3:$F$354&lt;&gt;"")),HISTORIAL!$K$3:$K$354)),IF(K355&gt;LOOKUP(2,1/((HISTORIAL!$O$3:$O$354=O355)*(HISTORIAL!$F$3:$F$354&lt;&gt;"")),HISTORIAL!$K$3:$K$354),"^",IF(K355&lt;LOOKUP(2,1/((HISTORIAL!$O$3:$O$354=O355)*(HISTORIAL!$F$3:$F$354&lt;&gt;"")),HISTORIAL!$K$3:$K$354),"v","-")),"-")),"-")</f>
        <v>-</v>
      </c>
      <c r="N355" s="54" t="str">
        <f>IFERROR(VLOOKUP(A355,CONFIG!$A$10:$B$21,2,0),"")</f>
        <v>FUE</v>
      </c>
      <c r="O355" s="55" t="str">
        <f t="shared" si="11"/>
        <v>Press Militar|Multipower</v>
      </c>
      <c r="P355" s="69" t="str">
        <f>JUEVES!AC137</f>
        <v/>
      </c>
    </row>
    <row r="356" spans="1:16" ht="14.1" customHeight="1">
      <c r="A356" s="37">
        <v>6</v>
      </c>
      <c r="B356" s="37" t="s">
        <v>280</v>
      </c>
      <c r="C356" s="44" t="str">
        <f>JUEVES!$A$138</f>
        <v>Elevaciones Laterales</v>
      </c>
      <c r="D356" s="45" t="str">
        <f>JUEVES!$B$138</f>
        <v>Drop Set Maquina</v>
      </c>
      <c r="E356" s="37" t="str">
        <f>JUEVES!$C$138</f>
        <v>--</v>
      </c>
      <c r="F356" s="46" t="str">
        <f>IF(P356="","",IFERROR(CHOOSE(VALUE(RIGHT(P356,1)),JUEVES!F138,JUEVES!I138,JUEVES!L138,JUEVES!O138,JUEVES!R138),""))</f>
        <v/>
      </c>
      <c r="G356" s="47" t="str">
        <f>IF(P356="","",IFERROR(CHOOSE(VALUE(RIGHT(P356,1)),JUEVES!G138,JUEVES!J138,JUEVES!M138,JUEVES!P138,JUEVES!S138),""))</f>
        <v/>
      </c>
      <c r="H356" s="48" t="str">
        <f>IF(P356="","",IFERROR(CHOOSE(VALUE(RIGHT(P356,1)),JUEVES!H138,JUEVES!K138,JUEVES!N138,JUEVES!Q138,JUEVES!T138),""))</f>
        <v/>
      </c>
      <c r="I356" s="49" t="str">
        <f t="shared" si="10"/>
        <v/>
      </c>
      <c r="J356" s="50" t="str">
        <f>IF(P356="","",IFERROR(ROUND(CHOOSE(VALUE(RIGHT(P356,1)),IF(JUEVES!C138="peso_corporal",IF(ISNUMBER(JUEVES!E138),JUEVES!E138,0)+JUEVES!F138,JUEVES!F138)*JUEVES!G138,IF(JUEVES!C138="peso_corporal",IF(ISNUMBER(JUEVES!E138),JUEVES!E138,0)+JUEVES!I138,JUEVES!I138)*JUEVES!J138,IF(JUEVES!C138="peso_corporal",IF(ISNUMBER(JUEVES!E138),JUEVES!E138,0)+JUEVES!L138,JUEVES!L138)*JUEVES!M138,IF(JUEVES!C138="peso_corporal",IF(ISNUMBER(JUEVES!E138),JUEVES!E138,0)+JUEVES!O138,JUEVES!O138)*JUEVES!P138,IF(JUEVES!C138="peso_corporal",IF(ISNUMBER(JUEVES!E138),JUEVES!E138,0)+JUEVES!R138,JUEVES!R138)*JUEVES!S138),1),""))</f>
        <v/>
      </c>
      <c r="K356" s="51" t="str">
        <f>IF(P356="","",IFERROR(ROUND(CHOOSE(VALUE(RIGHT(P356,1)),(IF(JUEVES!C138="peso_corporal",IF(ISNUMBER(JUEVES!E138),JUEVES!E138,0)+JUEVES!F138,JUEVES!F138))*(1+JUEVES!G138/30),(IF(JUEVES!C138="peso_corporal",IF(ISNUMBER(JUEVES!E138),JUEVES!E138,0)+JUEVES!I138,JUEVES!I138))*(1+JUEVES!J138/30),(IF(JUEVES!C138="peso_corporal",IF(ISNUMBER(JUEVES!E138),JUEVES!E138,0)+JUEVES!L138,JUEVES!L138))*(1+JUEVES!M138/30),(IF(JUEVES!C138="peso_corporal",IF(ISNUMBER(JUEVES!E138),JUEVES!E138,0)+JUEVES!O138,JUEVES!O138))*(1+JUEVES!P138/30),(IF(JUEVES!C138="peso_corporal",IF(ISNUMBER(JUEVES!E138),JUEVES!E138,0)+JUEVES!R138,JUEVES!R138))*(1+JUEVES!S138/30)),1),""))</f>
        <v/>
      </c>
      <c r="L356" s="52">
        <f>IFERROR(JUEVES!E138,"")</f>
        <v>80</v>
      </c>
      <c r="M356" s="53" t="str">
        <f>IFERROR(IF(K356="","-",IF(ISNUMBER(LOOKUP(2,1/((HISTORIAL!$O$3:$O$355=O356)*(HISTORIAL!$F$3:$F$355&lt;&gt;"")),HISTORIAL!$K$3:$K$355)),IF(K356&gt;LOOKUP(2,1/((HISTORIAL!$O$3:$O$355=O356)*(HISTORIAL!$F$3:$F$355&lt;&gt;"")),HISTORIAL!$K$3:$K$355),"^",IF(K356&lt;LOOKUP(2,1/((HISTORIAL!$O$3:$O$355=O356)*(HISTORIAL!$F$3:$F$355&lt;&gt;"")),HISTORIAL!$K$3:$K$355),"v","-")),"-")),"-")</f>
        <v>-</v>
      </c>
      <c r="N356" s="54" t="str">
        <f>IFERROR(VLOOKUP(A356,CONFIG!$A$10:$B$21,2,0),"")</f>
        <v>FUE</v>
      </c>
      <c r="O356" s="55" t="str">
        <f t="shared" si="11"/>
        <v>Elevaciones Laterales|Drop Set Maquina</v>
      </c>
      <c r="P356" s="69" t="str">
        <f>JUEVES!AC138</f>
        <v/>
      </c>
    </row>
    <row r="357" spans="1:16" ht="14.1" customHeight="1">
      <c r="A357" s="37">
        <v>6</v>
      </c>
      <c r="B357" s="37" t="s">
        <v>280</v>
      </c>
      <c r="C357" s="44" t="str">
        <f>JUEVES!$A$140</f>
        <v>Pajaro</v>
      </c>
      <c r="D357" s="45" t="str">
        <f>JUEVES!$B$140</f>
        <v>Elevacion Posterior</v>
      </c>
      <c r="E357" s="37" t="str">
        <f>JUEVES!$C$140</f>
        <v>mancuerna</v>
      </c>
      <c r="F357" s="46" t="str">
        <f>IF(P357="","",IFERROR(CHOOSE(VALUE(RIGHT(P357,1)),JUEVES!F140,JUEVES!I140,JUEVES!L140,JUEVES!O140,JUEVES!R140),""))</f>
        <v/>
      </c>
      <c r="G357" s="47" t="str">
        <f>IF(P357="","",IFERROR(CHOOSE(VALUE(RIGHT(P357,1)),JUEVES!G140,JUEVES!J140,JUEVES!M140,JUEVES!P140,JUEVES!S140),""))</f>
        <v/>
      </c>
      <c r="H357" s="48" t="str">
        <f>IF(P357="","",IFERROR(CHOOSE(VALUE(RIGHT(P357,1)),JUEVES!H140,JUEVES!K140,JUEVES!N140,JUEVES!Q140,JUEVES!T140),""))</f>
        <v/>
      </c>
      <c r="I357" s="49" t="str">
        <f t="shared" si="10"/>
        <v/>
      </c>
      <c r="J357" s="50" t="str">
        <f>IF(P357="","",IFERROR(ROUND(CHOOSE(VALUE(RIGHT(P357,1)),IF(JUEVES!C140="peso_corporal",IF(ISNUMBER(JUEVES!E140),JUEVES!E140,0)+JUEVES!F140,JUEVES!F140)*JUEVES!G140,IF(JUEVES!C140="peso_corporal",IF(ISNUMBER(JUEVES!E140),JUEVES!E140,0)+JUEVES!I140,JUEVES!I140)*JUEVES!J140,IF(JUEVES!C140="peso_corporal",IF(ISNUMBER(JUEVES!E140),JUEVES!E140,0)+JUEVES!L140,JUEVES!L140)*JUEVES!M140,IF(JUEVES!C140="peso_corporal",IF(ISNUMBER(JUEVES!E140),JUEVES!E140,0)+JUEVES!O140,JUEVES!O140)*JUEVES!P140,IF(JUEVES!C140="peso_corporal",IF(ISNUMBER(JUEVES!E140),JUEVES!E140,0)+JUEVES!R140,JUEVES!R140)*JUEVES!S140),1),""))</f>
        <v/>
      </c>
      <c r="K357" s="51" t="str">
        <f>IF(P357="","",IFERROR(ROUND(CHOOSE(VALUE(RIGHT(P357,1)),(IF(JUEVES!C140="peso_corporal",IF(ISNUMBER(JUEVES!E140),JUEVES!E140,0)+JUEVES!F140,JUEVES!F140))*(1+JUEVES!G140/30),(IF(JUEVES!C140="peso_corporal",IF(ISNUMBER(JUEVES!E140),JUEVES!E140,0)+JUEVES!I140,JUEVES!I140))*(1+JUEVES!J140/30),(IF(JUEVES!C140="peso_corporal",IF(ISNUMBER(JUEVES!E140),JUEVES!E140,0)+JUEVES!L140,JUEVES!L140))*(1+JUEVES!M140/30),(IF(JUEVES!C140="peso_corporal",IF(ISNUMBER(JUEVES!E140),JUEVES!E140,0)+JUEVES!O140,JUEVES!O140))*(1+JUEVES!P140/30),(IF(JUEVES!C140="peso_corporal",IF(ISNUMBER(JUEVES!E140),JUEVES!E140,0)+JUEVES!R140,JUEVES!R140))*(1+JUEVES!S140/30)),1),""))</f>
        <v/>
      </c>
      <c r="L357" s="52">
        <f>IFERROR(JUEVES!E140,"")</f>
        <v>80</v>
      </c>
      <c r="M357" s="53" t="str">
        <f>IFERROR(IF(K357="","-",IF(ISNUMBER(LOOKUP(2,1/((HISTORIAL!$O$3:$O$356=O357)*(HISTORIAL!$F$3:$F$356&lt;&gt;"")),HISTORIAL!$K$3:$K$356)),IF(K357&gt;LOOKUP(2,1/((HISTORIAL!$O$3:$O$356=O357)*(HISTORIAL!$F$3:$F$356&lt;&gt;"")),HISTORIAL!$K$3:$K$356),"^",IF(K357&lt;LOOKUP(2,1/((HISTORIAL!$O$3:$O$356=O357)*(HISTORIAL!$F$3:$F$356&lt;&gt;"")),HISTORIAL!$K$3:$K$356),"v","-")),"-")),"-")</f>
        <v>-</v>
      </c>
      <c r="N357" s="54" t="str">
        <f>IFERROR(VLOOKUP(A357,CONFIG!$A$10:$B$21,2,0),"")</f>
        <v>FUE</v>
      </c>
      <c r="O357" s="55" t="str">
        <f t="shared" si="11"/>
        <v>Pajaro|Elevacion Posterior</v>
      </c>
      <c r="P357" s="69" t="str">
        <f>JUEVES!AC140</f>
        <v/>
      </c>
    </row>
    <row r="358" spans="1:16" ht="14.1" customHeight="1">
      <c r="A358" s="37">
        <v>6</v>
      </c>
      <c r="B358" s="37" t="s">
        <v>280</v>
      </c>
      <c r="C358" s="44" t="str">
        <f>JUEVES!$A$141</f>
        <v>Peck Deck Invertida</v>
      </c>
      <c r="D358" s="45" t="str">
        <f>JUEVES!$B$141</f>
        <v>Maquina</v>
      </c>
      <c r="E358" s="37" t="str">
        <f>JUEVES!$C$141</f>
        <v>polea</v>
      </c>
      <c r="F358" s="46" t="str">
        <f>IF(P358="","",IFERROR(CHOOSE(VALUE(RIGHT(P358,1)),JUEVES!F141,JUEVES!I141,JUEVES!L141,JUEVES!O141,JUEVES!R141),""))</f>
        <v/>
      </c>
      <c r="G358" s="47" t="str">
        <f>IF(P358="","",IFERROR(CHOOSE(VALUE(RIGHT(P358,1)),JUEVES!G141,JUEVES!J141,JUEVES!M141,JUEVES!P141,JUEVES!S141),""))</f>
        <v/>
      </c>
      <c r="H358" s="48" t="str">
        <f>IF(P358="","",IFERROR(CHOOSE(VALUE(RIGHT(P358,1)),JUEVES!H141,JUEVES!K141,JUEVES!N141,JUEVES!Q141,JUEVES!T141),""))</f>
        <v/>
      </c>
      <c r="I358" s="49" t="str">
        <f t="shared" si="10"/>
        <v/>
      </c>
      <c r="J358" s="50" t="str">
        <f>IF(P358="","",IFERROR(ROUND(CHOOSE(VALUE(RIGHT(P358,1)),IF(JUEVES!C141="peso_corporal",IF(ISNUMBER(JUEVES!E141),JUEVES!E141,0)+JUEVES!F141,JUEVES!F141)*JUEVES!G141,IF(JUEVES!C141="peso_corporal",IF(ISNUMBER(JUEVES!E141),JUEVES!E141,0)+JUEVES!I141,JUEVES!I141)*JUEVES!J141,IF(JUEVES!C141="peso_corporal",IF(ISNUMBER(JUEVES!E141),JUEVES!E141,0)+JUEVES!L141,JUEVES!L141)*JUEVES!M141,IF(JUEVES!C141="peso_corporal",IF(ISNUMBER(JUEVES!E141),JUEVES!E141,0)+JUEVES!O141,JUEVES!O141)*JUEVES!P141,IF(JUEVES!C141="peso_corporal",IF(ISNUMBER(JUEVES!E141),JUEVES!E141,0)+JUEVES!R141,JUEVES!R141)*JUEVES!S141),1),""))</f>
        <v/>
      </c>
      <c r="K358" s="51" t="str">
        <f>IF(P358="","",IFERROR(ROUND(CHOOSE(VALUE(RIGHT(P358,1)),(IF(JUEVES!C141="peso_corporal",IF(ISNUMBER(JUEVES!E141),JUEVES!E141,0)+JUEVES!F141,JUEVES!F141))*(1+JUEVES!G141/30),(IF(JUEVES!C141="peso_corporal",IF(ISNUMBER(JUEVES!E141),JUEVES!E141,0)+JUEVES!I141,JUEVES!I141))*(1+JUEVES!J141/30),(IF(JUEVES!C141="peso_corporal",IF(ISNUMBER(JUEVES!E141),JUEVES!E141,0)+JUEVES!L141,JUEVES!L141))*(1+JUEVES!M141/30),(IF(JUEVES!C141="peso_corporal",IF(ISNUMBER(JUEVES!E141),JUEVES!E141,0)+JUEVES!O141,JUEVES!O141))*(1+JUEVES!P141/30),(IF(JUEVES!C141="peso_corporal",IF(ISNUMBER(JUEVES!E141),JUEVES!E141,0)+JUEVES!R141,JUEVES!R141))*(1+JUEVES!S141/30)),1),""))</f>
        <v/>
      </c>
      <c r="L358" s="52">
        <f>IFERROR(JUEVES!E141,"")</f>
        <v>80</v>
      </c>
      <c r="M358" s="53" t="str">
        <f>IFERROR(IF(K358="","-",IF(ISNUMBER(LOOKUP(2,1/((HISTORIAL!$O$3:$O$357=O358)*(HISTORIAL!$F$3:$F$357&lt;&gt;"")),HISTORIAL!$K$3:$K$357)),IF(K358&gt;LOOKUP(2,1/((HISTORIAL!$O$3:$O$357=O358)*(HISTORIAL!$F$3:$F$357&lt;&gt;"")),HISTORIAL!$K$3:$K$357),"^",IF(K358&lt;LOOKUP(2,1/((HISTORIAL!$O$3:$O$357=O358)*(HISTORIAL!$F$3:$F$357&lt;&gt;"")),HISTORIAL!$K$3:$K$357),"v","-")),"-")),"-")</f>
        <v>-</v>
      </c>
      <c r="N358" s="54" t="str">
        <f>IFERROR(VLOOKUP(A358,CONFIG!$A$10:$B$21,2,0),"")</f>
        <v>FUE</v>
      </c>
      <c r="O358" s="55" t="str">
        <f t="shared" si="11"/>
        <v>Peck Deck Invertida|Maquina</v>
      </c>
      <c r="P358" s="69" t="str">
        <f>JUEVES!AC141</f>
        <v/>
      </c>
    </row>
    <row r="359" spans="1:16" ht="14.1" customHeight="1">
      <c r="A359" s="37">
        <v>6</v>
      </c>
      <c r="B359" s="37" t="s">
        <v>280</v>
      </c>
      <c r="C359" s="44" t="str">
        <f>JUEVES!$A$142</f>
        <v>Elevaciones Posteriores</v>
      </c>
      <c r="D359" s="45" t="str">
        <f>JUEVES!$B$142</f>
        <v>Polea Individual</v>
      </c>
      <c r="E359" s="37" t="str">
        <f>JUEVES!$C$142</f>
        <v>polea</v>
      </c>
      <c r="F359" s="46" t="str">
        <f>IF(P359="","",IFERROR(CHOOSE(VALUE(RIGHT(P359,1)),JUEVES!F142,JUEVES!I142,JUEVES!L142,JUEVES!O142,JUEVES!R142),""))</f>
        <v/>
      </c>
      <c r="G359" s="47" t="str">
        <f>IF(P359="","",IFERROR(CHOOSE(VALUE(RIGHT(P359,1)),JUEVES!G142,JUEVES!J142,JUEVES!M142,JUEVES!P142,JUEVES!S142),""))</f>
        <v/>
      </c>
      <c r="H359" s="48" t="str">
        <f>IF(P359="","",IFERROR(CHOOSE(VALUE(RIGHT(P359,1)),JUEVES!H142,JUEVES!K142,JUEVES!N142,JUEVES!Q142,JUEVES!T142),""))</f>
        <v/>
      </c>
      <c r="I359" s="49" t="str">
        <f t="shared" si="10"/>
        <v/>
      </c>
      <c r="J359" s="50" t="str">
        <f>IF(P359="","",IFERROR(ROUND(CHOOSE(VALUE(RIGHT(P359,1)),IF(JUEVES!C142="peso_corporal",IF(ISNUMBER(JUEVES!E142),JUEVES!E142,0)+JUEVES!F142,JUEVES!F142)*JUEVES!G142,IF(JUEVES!C142="peso_corporal",IF(ISNUMBER(JUEVES!E142),JUEVES!E142,0)+JUEVES!I142,JUEVES!I142)*JUEVES!J142,IF(JUEVES!C142="peso_corporal",IF(ISNUMBER(JUEVES!E142),JUEVES!E142,0)+JUEVES!L142,JUEVES!L142)*JUEVES!M142,IF(JUEVES!C142="peso_corporal",IF(ISNUMBER(JUEVES!E142),JUEVES!E142,0)+JUEVES!O142,JUEVES!O142)*JUEVES!P142,IF(JUEVES!C142="peso_corporal",IF(ISNUMBER(JUEVES!E142),JUEVES!E142,0)+JUEVES!R142,JUEVES!R142)*JUEVES!S142),1),""))</f>
        <v/>
      </c>
      <c r="K359" s="51" t="str">
        <f>IF(P359="","",IFERROR(ROUND(CHOOSE(VALUE(RIGHT(P359,1)),(IF(JUEVES!C142="peso_corporal",IF(ISNUMBER(JUEVES!E142),JUEVES!E142,0)+JUEVES!F142,JUEVES!F142))*(1+JUEVES!G142/30),(IF(JUEVES!C142="peso_corporal",IF(ISNUMBER(JUEVES!E142),JUEVES!E142,0)+JUEVES!I142,JUEVES!I142))*(1+JUEVES!J142/30),(IF(JUEVES!C142="peso_corporal",IF(ISNUMBER(JUEVES!E142),JUEVES!E142,0)+JUEVES!L142,JUEVES!L142))*(1+JUEVES!M142/30),(IF(JUEVES!C142="peso_corporal",IF(ISNUMBER(JUEVES!E142),JUEVES!E142,0)+JUEVES!O142,JUEVES!O142))*(1+JUEVES!P142/30),(IF(JUEVES!C142="peso_corporal",IF(ISNUMBER(JUEVES!E142),JUEVES!E142,0)+JUEVES!R142,JUEVES!R142))*(1+JUEVES!S142/30)),1),""))</f>
        <v/>
      </c>
      <c r="L359" s="52">
        <f>IFERROR(JUEVES!E142,"")</f>
        <v>80</v>
      </c>
      <c r="M359" s="53" t="str">
        <f>IFERROR(IF(K359="","-",IF(ISNUMBER(LOOKUP(2,1/((HISTORIAL!$O$3:$O$358=O359)*(HISTORIAL!$F$3:$F$358&lt;&gt;"")),HISTORIAL!$K$3:$K$358)),IF(K359&gt;LOOKUP(2,1/((HISTORIAL!$O$3:$O$358=O359)*(HISTORIAL!$F$3:$F$358&lt;&gt;"")),HISTORIAL!$K$3:$K$358),"^",IF(K359&lt;LOOKUP(2,1/((HISTORIAL!$O$3:$O$358=O359)*(HISTORIAL!$F$3:$F$358&lt;&gt;"")),HISTORIAL!$K$3:$K$358),"v","-")),"-")),"-")</f>
        <v>-</v>
      </c>
      <c r="N359" s="54" t="str">
        <f>IFERROR(VLOOKUP(A359,CONFIG!$A$10:$B$21,2,0),"")</f>
        <v>FUE</v>
      </c>
      <c r="O359" s="55" t="str">
        <f t="shared" si="11"/>
        <v>Elevaciones Posteriores|Polea Individual</v>
      </c>
      <c r="P359" s="69" t="str">
        <f>JUEVES!AC142</f>
        <v/>
      </c>
    </row>
    <row r="360" spans="1:16" ht="14.1" customHeight="1">
      <c r="A360" s="37">
        <v>6</v>
      </c>
      <c r="B360" s="37" t="s">
        <v>280</v>
      </c>
      <c r="C360" s="44" t="str">
        <f>JUEVES!$A$145</f>
        <v>Press Plano</v>
      </c>
      <c r="D360" s="45" t="str">
        <f>JUEVES!$B$145</f>
        <v>Mancuernas</v>
      </c>
      <c r="E360" s="37" t="str">
        <f>JUEVES!$C$145</f>
        <v>mancuerna</v>
      </c>
      <c r="F360" s="46" t="str">
        <f>IF(P360="","",IFERROR(CHOOSE(VALUE(RIGHT(P360,1)),JUEVES!F145,JUEVES!I145,JUEVES!L145,JUEVES!O145,JUEVES!R145),""))</f>
        <v/>
      </c>
      <c r="G360" s="47" t="str">
        <f>IF(P360="","",IFERROR(CHOOSE(VALUE(RIGHT(P360,1)),JUEVES!G145,JUEVES!J145,JUEVES!M145,JUEVES!P145,JUEVES!S145),""))</f>
        <v/>
      </c>
      <c r="H360" s="48" t="str">
        <f>IF(P360="","",IFERROR(CHOOSE(VALUE(RIGHT(P360,1)),JUEVES!H145,JUEVES!K145,JUEVES!N145,JUEVES!Q145,JUEVES!T145),""))</f>
        <v/>
      </c>
      <c r="I360" s="49" t="str">
        <f t="shared" si="10"/>
        <v/>
      </c>
      <c r="J360" s="50" t="str">
        <f>IF(P360="","",IFERROR(ROUND(CHOOSE(VALUE(RIGHT(P360,1)),IF(JUEVES!C145="peso_corporal",IF(ISNUMBER(JUEVES!E145),JUEVES!E145,0)+JUEVES!F145,JUEVES!F145)*JUEVES!G145,IF(JUEVES!C145="peso_corporal",IF(ISNUMBER(JUEVES!E145),JUEVES!E145,0)+JUEVES!I145,JUEVES!I145)*JUEVES!J145,IF(JUEVES!C145="peso_corporal",IF(ISNUMBER(JUEVES!E145),JUEVES!E145,0)+JUEVES!L145,JUEVES!L145)*JUEVES!M145,IF(JUEVES!C145="peso_corporal",IF(ISNUMBER(JUEVES!E145),JUEVES!E145,0)+JUEVES!O145,JUEVES!O145)*JUEVES!P145,IF(JUEVES!C145="peso_corporal",IF(ISNUMBER(JUEVES!E145),JUEVES!E145,0)+JUEVES!R145,JUEVES!R145)*JUEVES!S145),1),""))</f>
        <v/>
      </c>
      <c r="K360" s="51" t="str">
        <f>IF(P360="","",IFERROR(ROUND(CHOOSE(VALUE(RIGHT(P360,1)),(IF(JUEVES!C145="peso_corporal",IF(ISNUMBER(JUEVES!E145),JUEVES!E145,0)+JUEVES!F145,JUEVES!F145))*(1+JUEVES!G145/30),(IF(JUEVES!C145="peso_corporal",IF(ISNUMBER(JUEVES!E145),JUEVES!E145,0)+JUEVES!I145,JUEVES!I145))*(1+JUEVES!J145/30),(IF(JUEVES!C145="peso_corporal",IF(ISNUMBER(JUEVES!E145),JUEVES!E145,0)+JUEVES!L145,JUEVES!L145))*(1+JUEVES!M145/30),(IF(JUEVES!C145="peso_corporal",IF(ISNUMBER(JUEVES!E145),JUEVES!E145,0)+JUEVES!O145,JUEVES!O145))*(1+JUEVES!P145/30),(IF(JUEVES!C145="peso_corporal",IF(ISNUMBER(JUEVES!E145),JUEVES!E145,0)+JUEVES!R145,JUEVES!R145))*(1+JUEVES!S145/30)),1),""))</f>
        <v/>
      </c>
      <c r="L360" s="52">
        <f>IFERROR(JUEVES!E145,"")</f>
        <v>80</v>
      </c>
      <c r="M360" s="53" t="str">
        <f>IFERROR(IF(K360="","-",IF(ISNUMBER(LOOKUP(2,1/((HISTORIAL!$O$3:$O$359=O360)*(HISTORIAL!$F$3:$F$359&lt;&gt;"")),HISTORIAL!$K$3:$K$359)),IF(K360&gt;LOOKUP(2,1/((HISTORIAL!$O$3:$O$359=O360)*(HISTORIAL!$F$3:$F$359&lt;&gt;"")),HISTORIAL!$K$3:$K$359),"^",IF(K360&lt;LOOKUP(2,1/((HISTORIAL!$O$3:$O$359=O360)*(HISTORIAL!$F$3:$F$359&lt;&gt;"")),HISTORIAL!$K$3:$K$359),"v","-")),"-")),"-")</f>
        <v>-</v>
      </c>
      <c r="N360" s="54" t="str">
        <f>IFERROR(VLOOKUP(A360,CONFIG!$A$10:$B$21,2,0),"")</f>
        <v>FUE</v>
      </c>
      <c r="O360" s="55" t="str">
        <f t="shared" si="11"/>
        <v>Press Plano|Mancuernas</v>
      </c>
      <c r="P360" s="69" t="str">
        <f>JUEVES!AC145</f>
        <v/>
      </c>
    </row>
    <row r="361" spans="1:16" ht="14.1" customHeight="1">
      <c r="A361" s="37">
        <v>6</v>
      </c>
      <c r="B361" s="37" t="s">
        <v>280</v>
      </c>
      <c r="C361" s="44" t="str">
        <f>JUEVES!$A$147</f>
        <v>Press Inclinado</v>
      </c>
      <c r="D361" s="45" t="str">
        <f>JUEVES!$B$147</f>
        <v>Multipower</v>
      </c>
      <c r="E361" s="37" t="str">
        <f>JUEVES!$C$147</f>
        <v>disco</v>
      </c>
      <c r="F361" s="46" t="str">
        <f>IF(P361="","",IFERROR(CHOOSE(VALUE(RIGHT(P361,1)),JUEVES!F147,JUEVES!I147,JUEVES!L147,JUEVES!O147,JUEVES!R147),""))</f>
        <v/>
      </c>
      <c r="G361" s="47" t="str">
        <f>IF(P361="","",IFERROR(CHOOSE(VALUE(RIGHT(P361,1)),JUEVES!G147,JUEVES!J147,JUEVES!M147,JUEVES!P147,JUEVES!S147),""))</f>
        <v/>
      </c>
      <c r="H361" s="48" t="str">
        <f>IF(P361="","",IFERROR(CHOOSE(VALUE(RIGHT(P361,1)),JUEVES!H147,JUEVES!K147,JUEVES!N147,JUEVES!Q147,JUEVES!T147),""))</f>
        <v/>
      </c>
      <c r="I361" s="49" t="str">
        <f t="shared" si="10"/>
        <v/>
      </c>
      <c r="J361" s="50" t="str">
        <f>IF(P361="","",IFERROR(ROUND(CHOOSE(VALUE(RIGHT(P361,1)),IF(JUEVES!C147="peso_corporal",IF(ISNUMBER(JUEVES!E147),JUEVES!E147,0)+JUEVES!F147,JUEVES!F147)*JUEVES!G147,IF(JUEVES!C147="peso_corporal",IF(ISNUMBER(JUEVES!E147),JUEVES!E147,0)+JUEVES!I147,JUEVES!I147)*JUEVES!J147,IF(JUEVES!C147="peso_corporal",IF(ISNUMBER(JUEVES!E147),JUEVES!E147,0)+JUEVES!L147,JUEVES!L147)*JUEVES!M147,IF(JUEVES!C147="peso_corporal",IF(ISNUMBER(JUEVES!E147),JUEVES!E147,0)+JUEVES!O147,JUEVES!O147)*JUEVES!P147,IF(JUEVES!C147="peso_corporal",IF(ISNUMBER(JUEVES!E147),JUEVES!E147,0)+JUEVES!R147,JUEVES!R147)*JUEVES!S147),1),""))</f>
        <v/>
      </c>
      <c r="K361" s="51" t="str">
        <f>IF(P361="","",IFERROR(ROUND(CHOOSE(VALUE(RIGHT(P361,1)),(IF(JUEVES!C147="peso_corporal",IF(ISNUMBER(JUEVES!E147),JUEVES!E147,0)+JUEVES!F147,JUEVES!F147))*(1+JUEVES!G147/30),(IF(JUEVES!C147="peso_corporal",IF(ISNUMBER(JUEVES!E147),JUEVES!E147,0)+JUEVES!I147,JUEVES!I147))*(1+JUEVES!J147/30),(IF(JUEVES!C147="peso_corporal",IF(ISNUMBER(JUEVES!E147),JUEVES!E147,0)+JUEVES!L147,JUEVES!L147))*(1+JUEVES!M147/30),(IF(JUEVES!C147="peso_corporal",IF(ISNUMBER(JUEVES!E147),JUEVES!E147,0)+JUEVES!O147,JUEVES!O147))*(1+JUEVES!P147/30),(IF(JUEVES!C147="peso_corporal",IF(ISNUMBER(JUEVES!E147),JUEVES!E147,0)+JUEVES!R147,JUEVES!R147))*(1+JUEVES!S147/30)),1),""))</f>
        <v/>
      </c>
      <c r="L361" s="52">
        <f>IFERROR(JUEVES!E147,"")</f>
        <v>80</v>
      </c>
      <c r="M361" s="53" t="str">
        <f>IFERROR(IF(K361="","-",IF(ISNUMBER(LOOKUP(2,1/((HISTORIAL!$O$3:$O$360=O361)*(HISTORIAL!$F$3:$F$360&lt;&gt;"")),HISTORIAL!$K$3:$K$360)),IF(K361&gt;LOOKUP(2,1/((HISTORIAL!$O$3:$O$360=O361)*(HISTORIAL!$F$3:$F$360&lt;&gt;"")),HISTORIAL!$K$3:$K$360),"^",IF(K361&lt;LOOKUP(2,1/((HISTORIAL!$O$3:$O$360=O361)*(HISTORIAL!$F$3:$F$360&lt;&gt;"")),HISTORIAL!$K$3:$K$360),"v","-")),"-")),"-")</f>
        <v>-</v>
      </c>
      <c r="N361" s="54" t="str">
        <f>IFERROR(VLOOKUP(A361,CONFIG!$A$10:$B$21,2,0),"")</f>
        <v>FUE</v>
      </c>
      <c r="O361" s="55" t="str">
        <f t="shared" si="11"/>
        <v>Press Inclinado|Multipower</v>
      </c>
      <c r="P361" s="69" t="str">
        <f>JUEVES!AC147</f>
        <v/>
      </c>
    </row>
    <row r="362" spans="1:16" ht="14.1" customHeight="1">
      <c r="A362" s="37">
        <v>6</v>
      </c>
      <c r="B362" s="37" t="s">
        <v>280</v>
      </c>
      <c r="C362" s="44" t="str">
        <f>JUEVES!$A$149</f>
        <v>Aperturas</v>
      </c>
      <c r="D362" s="45" t="str">
        <f>JUEVES!$B$149</f>
        <v>Pec Deck Maquina</v>
      </c>
      <c r="E362" s="37" t="str">
        <f>JUEVES!$C$149</f>
        <v>--</v>
      </c>
      <c r="F362" s="46" t="str">
        <f>IF(P362="","",IFERROR(CHOOSE(VALUE(RIGHT(P362,1)),JUEVES!F149,JUEVES!I149,JUEVES!L149,JUEVES!O149,JUEVES!R149),""))</f>
        <v/>
      </c>
      <c r="G362" s="47" t="str">
        <f>IF(P362="","",IFERROR(CHOOSE(VALUE(RIGHT(P362,1)),JUEVES!G149,JUEVES!J149,JUEVES!M149,JUEVES!P149,JUEVES!S149),""))</f>
        <v/>
      </c>
      <c r="H362" s="48" t="str">
        <f>IF(P362="","",IFERROR(CHOOSE(VALUE(RIGHT(P362,1)),JUEVES!H149,JUEVES!K149,JUEVES!N149,JUEVES!Q149,JUEVES!T149),""))</f>
        <v/>
      </c>
      <c r="I362" s="49" t="str">
        <f t="shared" si="10"/>
        <v/>
      </c>
      <c r="J362" s="50" t="str">
        <f>IF(P362="","",IFERROR(ROUND(CHOOSE(VALUE(RIGHT(P362,1)),IF(JUEVES!C149="peso_corporal",IF(ISNUMBER(JUEVES!E149),JUEVES!E149,0)+JUEVES!F149,JUEVES!F149)*JUEVES!G149,IF(JUEVES!C149="peso_corporal",IF(ISNUMBER(JUEVES!E149),JUEVES!E149,0)+JUEVES!I149,JUEVES!I149)*JUEVES!J149,IF(JUEVES!C149="peso_corporal",IF(ISNUMBER(JUEVES!E149),JUEVES!E149,0)+JUEVES!L149,JUEVES!L149)*JUEVES!M149,IF(JUEVES!C149="peso_corporal",IF(ISNUMBER(JUEVES!E149),JUEVES!E149,0)+JUEVES!O149,JUEVES!O149)*JUEVES!P149,IF(JUEVES!C149="peso_corporal",IF(ISNUMBER(JUEVES!E149),JUEVES!E149,0)+JUEVES!R149,JUEVES!R149)*JUEVES!S149),1),""))</f>
        <v/>
      </c>
      <c r="K362" s="51" t="str">
        <f>IF(P362="","",IFERROR(ROUND(CHOOSE(VALUE(RIGHT(P362,1)),(IF(JUEVES!C149="peso_corporal",IF(ISNUMBER(JUEVES!E149),JUEVES!E149,0)+JUEVES!F149,JUEVES!F149))*(1+JUEVES!G149/30),(IF(JUEVES!C149="peso_corporal",IF(ISNUMBER(JUEVES!E149),JUEVES!E149,0)+JUEVES!I149,JUEVES!I149))*(1+JUEVES!J149/30),(IF(JUEVES!C149="peso_corporal",IF(ISNUMBER(JUEVES!E149),JUEVES!E149,0)+JUEVES!L149,JUEVES!L149))*(1+JUEVES!M149/30),(IF(JUEVES!C149="peso_corporal",IF(ISNUMBER(JUEVES!E149),JUEVES!E149,0)+JUEVES!O149,JUEVES!O149))*(1+JUEVES!P149/30),(IF(JUEVES!C149="peso_corporal",IF(ISNUMBER(JUEVES!E149),JUEVES!E149,0)+JUEVES!R149,JUEVES!R149))*(1+JUEVES!S149/30)),1),""))</f>
        <v/>
      </c>
      <c r="L362" s="52">
        <f>IFERROR(JUEVES!E149,"")</f>
        <v>80</v>
      </c>
      <c r="M362" s="53" t="str">
        <f>IFERROR(IF(K362="","-",IF(ISNUMBER(LOOKUP(2,1/((HISTORIAL!$O$3:$O$361=O362)*(HISTORIAL!$F$3:$F$361&lt;&gt;"")),HISTORIAL!$K$3:$K$361)),IF(K362&gt;LOOKUP(2,1/((HISTORIAL!$O$3:$O$361=O362)*(HISTORIAL!$F$3:$F$361&lt;&gt;"")),HISTORIAL!$K$3:$K$361),"^",IF(K362&lt;LOOKUP(2,1/((HISTORIAL!$O$3:$O$361=O362)*(HISTORIAL!$F$3:$F$361&lt;&gt;"")),HISTORIAL!$K$3:$K$361),"v","-")),"-")),"-")</f>
        <v>-</v>
      </c>
      <c r="N362" s="54" t="str">
        <f>IFERROR(VLOOKUP(A362,CONFIG!$A$10:$B$21,2,0),"")</f>
        <v>FUE</v>
      </c>
      <c r="O362" s="55" t="str">
        <f t="shared" si="11"/>
        <v>Aperturas|Pec Deck Maquina</v>
      </c>
      <c r="P362" s="69" t="str">
        <f>JUEVES!AC149</f>
        <v/>
      </c>
    </row>
    <row r="363" spans="1:16" ht="14.1" customHeight="1">
      <c r="A363" s="37">
        <v>6</v>
      </c>
      <c r="B363" s="37" t="s">
        <v>280</v>
      </c>
      <c r="C363" s="44" t="str">
        <f>JUEVES!$A$151</f>
        <v>Press Polea</v>
      </c>
      <c r="D363" s="45" t="str">
        <f>JUEVES!$B$151</f>
        <v>Barra Recta Diagonal Arriba</v>
      </c>
      <c r="E363" s="37" t="str">
        <f>JUEVES!$C$151</f>
        <v>polea</v>
      </c>
      <c r="F363" s="46" t="str">
        <f>IF(P363="","",IFERROR(CHOOSE(VALUE(RIGHT(P363,1)),JUEVES!F151,JUEVES!I151,JUEVES!L151,JUEVES!O151,JUEVES!R151),""))</f>
        <v/>
      </c>
      <c r="G363" s="47" t="str">
        <f>IF(P363="","",IFERROR(CHOOSE(VALUE(RIGHT(P363,1)),JUEVES!G151,JUEVES!J151,JUEVES!M151,JUEVES!P151,JUEVES!S151),""))</f>
        <v/>
      </c>
      <c r="H363" s="48" t="str">
        <f>IF(P363="","",IFERROR(CHOOSE(VALUE(RIGHT(P363,1)),JUEVES!H151,JUEVES!K151,JUEVES!N151,JUEVES!Q151,JUEVES!T151),""))</f>
        <v/>
      </c>
      <c r="I363" s="49" t="str">
        <f t="shared" si="10"/>
        <v/>
      </c>
      <c r="J363" s="50" t="str">
        <f>IF(P363="","",IFERROR(ROUND(CHOOSE(VALUE(RIGHT(P363,1)),IF(JUEVES!C151="peso_corporal",IF(ISNUMBER(JUEVES!E151),JUEVES!E151,0)+JUEVES!F151,JUEVES!F151)*JUEVES!G151,IF(JUEVES!C151="peso_corporal",IF(ISNUMBER(JUEVES!E151),JUEVES!E151,0)+JUEVES!I151,JUEVES!I151)*JUEVES!J151,IF(JUEVES!C151="peso_corporal",IF(ISNUMBER(JUEVES!E151),JUEVES!E151,0)+JUEVES!L151,JUEVES!L151)*JUEVES!M151,IF(JUEVES!C151="peso_corporal",IF(ISNUMBER(JUEVES!E151),JUEVES!E151,0)+JUEVES!O151,JUEVES!O151)*JUEVES!P151,IF(JUEVES!C151="peso_corporal",IF(ISNUMBER(JUEVES!E151),JUEVES!E151,0)+JUEVES!R151,JUEVES!R151)*JUEVES!S151),1),""))</f>
        <v/>
      </c>
      <c r="K363" s="51" t="str">
        <f>IF(P363="","",IFERROR(ROUND(CHOOSE(VALUE(RIGHT(P363,1)),(IF(JUEVES!C151="peso_corporal",IF(ISNUMBER(JUEVES!E151),JUEVES!E151,0)+JUEVES!F151,JUEVES!F151))*(1+JUEVES!G151/30),(IF(JUEVES!C151="peso_corporal",IF(ISNUMBER(JUEVES!E151),JUEVES!E151,0)+JUEVES!I151,JUEVES!I151))*(1+JUEVES!J151/30),(IF(JUEVES!C151="peso_corporal",IF(ISNUMBER(JUEVES!E151),JUEVES!E151,0)+JUEVES!L151,JUEVES!L151))*(1+JUEVES!M151/30),(IF(JUEVES!C151="peso_corporal",IF(ISNUMBER(JUEVES!E151),JUEVES!E151,0)+JUEVES!O151,JUEVES!O151))*(1+JUEVES!P151/30),(IF(JUEVES!C151="peso_corporal",IF(ISNUMBER(JUEVES!E151),JUEVES!E151,0)+JUEVES!R151,JUEVES!R151))*(1+JUEVES!S151/30)),1),""))</f>
        <v/>
      </c>
      <c r="L363" s="52">
        <f>IFERROR(JUEVES!E151,"")</f>
        <v>80</v>
      </c>
      <c r="M363" s="53" t="str">
        <f>IFERROR(IF(K363="","-",IF(ISNUMBER(LOOKUP(2,1/((HISTORIAL!$O$3:$O$362=O363)*(HISTORIAL!$F$3:$F$362&lt;&gt;"")),HISTORIAL!$K$3:$K$362)),IF(K363&gt;LOOKUP(2,1/((HISTORIAL!$O$3:$O$362=O363)*(HISTORIAL!$F$3:$F$362&lt;&gt;"")),HISTORIAL!$K$3:$K$362),"^",IF(K363&lt;LOOKUP(2,1/((HISTORIAL!$O$3:$O$362=O363)*(HISTORIAL!$F$3:$F$362&lt;&gt;"")),HISTORIAL!$K$3:$K$362),"v","-")),"-")),"-")</f>
        <v>-</v>
      </c>
      <c r="N363" s="54" t="str">
        <f>IFERROR(VLOOKUP(A363,CONFIG!$A$10:$B$21,2,0),"")</f>
        <v>FUE</v>
      </c>
      <c r="O363" s="55" t="str">
        <f t="shared" si="11"/>
        <v>Press Polea|Barra Recta Diagonal Arriba</v>
      </c>
      <c r="P363" s="69" t="str">
        <f>JUEVES!AC151</f>
        <v/>
      </c>
    </row>
    <row r="364" spans="1:16" ht="14.1" customHeight="1">
      <c r="A364" s="37">
        <v>6</v>
      </c>
      <c r="B364" s="37" t="s">
        <v>280</v>
      </c>
      <c r="C364" s="44" t="str">
        <f>JUEVES!$A$152</f>
        <v>Extension Triceps</v>
      </c>
      <c r="D364" s="45" t="str">
        <f>JUEVES!$B$152</f>
        <v>Polea Sobre Cabeza</v>
      </c>
      <c r="E364" s="37" t="str">
        <f>JUEVES!$C$152</f>
        <v>--</v>
      </c>
      <c r="F364" s="46" t="str">
        <f>IF(P364="","",IFERROR(CHOOSE(VALUE(RIGHT(P364,1)),JUEVES!F152,JUEVES!I152,JUEVES!L152,JUEVES!O152,JUEVES!R152),""))</f>
        <v/>
      </c>
      <c r="G364" s="47" t="str">
        <f>IF(P364="","",IFERROR(CHOOSE(VALUE(RIGHT(P364,1)),JUEVES!G152,JUEVES!J152,JUEVES!M152,JUEVES!P152,JUEVES!S152),""))</f>
        <v/>
      </c>
      <c r="H364" s="48" t="str">
        <f>IF(P364="","",IFERROR(CHOOSE(VALUE(RIGHT(P364,1)),JUEVES!H152,JUEVES!K152,JUEVES!N152,JUEVES!Q152,JUEVES!T152),""))</f>
        <v/>
      </c>
      <c r="I364" s="49" t="str">
        <f t="shared" si="10"/>
        <v/>
      </c>
      <c r="J364" s="50" t="str">
        <f>IF(P364="","",IFERROR(ROUND(CHOOSE(VALUE(RIGHT(P364,1)),IF(JUEVES!C152="peso_corporal",IF(ISNUMBER(JUEVES!E152),JUEVES!E152,0)+JUEVES!F152,JUEVES!F152)*JUEVES!G152,IF(JUEVES!C152="peso_corporal",IF(ISNUMBER(JUEVES!E152),JUEVES!E152,0)+JUEVES!I152,JUEVES!I152)*JUEVES!J152,IF(JUEVES!C152="peso_corporal",IF(ISNUMBER(JUEVES!E152),JUEVES!E152,0)+JUEVES!L152,JUEVES!L152)*JUEVES!M152,IF(JUEVES!C152="peso_corporal",IF(ISNUMBER(JUEVES!E152),JUEVES!E152,0)+JUEVES!O152,JUEVES!O152)*JUEVES!P152,IF(JUEVES!C152="peso_corporal",IF(ISNUMBER(JUEVES!E152),JUEVES!E152,0)+JUEVES!R152,JUEVES!R152)*JUEVES!S152),1),""))</f>
        <v/>
      </c>
      <c r="K364" s="51" t="str">
        <f>IF(P364="","",IFERROR(ROUND(CHOOSE(VALUE(RIGHT(P364,1)),(IF(JUEVES!C152="peso_corporal",IF(ISNUMBER(JUEVES!E152),JUEVES!E152,0)+JUEVES!F152,JUEVES!F152))*(1+JUEVES!G152/30),(IF(JUEVES!C152="peso_corporal",IF(ISNUMBER(JUEVES!E152),JUEVES!E152,0)+JUEVES!I152,JUEVES!I152))*(1+JUEVES!J152/30),(IF(JUEVES!C152="peso_corporal",IF(ISNUMBER(JUEVES!E152),JUEVES!E152,0)+JUEVES!L152,JUEVES!L152))*(1+JUEVES!M152/30),(IF(JUEVES!C152="peso_corporal",IF(ISNUMBER(JUEVES!E152),JUEVES!E152,0)+JUEVES!O152,JUEVES!O152))*(1+JUEVES!P152/30),(IF(JUEVES!C152="peso_corporal",IF(ISNUMBER(JUEVES!E152),JUEVES!E152,0)+JUEVES!R152,JUEVES!R152))*(1+JUEVES!S152/30)),1),""))</f>
        <v/>
      </c>
      <c r="L364" s="52">
        <f>IFERROR(JUEVES!E152,"")</f>
        <v>80</v>
      </c>
      <c r="M364" s="53" t="str">
        <f>IFERROR(IF(K364="","-",IF(ISNUMBER(LOOKUP(2,1/((HISTORIAL!$O$3:$O$363=O364)*(HISTORIAL!$F$3:$F$363&lt;&gt;"")),HISTORIAL!$K$3:$K$363)),IF(K364&gt;LOOKUP(2,1/((HISTORIAL!$O$3:$O$363=O364)*(HISTORIAL!$F$3:$F$363&lt;&gt;"")),HISTORIAL!$K$3:$K$363),"^",IF(K364&lt;LOOKUP(2,1/((HISTORIAL!$O$3:$O$363=O364)*(HISTORIAL!$F$3:$F$363&lt;&gt;"")),HISTORIAL!$K$3:$K$363),"v","-")),"-")),"-")</f>
        <v>-</v>
      </c>
      <c r="N364" s="54" t="str">
        <f>IFERROR(VLOOKUP(A364,CONFIG!$A$10:$B$21,2,0),"")</f>
        <v>FUE</v>
      </c>
      <c r="O364" s="55" t="str">
        <f t="shared" si="11"/>
        <v>Extension Triceps|Polea Sobre Cabeza</v>
      </c>
      <c r="P364" s="69" t="str">
        <f>JUEVES!AC152</f>
        <v/>
      </c>
    </row>
    <row r="365" spans="1:16" ht="14.1" customHeight="1">
      <c r="A365" s="37">
        <v>6</v>
      </c>
      <c r="B365" s="37" t="s">
        <v>280</v>
      </c>
      <c r="C365" s="44" t="str">
        <f>JUEVES!$A$154</f>
        <v>Extension Cuadriceps</v>
      </c>
      <c r="D365" s="45" t="str">
        <f>JUEVES!$B$154</f>
        <v>Vasto Interno</v>
      </c>
      <c r="E365" s="37" t="str">
        <f>JUEVES!$C$154</f>
        <v>--</v>
      </c>
      <c r="F365" s="46" t="str">
        <f>IF(P365="","",IFERROR(CHOOSE(VALUE(RIGHT(P365,1)),JUEVES!F154,JUEVES!I154,JUEVES!L154,JUEVES!O154,JUEVES!R154),""))</f>
        <v/>
      </c>
      <c r="G365" s="47" t="str">
        <f>IF(P365="","",IFERROR(CHOOSE(VALUE(RIGHT(P365,1)),JUEVES!G154,JUEVES!J154,JUEVES!M154,JUEVES!P154,JUEVES!S154),""))</f>
        <v/>
      </c>
      <c r="H365" s="48" t="str">
        <f>IF(P365="","",IFERROR(CHOOSE(VALUE(RIGHT(P365,1)),JUEVES!H154,JUEVES!K154,JUEVES!N154,JUEVES!Q154,JUEVES!T154),""))</f>
        <v/>
      </c>
      <c r="I365" s="49" t="str">
        <f t="shared" si="10"/>
        <v/>
      </c>
      <c r="J365" s="50" t="str">
        <f>IF(P365="","",IFERROR(ROUND(CHOOSE(VALUE(RIGHT(P365,1)),IF(JUEVES!C154="peso_corporal",IF(ISNUMBER(JUEVES!E154),JUEVES!E154,0)+JUEVES!F154,JUEVES!F154)*JUEVES!G154,IF(JUEVES!C154="peso_corporal",IF(ISNUMBER(JUEVES!E154),JUEVES!E154,0)+JUEVES!I154,JUEVES!I154)*JUEVES!J154,IF(JUEVES!C154="peso_corporal",IF(ISNUMBER(JUEVES!E154),JUEVES!E154,0)+JUEVES!L154,JUEVES!L154)*JUEVES!M154,IF(JUEVES!C154="peso_corporal",IF(ISNUMBER(JUEVES!E154),JUEVES!E154,0)+JUEVES!O154,JUEVES!O154)*JUEVES!P154,IF(JUEVES!C154="peso_corporal",IF(ISNUMBER(JUEVES!E154),JUEVES!E154,0)+JUEVES!R154,JUEVES!R154)*JUEVES!S154),1),""))</f>
        <v/>
      </c>
      <c r="K365" s="51" t="str">
        <f>IF(P365="","",IFERROR(ROUND(CHOOSE(VALUE(RIGHT(P365,1)),(IF(JUEVES!C154="peso_corporal",IF(ISNUMBER(JUEVES!E154),JUEVES!E154,0)+JUEVES!F154,JUEVES!F154))*(1+JUEVES!G154/30),(IF(JUEVES!C154="peso_corporal",IF(ISNUMBER(JUEVES!E154),JUEVES!E154,0)+JUEVES!I154,JUEVES!I154))*(1+JUEVES!J154/30),(IF(JUEVES!C154="peso_corporal",IF(ISNUMBER(JUEVES!E154),JUEVES!E154,0)+JUEVES!L154,JUEVES!L154))*(1+JUEVES!M154/30),(IF(JUEVES!C154="peso_corporal",IF(ISNUMBER(JUEVES!E154),JUEVES!E154,0)+JUEVES!O154,JUEVES!O154))*(1+JUEVES!P154/30),(IF(JUEVES!C154="peso_corporal",IF(ISNUMBER(JUEVES!E154),JUEVES!E154,0)+JUEVES!R154,JUEVES!R154))*(1+JUEVES!S154/30)),1),""))</f>
        <v/>
      </c>
      <c r="L365" s="52">
        <f>IFERROR(JUEVES!E154,"")</f>
        <v>80</v>
      </c>
      <c r="M365" s="53" t="str">
        <f>IFERROR(IF(K365="","-",IF(ISNUMBER(LOOKUP(2,1/((HISTORIAL!$O$3:$O$364=O365)*(HISTORIAL!$F$3:$F$364&lt;&gt;"")),HISTORIAL!$K$3:$K$364)),IF(K365&gt;LOOKUP(2,1/((HISTORIAL!$O$3:$O$364=O365)*(HISTORIAL!$F$3:$F$364&lt;&gt;"")),HISTORIAL!$K$3:$K$364),"^",IF(K365&lt;LOOKUP(2,1/((HISTORIAL!$O$3:$O$364=O365)*(HISTORIAL!$F$3:$F$364&lt;&gt;"")),HISTORIAL!$K$3:$K$364),"v","-")),"-")),"-")</f>
        <v>-</v>
      </c>
      <c r="N365" s="54" t="str">
        <f>IFERROR(VLOOKUP(A365,CONFIG!$A$10:$B$21,2,0),"")</f>
        <v>FUE</v>
      </c>
      <c r="O365" s="55" t="str">
        <f t="shared" si="11"/>
        <v>Extension Cuadriceps|Vasto Interno</v>
      </c>
      <c r="P365" s="69" t="str">
        <f>JUEVES!AC154</f>
        <v/>
      </c>
    </row>
    <row r="366" spans="1:16" ht="14.1" customHeight="1">
      <c r="A366" s="37">
        <v>6</v>
      </c>
      <c r="B366" s="37" t="s">
        <v>280</v>
      </c>
      <c r="C366" s="44" t="str">
        <f>JUEVES!$A$156</f>
        <v>Curl Biceps</v>
      </c>
      <c r="D366" s="45" t="str">
        <f>JUEVES!$B$156</f>
        <v>Concentrado Maquina</v>
      </c>
      <c r="E366" s="37" t="str">
        <f>JUEVES!$C$156</f>
        <v>polea</v>
      </c>
      <c r="F366" s="46" t="str">
        <f>IF(P366="","",IFERROR(CHOOSE(VALUE(RIGHT(P366,1)),JUEVES!F156,JUEVES!I156,JUEVES!L156,JUEVES!O156,JUEVES!R156),""))</f>
        <v/>
      </c>
      <c r="G366" s="47" t="str">
        <f>IF(P366="","",IFERROR(CHOOSE(VALUE(RIGHT(P366,1)),JUEVES!G156,JUEVES!J156,JUEVES!M156,JUEVES!P156,JUEVES!S156),""))</f>
        <v/>
      </c>
      <c r="H366" s="48" t="str">
        <f>IF(P366="","",IFERROR(CHOOSE(VALUE(RIGHT(P366,1)),JUEVES!H156,JUEVES!K156,JUEVES!N156,JUEVES!Q156,JUEVES!T156),""))</f>
        <v/>
      </c>
      <c r="I366" s="49" t="str">
        <f t="shared" si="10"/>
        <v/>
      </c>
      <c r="J366" s="50" t="str">
        <f>IF(P366="","",IFERROR(ROUND(CHOOSE(VALUE(RIGHT(P366,1)),IF(JUEVES!C156="peso_corporal",IF(ISNUMBER(JUEVES!E156),JUEVES!E156,0)+JUEVES!F156,JUEVES!F156)*JUEVES!G156,IF(JUEVES!C156="peso_corporal",IF(ISNUMBER(JUEVES!E156),JUEVES!E156,0)+JUEVES!I156,JUEVES!I156)*JUEVES!J156,IF(JUEVES!C156="peso_corporal",IF(ISNUMBER(JUEVES!E156),JUEVES!E156,0)+JUEVES!L156,JUEVES!L156)*JUEVES!M156,IF(JUEVES!C156="peso_corporal",IF(ISNUMBER(JUEVES!E156),JUEVES!E156,0)+JUEVES!O156,JUEVES!O156)*JUEVES!P156,IF(JUEVES!C156="peso_corporal",IF(ISNUMBER(JUEVES!E156),JUEVES!E156,0)+JUEVES!R156,JUEVES!R156)*JUEVES!S156),1),""))</f>
        <v/>
      </c>
      <c r="K366" s="51" t="str">
        <f>IF(P366="","",IFERROR(ROUND(CHOOSE(VALUE(RIGHT(P366,1)),(IF(JUEVES!C156="peso_corporal",IF(ISNUMBER(JUEVES!E156),JUEVES!E156,0)+JUEVES!F156,JUEVES!F156))*(1+JUEVES!G156/30),(IF(JUEVES!C156="peso_corporal",IF(ISNUMBER(JUEVES!E156),JUEVES!E156,0)+JUEVES!I156,JUEVES!I156))*(1+JUEVES!J156/30),(IF(JUEVES!C156="peso_corporal",IF(ISNUMBER(JUEVES!E156),JUEVES!E156,0)+JUEVES!L156,JUEVES!L156))*(1+JUEVES!M156/30),(IF(JUEVES!C156="peso_corporal",IF(ISNUMBER(JUEVES!E156),JUEVES!E156,0)+JUEVES!O156,JUEVES!O156))*(1+JUEVES!P156/30),(IF(JUEVES!C156="peso_corporal",IF(ISNUMBER(JUEVES!E156),JUEVES!E156,0)+JUEVES!R156,JUEVES!R156))*(1+JUEVES!S156/30)),1),""))</f>
        <v/>
      </c>
      <c r="L366" s="52">
        <f>IFERROR(JUEVES!E156,"")</f>
        <v>80</v>
      </c>
      <c r="M366" s="53" t="str">
        <f>IFERROR(IF(K366="","-",IF(ISNUMBER(LOOKUP(2,1/((HISTORIAL!$O$3:$O$365=O366)*(HISTORIAL!$F$3:$F$365&lt;&gt;"")),HISTORIAL!$K$3:$K$365)),IF(K366&gt;LOOKUP(2,1/((HISTORIAL!$O$3:$O$365=O366)*(HISTORIAL!$F$3:$F$365&lt;&gt;"")),HISTORIAL!$K$3:$K$365),"^",IF(K366&lt;LOOKUP(2,1/((HISTORIAL!$O$3:$O$365=O366)*(HISTORIAL!$F$3:$F$365&lt;&gt;"")),HISTORIAL!$K$3:$K$365),"v","-")),"-")),"-")</f>
        <v>-</v>
      </c>
      <c r="N366" s="54" t="str">
        <f>IFERROR(VLOOKUP(A366,CONFIG!$A$10:$B$21,2,0),"")</f>
        <v>FUE</v>
      </c>
      <c r="O366" s="55" t="str">
        <f t="shared" si="11"/>
        <v>Curl Biceps|Concentrado Maquina</v>
      </c>
      <c r="P366" s="69" t="str">
        <f>JUEVES!AC156</f>
        <v/>
      </c>
    </row>
    <row r="367" spans="1:16" ht="14.1" customHeight="1">
      <c r="A367" s="37">
        <v>6</v>
      </c>
      <c r="B367" s="37" t="s">
        <v>280</v>
      </c>
      <c r="C367" s="44" t="str">
        <f>JUEVES!$A$158</f>
        <v>Crunch</v>
      </c>
      <c r="D367" s="45" t="str">
        <f>JUEVES!$B$158</f>
        <v>Polea</v>
      </c>
      <c r="E367" s="37" t="str">
        <f>JUEVES!$C$158</f>
        <v>polea</v>
      </c>
      <c r="F367" s="46" t="str">
        <f>IF(P367="","",IFERROR(CHOOSE(VALUE(RIGHT(P367,1)),JUEVES!F158,JUEVES!I158,JUEVES!L158,JUEVES!O158,JUEVES!R158),""))</f>
        <v/>
      </c>
      <c r="G367" s="47" t="str">
        <f>IF(P367="","",IFERROR(CHOOSE(VALUE(RIGHT(P367,1)),JUEVES!G158,JUEVES!J158,JUEVES!M158,JUEVES!P158,JUEVES!S158),""))</f>
        <v/>
      </c>
      <c r="H367" s="48" t="str">
        <f>IF(P367="","",IFERROR(CHOOSE(VALUE(RIGHT(P367,1)),JUEVES!H158,JUEVES!K158,JUEVES!N158,JUEVES!Q158,JUEVES!T158),""))</f>
        <v/>
      </c>
      <c r="I367" s="49" t="str">
        <f t="shared" si="10"/>
        <v/>
      </c>
      <c r="J367" s="50" t="str">
        <f>IF(P367="","",IFERROR(ROUND(CHOOSE(VALUE(RIGHT(P367,1)),IF(JUEVES!C158="peso_corporal",IF(ISNUMBER(JUEVES!E158),JUEVES!E158,0)+JUEVES!F158,JUEVES!F158)*JUEVES!G158,IF(JUEVES!C158="peso_corporal",IF(ISNUMBER(JUEVES!E158),JUEVES!E158,0)+JUEVES!I158,JUEVES!I158)*JUEVES!J158,IF(JUEVES!C158="peso_corporal",IF(ISNUMBER(JUEVES!E158),JUEVES!E158,0)+JUEVES!L158,JUEVES!L158)*JUEVES!M158,IF(JUEVES!C158="peso_corporal",IF(ISNUMBER(JUEVES!E158),JUEVES!E158,0)+JUEVES!O158,JUEVES!O158)*JUEVES!P158,IF(JUEVES!C158="peso_corporal",IF(ISNUMBER(JUEVES!E158),JUEVES!E158,0)+JUEVES!R158,JUEVES!R158)*JUEVES!S158),1),""))</f>
        <v/>
      </c>
      <c r="K367" s="51" t="str">
        <f>IF(P367="","",IFERROR(ROUND(CHOOSE(VALUE(RIGHT(P367,1)),(IF(JUEVES!C158="peso_corporal",IF(ISNUMBER(JUEVES!E158),JUEVES!E158,0)+JUEVES!F158,JUEVES!F158))*(1+JUEVES!G158/30),(IF(JUEVES!C158="peso_corporal",IF(ISNUMBER(JUEVES!E158),JUEVES!E158,0)+JUEVES!I158,JUEVES!I158))*(1+JUEVES!J158/30),(IF(JUEVES!C158="peso_corporal",IF(ISNUMBER(JUEVES!E158),JUEVES!E158,0)+JUEVES!L158,JUEVES!L158))*(1+JUEVES!M158/30),(IF(JUEVES!C158="peso_corporal",IF(ISNUMBER(JUEVES!E158),JUEVES!E158,0)+JUEVES!O158,JUEVES!O158))*(1+JUEVES!P158/30),(IF(JUEVES!C158="peso_corporal",IF(ISNUMBER(JUEVES!E158),JUEVES!E158,0)+JUEVES!R158,JUEVES!R158))*(1+JUEVES!S158/30)),1),""))</f>
        <v/>
      </c>
      <c r="L367" s="52">
        <f>IFERROR(JUEVES!E158,"")</f>
        <v>80</v>
      </c>
      <c r="M367" s="53" t="str">
        <f>IFERROR(IF(K367="","-",IF(ISNUMBER(LOOKUP(2,1/((HISTORIAL!$O$3:$O$366=O367)*(HISTORIAL!$F$3:$F$366&lt;&gt;"")),HISTORIAL!$K$3:$K$366)),IF(K367&gt;LOOKUP(2,1/((HISTORIAL!$O$3:$O$366=O367)*(HISTORIAL!$F$3:$F$366&lt;&gt;"")),HISTORIAL!$K$3:$K$366),"^",IF(K367&lt;LOOKUP(2,1/((HISTORIAL!$O$3:$O$366=O367)*(HISTORIAL!$F$3:$F$366&lt;&gt;"")),HISTORIAL!$K$3:$K$366),"v","-")),"-")),"-")</f>
        <v>-</v>
      </c>
      <c r="N367" s="54" t="str">
        <f>IFERROR(VLOOKUP(A367,CONFIG!$A$10:$B$21,2,0),"")</f>
        <v>FUE</v>
      </c>
      <c r="O367" s="55" t="str">
        <f t="shared" si="11"/>
        <v>Crunch|Polea</v>
      </c>
      <c r="P367" s="69" t="str">
        <f>JUEVES!AC158</f>
        <v/>
      </c>
    </row>
    <row r="368" spans="1:16" ht="14.1" customHeight="1">
      <c r="A368" s="37">
        <v>6</v>
      </c>
      <c r="B368" s="37" t="s">
        <v>281</v>
      </c>
      <c r="C368" s="44" t="str">
        <f>SABADO!$A$133</f>
        <v>Pulldown</v>
      </c>
      <c r="D368" s="45" t="str">
        <f>SABADO!$B$133</f>
        <v>Polea Alta Brazos Rectos Prono</v>
      </c>
      <c r="E368" s="37" t="str">
        <f>SABADO!$C$133</f>
        <v>polea</v>
      </c>
      <c r="F368" s="46" t="str">
        <f>IF(P368="","",IFERROR(CHOOSE(VALUE(RIGHT(P368,1)),SABADO!F133,SABADO!I133,SABADO!L133,SABADO!O133,SABADO!R133),""))</f>
        <v/>
      </c>
      <c r="G368" s="47" t="str">
        <f>IF(P368="","",IFERROR(CHOOSE(VALUE(RIGHT(P368,1)),SABADO!G133,SABADO!J133,SABADO!M133,SABADO!P133,SABADO!S133),""))</f>
        <v/>
      </c>
      <c r="H368" s="48" t="str">
        <f>IF(P368="","",IFERROR(CHOOSE(VALUE(RIGHT(P368,1)),SABADO!H133,SABADO!K133,SABADO!N133,SABADO!Q133,SABADO!T133),""))</f>
        <v/>
      </c>
      <c r="I368" s="49" t="str">
        <f t="shared" si="10"/>
        <v/>
      </c>
      <c r="J368" s="50" t="str">
        <f>IF(P368="","",IFERROR(ROUND(CHOOSE(VALUE(RIGHT(P368,1)),IF(SABADO!C133="peso_corporal",IF(ISNUMBER(SABADO!E133),SABADO!E133,0)+SABADO!F133,SABADO!F133)*SABADO!G133,IF(SABADO!C133="peso_corporal",IF(ISNUMBER(SABADO!E133),SABADO!E133,0)+SABADO!I133,SABADO!I133)*SABADO!J133,IF(SABADO!C133="peso_corporal",IF(ISNUMBER(SABADO!E133),SABADO!E133,0)+SABADO!L133,SABADO!L133)*SABADO!M133,IF(SABADO!C133="peso_corporal",IF(ISNUMBER(SABADO!E133),SABADO!E133,0)+SABADO!O133,SABADO!O133)*SABADO!P133,IF(SABADO!C133="peso_corporal",IF(ISNUMBER(SABADO!E133),SABADO!E133,0)+SABADO!R133,SABADO!R133)*SABADO!S133),1),""))</f>
        <v/>
      </c>
      <c r="K368" s="51" t="str">
        <f>IF(P368="","",IFERROR(ROUND(CHOOSE(VALUE(RIGHT(P368,1)),(IF(SABADO!C133="peso_corporal",IF(ISNUMBER(SABADO!E133),SABADO!E133,0)+SABADO!F133,SABADO!F133))*(1+SABADO!G133/30),(IF(SABADO!C133="peso_corporal",IF(ISNUMBER(SABADO!E133),SABADO!E133,0)+SABADO!I133,SABADO!I133))*(1+SABADO!J133/30),(IF(SABADO!C133="peso_corporal",IF(ISNUMBER(SABADO!E133),SABADO!E133,0)+SABADO!L133,SABADO!L133))*(1+SABADO!M133/30),(IF(SABADO!C133="peso_corporal",IF(ISNUMBER(SABADO!E133),SABADO!E133,0)+SABADO!O133,SABADO!O133))*(1+SABADO!P133/30),(IF(SABADO!C133="peso_corporal",IF(ISNUMBER(SABADO!E133),SABADO!E133,0)+SABADO!R133,SABADO!R133))*(1+SABADO!S133/30)),1),""))</f>
        <v/>
      </c>
      <c r="L368" s="52">
        <f>IFERROR(SABADO!E133,"")</f>
        <v>80</v>
      </c>
      <c r="M368" s="53" t="str">
        <f>IFERROR(IF(K368="","-",IF(ISNUMBER(LOOKUP(2,1/((HISTORIAL!$O$3:$O$367=O368)*(HISTORIAL!$F$3:$F$367&lt;&gt;"")),HISTORIAL!$K$3:$K$367)),IF(K368&gt;LOOKUP(2,1/((HISTORIAL!$O$3:$O$367=O368)*(HISTORIAL!$F$3:$F$367&lt;&gt;"")),HISTORIAL!$K$3:$K$367),"^",IF(K368&lt;LOOKUP(2,1/((HISTORIAL!$O$3:$O$367=O368)*(HISTORIAL!$F$3:$F$367&lt;&gt;"")),HISTORIAL!$K$3:$K$367),"v","-")),"-")),"-")</f>
        <v>-</v>
      </c>
      <c r="N368" s="54" t="str">
        <f>IFERROR(VLOOKUP(A368,CONFIG!$A$10:$B$21,2,0),"")</f>
        <v>FUE</v>
      </c>
      <c r="O368" s="55" t="str">
        <f t="shared" si="11"/>
        <v>Pulldown|Polea Alta Brazos Rectos Prono</v>
      </c>
      <c r="P368" s="69" t="str">
        <f>SABADO!AC133</f>
        <v/>
      </c>
    </row>
    <row r="369" spans="1:16" ht="14.1" customHeight="1">
      <c r="A369" s="37">
        <v>6</v>
      </c>
      <c r="B369" s="37" t="s">
        <v>281</v>
      </c>
      <c r="C369" s="44" t="str">
        <f>SABADO!$A$135</f>
        <v>Remo</v>
      </c>
      <c r="D369" s="45" t="str">
        <f>SABADO!$B$135</f>
        <v>Maquina Neutro Estrecho</v>
      </c>
      <c r="E369" s="37" t="str">
        <f>SABADO!$C$135</f>
        <v>polea</v>
      </c>
      <c r="F369" s="46" t="str">
        <f>IF(P369="","",IFERROR(CHOOSE(VALUE(RIGHT(P369,1)),SABADO!F135,SABADO!I135,SABADO!L135,SABADO!O135,SABADO!R135),""))</f>
        <v/>
      </c>
      <c r="G369" s="47" t="str">
        <f>IF(P369="","",IFERROR(CHOOSE(VALUE(RIGHT(P369,1)),SABADO!G135,SABADO!J135,SABADO!M135,SABADO!P135,SABADO!S135),""))</f>
        <v/>
      </c>
      <c r="H369" s="48" t="str">
        <f>IF(P369="","",IFERROR(CHOOSE(VALUE(RIGHT(P369,1)),SABADO!H135,SABADO!K135,SABADO!N135,SABADO!Q135,SABADO!T135),""))</f>
        <v/>
      </c>
      <c r="I369" s="49" t="str">
        <f t="shared" si="10"/>
        <v/>
      </c>
      <c r="J369" s="50" t="str">
        <f>IF(P369="","",IFERROR(ROUND(CHOOSE(VALUE(RIGHT(P369,1)),IF(SABADO!C135="peso_corporal",IF(ISNUMBER(SABADO!E135),SABADO!E135,0)+SABADO!F135,SABADO!F135)*SABADO!G135,IF(SABADO!C135="peso_corporal",IF(ISNUMBER(SABADO!E135),SABADO!E135,0)+SABADO!I135,SABADO!I135)*SABADO!J135,IF(SABADO!C135="peso_corporal",IF(ISNUMBER(SABADO!E135),SABADO!E135,0)+SABADO!L135,SABADO!L135)*SABADO!M135,IF(SABADO!C135="peso_corporal",IF(ISNUMBER(SABADO!E135),SABADO!E135,0)+SABADO!O135,SABADO!O135)*SABADO!P135,IF(SABADO!C135="peso_corporal",IF(ISNUMBER(SABADO!E135),SABADO!E135,0)+SABADO!R135,SABADO!R135)*SABADO!S135),1),""))</f>
        <v/>
      </c>
      <c r="K369" s="51" t="str">
        <f>IF(P369="","",IFERROR(ROUND(CHOOSE(VALUE(RIGHT(P369,1)),(IF(SABADO!C135="peso_corporal",IF(ISNUMBER(SABADO!E135),SABADO!E135,0)+SABADO!F135,SABADO!F135))*(1+SABADO!G135/30),(IF(SABADO!C135="peso_corporal",IF(ISNUMBER(SABADO!E135),SABADO!E135,0)+SABADO!I135,SABADO!I135))*(1+SABADO!J135/30),(IF(SABADO!C135="peso_corporal",IF(ISNUMBER(SABADO!E135),SABADO!E135,0)+SABADO!L135,SABADO!L135))*(1+SABADO!M135/30),(IF(SABADO!C135="peso_corporal",IF(ISNUMBER(SABADO!E135),SABADO!E135,0)+SABADO!O135,SABADO!O135))*(1+SABADO!P135/30),(IF(SABADO!C135="peso_corporal",IF(ISNUMBER(SABADO!E135),SABADO!E135,0)+SABADO!R135,SABADO!R135))*(1+SABADO!S135/30)),1),""))</f>
        <v/>
      </c>
      <c r="L369" s="52">
        <f>IFERROR(SABADO!E135,"")</f>
        <v>80</v>
      </c>
      <c r="M369" s="53" t="str">
        <f>IFERROR(IF(K369="","-",IF(ISNUMBER(LOOKUP(2,1/((HISTORIAL!$O$3:$O$368=O369)*(HISTORIAL!$F$3:$F$368&lt;&gt;"")),HISTORIAL!$K$3:$K$368)),IF(K369&gt;LOOKUP(2,1/((HISTORIAL!$O$3:$O$368=O369)*(HISTORIAL!$F$3:$F$368&lt;&gt;"")),HISTORIAL!$K$3:$K$368),"^",IF(K369&lt;LOOKUP(2,1/((HISTORIAL!$O$3:$O$368=O369)*(HISTORIAL!$F$3:$F$368&lt;&gt;"")),HISTORIAL!$K$3:$K$368),"v","-")),"-")),"-")</f>
        <v>-</v>
      </c>
      <c r="N369" s="54" t="str">
        <f>IFERROR(VLOOKUP(A369,CONFIG!$A$10:$B$21,2,0),"")</f>
        <v>FUE</v>
      </c>
      <c r="O369" s="55" t="str">
        <f t="shared" si="11"/>
        <v>Remo|Maquina Neutro Estrecho</v>
      </c>
      <c r="P369" s="69" t="str">
        <f>SABADO!AC135</f>
        <v/>
      </c>
    </row>
    <row r="370" spans="1:16" ht="14.1" customHeight="1">
      <c r="A370" s="37">
        <v>6</v>
      </c>
      <c r="B370" s="37" t="s">
        <v>281</v>
      </c>
      <c r="C370" s="44" t="str">
        <f>SABADO!$A$136</f>
        <v>Remo</v>
      </c>
      <c r="D370" s="45" t="str">
        <f>SABADO!$B$136</f>
        <v>Maquina Neutro Ancho</v>
      </c>
      <c r="E370" s="37" t="str">
        <f>SABADO!$C$136</f>
        <v>polea</v>
      </c>
      <c r="F370" s="46" t="str">
        <f>IF(P370="","",IFERROR(CHOOSE(VALUE(RIGHT(P370,1)),SABADO!F136,SABADO!I136,SABADO!L136,SABADO!O136,SABADO!R136),""))</f>
        <v/>
      </c>
      <c r="G370" s="47" t="str">
        <f>IF(P370="","",IFERROR(CHOOSE(VALUE(RIGHT(P370,1)),SABADO!G136,SABADO!J136,SABADO!M136,SABADO!P136,SABADO!S136),""))</f>
        <v/>
      </c>
      <c r="H370" s="48" t="str">
        <f>IF(P370="","",IFERROR(CHOOSE(VALUE(RIGHT(P370,1)),SABADO!H136,SABADO!K136,SABADO!N136,SABADO!Q136,SABADO!T136),""))</f>
        <v/>
      </c>
      <c r="I370" s="49" t="str">
        <f t="shared" si="10"/>
        <v/>
      </c>
      <c r="J370" s="50" t="str">
        <f>IF(P370="","",IFERROR(ROUND(CHOOSE(VALUE(RIGHT(P370,1)),IF(SABADO!C136="peso_corporal",IF(ISNUMBER(SABADO!E136),SABADO!E136,0)+SABADO!F136,SABADO!F136)*SABADO!G136,IF(SABADO!C136="peso_corporal",IF(ISNUMBER(SABADO!E136),SABADO!E136,0)+SABADO!I136,SABADO!I136)*SABADO!J136,IF(SABADO!C136="peso_corporal",IF(ISNUMBER(SABADO!E136),SABADO!E136,0)+SABADO!L136,SABADO!L136)*SABADO!M136,IF(SABADO!C136="peso_corporal",IF(ISNUMBER(SABADO!E136),SABADO!E136,0)+SABADO!O136,SABADO!O136)*SABADO!P136,IF(SABADO!C136="peso_corporal",IF(ISNUMBER(SABADO!E136),SABADO!E136,0)+SABADO!R136,SABADO!R136)*SABADO!S136),1),""))</f>
        <v/>
      </c>
      <c r="K370" s="51" t="str">
        <f>IF(P370="","",IFERROR(ROUND(CHOOSE(VALUE(RIGHT(P370,1)),(IF(SABADO!C136="peso_corporal",IF(ISNUMBER(SABADO!E136),SABADO!E136,0)+SABADO!F136,SABADO!F136))*(1+SABADO!G136/30),(IF(SABADO!C136="peso_corporal",IF(ISNUMBER(SABADO!E136),SABADO!E136,0)+SABADO!I136,SABADO!I136))*(1+SABADO!J136/30),(IF(SABADO!C136="peso_corporal",IF(ISNUMBER(SABADO!E136),SABADO!E136,0)+SABADO!L136,SABADO!L136))*(1+SABADO!M136/30),(IF(SABADO!C136="peso_corporal",IF(ISNUMBER(SABADO!E136),SABADO!E136,0)+SABADO!O136,SABADO!O136))*(1+SABADO!P136/30),(IF(SABADO!C136="peso_corporal",IF(ISNUMBER(SABADO!E136),SABADO!E136,0)+SABADO!R136,SABADO!R136))*(1+SABADO!S136/30)),1),""))</f>
        <v/>
      </c>
      <c r="L370" s="52">
        <f>IFERROR(SABADO!E136,"")</f>
        <v>80</v>
      </c>
      <c r="M370" s="53" t="str">
        <f>IFERROR(IF(K370="","-",IF(ISNUMBER(LOOKUP(2,1/((HISTORIAL!$O$3:$O$369=O370)*(HISTORIAL!$F$3:$F$369&lt;&gt;"")),HISTORIAL!$K$3:$K$369)),IF(K370&gt;LOOKUP(2,1/((HISTORIAL!$O$3:$O$369=O370)*(HISTORIAL!$F$3:$F$369&lt;&gt;"")),HISTORIAL!$K$3:$K$369),"^",IF(K370&lt;LOOKUP(2,1/((HISTORIAL!$O$3:$O$369=O370)*(HISTORIAL!$F$3:$F$369&lt;&gt;"")),HISTORIAL!$K$3:$K$369),"v","-")),"-")),"-")</f>
        <v>-</v>
      </c>
      <c r="N370" s="54" t="str">
        <f>IFERROR(VLOOKUP(A370,CONFIG!$A$10:$B$21,2,0),"")</f>
        <v>FUE</v>
      </c>
      <c r="O370" s="55" t="str">
        <f t="shared" si="11"/>
        <v>Remo|Maquina Neutro Ancho</v>
      </c>
      <c r="P370" s="69" t="str">
        <f>SABADO!AC136</f>
        <v/>
      </c>
    </row>
    <row r="371" spans="1:16" ht="14.1" customHeight="1">
      <c r="A371" s="37">
        <v>6</v>
      </c>
      <c r="B371" s="37" t="s">
        <v>281</v>
      </c>
      <c r="C371" s="44" t="str">
        <f>SABADO!$A$137</f>
        <v>Peck Deck Invertida</v>
      </c>
      <c r="D371" s="45" t="str">
        <f>SABADO!$B$137</f>
        <v>Maquina</v>
      </c>
      <c r="E371" s="37" t="str">
        <f>SABADO!$C$137</f>
        <v>polea</v>
      </c>
      <c r="F371" s="46" t="str">
        <f>IF(P371="","",IFERROR(CHOOSE(VALUE(RIGHT(P371,1)),SABADO!F137,SABADO!I137,SABADO!L137,SABADO!O137,SABADO!R137),""))</f>
        <v/>
      </c>
      <c r="G371" s="47" t="str">
        <f>IF(P371="","",IFERROR(CHOOSE(VALUE(RIGHT(P371,1)),SABADO!G137,SABADO!J137,SABADO!M137,SABADO!P137,SABADO!S137),""))</f>
        <v/>
      </c>
      <c r="H371" s="48" t="str">
        <f>IF(P371="","",IFERROR(CHOOSE(VALUE(RIGHT(P371,1)),SABADO!H137,SABADO!K137,SABADO!N137,SABADO!Q137,SABADO!T137),""))</f>
        <v/>
      </c>
      <c r="I371" s="49" t="str">
        <f t="shared" si="10"/>
        <v/>
      </c>
      <c r="J371" s="50" t="str">
        <f>IF(P371="","",IFERROR(ROUND(CHOOSE(VALUE(RIGHT(P371,1)),IF(SABADO!C137="peso_corporal",IF(ISNUMBER(SABADO!E137),SABADO!E137,0)+SABADO!F137,SABADO!F137)*SABADO!G137,IF(SABADO!C137="peso_corporal",IF(ISNUMBER(SABADO!E137),SABADO!E137,0)+SABADO!I137,SABADO!I137)*SABADO!J137,IF(SABADO!C137="peso_corporal",IF(ISNUMBER(SABADO!E137),SABADO!E137,0)+SABADO!L137,SABADO!L137)*SABADO!M137,IF(SABADO!C137="peso_corporal",IF(ISNUMBER(SABADO!E137),SABADO!E137,0)+SABADO!O137,SABADO!O137)*SABADO!P137,IF(SABADO!C137="peso_corporal",IF(ISNUMBER(SABADO!E137),SABADO!E137,0)+SABADO!R137,SABADO!R137)*SABADO!S137),1),""))</f>
        <v/>
      </c>
      <c r="K371" s="51" t="str">
        <f>IF(P371="","",IFERROR(ROUND(CHOOSE(VALUE(RIGHT(P371,1)),(IF(SABADO!C137="peso_corporal",IF(ISNUMBER(SABADO!E137),SABADO!E137,0)+SABADO!F137,SABADO!F137))*(1+SABADO!G137/30),(IF(SABADO!C137="peso_corporal",IF(ISNUMBER(SABADO!E137),SABADO!E137,0)+SABADO!I137,SABADO!I137))*(1+SABADO!J137/30),(IF(SABADO!C137="peso_corporal",IF(ISNUMBER(SABADO!E137),SABADO!E137,0)+SABADO!L137,SABADO!L137))*(1+SABADO!M137/30),(IF(SABADO!C137="peso_corporal",IF(ISNUMBER(SABADO!E137),SABADO!E137,0)+SABADO!O137,SABADO!O137))*(1+SABADO!P137/30),(IF(SABADO!C137="peso_corporal",IF(ISNUMBER(SABADO!E137),SABADO!E137,0)+SABADO!R137,SABADO!R137))*(1+SABADO!S137/30)),1),""))</f>
        <v/>
      </c>
      <c r="L371" s="52">
        <f>IFERROR(SABADO!E137,"")</f>
        <v>80</v>
      </c>
      <c r="M371" s="53" t="str">
        <f>IFERROR(IF(K371="","-",IF(ISNUMBER(LOOKUP(2,1/((HISTORIAL!$O$3:$O$370=O371)*(HISTORIAL!$F$3:$F$370&lt;&gt;"")),HISTORIAL!$K$3:$K$370)),IF(K371&gt;LOOKUP(2,1/((HISTORIAL!$O$3:$O$370=O371)*(HISTORIAL!$F$3:$F$370&lt;&gt;"")),HISTORIAL!$K$3:$K$370),"^",IF(K371&lt;LOOKUP(2,1/((HISTORIAL!$O$3:$O$370=O371)*(HISTORIAL!$F$3:$F$370&lt;&gt;"")),HISTORIAL!$K$3:$K$370),"v","-")),"-")),"-")</f>
        <v>-</v>
      </c>
      <c r="N371" s="54" t="str">
        <f>IFERROR(VLOOKUP(A371,CONFIG!$A$10:$B$21,2,0),"")</f>
        <v>FUE</v>
      </c>
      <c r="O371" s="55" t="str">
        <f t="shared" si="11"/>
        <v>Peck Deck Invertida|Maquina</v>
      </c>
      <c r="P371" s="69" t="str">
        <f>SABADO!AC137</f>
        <v/>
      </c>
    </row>
    <row r="372" spans="1:16" ht="14.1" customHeight="1">
      <c r="A372" s="37">
        <v>6</v>
      </c>
      <c r="B372" s="37" t="s">
        <v>281</v>
      </c>
      <c r="C372" s="44" t="str">
        <f>SABADO!$A$139</f>
        <v>Curl Biceps</v>
      </c>
      <c r="D372" s="45" t="str">
        <f>SABADO!$B$139</f>
        <v>Concentrado Maquina</v>
      </c>
      <c r="E372" s="37" t="str">
        <f>SABADO!$C$139</f>
        <v>polea</v>
      </c>
      <c r="F372" s="46" t="str">
        <f>IF(P372="","",IFERROR(CHOOSE(VALUE(RIGHT(P372,1)),SABADO!F139,SABADO!I139,SABADO!L139,SABADO!O139,SABADO!R139),""))</f>
        <v/>
      </c>
      <c r="G372" s="47" t="str">
        <f>IF(P372="","",IFERROR(CHOOSE(VALUE(RIGHT(P372,1)),SABADO!G139,SABADO!J139,SABADO!M139,SABADO!P139,SABADO!S139),""))</f>
        <v/>
      </c>
      <c r="H372" s="48" t="str">
        <f>IF(P372="","",IFERROR(CHOOSE(VALUE(RIGHT(P372,1)),SABADO!H139,SABADO!K139,SABADO!N139,SABADO!Q139,SABADO!T139),""))</f>
        <v/>
      </c>
      <c r="I372" s="49" t="str">
        <f t="shared" si="10"/>
        <v/>
      </c>
      <c r="J372" s="50" t="str">
        <f>IF(P372="","",IFERROR(ROUND(CHOOSE(VALUE(RIGHT(P372,1)),IF(SABADO!C139="peso_corporal",IF(ISNUMBER(SABADO!E139),SABADO!E139,0)+SABADO!F139,SABADO!F139)*SABADO!G139,IF(SABADO!C139="peso_corporal",IF(ISNUMBER(SABADO!E139),SABADO!E139,0)+SABADO!I139,SABADO!I139)*SABADO!J139,IF(SABADO!C139="peso_corporal",IF(ISNUMBER(SABADO!E139),SABADO!E139,0)+SABADO!L139,SABADO!L139)*SABADO!M139,IF(SABADO!C139="peso_corporal",IF(ISNUMBER(SABADO!E139),SABADO!E139,0)+SABADO!O139,SABADO!O139)*SABADO!P139,IF(SABADO!C139="peso_corporal",IF(ISNUMBER(SABADO!E139),SABADO!E139,0)+SABADO!R139,SABADO!R139)*SABADO!S139),1),""))</f>
        <v/>
      </c>
      <c r="K372" s="51" t="str">
        <f>IF(P372="","",IFERROR(ROUND(CHOOSE(VALUE(RIGHT(P372,1)),(IF(SABADO!C139="peso_corporal",IF(ISNUMBER(SABADO!E139),SABADO!E139,0)+SABADO!F139,SABADO!F139))*(1+SABADO!G139/30),(IF(SABADO!C139="peso_corporal",IF(ISNUMBER(SABADO!E139),SABADO!E139,0)+SABADO!I139,SABADO!I139))*(1+SABADO!J139/30),(IF(SABADO!C139="peso_corporal",IF(ISNUMBER(SABADO!E139),SABADO!E139,0)+SABADO!L139,SABADO!L139))*(1+SABADO!M139/30),(IF(SABADO!C139="peso_corporal",IF(ISNUMBER(SABADO!E139),SABADO!E139,0)+SABADO!O139,SABADO!O139))*(1+SABADO!P139/30),(IF(SABADO!C139="peso_corporal",IF(ISNUMBER(SABADO!E139),SABADO!E139,0)+SABADO!R139,SABADO!R139))*(1+SABADO!S139/30)),1),""))</f>
        <v/>
      </c>
      <c r="L372" s="52">
        <f>IFERROR(SABADO!E139,"")</f>
        <v>80</v>
      </c>
      <c r="M372" s="53" t="str">
        <f>IFERROR(IF(K372="","-",IF(ISNUMBER(LOOKUP(2,1/((HISTORIAL!$O$3:$O$371=O372)*(HISTORIAL!$F$3:$F$371&lt;&gt;"")),HISTORIAL!$K$3:$K$371)),IF(K372&gt;LOOKUP(2,1/((HISTORIAL!$O$3:$O$371=O372)*(HISTORIAL!$F$3:$F$371&lt;&gt;"")),HISTORIAL!$K$3:$K$371),"^",IF(K372&lt;LOOKUP(2,1/((HISTORIAL!$O$3:$O$371=O372)*(HISTORIAL!$F$3:$F$371&lt;&gt;"")),HISTORIAL!$K$3:$K$371),"v","-")),"-")),"-")</f>
        <v>-</v>
      </c>
      <c r="N372" s="54" t="str">
        <f>IFERROR(VLOOKUP(A372,CONFIG!$A$10:$B$21,2,0),"")</f>
        <v>FUE</v>
      </c>
      <c r="O372" s="55" t="str">
        <f t="shared" si="11"/>
        <v>Curl Biceps|Concentrado Maquina</v>
      </c>
      <c r="P372" s="69" t="str">
        <f>SABADO!AC139</f>
        <v/>
      </c>
    </row>
    <row r="373" spans="1:16" ht="14.1" customHeight="1">
      <c r="A373" s="37">
        <v>6</v>
      </c>
      <c r="B373" s="37" t="s">
        <v>281</v>
      </c>
      <c r="C373" s="44" t="str">
        <f>SABADO!$A$140</f>
        <v>Curl Martillo</v>
      </c>
      <c r="D373" s="45" t="str">
        <f>SABADO!$B$140</f>
        <v>Polea Individual</v>
      </c>
      <c r="E373" s="37" t="str">
        <f>SABADO!$C$140</f>
        <v>polea</v>
      </c>
      <c r="F373" s="46" t="str">
        <f>IF(P373="","",IFERROR(CHOOSE(VALUE(RIGHT(P373,1)),SABADO!F140,SABADO!I140,SABADO!L140,SABADO!O140,SABADO!R140),""))</f>
        <v/>
      </c>
      <c r="G373" s="47" t="str">
        <f>IF(P373="","",IFERROR(CHOOSE(VALUE(RIGHT(P373,1)),SABADO!G140,SABADO!J140,SABADO!M140,SABADO!P140,SABADO!S140),""))</f>
        <v/>
      </c>
      <c r="H373" s="48" t="str">
        <f>IF(P373="","",IFERROR(CHOOSE(VALUE(RIGHT(P373,1)),SABADO!H140,SABADO!K140,SABADO!N140,SABADO!Q140,SABADO!T140),""))</f>
        <v/>
      </c>
      <c r="I373" s="49" t="str">
        <f t="shared" si="10"/>
        <v/>
      </c>
      <c r="J373" s="50" t="str">
        <f>IF(P373="","",IFERROR(ROUND(CHOOSE(VALUE(RIGHT(P373,1)),IF(SABADO!C140="peso_corporal",IF(ISNUMBER(SABADO!E140),SABADO!E140,0)+SABADO!F140,SABADO!F140)*SABADO!G140,IF(SABADO!C140="peso_corporal",IF(ISNUMBER(SABADO!E140),SABADO!E140,0)+SABADO!I140,SABADO!I140)*SABADO!J140,IF(SABADO!C140="peso_corporal",IF(ISNUMBER(SABADO!E140),SABADO!E140,0)+SABADO!L140,SABADO!L140)*SABADO!M140,IF(SABADO!C140="peso_corporal",IF(ISNUMBER(SABADO!E140),SABADO!E140,0)+SABADO!O140,SABADO!O140)*SABADO!P140,IF(SABADO!C140="peso_corporal",IF(ISNUMBER(SABADO!E140),SABADO!E140,0)+SABADO!R140,SABADO!R140)*SABADO!S140),1),""))</f>
        <v/>
      </c>
      <c r="K373" s="51" t="str">
        <f>IF(P373="","",IFERROR(ROUND(CHOOSE(VALUE(RIGHT(P373,1)),(IF(SABADO!C140="peso_corporal",IF(ISNUMBER(SABADO!E140),SABADO!E140,0)+SABADO!F140,SABADO!F140))*(1+SABADO!G140/30),(IF(SABADO!C140="peso_corporal",IF(ISNUMBER(SABADO!E140),SABADO!E140,0)+SABADO!I140,SABADO!I140))*(1+SABADO!J140/30),(IF(SABADO!C140="peso_corporal",IF(ISNUMBER(SABADO!E140),SABADO!E140,0)+SABADO!L140,SABADO!L140))*(1+SABADO!M140/30),(IF(SABADO!C140="peso_corporal",IF(ISNUMBER(SABADO!E140),SABADO!E140,0)+SABADO!O140,SABADO!O140))*(1+SABADO!P140/30),(IF(SABADO!C140="peso_corporal",IF(ISNUMBER(SABADO!E140),SABADO!E140,0)+SABADO!R140,SABADO!R140))*(1+SABADO!S140/30)),1),""))</f>
        <v/>
      </c>
      <c r="L373" s="52">
        <f>IFERROR(SABADO!E140,"")</f>
        <v>80</v>
      </c>
      <c r="M373" s="53" t="str">
        <f>IFERROR(IF(K373="","-",IF(ISNUMBER(LOOKUP(2,1/((HISTORIAL!$O$3:$O$372=O373)*(HISTORIAL!$F$3:$F$372&lt;&gt;"")),HISTORIAL!$K$3:$K$372)),IF(K373&gt;LOOKUP(2,1/((HISTORIAL!$O$3:$O$372=O373)*(HISTORIAL!$F$3:$F$372&lt;&gt;"")),HISTORIAL!$K$3:$K$372),"^",IF(K373&lt;LOOKUP(2,1/((HISTORIAL!$O$3:$O$372=O373)*(HISTORIAL!$F$3:$F$372&lt;&gt;"")),HISTORIAL!$K$3:$K$372),"v","-")),"-")),"-")</f>
        <v>-</v>
      </c>
      <c r="N373" s="54" t="str">
        <f>IFERROR(VLOOKUP(A373,CONFIG!$A$10:$B$21,2,0),"")</f>
        <v>FUE</v>
      </c>
      <c r="O373" s="55" t="str">
        <f t="shared" si="11"/>
        <v>Curl Martillo|Polea Individual</v>
      </c>
      <c r="P373" s="69" t="str">
        <f>SABADO!AC140</f>
        <v/>
      </c>
    </row>
    <row r="374" spans="1:16" ht="14.1" customHeight="1">
      <c r="A374" s="37">
        <v>6</v>
      </c>
      <c r="B374" s="37" t="s">
        <v>281</v>
      </c>
      <c r="C374" s="44" t="str">
        <f>SABADO!$A$142</f>
        <v>Curl Muneca</v>
      </c>
      <c r="D374" s="45" t="str">
        <f>SABADO!$B$142</f>
        <v>Supinado</v>
      </c>
      <c r="E374" s="37" t="str">
        <f>SABADO!$C$142</f>
        <v>mancuerna</v>
      </c>
      <c r="F374" s="46" t="str">
        <f>IF(P374="","",IFERROR(CHOOSE(VALUE(RIGHT(P374,1)),SABADO!F142,SABADO!I142,SABADO!L142,SABADO!O142,SABADO!R142),""))</f>
        <v/>
      </c>
      <c r="G374" s="47" t="str">
        <f>IF(P374="","",IFERROR(CHOOSE(VALUE(RIGHT(P374,1)),SABADO!G142,SABADO!J142,SABADO!M142,SABADO!P142,SABADO!S142),""))</f>
        <v/>
      </c>
      <c r="H374" s="48" t="str">
        <f>IF(P374="","",IFERROR(CHOOSE(VALUE(RIGHT(P374,1)),SABADO!H142,SABADO!K142,SABADO!N142,SABADO!Q142,SABADO!T142),""))</f>
        <v/>
      </c>
      <c r="I374" s="49" t="str">
        <f t="shared" si="10"/>
        <v/>
      </c>
      <c r="J374" s="50" t="str">
        <f>IF(P374="","",IFERROR(ROUND(CHOOSE(VALUE(RIGHT(P374,1)),IF(SABADO!C142="peso_corporal",IF(ISNUMBER(SABADO!E142),SABADO!E142,0)+SABADO!F142,SABADO!F142)*SABADO!G142,IF(SABADO!C142="peso_corporal",IF(ISNUMBER(SABADO!E142),SABADO!E142,0)+SABADO!I142,SABADO!I142)*SABADO!J142,IF(SABADO!C142="peso_corporal",IF(ISNUMBER(SABADO!E142),SABADO!E142,0)+SABADO!L142,SABADO!L142)*SABADO!M142,IF(SABADO!C142="peso_corporal",IF(ISNUMBER(SABADO!E142),SABADO!E142,0)+SABADO!O142,SABADO!O142)*SABADO!P142,IF(SABADO!C142="peso_corporal",IF(ISNUMBER(SABADO!E142),SABADO!E142,0)+SABADO!R142,SABADO!R142)*SABADO!S142),1),""))</f>
        <v/>
      </c>
      <c r="K374" s="51" t="str">
        <f>IF(P374="","",IFERROR(ROUND(CHOOSE(VALUE(RIGHT(P374,1)),(IF(SABADO!C142="peso_corporal",IF(ISNUMBER(SABADO!E142),SABADO!E142,0)+SABADO!F142,SABADO!F142))*(1+SABADO!G142/30),(IF(SABADO!C142="peso_corporal",IF(ISNUMBER(SABADO!E142),SABADO!E142,0)+SABADO!I142,SABADO!I142))*(1+SABADO!J142/30),(IF(SABADO!C142="peso_corporal",IF(ISNUMBER(SABADO!E142),SABADO!E142,0)+SABADO!L142,SABADO!L142))*(1+SABADO!M142/30),(IF(SABADO!C142="peso_corporal",IF(ISNUMBER(SABADO!E142),SABADO!E142,0)+SABADO!O142,SABADO!O142))*(1+SABADO!P142/30),(IF(SABADO!C142="peso_corporal",IF(ISNUMBER(SABADO!E142),SABADO!E142,0)+SABADO!R142,SABADO!R142))*(1+SABADO!S142/30)),1),""))</f>
        <v/>
      </c>
      <c r="L374" s="52">
        <f>IFERROR(SABADO!E142,"")</f>
        <v>80</v>
      </c>
      <c r="M374" s="53" t="str">
        <f>IFERROR(IF(K374="","-",IF(ISNUMBER(LOOKUP(2,1/((HISTORIAL!$O$3:$O$373=O374)*(HISTORIAL!$F$3:$F$373&lt;&gt;"")),HISTORIAL!$K$3:$K$373)),IF(K374&gt;LOOKUP(2,1/((HISTORIAL!$O$3:$O$373=O374)*(HISTORIAL!$F$3:$F$373&lt;&gt;"")),HISTORIAL!$K$3:$K$373),"^",IF(K374&lt;LOOKUP(2,1/((HISTORIAL!$O$3:$O$373=O374)*(HISTORIAL!$F$3:$F$373&lt;&gt;"")),HISTORIAL!$K$3:$K$373),"v","-")),"-")),"-")</f>
        <v>-</v>
      </c>
      <c r="N374" s="54" t="str">
        <f>IFERROR(VLOOKUP(A374,CONFIG!$A$10:$B$21,2,0),"")</f>
        <v>FUE</v>
      </c>
      <c r="O374" s="55" t="str">
        <f t="shared" si="11"/>
        <v>Curl Muneca|Supinado</v>
      </c>
      <c r="P374" s="69" t="str">
        <f>SABADO!AC142</f>
        <v/>
      </c>
    </row>
    <row r="375" spans="1:16" ht="14.1" customHeight="1">
      <c r="A375" s="37">
        <v>6</v>
      </c>
      <c r="B375" s="37" t="s">
        <v>281</v>
      </c>
      <c r="C375" s="44" t="str">
        <f>SABADO!$A$143</f>
        <v>Curl Muneca</v>
      </c>
      <c r="D375" s="45" t="str">
        <f>SABADO!$B$143</f>
        <v>Pronado</v>
      </c>
      <c r="E375" s="37" t="str">
        <f>SABADO!$C$143</f>
        <v>mancuerna</v>
      </c>
      <c r="F375" s="46" t="str">
        <f>IF(P375="","",IFERROR(CHOOSE(VALUE(RIGHT(P375,1)),SABADO!F143,SABADO!I143,SABADO!L143,SABADO!O143,SABADO!R143),""))</f>
        <v/>
      </c>
      <c r="G375" s="47" t="str">
        <f>IF(P375="","",IFERROR(CHOOSE(VALUE(RIGHT(P375,1)),SABADO!G143,SABADO!J143,SABADO!M143,SABADO!P143,SABADO!S143),""))</f>
        <v/>
      </c>
      <c r="H375" s="48" t="str">
        <f>IF(P375="","",IFERROR(CHOOSE(VALUE(RIGHT(P375,1)),SABADO!H143,SABADO!K143,SABADO!N143,SABADO!Q143,SABADO!T143),""))</f>
        <v/>
      </c>
      <c r="I375" s="49" t="str">
        <f t="shared" si="10"/>
        <v/>
      </c>
      <c r="J375" s="50" t="str">
        <f>IF(P375="","",IFERROR(ROUND(CHOOSE(VALUE(RIGHT(P375,1)),IF(SABADO!C143="peso_corporal",IF(ISNUMBER(SABADO!E143),SABADO!E143,0)+SABADO!F143,SABADO!F143)*SABADO!G143,IF(SABADO!C143="peso_corporal",IF(ISNUMBER(SABADO!E143),SABADO!E143,0)+SABADO!I143,SABADO!I143)*SABADO!J143,IF(SABADO!C143="peso_corporal",IF(ISNUMBER(SABADO!E143),SABADO!E143,0)+SABADO!L143,SABADO!L143)*SABADO!M143,IF(SABADO!C143="peso_corporal",IF(ISNUMBER(SABADO!E143),SABADO!E143,0)+SABADO!O143,SABADO!O143)*SABADO!P143,IF(SABADO!C143="peso_corporal",IF(ISNUMBER(SABADO!E143),SABADO!E143,0)+SABADO!R143,SABADO!R143)*SABADO!S143),1),""))</f>
        <v/>
      </c>
      <c r="K375" s="51" t="str">
        <f>IF(P375="","",IFERROR(ROUND(CHOOSE(VALUE(RIGHT(P375,1)),(IF(SABADO!C143="peso_corporal",IF(ISNUMBER(SABADO!E143),SABADO!E143,0)+SABADO!F143,SABADO!F143))*(1+SABADO!G143/30),(IF(SABADO!C143="peso_corporal",IF(ISNUMBER(SABADO!E143),SABADO!E143,0)+SABADO!I143,SABADO!I143))*(1+SABADO!J143/30),(IF(SABADO!C143="peso_corporal",IF(ISNUMBER(SABADO!E143),SABADO!E143,0)+SABADO!L143,SABADO!L143))*(1+SABADO!M143/30),(IF(SABADO!C143="peso_corporal",IF(ISNUMBER(SABADO!E143),SABADO!E143,0)+SABADO!O143,SABADO!O143))*(1+SABADO!P143/30),(IF(SABADO!C143="peso_corporal",IF(ISNUMBER(SABADO!E143),SABADO!E143,0)+SABADO!R143,SABADO!R143))*(1+SABADO!S143/30)),1),""))</f>
        <v/>
      </c>
      <c r="L375" s="52">
        <f>IFERROR(SABADO!E143,"")</f>
        <v>80</v>
      </c>
      <c r="M375" s="53" t="str">
        <f>IFERROR(IF(K375="","-",IF(ISNUMBER(LOOKUP(2,1/((HISTORIAL!$O$3:$O$374=O375)*(HISTORIAL!$F$3:$F$374&lt;&gt;"")),HISTORIAL!$K$3:$K$374)),IF(K375&gt;LOOKUP(2,1/((HISTORIAL!$O$3:$O$374=O375)*(HISTORIAL!$F$3:$F$374&lt;&gt;"")),HISTORIAL!$K$3:$K$374),"^",IF(K375&lt;LOOKUP(2,1/((HISTORIAL!$O$3:$O$374=O375)*(HISTORIAL!$F$3:$F$374&lt;&gt;"")),HISTORIAL!$K$3:$K$374),"v","-")),"-")),"-")</f>
        <v>-</v>
      </c>
      <c r="N375" s="54" t="str">
        <f>IFERROR(VLOOKUP(A375,CONFIG!$A$10:$B$21,2,0),"")</f>
        <v>FUE</v>
      </c>
      <c r="O375" s="55" t="str">
        <f t="shared" si="11"/>
        <v>Curl Muneca|Pronado</v>
      </c>
      <c r="P375" s="69" t="str">
        <f>SABADO!AC143</f>
        <v/>
      </c>
    </row>
    <row r="376" spans="1:16" ht="14.1" customHeight="1">
      <c r="A376" s="37">
        <v>6</v>
      </c>
      <c r="B376" s="37" t="s">
        <v>281</v>
      </c>
      <c r="C376" s="44" t="str">
        <f>SABADO!$A$145</f>
        <v>Elevaciones Laterales</v>
      </c>
      <c r="D376" s="45" t="str">
        <f>SABADO!$B$145</f>
        <v>Cable Polea Individual</v>
      </c>
      <c r="E376" s="37" t="str">
        <f>SABADO!$C$145</f>
        <v>polea</v>
      </c>
      <c r="F376" s="46" t="str">
        <f>IF(P376="","",IFERROR(CHOOSE(VALUE(RIGHT(P376,1)),SABADO!F145,SABADO!I145,SABADO!L145,SABADO!O145,SABADO!R145),""))</f>
        <v/>
      </c>
      <c r="G376" s="47" t="str">
        <f>IF(P376="","",IFERROR(CHOOSE(VALUE(RIGHT(P376,1)),SABADO!G145,SABADO!J145,SABADO!M145,SABADO!P145,SABADO!S145),""))</f>
        <v/>
      </c>
      <c r="H376" s="48" t="str">
        <f>IF(P376="","",IFERROR(CHOOSE(VALUE(RIGHT(P376,1)),SABADO!H145,SABADO!K145,SABADO!N145,SABADO!Q145,SABADO!T145),""))</f>
        <v/>
      </c>
      <c r="I376" s="49" t="str">
        <f t="shared" si="10"/>
        <v/>
      </c>
      <c r="J376" s="50" t="str">
        <f>IF(P376="","",IFERROR(ROUND(CHOOSE(VALUE(RIGHT(P376,1)),IF(SABADO!C145="peso_corporal",IF(ISNUMBER(SABADO!E145),SABADO!E145,0)+SABADO!F145,SABADO!F145)*SABADO!G145,IF(SABADO!C145="peso_corporal",IF(ISNUMBER(SABADO!E145),SABADO!E145,0)+SABADO!I145,SABADO!I145)*SABADO!J145,IF(SABADO!C145="peso_corporal",IF(ISNUMBER(SABADO!E145),SABADO!E145,0)+SABADO!L145,SABADO!L145)*SABADO!M145,IF(SABADO!C145="peso_corporal",IF(ISNUMBER(SABADO!E145),SABADO!E145,0)+SABADO!O145,SABADO!O145)*SABADO!P145,IF(SABADO!C145="peso_corporal",IF(ISNUMBER(SABADO!E145),SABADO!E145,0)+SABADO!R145,SABADO!R145)*SABADO!S145),1),""))</f>
        <v/>
      </c>
      <c r="K376" s="51" t="str">
        <f>IF(P376="","",IFERROR(ROUND(CHOOSE(VALUE(RIGHT(P376,1)),(IF(SABADO!C145="peso_corporal",IF(ISNUMBER(SABADO!E145),SABADO!E145,0)+SABADO!F145,SABADO!F145))*(1+SABADO!G145/30),(IF(SABADO!C145="peso_corporal",IF(ISNUMBER(SABADO!E145),SABADO!E145,0)+SABADO!I145,SABADO!I145))*(1+SABADO!J145/30),(IF(SABADO!C145="peso_corporal",IF(ISNUMBER(SABADO!E145),SABADO!E145,0)+SABADO!L145,SABADO!L145))*(1+SABADO!M145/30),(IF(SABADO!C145="peso_corporal",IF(ISNUMBER(SABADO!E145),SABADO!E145,0)+SABADO!O145,SABADO!O145))*(1+SABADO!P145/30),(IF(SABADO!C145="peso_corporal",IF(ISNUMBER(SABADO!E145),SABADO!E145,0)+SABADO!R145,SABADO!R145))*(1+SABADO!S145/30)),1),""))</f>
        <v/>
      </c>
      <c r="L376" s="52">
        <f>IFERROR(SABADO!E145,"")</f>
        <v>80</v>
      </c>
      <c r="M376" s="53" t="str">
        <f>IFERROR(IF(K376="","-",IF(ISNUMBER(LOOKUP(2,1/((HISTORIAL!$O$3:$O$375=O376)*(HISTORIAL!$F$3:$F$375&lt;&gt;"")),HISTORIAL!$K$3:$K$375)),IF(K376&gt;LOOKUP(2,1/((HISTORIAL!$O$3:$O$375=O376)*(HISTORIAL!$F$3:$F$375&lt;&gt;"")),HISTORIAL!$K$3:$K$375),"^",IF(K376&lt;LOOKUP(2,1/((HISTORIAL!$O$3:$O$375=O376)*(HISTORIAL!$F$3:$F$375&lt;&gt;"")),HISTORIAL!$K$3:$K$375),"v","-")),"-")),"-")</f>
        <v>-</v>
      </c>
      <c r="N376" s="54" t="str">
        <f>IFERROR(VLOOKUP(A376,CONFIG!$A$10:$B$21,2,0),"")</f>
        <v>FUE</v>
      </c>
      <c r="O376" s="55" t="str">
        <f t="shared" si="11"/>
        <v>Elevaciones Laterales|Cable Polea Individual</v>
      </c>
      <c r="P376" s="69" t="str">
        <f>SABADO!AC145</f>
        <v/>
      </c>
    </row>
    <row r="377" spans="1:16" ht="14.1" customHeight="1">
      <c r="A377" s="37">
        <v>6</v>
      </c>
      <c r="B377" s="37" t="s">
        <v>281</v>
      </c>
      <c r="C377" s="44" t="str">
        <f>SABADO!$A$147</f>
        <v>Encogimientos</v>
      </c>
      <c r="D377" s="45" t="str">
        <f>SABADO!$B$147</f>
        <v>Mancuernas Trapecio</v>
      </c>
      <c r="E377" s="37" t="str">
        <f>SABADO!$C$147</f>
        <v>mancuerna</v>
      </c>
      <c r="F377" s="46" t="str">
        <f>IF(P377="","",IFERROR(CHOOSE(VALUE(RIGHT(P377,1)),SABADO!F147,SABADO!I147,SABADO!L147,SABADO!O147,SABADO!R147),""))</f>
        <v/>
      </c>
      <c r="G377" s="47" t="str">
        <f>IF(P377="","",IFERROR(CHOOSE(VALUE(RIGHT(P377,1)),SABADO!G147,SABADO!J147,SABADO!M147,SABADO!P147,SABADO!S147),""))</f>
        <v/>
      </c>
      <c r="H377" s="48" t="str">
        <f>IF(P377="","",IFERROR(CHOOSE(VALUE(RIGHT(P377,1)),SABADO!H147,SABADO!K147,SABADO!N147,SABADO!Q147,SABADO!T147),""))</f>
        <v/>
      </c>
      <c r="I377" s="49" t="str">
        <f t="shared" si="10"/>
        <v/>
      </c>
      <c r="J377" s="50" t="str">
        <f>IF(P377="","",IFERROR(ROUND(CHOOSE(VALUE(RIGHT(P377,1)),IF(SABADO!C147="peso_corporal",IF(ISNUMBER(SABADO!E147),SABADO!E147,0)+SABADO!F147,SABADO!F147)*SABADO!G147,IF(SABADO!C147="peso_corporal",IF(ISNUMBER(SABADO!E147),SABADO!E147,0)+SABADO!I147,SABADO!I147)*SABADO!J147,IF(SABADO!C147="peso_corporal",IF(ISNUMBER(SABADO!E147),SABADO!E147,0)+SABADO!L147,SABADO!L147)*SABADO!M147,IF(SABADO!C147="peso_corporal",IF(ISNUMBER(SABADO!E147),SABADO!E147,0)+SABADO!O147,SABADO!O147)*SABADO!P147,IF(SABADO!C147="peso_corporal",IF(ISNUMBER(SABADO!E147),SABADO!E147,0)+SABADO!R147,SABADO!R147)*SABADO!S147),1),""))</f>
        <v/>
      </c>
      <c r="K377" s="51" t="str">
        <f>IF(P377="","",IFERROR(ROUND(CHOOSE(VALUE(RIGHT(P377,1)),(IF(SABADO!C147="peso_corporal",IF(ISNUMBER(SABADO!E147),SABADO!E147,0)+SABADO!F147,SABADO!F147))*(1+SABADO!G147/30),(IF(SABADO!C147="peso_corporal",IF(ISNUMBER(SABADO!E147),SABADO!E147,0)+SABADO!I147,SABADO!I147))*(1+SABADO!J147/30),(IF(SABADO!C147="peso_corporal",IF(ISNUMBER(SABADO!E147),SABADO!E147,0)+SABADO!L147,SABADO!L147))*(1+SABADO!M147/30),(IF(SABADO!C147="peso_corporal",IF(ISNUMBER(SABADO!E147),SABADO!E147,0)+SABADO!O147,SABADO!O147))*(1+SABADO!P147/30),(IF(SABADO!C147="peso_corporal",IF(ISNUMBER(SABADO!E147),SABADO!E147,0)+SABADO!R147,SABADO!R147))*(1+SABADO!S147/30)),1),""))</f>
        <v/>
      </c>
      <c r="L377" s="52">
        <f>IFERROR(SABADO!E147,"")</f>
        <v>80</v>
      </c>
      <c r="M377" s="53" t="str">
        <f>IFERROR(IF(K377="","-",IF(ISNUMBER(LOOKUP(2,1/((HISTORIAL!$O$3:$O$376=O377)*(HISTORIAL!$F$3:$F$376&lt;&gt;"")),HISTORIAL!$K$3:$K$376)),IF(K377&gt;LOOKUP(2,1/((HISTORIAL!$O$3:$O$376=O377)*(HISTORIAL!$F$3:$F$376&lt;&gt;"")),HISTORIAL!$K$3:$K$376),"^",IF(K377&lt;LOOKUP(2,1/((HISTORIAL!$O$3:$O$376=O377)*(HISTORIAL!$F$3:$F$376&lt;&gt;"")),HISTORIAL!$K$3:$K$376),"v","-")),"-")),"-")</f>
        <v>-</v>
      </c>
      <c r="N377" s="54" t="str">
        <f>IFERROR(VLOOKUP(A377,CONFIG!$A$10:$B$21,2,0),"")</f>
        <v>FUE</v>
      </c>
      <c r="O377" s="55" t="str">
        <f t="shared" si="11"/>
        <v>Encogimientos|Mancuernas Trapecio</v>
      </c>
      <c r="P377" s="69" t="str">
        <f>SABADO!AC147</f>
        <v/>
      </c>
    </row>
    <row r="378" spans="1:16" ht="14.1" customHeight="1">
      <c r="A378" s="37">
        <v>6</v>
      </c>
      <c r="B378" s="37" t="s">
        <v>281</v>
      </c>
      <c r="C378" s="44" t="str">
        <f>SABADO!$A$148</f>
        <v>Face Pull</v>
      </c>
      <c r="D378" s="45" t="str">
        <f>SABADO!$B$148</f>
        <v>Polea Alta Cuerda</v>
      </c>
      <c r="E378" s="37" t="str">
        <f>SABADO!$C$148</f>
        <v>polea</v>
      </c>
      <c r="F378" s="46" t="str">
        <f>IF(P378="","",IFERROR(CHOOSE(VALUE(RIGHT(P378,1)),SABADO!F148,SABADO!I148,SABADO!L148,SABADO!O148,SABADO!R148),""))</f>
        <v/>
      </c>
      <c r="G378" s="47" t="str">
        <f>IF(P378="","",IFERROR(CHOOSE(VALUE(RIGHT(P378,1)),SABADO!G148,SABADO!J148,SABADO!M148,SABADO!P148,SABADO!S148),""))</f>
        <v/>
      </c>
      <c r="H378" s="48" t="str">
        <f>IF(P378="","",IFERROR(CHOOSE(VALUE(RIGHT(P378,1)),SABADO!H148,SABADO!K148,SABADO!N148,SABADO!Q148,SABADO!T148),""))</f>
        <v/>
      </c>
      <c r="I378" s="49" t="str">
        <f t="shared" si="10"/>
        <v/>
      </c>
      <c r="J378" s="50" t="str">
        <f>IF(P378="","",IFERROR(ROUND(CHOOSE(VALUE(RIGHT(P378,1)),IF(SABADO!C148="peso_corporal",IF(ISNUMBER(SABADO!E148),SABADO!E148,0)+SABADO!F148,SABADO!F148)*SABADO!G148,IF(SABADO!C148="peso_corporal",IF(ISNUMBER(SABADO!E148),SABADO!E148,0)+SABADO!I148,SABADO!I148)*SABADO!J148,IF(SABADO!C148="peso_corporal",IF(ISNUMBER(SABADO!E148),SABADO!E148,0)+SABADO!L148,SABADO!L148)*SABADO!M148,IF(SABADO!C148="peso_corporal",IF(ISNUMBER(SABADO!E148),SABADO!E148,0)+SABADO!O148,SABADO!O148)*SABADO!P148,IF(SABADO!C148="peso_corporal",IF(ISNUMBER(SABADO!E148),SABADO!E148,0)+SABADO!R148,SABADO!R148)*SABADO!S148),1),""))</f>
        <v/>
      </c>
      <c r="K378" s="51" t="str">
        <f>IF(P378="","",IFERROR(ROUND(CHOOSE(VALUE(RIGHT(P378,1)),(IF(SABADO!C148="peso_corporal",IF(ISNUMBER(SABADO!E148),SABADO!E148,0)+SABADO!F148,SABADO!F148))*(1+SABADO!G148/30),(IF(SABADO!C148="peso_corporal",IF(ISNUMBER(SABADO!E148),SABADO!E148,0)+SABADO!I148,SABADO!I148))*(1+SABADO!J148/30),(IF(SABADO!C148="peso_corporal",IF(ISNUMBER(SABADO!E148),SABADO!E148,0)+SABADO!L148,SABADO!L148))*(1+SABADO!M148/30),(IF(SABADO!C148="peso_corporal",IF(ISNUMBER(SABADO!E148),SABADO!E148,0)+SABADO!O148,SABADO!O148))*(1+SABADO!P148/30),(IF(SABADO!C148="peso_corporal",IF(ISNUMBER(SABADO!E148),SABADO!E148,0)+SABADO!R148,SABADO!R148))*(1+SABADO!S148/30)),1),""))</f>
        <v/>
      </c>
      <c r="L378" s="52">
        <f>IFERROR(SABADO!E148,"")</f>
        <v>80</v>
      </c>
      <c r="M378" s="53" t="str">
        <f>IFERROR(IF(K378="","-",IF(ISNUMBER(LOOKUP(2,1/((HISTORIAL!$O$3:$O$377=O378)*(HISTORIAL!$F$3:$F$377&lt;&gt;"")),HISTORIAL!$K$3:$K$377)),IF(K378&gt;LOOKUP(2,1/((HISTORIAL!$O$3:$O$377=O378)*(HISTORIAL!$F$3:$F$377&lt;&gt;"")),HISTORIAL!$K$3:$K$377),"^",IF(K378&lt;LOOKUP(2,1/((HISTORIAL!$O$3:$O$377=O378)*(HISTORIAL!$F$3:$F$377&lt;&gt;"")),HISTORIAL!$K$3:$K$377),"v","-")),"-")),"-")</f>
        <v>-</v>
      </c>
      <c r="N378" s="54" t="str">
        <f>IFERROR(VLOOKUP(A378,CONFIG!$A$10:$B$21,2,0),"")</f>
        <v>FUE</v>
      </c>
      <c r="O378" s="55" t="str">
        <f t="shared" si="11"/>
        <v>Face Pull|Polea Alta Cuerda</v>
      </c>
      <c r="P378" s="69" t="str">
        <f>SABADO!AC148</f>
        <v/>
      </c>
    </row>
    <row r="379" spans="1:16" ht="14.1" customHeight="1">
      <c r="A379" s="37">
        <v>6</v>
      </c>
      <c r="B379" s="37" t="s">
        <v>281</v>
      </c>
      <c r="C379" s="44" t="str">
        <f>SABADO!$A$150</f>
        <v>Hiperextension</v>
      </c>
      <c r="D379" s="45" t="str">
        <f>SABADO!$B$150</f>
        <v>Banco Romano</v>
      </c>
      <c r="E379" s="37" t="str">
        <f>SABADO!$C$150</f>
        <v>peso_corporal</v>
      </c>
      <c r="F379" s="46" t="str">
        <f>IF(P379="","",IFERROR(CHOOSE(VALUE(RIGHT(P379,1)),SABADO!F150,SABADO!I150,SABADO!L150,SABADO!O150,SABADO!R150),""))</f>
        <v/>
      </c>
      <c r="G379" s="47" t="str">
        <f>IF(P379="","",IFERROR(CHOOSE(VALUE(RIGHT(P379,1)),SABADO!G150,SABADO!J150,SABADO!M150,SABADO!P150,SABADO!S150),""))</f>
        <v/>
      </c>
      <c r="H379" s="48" t="str">
        <f>IF(P379="","",IFERROR(CHOOSE(VALUE(RIGHT(P379,1)),SABADO!H150,SABADO!K150,SABADO!N150,SABADO!Q150,SABADO!T150),""))</f>
        <v/>
      </c>
      <c r="I379" s="49" t="str">
        <f t="shared" si="10"/>
        <v/>
      </c>
      <c r="J379" s="50" t="str">
        <f>IF(P379="","",IFERROR(ROUND(CHOOSE(VALUE(RIGHT(P379,1)),IF(SABADO!C150="peso_corporal",IF(ISNUMBER(SABADO!E150),SABADO!E150,0)+SABADO!F150,SABADO!F150)*SABADO!G150,IF(SABADO!C150="peso_corporal",IF(ISNUMBER(SABADO!E150),SABADO!E150,0)+SABADO!I150,SABADO!I150)*SABADO!J150,IF(SABADO!C150="peso_corporal",IF(ISNUMBER(SABADO!E150),SABADO!E150,0)+SABADO!L150,SABADO!L150)*SABADO!M150,IF(SABADO!C150="peso_corporal",IF(ISNUMBER(SABADO!E150),SABADO!E150,0)+SABADO!O150,SABADO!O150)*SABADO!P150,IF(SABADO!C150="peso_corporal",IF(ISNUMBER(SABADO!E150),SABADO!E150,0)+SABADO!R150,SABADO!R150)*SABADO!S150),1),""))</f>
        <v/>
      </c>
      <c r="K379" s="51" t="str">
        <f>IF(P379="","",IFERROR(ROUND(CHOOSE(VALUE(RIGHT(P379,1)),(IF(SABADO!C150="peso_corporal",IF(ISNUMBER(SABADO!E150),SABADO!E150,0)+SABADO!F150,SABADO!F150))*(1+SABADO!G150/30),(IF(SABADO!C150="peso_corporal",IF(ISNUMBER(SABADO!E150),SABADO!E150,0)+SABADO!I150,SABADO!I150))*(1+SABADO!J150/30),(IF(SABADO!C150="peso_corporal",IF(ISNUMBER(SABADO!E150),SABADO!E150,0)+SABADO!L150,SABADO!L150))*(1+SABADO!M150/30),(IF(SABADO!C150="peso_corporal",IF(ISNUMBER(SABADO!E150),SABADO!E150,0)+SABADO!O150,SABADO!O150))*(1+SABADO!P150/30),(IF(SABADO!C150="peso_corporal",IF(ISNUMBER(SABADO!E150),SABADO!E150,0)+SABADO!R150,SABADO!R150))*(1+SABADO!S150/30)),1),""))</f>
        <v/>
      </c>
      <c r="L379" s="52">
        <f>IFERROR(SABADO!E150,"")</f>
        <v>80</v>
      </c>
      <c r="M379" s="53" t="str">
        <f>IFERROR(IF(K379="","-",IF(ISNUMBER(LOOKUP(2,1/((HISTORIAL!$O$3:$O$378=O379)*(HISTORIAL!$F$3:$F$378&lt;&gt;"")),HISTORIAL!$K$3:$K$378)),IF(K379&gt;LOOKUP(2,1/((HISTORIAL!$O$3:$O$378=O379)*(HISTORIAL!$F$3:$F$378&lt;&gt;"")),HISTORIAL!$K$3:$K$378),"^",IF(K379&lt;LOOKUP(2,1/((HISTORIAL!$O$3:$O$378=O379)*(HISTORIAL!$F$3:$F$378&lt;&gt;"")),HISTORIAL!$K$3:$K$378),"v","-")),"-")),"-")</f>
        <v>-</v>
      </c>
      <c r="N379" s="54" t="str">
        <f>IFERROR(VLOOKUP(A379,CONFIG!$A$10:$B$21,2,0),"")</f>
        <v>FUE</v>
      </c>
      <c r="O379" s="55" t="str">
        <f t="shared" si="11"/>
        <v>Hiperextension|Banco Romano</v>
      </c>
      <c r="P379" s="69" t="str">
        <f>SABADO!AC150</f>
        <v/>
      </c>
    </row>
    <row r="380" spans="1:16" ht="14.1" customHeight="1">
      <c r="A380" s="37">
        <v>6</v>
      </c>
      <c r="B380" s="37" t="s">
        <v>281</v>
      </c>
      <c r="C380" s="44" t="str">
        <f>SABADO!$A$152</f>
        <v>Crunch</v>
      </c>
      <c r="D380" s="45" t="str">
        <f>SABADO!$B$152</f>
        <v>Polea</v>
      </c>
      <c r="E380" s="37" t="str">
        <f>SABADO!$C$152</f>
        <v>polea</v>
      </c>
      <c r="F380" s="46" t="str">
        <f>IF(P380="","",IFERROR(CHOOSE(VALUE(RIGHT(P380,1)),SABADO!F152,SABADO!I152,SABADO!L152,SABADO!O152,SABADO!R152),""))</f>
        <v/>
      </c>
      <c r="G380" s="47" t="str">
        <f>IF(P380="","",IFERROR(CHOOSE(VALUE(RIGHT(P380,1)),SABADO!G152,SABADO!J152,SABADO!M152,SABADO!P152,SABADO!S152),""))</f>
        <v/>
      </c>
      <c r="H380" s="48" t="str">
        <f>IF(P380="","",IFERROR(CHOOSE(VALUE(RIGHT(P380,1)),SABADO!H152,SABADO!K152,SABADO!N152,SABADO!Q152,SABADO!T152),""))</f>
        <v/>
      </c>
      <c r="I380" s="49" t="str">
        <f t="shared" si="10"/>
        <v/>
      </c>
      <c r="J380" s="50" t="str">
        <f>IF(P380="","",IFERROR(ROUND(CHOOSE(VALUE(RIGHT(P380,1)),IF(SABADO!C152="peso_corporal",IF(ISNUMBER(SABADO!E152),SABADO!E152,0)+SABADO!F152,SABADO!F152)*SABADO!G152,IF(SABADO!C152="peso_corporal",IF(ISNUMBER(SABADO!E152),SABADO!E152,0)+SABADO!I152,SABADO!I152)*SABADO!J152,IF(SABADO!C152="peso_corporal",IF(ISNUMBER(SABADO!E152),SABADO!E152,0)+SABADO!L152,SABADO!L152)*SABADO!M152,IF(SABADO!C152="peso_corporal",IF(ISNUMBER(SABADO!E152),SABADO!E152,0)+SABADO!O152,SABADO!O152)*SABADO!P152,IF(SABADO!C152="peso_corporal",IF(ISNUMBER(SABADO!E152),SABADO!E152,0)+SABADO!R152,SABADO!R152)*SABADO!S152),1),""))</f>
        <v/>
      </c>
      <c r="K380" s="51" t="str">
        <f>IF(P380="","",IFERROR(ROUND(CHOOSE(VALUE(RIGHT(P380,1)),(IF(SABADO!C152="peso_corporal",IF(ISNUMBER(SABADO!E152),SABADO!E152,0)+SABADO!F152,SABADO!F152))*(1+SABADO!G152/30),(IF(SABADO!C152="peso_corporal",IF(ISNUMBER(SABADO!E152),SABADO!E152,0)+SABADO!I152,SABADO!I152))*(1+SABADO!J152/30),(IF(SABADO!C152="peso_corporal",IF(ISNUMBER(SABADO!E152),SABADO!E152,0)+SABADO!L152,SABADO!L152))*(1+SABADO!M152/30),(IF(SABADO!C152="peso_corporal",IF(ISNUMBER(SABADO!E152),SABADO!E152,0)+SABADO!O152,SABADO!O152))*(1+SABADO!P152/30),(IF(SABADO!C152="peso_corporal",IF(ISNUMBER(SABADO!E152),SABADO!E152,0)+SABADO!R152,SABADO!R152))*(1+SABADO!S152/30)),1),""))</f>
        <v/>
      </c>
      <c r="L380" s="52">
        <f>IFERROR(SABADO!E152,"")</f>
        <v>80</v>
      </c>
      <c r="M380" s="53" t="str">
        <f>IFERROR(IF(K380="","-",IF(ISNUMBER(LOOKUP(2,1/((HISTORIAL!$O$3:$O$379=O380)*(HISTORIAL!$F$3:$F$379&lt;&gt;"")),HISTORIAL!$K$3:$K$379)),IF(K380&gt;LOOKUP(2,1/((HISTORIAL!$O$3:$O$379=O380)*(HISTORIAL!$F$3:$F$379&lt;&gt;"")),HISTORIAL!$K$3:$K$379),"^",IF(K380&lt;LOOKUP(2,1/((HISTORIAL!$O$3:$O$379=O380)*(HISTORIAL!$F$3:$F$379&lt;&gt;"")),HISTORIAL!$K$3:$K$379),"v","-")),"-")),"-")</f>
        <v>-</v>
      </c>
      <c r="N380" s="54" t="str">
        <f>IFERROR(VLOOKUP(A380,CONFIG!$A$10:$B$21,2,0),"")</f>
        <v>FUE</v>
      </c>
      <c r="O380" s="55" t="str">
        <f t="shared" si="11"/>
        <v>Crunch|Polea</v>
      </c>
      <c r="P380" s="69" t="str">
        <f>SABADO!AC152</f>
        <v/>
      </c>
    </row>
    <row r="381" spans="1:16" ht="14.1" customHeight="1">
      <c r="A381" s="37">
        <v>7</v>
      </c>
      <c r="B381" s="37" t="s">
        <v>277</v>
      </c>
      <c r="C381" s="44" t="str">
        <f>LUNES!$A$145</f>
        <v>Press Plano</v>
      </c>
      <c r="D381" s="45" t="str">
        <f>LUNES!$B$145</f>
        <v>Barra</v>
      </c>
      <c r="E381" s="37" t="str">
        <f>LUNES!$C$145</f>
        <v>disco</v>
      </c>
      <c r="F381" s="46" t="str">
        <f>IF(P381="","",IFERROR(CHOOSE(VALUE(RIGHT(P381,1)),LUNES!F145,LUNES!I145,LUNES!L145,LUNES!O145,LUNES!R145),""))</f>
        <v/>
      </c>
      <c r="G381" s="47" t="str">
        <f>IF(P381="","",IFERROR(CHOOSE(VALUE(RIGHT(P381,1)),LUNES!G145,LUNES!J145,LUNES!M145,LUNES!P145,LUNES!S145),""))</f>
        <v/>
      </c>
      <c r="H381" s="48" t="str">
        <f>IF(P381="","",IFERROR(CHOOSE(VALUE(RIGHT(P381,1)),LUNES!H145,LUNES!K145,LUNES!N145,LUNES!Q145,LUNES!T145),""))</f>
        <v/>
      </c>
      <c r="I381" s="49" t="str">
        <f t="shared" si="10"/>
        <v/>
      </c>
      <c r="J381" s="50" t="str">
        <f>IF(P381="","",IFERROR(ROUND(CHOOSE(VALUE(RIGHT(P381,1)),IF(LUNES!C145="peso_corporal",IF(ISNUMBER(LUNES!E145),LUNES!E145,0)+LUNES!F145,LUNES!F145)*LUNES!G145,IF(LUNES!C145="peso_corporal",IF(ISNUMBER(LUNES!E145),LUNES!E145,0)+LUNES!I145,LUNES!I145)*LUNES!J145,IF(LUNES!C145="peso_corporal",IF(ISNUMBER(LUNES!E145),LUNES!E145,0)+LUNES!L145,LUNES!L145)*LUNES!M145,IF(LUNES!C145="peso_corporal",IF(ISNUMBER(LUNES!E145),LUNES!E145,0)+LUNES!O145,LUNES!O145)*LUNES!P145,IF(LUNES!C145="peso_corporal",IF(ISNUMBER(LUNES!E145),LUNES!E145,0)+LUNES!R145,LUNES!R145)*LUNES!S145),1),""))</f>
        <v/>
      </c>
      <c r="K381" s="51" t="str">
        <f>IF(P381="","",IFERROR(ROUND(CHOOSE(VALUE(RIGHT(P381,1)),(IF(LUNES!C145="peso_corporal",IF(ISNUMBER(LUNES!E145),LUNES!E145,0)+LUNES!F145,LUNES!F145))*(1+LUNES!G145/30),(IF(LUNES!C145="peso_corporal",IF(ISNUMBER(LUNES!E145),LUNES!E145,0)+LUNES!I145,LUNES!I145))*(1+LUNES!J145/30),(IF(LUNES!C145="peso_corporal",IF(ISNUMBER(LUNES!E145),LUNES!E145,0)+LUNES!L145,LUNES!L145))*(1+LUNES!M145/30),(IF(LUNES!C145="peso_corporal",IF(ISNUMBER(LUNES!E145),LUNES!E145,0)+LUNES!O145,LUNES!O145))*(1+LUNES!P145/30),(IF(LUNES!C145="peso_corporal",IF(ISNUMBER(LUNES!E145),LUNES!E145,0)+LUNES!R145,LUNES!R145))*(1+LUNES!S145/30)),1),""))</f>
        <v/>
      </c>
      <c r="L381" s="52">
        <f>IFERROR(LUNES!E145,"")</f>
        <v>80</v>
      </c>
      <c r="M381" s="53" t="str">
        <f>IFERROR(IF(K381="","-",IF(ISNUMBER(LOOKUP(2,1/((HISTORIAL!$O$3:$O$380=O381)*(HISTORIAL!$F$3:$F$380&lt;&gt;"")),HISTORIAL!$K$3:$K$380)),IF(K381&gt;LOOKUP(2,1/((HISTORIAL!$O$3:$O$380=O381)*(HISTORIAL!$F$3:$F$380&lt;&gt;"")),HISTORIAL!$K$3:$K$380),"^",IF(K381&lt;LOOKUP(2,1/((HISTORIAL!$O$3:$O$380=O381)*(HISTORIAL!$F$3:$F$380&lt;&gt;"")),HISTORIAL!$K$3:$K$380),"v","-")),"-")),"-")</f>
        <v>-</v>
      </c>
      <c r="N381" s="54" t="str">
        <f>IFERROR(VLOOKUP(A381,CONFIG!$A$10:$B$21,2,0),"")</f>
        <v>HIP</v>
      </c>
      <c r="O381" s="55" t="str">
        <f t="shared" si="11"/>
        <v>Press Plano|Barra</v>
      </c>
      <c r="P381" s="69" t="str">
        <f>LUNES!AC145</f>
        <v/>
      </c>
    </row>
    <row r="382" spans="1:16" ht="14.1" customHeight="1">
      <c r="A382" s="37">
        <v>7</v>
      </c>
      <c r="B382" s="37" t="s">
        <v>277</v>
      </c>
      <c r="C382" s="44" t="str">
        <f>LUNES!$A$147</f>
        <v>Press Inclinado</v>
      </c>
      <c r="D382" s="45" t="str">
        <f>LUNES!$B$147</f>
        <v>Mancuernas</v>
      </c>
      <c r="E382" s="37" t="str">
        <f>LUNES!$C$147</f>
        <v>mancuerna</v>
      </c>
      <c r="F382" s="46" t="str">
        <f>IF(P382="","",IFERROR(CHOOSE(VALUE(RIGHT(P382,1)),LUNES!F147,LUNES!I147,LUNES!L147,LUNES!O147,LUNES!R147),""))</f>
        <v/>
      </c>
      <c r="G382" s="47" t="str">
        <f>IF(P382="","",IFERROR(CHOOSE(VALUE(RIGHT(P382,1)),LUNES!G147,LUNES!J147,LUNES!M147,LUNES!P147,LUNES!S147),""))</f>
        <v/>
      </c>
      <c r="H382" s="48" t="str">
        <f>IF(P382="","",IFERROR(CHOOSE(VALUE(RIGHT(P382,1)),LUNES!H147,LUNES!K147,LUNES!N147,LUNES!Q147,LUNES!T147),""))</f>
        <v/>
      </c>
      <c r="I382" s="49" t="str">
        <f t="shared" si="10"/>
        <v/>
      </c>
      <c r="J382" s="50" t="str">
        <f>IF(P382="","",IFERROR(ROUND(CHOOSE(VALUE(RIGHT(P382,1)),IF(LUNES!C147="peso_corporal",IF(ISNUMBER(LUNES!E147),LUNES!E147,0)+LUNES!F147,LUNES!F147)*LUNES!G147,IF(LUNES!C147="peso_corporal",IF(ISNUMBER(LUNES!E147),LUNES!E147,0)+LUNES!I147,LUNES!I147)*LUNES!J147,IF(LUNES!C147="peso_corporal",IF(ISNUMBER(LUNES!E147),LUNES!E147,0)+LUNES!L147,LUNES!L147)*LUNES!M147,IF(LUNES!C147="peso_corporal",IF(ISNUMBER(LUNES!E147),LUNES!E147,0)+LUNES!O147,LUNES!O147)*LUNES!P147,IF(LUNES!C147="peso_corporal",IF(ISNUMBER(LUNES!E147),LUNES!E147,0)+LUNES!R147,LUNES!R147)*LUNES!S147),1),""))</f>
        <v/>
      </c>
      <c r="K382" s="51" t="str">
        <f>IF(P382="","",IFERROR(ROUND(CHOOSE(VALUE(RIGHT(P382,1)),(IF(LUNES!C147="peso_corporal",IF(ISNUMBER(LUNES!E147),LUNES!E147,0)+LUNES!F147,LUNES!F147))*(1+LUNES!G147/30),(IF(LUNES!C147="peso_corporal",IF(ISNUMBER(LUNES!E147),LUNES!E147,0)+LUNES!I147,LUNES!I147))*(1+LUNES!J147/30),(IF(LUNES!C147="peso_corporal",IF(ISNUMBER(LUNES!E147),LUNES!E147,0)+LUNES!L147,LUNES!L147))*(1+LUNES!M147/30),(IF(LUNES!C147="peso_corporal",IF(ISNUMBER(LUNES!E147),LUNES!E147,0)+LUNES!O147,LUNES!O147))*(1+LUNES!P147/30),(IF(LUNES!C147="peso_corporal",IF(ISNUMBER(LUNES!E147),LUNES!E147,0)+LUNES!R147,LUNES!R147))*(1+LUNES!S147/30)),1),""))</f>
        <v/>
      </c>
      <c r="L382" s="52">
        <f>IFERROR(LUNES!E147,"")</f>
        <v>80</v>
      </c>
      <c r="M382" s="53" t="str">
        <f>IFERROR(IF(K382="","-",IF(ISNUMBER(LOOKUP(2,1/((HISTORIAL!$O$3:$O$381=O382)*(HISTORIAL!$F$3:$F$381&lt;&gt;"")),HISTORIAL!$K$3:$K$381)),IF(K382&gt;LOOKUP(2,1/((HISTORIAL!$O$3:$O$381=O382)*(HISTORIAL!$F$3:$F$381&lt;&gt;"")),HISTORIAL!$K$3:$K$381),"^",IF(K382&lt;LOOKUP(2,1/((HISTORIAL!$O$3:$O$381=O382)*(HISTORIAL!$F$3:$F$381&lt;&gt;"")),HISTORIAL!$K$3:$K$381),"v","-")),"-")),"-")</f>
        <v>-</v>
      </c>
      <c r="N382" s="54" t="str">
        <f>IFERROR(VLOOKUP(A382,CONFIG!$A$10:$B$21,2,0),"")</f>
        <v>HIP</v>
      </c>
      <c r="O382" s="55" t="str">
        <f t="shared" si="11"/>
        <v>Press Inclinado|Mancuernas</v>
      </c>
      <c r="P382" s="69" t="str">
        <f>LUNES!AC147</f>
        <v/>
      </c>
    </row>
    <row r="383" spans="1:16" ht="14.1" customHeight="1">
      <c r="A383" s="37">
        <v>7</v>
      </c>
      <c r="B383" s="37" t="s">
        <v>277</v>
      </c>
      <c r="C383" s="44" t="str">
        <f>LUNES!$A$149</f>
        <v>Fondos</v>
      </c>
      <c r="D383" s="45" t="str">
        <f>LUNES!$B$149</f>
        <v>Paralelas</v>
      </c>
      <c r="E383" s="37" t="str">
        <f>LUNES!$C$149</f>
        <v>peso_corporal</v>
      </c>
      <c r="F383" s="46" t="str">
        <f>IF(P383="","",IFERROR(CHOOSE(VALUE(RIGHT(P383,1)),LUNES!F149,LUNES!I149,LUNES!L149,LUNES!O149,LUNES!R149),""))</f>
        <v/>
      </c>
      <c r="G383" s="47" t="str">
        <f>IF(P383="","",IFERROR(CHOOSE(VALUE(RIGHT(P383,1)),LUNES!G149,LUNES!J149,LUNES!M149,LUNES!P149,LUNES!S149),""))</f>
        <v/>
      </c>
      <c r="H383" s="48" t="str">
        <f>IF(P383="","",IFERROR(CHOOSE(VALUE(RIGHT(P383,1)),LUNES!H149,LUNES!K149,LUNES!N149,LUNES!Q149,LUNES!T149),""))</f>
        <v/>
      </c>
      <c r="I383" s="49" t="str">
        <f t="shared" si="10"/>
        <v/>
      </c>
      <c r="J383" s="50" t="str">
        <f>IF(P383="","",IFERROR(ROUND(CHOOSE(VALUE(RIGHT(P383,1)),IF(LUNES!C149="peso_corporal",IF(ISNUMBER(LUNES!E149),LUNES!E149,0)+LUNES!F149,LUNES!F149)*LUNES!G149,IF(LUNES!C149="peso_corporal",IF(ISNUMBER(LUNES!E149),LUNES!E149,0)+LUNES!I149,LUNES!I149)*LUNES!J149,IF(LUNES!C149="peso_corporal",IF(ISNUMBER(LUNES!E149),LUNES!E149,0)+LUNES!L149,LUNES!L149)*LUNES!M149,IF(LUNES!C149="peso_corporal",IF(ISNUMBER(LUNES!E149),LUNES!E149,0)+LUNES!O149,LUNES!O149)*LUNES!P149,IF(LUNES!C149="peso_corporal",IF(ISNUMBER(LUNES!E149),LUNES!E149,0)+LUNES!R149,LUNES!R149)*LUNES!S149),1),""))</f>
        <v/>
      </c>
      <c r="K383" s="51" t="str">
        <f>IF(P383="","",IFERROR(ROUND(CHOOSE(VALUE(RIGHT(P383,1)),(IF(LUNES!C149="peso_corporal",IF(ISNUMBER(LUNES!E149),LUNES!E149,0)+LUNES!F149,LUNES!F149))*(1+LUNES!G149/30),(IF(LUNES!C149="peso_corporal",IF(ISNUMBER(LUNES!E149),LUNES!E149,0)+LUNES!I149,LUNES!I149))*(1+LUNES!J149/30),(IF(LUNES!C149="peso_corporal",IF(ISNUMBER(LUNES!E149),LUNES!E149,0)+LUNES!L149,LUNES!L149))*(1+LUNES!M149/30),(IF(LUNES!C149="peso_corporal",IF(ISNUMBER(LUNES!E149),LUNES!E149,0)+LUNES!O149,LUNES!O149))*(1+LUNES!P149/30),(IF(LUNES!C149="peso_corporal",IF(ISNUMBER(LUNES!E149),LUNES!E149,0)+LUNES!R149,LUNES!R149))*(1+LUNES!S149/30)),1),""))</f>
        <v/>
      </c>
      <c r="L383" s="52">
        <f>IFERROR(LUNES!E149,"")</f>
        <v>80</v>
      </c>
      <c r="M383" s="53" t="str">
        <f>IFERROR(IF(K383="","-",IF(ISNUMBER(LOOKUP(2,1/((HISTORIAL!$O$3:$O$382=O383)*(HISTORIAL!$F$3:$F$382&lt;&gt;"")),HISTORIAL!$K$3:$K$382)),IF(K383&gt;LOOKUP(2,1/((HISTORIAL!$O$3:$O$382=O383)*(HISTORIAL!$F$3:$F$382&lt;&gt;"")),HISTORIAL!$K$3:$K$382),"^",IF(K383&lt;LOOKUP(2,1/((HISTORIAL!$O$3:$O$382=O383)*(HISTORIAL!$F$3:$F$382&lt;&gt;"")),HISTORIAL!$K$3:$K$382),"v","-")),"-")),"-")</f>
        <v>-</v>
      </c>
      <c r="N383" s="54" t="str">
        <f>IFERROR(VLOOKUP(A383,CONFIG!$A$10:$B$21,2,0),"")</f>
        <v>HIP</v>
      </c>
      <c r="O383" s="55" t="str">
        <f t="shared" si="11"/>
        <v>Fondos|Paralelas</v>
      </c>
      <c r="P383" s="69" t="str">
        <f>LUNES!AC149</f>
        <v/>
      </c>
    </row>
    <row r="384" spans="1:16" ht="14.1" customHeight="1">
      <c r="A384" s="37">
        <v>7</v>
      </c>
      <c r="B384" s="37" t="s">
        <v>277</v>
      </c>
      <c r="C384" s="44" t="str">
        <f>LUNES!$A$150</f>
        <v>Aperturas</v>
      </c>
      <c r="D384" s="45" t="str">
        <f>LUNES!$B$150</f>
        <v>Polea Baja Crossover</v>
      </c>
      <c r="E384" s="37" t="str">
        <f>LUNES!$C$150</f>
        <v>--</v>
      </c>
      <c r="F384" s="46" t="str">
        <f>IF(P384="","",IFERROR(CHOOSE(VALUE(RIGHT(P384,1)),LUNES!F150,LUNES!I150,LUNES!L150,LUNES!O150,LUNES!R150),""))</f>
        <v/>
      </c>
      <c r="G384" s="47" t="str">
        <f>IF(P384="","",IFERROR(CHOOSE(VALUE(RIGHT(P384,1)),LUNES!G150,LUNES!J150,LUNES!M150,LUNES!P150,LUNES!S150),""))</f>
        <v/>
      </c>
      <c r="H384" s="48" t="str">
        <f>IF(P384="","",IFERROR(CHOOSE(VALUE(RIGHT(P384,1)),LUNES!H150,LUNES!K150,LUNES!N150,LUNES!Q150,LUNES!T150),""))</f>
        <v/>
      </c>
      <c r="I384" s="49" t="str">
        <f t="shared" si="10"/>
        <v/>
      </c>
      <c r="J384" s="50" t="str">
        <f>IF(P384="","",IFERROR(ROUND(CHOOSE(VALUE(RIGHT(P384,1)),IF(LUNES!C150="peso_corporal",IF(ISNUMBER(LUNES!E150),LUNES!E150,0)+LUNES!F150,LUNES!F150)*LUNES!G150,IF(LUNES!C150="peso_corporal",IF(ISNUMBER(LUNES!E150),LUNES!E150,0)+LUNES!I150,LUNES!I150)*LUNES!J150,IF(LUNES!C150="peso_corporal",IF(ISNUMBER(LUNES!E150),LUNES!E150,0)+LUNES!L150,LUNES!L150)*LUNES!M150,IF(LUNES!C150="peso_corporal",IF(ISNUMBER(LUNES!E150),LUNES!E150,0)+LUNES!O150,LUNES!O150)*LUNES!P150,IF(LUNES!C150="peso_corporal",IF(ISNUMBER(LUNES!E150),LUNES!E150,0)+LUNES!R150,LUNES!R150)*LUNES!S150),1),""))</f>
        <v/>
      </c>
      <c r="K384" s="51" t="str">
        <f>IF(P384="","",IFERROR(ROUND(CHOOSE(VALUE(RIGHT(P384,1)),(IF(LUNES!C150="peso_corporal",IF(ISNUMBER(LUNES!E150),LUNES!E150,0)+LUNES!F150,LUNES!F150))*(1+LUNES!G150/30),(IF(LUNES!C150="peso_corporal",IF(ISNUMBER(LUNES!E150),LUNES!E150,0)+LUNES!I150,LUNES!I150))*(1+LUNES!J150/30),(IF(LUNES!C150="peso_corporal",IF(ISNUMBER(LUNES!E150),LUNES!E150,0)+LUNES!L150,LUNES!L150))*(1+LUNES!M150/30),(IF(LUNES!C150="peso_corporal",IF(ISNUMBER(LUNES!E150),LUNES!E150,0)+LUNES!O150,LUNES!O150))*(1+LUNES!P150/30),(IF(LUNES!C150="peso_corporal",IF(ISNUMBER(LUNES!E150),LUNES!E150,0)+LUNES!R150,LUNES!R150))*(1+LUNES!S150/30)),1),""))</f>
        <v/>
      </c>
      <c r="L384" s="52">
        <f>IFERROR(LUNES!E150,"")</f>
        <v>80</v>
      </c>
      <c r="M384" s="53" t="str">
        <f>IFERROR(IF(K384="","-",IF(ISNUMBER(LOOKUP(2,1/((HISTORIAL!$O$3:$O$383=O384)*(HISTORIAL!$F$3:$F$383&lt;&gt;"")),HISTORIAL!$K$3:$K$383)),IF(K384&gt;LOOKUP(2,1/((HISTORIAL!$O$3:$O$383=O384)*(HISTORIAL!$F$3:$F$383&lt;&gt;"")),HISTORIAL!$K$3:$K$383),"^",IF(K384&lt;LOOKUP(2,1/((HISTORIAL!$O$3:$O$383=O384)*(HISTORIAL!$F$3:$F$383&lt;&gt;"")),HISTORIAL!$K$3:$K$383),"v","-")),"-")),"-")</f>
        <v>-</v>
      </c>
      <c r="N384" s="54" t="str">
        <f>IFERROR(VLOOKUP(A384,CONFIG!$A$10:$B$21,2,0),"")</f>
        <v>HIP</v>
      </c>
      <c r="O384" s="55" t="str">
        <f t="shared" si="11"/>
        <v>Aperturas|Polea Baja Crossover</v>
      </c>
      <c r="P384" s="69" t="str">
        <f>LUNES!AC150</f>
        <v/>
      </c>
    </row>
    <row r="385" spans="1:16" ht="14.1" customHeight="1">
      <c r="A385" s="37">
        <v>7</v>
      </c>
      <c r="B385" s="37" t="s">
        <v>277</v>
      </c>
      <c r="C385" s="44" t="str">
        <f>LUNES!$A$151</f>
        <v>Aperturas</v>
      </c>
      <c r="D385" s="45" t="str">
        <f>LUNES!$B$151</f>
        <v>Pec Deck Maquina</v>
      </c>
      <c r="E385" s="37" t="str">
        <f>LUNES!$C$151</f>
        <v>--</v>
      </c>
      <c r="F385" s="46" t="str">
        <f>IF(P385="","",IFERROR(CHOOSE(VALUE(RIGHT(P385,1)),LUNES!F151,LUNES!I151,LUNES!L151,LUNES!O151,LUNES!R151),""))</f>
        <v/>
      </c>
      <c r="G385" s="47" t="str">
        <f>IF(P385="","",IFERROR(CHOOSE(VALUE(RIGHT(P385,1)),LUNES!G151,LUNES!J151,LUNES!M151,LUNES!P151,LUNES!S151),""))</f>
        <v/>
      </c>
      <c r="H385" s="48" t="str">
        <f>IF(P385="","",IFERROR(CHOOSE(VALUE(RIGHT(P385,1)),LUNES!H151,LUNES!K151,LUNES!N151,LUNES!Q151,LUNES!T151),""))</f>
        <v/>
      </c>
      <c r="I385" s="49" t="str">
        <f t="shared" si="10"/>
        <v/>
      </c>
      <c r="J385" s="50" t="str">
        <f>IF(P385="","",IFERROR(ROUND(CHOOSE(VALUE(RIGHT(P385,1)),IF(LUNES!C151="peso_corporal",IF(ISNUMBER(LUNES!E151),LUNES!E151,0)+LUNES!F151,LUNES!F151)*LUNES!G151,IF(LUNES!C151="peso_corporal",IF(ISNUMBER(LUNES!E151),LUNES!E151,0)+LUNES!I151,LUNES!I151)*LUNES!J151,IF(LUNES!C151="peso_corporal",IF(ISNUMBER(LUNES!E151),LUNES!E151,0)+LUNES!L151,LUNES!L151)*LUNES!M151,IF(LUNES!C151="peso_corporal",IF(ISNUMBER(LUNES!E151),LUNES!E151,0)+LUNES!O151,LUNES!O151)*LUNES!P151,IF(LUNES!C151="peso_corporal",IF(ISNUMBER(LUNES!E151),LUNES!E151,0)+LUNES!R151,LUNES!R151)*LUNES!S151),1),""))</f>
        <v/>
      </c>
      <c r="K385" s="51" t="str">
        <f>IF(P385="","",IFERROR(ROUND(CHOOSE(VALUE(RIGHT(P385,1)),(IF(LUNES!C151="peso_corporal",IF(ISNUMBER(LUNES!E151),LUNES!E151,0)+LUNES!F151,LUNES!F151))*(1+LUNES!G151/30),(IF(LUNES!C151="peso_corporal",IF(ISNUMBER(LUNES!E151),LUNES!E151,0)+LUNES!I151,LUNES!I151))*(1+LUNES!J151/30),(IF(LUNES!C151="peso_corporal",IF(ISNUMBER(LUNES!E151),LUNES!E151,0)+LUNES!L151,LUNES!L151))*(1+LUNES!M151/30),(IF(LUNES!C151="peso_corporal",IF(ISNUMBER(LUNES!E151),LUNES!E151,0)+LUNES!O151,LUNES!O151))*(1+LUNES!P151/30),(IF(LUNES!C151="peso_corporal",IF(ISNUMBER(LUNES!E151),LUNES!E151,0)+LUNES!R151,LUNES!R151))*(1+LUNES!S151/30)),1),""))</f>
        <v/>
      </c>
      <c r="L385" s="52">
        <f>IFERROR(LUNES!E151,"")</f>
        <v>80</v>
      </c>
      <c r="M385" s="53" t="str">
        <f>IFERROR(IF(K385="","-",IF(ISNUMBER(LOOKUP(2,1/((HISTORIAL!$O$3:$O$384=O385)*(HISTORIAL!$F$3:$F$384&lt;&gt;"")),HISTORIAL!$K$3:$K$384)),IF(K385&gt;LOOKUP(2,1/((HISTORIAL!$O$3:$O$384=O385)*(HISTORIAL!$F$3:$F$384&lt;&gt;"")),HISTORIAL!$K$3:$K$384),"^",IF(K385&lt;LOOKUP(2,1/((HISTORIAL!$O$3:$O$384=O385)*(HISTORIAL!$F$3:$F$384&lt;&gt;"")),HISTORIAL!$K$3:$K$384),"v","-")),"-")),"-")</f>
        <v>-</v>
      </c>
      <c r="N385" s="54" t="str">
        <f>IFERROR(VLOOKUP(A385,CONFIG!$A$10:$B$21,2,0),"")</f>
        <v>HIP</v>
      </c>
      <c r="O385" s="55" t="str">
        <f t="shared" si="11"/>
        <v>Aperturas|Pec Deck Maquina</v>
      </c>
      <c r="P385" s="69" t="str">
        <f>LUNES!AC151</f>
        <v/>
      </c>
    </row>
    <row r="386" spans="1:16" ht="14.1" customHeight="1">
      <c r="A386" s="37">
        <v>7</v>
      </c>
      <c r="B386" s="37" t="s">
        <v>277</v>
      </c>
      <c r="C386" s="44" t="str">
        <f>LUNES!$A$153</f>
        <v>Elevaciones Laterales</v>
      </c>
      <c r="D386" s="45" t="str">
        <f>LUNES!$B$153</f>
        <v>Cable Polea Individual</v>
      </c>
      <c r="E386" s="37" t="str">
        <f>LUNES!$C$153</f>
        <v>polea</v>
      </c>
      <c r="F386" s="46" t="str">
        <f>IF(P386="","",IFERROR(CHOOSE(VALUE(RIGHT(P386,1)),LUNES!F153,LUNES!I153,LUNES!L153,LUNES!O153,LUNES!R153),""))</f>
        <v/>
      </c>
      <c r="G386" s="47" t="str">
        <f>IF(P386="","",IFERROR(CHOOSE(VALUE(RIGHT(P386,1)),LUNES!G153,LUNES!J153,LUNES!M153,LUNES!P153,LUNES!S153),""))</f>
        <v/>
      </c>
      <c r="H386" s="48" t="str">
        <f>IF(P386="","",IFERROR(CHOOSE(VALUE(RIGHT(P386,1)),LUNES!H153,LUNES!K153,LUNES!N153,LUNES!Q153,LUNES!T153),""))</f>
        <v/>
      </c>
      <c r="I386" s="49" t="str">
        <f t="shared" si="10"/>
        <v/>
      </c>
      <c r="J386" s="50" t="str">
        <f>IF(P386="","",IFERROR(ROUND(CHOOSE(VALUE(RIGHT(P386,1)),IF(LUNES!C153="peso_corporal",IF(ISNUMBER(LUNES!E153),LUNES!E153,0)+LUNES!F153,LUNES!F153)*LUNES!G153,IF(LUNES!C153="peso_corporal",IF(ISNUMBER(LUNES!E153),LUNES!E153,0)+LUNES!I153,LUNES!I153)*LUNES!J153,IF(LUNES!C153="peso_corporal",IF(ISNUMBER(LUNES!E153),LUNES!E153,0)+LUNES!L153,LUNES!L153)*LUNES!M153,IF(LUNES!C153="peso_corporal",IF(ISNUMBER(LUNES!E153),LUNES!E153,0)+LUNES!O153,LUNES!O153)*LUNES!P153,IF(LUNES!C153="peso_corporal",IF(ISNUMBER(LUNES!E153),LUNES!E153,0)+LUNES!R153,LUNES!R153)*LUNES!S153),1),""))</f>
        <v/>
      </c>
      <c r="K386" s="51" t="str">
        <f>IF(P386="","",IFERROR(ROUND(CHOOSE(VALUE(RIGHT(P386,1)),(IF(LUNES!C153="peso_corporal",IF(ISNUMBER(LUNES!E153),LUNES!E153,0)+LUNES!F153,LUNES!F153))*(1+LUNES!G153/30),(IF(LUNES!C153="peso_corporal",IF(ISNUMBER(LUNES!E153),LUNES!E153,0)+LUNES!I153,LUNES!I153))*(1+LUNES!J153/30),(IF(LUNES!C153="peso_corporal",IF(ISNUMBER(LUNES!E153),LUNES!E153,0)+LUNES!L153,LUNES!L153))*(1+LUNES!M153/30),(IF(LUNES!C153="peso_corporal",IF(ISNUMBER(LUNES!E153),LUNES!E153,0)+LUNES!O153,LUNES!O153))*(1+LUNES!P153/30),(IF(LUNES!C153="peso_corporal",IF(ISNUMBER(LUNES!E153),LUNES!E153,0)+LUNES!R153,LUNES!R153))*(1+LUNES!S153/30)),1),""))</f>
        <v/>
      </c>
      <c r="L386" s="52">
        <f>IFERROR(LUNES!E153,"")</f>
        <v>80</v>
      </c>
      <c r="M386" s="53" t="str">
        <f>IFERROR(IF(K386="","-",IF(ISNUMBER(LOOKUP(2,1/((HISTORIAL!$O$3:$O$385=O386)*(HISTORIAL!$F$3:$F$385&lt;&gt;"")),HISTORIAL!$K$3:$K$385)),IF(K386&gt;LOOKUP(2,1/((HISTORIAL!$O$3:$O$385=O386)*(HISTORIAL!$F$3:$F$385&lt;&gt;"")),HISTORIAL!$K$3:$K$385),"^",IF(K386&lt;LOOKUP(2,1/((HISTORIAL!$O$3:$O$385=O386)*(HISTORIAL!$F$3:$F$385&lt;&gt;"")),HISTORIAL!$K$3:$K$385),"v","-")),"-")),"-")</f>
        <v>-</v>
      </c>
      <c r="N386" s="54" t="str">
        <f>IFERROR(VLOOKUP(A386,CONFIG!$A$10:$B$21,2,0),"")</f>
        <v>HIP</v>
      </c>
      <c r="O386" s="55" t="str">
        <f t="shared" si="11"/>
        <v>Elevaciones Laterales|Cable Polea Individual</v>
      </c>
      <c r="P386" s="69" t="str">
        <f>LUNES!AC153</f>
        <v/>
      </c>
    </row>
    <row r="387" spans="1:16" ht="14.1" customHeight="1">
      <c r="A387" s="37">
        <v>7</v>
      </c>
      <c r="B387" s="37" t="s">
        <v>277</v>
      </c>
      <c r="C387" s="44" t="str">
        <f>LUNES!$A$154</f>
        <v>Press Militar</v>
      </c>
      <c r="D387" s="45" t="str">
        <f>LUNES!$B$154</f>
        <v>Mancuernas Sentado</v>
      </c>
      <c r="E387" s="37" t="str">
        <f>LUNES!$C$154</f>
        <v>mancuerna</v>
      </c>
      <c r="F387" s="46" t="str">
        <f>IF(P387="","",IFERROR(CHOOSE(VALUE(RIGHT(P387,1)),LUNES!F154,LUNES!I154,LUNES!L154,LUNES!O154,LUNES!R154),""))</f>
        <v/>
      </c>
      <c r="G387" s="47" t="str">
        <f>IF(P387="","",IFERROR(CHOOSE(VALUE(RIGHT(P387,1)),LUNES!G154,LUNES!J154,LUNES!M154,LUNES!P154,LUNES!S154),""))</f>
        <v/>
      </c>
      <c r="H387" s="48" t="str">
        <f>IF(P387="","",IFERROR(CHOOSE(VALUE(RIGHT(P387,1)),LUNES!H154,LUNES!K154,LUNES!N154,LUNES!Q154,LUNES!T154),""))</f>
        <v/>
      </c>
      <c r="I387" s="49" t="str">
        <f t="shared" ref="I387:I450" si="12">IF(P387="","",LEFT(P387,1))</f>
        <v/>
      </c>
      <c r="J387" s="50" t="str">
        <f>IF(P387="","",IFERROR(ROUND(CHOOSE(VALUE(RIGHT(P387,1)),IF(LUNES!C154="peso_corporal",IF(ISNUMBER(LUNES!E154),LUNES!E154,0)+LUNES!F154,LUNES!F154)*LUNES!G154,IF(LUNES!C154="peso_corporal",IF(ISNUMBER(LUNES!E154),LUNES!E154,0)+LUNES!I154,LUNES!I154)*LUNES!J154,IF(LUNES!C154="peso_corporal",IF(ISNUMBER(LUNES!E154),LUNES!E154,0)+LUNES!L154,LUNES!L154)*LUNES!M154,IF(LUNES!C154="peso_corporal",IF(ISNUMBER(LUNES!E154),LUNES!E154,0)+LUNES!O154,LUNES!O154)*LUNES!P154,IF(LUNES!C154="peso_corporal",IF(ISNUMBER(LUNES!E154),LUNES!E154,0)+LUNES!R154,LUNES!R154)*LUNES!S154),1),""))</f>
        <v/>
      </c>
      <c r="K387" s="51" t="str">
        <f>IF(P387="","",IFERROR(ROUND(CHOOSE(VALUE(RIGHT(P387,1)),(IF(LUNES!C154="peso_corporal",IF(ISNUMBER(LUNES!E154),LUNES!E154,0)+LUNES!F154,LUNES!F154))*(1+LUNES!G154/30),(IF(LUNES!C154="peso_corporal",IF(ISNUMBER(LUNES!E154),LUNES!E154,0)+LUNES!I154,LUNES!I154))*(1+LUNES!J154/30),(IF(LUNES!C154="peso_corporal",IF(ISNUMBER(LUNES!E154),LUNES!E154,0)+LUNES!L154,LUNES!L154))*(1+LUNES!M154/30),(IF(LUNES!C154="peso_corporal",IF(ISNUMBER(LUNES!E154),LUNES!E154,0)+LUNES!O154,LUNES!O154))*(1+LUNES!P154/30),(IF(LUNES!C154="peso_corporal",IF(ISNUMBER(LUNES!E154),LUNES!E154,0)+LUNES!R154,LUNES!R154))*(1+LUNES!S154/30)),1),""))</f>
        <v/>
      </c>
      <c r="L387" s="52">
        <f>IFERROR(LUNES!E154,"")</f>
        <v>80</v>
      </c>
      <c r="M387" s="53" t="str">
        <f>IFERROR(IF(K387="","-",IF(ISNUMBER(LOOKUP(2,1/((HISTORIAL!$O$3:$O$386=O387)*(HISTORIAL!$F$3:$F$386&lt;&gt;"")),HISTORIAL!$K$3:$K$386)),IF(K387&gt;LOOKUP(2,1/((HISTORIAL!$O$3:$O$386=O387)*(HISTORIAL!$F$3:$F$386&lt;&gt;"")),HISTORIAL!$K$3:$K$386),"^",IF(K387&lt;LOOKUP(2,1/((HISTORIAL!$O$3:$O$386=O387)*(HISTORIAL!$F$3:$F$386&lt;&gt;"")),HISTORIAL!$K$3:$K$386),"v","-")),"-")),"-")</f>
        <v>-</v>
      </c>
      <c r="N387" s="54" t="str">
        <f>IFERROR(VLOOKUP(A387,CONFIG!$A$10:$B$21,2,0),"")</f>
        <v>HIP</v>
      </c>
      <c r="O387" s="55" t="str">
        <f t="shared" ref="O387:O450" si="13">C387&amp;"|"&amp;D387</f>
        <v>Press Militar|Mancuernas Sentado</v>
      </c>
      <c r="P387" s="69" t="str">
        <f>LUNES!AC154</f>
        <v/>
      </c>
    </row>
    <row r="388" spans="1:16" ht="14.1" customHeight="1">
      <c r="A388" s="37">
        <v>7</v>
      </c>
      <c r="B388" s="37" t="s">
        <v>277</v>
      </c>
      <c r="C388" s="44" t="str">
        <f>LUNES!$A$156</f>
        <v>Extension Triceps</v>
      </c>
      <c r="D388" s="45" t="str">
        <f>LUNES!$B$156</f>
        <v>Press Neutro Polea Individual</v>
      </c>
      <c r="E388" s="37" t="str">
        <f>LUNES!$C$156</f>
        <v>--</v>
      </c>
      <c r="F388" s="46" t="str">
        <f>IF(P388="","",IFERROR(CHOOSE(VALUE(RIGHT(P388,1)),LUNES!F156,LUNES!I156,LUNES!L156,LUNES!O156,LUNES!R156),""))</f>
        <v/>
      </c>
      <c r="G388" s="47" t="str">
        <f>IF(P388="","",IFERROR(CHOOSE(VALUE(RIGHT(P388,1)),LUNES!G156,LUNES!J156,LUNES!M156,LUNES!P156,LUNES!S156),""))</f>
        <v/>
      </c>
      <c r="H388" s="48" t="str">
        <f>IF(P388="","",IFERROR(CHOOSE(VALUE(RIGHT(P388,1)),LUNES!H156,LUNES!K156,LUNES!N156,LUNES!Q156,LUNES!T156),""))</f>
        <v/>
      </c>
      <c r="I388" s="49" t="str">
        <f t="shared" si="12"/>
        <v/>
      </c>
      <c r="J388" s="50" t="str">
        <f>IF(P388="","",IFERROR(ROUND(CHOOSE(VALUE(RIGHT(P388,1)),IF(LUNES!C156="peso_corporal",IF(ISNUMBER(LUNES!E156),LUNES!E156,0)+LUNES!F156,LUNES!F156)*LUNES!G156,IF(LUNES!C156="peso_corporal",IF(ISNUMBER(LUNES!E156),LUNES!E156,0)+LUNES!I156,LUNES!I156)*LUNES!J156,IF(LUNES!C156="peso_corporal",IF(ISNUMBER(LUNES!E156),LUNES!E156,0)+LUNES!L156,LUNES!L156)*LUNES!M156,IF(LUNES!C156="peso_corporal",IF(ISNUMBER(LUNES!E156),LUNES!E156,0)+LUNES!O156,LUNES!O156)*LUNES!P156,IF(LUNES!C156="peso_corporal",IF(ISNUMBER(LUNES!E156),LUNES!E156,0)+LUNES!R156,LUNES!R156)*LUNES!S156),1),""))</f>
        <v/>
      </c>
      <c r="K388" s="51" t="str">
        <f>IF(P388="","",IFERROR(ROUND(CHOOSE(VALUE(RIGHT(P388,1)),(IF(LUNES!C156="peso_corporal",IF(ISNUMBER(LUNES!E156),LUNES!E156,0)+LUNES!F156,LUNES!F156))*(1+LUNES!G156/30),(IF(LUNES!C156="peso_corporal",IF(ISNUMBER(LUNES!E156),LUNES!E156,0)+LUNES!I156,LUNES!I156))*(1+LUNES!J156/30),(IF(LUNES!C156="peso_corporal",IF(ISNUMBER(LUNES!E156),LUNES!E156,0)+LUNES!L156,LUNES!L156))*(1+LUNES!M156/30),(IF(LUNES!C156="peso_corporal",IF(ISNUMBER(LUNES!E156),LUNES!E156,0)+LUNES!O156,LUNES!O156))*(1+LUNES!P156/30),(IF(LUNES!C156="peso_corporal",IF(ISNUMBER(LUNES!E156),LUNES!E156,0)+LUNES!R156,LUNES!R156))*(1+LUNES!S156/30)),1),""))</f>
        <v/>
      </c>
      <c r="L388" s="52">
        <f>IFERROR(LUNES!E156,"")</f>
        <v>80</v>
      </c>
      <c r="M388" s="53" t="str">
        <f>IFERROR(IF(K388="","-",IF(ISNUMBER(LOOKUP(2,1/((HISTORIAL!$O$3:$O$387=O388)*(HISTORIAL!$F$3:$F$387&lt;&gt;"")),HISTORIAL!$K$3:$K$387)),IF(K388&gt;LOOKUP(2,1/((HISTORIAL!$O$3:$O$387=O388)*(HISTORIAL!$F$3:$F$387&lt;&gt;"")),HISTORIAL!$K$3:$K$387),"^",IF(K388&lt;LOOKUP(2,1/((HISTORIAL!$O$3:$O$387=O388)*(HISTORIAL!$F$3:$F$387&lt;&gt;"")),HISTORIAL!$K$3:$K$387),"v","-")),"-")),"-")</f>
        <v>-</v>
      </c>
      <c r="N388" s="54" t="str">
        <f>IFERROR(VLOOKUP(A388,CONFIG!$A$10:$B$21,2,0),"")</f>
        <v>HIP</v>
      </c>
      <c r="O388" s="55" t="str">
        <f t="shared" si="13"/>
        <v>Extension Triceps|Press Neutro Polea Individual</v>
      </c>
      <c r="P388" s="69" t="str">
        <f>LUNES!AC156</f>
        <v/>
      </c>
    </row>
    <row r="389" spans="1:16" ht="14.1" customHeight="1">
      <c r="A389" s="37">
        <v>7</v>
      </c>
      <c r="B389" s="37" t="s">
        <v>277</v>
      </c>
      <c r="C389" s="44" t="str">
        <f>LUNES!$A$158</f>
        <v>Extension Cuadriceps</v>
      </c>
      <c r="D389" s="45" t="str">
        <f>LUNES!$B$158</f>
        <v>Vasto Externo</v>
      </c>
      <c r="E389" s="37" t="str">
        <f>LUNES!$C$158</f>
        <v>--</v>
      </c>
      <c r="F389" s="46" t="str">
        <f>IF(P389="","",IFERROR(CHOOSE(VALUE(RIGHT(P389,1)),LUNES!F158,LUNES!I158,LUNES!L158,LUNES!O158,LUNES!R158),""))</f>
        <v/>
      </c>
      <c r="G389" s="47" t="str">
        <f>IF(P389="","",IFERROR(CHOOSE(VALUE(RIGHT(P389,1)),LUNES!G158,LUNES!J158,LUNES!M158,LUNES!P158,LUNES!S158),""))</f>
        <v/>
      </c>
      <c r="H389" s="48" t="str">
        <f>IF(P389="","",IFERROR(CHOOSE(VALUE(RIGHT(P389,1)),LUNES!H158,LUNES!K158,LUNES!N158,LUNES!Q158,LUNES!T158),""))</f>
        <v/>
      </c>
      <c r="I389" s="49" t="str">
        <f t="shared" si="12"/>
        <v/>
      </c>
      <c r="J389" s="50" t="str">
        <f>IF(P389="","",IFERROR(ROUND(CHOOSE(VALUE(RIGHT(P389,1)),IF(LUNES!C158="peso_corporal",IF(ISNUMBER(LUNES!E158),LUNES!E158,0)+LUNES!F158,LUNES!F158)*LUNES!G158,IF(LUNES!C158="peso_corporal",IF(ISNUMBER(LUNES!E158),LUNES!E158,0)+LUNES!I158,LUNES!I158)*LUNES!J158,IF(LUNES!C158="peso_corporal",IF(ISNUMBER(LUNES!E158),LUNES!E158,0)+LUNES!L158,LUNES!L158)*LUNES!M158,IF(LUNES!C158="peso_corporal",IF(ISNUMBER(LUNES!E158),LUNES!E158,0)+LUNES!O158,LUNES!O158)*LUNES!P158,IF(LUNES!C158="peso_corporal",IF(ISNUMBER(LUNES!E158),LUNES!E158,0)+LUNES!R158,LUNES!R158)*LUNES!S158),1),""))</f>
        <v/>
      </c>
      <c r="K389" s="51" t="str">
        <f>IF(P389="","",IFERROR(ROUND(CHOOSE(VALUE(RIGHT(P389,1)),(IF(LUNES!C158="peso_corporal",IF(ISNUMBER(LUNES!E158),LUNES!E158,0)+LUNES!F158,LUNES!F158))*(1+LUNES!G158/30),(IF(LUNES!C158="peso_corporal",IF(ISNUMBER(LUNES!E158),LUNES!E158,0)+LUNES!I158,LUNES!I158))*(1+LUNES!J158/30),(IF(LUNES!C158="peso_corporal",IF(ISNUMBER(LUNES!E158),LUNES!E158,0)+LUNES!L158,LUNES!L158))*(1+LUNES!M158/30),(IF(LUNES!C158="peso_corporal",IF(ISNUMBER(LUNES!E158),LUNES!E158,0)+LUNES!O158,LUNES!O158))*(1+LUNES!P158/30),(IF(LUNES!C158="peso_corporal",IF(ISNUMBER(LUNES!E158),LUNES!E158,0)+LUNES!R158,LUNES!R158))*(1+LUNES!S158/30)),1),""))</f>
        <v/>
      </c>
      <c r="L389" s="52">
        <f>IFERROR(LUNES!E158,"")</f>
        <v>80</v>
      </c>
      <c r="M389" s="53" t="str">
        <f>IFERROR(IF(K389="","-",IF(ISNUMBER(LOOKUP(2,1/((HISTORIAL!$O$3:$O$388=O389)*(HISTORIAL!$F$3:$F$388&lt;&gt;"")),HISTORIAL!$K$3:$K$388)),IF(K389&gt;LOOKUP(2,1/((HISTORIAL!$O$3:$O$388=O389)*(HISTORIAL!$F$3:$F$388&lt;&gt;"")),HISTORIAL!$K$3:$K$388),"^",IF(K389&lt;LOOKUP(2,1/((HISTORIAL!$O$3:$O$388=O389)*(HISTORIAL!$F$3:$F$388&lt;&gt;"")),HISTORIAL!$K$3:$K$388),"v","-")),"-")),"-")</f>
        <v>-</v>
      </c>
      <c r="N389" s="54" t="str">
        <f>IFERROR(VLOOKUP(A389,CONFIG!$A$10:$B$21,2,0),"")</f>
        <v>HIP</v>
      </c>
      <c r="O389" s="55" t="str">
        <f t="shared" si="13"/>
        <v>Extension Cuadriceps|Vasto Externo</v>
      </c>
      <c r="P389" s="69" t="str">
        <f>LUNES!AC158</f>
        <v/>
      </c>
    </row>
    <row r="390" spans="1:16" ht="14.1" customHeight="1">
      <c r="A390" s="37">
        <v>7</v>
      </c>
      <c r="B390" s="37" t="s">
        <v>277</v>
      </c>
      <c r="C390" s="44" t="str">
        <f>LUNES!$A$160</f>
        <v>Curl Biceps</v>
      </c>
      <c r="D390" s="45" t="str">
        <f>LUNES!$B$160</f>
        <v>Inclinado Banco Mancuernas</v>
      </c>
      <c r="E390" s="37" t="str">
        <f>LUNES!$C$160</f>
        <v>mancuerna</v>
      </c>
      <c r="F390" s="46" t="str">
        <f>IF(P390="","",IFERROR(CHOOSE(VALUE(RIGHT(P390,1)),LUNES!F160,LUNES!I160,LUNES!L160,LUNES!O160,LUNES!R160),""))</f>
        <v/>
      </c>
      <c r="G390" s="47" t="str">
        <f>IF(P390="","",IFERROR(CHOOSE(VALUE(RIGHT(P390,1)),LUNES!G160,LUNES!J160,LUNES!M160,LUNES!P160,LUNES!S160),""))</f>
        <v/>
      </c>
      <c r="H390" s="48" t="str">
        <f>IF(P390="","",IFERROR(CHOOSE(VALUE(RIGHT(P390,1)),LUNES!H160,LUNES!K160,LUNES!N160,LUNES!Q160,LUNES!T160),""))</f>
        <v/>
      </c>
      <c r="I390" s="49" t="str">
        <f t="shared" si="12"/>
        <v/>
      </c>
      <c r="J390" s="50" t="str">
        <f>IF(P390="","",IFERROR(ROUND(CHOOSE(VALUE(RIGHT(P390,1)),IF(LUNES!C160="peso_corporal",IF(ISNUMBER(LUNES!E160),LUNES!E160,0)+LUNES!F160,LUNES!F160)*LUNES!G160,IF(LUNES!C160="peso_corporal",IF(ISNUMBER(LUNES!E160),LUNES!E160,0)+LUNES!I160,LUNES!I160)*LUNES!J160,IF(LUNES!C160="peso_corporal",IF(ISNUMBER(LUNES!E160),LUNES!E160,0)+LUNES!L160,LUNES!L160)*LUNES!M160,IF(LUNES!C160="peso_corporal",IF(ISNUMBER(LUNES!E160),LUNES!E160,0)+LUNES!O160,LUNES!O160)*LUNES!P160,IF(LUNES!C160="peso_corporal",IF(ISNUMBER(LUNES!E160),LUNES!E160,0)+LUNES!R160,LUNES!R160)*LUNES!S160),1),""))</f>
        <v/>
      </c>
      <c r="K390" s="51" t="str">
        <f>IF(P390="","",IFERROR(ROUND(CHOOSE(VALUE(RIGHT(P390,1)),(IF(LUNES!C160="peso_corporal",IF(ISNUMBER(LUNES!E160),LUNES!E160,0)+LUNES!F160,LUNES!F160))*(1+LUNES!G160/30),(IF(LUNES!C160="peso_corporal",IF(ISNUMBER(LUNES!E160),LUNES!E160,0)+LUNES!I160,LUNES!I160))*(1+LUNES!J160/30),(IF(LUNES!C160="peso_corporal",IF(ISNUMBER(LUNES!E160),LUNES!E160,0)+LUNES!L160,LUNES!L160))*(1+LUNES!M160/30),(IF(LUNES!C160="peso_corporal",IF(ISNUMBER(LUNES!E160),LUNES!E160,0)+LUNES!O160,LUNES!O160))*(1+LUNES!P160/30),(IF(LUNES!C160="peso_corporal",IF(ISNUMBER(LUNES!E160),LUNES!E160,0)+LUNES!R160,LUNES!R160))*(1+LUNES!S160/30)),1),""))</f>
        <v/>
      </c>
      <c r="L390" s="52">
        <f>IFERROR(LUNES!E160,"")</f>
        <v>80</v>
      </c>
      <c r="M390" s="53" t="str">
        <f>IFERROR(IF(K390="","-",IF(ISNUMBER(LOOKUP(2,1/((HISTORIAL!$O$3:$O$389=O390)*(HISTORIAL!$F$3:$F$389&lt;&gt;"")),HISTORIAL!$K$3:$K$389)),IF(K390&gt;LOOKUP(2,1/((HISTORIAL!$O$3:$O$389=O390)*(HISTORIAL!$F$3:$F$389&lt;&gt;"")),HISTORIAL!$K$3:$K$389),"^",IF(K390&lt;LOOKUP(2,1/((HISTORIAL!$O$3:$O$389=O390)*(HISTORIAL!$F$3:$F$389&lt;&gt;"")),HISTORIAL!$K$3:$K$389),"v","-")),"-")),"-")</f>
        <v>-</v>
      </c>
      <c r="N390" s="54" t="str">
        <f>IFERROR(VLOOKUP(A390,CONFIG!$A$10:$B$21,2,0),"")</f>
        <v>HIP</v>
      </c>
      <c r="O390" s="55" t="str">
        <f t="shared" si="13"/>
        <v>Curl Biceps|Inclinado Banco Mancuernas</v>
      </c>
      <c r="P390" s="69" t="str">
        <f>LUNES!AC160</f>
        <v/>
      </c>
    </row>
    <row r="391" spans="1:16" ht="14.1" customHeight="1">
      <c r="A391" s="37">
        <v>7</v>
      </c>
      <c r="B391" s="37" t="s">
        <v>277</v>
      </c>
      <c r="C391" s="44" t="str">
        <f>LUNES!$A$162</f>
        <v>Crunch</v>
      </c>
      <c r="D391" s="45" t="str">
        <f>LUNES!$B$162</f>
        <v>Polea</v>
      </c>
      <c r="E391" s="37" t="str">
        <f>LUNES!$C$162</f>
        <v>polea</v>
      </c>
      <c r="F391" s="46" t="str">
        <f>IF(P391="","",IFERROR(CHOOSE(VALUE(RIGHT(P391,1)),LUNES!F162,LUNES!I162,LUNES!L162,LUNES!O162,LUNES!R162),""))</f>
        <v/>
      </c>
      <c r="G391" s="47" t="str">
        <f>IF(P391="","",IFERROR(CHOOSE(VALUE(RIGHT(P391,1)),LUNES!G162,LUNES!J162,LUNES!M162,LUNES!P162,LUNES!S162),""))</f>
        <v/>
      </c>
      <c r="H391" s="48" t="str">
        <f>IF(P391="","",IFERROR(CHOOSE(VALUE(RIGHT(P391,1)),LUNES!H162,LUNES!K162,LUNES!N162,LUNES!Q162,LUNES!T162),""))</f>
        <v/>
      </c>
      <c r="I391" s="49" t="str">
        <f t="shared" si="12"/>
        <v/>
      </c>
      <c r="J391" s="50" t="str">
        <f>IF(P391="","",IFERROR(ROUND(CHOOSE(VALUE(RIGHT(P391,1)),IF(LUNES!C162="peso_corporal",IF(ISNUMBER(LUNES!E162),LUNES!E162,0)+LUNES!F162,LUNES!F162)*LUNES!G162,IF(LUNES!C162="peso_corporal",IF(ISNUMBER(LUNES!E162),LUNES!E162,0)+LUNES!I162,LUNES!I162)*LUNES!J162,IF(LUNES!C162="peso_corporal",IF(ISNUMBER(LUNES!E162),LUNES!E162,0)+LUNES!L162,LUNES!L162)*LUNES!M162,IF(LUNES!C162="peso_corporal",IF(ISNUMBER(LUNES!E162),LUNES!E162,0)+LUNES!O162,LUNES!O162)*LUNES!P162,IF(LUNES!C162="peso_corporal",IF(ISNUMBER(LUNES!E162),LUNES!E162,0)+LUNES!R162,LUNES!R162)*LUNES!S162),1),""))</f>
        <v/>
      </c>
      <c r="K391" s="51" t="str">
        <f>IF(P391="","",IFERROR(ROUND(CHOOSE(VALUE(RIGHT(P391,1)),(IF(LUNES!C162="peso_corporal",IF(ISNUMBER(LUNES!E162),LUNES!E162,0)+LUNES!F162,LUNES!F162))*(1+LUNES!G162/30),(IF(LUNES!C162="peso_corporal",IF(ISNUMBER(LUNES!E162),LUNES!E162,0)+LUNES!I162,LUNES!I162))*(1+LUNES!J162/30),(IF(LUNES!C162="peso_corporal",IF(ISNUMBER(LUNES!E162),LUNES!E162,0)+LUNES!L162,LUNES!L162))*(1+LUNES!M162/30),(IF(LUNES!C162="peso_corporal",IF(ISNUMBER(LUNES!E162),LUNES!E162,0)+LUNES!O162,LUNES!O162))*(1+LUNES!P162/30),(IF(LUNES!C162="peso_corporal",IF(ISNUMBER(LUNES!E162),LUNES!E162,0)+LUNES!R162,LUNES!R162))*(1+LUNES!S162/30)),1),""))</f>
        <v/>
      </c>
      <c r="L391" s="52">
        <f>IFERROR(LUNES!E162,"")</f>
        <v>80</v>
      </c>
      <c r="M391" s="53" t="str">
        <f>IFERROR(IF(K391="","-",IF(ISNUMBER(LOOKUP(2,1/((HISTORIAL!$O$3:$O$390=O391)*(HISTORIAL!$F$3:$F$390&lt;&gt;"")),HISTORIAL!$K$3:$K$390)),IF(K391&gt;LOOKUP(2,1/((HISTORIAL!$O$3:$O$390=O391)*(HISTORIAL!$F$3:$F$390&lt;&gt;"")),HISTORIAL!$K$3:$K$390),"^",IF(K391&lt;LOOKUP(2,1/((HISTORIAL!$O$3:$O$390=O391)*(HISTORIAL!$F$3:$F$390&lt;&gt;"")),HISTORIAL!$K$3:$K$390),"v","-")),"-")),"-")</f>
        <v>-</v>
      </c>
      <c r="N391" s="54" t="str">
        <f>IFERROR(VLOOKUP(A391,CONFIG!$A$10:$B$21,2,0),"")</f>
        <v>HIP</v>
      </c>
      <c r="O391" s="55" t="str">
        <f t="shared" si="13"/>
        <v>Crunch|Polea</v>
      </c>
      <c r="P391" s="69" t="str">
        <f>LUNES!AC162</f>
        <v/>
      </c>
    </row>
    <row r="392" spans="1:16" ht="14.1" customHeight="1">
      <c r="A392" s="37">
        <v>7</v>
      </c>
      <c r="B392" s="37" t="s">
        <v>278</v>
      </c>
      <c r="C392" s="44" t="str">
        <f>MARTES!$A$139</f>
        <v>Dominadas</v>
      </c>
      <c r="D392" s="45" t="str">
        <f>MARTES!$B$139</f>
        <v>Polea Alta Prono Ancho</v>
      </c>
      <c r="E392" s="37" t="str">
        <f>MARTES!$C$139</f>
        <v>peso_corporal</v>
      </c>
      <c r="F392" s="46" t="str">
        <f>IF(P392="","",IFERROR(CHOOSE(VALUE(RIGHT(P392,1)),MARTES!F139,MARTES!I139,MARTES!L139,MARTES!O139,MARTES!R139),""))</f>
        <v/>
      </c>
      <c r="G392" s="47" t="str">
        <f>IF(P392="","",IFERROR(CHOOSE(VALUE(RIGHT(P392,1)),MARTES!G139,MARTES!J139,MARTES!M139,MARTES!P139,MARTES!S139),""))</f>
        <v/>
      </c>
      <c r="H392" s="48" t="str">
        <f>IF(P392="","",IFERROR(CHOOSE(VALUE(RIGHT(P392,1)),MARTES!H139,MARTES!K139,MARTES!N139,MARTES!Q139,MARTES!T139),""))</f>
        <v/>
      </c>
      <c r="I392" s="49" t="str">
        <f t="shared" si="12"/>
        <v/>
      </c>
      <c r="J392" s="50" t="str">
        <f>IF(P392="","",IFERROR(ROUND(CHOOSE(VALUE(RIGHT(P392,1)),IF(MARTES!C139="peso_corporal",IF(ISNUMBER(MARTES!E139),MARTES!E139,0)+MARTES!F139,MARTES!F139)*MARTES!G139,IF(MARTES!C139="peso_corporal",IF(ISNUMBER(MARTES!E139),MARTES!E139,0)+MARTES!I139,MARTES!I139)*MARTES!J139,IF(MARTES!C139="peso_corporal",IF(ISNUMBER(MARTES!E139),MARTES!E139,0)+MARTES!L139,MARTES!L139)*MARTES!M139,IF(MARTES!C139="peso_corporal",IF(ISNUMBER(MARTES!E139),MARTES!E139,0)+MARTES!O139,MARTES!O139)*MARTES!P139,IF(MARTES!C139="peso_corporal",IF(ISNUMBER(MARTES!E139),MARTES!E139,0)+MARTES!R139,MARTES!R139)*MARTES!S139),1),""))</f>
        <v/>
      </c>
      <c r="K392" s="51" t="str">
        <f>IF(P392="","",IFERROR(ROUND(CHOOSE(VALUE(RIGHT(P392,1)),(IF(MARTES!C139="peso_corporal",IF(ISNUMBER(MARTES!E139),MARTES!E139,0)+MARTES!F139,MARTES!F139))*(1+MARTES!G139/30),(IF(MARTES!C139="peso_corporal",IF(ISNUMBER(MARTES!E139),MARTES!E139,0)+MARTES!I139,MARTES!I139))*(1+MARTES!J139/30),(IF(MARTES!C139="peso_corporal",IF(ISNUMBER(MARTES!E139),MARTES!E139,0)+MARTES!L139,MARTES!L139))*(1+MARTES!M139/30),(IF(MARTES!C139="peso_corporal",IF(ISNUMBER(MARTES!E139),MARTES!E139,0)+MARTES!O139,MARTES!O139))*(1+MARTES!P139/30),(IF(MARTES!C139="peso_corporal",IF(ISNUMBER(MARTES!E139),MARTES!E139,0)+MARTES!R139,MARTES!R139))*(1+MARTES!S139/30)),1),""))</f>
        <v/>
      </c>
      <c r="L392" s="52">
        <f>IFERROR(MARTES!E139,"")</f>
        <v>80</v>
      </c>
      <c r="M392" s="53" t="str">
        <f>IFERROR(IF(K392="","-",IF(ISNUMBER(LOOKUP(2,1/((HISTORIAL!$O$3:$O$391=O392)*(HISTORIAL!$F$3:$F$391&lt;&gt;"")),HISTORIAL!$K$3:$K$391)),IF(K392&gt;LOOKUP(2,1/((HISTORIAL!$O$3:$O$391=O392)*(HISTORIAL!$F$3:$F$391&lt;&gt;"")),HISTORIAL!$K$3:$K$391),"^",IF(K392&lt;LOOKUP(2,1/((HISTORIAL!$O$3:$O$391=O392)*(HISTORIAL!$F$3:$F$391&lt;&gt;"")),HISTORIAL!$K$3:$K$391),"v","-")),"-")),"-")</f>
        <v>-</v>
      </c>
      <c r="N392" s="54" t="str">
        <f>IFERROR(VLOOKUP(A392,CONFIG!$A$10:$B$21,2,0),"")</f>
        <v>HIP</v>
      </c>
      <c r="O392" s="55" t="str">
        <f t="shared" si="13"/>
        <v>Dominadas|Polea Alta Prono Ancho</v>
      </c>
      <c r="P392" s="69" t="str">
        <f>MARTES!AC139</f>
        <v/>
      </c>
    </row>
    <row r="393" spans="1:16" ht="14.1" customHeight="1">
      <c r="A393" s="37">
        <v>7</v>
      </c>
      <c r="B393" s="37" t="s">
        <v>278</v>
      </c>
      <c r="C393" s="44" t="str">
        <f>MARTES!$A$140</f>
        <v>Pulldown</v>
      </c>
      <c r="D393" s="45" t="str">
        <f>MARTES!$B$140</f>
        <v>Polea Alta Brazos Rectos Prono</v>
      </c>
      <c r="E393" s="37" t="str">
        <f>MARTES!$C$140</f>
        <v>polea</v>
      </c>
      <c r="F393" s="46" t="str">
        <f>IF(P393="","",IFERROR(CHOOSE(VALUE(RIGHT(P393,1)),MARTES!F140,MARTES!I140,MARTES!L140,MARTES!O140,MARTES!R140),""))</f>
        <v/>
      </c>
      <c r="G393" s="47" t="str">
        <f>IF(P393="","",IFERROR(CHOOSE(VALUE(RIGHT(P393,1)),MARTES!G140,MARTES!J140,MARTES!M140,MARTES!P140,MARTES!S140),""))</f>
        <v/>
      </c>
      <c r="H393" s="48" t="str">
        <f>IF(P393="","",IFERROR(CHOOSE(VALUE(RIGHT(P393,1)),MARTES!H140,MARTES!K140,MARTES!N140,MARTES!Q140,MARTES!T140),""))</f>
        <v/>
      </c>
      <c r="I393" s="49" t="str">
        <f t="shared" si="12"/>
        <v/>
      </c>
      <c r="J393" s="50" t="str">
        <f>IF(P393="","",IFERROR(ROUND(CHOOSE(VALUE(RIGHT(P393,1)),IF(MARTES!C140="peso_corporal",IF(ISNUMBER(MARTES!E140),MARTES!E140,0)+MARTES!F140,MARTES!F140)*MARTES!G140,IF(MARTES!C140="peso_corporal",IF(ISNUMBER(MARTES!E140),MARTES!E140,0)+MARTES!I140,MARTES!I140)*MARTES!J140,IF(MARTES!C140="peso_corporal",IF(ISNUMBER(MARTES!E140),MARTES!E140,0)+MARTES!L140,MARTES!L140)*MARTES!M140,IF(MARTES!C140="peso_corporal",IF(ISNUMBER(MARTES!E140),MARTES!E140,0)+MARTES!O140,MARTES!O140)*MARTES!P140,IF(MARTES!C140="peso_corporal",IF(ISNUMBER(MARTES!E140),MARTES!E140,0)+MARTES!R140,MARTES!R140)*MARTES!S140),1),""))</f>
        <v/>
      </c>
      <c r="K393" s="51" t="str">
        <f>IF(P393="","",IFERROR(ROUND(CHOOSE(VALUE(RIGHT(P393,1)),(IF(MARTES!C140="peso_corporal",IF(ISNUMBER(MARTES!E140),MARTES!E140,0)+MARTES!F140,MARTES!F140))*(1+MARTES!G140/30),(IF(MARTES!C140="peso_corporal",IF(ISNUMBER(MARTES!E140),MARTES!E140,0)+MARTES!I140,MARTES!I140))*(1+MARTES!J140/30),(IF(MARTES!C140="peso_corporal",IF(ISNUMBER(MARTES!E140),MARTES!E140,0)+MARTES!L140,MARTES!L140))*(1+MARTES!M140/30),(IF(MARTES!C140="peso_corporal",IF(ISNUMBER(MARTES!E140),MARTES!E140,0)+MARTES!O140,MARTES!O140))*(1+MARTES!P140/30),(IF(MARTES!C140="peso_corporal",IF(ISNUMBER(MARTES!E140),MARTES!E140,0)+MARTES!R140,MARTES!R140))*(1+MARTES!S140/30)),1),""))</f>
        <v/>
      </c>
      <c r="L393" s="52">
        <f>IFERROR(MARTES!E140,"")</f>
        <v>80</v>
      </c>
      <c r="M393" s="53" t="str">
        <f>IFERROR(IF(K393="","-",IF(ISNUMBER(LOOKUP(2,1/((HISTORIAL!$O$3:$O$392=O393)*(HISTORIAL!$F$3:$F$392&lt;&gt;"")),HISTORIAL!$K$3:$K$392)),IF(K393&gt;LOOKUP(2,1/((HISTORIAL!$O$3:$O$392=O393)*(HISTORIAL!$F$3:$F$392&lt;&gt;"")),HISTORIAL!$K$3:$K$392),"^",IF(K393&lt;LOOKUP(2,1/((HISTORIAL!$O$3:$O$392=O393)*(HISTORIAL!$F$3:$F$392&lt;&gt;"")),HISTORIAL!$K$3:$K$392),"v","-")),"-")),"-")</f>
        <v>-</v>
      </c>
      <c r="N393" s="54" t="str">
        <f>IFERROR(VLOOKUP(A393,CONFIG!$A$10:$B$21,2,0),"")</f>
        <v>HIP</v>
      </c>
      <c r="O393" s="55" t="str">
        <f t="shared" si="13"/>
        <v>Pulldown|Polea Alta Brazos Rectos Prono</v>
      </c>
      <c r="P393" s="69" t="str">
        <f>MARTES!AC140</f>
        <v/>
      </c>
    </row>
    <row r="394" spans="1:16" ht="14.1" customHeight="1">
      <c r="A394" s="37">
        <v>7</v>
      </c>
      <c r="B394" s="37" t="s">
        <v>278</v>
      </c>
      <c r="C394" s="44" t="str">
        <f>MARTES!$A$142</f>
        <v>Remo</v>
      </c>
      <c r="D394" s="45" t="str">
        <f>MARTES!$B$142</f>
        <v>Maquina Hammer Neutro Unilateral</v>
      </c>
      <c r="E394" s="37" t="str">
        <f>MARTES!$C$142</f>
        <v>polea</v>
      </c>
      <c r="F394" s="46" t="str">
        <f>IF(P394="","",IFERROR(CHOOSE(VALUE(RIGHT(P394,1)),MARTES!F142,MARTES!I142,MARTES!L142,MARTES!O142,MARTES!R142),""))</f>
        <v/>
      </c>
      <c r="G394" s="47" t="str">
        <f>IF(P394="","",IFERROR(CHOOSE(VALUE(RIGHT(P394,1)),MARTES!G142,MARTES!J142,MARTES!M142,MARTES!P142,MARTES!S142),""))</f>
        <v/>
      </c>
      <c r="H394" s="48" t="str">
        <f>IF(P394="","",IFERROR(CHOOSE(VALUE(RIGHT(P394,1)),MARTES!H142,MARTES!K142,MARTES!N142,MARTES!Q142,MARTES!T142),""))</f>
        <v/>
      </c>
      <c r="I394" s="49" t="str">
        <f t="shared" si="12"/>
        <v/>
      </c>
      <c r="J394" s="50" t="str">
        <f>IF(P394="","",IFERROR(ROUND(CHOOSE(VALUE(RIGHT(P394,1)),IF(MARTES!C142="peso_corporal",IF(ISNUMBER(MARTES!E142),MARTES!E142,0)+MARTES!F142,MARTES!F142)*MARTES!G142,IF(MARTES!C142="peso_corporal",IF(ISNUMBER(MARTES!E142),MARTES!E142,0)+MARTES!I142,MARTES!I142)*MARTES!J142,IF(MARTES!C142="peso_corporal",IF(ISNUMBER(MARTES!E142),MARTES!E142,0)+MARTES!L142,MARTES!L142)*MARTES!M142,IF(MARTES!C142="peso_corporal",IF(ISNUMBER(MARTES!E142),MARTES!E142,0)+MARTES!O142,MARTES!O142)*MARTES!P142,IF(MARTES!C142="peso_corporal",IF(ISNUMBER(MARTES!E142),MARTES!E142,0)+MARTES!R142,MARTES!R142)*MARTES!S142),1),""))</f>
        <v/>
      </c>
      <c r="K394" s="51" t="str">
        <f>IF(P394="","",IFERROR(ROUND(CHOOSE(VALUE(RIGHT(P394,1)),(IF(MARTES!C142="peso_corporal",IF(ISNUMBER(MARTES!E142),MARTES!E142,0)+MARTES!F142,MARTES!F142))*(1+MARTES!G142/30),(IF(MARTES!C142="peso_corporal",IF(ISNUMBER(MARTES!E142),MARTES!E142,0)+MARTES!I142,MARTES!I142))*(1+MARTES!J142/30),(IF(MARTES!C142="peso_corporal",IF(ISNUMBER(MARTES!E142),MARTES!E142,0)+MARTES!L142,MARTES!L142))*(1+MARTES!M142/30),(IF(MARTES!C142="peso_corporal",IF(ISNUMBER(MARTES!E142),MARTES!E142,0)+MARTES!O142,MARTES!O142))*(1+MARTES!P142/30),(IF(MARTES!C142="peso_corporal",IF(ISNUMBER(MARTES!E142),MARTES!E142,0)+MARTES!R142,MARTES!R142))*(1+MARTES!S142/30)),1),""))</f>
        <v/>
      </c>
      <c r="L394" s="52">
        <f>IFERROR(MARTES!E142,"")</f>
        <v>80</v>
      </c>
      <c r="M394" s="53" t="str">
        <f>IFERROR(IF(K394="","-",IF(ISNUMBER(LOOKUP(2,1/((HISTORIAL!$O$3:$O$393=O394)*(HISTORIAL!$F$3:$F$393&lt;&gt;"")),HISTORIAL!$K$3:$K$393)),IF(K394&gt;LOOKUP(2,1/((HISTORIAL!$O$3:$O$393=O394)*(HISTORIAL!$F$3:$F$393&lt;&gt;"")),HISTORIAL!$K$3:$K$393),"^",IF(K394&lt;LOOKUP(2,1/((HISTORIAL!$O$3:$O$393=O394)*(HISTORIAL!$F$3:$F$393&lt;&gt;"")),HISTORIAL!$K$3:$K$393),"v","-")),"-")),"-")</f>
        <v>-</v>
      </c>
      <c r="N394" s="54" t="str">
        <f>IFERROR(VLOOKUP(A394,CONFIG!$A$10:$B$21,2,0),"")</f>
        <v>HIP</v>
      </c>
      <c r="O394" s="55" t="str">
        <f t="shared" si="13"/>
        <v>Remo|Maquina Hammer Neutro Unilateral</v>
      </c>
      <c r="P394" s="69" t="str">
        <f>MARTES!AC142</f>
        <v/>
      </c>
    </row>
    <row r="395" spans="1:16" ht="14.1" customHeight="1">
      <c r="A395" s="37">
        <v>7</v>
      </c>
      <c r="B395" s="37" t="s">
        <v>278</v>
      </c>
      <c r="C395" s="44" t="str">
        <f>MARTES!$A$143</f>
        <v>Remo</v>
      </c>
      <c r="D395" s="45" t="str">
        <f>MARTES!$B$143</f>
        <v>Maquina Prono</v>
      </c>
      <c r="E395" s="37" t="str">
        <f>MARTES!$C$143</f>
        <v>polea</v>
      </c>
      <c r="F395" s="46" t="str">
        <f>IF(P395="","",IFERROR(CHOOSE(VALUE(RIGHT(P395,1)),MARTES!F143,MARTES!I143,MARTES!L143,MARTES!O143,MARTES!R143),""))</f>
        <v/>
      </c>
      <c r="G395" s="47" t="str">
        <f>IF(P395="","",IFERROR(CHOOSE(VALUE(RIGHT(P395,1)),MARTES!G143,MARTES!J143,MARTES!M143,MARTES!P143,MARTES!S143),""))</f>
        <v/>
      </c>
      <c r="H395" s="48" t="str">
        <f>IF(P395="","",IFERROR(CHOOSE(VALUE(RIGHT(P395,1)),MARTES!H143,MARTES!K143,MARTES!N143,MARTES!Q143,MARTES!T143),""))</f>
        <v/>
      </c>
      <c r="I395" s="49" t="str">
        <f t="shared" si="12"/>
        <v/>
      </c>
      <c r="J395" s="50" t="str">
        <f>IF(P395="","",IFERROR(ROUND(CHOOSE(VALUE(RIGHT(P395,1)),IF(MARTES!C143="peso_corporal",IF(ISNUMBER(MARTES!E143),MARTES!E143,0)+MARTES!F143,MARTES!F143)*MARTES!G143,IF(MARTES!C143="peso_corporal",IF(ISNUMBER(MARTES!E143),MARTES!E143,0)+MARTES!I143,MARTES!I143)*MARTES!J143,IF(MARTES!C143="peso_corporal",IF(ISNUMBER(MARTES!E143),MARTES!E143,0)+MARTES!L143,MARTES!L143)*MARTES!M143,IF(MARTES!C143="peso_corporal",IF(ISNUMBER(MARTES!E143),MARTES!E143,0)+MARTES!O143,MARTES!O143)*MARTES!P143,IF(MARTES!C143="peso_corporal",IF(ISNUMBER(MARTES!E143),MARTES!E143,0)+MARTES!R143,MARTES!R143)*MARTES!S143),1),""))</f>
        <v/>
      </c>
      <c r="K395" s="51" t="str">
        <f>IF(P395="","",IFERROR(ROUND(CHOOSE(VALUE(RIGHT(P395,1)),(IF(MARTES!C143="peso_corporal",IF(ISNUMBER(MARTES!E143),MARTES!E143,0)+MARTES!F143,MARTES!F143))*(1+MARTES!G143/30),(IF(MARTES!C143="peso_corporal",IF(ISNUMBER(MARTES!E143),MARTES!E143,0)+MARTES!I143,MARTES!I143))*(1+MARTES!J143/30),(IF(MARTES!C143="peso_corporal",IF(ISNUMBER(MARTES!E143),MARTES!E143,0)+MARTES!L143,MARTES!L143))*(1+MARTES!M143/30),(IF(MARTES!C143="peso_corporal",IF(ISNUMBER(MARTES!E143),MARTES!E143,0)+MARTES!O143,MARTES!O143))*(1+MARTES!P143/30),(IF(MARTES!C143="peso_corporal",IF(ISNUMBER(MARTES!E143),MARTES!E143,0)+MARTES!R143,MARTES!R143))*(1+MARTES!S143/30)),1),""))</f>
        <v/>
      </c>
      <c r="L395" s="52">
        <f>IFERROR(MARTES!E143,"")</f>
        <v>80</v>
      </c>
      <c r="M395" s="53" t="str">
        <f>IFERROR(IF(K395="","-",IF(ISNUMBER(LOOKUP(2,1/((HISTORIAL!$O$3:$O$394=O395)*(HISTORIAL!$F$3:$F$394&lt;&gt;"")),HISTORIAL!$K$3:$K$394)),IF(K395&gt;LOOKUP(2,1/((HISTORIAL!$O$3:$O$394=O395)*(HISTORIAL!$F$3:$F$394&lt;&gt;"")),HISTORIAL!$K$3:$K$394),"^",IF(K395&lt;LOOKUP(2,1/((HISTORIAL!$O$3:$O$394=O395)*(HISTORIAL!$F$3:$F$394&lt;&gt;"")),HISTORIAL!$K$3:$K$394),"v","-")),"-")),"-")</f>
        <v>-</v>
      </c>
      <c r="N395" s="54" t="str">
        <f>IFERROR(VLOOKUP(A395,CONFIG!$A$10:$B$21,2,0),"")</f>
        <v>HIP</v>
      </c>
      <c r="O395" s="55" t="str">
        <f t="shared" si="13"/>
        <v>Remo|Maquina Prono</v>
      </c>
      <c r="P395" s="69" t="str">
        <f>MARTES!AC143</f>
        <v/>
      </c>
    </row>
    <row r="396" spans="1:16" ht="14.1" customHeight="1">
      <c r="A396" s="37">
        <v>7</v>
      </c>
      <c r="B396" s="37" t="s">
        <v>278</v>
      </c>
      <c r="C396" s="44" t="str">
        <f>MARTES!$A$145</f>
        <v>Curl Biceps</v>
      </c>
      <c r="D396" s="45" t="str">
        <f>MARTES!$B$145</f>
        <v>Inclinado Banco Mancuernas</v>
      </c>
      <c r="E396" s="37" t="str">
        <f>MARTES!$C$145</f>
        <v>mancuerna</v>
      </c>
      <c r="F396" s="46" t="str">
        <f>IF(P396="","",IFERROR(CHOOSE(VALUE(RIGHT(P396,1)),MARTES!F145,MARTES!I145,MARTES!L145,MARTES!O145,MARTES!R145),""))</f>
        <v/>
      </c>
      <c r="G396" s="47" t="str">
        <f>IF(P396="","",IFERROR(CHOOSE(VALUE(RIGHT(P396,1)),MARTES!G145,MARTES!J145,MARTES!M145,MARTES!P145,MARTES!S145),""))</f>
        <v/>
      </c>
      <c r="H396" s="48" t="str">
        <f>IF(P396="","",IFERROR(CHOOSE(VALUE(RIGHT(P396,1)),MARTES!H145,MARTES!K145,MARTES!N145,MARTES!Q145,MARTES!T145),""))</f>
        <v/>
      </c>
      <c r="I396" s="49" t="str">
        <f t="shared" si="12"/>
        <v/>
      </c>
      <c r="J396" s="50" t="str">
        <f>IF(P396="","",IFERROR(ROUND(CHOOSE(VALUE(RIGHT(P396,1)),IF(MARTES!C145="peso_corporal",IF(ISNUMBER(MARTES!E145),MARTES!E145,0)+MARTES!F145,MARTES!F145)*MARTES!G145,IF(MARTES!C145="peso_corporal",IF(ISNUMBER(MARTES!E145),MARTES!E145,0)+MARTES!I145,MARTES!I145)*MARTES!J145,IF(MARTES!C145="peso_corporal",IF(ISNUMBER(MARTES!E145),MARTES!E145,0)+MARTES!L145,MARTES!L145)*MARTES!M145,IF(MARTES!C145="peso_corporal",IF(ISNUMBER(MARTES!E145),MARTES!E145,0)+MARTES!O145,MARTES!O145)*MARTES!P145,IF(MARTES!C145="peso_corporal",IF(ISNUMBER(MARTES!E145),MARTES!E145,0)+MARTES!R145,MARTES!R145)*MARTES!S145),1),""))</f>
        <v/>
      </c>
      <c r="K396" s="51" t="str">
        <f>IF(P396="","",IFERROR(ROUND(CHOOSE(VALUE(RIGHT(P396,1)),(IF(MARTES!C145="peso_corporal",IF(ISNUMBER(MARTES!E145),MARTES!E145,0)+MARTES!F145,MARTES!F145))*(1+MARTES!G145/30),(IF(MARTES!C145="peso_corporal",IF(ISNUMBER(MARTES!E145),MARTES!E145,0)+MARTES!I145,MARTES!I145))*(1+MARTES!J145/30),(IF(MARTES!C145="peso_corporal",IF(ISNUMBER(MARTES!E145),MARTES!E145,0)+MARTES!L145,MARTES!L145))*(1+MARTES!M145/30),(IF(MARTES!C145="peso_corporal",IF(ISNUMBER(MARTES!E145),MARTES!E145,0)+MARTES!O145,MARTES!O145))*(1+MARTES!P145/30),(IF(MARTES!C145="peso_corporal",IF(ISNUMBER(MARTES!E145),MARTES!E145,0)+MARTES!R145,MARTES!R145))*(1+MARTES!S145/30)),1),""))</f>
        <v/>
      </c>
      <c r="L396" s="52">
        <f>IFERROR(MARTES!E145,"")</f>
        <v>80</v>
      </c>
      <c r="M396" s="53" t="str">
        <f>IFERROR(IF(K396="","-",IF(ISNUMBER(LOOKUP(2,1/((HISTORIAL!$O$3:$O$395=O396)*(HISTORIAL!$F$3:$F$395&lt;&gt;"")),HISTORIAL!$K$3:$K$395)),IF(K396&gt;LOOKUP(2,1/((HISTORIAL!$O$3:$O$395=O396)*(HISTORIAL!$F$3:$F$395&lt;&gt;"")),HISTORIAL!$K$3:$K$395),"^",IF(K396&lt;LOOKUP(2,1/((HISTORIAL!$O$3:$O$395=O396)*(HISTORIAL!$F$3:$F$395&lt;&gt;"")),HISTORIAL!$K$3:$K$395),"v","-")),"-")),"-")</f>
        <v>-</v>
      </c>
      <c r="N396" s="54" t="str">
        <f>IFERROR(VLOOKUP(A396,CONFIG!$A$10:$B$21,2,0),"")</f>
        <v>HIP</v>
      </c>
      <c r="O396" s="55" t="str">
        <f t="shared" si="13"/>
        <v>Curl Biceps|Inclinado Banco Mancuernas</v>
      </c>
      <c r="P396" s="69" t="str">
        <f>MARTES!AC145</f>
        <v/>
      </c>
    </row>
    <row r="397" spans="1:16" ht="14.1" customHeight="1">
      <c r="A397" s="37">
        <v>7</v>
      </c>
      <c r="B397" s="37" t="s">
        <v>278</v>
      </c>
      <c r="C397" s="44" t="str">
        <f>MARTES!$A$146</f>
        <v>Curl Biceps</v>
      </c>
      <c r="D397" s="45" t="str">
        <f>MARTES!$B$146</f>
        <v>Polea Baja Supino</v>
      </c>
      <c r="E397" s="37" t="str">
        <f>MARTES!$C$146</f>
        <v>polea</v>
      </c>
      <c r="F397" s="46" t="str">
        <f>IF(P397="","",IFERROR(CHOOSE(VALUE(RIGHT(P397,1)),MARTES!F146,MARTES!I146,MARTES!L146,MARTES!O146,MARTES!R146),""))</f>
        <v/>
      </c>
      <c r="G397" s="47" t="str">
        <f>IF(P397="","",IFERROR(CHOOSE(VALUE(RIGHT(P397,1)),MARTES!G146,MARTES!J146,MARTES!M146,MARTES!P146,MARTES!S146),""))</f>
        <v/>
      </c>
      <c r="H397" s="48" t="str">
        <f>IF(P397="","",IFERROR(CHOOSE(VALUE(RIGHT(P397,1)),MARTES!H146,MARTES!K146,MARTES!N146,MARTES!Q146,MARTES!T146),""))</f>
        <v/>
      </c>
      <c r="I397" s="49" t="str">
        <f t="shared" si="12"/>
        <v/>
      </c>
      <c r="J397" s="50" t="str">
        <f>IF(P397="","",IFERROR(ROUND(CHOOSE(VALUE(RIGHT(P397,1)),IF(MARTES!C146="peso_corporal",IF(ISNUMBER(MARTES!E146),MARTES!E146,0)+MARTES!F146,MARTES!F146)*MARTES!G146,IF(MARTES!C146="peso_corporal",IF(ISNUMBER(MARTES!E146),MARTES!E146,0)+MARTES!I146,MARTES!I146)*MARTES!J146,IF(MARTES!C146="peso_corporal",IF(ISNUMBER(MARTES!E146),MARTES!E146,0)+MARTES!L146,MARTES!L146)*MARTES!M146,IF(MARTES!C146="peso_corporal",IF(ISNUMBER(MARTES!E146),MARTES!E146,0)+MARTES!O146,MARTES!O146)*MARTES!P146,IF(MARTES!C146="peso_corporal",IF(ISNUMBER(MARTES!E146),MARTES!E146,0)+MARTES!R146,MARTES!R146)*MARTES!S146),1),""))</f>
        <v/>
      </c>
      <c r="K397" s="51" t="str">
        <f>IF(P397="","",IFERROR(ROUND(CHOOSE(VALUE(RIGHT(P397,1)),(IF(MARTES!C146="peso_corporal",IF(ISNUMBER(MARTES!E146),MARTES!E146,0)+MARTES!F146,MARTES!F146))*(1+MARTES!G146/30),(IF(MARTES!C146="peso_corporal",IF(ISNUMBER(MARTES!E146),MARTES!E146,0)+MARTES!I146,MARTES!I146))*(1+MARTES!J146/30),(IF(MARTES!C146="peso_corporal",IF(ISNUMBER(MARTES!E146),MARTES!E146,0)+MARTES!L146,MARTES!L146))*(1+MARTES!M146/30),(IF(MARTES!C146="peso_corporal",IF(ISNUMBER(MARTES!E146),MARTES!E146,0)+MARTES!O146,MARTES!O146))*(1+MARTES!P146/30),(IF(MARTES!C146="peso_corporal",IF(ISNUMBER(MARTES!E146),MARTES!E146,0)+MARTES!R146,MARTES!R146))*(1+MARTES!S146/30)),1),""))</f>
        <v/>
      </c>
      <c r="L397" s="52">
        <f>IFERROR(MARTES!E146,"")</f>
        <v>80</v>
      </c>
      <c r="M397" s="53" t="str">
        <f>IFERROR(IF(K397="","-",IF(ISNUMBER(LOOKUP(2,1/((HISTORIAL!$O$3:$O$396=O397)*(HISTORIAL!$F$3:$F$396&lt;&gt;"")),HISTORIAL!$K$3:$K$396)),IF(K397&gt;LOOKUP(2,1/((HISTORIAL!$O$3:$O$396=O397)*(HISTORIAL!$F$3:$F$396&lt;&gt;"")),HISTORIAL!$K$3:$K$396),"^",IF(K397&lt;LOOKUP(2,1/((HISTORIAL!$O$3:$O$396=O397)*(HISTORIAL!$F$3:$F$396&lt;&gt;"")),HISTORIAL!$K$3:$K$396),"v","-")),"-")),"-")</f>
        <v>-</v>
      </c>
      <c r="N397" s="54" t="str">
        <f>IFERROR(VLOOKUP(A397,CONFIG!$A$10:$B$21,2,0),"")</f>
        <v>HIP</v>
      </c>
      <c r="O397" s="55" t="str">
        <f t="shared" si="13"/>
        <v>Curl Biceps|Polea Baja Supino</v>
      </c>
      <c r="P397" s="69" t="str">
        <f>MARTES!AC146</f>
        <v/>
      </c>
    </row>
    <row r="398" spans="1:16" ht="14.1" customHeight="1">
      <c r="A398" s="37">
        <v>7</v>
      </c>
      <c r="B398" s="37" t="s">
        <v>278</v>
      </c>
      <c r="C398" s="44" t="str">
        <f>MARTES!$A$148</f>
        <v>Curl Muneca</v>
      </c>
      <c r="D398" s="45" t="str">
        <f>MARTES!$B$148</f>
        <v>Supinado</v>
      </c>
      <c r="E398" s="37" t="str">
        <f>MARTES!$C$148</f>
        <v>mancuerna</v>
      </c>
      <c r="F398" s="46" t="str">
        <f>IF(P398="","",IFERROR(CHOOSE(VALUE(RIGHT(P398,1)),MARTES!F148,MARTES!I148,MARTES!L148,MARTES!O148,MARTES!R148),""))</f>
        <v/>
      </c>
      <c r="G398" s="47" t="str">
        <f>IF(P398="","",IFERROR(CHOOSE(VALUE(RIGHT(P398,1)),MARTES!G148,MARTES!J148,MARTES!M148,MARTES!P148,MARTES!S148),""))</f>
        <v/>
      </c>
      <c r="H398" s="48" t="str">
        <f>IF(P398="","",IFERROR(CHOOSE(VALUE(RIGHT(P398,1)),MARTES!H148,MARTES!K148,MARTES!N148,MARTES!Q148,MARTES!T148),""))</f>
        <v/>
      </c>
      <c r="I398" s="49" t="str">
        <f t="shared" si="12"/>
        <v/>
      </c>
      <c r="J398" s="50" t="str">
        <f>IF(P398="","",IFERROR(ROUND(CHOOSE(VALUE(RIGHT(P398,1)),IF(MARTES!C148="peso_corporal",IF(ISNUMBER(MARTES!E148),MARTES!E148,0)+MARTES!F148,MARTES!F148)*MARTES!G148,IF(MARTES!C148="peso_corporal",IF(ISNUMBER(MARTES!E148),MARTES!E148,0)+MARTES!I148,MARTES!I148)*MARTES!J148,IF(MARTES!C148="peso_corporal",IF(ISNUMBER(MARTES!E148),MARTES!E148,0)+MARTES!L148,MARTES!L148)*MARTES!M148,IF(MARTES!C148="peso_corporal",IF(ISNUMBER(MARTES!E148),MARTES!E148,0)+MARTES!O148,MARTES!O148)*MARTES!P148,IF(MARTES!C148="peso_corporal",IF(ISNUMBER(MARTES!E148),MARTES!E148,0)+MARTES!R148,MARTES!R148)*MARTES!S148),1),""))</f>
        <v/>
      </c>
      <c r="K398" s="51" t="str">
        <f>IF(P398="","",IFERROR(ROUND(CHOOSE(VALUE(RIGHT(P398,1)),(IF(MARTES!C148="peso_corporal",IF(ISNUMBER(MARTES!E148),MARTES!E148,0)+MARTES!F148,MARTES!F148))*(1+MARTES!G148/30),(IF(MARTES!C148="peso_corporal",IF(ISNUMBER(MARTES!E148),MARTES!E148,0)+MARTES!I148,MARTES!I148))*(1+MARTES!J148/30),(IF(MARTES!C148="peso_corporal",IF(ISNUMBER(MARTES!E148),MARTES!E148,0)+MARTES!L148,MARTES!L148))*(1+MARTES!M148/30),(IF(MARTES!C148="peso_corporal",IF(ISNUMBER(MARTES!E148),MARTES!E148,0)+MARTES!O148,MARTES!O148))*(1+MARTES!P148/30),(IF(MARTES!C148="peso_corporal",IF(ISNUMBER(MARTES!E148),MARTES!E148,0)+MARTES!R148,MARTES!R148))*(1+MARTES!S148/30)),1),""))</f>
        <v/>
      </c>
      <c r="L398" s="52">
        <f>IFERROR(MARTES!E148,"")</f>
        <v>80</v>
      </c>
      <c r="M398" s="53" t="str">
        <f>IFERROR(IF(K398="","-",IF(ISNUMBER(LOOKUP(2,1/((HISTORIAL!$O$3:$O$397=O398)*(HISTORIAL!$F$3:$F$397&lt;&gt;"")),HISTORIAL!$K$3:$K$397)),IF(K398&gt;LOOKUP(2,1/((HISTORIAL!$O$3:$O$397=O398)*(HISTORIAL!$F$3:$F$397&lt;&gt;"")),HISTORIAL!$K$3:$K$397),"^",IF(K398&lt;LOOKUP(2,1/((HISTORIAL!$O$3:$O$397=O398)*(HISTORIAL!$F$3:$F$397&lt;&gt;"")),HISTORIAL!$K$3:$K$397),"v","-")),"-")),"-")</f>
        <v>-</v>
      </c>
      <c r="N398" s="54" t="str">
        <f>IFERROR(VLOOKUP(A398,CONFIG!$A$10:$B$21,2,0),"")</f>
        <v>HIP</v>
      </c>
      <c r="O398" s="55" t="str">
        <f t="shared" si="13"/>
        <v>Curl Muneca|Supinado</v>
      </c>
      <c r="P398" s="69" t="str">
        <f>MARTES!AC148</f>
        <v/>
      </c>
    </row>
    <row r="399" spans="1:16" ht="14.1" customHeight="1">
      <c r="A399" s="37">
        <v>7</v>
      </c>
      <c r="B399" s="37" t="s">
        <v>278</v>
      </c>
      <c r="C399" s="44" t="str">
        <f>MARTES!$A$149</f>
        <v>Curl Muneca</v>
      </c>
      <c r="D399" s="45" t="str">
        <f>MARTES!$B$149</f>
        <v>Pronado</v>
      </c>
      <c r="E399" s="37" t="str">
        <f>MARTES!$C$149</f>
        <v>mancuerna</v>
      </c>
      <c r="F399" s="46" t="str">
        <f>IF(P399="","",IFERROR(CHOOSE(VALUE(RIGHT(P399,1)),MARTES!F149,MARTES!I149,MARTES!L149,MARTES!O149,MARTES!R149),""))</f>
        <v/>
      </c>
      <c r="G399" s="47" t="str">
        <f>IF(P399="","",IFERROR(CHOOSE(VALUE(RIGHT(P399,1)),MARTES!G149,MARTES!J149,MARTES!M149,MARTES!P149,MARTES!S149),""))</f>
        <v/>
      </c>
      <c r="H399" s="48" t="str">
        <f>IF(P399="","",IFERROR(CHOOSE(VALUE(RIGHT(P399,1)),MARTES!H149,MARTES!K149,MARTES!N149,MARTES!Q149,MARTES!T149),""))</f>
        <v/>
      </c>
      <c r="I399" s="49" t="str">
        <f t="shared" si="12"/>
        <v/>
      </c>
      <c r="J399" s="50" t="str">
        <f>IF(P399="","",IFERROR(ROUND(CHOOSE(VALUE(RIGHT(P399,1)),IF(MARTES!C149="peso_corporal",IF(ISNUMBER(MARTES!E149),MARTES!E149,0)+MARTES!F149,MARTES!F149)*MARTES!G149,IF(MARTES!C149="peso_corporal",IF(ISNUMBER(MARTES!E149),MARTES!E149,0)+MARTES!I149,MARTES!I149)*MARTES!J149,IF(MARTES!C149="peso_corporal",IF(ISNUMBER(MARTES!E149),MARTES!E149,0)+MARTES!L149,MARTES!L149)*MARTES!M149,IF(MARTES!C149="peso_corporal",IF(ISNUMBER(MARTES!E149),MARTES!E149,0)+MARTES!O149,MARTES!O149)*MARTES!P149,IF(MARTES!C149="peso_corporal",IF(ISNUMBER(MARTES!E149),MARTES!E149,0)+MARTES!R149,MARTES!R149)*MARTES!S149),1),""))</f>
        <v/>
      </c>
      <c r="K399" s="51" t="str">
        <f>IF(P399="","",IFERROR(ROUND(CHOOSE(VALUE(RIGHT(P399,1)),(IF(MARTES!C149="peso_corporal",IF(ISNUMBER(MARTES!E149),MARTES!E149,0)+MARTES!F149,MARTES!F149))*(1+MARTES!G149/30),(IF(MARTES!C149="peso_corporal",IF(ISNUMBER(MARTES!E149),MARTES!E149,0)+MARTES!I149,MARTES!I149))*(1+MARTES!J149/30),(IF(MARTES!C149="peso_corporal",IF(ISNUMBER(MARTES!E149),MARTES!E149,0)+MARTES!L149,MARTES!L149))*(1+MARTES!M149/30),(IF(MARTES!C149="peso_corporal",IF(ISNUMBER(MARTES!E149),MARTES!E149,0)+MARTES!O149,MARTES!O149))*(1+MARTES!P149/30),(IF(MARTES!C149="peso_corporal",IF(ISNUMBER(MARTES!E149),MARTES!E149,0)+MARTES!R149,MARTES!R149))*(1+MARTES!S149/30)),1),""))</f>
        <v/>
      </c>
      <c r="L399" s="52">
        <f>IFERROR(MARTES!E149,"")</f>
        <v>80</v>
      </c>
      <c r="M399" s="53" t="str">
        <f>IFERROR(IF(K399="","-",IF(ISNUMBER(LOOKUP(2,1/((HISTORIAL!$O$3:$O$398=O399)*(HISTORIAL!$F$3:$F$398&lt;&gt;"")),HISTORIAL!$K$3:$K$398)),IF(K399&gt;LOOKUP(2,1/((HISTORIAL!$O$3:$O$398=O399)*(HISTORIAL!$F$3:$F$398&lt;&gt;"")),HISTORIAL!$K$3:$K$398),"^",IF(K399&lt;LOOKUP(2,1/((HISTORIAL!$O$3:$O$398=O399)*(HISTORIAL!$F$3:$F$398&lt;&gt;"")),HISTORIAL!$K$3:$K$398),"v","-")),"-")),"-")</f>
        <v>-</v>
      </c>
      <c r="N399" s="54" t="str">
        <f>IFERROR(VLOOKUP(A399,CONFIG!$A$10:$B$21,2,0),"")</f>
        <v>HIP</v>
      </c>
      <c r="O399" s="55" t="str">
        <f t="shared" si="13"/>
        <v>Curl Muneca|Pronado</v>
      </c>
      <c r="P399" s="69" t="str">
        <f>MARTES!AC149</f>
        <v/>
      </c>
    </row>
    <row r="400" spans="1:16" ht="14.1" customHeight="1">
      <c r="A400" s="37">
        <v>7</v>
      </c>
      <c r="B400" s="37" t="s">
        <v>278</v>
      </c>
      <c r="C400" s="44" t="str">
        <f>MARTES!$A$151</f>
        <v>Farmer Carry</v>
      </c>
      <c r="D400" s="45" t="str">
        <f>MARTES!$B$151</f>
        <v>Libre</v>
      </c>
      <c r="E400" s="37" t="str">
        <f>MARTES!$C$151</f>
        <v>mancuerna</v>
      </c>
      <c r="F400" s="46" t="str">
        <f>IF(P400="","",IFERROR(CHOOSE(VALUE(RIGHT(P400,1)),MARTES!F151,MARTES!I151,MARTES!L151,MARTES!O151,MARTES!R151),""))</f>
        <v/>
      </c>
      <c r="G400" s="47" t="str">
        <f>IF(P400="","",IFERROR(CHOOSE(VALUE(RIGHT(P400,1)),MARTES!G151,MARTES!J151,MARTES!M151,MARTES!P151,MARTES!S151),""))</f>
        <v/>
      </c>
      <c r="H400" s="48" t="str">
        <f>IF(P400="","",IFERROR(CHOOSE(VALUE(RIGHT(P400,1)),MARTES!H151,MARTES!K151,MARTES!N151,MARTES!Q151,MARTES!T151),""))</f>
        <v/>
      </c>
      <c r="I400" s="49" t="str">
        <f t="shared" si="12"/>
        <v/>
      </c>
      <c r="J400" s="50" t="str">
        <f>IF(P400="","",IFERROR(ROUND(CHOOSE(VALUE(RIGHT(P400,1)),IF(MARTES!C151="peso_corporal",IF(ISNUMBER(MARTES!E151),MARTES!E151,0)+MARTES!F151,MARTES!F151)*MARTES!G151,IF(MARTES!C151="peso_corporal",IF(ISNUMBER(MARTES!E151),MARTES!E151,0)+MARTES!I151,MARTES!I151)*MARTES!J151,IF(MARTES!C151="peso_corporal",IF(ISNUMBER(MARTES!E151),MARTES!E151,0)+MARTES!L151,MARTES!L151)*MARTES!M151,IF(MARTES!C151="peso_corporal",IF(ISNUMBER(MARTES!E151),MARTES!E151,0)+MARTES!O151,MARTES!O151)*MARTES!P151,IF(MARTES!C151="peso_corporal",IF(ISNUMBER(MARTES!E151),MARTES!E151,0)+MARTES!R151,MARTES!R151)*MARTES!S151),1),""))</f>
        <v/>
      </c>
      <c r="K400" s="51" t="str">
        <f>IF(P400="","",IFERROR(ROUND(CHOOSE(VALUE(RIGHT(P400,1)),(IF(MARTES!C151="peso_corporal",IF(ISNUMBER(MARTES!E151),MARTES!E151,0)+MARTES!F151,MARTES!F151))*(1+MARTES!G151/30),(IF(MARTES!C151="peso_corporal",IF(ISNUMBER(MARTES!E151),MARTES!E151,0)+MARTES!I151,MARTES!I151))*(1+MARTES!J151/30),(IF(MARTES!C151="peso_corporal",IF(ISNUMBER(MARTES!E151),MARTES!E151,0)+MARTES!L151,MARTES!L151))*(1+MARTES!M151/30),(IF(MARTES!C151="peso_corporal",IF(ISNUMBER(MARTES!E151),MARTES!E151,0)+MARTES!O151,MARTES!O151))*(1+MARTES!P151/30),(IF(MARTES!C151="peso_corporal",IF(ISNUMBER(MARTES!E151),MARTES!E151,0)+MARTES!R151,MARTES!R151))*(1+MARTES!S151/30)),1),""))</f>
        <v/>
      </c>
      <c r="L400" s="52">
        <f>IFERROR(MARTES!E151,"")</f>
        <v>80</v>
      </c>
      <c r="M400" s="53" t="str">
        <f>IFERROR(IF(K400="","-",IF(ISNUMBER(LOOKUP(2,1/((HISTORIAL!$O$3:$O$399=O400)*(HISTORIAL!$F$3:$F$399&lt;&gt;"")),HISTORIAL!$K$3:$K$399)),IF(K400&gt;LOOKUP(2,1/((HISTORIAL!$O$3:$O$399=O400)*(HISTORIAL!$F$3:$F$399&lt;&gt;"")),HISTORIAL!$K$3:$K$399),"^",IF(K400&lt;LOOKUP(2,1/((HISTORIAL!$O$3:$O$399=O400)*(HISTORIAL!$F$3:$F$399&lt;&gt;"")),HISTORIAL!$K$3:$K$399),"v","-")),"-")),"-")</f>
        <v>-</v>
      </c>
      <c r="N400" s="54" t="str">
        <f>IFERROR(VLOOKUP(A400,CONFIG!$A$10:$B$21,2,0),"")</f>
        <v>HIP</v>
      </c>
      <c r="O400" s="55" t="str">
        <f t="shared" si="13"/>
        <v>Farmer Carry|Libre</v>
      </c>
      <c r="P400" s="69" t="str">
        <f>MARTES!AC151</f>
        <v/>
      </c>
    </row>
    <row r="401" spans="1:16" ht="14.1" customHeight="1">
      <c r="A401" s="37">
        <v>7</v>
      </c>
      <c r="B401" s="37" t="s">
        <v>278</v>
      </c>
      <c r="C401" s="44" t="str">
        <f>MARTES!$A$153</f>
        <v>Skullcrusher</v>
      </c>
      <c r="D401" s="45" t="str">
        <f>MARTES!$B$153</f>
        <v>Mancuerna Tumbado</v>
      </c>
      <c r="E401" s="37" t="str">
        <f>MARTES!$C$153</f>
        <v>--</v>
      </c>
      <c r="F401" s="46" t="str">
        <f>IF(P401="","",IFERROR(CHOOSE(VALUE(RIGHT(P401,1)),MARTES!F153,MARTES!I153,MARTES!L153,MARTES!O153,MARTES!R153),""))</f>
        <v/>
      </c>
      <c r="G401" s="47" t="str">
        <f>IF(P401="","",IFERROR(CHOOSE(VALUE(RIGHT(P401,1)),MARTES!G153,MARTES!J153,MARTES!M153,MARTES!P153,MARTES!S153),""))</f>
        <v/>
      </c>
      <c r="H401" s="48" t="str">
        <f>IF(P401="","",IFERROR(CHOOSE(VALUE(RIGHT(P401,1)),MARTES!H153,MARTES!K153,MARTES!N153,MARTES!Q153,MARTES!T153),""))</f>
        <v/>
      </c>
      <c r="I401" s="49" t="str">
        <f t="shared" si="12"/>
        <v/>
      </c>
      <c r="J401" s="50" t="str">
        <f>IF(P401="","",IFERROR(ROUND(CHOOSE(VALUE(RIGHT(P401,1)),IF(MARTES!C153="peso_corporal",IF(ISNUMBER(MARTES!E153),MARTES!E153,0)+MARTES!F153,MARTES!F153)*MARTES!G153,IF(MARTES!C153="peso_corporal",IF(ISNUMBER(MARTES!E153),MARTES!E153,0)+MARTES!I153,MARTES!I153)*MARTES!J153,IF(MARTES!C153="peso_corporal",IF(ISNUMBER(MARTES!E153),MARTES!E153,0)+MARTES!L153,MARTES!L153)*MARTES!M153,IF(MARTES!C153="peso_corporal",IF(ISNUMBER(MARTES!E153),MARTES!E153,0)+MARTES!O153,MARTES!O153)*MARTES!P153,IF(MARTES!C153="peso_corporal",IF(ISNUMBER(MARTES!E153),MARTES!E153,0)+MARTES!R153,MARTES!R153)*MARTES!S153),1),""))</f>
        <v/>
      </c>
      <c r="K401" s="51" t="str">
        <f>IF(P401="","",IFERROR(ROUND(CHOOSE(VALUE(RIGHT(P401,1)),(IF(MARTES!C153="peso_corporal",IF(ISNUMBER(MARTES!E153),MARTES!E153,0)+MARTES!F153,MARTES!F153))*(1+MARTES!G153/30),(IF(MARTES!C153="peso_corporal",IF(ISNUMBER(MARTES!E153),MARTES!E153,0)+MARTES!I153,MARTES!I153))*(1+MARTES!J153/30),(IF(MARTES!C153="peso_corporal",IF(ISNUMBER(MARTES!E153),MARTES!E153,0)+MARTES!L153,MARTES!L153))*(1+MARTES!M153/30),(IF(MARTES!C153="peso_corporal",IF(ISNUMBER(MARTES!E153),MARTES!E153,0)+MARTES!O153,MARTES!O153))*(1+MARTES!P153/30),(IF(MARTES!C153="peso_corporal",IF(ISNUMBER(MARTES!E153),MARTES!E153,0)+MARTES!R153,MARTES!R153))*(1+MARTES!S153/30)),1),""))</f>
        <v/>
      </c>
      <c r="L401" s="52">
        <f>IFERROR(MARTES!E153,"")</f>
        <v>80</v>
      </c>
      <c r="M401" s="53" t="str">
        <f>IFERROR(IF(K401="","-",IF(ISNUMBER(LOOKUP(2,1/((HISTORIAL!$O$3:$O$400=O401)*(HISTORIAL!$F$3:$F$400&lt;&gt;"")),HISTORIAL!$K$3:$K$400)),IF(K401&gt;LOOKUP(2,1/((HISTORIAL!$O$3:$O$400=O401)*(HISTORIAL!$F$3:$F$400&lt;&gt;"")),HISTORIAL!$K$3:$K$400),"^",IF(K401&lt;LOOKUP(2,1/((HISTORIAL!$O$3:$O$400=O401)*(HISTORIAL!$F$3:$F$400&lt;&gt;"")),HISTORIAL!$K$3:$K$400),"v","-")),"-")),"-")</f>
        <v>-</v>
      </c>
      <c r="N401" s="54" t="str">
        <f>IFERROR(VLOOKUP(A401,CONFIG!$A$10:$B$21,2,0),"")</f>
        <v>HIP</v>
      </c>
      <c r="O401" s="55" t="str">
        <f t="shared" si="13"/>
        <v>Skullcrusher|Mancuerna Tumbado</v>
      </c>
      <c r="P401" s="69" t="str">
        <f>MARTES!AC153</f>
        <v/>
      </c>
    </row>
    <row r="402" spans="1:16" ht="14.1" customHeight="1">
      <c r="A402" s="37">
        <v>7</v>
      </c>
      <c r="B402" s="37" t="s">
        <v>278</v>
      </c>
      <c r="C402" s="44" t="str">
        <f>MARTES!$A$155</f>
        <v>Crunch</v>
      </c>
      <c r="D402" s="45" t="str">
        <f>MARTES!$B$155</f>
        <v>Polea</v>
      </c>
      <c r="E402" s="37" t="str">
        <f>MARTES!$C$155</f>
        <v>polea</v>
      </c>
      <c r="F402" s="46" t="str">
        <f>IF(P402="","",IFERROR(CHOOSE(VALUE(RIGHT(P402,1)),MARTES!F155,MARTES!I155,MARTES!L155,MARTES!O155,MARTES!R155),""))</f>
        <v/>
      </c>
      <c r="G402" s="47" t="str">
        <f>IF(P402="","",IFERROR(CHOOSE(VALUE(RIGHT(P402,1)),MARTES!G155,MARTES!J155,MARTES!M155,MARTES!P155,MARTES!S155),""))</f>
        <v/>
      </c>
      <c r="H402" s="48" t="str">
        <f>IF(P402="","",IFERROR(CHOOSE(VALUE(RIGHT(P402,1)),MARTES!H155,MARTES!K155,MARTES!N155,MARTES!Q155,MARTES!T155),""))</f>
        <v/>
      </c>
      <c r="I402" s="49" t="str">
        <f t="shared" si="12"/>
        <v/>
      </c>
      <c r="J402" s="50" t="str">
        <f>IF(P402="","",IFERROR(ROUND(CHOOSE(VALUE(RIGHT(P402,1)),IF(MARTES!C155="peso_corporal",IF(ISNUMBER(MARTES!E155),MARTES!E155,0)+MARTES!F155,MARTES!F155)*MARTES!G155,IF(MARTES!C155="peso_corporal",IF(ISNUMBER(MARTES!E155),MARTES!E155,0)+MARTES!I155,MARTES!I155)*MARTES!J155,IF(MARTES!C155="peso_corporal",IF(ISNUMBER(MARTES!E155),MARTES!E155,0)+MARTES!L155,MARTES!L155)*MARTES!M155,IF(MARTES!C155="peso_corporal",IF(ISNUMBER(MARTES!E155),MARTES!E155,0)+MARTES!O155,MARTES!O155)*MARTES!P155,IF(MARTES!C155="peso_corporal",IF(ISNUMBER(MARTES!E155),MARTES!E155,0)+MARTES!R155,MARTES!R155)*MARTES!S155),1),""))</f>
        <v/>
      </c>
      <c r="K402" s="51" t="str">
        <f>IF(P402="","",IFERROR(ROUND(CHOOSE(VALUE(RIGHT(P402,1)),(IF(MARTES!C155="peso_corporal",IF(ISNUMBER(MARTES!E155),MARTES!E155,0)+MARTES!F155,MARTES!F155))*(1+MARTES!G155/30),(IF(MARTES!C155="peso_corporal",IF(ISNUMBER(MARTES!E155),MARTES!E155,0)+MARTES!I155,MARTES!I155))*(1+MARTES!J155/30),(IF(MARTES!C155="peso_corporal",IF(ISNUMBER(MARTES!E155),MARTES!E155,0)+MARTES!L155,MARTES!L155))*(1+MARTES!M155/30),(IF(MARTES!C155="peso_corporal",IF(ISNUMBER(MARTES!E155),MARTES!E155,0)+MARTES!O155,MARTES!O155))*(1+MARTES!P155/30),(IF(MARTES!C155="peso_corporal",IF(ISNUMBER(MARTES!E155),MARTES!E155,0)+MARTES!R155,MARTES!R155))*(1+MARTES!S155/30)),1),""))</f>
        <v/>
      </c>
      <c r="L402" s="52">
        <f>IFERROR(MARTES!E155,"")</f>
        <v>80</v>
      </c>
      <c r="M402" s="53" t="str">
        <f>IFERROR(IF(K402="","-",IF(ISNUMBER(LOOKUP(2,1/((HISTORIAL!$O$3:$O$401=O402)*(HISTORIAL!$F$3:$F$401&lt;&gt;"")),HISTORIAL!$K$3:$K$401)),IF(K402&gt;LOOKUP(2,1/((HISTORIAL!$O$3:$O$401=O402)*(HISTORIAL!$F$3:$F$401&lt;&gt;"")),HISTORIAL!$K$3:$K$401),"^",IF(K402&lt;LOOKUP(2,1/((HISTORIAL!$O$3:$O$401=O402)*(HISTORIAL!$F$3:$F$401&lt;&gt;"")),HISTORIAL!$K$3:$K$401),"v","-")),"-")),"-")</f>
        <v>-</v>
      </c>
      <c r="N402" s="54" t="str">
        <f>IFERROR(VLOOKUP(A402,CONFIG!$A$10:$B$21,2,0),"")</f>
        <v>HIP</v>
      </c>
      <c r="O402" s="55" t="str">
        <f t="shared" si="13"/>
        <v>Crunch|Polea</v>
      </c>
      <c r="P402" s="69" t="str">
        <f>MARTES!AC155</f>
        <v/>
      </c>
    </row>
    <row r="403" spans="1:16" ht="14.1" customHeight="1">
      <c r="A403" s="37">
        <v>7</v>
      </c>
      <c r="B403" s="37" t="s">
        <v>279</v>
      </c>
      <c r="C403" s="44" t="str">
        <f>MIERCOLES!$A$144</f>
        <v>Curl Femoral</v>
      </c>
      <c r="D403" s="45" t="str">
        <f>MIERCOLES!$B$144</f>
        <v>Tumbado Maquina</v>
      </c>
      <c r="E403" s="37" t="str">
        <f>MIERCOLES!$C$144</f>
        <v>polea</v>
      </c>
      <c r="F403" s="46" t="str">
        <f>IF(P403="","",IFERROR(CHOOSE(VALUE(RIGHT(P403,1)),MIERCOLES!F144,MIERCOLES!I144,MIERCOLES!L144,MIERCOLES!O144,MIERCOLES!R144),""))</f>
        <v/>
      </c>
      <c r="G403" s="47" t="str">
        <f>IF(P403="","",IFERROR(CHOOSE(VALUE(RIGHT(P403,1)),MIERCOLES!G144,MIERCOLES!J144,MIERCOLES!M144,MIERCOLES!P144,MIERCOLES!S144),""))</f>
        <v/>
      </c>
      <c r="H403" s="48" t="str">
        <f>IF(P403="","",IFERROR(CHOOSE(VALUE(RIGHT(P403,1)),MIERCOLES!H144,MIERCOLES!K144,MIERCOLES!N144,MIERCOLES!Q144,MIERCOLES!T144),""))</f>
        <v/>
      </c>
      <c r="I403" s="49" t="str">
        <f t="shared" si="12"/>
        <v/>
      </c>
      <c r="J403" s="50" t="str">
        <f>IF(P403="","",IFERROR(ROUND(CHOOSE(VALUE(RIGHT(P403,1)),IF(MIERCOLES!C144="peso_corporal",IF(ISNUMBER(MIERCOLES!E144),MIERCOLES!E144,0)+MIERCOLES!F144,MIERCOLES!F144)*MIERCOLES!G144,IF(MIERCOLES!C144="peso_corporal",IF(ISNUMBER(MIERCOLES!E144),MIERCOLES!E144,0)+MIERCOLES!I144,MIERCOLES!I144)*MIERCOLES!J144,IF(MIERCOLES!C144="peso_corporal",IF(ISNUMBER(MIERCOLES!E144),MIERCOLES!E144,0)+MIERCOLES!L144,MIERCOLES!L144)*MIERCOLES!M144,IF(MIERCOLES!C144="peso_corporal",IF(ISNUMBER(MIERCOLES!E144),MIERCOLES!E144,0)+MIERCOLES!O144,MIERCOLES!O144)*MIERCOLES!P144,IF(MIERCOLES!C144="peso_corporal",IF(ISNUMBER(MIERCOLES!E144),MIERCOLES!E144,0)+MIERCOLES!R144,MIERCOLES!R144)*MIERCOLES!S144),1),""))</f>
        <v/>
      </c>
      <c r="K403" s="51" t="str">
        <f>IF(P403="","",IFERROR(ROUND(CHOOSE(VALUE(RIGHT(P403,1)),(IF(MIERCOLES!C144="peso_corporal",IF(ISNUMBER(MIERCOLES!E144),MIERCOLES!E144,0)+MIERCOLES!F144,MIERCOLES!F144))*(1+MIERCOLES!G144/30),(IF(MIERCOLES!C144="peso_corporal",IF(ISNUMBER(MIERCOLES!E144),MIERCOLES!E144,0)+MIERCOLES!I144,MIERCOLES!I144))*(1+MIERCOLES!J144/30),(IF(MIERCOLES!C144="peso_corporal",IF(ISNUMBER(MIERCOLES!E144),MIERCOLES!E144,0)+MIERCOLES!L144,MIERCOLES!L144))*(1+MIERCOLES!M144/30),(IF(MIERCOLES!C144="peso_corporal",IF(ISNUMBER(MIERCOLES!E144),MIERCOLES!E144,0)+MIERCOLES!O144,MIERCOLES!O144))*(1+MIERCOLES!P144/30),(IF(MIERCOLES!C144="peso_corporal",IF(ISNUMBER(MIERCOLES!E144),MIERCOLES!E144,0)+MIERCOLES!R144,MIERCOLES!R144))*(1+MIERCOLES!S144/30)),1),""))</f>
        <v/>
      </c>
      <c r="L403" s="52">
        <f>IFERROR(MIERCOLES!E144,"")</f>
        <v>80</v>
      </c>
      <c r="M403" s="53" t="str">
        <f>IFERROR(IF(K403="","-",IF(ISNUMBER(LOOKUP(2,1/((HISTORIAL!$O$3:$O$402=O403)*(HISTORIAL!$F$3:$F$402&lt;&gt;"")),HISTORIAL!$K$3:$K$402)),IF(K403&gt;LOOKUP(2,1/((HISTORIAL!$O$3:$O$402=O403)*(HISTORIAL!$F$3:$F$402&lt;&gt;"")),HISTORIAL!$K$3:$K$402),"^",IF(K403&lt;LOOKUP(2,1/((HISTORIAL!$O$3:$O$402=O403)*(HISTORIAL!$F$3:$F$402&lt;&gt;"")),HISTORIAL!$K$3:$K$402),"v","-")),"-")),"-")</f>
        <v>-</v>
      </c>
      <c r="N403" s="54" t="str">
        <f>IFERROR(VLOOKUP(A403,CONFIG!$A$10:$B$21,2,0),"")</f>
        <v>HIP</v>
      </c>
      <c r="O403" s="55" t="str">
        <f t="shared" si="13"/>
        <v>Curl Femoral|Tumbado Maquina</v>
      </c>
      <c r="P403" s="69" t="str">
        <f>MIERCOLES!AC144</f>
        <v/>
      </c>
    </row>
    <row r="404" spans="1:16" ht="14.1" customHeight="1">
      <c r="A404" s="37">
        <v>7</v>
      </c>
      <c r="B404" s="37" t="s">
        <v>279</v>
      </c>
      <c r="C404" s="44" t="str">
        <f>MIERCOLES!$A$145</f>
        <v>Curl Femoral</v>
      </c>
      <c r="D404" s="45" t="str">
        <f>MIERCOLES!$B$145</f>
        <v>Sentado Maquina</v>
      </c>
      <c r="E404" s="37" t="str">
        <f>MIERCOLES!$C$145</f>
        <v>polea</v>
      </c>
      <c r="F404" s="46" t="str">
        <f>IF(P404="","",IFERROR(CHOOSE(VALUE(RIGHT(P404,1)),MIERCOLES!F145,MIERCOLES!I145,MIERCOLES!L145,MIERCOLES!O145,MIERCOLES!R145),""))</f>
        <v/>
      </c>
      <c r="G404" s="47" t="str">
        <f>IF(P404="","",IFERROR(CHOOSE(VALUE(RIGHT(P404,1)),MIERCOLES!G145,MIERCOLES!J145,MIERCOLES!M145,MIERCOLES!P145,MIERCOLES!S145),""))</f>
        <v/>
      </c>
      <c r="H404" s="48" t="str">
        <f>IF(P404="","",IFERROR(CHOOSE(VALUE(RIGHT(P404,1)),MIERCOLES!H145,MIERCOLES!K145,MIERCOLES!N145,MIERCOLES!Q145,MIERCOLES!T145),""))</f>
        <v/>
      </c>
      <c r="I404" s="49" t="str">
        <f t="shared" si="12"/>
        <v/>
      </c>
      <c r="J404" s="50" t="str">
        <f>IF(P404="","",IFERROR(ROUND(CHOOSE(VALUE(RIGHT(P404,1)),IF(MIERCOLES!C145="peso_corporal",IF(ISNUMBER(MIERCOLES!E145),MIERCOLES!E145,0)+MIERCOLES!F145,MIERCOLES!F145)*MIERCOLES!G145,IF(MIERCOLES!C145="peso_corporal",IF(ISNUMBER(MIERCOLES!E145),MIERCOLES!E145,0)+MIERCOLES!I145,MIERCOLES!I145)*MIERCOLES!J145,IF(MIERCOLES!C145="peso_corporal",IF(ISNUMBER(MIERCOLES!E145),MIERCOLES!E145,0)+MIERCOLES!L145,MIERCOLES!L145)*MIERCOLES!M145,IF(MIERCOLES!C145="peso_corporal",IF(ISNUMBER(MIERCOLES!E145),MIERCOLES!E145,0)+MIERCOLES!O145,MIERCOLES!O145)*MIERCOLES!P145,IF(MIERCOLES!C145="peso_corporal",IF(ISNUMBER(MIERCOLES!E145),MIERCOLES!E145,0)+MIERCOLES!R145,MIERCOLES!R145)*MIERCOLES!S145),1),""))</f>
        <v/>
      </c>
      <c r="K404" s="51" t="str">
        <f>IF(P404="","",IFERROR(ROUND(CHOOSE(VALUE(RIGHT(P404,1)),(IF(MIERCOLES!C145="peso_corporal",IF(ISNUMBER(MIERCOLES!E145),MIERCOLES!E145,0)+MIERCOLES!F145,MIERCOLES!F145))*(1+MIERCOLES!G145/30),(IF(MIERCOLES!C145="peso_corporal",IF(ISNUMBER(MIERCOLES!E145),MIERCOLES!E145,0)+MIERCOLES!I145,MIERCOLES!I145))*(1+MIERCOLES!J145/30),(IF(MIERCOLES!C145="peso_corporal",IF(ISNUMBER(MIERCOLES!E145),MIERCOLES!E145,0)+MIERCOLES!L145,MIERCOLES!L145))*(1+MIERCOLES!M145/30),(IF(MIERCOLES!C145="peso_corporal",IF(ISNUMBER(MIERCOLES!E145),MIERCOLES!E145,0)+MIERCOLES!O145,MIERCOLES!O145))*(1+MIERCOLES!P145/30),(IF(MIERCOLES!C145="peso_corporal",IF(ISNUMBER(MIERCOLES!E145),MIERCOLES!E145,0)+MIERCOLES!R145,MIERCOLES!R145))*(1+MIERCOLES!S145/30)),1),""))</f>
        <v/>
      </c>
      <c r="L404" s="52">
        <f>IFERROR(MIERCOLES!E145,"")</f>
        <v>80</v>
      </c>
      <c r="M404" s="53" t="str">
        <f>IFERROR(IF(K404="","-",IF(ISNUMBER(LOOKUP(2,1/((HISTORIAL!$O$3:$O$403=O404)*(HISTORIAL!$F$3:$F$403&lt;&gt;"")),HISTORIAL!$K$3:$K$403)),IF(K404&gt;LOOKUP(2,1/((HISTORIAL!$O$3:$O$403=O404)*(HISTORIAL!$F$3:$F$403&lt;&gt;"")),HISTORIAL!$K$3:$K$403),"^",IF(K404&lt;LOOKUP(2,1/((HISTORIAL!$O$3:$O$403=O404)*(HISTORIAL!$F$3:$F$403&lt;&gt;"")),HISTORIAL!$K$3:$K$403),"v","-")),"-")),"-")</f>
        <v>-</v>
      </c>
      <c r="N404" s="54" t="str">
        <f>IFERROR(VLOOKUP(A404,CONFIG!$A$10:$B$21,2,0),"")</f>
        <v>HIP</v>
      </c>
      <c r="O404" s="55" t="str">
        <f t="shared" si="13"/>
        <v>Curl Femoral|Sentado Maquina</v>
      </c>
      <c r="P404" s="69" t="str">
        <f>MIERCOLES!AC145</f>
        <v/>
      </c>
    </row>
    <row r="405" spans="1:16" ht="14.1" customHeight="1">
      <c r="A405" s="37">
        <v>7</v>
      </c>
      <c r="B405" s="37" t="s">
        <v>279</v>
      </c>
      <c r="C405" s="44" t="str">
        <f>MIERCOLES!$A$146</f>
        <v>Curl Rumano</v>
      </c>
      <c r="D405" s="45" t="str">
        <f>MIERCOLES!$B$146</f>
        <v>Mancuernas</v>
      </c>
      <c r="E405" s="37" t="str">
        <f>MIERCOLES!$C$146</f>
        <v>mancuerna</v>
      </c>
      <c r="F405" s="46" t="str">
        <f>IF(P405="","",IFERROR(CHOOSE(VALUE(RIGHT(P405,1)),MIERCOLES!F146,MIERCOLES!I146,MIERCOLES!L146,MIERCOLES!O146,MIERCOLES!R146),""))</f>
        <v/>
      </c>
      <c r="G405" s="47" t="str">
        <f>IF(P405="","",IFERROR(CHOOSE(VALUE(RIGHT(P405,1)),MIERCOLES!G146,MIERCOLES!J146,MIERCOLES!M146,MIERCOLES!P146,MIERCOLES!S146),""))</f>
        <v/>
      </c>
      <c r="H405" s="48" t="str">
        <f>IF(P405="","",IFERROR(CHOOSE(VALUE(RIGHT(P405,1)),MIERCOLES!H146,MIERCOLES!K146,MIERCOLES!N146,MIERCOLES!Q146,MIERCOLES!T146),""))</f>
        <v/>
      </c>
      <c r="I405" s="49" t="str">
        <f t="shared" si="12"/>
        <v/>
      </c>
      <c r="J405" s="50" t="str">
        <f>IF(P405="","",IFERROR(ROUND(CHOOSE(VALUE(RIGHT(P405,1)),IF(MIERCOLES!C146="peso_corporal",IF(ISNUMBER(MIERCOLES!E146),MIERCOLES!E146,0)+MIERCOLES!F146,MIERCOLES!F146)*MIERCOLES!G146,IF(MIERCOLES!C146="peso_corporal",IF(ISNUMBER(MIERCOLES!E146),MIERCOLES!E146,0)+MIERCOLES!I146,MIERCOLES!I146)*MIERCOLES!J146,IF(MIERCOLES!C146="peso_corporal",IF(ISNUMBER(MIERCOLES!E146),MIERCOLES!E146,0)+MIERCOLES!L146,MIERCOLES!L146)*MIERCOLES!M146,IF(MIERCOLES!C146="peso_corporal",IF(ISNUMBER(MIERCOLES!E146),MIERCOLES!E146,0)+MIERCOLES!O146,MIERCOLES!O146)*MIERCOLES!P146,IF(MIERCOLES!C146="peso_corporal",IF(ISNUMBER(MIERCOLES!E146),MIERCOLES!E146,0)+MIERCOLES!R146,MIERCOLES!R146)*MIERCOLES!S146),1),""))</f>
        <v/>
      </c>
      <c r="K405" s="51" t="str">
        <f>IF(P405="","",IFERROR(ROUND(CHOOSE(VALUE(RIGHT(P405,1)),(IF(MIERCOLES!C146="peso_corporal",IF(ISNUMBER(MIERCOLES!E146),MIERCOLES!E146,0)+MIERCOLES!F146,MIERCOLES!F146))*(1+MIERCOLES!G146/30),(IF(MIERCOLES!C146="peso_corporal",IF(ISNUMBER(MIERCOLES!E146),MIERCOLES!E146,0)+MIERCOLES!I146,MIERCOLES!I146))*(1+MIERCOLES!J146/30),(IF(MIERCOLES!C146="peso_corporal",IF(ISNUMBER(MIERCOLES!E146),MIERCOLES!E146,0)+MIERCOLES!L146,MIERCOLES!L146))*(1+MIERCOLES!M146/30),(IF(MIERCOLES!C146="peso_corporal",IF(ISNUMBER(MIERCOLES!E146),MIERCOLES!E146,0)+MIERCOLES!O146,MIERCOLES!O146))*(1+MIERCOLES!P146/30),(IF(MIERCOLES!C146="peso_corporal",IF(ISNUMBER(MIERCOLES!E146),MIERCOLES!E146,0)+MIERCOLES!R146,MIERCOLES!R146))*(1+MIERCOLES!S146/30)),1),""))</f>
        <v/>
      </c>
      <c r="L405" s="52">
        <f>IFERROR(MIERCOLES!E146,"")</f>
        <v>80</v>
      </c>
      <c r="M405" s="53" t="str">
        <f>IFERROR(IF(K405="","-",IF(ISNUMBER(LOOKUP(2,1/((HISTORIAL!$O$3:$O$404=O405)*(HISTORIAL!$F$3:$F$404&lt;&gt;"")),HISTORIAL!$K$3:$K$404)),IF(K405&gt;LOOKUP(2,1/((HISTORIAL!$O$3:$O$404=O405)*(HISTORIAL!$F$3:$F$404&lt;&gt;"")),HISTORIAL!$K$3:$K$404),"^",IF(K405&lt;LOOKUP(2,1/((HISTORIAL!$O$3:$O$404=O405)*(HISTORIAL!$F$3:$F$404&lt;&gt;"")),HISTORIAL!$K$3:$K$404),"v","-")),"-")),"-")</f>
        <v>-</v>
      </c>
      <c r="N405" s="54" t="str">
        <f>IFERROR(VLOOKUP(A405,CONFIG!$A$10:$B$21,2,0),"")</f>
        <v>HIP</v>
      </c>
      <c r="O405" s="55" t="str">
        <f t="shared" si="13"/>
        <v>Curl Rumano|Mancuernas</v>
      </c>
      <c r="P405" s="69" t="str">
        <f>MIERCOLES!AC146</f>
        <v/>
      </c>
    </row>
    <row r="406" spans="1:16" ht="14.1" customHeight="1">
      <c r="A406" s="37">
        <v>7</v>
      </c>
      <c r="B406" s="37" t="s">
        <v>279</v>
      </c>
      <c r="C406" s="44" t="str">
        <f>MIERCOLES!$A$148</f>
        <v>Sentadilla</v>
      </c>
      <c r="D406" s="45" t="str">
        <f>MIERCOLES!$B$148</f>
        <v>Multipower Cuna Talones</v>
      </c>
      <c r="E406" s="37" t="str">
        <f>MIERCOLES!$C$148</f>
        <v>--</v>
      </c>
      <c r="F406" s="46" t="str">
        <f>IF(P406="","",IFERROR(CHOOSE(VALUE(RIGHT(P406,1)),MIERCOLES!F148,MIERCOLES!I148,MIERCOLES!L148,MIERCOLES!O148,MIERCOLES!R148),""))</f>
        <v/>
      </c>
      <c r="G406" s="47" t="str">
        <f>IF(P406="","",IFERROR(CHOOSE(VALUE(RIGHT(P406,1)),MIERCOLES!G148,MIERCOLES!J148,MIERCOLES!M148,MIERCOLES!P148,MIERCOLES!S148),""))</f>
        <v/>
      </c>
      <c r="H406" s="48" t="str">
        <f>IF(P406="","",IFERROR(CHOOSE(VALUE(RIGHT(P406,1)),MIERCOLES!H148,MIERCOLES!K148,MIERCOLES!N148,MIERCOLES!Q148,MIERCOLES!T148),""))</f>
        <v/>
      </c>
      <c r="I406" s="49" t="str">
        <f t="shared" si="12"/>
        <v/>
      </c>
      <c r="J406" s="50" t="str">
        <f>IF(P406="","",IFERROR(ROUND(CHOOSE(VALUE(RIGHT(P406,1)),IF(MIERCOLES!C148="peso_corporal",IF(ISNUMBER(MIERCOLES!E148),MIERCOLES!E148,0)+MIERCOLES!F148,MIERCOLES!F148)*MIERCOLES!G148,IF(MIERCOLES!C148="peso_corporal",IF(ISNUMBER(MIERCOLES!E148),MIERCOLES!E148,0)+MIERCOLES!I148,MIERCOLES!I148)*MIERCOLES!J148,IF(MIERCOLES!C148="peso_corporal",IF(ISNUMBER(MIERCOLES!E148),MIERCOLES!E148,0)+MIERCOLES!L148,MIERCOLES!L148)*MIERCOLES!M148,IF(MIERCOLES!C148="peso_corporal",IF(ISNUMBER(MIERCOLES!E148),MIERCOLES!E148,0)+MIERCOLES!O148,MIERCOLES!O148)*MIERCOLES!P148,IF(MIERCOLES!C148="peso_corporal",IF(ISNUMBER(MIERCOLES!E148),MIERCOLES!E148,0)+MIERCOLES!R148,MIERCOLES!R148)*MIERCOLES!S148),1),""))</f>
        <v/>
      </c>
      <c r="K406" s="51" t="str">
        <f>IF(P406="","",IFERROR(ROUND(CHOOSE(VALUE(RIGHT(P406,1)),(IF(MIERCOLES!C148="peso_corporal",IF(ISNUMBER(MIERCOLES!E148),MIERCOLES!E148,0)+MIERCOLES!F148,MIERCOLES!F148))*(1+MIERCOLES!G148/30),(IF(MIERCOLES!C148="peso_corporal",IF(ISNUMBER(MIERCOLES!E148),MIERCOLES!E148,0)+MIERCOLES!I148,MIERCOLES!I148))*(1+MIERCOLES!J148/30),(IF(MIERCOLES!C148="peso_corporal",IF(ISNUMBER(MIERCOLES!E148),MIERCOLES!E148,0)+MIERCOLES!L148,MIERCOLES!L148))*(1+MIERCOLES!M148/30),(IF(MIERCOLES!C148="peso_corporal",IF(ISNUMBER(MIERCOLES!E148),MIERCOLES!E148,0)+MIERCOLES!O148,MIERCOLES!O148))*(1+MIERCOLES!P148/30),(IF(MIERCOLES!C148="peso_corporal",IF(ISNUMBER(MIERCOLES!E148),MIERCOLES!E148,0)+MIERCOLES!R148,MIERCOLES!R148))*(1+MIERCOLES!S148/30)),1),""))</f>
        <v/>
      </c>
      <c r="L406" s="52">
        <f>IFERROR(MIERCOLES!E148,"")</f>
        <v>80</v>
      </c>
      <c r="M406" s="53" t="str">
        <f>IFERROR(IF(K406="","-",IF(ISNUMBER(LOOKUP(2,1/((HISTORIAL!$O$3:$O$405=O406)*(HISTORIAL!$F$3:$F$405&lt;&gt;"")),HISTORIAL!$K$3:$K$405)),IF(K406&gt;LOOKUP(2,1/((HISTORIAL!$O$3:$O$405=O406)*(HISTORIAL!$F$3:$F$405&lt;&gt;"")),HISTORIAL!$K$3:$K$405),"^",IF(K406&lt;LOOKUP(2,1/((HISTORIAL!$O$3:$O$405=O406)*(HISTORIAL!$F$3:$F$405&lt;&gt;"")),HISTORIAL!$K$3:$K$405),"v","-")),"-")),"-")</f>
        <v>-</v>
      </c>
      <c r="N406" s="54" t="str">
        <f>IFERROR(VLOOKUP(A406,CONFIG!$A$10:$B$21,2,0),"")</f>
        <v>HIP</v>
      </c>
      <c r="O406" s="55" t="str">
        <f t="shared" si="13"/>
        <v>Sentadilla|Multipower Cuna Talones</v>
      </c>
      <c r="P406" s="69" t="str">
        <f>MIERCOLES!AC148</f>
        <v/>
      </c>
    </row>
    <row r="407" spans="1:16" ht="14.1" customHeight="1">
      <c r="A407" s="37">
        <v>7</v>
      </c>
      <c r="B407" s="37" t="s">
        <v>279</v>
      </c>
      <c r="C407" s="44" t="str">
        <f>MIERCOLES!$A$149</f>
        <v>Prensa Pierna</v>
      </c>
      <c r="D407" s="45" t="str">
        <f>MIERCOLES!$B$149</f>
        <v>Individual Horizontal</v>
      </c>
      <c r="E407" s="37" t="str">
        <f>MIERCOLES!$C$149</f>
        <v>--</v>
      </c>
      <c r="F407" s="46" t="str">
        <f>IF(P407="","",IFERROR(CHOOSE(VALUE(RIGHT(P407,1)),MIERCOLES!F149,MIERCOLES!I149,MIERCOLES!L149,MIERCOLES!O149,MIERCOLES!R149),""))</f>
        <v/>
      </c>
      <c r="G407" s="47" t="str">
        <f>IF(P407="","",IFERROR(CHOOSE(VALUE(RIGHT(P407,1)),MIERCOLES!G149,MIERCOLES!J149,MIERCOLES!M149,MIERCOLES!P149,MIERCOLES!S149),""))</f>
        <v/>
      </c>
      <c r="H407" s="48" t="str">
        <f>IF(P407="","",IFERROR(CHOOSE(VALUE(RIGHT(P407,1)),MIERCOLES!H149,MIERCOLES!K149,MIERCOLES!N149,MIERCOLES!Q149,MIERCOLES!T149),""))</f>
        <v/>
      </c>
      <c r="I407" s="49" t="str">
        <f t="shared" si="12"/>
        <v/>
      </c>
      <c r="J407" s="50" t="str">
        <f>IF(P407="","",IFERROR(ROUND(CHOOSE(VALUE(RIGHT(P407,1)),IF(MIERCOLES!C149="peso_corporal",IF(ISNUMBER(MIERCOLES!E149),MIERCOLES!E149,0)+MIERCOLES!F149,MIERCOLES!F149)*MIERCOLES!G149,IF(MIERCOLES!C149="peso_corporal",IF(ISNUMBER(MIERCOLES!E149),MIERCOLES!E149,0)+MIERCOLES!I149,MIERCOLES!I149)*MIERCOLES!J149,IF(MIERCOLES!C149="peso_corporal",IF(ISNUMBER(MIERCOLES!E149),MIERCOLES!E149,0)+MIERCOLES!L149,MIERCOLES!L149)*MIERCOLES!M149,IF(MIERCOLES!C149="peso_corporal",IF(ISNUMBER(MIERCOLES!E149),MIERCOLES!E149,0)+MIERCOLES!O149,MIERCOLES!O149)*MIERCOLES!P149,IF(MIERCOLES!C149="peso_corporal",IF(ISNUMBER(MIERCOLES!E149),MIERCOLES!E149,0)+MIERCOLES!R149,MIERCOLES!R149)*MIERCOLES!S149),1),""))</f>
        <v/>
      </c>
      <c r="K407" s="51" t="str">
        <f>IF(P407="","",IFERROR(ROUND(CHOOSE(VALUE(RIGHT(P407,1)),(IF(MIERCOLES!C149="peso_corporal",IF(ISNUMBER(MIERCOLES!E149),MIERCOLES!E149,0)+MIERCOLES!F149,MIERCOLES!F149))*(1+MIERCOLES!G149/30),(IF(MIERCOLES!C149="peso_corporal",IF(ISNUMBER(MIERCOLES!E149),MIERCOLES!E149,0)+MIERCOLES!I149,MIERCOLES!I149))*(1+MIERCOLES!J149/30),(IF(MIERCOLES!C149="peso_corporal",IF(ISNUMBER(MIERCOLES!E149),MIERCOLES!E149,0)+MIERCOLES!L149,MIERCOLES!L149))*(1+MIERCOLES!M149/30),(IF(MIERCOLES!C149="peso_corporal",IF(ISNUMBER(MIERCOLES!E149),MIERCOLES!E149,0)+MIERCOLES!O149,MIERCOLES!O149))*(1+MIERCOLES!P149/30),(IF(MIERCOLES!C149="peso_corporal",IF(ISNUMBER(MIERCOLES!E149),MIERCOLES!E149,0)+MIERCOLES!R149,MIERCOLES!R149))*(1+MIERCOLES!S149/30)),1),""))</f>
        <v/>
      </c>
      <c r="L407" s="52">
        <f>IFERROR(MIERCOLES!E149,"")</f>
        <v>80</v>
      </c>
      <c r="M407" s="53" t="str">
        <f>IFERROR(IF(K407="","-",IF(ISNUMBER(LOOKUP(2,1/((HISTORIAL!$O$3:$O$406=O407)*(HISTORIAL!$F$3:$F$406&lt;&gt;"")),HISTORIAL!$K$3:$K$406)),IF(K407&gt;LOOKUP(2,1/((HISTORIAL!$O$3:$O$406=O407)*(HISTORIAL!$F$3:$F$406&lt;&gt;"")),HISTORIAL!$K$3:$K$406),"^",IF(K407&lt;LOOKUP(2,1/((HISTORIAL!$O$3:$O$406=O407)*(HISTORIAL!$F$3:$F$406&lt;&gt;"")),HISTORIAL!$K$3:$K$406),"v","-")),"-")),"-")</f>
        <v>-</v>
      </c>
      <c r="N407" s="54" t="str">
        <f>IFERROR(VLOOKUP(A407,CONFIG!$A$10:$B$21,2,0),"")</f>
        <v>HIP</v>
      </c>
      <c r="O407" s="55" t="str">
        <f t="shared" si="13"/>
        <v>Prensa Pierna|Individual Horizontal</v>
      </c>
      <c r="P407" s="69" t="str">
        <f>MIERCOLES!AC149</f>
        <v/>
      </c>
    </row>
    <row r="408" spans="1:16" ht="14.1" customHeight="1">
      <c r="A408" s="37">
        <v>7</v>
      </c>
      <c r="B408" s="37" t="s">
        <v>279</v>
      </c>
      <c r="C408" s="44" t="str">
        <f>MIERCOLES!$A$150</f>
        <v>Extension Cuadriceps</v>
      </c>
      <c r="D408" s="45" t="str">
        <f>MIERCOLES!$B$150</f>
        <v>Vasto Externo</v>
      </c>
      <c r="E408" s="37" t="str">
        <f>MIERCOLES!$C$150</f>
        <v>--</v>
      </c>
      <c r="F408" s="46" t="str">
        <f>IF(P408="","",IFERROR(CHOOSE(VALUE(RIGHT(P408,1)),MIERCOLES!F150,MIERCOLES!I150,MIERCOLES!L150,MIERCOLES!O150,MIERCOLES!R150),""))</f>
        <v/>
      </c>
      <c r="G408" s="47" t="str">
        <f>IF(P408="","",IFERROR(CHOOSE(VALUE(RIGHT(P408,1)),MIERCOLES!G150,MIERCOLES!J150,MIERCOLES!M150,MIERCOLES!P150,MIERCOLES!S150),""))</f>
        <v/>
      </c>
      <c r="H408" s="48" t="str">
        <f>IF(P408="","",IFERROR(CHOOSE(VALUE(RIGHT(P408,1)),MIERCOLES!H150,MIERCOLES!K150,MIERCOLES!N150,MIERCOLES!Q150,MIERCOLES!T150),""))</f>
        <v/>
      </c>
      <c r="I408" s="49" t="str">
        <f t="shared" si="12"/>
        <v/>
      </c>
      <c r="J408" s="50" t="str">
        <f>IF(P408="","",IFERROR(ROUND(CHOOSE(VALUE(RIGHT(P408,1)),IF(MIERCOLES!C150="peso_corporal",IF(ISNUMBER(MIERCOLES!E150),MIERCOLES!E150,0)+MIERCOLES!F150,MIERCOLES!F150)*MIERCOLES!G150,IF(MIERCOLES!C150="peso_corporal",IF(ISNUMBER(MIERCOLES!E150),MIERCOLES!E150,0)+MIERCOLES!I150,MIERCOLES!I150)*MIERCOLES!J150,IF(MIERCOLES!C150="peso_corporal",IF(ISNUMBER(MIERCOLES!E150),MIERCOLES!E150,0)+MIERCOLES!L150,MIERCOLES!L150)*MIERCOLES!M150,IF(MIERCOLES!C150="peso_corporal",IF(ISNUMBER(MIERCOLES!E150),MIERCOLES!E150,0)+MIERCOLES!O150,MIERCOLES!O150)*MIERCOLES!P150,IF(MIERCOLES!C150="peso_corporal",IF(ISNUMBER(MIERCOLES!E150),MIERCOLES!E150,0)+MIERCOLES!R150,MIERCOLES!R150)*MIERCOLES!S150),1),""))</f>
        <v/>
      </c>
      <c r="K408" s="51" t="str">
        <f>IF(P408="","",IFERROR(ROUND(CHOOSE(VALUE(RIGHT(P408,1)),(IF(MIERCOLES!C150="peso_corporal",IF(ISNUMBER(MIERCOLES!E150),MIERCOLES!E150,0)+MIERCOLES!F150,MIERCOLES!F150))*(1+MIERCOLES!G150/30),(IF(MIERCOLES!C150="peso_corporal",IF(ISNUMBER(MIERCOLES!E150),MIERCOLES!E150,0)+MIERCOLES!I150,MIERCOLES!I150))*(1+MIERCOLES!J150/30),(IF(MIERCOLES!C150="peso_corporal",IF(ISNUMBER(MIERCOLES!E150),MIERCOLES!E150,0)+MIERCOLES!L150,MIERCOLES!L150))*(1+MIERCOLES!M150/30),(IF(MIERCOLES!C150="peso_corporal",IF(ISNUMBER(MIERCOLES!E150),MIERCOLES!E150,0)+MIERCOLES!O150,MIERCOLES!O150))*(1+MIERCOLES!P150/30),(IF(MIERCOLES!C150="peso_corporal",IF(ISNUMBER(MIERCOLES!E150),MIERCOLES!E150,0)+MIERCOLES!R150,MIERCOLES!R150))*(1+MIERCOLES!S150/30)),1),""))</f>
        <v/>
      </c>
      <c r="L408" s="52">
        <f>IFERROR(MIERCOLES!E150,"")</f>
        <v>80</v>
      </c>
      <c r="M408" s="53" t="str">
        <f>IFERROR(IF(K408="","-",IF(ISNUMBER(LOOKUP(2,1/((HISTORIAL!$O$3:$O$407=O408)*(HISTORIAL!$F$3:$F$407&lt;&gt;"")),HISTORIAL!$K$3:$K$407)),IF(K408&gt;LOOKUP(2,1/((HISTORIAL!$O$3:$O$407=O408)*(HISTORIAL!$F$3:$F$407&lt;&gt;"")),HISTORIAL!$K$3:$K$407),"^",IF(K408&lt;LOOKUP(2,1/((HISTORIAL!$O$3:$O$407=O408)*(HISTORIAL!$F$3:$F$407&lt;&gt;"")),HISTORIAL!$K$3:$K$407),"v","-")),"-")),"-")</f>
        <v>-</v>
      </c>
      <c r="N408" s="54" t="str">
        <f>IFERROR(VLOOKUP(A408,CONFIG!$A$10:$B$21,2,0),"")</f>
        <v>HIP</v>
      </c>
      <c r="O408" s="55" t="str">
        <f t="shared" si="13"/>
        <v>Extension Cuadriceps|Vasto Externo</v>
      </c>
      <c r="P408" s="69" t="str">
        <f>MIERCOLES!AC150</f>
        <v/>
      </c>
    </row>
    <row r="409" spans="1:16" ht="14.1" customHeight="1">
      <c r="A409" s="37">
        <v>7</v>
      </c>
      <c r="B409" s="37" t="s">
        <v>279</v>
      </c>
      <c r="C409" s="44" t="str">
        <f>MIERCOLES!$A$151</f>
        <v>Extension Cuadriceps</v>
      </c>
      <c r="D409" s="45" t="str">
        <f>MIERCOLES!$B$151</f>
        <v>Vasto Interno</v>
      </c>
      <c r="E409" s="37" t="str">
        <f>MIERCOLES!$C$151</f>
        <v>--</v>
      </c>
      <c r="F409" s="46" t="str">
        <f>IF(P409="","",IFERROR(CHOOSE(VALUE(RIGHT(P409,1)),MIERCOLES!F151,MIERCOLES!I151,MIERCOLES!L151,MIERCOLES!O151,MIERCOLES!R151),""))</f>
        <v/>
      </c>
      <c r="G409" s="47" t="str">
        <f>IF(P409="","",IFERROR(CHOOSE(VALUE(RIGHT(P409,1)),MIERCOLES!G151,MIERCOLES!J151,MIERCOLES!M151,MIERCOLES!P151,MIERCOLES!S151),""))</f>
        <v/>
      </c>
      <c r="H409" s="48" t="str">
        <f>IF(P409="","",IFERROR(CHOOSE(VALUE(RIGHT(P409,1)),MIERCOLES!H151,MIERCOLES!K151,MIERCOLES!N151,MIERCOLES!Q151,MIERCOLES!T151),""))</f>
        <v/>
      </c>
      <c r="I409" s="49" t="str">
        <f t="shared" si="12"/>
        <v/>
      </c>
      <c r="J409" s="50" t="str">
        <f>IF(P409="","",IFERROR(ROUND(CHOOSE(VALUE(RIGHT(P409,1)),IF(MIERCOLES!C151="peso_corporal",IF(ISNUMBER(MIERCOLES!E151),MIERCOLES!E151,0)+MIERCOLES!F151,MIERCOLES!F151)*MIERCOLES!G151,IF(MIERCOLES!C151="peso_corporal",IF(ISNUMBER(MIERCOLES!E151),MIERCOLES!E151,0)+MIERCOLES!I151,MIERCOLES!I151)*MIERCOLES!J151,IF(MIERCOLES!C151="peso_corporal",IF(ISNUMBER(MIERCOLES!E151),MIERCOLES!E151,0)+MIERCOLES!L151,MIERCOLES!L151)*MIERCOLES!M151,IF(MIERCOLES!C151="peso_corporal",IF(ISNUMBER(MIERCOLES!E151),MIERCOLES!E151,0)+MIERCOLES!O151,MIERCOLES!O151)*MIERCOLES!P151,IF(MIERCOLES!C151="peso_corporal",IF(ISNUMBER(MIERCOLES!E151),MIERCOLES!E151,0)+MIERCOLES!R151,MIERCOLES!R151)*MIERCOLES!S151),1),""))</f>
        <v/>
      </c>
      <c r="K409" s="51" t="str">
        <f>IF(P409="","",IFERROR(ROUND(CHOOSE(VALUE(RIGHT(P409,1)),(IF(MIERCOLES!C151="peso_corporal",IF(ISNUMBER(MIERCOLES!E151),MIERCOLES!E151,0)+MIERCOLES!F151,MIERCOLES!F151))*(1+MIERCOLES!G151/30),(IF(MIERCOLES!C151="peso_corporal",IF(ISNUMBER(MIERCOLES!E151),MIERCOLES!E151,0)+MIERCOLES!I151,MIERCOLES!I151))*(1+MIERCOLES!J151/30),(IF(MIERCOLES!C151="peso_corporal",IF(ISNUMBER(MIERCOLES!E151),MIERCOLES!E151,0)+MIERCOLES!L151,MIERCOLES!L151))*(1+MIERCOLES!M151/30),(IF(MIERCOLES!C151="peso_corporal",IF(ISNUMBER(MIERCOLES!E151),MIERCOLES!E151,0)+MIERCOLES!O151,MIERCOLES!O151))*(1+MIERCOLES!P151/30),(IF(MIERCOLES!C151="peso_corporal",IF(ISNUMBER(MIERCOLES!E151),MIERCOLES!E151,0)+MIERCOLES!R151,MIERCOLES!R151))*(1+MIERCOLES!S151/30)),1),""))</f>
        <v/>
      </c>
      <c r="L409" s="52">
        <f>IFERROR(MIERCOLES!E151,"")</f>
        <v>80</v>
      </c>
      <c r="M409" s="53" t="str">
        <f>IFERROR(IF(K409="","-",IF(ISNUMBER(LOOKUP(2,1/((HISTORIAL!$O$3:$O$408=O409)*(HISTORIAL!$F$3:$F$408&lt;&gt;"")),HISTORIAL!$K$3:$K$408)),IF(K409&gt;LOOKUP(2,1/((HISTORIAL!$O$3:$O$408=O409)*(HISTORIAL!$F$3:$F$408&lt;&gt;"")),HISTORIAL!$K$3:$K$408),"^",IF(K409&lt;LOOKUP(2,1/((HISTORIAL!$O$3:$O$408=O409)*(HISTORIAL!$F$3:$F$408&lt;&gt;"")),HISTORIAL!$K$3:$K$408),"v","-")),"-")),"-")</f>
        <v>-</v>
      </c>
      <c r="N409" s="54" t="str">
        <f>IFERROR(VLOOKUP(A409,CONFIG!$A$10:$B$21,2,0),"")</f>
        <v>HIP</v>
      </c>
      <c r="O409" s="55" t="str">
        <f t="shared" si="13"/>
        <v>Extension Cuadriceps|Vasto Interno</v>
      </c>
      <c r="P409" s="69" t="str">
        <f>MIERCOLES!AC151</f>
        <v/>
      </c>
    </row>
    <row r="410" spans="1:16" ht="14.1" customHeight="1">
      <c r="A410" s="37">
        <v>7</v>
      </c>
      <c r="B410" s="37" t="s">
        <v>279</v>
      </c>
      <c r="C410" s="44" t="str">
        <f>MIERCOLES!$A$153</f>
        <v>Elevacion Gemelo</v>
      </c>
      <c r="D410" s="45" t="str">
        <f>MIERCOLES!$B$153</f>
        <v>Sentado</v>
      </c>
      <c r="E410" s="37" t="str">
        <f>MIERCOLES!$C$153</f>
        <v>disco</v>
      </c>
      <c r="F410" s="46" t="str">
        <f>IF(P410="","",IFERROR(CHOOSE(VALUE(RIGHT(P410,1)),MIERCOLES!F153,MIERCOLES!I153,MIERCOLES!L153,MIERCOLES!O153,MIERCOLES!R153),""))</f>
        <v/>
      </c>
      <c r="G410" s="47" t="str">
        <f>IF(P410="","",IFERROR(CHOOSE(VALUE(RIGHT(P410,1)),MIERCOLES!G153,MIERCOLES!J153,MIERCOLES!M153,MIERCOLES!P153,MIERCOLES!S153),""))</f>
        <v/>
      </c>
      <c r="H410" s="48" t="str">
        <f>IF(P410="","",IFERROR(CHOOSE(VALUE(RIGHT(P410,1)),MIERCOLES!H153,MIERCOLES!K153,MIERCOLES!N153,MIERCOLES!Q153,MIERCOLES!T153),""))</f>
        <v/>
      </c>
      <c r="I410" s="49" t="str">
        <f t="shared" si="12"/>
        <v/>
      </c>
      <c r="J410" s="50" t="str">
        <f>IF(P410="","",IFERROR(ROUND(CHOOSE(VALUE(RIGHT(P410,1)),IF(MIERCOLES!C153="peso_corporal",IF(ISNUMBER(MIERCOLES!E153),MIERCOLES!E153,0)+MIERCOLES!F153,MIERCOLES!F153)*MIERCOLES!G153,IF(MIERCOLES!C153="peso_corporal",IF(ISNUMBER(MIERCOLES!E153),MIERCOLES!E153,0)+MIERCOLES!I153,MIERCOLES!I153)*MIERCOLES!J153,IF(MIERCOLES!C153="peso_corporal",IF(ISNUMBER(MIERCOLES!E153),MIERCOLES!E153,0)+MIERCOLES!L153,MIERCOLES!L153)*MIERCOLES!M153,IF(MIERCOLES!C153="peso_corporal",IF(ISNUMBER(MIERCOLES!E153),MIERCOLES!E153,0)+MIERCOLES!O153,MIERCOLES!O153)*MIERCOLES!P153,IF(MIERCOLES!C153="peso_corporal",IF(ISNUMBER(MIERCOLES!E153),MIERCOLES!E153,0)+MIERCOLES!R153,MIERCOLES!R153)*MIERCOLES!S153),1),""))</f>
        <v/>
      </c>
      <c r="K410" s="51" t="str">
        <f>IF(P410="","",IFERROR(ROUND(CHOOSE(VALUE(RIGHT(P410,1)),(IF(MIERCOLES!C153="peso_corporal",IF(ISNUMBER(MIERCOLES!E153),MIERCOLES!E153,0)+MIERCOLES!F153,MIERCOLES!F153))*(1+MIERCOLES!G153/30),(IF(MIERCOLES!C153="peso_corporal",IF(ISNUMBER(MIERCOLES!E153),MIERCOLES!E153,0)+MIERCOLES!I153,MIERCOLES!I153))*(1+MIERCOLES!J153/30),(IF(MIERCOLES!C153="peso_corporal",IF(ISNUMBER(MIERCOLES!E153),MIERCOLES!E153,0)+MIERCOLES!L153,MIERCOLES!L153))*(1+MIERCOLES!M153/30),(IF(MIERCOLES!C153="peso_corporal",IF(ISNUMBER(MIERCOLES!E153),MIERCOLES!E153,0)+MIERCOLES!O153,MIERCOLES!O153))*(1+MIERCOLES!P153/30),(IF(MIERCOLES!C153="peso_corporal",IF(ISNUMBER(MIERCOLES!E153),MIERCOLES!E153,0)+MIERCOLES!R153,MIERCOLES!R153))*(1+MIERCOLES!S153/30)),1),""))</f>
        <v/>
      </c>
      <c r="L410" s="52">
        <f>IFERROR(MIERCOLES!E153,"")</f>
        <v>80</v>
      </c>
      <c r="M410" s="53" t="str">
        <f>IFERROR(IF(K410="","-",IF(ISNUMBER(LOOKUP(2,1/((HISTORIAL!$O$3:$O$409=O410)*(HISTORIAL!$F$3:$F$409&lt;&gt;"")),HISTORIAL!$K$3:$K$409)),IF(K410&gt;LOOKUP(2,1/((HISTORIAL!$O$3:$O$409=O410)*(HISTORIAL!$F$3:$F$409&lt;&gt;"")),HISTORIAL!$K$3:$K$409),"^",IF(K410&lt;LOOKUP(2,1/((HISTORIAL!$O$3:$O$409=O410)*(HISTORIAL!$F$3:$F$409&lt;&gt;"")),HISTORIAL!$K$3:$K$409),"v","-")),"-")),"-")</f>
        <v>-</v>
      </c>
      <c r="N410" s="54" t="str">
        <f>IFERROR(VLOOKUP(A410,CONFIG!$A$10:$B$21,2,0),"")</f>
        <v>HIP</v>
      </c>
      <c r="O410" s="55" t="str">
        <f t="shared" si="13"/>
        <v>Elevacion Gemelo|Sentado</v>
      </c>
      <c r="P410" s="69" t="str">
        <f>MIERCOLES!AC153</f>
        <v/>
      </c>
    </row>
    <row r="411" spans="1:16" ht="14.1" customHeight="1">
      <c r="A411" s="37">
        <v>7</v>
      </c>
      <c r="B411" s="37" t="s">
        <v>279</v>
      </c>
      <c r="C411" s="44" t="str">
        <f>MIERCOLES!$A$154</f>
        <v>Elevacion Gemelo</v>
      </c>
      <c r="D411" s="45" t="str">
        <f>MIERCOLES!$B$154</f>
        <v>De Pie</v>
      </c>
      <c r="E411" s="37" t="str">
        <f>MIERCOLES!$C$154</f>
        <v>disco</v>
      </c>
      <c r="F411" s="46" t="str">
        <f>IF(P411="","",IFERROR(CHOOSE(VALUE(RIGHT(P411,1)),MIERCOLES!F154,MIERCOLES!I154,MIERCOLES!L154,MIERCOLES!O154,MIERCOLES!R154),""))</f>
        <v/>
      </c>
      <c r="G411" s="47" t="str">
        <f>IF(P411="","",IFERROR(CHOOSE(VALUE(RIGHT(P411,1)),MIERCOLES!G154,MIERCOLES!J154,MIERCOLES!M154,MIERCOLES!P154,MIERCOLES!S154),""))</f>
        <v/>
      </c>
      <c r="H411" s="48" t="str">
        <f>IF(P411="","",IFERROR(CHOOSE(VALUE(RIGHT(P411,1)),MIERCOLES!H154,MIERCOLES!K154,MIERCOLES!N154,MIERCOLES!Q154,MIERCOLES!T154),""))</f>
        <v/>
      </c>
      <c r="I411" s="49" t="str">
        <f t="shared" si="12"/>
        <v/>
      </c>
      <c r="J411" s="50" t="str">
        <f>IF(P411="","",IFERROR(ROUND(CHOOSE(VALUE(RIGHT(P411,1)),IF(MIERCOLES!C154="peso_corporal",IF(ISNUMBER(MIERCOLES!E154),MIERCOLES!E154,0)+MIERCOLES!F154,MIERCOLES!F154)*MIERCOLES!G154,IF(MIERCOLES!C154="peso_corporal",IF(ISNUMBER(MIERCOLES!E154),MIERCOLES!E154,0)+MIERCOLES!I154,MIERCOLES!I154)*MIERCOLES!J154,IF(MIERCOLES!C154="peso_corporal",IF(ISNUMBER(MIERCOLES!E154),MIERCOLES!E154,0)+MIERCOLES!L154,MIERCOLES!L154)*MIERCOLES!M154,IF(MIERCOLES!C154="peso_corporal",IF(ISNUMBER(MIERCOLES!E154),MIERCOLES!E154,0)+MIERCOLES!O154,MIERCOLES!O154)*MIERCOLES!P154,IF(MIERCOLES!C154="peso_corporal",IF(ISNUMBER(MIERCOLES!E154),MIERCOLES!E154,0)+MIERCOLES!R154,MIERCOLES!R154)*MIERCOLES!S154),1),""))</f>
        <v/>
      </c>
      <c r="K411" s="51" t="str">
        <f>IF(P411="","",IFERROR(ROUND(CHOOSE(VALUE(RIGHT(P411,1)),(IF(MIERCOLES!C154="peso_corporal",IF(ISNUMBER(MIERCOLES!E154),MIERCOLES!E154,0)+MIERCOLES!F154,MIERCOLES!F154))*(1+MIERCOLES!G154/30),(IF(MIERCOLES!C154="peso_corporal",IF(ISNUMBER(MIERCOLES!E154),MIERCOLES!E154,0)+MIERCOLES!I154,MIERCOLES!I154))*(1+MIERCOLES!J154/30),(IF(MIERCOLES!C154="peso_corporal",IF(ISNUMBER(MIERCOLES!E154),MIERCOLES!E154,0)+MIERCOLES!L154,MIERCOLES!L154))*(1+MIERCOLES!M154/30),(IF(MIERCOLES!C154="peso_corporal",IF(ISNUMBER(MIERCOLES!E154),MIERCOLES!E154,0)+MIERCOLES!O154,MIERCOLES!O154))*(1+MIERCOLES!P154/30),(IF(MIERCOLES!C154="peso_corporal",IF(ISNUMBER(MIERCOLES!E154),MIERCOLES!E154,0)+MIERCOLES!R154,MIERCOLES!R154))*(1+MIERCOLES!S154/30)),1),""))</f>
        <v/>
      </c>
      <c r="L411" s="52">
        <f>IFERROR(MIERCOLES!E154,"")</f>
        <v>80</v>
      </c>
      <c r="M411" s="53" t="str">
        <f>IFERROR(IF(K411="","-",IF(ISNUMBER(LOOKUP(2,1/((HISTORIAL!$O$3:$O$410=O411)*(HISTORIAL!$F$3:$F$410&lt;&gt;"")),HISTORIAL!$K$3:$K$410)),IF(K411&gt;LOOKUP(2,1/((HISTORIAL!$O$3:$O$410=O411)*(HISTORIAL!$F$3:$F$410&lt;&gt;"")),HISTORIAL!$K$3:$K$410),"^",IF(K411&lt;LOOKUP(2,1/((HISTORIAL!$O$3:$O$410=O411)*(HISTORIAL!$F$3:$F$410&lt;&gt;"")),HISTORIAL!$K$3:$K$410),"v","-")),"-")),"-")</f>
        <v>-</v>
      </c>
      <c r="N411" s="54" t="str">
        <f>IFERROR(VLOOKUP(A411,CONFIG!$A$10:$B$21,2,0),"")</f>
        <v>HIP</v>
      </c>
      <c r="O411" s="55" t="str">
        <f t="shared" si="13"/>
        <v>Elevacion Gemelo|De Pie</v>
      </c>
      <c r="P411" s="69" t="str">
        <f>MIERCOLES!AC154</f>
        <v/>
      </c>
    </row>
    <row r="412" spans="1:16" ht="14.1" customHeight="1">
      <c r="A412" s="37">
        <v>7</v>
      </c>
      <c r="B412" s="37" t="s">
        <v>279</v>
      </c>
      <c r="C412" s="44" t="str">
        <f>MIERCOLES!$A$156</f>
        <v>Hiperextension</v>
      </c>
      <c r="D412" s="45" t="str">
        <f>MIERCOLES!$B$156</f>
        <v>Banco Romano</v>
      </c>
      <c r="E412" s="37" t="str">
        <f>MIERCOLES!$C$156</f>
        <v>peso_corporal</v>
      </c>
      <c r="F412" s="46" t="str">
        <f>IF(P412="","",IFERROR(CHOOSE(VALUE(RIGHT(P412,1)),MIERCOLES!F156,MIERCOLES!I156,MIERCOLES!L156,MIERCOLES!O156,MIERCOLES!R156),""))</f>
        <v/>
      </c>
      <c r="G412" s="47" t="str">
        <f>IF(P412="","",IFERROR(CHOOSE(VALUE(RIGHT(P412,1)),MIERCOLES!G156,MIERCOLES!J156,MIERCOLES!M156,MIERCOLES!P156,MIERCOLES!S156),""))</f>
        <v/>
      </c>
      <c r="H412" s="48" t="str">
        <f>IF(P412="","",IFERROR(CHOOSE(VALUE(RIGHT(P412,1)),MIERCOLES!H156,MIERCOLES!K156,MIERCOLES!N156,MIERCOLES!Q156,MIERCOLES!T156),""))</f>
        <v/>
      </c>
      <c r="I412" s="49" t="str">
        <f t="shared" si="12"/>
        <v/>
      </c>
      <c r="J412" s="50" t="str">
        <f>IF(P412="","",IFERROR(ROUND(CHOOSE(VALUE(RIGHT(P412,1)),IF(MIERCOLES!C156="peso_corporal",IF(ISNUMBER(MIERCOLES!E156),MIERCOLES!E156,0)+MIERCOLES!F156,MIERCOLES!F156)*MIERCOLES!G156,IF(MIERCOLES!C156="peso_corporal",IF(ISNUMBER(MIERCOLES!E156),MIERCOLES!E156,0)+MIERCOLES!I156,MIERCOLES!I156)*MIERCOLES!J156,IF(MIERCOLES!C156="peso_corporal",IF(ISNUMBER(MIERCOLES!E156),MIERCOLES!E156,0)+MIERCOLES!L156,MIERCOLES!L156)*MIERCOLES!M156,IF(MIERCOLES!C156="peso_corporal",IF(ISNUMBER(MIERCOLES!E156),MIERCOLES!E156,0)+MIERCOLES!O156,MIERCOLES!O156)*MIERCOLES!P156,IF(MIERCOLES!C156="peso_corporal",IF(ISNUMBER(MIERCOLES!E156),MIERCOLES!E156,0)+MIERCOLES!R156,MIERCOLES!R156)*MIERCOLES!S156),1),""))</f>
        <v/>
      </c>
      <c r="K412" s="51" t="str">
        <f>IF(P412="","",IFERROR(ROUND(CHOOSE(VALUE(RIGHT(P412,1)),(IF(MIERCOLES!C156="peso_corporal",IF(ISNUMBER(MIERCOLES!E156),MIERCOLES!E156,0)+MIERCOLES!F156,MIERCOLES!F156))*(1+MIERCOLES!G156/30),(IF(MIERCOLES!C156="peso_corporal",IF(ISNUMBER(MIERCOLES!E156),MIERCOLES!E156,0)+MIERCOLES!I156,MIERCOLES!I156))*(1+MIERCOLES!J156/30),(IF(MIERCOLES!C156="peso_corporal",IF(ISNUMBER(MIERCOLES!E156),MIERCOLES!E156,0)+MIERCOLES!L156,MIERCOLES!L156))*(1+MIERCOLES!M156/30),(IF(MIERCOLES!C156="peso_corporal",IF(ISNUMBER(MIERCOLES!E156),MIERCOLES!E156,0)+MIERCOLES!O156,MIERCOLES!O156))*(1+MIERCOLES!P156/30),(IF(MIERCOLES!C156="peso_corporal",IF(ISNUMBER(MIERCOLES!E156),MIERCOLES!E156,0)+MIERCOLES!R156,MIERCOLES!R156))*(1+MIERCOLES!S156/30)),1),""))</f>
        <v/>
      </c>
      <c r="L412" s="52">
        <f>IFERROR(MIERCOLES!E156,"")</f>
        <v>80</v>
      </c>
      <c r="M412" s="53" t="str">
        <f>IFERROR(IF(K412="","-",IF(ISNUMBER(LOOKUP(2,1/((HISTORIAL!$O$3:$O$411=O412)*(HISTORIAL!$F$3:$F$411&lt;&gt;"")),HISTORIAL!$K$3:$K$411)),IF(K412&gt;LOOKUP(2,1/((HISTORIAL!$O$3:$O$411=O412)*(HISTORIAL!$F$3:$F$411&lt;&gt;"")),HISTORIAL!$K$3:$K$411),"^",IF(K412&lt;LOOKUP(2,1/((HISTORIAL!$O$3:$O$411=O412)*(HISTORIAL!$F$3:$F$411&lt;&gt;"")),HISTORIAL!$K$3:$K$411),"v","-")),"-")),"-")</f>
        <v>-</v>
      </c>
      <c r="N412" s="54" t="str">
        <f>IFERROR(VLOOKUP(A412,CONFIG!$A$10:$B$21,2,0),"")</f>
        <v>HIP</v>
      </c>
      <c r="O412" s="55" t="str">
        <f t="shared" si="13"/>
        <v>Hiperextension|Banco Romano</v>
      </c>
      <c r="P412" s="69" t="str">
        <f>MIERCOLES!AC156</f>
        <v/>
      </c>
    </row>
    <row r="413" spans="1:16" ht="14.1" customHeight="1">
      <c r="A413" s="37">
        <v>7</v>
      </c>
      <c r="B413" s="37" t="s">
        <v>279</v>
      </c>
      <c r="C413" s="44" t="str">
        <f>MIERCOLES!$A$157</f>
        <v>Peso Muerto Parcial</v>
      </c>
      <c r="D413" s="45" t="str">
        <f>MIERCOLES!$B$157</f>
        <v>Barra</v>
      </c>
      <c r="E413" s="37" t="str">
        <f>MIERCOLES!$C$157</f>
        <v>disco</v>
      </c>
      <c r="F413" s="46" t="str">
        <f>IF(P413="","",IFERROR(CHOOSE(VALUE(RIGHT(P413,1)),MIERCOLES!F157,MIERCOLES!I157,MIERCOLES!L157,MIERCOLES!O157,MIERCOLES!R157),""))</f>
        <v/>
      </c>
      <c r="G413" s="47" t="str">
        <f>IF(P413="","",IFERROR(CHOOSE(VALUE(RIGHT(P413,1)),MIERCOLES!G157,MIERCOLES!J157,MIERCOLES!M157,MIERCOLES!P157,MIERCOLES!S157),""))</f>
        <v/>
      </c>
      <c r="H413" s="48" t="str">
        <f>IF(P413="","",IFERROR(CHOOSE(VALUE(RIGHT(P413,1)),MIERCOLES!H157,MIERCOLES!K157,MIERCOLES!N157,MIERCOLES!Q157,MIERCOLES!T157),""))</f>
        <v/>
      </c>
      <c r="I413" s="49" t="str">
        <f t="shared" si="12"/>
        <v/>
      </c>
      <c r="J413" s="50" t="str">
        <f>IF(P413="","",IFERROR(ROUND(CHOOSE(VALUE(RIGHT(P413,1)),IF(MIERCOLES!C157="peso_corporal",IF(ISNUMBER(MIERCOLES!E157),MIERCOLES!E157,0)+MIERCOLES!F157,MIERCOLES!F157)*MIERCOLES!G157,IF(MIERCOLES!C157="peso_corporal",IF(ISNUMBER(MIERCOLES!E157),MIERCOLES!E157,0)+MIERCOLES!I157,MIERCOLES!I157)*MIERCOLES!J157,IF(MIERCOLES!C157="peso_corporal",IF(ISNUMBER(MIERCOLES!E157),MIERCOLES!E157,0)+MIERCOLES!L157,MIERCOLES!L157)*MIERCOLES!M157,IF(MIERCOLES!C157="peso_corporal",IF(ISNUMBER(MIERCOLES!E157),MIERCOLES!E157,0)+MIERCOLES!O157,MIERCOLES!O157)*MIERCOLES!P157,IF(MIERCOLES!C157="peso_corporal",IF(ISNUMBER(MIERCOLES!E157),MIERCOLES!E157,0)+MIERCOLES!R157,MIERCOLES!R157)*MIERCOLES!S157),1),""))</f>
        <v/>
      </c>
      <c r="K413" s="51" t="str">
        <f>IF(P413="","",IFERROR(ROUND(CHOOSE(VALUE(RIGHT(P413,1)),(IF(MIERCOLES!C157="peso_corporal",IF(ISNUMBER(MIERCOLES!E157),MIERCOLES!E157,0)+MIERCOLES!F157,MIERCOLES!F157))*(1+MIERCOLES!G157/30),(IF(MIERCOLES!C157="peso_corporal",IF(ISNUMBER(MIERCOLES!E157),MIERCOLES!E157,0)+MIERCOLES!I157,MIERCOLES!I157))*(1+MIERCOLES!J157/30),(IF(MIERCOLES!C157="peso_corporal",IF(ISNUMBER(MIERCOLES!E157),MIERCOLES!E157,0)+MIERCOLES!L157,MIERCOLES!L157))*(1+MIERCOLES!M157/30),(IF(MIERCOLES!C157="peso_corporal",IF(ISNUMBER(MIERCOLES!E157),MIERCOLES!E157,0)+MIERCOLES!O157,MIERCOLES!O157))*(1+MIERCOLES!P157/30),(IF(MIERCOLES!C157="peso_corporal",IF(ISNUMBER(MIERCOLES!E157),MIERCOLES!E157,0)+MIERCOLES!R157,MIERCOLES!R157))*(1+MIERCOLES!S157/30)),1),""))</f>
        <v/>
      </c>
      <c r="L413" s="52">
        <f>IFERROR(MIERCOLES!E157,"")</f>
        <v>80</v>
      </c>
      <c r="M413" s="53" t="str">
        <f>IFERROR(IF(K413="","-",IF(ISNUMBER(LOOKUP(2,1/((HISTORIAL!$O$3:$O$412=O413)*(HISTORIAL!$F$3:$F$412&lt;&gt;"")),HISTORIAL!$K$3:$K$412)),IF(K413&gt;LOOKUP(2,1/((HISTORIAL!$O$3:$O$412=O413)*(HISTORIAL!$F$3:$F$412&lt;&gt;"")),HISTORIAL!$K$3:$K$412),"^",IF(K413&lt;LOOKUP(2,1/((HISTORIAL!$O$3:$O$412=O413)*(HISTORIAL!$F$3:$F$412&lt;&gt;"")),HISTORIAL!$K$3:$K$412),"v","-")),"-")),"-")</f>
        <v>-</v>
      </c>
      <c r="N413" s="54" t="str">
        <f>IFERROR(VLOOKUP(A413,CONFIG!$A$10:$B$21,2,0),"")</f>
        <v>HIP</v>
      </c>
      <c r="O413" s="55" t="str">
        <f t="shared" si="13"/>
        <v>Peso Muerto Parcial|Barra</v>
      </c>
      <c r="P413" s="69" t="str">
        <f>MIERCOLES!AC157</f>
        <v/>
      </c>
    </row>
    <row r="414" spans="1:16" ht="14.1" customHeight="1">
      <c r="A414" s="37">
        <v>7</v>
      </c>
      <c r="B414" s="37" t="s">
        <v>279</v>
      </c>
      <c r="C414" s="44" t="str">
        <f>MIERCOLES!$A$159</f>
        <v>Crunch</v>
      </c>
      <c r="D414" s="45" t="str">
        <f>MIERCOLES!$B$159</f>
        <v>Polea</v>
      </c>
      <c r="E414" s="37" t="str">
        <f>MIERCOLES!$C$159</f>
        <v>polea</v>
      </c>
      <c r="F414" s="46" t="str">
        <f>IF(P414="","",IFERROR(CHOOSE(VALUE(RIGHT(P414,1)),MIERCOLES!F159,MIERCOLES!I159,MIERCOLES!L159,MIERCOLES!O159,MIERCOLES!R159),""))</f>
        <v/>
      </c>
      <c r="G414" s="47" t="str">
        <f>IF(P414="","",IFERROR(CHOOSE(VALUE(RIGHT(P414,1)),MIERCOLES!G159,MIERCOLES!J159,MIERCOLES!M159,MIERCOLES!P159,MIERCOLES!S159),""))</f>
        <v/>
      </c>
      <c r="H414" s="48" t="str">
        <f>IF(P414="","",IFERROR(CHOOSE(VALUE(RIGHT(P414,1)),MIERCOLES!H159,MIERCOLES!K159,MIERCOLES!N159,MIERCOLES!Q159,MIERCOLES!T159),""))</f>
        <v/>
      </c>
      <c r="I414" s="49" t="str">
        <f t="shared" si="12"/>
        <v/>
      </c>
      <c r="J414" s="50" t="str">
        <f>IF(P414="","",IFERROR(ROUND(CHOOSE(VALUE(RIGHT(P414,1)),IF(MIERCOLES!C159="peso_corporal",IF(ISNUMBER(MIERCOLES!E159),MIERCOLES!E159,0)+MIERCOLES!F159,MIERCOLES!F159)*MIERCOLES!G159,IF(MIERCOLES!C159="peso_corporal",IF(ISNUMBER(MIERCOLES!E159),MIERCOLES!E159,0)+MIERCOLES!I159,MIERCOLES!I159)*MIERCOLES!J159,IF(MIERCOLES!C159="peso_corporal",IF(ISNUMBER(MIERCOLES!E159),MIERCOLES!E159,0)+MIERCOLES!L159,MIERCOLES!L159)*MIERCOLES!M159,IF(MIERCOLES!C159="peso_corporal",IF(ISNUMBER(MIERCOLES!E159),MIERCOLES!E159,0)+MIERCOLES!O159,MIERCOLES!O159)*MIERCOLES!P159,IF(MIERCOLES!C159="peso_corporal",IF(ISNUMBER(MIERCOLES!E159),MIERCOLES!E159,0)+MIERCOLES!R159,MIERCOLES!R159)*MIERCOLES!S159),1),""))</f>
        <v/>
      </c>
      <c r="K414" s="51" t="str">
        <f>IF(P414="","",IFERROR(ROUND(CHOOSE(VALUE(RIGHT(P414,1)),(IF(MIERCOLES!C159="peso_corporal",IF(ISNUMBER(MIERCOLES!E159),MIERCOLES!E159,0)+MIERCOLES!F159,MIERCOLES!F159))*(1+MIERCOLES!G159/30),(IF(MIERCOLES!C159="peso_corporal",IF(ISNUMBER(MIERCOLES!E159),MIERCOLES!E159,0)+MIERCOLES!I159,MIERCOLES!I159))*(1+MIERCOLES!J159/30),(IF(MIERCOLES!C159="peso_corporal",IF(ISNUMBER(MIERCOLES!E159),MIERCOLES!E159,0)+MIERCOLES!L159,MIERCOLES!L159))*(1+MIERCOLES!M159/30),(IF(MIERCOLES!C159="peso_corporal",IF(ISNUMBER(MIERCOLES!E159),MIERCOLES!E159,0)+MIERCOLES!O159,MIERCOLES!O159))*(1+MIERCOLES!P159/30),(IF(MIERCOLES!C159="peso_corporal",IF(ISNUMBER(MIERCOLES!E159),MIERCOLES!E159,0)+MIERCOLES!R159,MIERCOLES!R159))*(1+MIERCOLES!S159/30)),1),""))</f>
        <v/>
      </c>
      <c r="L414" s="52">
        <f>IFERROR(MIERCOLES!E159,"")</f>
        <v>80</v>
      </c>
      <c r="M414" s="53" t="str">
        <f>IFERROR(IF(K414="","-",IF(ISNUMBER(LOOKUP(2,1/((HISTORIAL!$O$3:$O$413=O414)*(HISTORIAL!$F$3:$F$413&lt;&gt;"")),HISTORIAL!$K$3:$K$413)),IF(K414&gt;LOOKUP(2,1/((HISTORIAL!$O$3:$O$413=O414)*(HISTORIAL!$F$3:$F$413&lt;&gt;"")),HISTORIAL!$K$3:$K$413),"^",IF(K414&lt;LOOKUP(2,1/((HISTORIAL!$O$3:$O$413=O414)*(HISTORIAL!$F$3:$F$413&lt;&gt;"")),HISTORIAL!$K$3:$K$413),"v","-")),"-")),"-")</f>
        <v>-</v>
      </c>
      <c r="N414" s="54" t="str">
        <f>IFERROR(VLOOKUP(A414,CONFIG!$A$10:$B$21,2,0),"")</f>
        <v>HIP</v>
      </c>
      <c r="O414" s="55" t="str">
        <f t="shared" si="13"/>
        <v>Crunch|Polea</v>
      </c>
      <c r="P414" s="69" t="str">
        <f>MIERCOLES!AC159</f>
        <v/>
      </c>
    </row>
    <row r="415" spans="1:16" ht="14.1" customHeight="1">
      <c r="A415" s="37">
        <v>7</v>
      </c>
      <c r="B415" s="37" t="s">
        <v>279</v>
      </c>
      <c r="C415" s="44" t="str">
        <f>MIERCOLES!$A$160</f>
        <v>Plancha</v>
      </c>
      <c r="D415" s="45" t="str">
        <f>MIERCOLES!$B$160</f>
        <v>Abdominal</v>
      </c>
      <c r="E415" s="37" t="str">
        <f>MIERCOLES!$C$160</f>
        <v>--</v>
      </c>
      <c r="F415" s="46" t="str">
        <f>IF(P415="","",IFERROR(CHOOSE(VALUE(RIGHT(P415,1)),MIERCOLES!F160,MIERCOLES!I160,MIERCOLES!L160,MIERCOLES!O160,MIERCOLES!R160),""))</f>
        <v/>
      </c>
      <c r="G415" s="47" t="str">
        <f>IF(P415="","",IFERROR(CHOOSE(VALUE(RIGHT(P415,1)),MIERCOLES!G160,MIERCOLES!J160,MIERCOLES!M160,MIERCOLES!P160,MIERCOLES!S160),""))</f>
        <v/>
      </c>
      <c r="H415" s="48" t="str">
        <f>IF(P415="","",IFERROR(CHOOSE(VALUE(RIGHT(P415,1)),MIERCOLES!H160,MIERCOLES!K160,MIERCOLES!N160,MIERCOLES!Q160,MIERCOLES!T160),""))</f>
        <v/>
      </c>
      <c r="I415" s="49" t="str">
        <f t="shared" si="12"/>
        <v/>
      </c>
      <c r="J415" s="50" t="str">
        <f>IF(P415="","",IFERROR(ROUND(CHOOSE(VALUE(RIGHT(P415,1)),IF(MIERCOLES!C160="peso_corporal",IF(ISNUMBER(MIERCOLES!E160),MIERCOLES!E160,0)+MIERCOLES!F160,MIERCOLES!F160)*MIERCOLES!G160,IF(MIERCOLES!C160="peso_corporal",IF(ISNUMBER(MIERCOLES!E160),MIERCOLES!E160,0)+MIERCOLES!I160,MIERCOLES!I160)*MIERCOLES!J160,IF(MIERCOLES!C160="peso_corporal",IF(ISNUMBER(MIERCOLES!E160),MIERCOLES!E160,0)+MIERCOLES!L160,MIERCOLES!L160)*MIERCOLES!M160,IF(MIERCOLES!C160="peso_corporal",IF(ISNUMBER(MIERCOLES!E160),MIERCOLES!E160,0)+MIERCOLES!O160,MIERCOLES!O160)*MIERCOLES!P160,IF(MIERCOLES!C160="peso_corporal",IF(ISNUMBER(MIERCOLES!E160),MIERCOLES!E160,0)+MIERCOLES!R160,MIERCOLES!R160)*MIERCOLES!S160),1),""))</f>
        <v/>
      </c>
      <c r="K415" s="51" t="str">
        <f>IF(P415="","",IFERROR(ROUND(CHOOSE(VALUE(RIGHT(P415,1)),(IF(MIERCOLES!C160="peso_corporal",IF(ISNUMBER(MIERCOLES!E160),MIERCOLES!E160,0)+MIERCOLES!F160,MIERCOLES!F160))*(1+MIERCOLES!G160/30),(IF(MIERCOLES!C160="peso_corporal",IF(ISNUMBER(MIERCOLES!E160),MIERCOLES!E160,0)+MIERCOLES!I160,MIERCOLES!I160))*(1+MIERCOLES!J160/30),(IF(MIERCOLES!C160="peso_corporal",IF(ISNUMBER(MIERCOLES!E160),MIERCOLES!E160,0)+MIERCOLES!L160,MIERCOLES!L160))*(1+MIERCOLES!M160/30),(IF(MIERCOLES!C160="peso_corporal",IF(ISNUMBER(MIERCOLES!E160),MIERCOLES!E160,0)+MIERCOLES!O160,MIERCOLES!O160))*(1+MIERCOLES!P160/30),(IF(MIERCOLES!C160="peso_corporal",IF(ISNUMBER(MIERCOLES!E160),MIERCOLES!E160,0)+MIERCOLES!R160,MIERCOLES!R160))*(1+MIERCOLES!S160/30)),1),""))</f>
        <v/>
      </c>
      <c r="L415" s="52">
        <f>IFERROR(MIERCOLES!E160,"")</f>
        <v>80</v>
      </c>
      <c r="M415" s="53" t="str">
        <f>IFERROR(IF(K415="","-",IF(ISNUMBER(LOOKUP(2,1/((HISTORIAL!$O$3:$O$414=O415)*(HISTORIAL!$F$3:$F$414&lt;&gt;"")),HISTORIAL!$K$3:$K$414)),IF(K415&gt;LOOKUP(2,1/((HISTORIAL!$O$3:$O$414=O415)*(HISTORIAL!$F$3:$F$414&lt;&gt;"")),HISTORIAL!$K$3:$K$414),"^",IF(K415&lt;LOOKUP(2,1/((HISTORIAL!$O$3:$O$414=O415)*(HISTORIAL!$F$3:$F$414&lt;&gt;"")),HISTORIAL!$K$3:$K$414),"v","-")),"-")),"-")</f>
        <v>-</v>
      </c>
      <c r="N415" s="54" t="str">
        <f>IFERROR(VLOOKUP(A415,CONFIG!$A$10:$B$21,2,0),"")</f>
        <v>HIP</v>
      </c>
      <c r="O415" s="55" t="str">
        <f t="shared" si="13"/>
        <v>Plancha|Abdominal</v>
      </c>
      <c r="P415" s="69" t="str">
        <f>MIERCOLES!AC160</f>
        <v/>
      </c>
    </row>
    <row r="416" spans="1:16" ht="14.1" customHeight="1">
      <c r="A416" s="37">
        <v>7</v>
      </c>
      <c r="B416" s="37" t="s">
        <v>279</v>
      </c>
      <c r="C416" s="44" t="str">
        <f>MIERCOLES!$A$161</f>
        <v>Rueda Abdominal</v>
      </c>
      <c r="D416" s="45" t="str">
        <f>MIERCOLES!$B$161</f>
        <v>Ab Wheel</v>
      </c>
      <c r="E416" s="37" t="str">
        <f>MIERCOLES!$C$161</f>
        <v>--</v>
      </c>
      <c r="F416" s="46" t="str">
        <f>IF(P416="","",IFERROR(CHOOSE(VALUE(RIGHT(P416,1)),MIERCOLES!F161,MIERCOLES!I161,MIERCOLES!L161,MIERCOLES!O161,MIERCOLES!R161),""))</f>
        <v/>
      </c>
      <c r="G416" s="47" t="str">
        <f>IF(P416="","",IFERROR(CHOOSE(VALUE(RIGHT(P416,1)),MIERCOLES!G161,MIERCOLES!J161,MIERCOLES!M161,MIERCOLES!P161,MIERCOLES!S161),""))</f>
        <v/>
      </c>
      <c r="H416" s="48" t="str">
        <f>IF(P416="","",IFERROR(CHOOSE(VALUE(RIGHT(P416,1)),MIERCOLES!H161,MIERCOLES!K161,MIERCOLES!N161,MIERCOLES!Q161,MIERCOLES!T161),""))</f>
        <v/>
      </c>
      <c r="I416" s="49" t="str">
        <f t="shared" si="12"/>
        <v/>
      </c>
      <c r="J416" s="50" t="str">
        <f>IF(P416="","",IFERROR(ROUND(CHOOSE(VALUE(RIGHT(P416,1)),IF(MIERCOLES!C161="peso_corporal",IF(ISNUMBER(MIERCOLES!E161),MIERCOLES!E161,0)+MIERCOLES!F161,MIERCOLES!F161)*MIERCOLES!G161,IF(MIERCOLES!C161="peso_corporal",IF(ISNUMBER(MIERCOLES!E161),MIERCOLES!E161,0)+MIERCOLES!I161,MIERCOLES!I161)*MIERCOLES!J161,IF(MIERCOLES!C161="peso_corporal",IF(ISNUMBER(MIERCOLES!E161),MIERCOLES!E161,0)+MIERCOLES!L161,MIERCOLES!L161)*MIERCOLES!M161,IF(MIERCOLES!C161="peso_corporal",IF(ISNUMBER(MIERCOLES!E161),MIERCOLES!E161,0)+MIERCOLES!O161,MIERCOLES!O161)*MIERCOLES!P161,IF(MIERCOLES!C161="peso_corporal",IF(ISNUMBER(MIERCOLES!E161),MIERCOLES!E161,0)+MIERCOLES!R161,MIERCOLES!R161)*MIERCOLES!S161),1),""))</f>
        <v/>
      </c>
      <c r="K416" s="51" t="str">
        <f>IF(P416="","",IFERROR(ROUND(CHOOSE(VALUE(RIGHT(P416,1)),(IF(MIERCOLES!C161="peso_corporal",IF(ISNUMBER(MIERCOLES!E161),MIERCOLES!E161,0)+MIERCOLES!F161,MIERCOLES!F161))*(1+MIERCOLES!G161/30),(IF(MIERCOLES!C161="peso_corporal",IF(ISNUMBER(MIERCOLES!E161),MIERCOLES!E161,0)+MIERCOLES!I161,MIERCOLES!I161))*(1+MIERCOLES!J161/30),(IF(MIERCOLES!C161="peso_corporal",IF(ISNUMBER(MIERCOLES!E161),MIERCOLES!E161,0)+MIERCOLES!L161,MIERCOLES!L161))*(1+MIERCOLES!M161/30),(IF(MIERCOLES!C161="peso_corporal",IF(ISNUMBER(MIERCOLES!E161),MIERCOLES!E161,0)+MIERCOLES!O161,MIERCOLES!O161))*(1+MIERCOLES!P161/30),(IF(MIERCOLES!C161="peso_corporal",IF(ISNUMBER(MIERCOLES!E161),MIERCOLES!E161,0)+MIERCOLES!R161,MIERCOLES!R161))*(1+MIERCOLES!S161/30)),1),""))</f>
        <v/>
      </c>
      <c r="L416" s="52">
        <f>IFERROR(MIERCOLES!E161,"")</f>
        <v>80</v>
      </c>
      <c r="M416" s="53" t="str">
        <f>IFERROR(IF(K416="","-",IF(ISNUMBER(LOOKUP(2,1/((HISTORIAL!$O$3:$O$415=O416)*(HISTORIAL!$F$3:$F$415&lt;&gt;"")),HISTORIAL!$K$3:$K$415)),IF(K416&gt;LOOKUP(2,1/((HISTORIAL!$O$3:$O$415=O416)*(HISTORIAL!$F$3:$F$415&lt;&gt;"")),HISTORIAL!$K$3:$K$415),"^",IF(K416&lt;LOOKUP(2,1/((HISTORIAL!$O$3:$O$415=O416)*(HISTORIAL!$F$3:$F$415&lt;&gt;"")),HISTORIAL!$K$3:$K$415),"v","-")),"-")),"-")</f>
        <v>-</v>
      </c>
      <c r="N416" s="54" t="str">
        <f>IFERROR(VLOOKUP(A416,CONFIG!$A$10:$B$21,2,0),"")</f>
        <v>HIP</v>
      </c>
      <c r="O416" s="55" t="str">
        <f t="shared" si="13"/>
        <v>Rueda Abdominal|Ab Wheel</v>
      </c>
      <c r="P416" s="69" t="str">
        <f>MIERCOLES!AC161</f>
        <v/>
      </c>
    </row>
    <row r="417" spans="1:16" ht="14.1" customHeight="1">
      <c r="A417" s="37">
        <v>7</v>
      </c>
      <c r="B417" s="37" t="s">
        <v>279</v>
      </c>
      <c r="C417" s="44" t="str">
        <f>MIERCOLES!$A$162</f>
        <v>Elevacion Piernas</v>
      </c>
      <c r="D417" s="45" t="str">
        <f>MIERCOLES!$B$162</f>
        <v>Colgado</v>
      </c>
      <c r="E417" s="37" t="str">
        <f>MIERCOLES!$C$162</f>
        <v>peso_corporal</v>
      </c>
      <c r="F417" s="46" t="str">
        <f>IF(P417="","",IFERROR(CHOOSE(VALUE(RIGHT(P417,1)),MIERCOLES!F162,MIERCOLES!I162,MIERCOLES!L162,MIERCOLES!O162,MIERCOLES!R162),""))</f>
        <v/>
      </c>
      <c r="G417" s="47" t="str">
        <f>IF(P417="","",IFERROR(CHOOSE(VALUE(RIGHT(P417,1)),MIERCOLES!G162,MIERCOLES!J162,MIERCOLES!M162,MIERCOLES!P162,MIERCOLES!S162),""))</f>
        <v/>
      </c>
      <c r="H417" s="48" t="str">
        <f>IF(P417="","",IFERROR(CHOOSE(VALUE(RIGHT(P417,1)),MIERCOLES!H162,MIERCOLES!K162,MIERCOLES!N162,MIERCOLES!Q162,MIERCOLES!T162),""))</f>
        <v/>
      </c>
      <c r="I417" s="49" t="str">
        <f t="shared" si="12"/>
        <v/>
      </c>
      <c r="J417" s="50" t="str">
        <f>IF(P417="","",IFERROR(ROUND(CHOOSE(VALUE(RIGHT(P417,1)),IF(MIERCOLES!C162="peso_corporal",IF(ISNUMBER(MIERCOLES!E162),MIERCOLES!E162,0)+MIERCOLES!F162,MIERCOLES!F162)*MIERCOLES!G162,IF(MIERCOLES!C162="peso_corporal",IF(ISNUMBER(MIERCOLES!E162),MIERCOLES!E162,0)+MIERCOLES!I162,MIERCOLES!I162)*MIERCOLES!J162,IF(MIERCOLES!C162="peso_corporal",IF(ISNUMBER(MIERCOLES!E162),MIERCOLES!E162,0)+MIERCOLES!L162,MIERCOLES!L162)*MIERCOLES!M162,IF(MIERCOLES!C162="peso_corporal",IF(ISNUMBER(MIERCOLES!E162),MIERCOLES!E162,0)+MIERCOLES!O162,MIERCOLES!O162)*MIERCOLES!P162,IF(MIERCOLES!C162="peso_corporal",IF(ISNUMBER(MIERCOLES!E162),MIERCOLES!E162,0)+MIERCOLES!R162,MIERCOLES!R162)*MIERCOLES!S162),1),""))</f>
        <v/>
      </c>
      <c r="K417" s="51" t="str">
        <f>IF(P417="","",IFERROR(ROUND(CHOOSE(VALUE(RIGHT(P417,1)),(IF(MIERCOLES!C162="peso_corporal",IF(ISNUMBER(MIERCOLES!E162),MIERCOLES!E162,0)+MIERCOLES!F162,MIERCOLES!F162))*(1+MIERCOLES!G162/30),(IF(MIERCOLES!C162="peso_corporal",IF(ISNUMBER(MIERCOLES!E162),MIERCOLES!E162,0)+MIERCOLES!I162,MIERCOLES!I162))*(1+MIERCOLES!J162/30),(IF(MIERCOLES!C162="peso_corporal",IF(ISNUMBER(MIERCOLES!E162),MIERCOLES!E162,0)+MIERCOLES!L162,MIERCOLES!L162))*(1+MIERCOLES!M162/30),(IF(MIERCOLES!C162="peso_corporal",IF(ISNUMBER(MIERCOLES!E162),MIERCOLES!E162,0)+MIERCOLES!O162,MIERCOLES!O162))*(1+MIERCOLES!P162/30),(IF(MIERCOLES!C162="peso_corporal",IF(ISNUMBER(MIERCOLES!E162),MIERCOLES!E162,0)+MIERCOLES!R162,MIERCOLES!R162))*(1+MIERCOLES!S162/30)),1),""))</f>
        <v/>
      </c>
      <c r="L417" s="52">
        <f>IFERROR(MIERCOLES!E162,"")</f>
        <v>80</v>
      </c>
      <c r="M417" s="53" t="str">
        <f>IFERROR(IF(K417="","-",IF(ISNUMBER(LOOKUP(2,1/((HISTORIAL!$O$3:$O$416=O417)*(HISTORIAL!$F$3:$F$416&lt;&gt;"")),HISTORIAL!$K$3:$K$416)),IF(K417&gt;LOOKUP(2,1/((HISTORIAL!$O$3:$O$416=O417)*(HISTORIAL!$F$3:$F$416&lt;&gt;"")),HISTORIAL!$K$3:$K$416),"^",IF(K417&lt;LOOKUP(2,1/((HISTORIAL!$O$3:$O$416=O417)*(HISTORIAL!$F$3:$F$416&lt;&gt;"")),HISTORIAL!$K$3:$K$416),"v","-")),"-")),"-")</f>
        <v>-</v>
      </c>
      <c r="N417" s="54" t="str">
        <f>IFERROR(VLOOKUP(A417,CONFIG!$A$10:$B$21,2,0),"")</f>
        <v>HIP</v>
      </c>
      <c r="O417" s="55" t="str">
        <f t="shared" si="13"/>
        <v>Elevacion Piernas|Colgado</v>
      </c>
      <c r="P417" s="69" t="str">
        <f>MIERCOLES!AC162</f>
        <v/>
      </c>
    </row>
    <row r="418" spans="1:16" ht="14.1" customHeight="1">
      <c r="A418" s="37">
        <v>7</v>
      </c>
      <c r="B418" s="37" t="s">
        <v>280</v>
      </c>
      <c r="C418" s="44" t="str">
        <f>JUEVES!$A$162</f>
        <v>Press Militar</v>
      </c>
      <c r="D418" s="45" t="str">
        <f>JUEVES!$B$162</f>
        <v>Multipower</v>
      </c>
      <c r="E418" s="37" t="str">
        <f>JUEVES!$C$162</f>
        <v>--</v>
      </c>
      <c r="F418" s="46" t="str">
        <f>IF(P418="","",IFERROR(CHOOSE(VALUE(RIGHT(P418,1)),JUEVES!F162,JUEVES!I162,JUEVES!L162,JUEVES!O162,JUEVES!R162),""))</f>
        <v/>
      </c>
      <c r="G418" s="47" t="str">
        <f>IF(P418="","",IFERROR(CHOOSE(VALUE(RIGHT(P418,1)),JUEVES!G162,JUEVES!J162,JUEVES!M162,JUEVES!P162,JUEVES!S162),""))</f>
        <v/>
      </c>
      <c r="H418" s="48" t="str">
        <f>IF(P418="","",IFERROR(CHOOSE(VALUE(RIGHT(P418,1)),JUEVES!H162,JUEVES!K162,JUEVES!N162,JUEVES!Q162,JUEVES!T162),""))</f>
        <v/>
      </c>
      <c r="I418" s="49" t="str">
        <f t="shared" si="12"/>
        <v/>
      </c>
      <c r="J418" s="50" t="str">
        <f>IF(P418="","",IFERROR(ROUND(CHOOSE(VALUE(RIGHT(P418,1)),IF(JUEVES!C162="peso_corporal",IF(ISNUMBER(JUEVES!E162),JUEVES!E162,0)+JUEVES!F162,JUEVES!F162)*JUEVES!G162,IF(JUEVES!C162="peso_corporal",IF(ISNUMBER(JUEVES!E162),JUEVES!E162,0)+JUEVES!I162,JUEVES!I162)*JUEVES!J162,IF(JUEVES!C162="peso_corporal",IF(ISNUMBER(JUEVES!E162),JUEVES!E162,0)+JUEVES!L162,JUEVES!L162)*JUEVES!M162,IF(JUEVES!C162="peso_corporal",IF(ISNUMBER(JUEVES!E162),JUEVES!E162,0)+JUEVES!O162,JUEVES!O162)*JUEVES!P162,IF(JUEVES!C162="peso_corporal",IF(ISNUMBER(JUEVES!E162),JUEVES!E162,0)+JUEVES!R162,JUEVES!R162)*JUEVES!S162),1),""))</f>
        <v/>
      </c>
      <c r="K418" s="51" t="str">
        <f>IF(P418="","",IFERROR(ROUND(CHOOSE(VALUE(RIGHT(P418,1)),(IF(JUEVES!C162="peso_corporal",IF(ISNUMBER(JUEVES!E162),JUEVES!E162,0)+JUEVES!F162,JUEVES!F162))*(1+JUEVES!G162/30),(IF(JUEVES!C162="peso_corporal",IF(ISNUMBER(JUEVES!E162),JUEVES!E162,0)+JUEVES!I162,JUEVES!I162))*(1+JUEVES!J162/30),(IF(JUEVES!C162="peso_corporal",IF(ISNUMBER(JUEVES!E162),JUEVES!E162,0)+JUEVES!L162,JUEVES!L162))*(1+JUEVES!M162/30),(IF(JUEVES!C162="peso_corporal",IF(ISNUMBER(JUEVES!E162),JUEVES!E162,0)+JUEVES!O162,JUEVES!O162))*(1+JUEVES!P162/30),(IF(JUEVES!C162="peso_corporal",IF(ISNUMBER(JUEVES!E162),JUEVES!E162,0)+JUEVES!R162,JUEVES!R162))*(1+JUEVES!S162/30)),1),""))</f>
        <v/>
      </c>
      <c r="L418" s="52">
        <f>IFERROR(JUEVES!E162,"")</f>
        <v>80</v>
      </c>
      <c r="M418" s="53" t="str">
        <f>IFERROR(IF(K418="","-",IF(ISNUMBER(LOOKUP(2,1/((HISTORIAL!$O$3:$O$417=O418)*(HISTORIAL!$F$3:$F$417&lt;&gt;"")),HISTORIAL!$K$3:$K$417)),IF(K418&gt;LOOKUP(2,1/((HISTORIAL!$O$3:$O$417=O418)*(HISTORIAL!$F$3:$F$417&lt;&gt;"")),HISTORIAL!$K$3:$K$417),"^",IF(K418&lt;LOOKUP(2,1/((HISTORIAL!$O$3:$O$417=O418)*(HISTORIAL!$F$3:$F$417&lt;&gt;"")),HISTORIAL!$K$3:$K$417),"v","-")),"-")),"-")</f>
        <v>-</v>
      </c>
      <c r="N418" s="54" t="str">
        <f>IFERROR(VLOOKUP(A418,CONFIG!$A$10:$B$21,2,0),"")</f>
        <v>HIP</v>
      </c>
      <c r="O418" s="55" t="str">
        <f t="shared" si="13"/>
        <v>Press Militar|Multipower</v>
      </c>
      <c r="P418" s="69" t="str">
        <f>JUEVES!AC162</f>
        <v/>
      </c>
    </row>
    <row r="419" spans="1:16" ht="14.1" customHeight="1">
      <c r="A419" s="37">
        <v>7</v>
      </c>
      <c r="B419" s="37" t="s">
        <v>280</v>
      </c>
      <c r="C419" s="44" t="str">
        <f>JUEVES!$A$163</f>
        <v>Elevaciones Laterales</v>
      </c>
      <c r="D419" s="45" t="str">
        <f>JUEVES!$B$163</f>
        <v>Drop Set Maquina</v>
      </c>
      <c r="E419" s="37" t="str">
        <f>JUEVES!$C$163</f>
        <v>--</v>
      </c>
      <c r="F419" s="46" t="str">
        <f>IF(P419="","",IFERROR(CHOOSE(VALUE(RIGHT(P419,1)),JUEVES!F163,JUEVES!I163,JUEVES!L163,JUEVES!O163,JUEVES!R163),""))</f>
        <v/>
      </c>
      <c r="G419" s="47" t="str">
        <f>IF(P419="","",IFERROR(CHOOSE(VALUE(RIGHT(P419,1)),JUEVES!G163,JUEVES!J163,JUEVES!M163,JUEVES!P163,JUEVES!S163),""))</f>
        <v/>
      </c>
      <c r="H419" s="48" t="str">
        <f>IF(P419="","",IFERROR(CHOOSE(VALUE(RIGHT(P419,1)),JUEVES!H163,JUEVES!K163,JUEVES!N163,JUEVES!Q163,JUEVES!T163),""))</f>
        <v/>
      </c>
      <c r="I419" s="49" t="str">
        <f t="shared" si="12"/>
        <v/>
      </c>
      <c r="J419" s="50" t="str">
        <f>IF(P419="","",IFERROR(ROUND(CHOOSE(VALUE(RIGHT(P419,1)),IF(JUEVES!C163="peso_corporal",IF(ISNUMBER(JUEVES!E163),JUEVES!E163,0)+JUEVES!F163,JUEVES!F163)*JUEVES!G163,IF(JUEVES!C163="peso_corporal",IF(ISNUMBER(JUEVES!E163),JUEVES!E163,0)+JUEVES!I163,JUEVES!I163)*JUEVES!J163,IF(JUEVES!C163="peso_corporal",IF(ISNUMBER(JUEVES!E163),JUEVES!E163,0)+JUEVES!L163,JUEVES!L163)*JUEVES!M163,IF(JUEVES!C163="peso_corporal",IF(ISNUMBER(JUEVES!E163),JUEVES!E163,0)+JUEVES!O163,JUEVES!O163)*JUEVES!P163,IF(JUEVES!C163="peso_corporal",IF(ISNUMBER(JUEVES!E163),JUEVES!E163,0)+JUEVES!R163,JUEVES!R163)*JUEVES!S163),1),""))</f>
        <v/>
      </c>
      <c r="K419" s="51" t="str">
        <f>IF(P419="","",IFERROR(ROUND(CHOOSE(VALUE(RIGHT(P419,1)),(IF(JUEVES!C163="peso_corporal",IF(ISNUMBER(JUEVES!E163),JUEVES!E163,0)+JUEVES!F163,JUEVES!F163))*(1+JUEVES!G163/30),(IF(JUEVES!C163="peso_corporal",IF(ISNUMBER(JUEVES!E163),JUEVES!E163,0)+JUEVES!I163,JUEVES!I163))*(1+JUEVES!J163/30),(IF(JUEVES!C163="peso_corporal",IF(ISNUMBER(JUEVES!E163),JUEVES!E163,0)+JUEVES!L163,JUEVES!L163))*(1+JUEVES!M163/30),(IF(JUEVES!C163="peso_corporal",IF(ISNUMBER(JUEVES!E163),JUEVES!E163,0)+JUEVES!O163,JUEVES!O163))*(1+JUEVES!P163/30),(IF(JUEVES!C163="peso_corporal",IF(ISNUMBER(JUEVES!E163),JUEVES!E163,0)+JUEVES!R163,JUEVES!R163))*(1+JUEVES!S163/30)),1),""))</f>
        <v/>
      </c>
      <c r="L419" s="52">
        <f>IFERROR(JUEVES!E163,"")</f>
        <v>80</v>
      </c>
      <c r="M419" s="53" t="str">
        <f>IFERROR(IF(K419="","-",IF(ISNUMBER(LOOKUP(2,1/((HISTORIAL!$O$3:$O$418=O419)*(HISTORIAL!$F$3:$F$418&lt;&gt;"")),HISTORIAL!$K$3:$K$418)),IF(K419&gt;LOOKUP(2,1/((HISTORIAL!$O$3:$O$418=O419)*(HISTORIAL!$F$3:$F$418&lt;&gt;"")),HISTORIAL!$K$3:$K$418),"^",IF(K419&lt;LOOKUP(2,1/((HISTORIAL!$O$3:$O$418=O419)*(HISTORIAL!$F$3:$F$418&lt;&gt;"")),HISTORIAL!$K$3:$K$418),"v","-")),"-")),"-")</f>
        <v>-</v>
      </c>
      <c r="N419" s="54" t="str">
        <f>IFERROR(VLOOKUP(A419,CONFIG!$A$10:$B$21,2,0),"")</f>
        <v>HIP</v>
      </c>
      <c r="O419" s="55" t="str">
        <f t="shared" si="13"/>
        <v>Elevaciones Laterales|Drop Set Maquina</v>
      </c>
      <c r="P419" s="69" t="str">
        <f>JUEVES!AC163</f>
        <v/>
      </c>
    </row>
    <row r="420" spans="1:16" ht="14.1" customHeight="1">
      <c r="A420" s="37">
        <v>7</v>
      </c>
      <c r="B420" s="37" t="s">
        <v>280</v>
      </c>
      <c r="C420" s="44" t="str">
        <f>JUEVES!$A$165</f>
        <v>Pajaro</v>
      </c>
      <c r="D420" s="45" t="str">
        <f>JUEVES!$B$165</f>
        <v>Elevacion Posterior</v>
      </c>
      <c r="E420" s="37" t="str">
        <f>JUEVES!$C$165</f>
        <v>mancuerna</v>
      </c>
      <c r="F420" s="46" t="str">
        <f>IF(P420="","",IFERROR(CHOOSE(VALUE(RIGHT(P420,1)),JUEVES!F165,JUEVES!I165,JUEVES!L165,JUEVES!O165,JUEVES!R165),""))</f>
        <v/>
      </c>
      <c r="G420" s="47" t="str">
        <f>IF(P420="","",IFERROR(CHOOSE(VALUE(RIGHT(P420,1)),JUEVES!G165,JUEVES!J165,JUEVES!M165,JUEVES!P165,JUEVES!S165),""))</f>
        <v/>
      </c>
      <c r="H420" s="48" t="str">
        <f>IF(P420="","",IFERROR(CHOOSE(VALUE(RIGHT(P420,1)),JUEVES!H165,JUEVES!K165,JUEVES!N165,JUEVES!Q165,JUEVES!T165),""))</f>
        <v/>
      </c>
      <c r="I420" s="49" t="str">
        <f t="shared" si="12"/>
        <v/>
      </c>
      <c r="J420" s="50" t="str">
        <f>IF(P420="","",IFERROR(ROUND(CHOOSE(VALUE(RIGHT(P420,1)),IF(JUEVES!C165="peso_corporal",IF(ISNUMBER(JUEVES!E165),JUEVES!E165,0)+JUEVES!F165,JUEVES!F165)*JUEVES!G165,IF(JUEVES!C165="peso_corporal",IF(ISNUMBER(JUEVES!E165),JUEVES!E165,0)+JUEVES!I165,JUEVES!I165)*JUEVES!J165,IF(JUEVES!C165="peso_corporal",IF(ISNUMBER(JUEVES!E165),JUEVES!E165,0)+JUEVES!L165,JUEVES!L165)*JUEVES!M165,IF(JUEVES!C165="peso_corporal",IF(ISNUMBER(JUEVES!E165),JUEVES!E165,0)+JUEVES!O165,JUEVES!O165)*JUEVES!P165,IF(JUEVES!C165="peso_corporal",IF(ISNUMBER(JUEVES!E165),JUEVES!E165,0)+JUEVES!R165,JUEVES!R165)*JUEVES!S165),1),""))</f>
        <v/>
      </c>
      <c r="K420" s="51" t="str">
        <f>IF(P420="","",IFERROR(ROUND(CHOOSE(VALUE(RIGHT(P420,1)),(IF(JUEVES!C165="peso_corporal",IF(ISNUMBER(JUEVES!E165),JUEVES!E165,0)+JUEVES!F165,JUEVES!F165))*(1+JUEVES!G165/30),(IF(JUEVES!C165="peso_corporal",IF(ISNUMBER(JUEVES!E165),JUEVES!E165,0)+JUEVES!I165,JUEVES!I165))*(1+JUEVES!J165/30),(IF(JUEVES!C165="peso_corporal",IF(ISNUMBER(JUEVES!E165),JUEVES!E165,0)+JUEVES!L165,JUEVES!L165))*(1+JUEVES!M165/30),(IF(JUEVES!C165="peso_corporal",IF(ISNUMBER(JUEVES!E165),JUEVES!E165,0)+JUEVES!O165,JUEVES!O165))*(1+JUEVES!P165/30),(IF(JUEVES!C165="peso_corporal",IF(ISNUMBER(JUEVES!E165),JUEVES!E165,0)+JUEVES!R165,JUEVES!R165))*(1+JUEVES!S165/30)),1),""))</f>
        <v/>
      </c>
      <c r="L420" s="52">
        <f>IFERROR(JUEVES!E165,"")</f>
        <v>80</v>
      </c>
      <c r="M420" s="53" t="str">
        <f>IFERROR(IF(K420="","-",IF(ISNUMBER(LOOKUP(2,1/((HISTORIAL!$O$3:$O$419=O420)*(HISTORIAL!$F$3:$F$419&lt;&gt;"")),HISTORIAL!$K$3:$K$419)),IF(K420&gt;LOOKUP(2,1/((HISTORIAL!$O$3:$O$419=O420)*(HISTORIAL!$F$3:$F$419&lt;&gt;"")),HISTORIAL!$K$3:$K$419),"^",IF(K420&lt;LOOKUP(2,1/((HISTORIAL!$O$3:$O$419=O420)*(HISTORIAL!$F$3:$F$419&lt;&gt;"")),HISTORIAL!$K$3:$K$419),"v","-")),"-")),"-")</f>
        <v>-</v>
      </c>
      <c r="N420" s="54" t="str">
        <f>IFERROR(VLOOKUP(A420,CONFIG!$A$10:$B$21,2,0),"")</f>
        <v>HIP</v>
      </c>
      <c r="O420" s="55" t="str">
        <f t="shared" si="13"/>
        <v>Pajaro|Elevacion Posterior</v>
      </c>
      <c r="P420" s="69" t="str">
        <f>JUEVES!AC165</f>
        <v/>
      </c>
    </row>
    <row r="421" spans="1:16" ht="14.1" customHeight="1">
      <c r="A421" s="37">
        <v>7</v>
      </c>
      <c r="B421" s="37" t="s">
        <v>280</v>
      </c>
      <c r="C421" s="44" t="str">
        <f>JUEVES!$A$166</f>
        <v>Peck Deck Invertida</v>
      </c>
      <c r="D421" s="45" t="str">
        <f>JUEVES!$B$166</f>
        <v>Maquina</v>
      </c>
      <c r="E421" s="37" t="str">
        <f>JUEVES!$C$166</f>
        <v>polea</v>
      </c>
      <c r="F421" s="46" t="str">
        <f>IF(P421="","",IFERROR(CHOOSE(VALUE(RIGHT(P421,1)),JUEVES!F166,JUEVES!I166,JUEVES!L166,JUEVES!O166,JUEVES!R166),""))</f>
        <v/>
      </c>
      <c r="G421" s="47" t="str">
        <f>IF(P421="","",IFERROR(CHOOSE(VALUE(RIGHT(P421,1)),JUEVES!G166,JUEVES!J166,JUEVES!M166,JUEVES!P166,JUEVES!S166),""))</f>
        <v/>
      </c>
      <c r="H421" s="48" t="str">
        <f>IF(P421="","",IFERROR(CHOOSE(VALUE(RIGHT(P421,1)),JUEVES!H166,JUEVES!K166,JUEVES!N166,JUEVES!Q166,JUEVES!T166),""))</f>
        <v/>
      </c>
      <c r="I421" s="49" t="str">
        <f t="shared" si="12"/>
        <v/>
      </c>
      <c r="J421" s="50" t="str">
        <f>IF(P421="","",IFERROR(ROUND(CHOOSE(VALUE(RIGHT(P421,1)),IF(JUEVES!C166="peso_corporal",IF(ISNUMBER(JUEVES!E166),JUEVES!E166,0)+JUEVES!F166,JUEVES!F166)*JUEVES!G166,IF(JUEVES!C166="peso_corporal",IF(ISNUMBER(JUEVES!E166),JUEVES!E166,0)+JUEVES!I166,JUEVES!I166)*JUEVES!J166,IF(JUEVES!C166="peso_corporal",IF(ISNUMBER(JUEVES!E166),JUEVES!E166,0)+JUEVES!L166,JUEVES!L166)*JUEVES!M166,IF(JUEVES!C166="peso_corporal",IF(ISNUMBER(JUEVES!E166),JUEVES!E166,0)+JUEVES!O166,JUEVES!O166)*JUEVES!P166,IF(JUEVES!C166="peso_corporal",IF(ISNUMBER(JUEVES!E166),JUEVES!E166,0)+JUEVES!R166,JUEVES!R166)*JUEVES!S166),1),""))</f>
        <v/>
      </c>
      <c r="K421" s="51" t="str">
        <f>IF(P421="","",IFERROR(ROUND(CHOOSE(VALUE(RIGHT(P421,1)),(IF(JUEVES!C166="peso_corporal",IF(ISNUMBER(JUEVES!E166),JUEVES!E166,0)+JUEVES!F166,JUEVES!F166))*(1+JUEVES!G166/30),(IF(JUEVES!C166="peso_corporal",IF(ISNUMBER(JUEVES!E166),JUEVES!E166,0)+JUEVES!I166,JUEVES!I166))*(1+JUEVES!J166/30),(IF(JUEVES!C166="peso_corporal",IF(ISNUMBER(JUEVES!E166),JUEVES!E166,0)+JUEVES!L166,JUEVES!L166))*(1+JUEVES!M166/30),(IF(JUEVES!C166="peso_corporal",IF(ISNUMBER(JUEVES!E166),JUEVES!E166,0)+JUEVES!O166,JUEVES!O166))*(1+JUEVES!P166/30),(IF(JUEVES!C166="peso_corporal",IF(ISNUMBER(JUEVES!E166),JUEVES!E166,0)+JUEVES!R166,JUEVES!R166))*(1+JUEVES!S166/30)),1),""))</f>
        <v/>
      </c>
      <c r="L421" s="52">
        <f>IFERROR(JUEVES!E166,"")</f>
        <v>80</v>
      </c>
      <c r="M421" s="53" t="str">
        <f>IFERROR(IF(K421="","-",IF(ISNUMBER(LOOKUP(2,1/((HISTORIAL!$O$3:$O$420=O421)*(HISTORIAL!$F$3:$F$420&lt;&gt;"")),HISTORIAL!$K$3:$K$420)),IF(K421&gt;LOOKUP(2,1/((HISTORIAL!$O$3:$O$420=O421)*(HISTORIAL!$F$3:$F$420&lt;&gt;"")),HISTORIAL!$K$3:$K$420),"^",IF(K421&lt;LOOKUP(2,1/((HISTORIAL!$O$3:$O$420=O421)*(HISTORIAL!$F$3:$F$420&lt;&gt;"")),HISTORIAL!$K$3:$K$420),"v","-")),"-")),"-")</f>
        <v>-</v>
      </c>
      <c r="N421" s="54" t="str">
        <f>IFERROR(VLOOKUP(A421,CONFIG!$A$10:$B$21,2,0),"")</f>
        <v>HIP</v>
      </c>
      <c r="O421" s="55" t="str">
        <f t="shared" si="13"/>
        <v>Peck Deck Invertida|Maquina</v>
      </c>
      <c r="P421" s="69" t="str">
        <f>JUEVES!AC166</f>
        <v/>
      </c>
    </row>
    <row r="422" spans="1:16" ht="14.1" customHeight="1">
      <c r="A422" s="37">
        <v>7</v>
      </c>
      <c r="B422" s="37" t="s">
        <v>280</v>
      </c>
      <c r="C422" s="44" t="str">
        <f>JUEVES!$A$167</f>
        <v>Elevaciones Posteriores</v>
      </c>
      <c r="D422" s="45" t="str">
        <f>JUEVES!$B$167</f>
        <v>Polea Individual</v>
      </c>
      <c r="E422" s="37" t="str">
        <f>JUEVES!$C$167</f>
        <v>polea</v>
      </c>
      <c r="F422" s="46" t="str">
        <f>IF(P422="","",IFERROR(CHOOSE(VALUE(RIGHT(P422,1)),JUEVES!F167,JUEVES!I167,JUEVES!L167,JUEVES!O167,JUEVES!R167),""))</f>
        <v/>
      </c>
      <c r="G422" s="47" t="str">
        <f>IF(P422="","",IFERROR(CHOOSE(VALUE(RIGHT(P422,1)),JUEVES!G167,JUEVES!J167,JUEVES!M167,JUEVES!P167,JUEVES!S167),""))</f>
        <v/>
      </c>
      <c r="H422" s="48" t="str">
        <f>IF(P422="","",IFERROR(CHOOSE(VALUE(RIGHT(P422,1)),JUEVES!H167,JUEVES!K167,JUEVES!N167,JUEVES!Q167,JUEVES!T167),""))</f>
        <v/>
      </c>
      <c r="I422" s="49" t="str">
        <f t="shared" si="12"/>
        <v/>
      </c>
      <c r="J422" s="50" t="str">
        <f>IF(P422="","",IFERROR(ROUND(CHOOSE(VALUE(RIGHT(P422,1)),IF(JUEVES!C167="peso_corporal",IF(ISNUMBER(JUEVES!E167),JUEVES!E167,0)+JUEVES!F167,JUEVES!F167)*JUEVES!G167,IF(JUEVES!C167="peso_corporal",IF(ISNUMBER(JUEVES!E167),JUEVES!E167,0)+JUEVES!I167,JUEVES!I167)*JUEVES!J167,IF(JUEVES!C167="peso_corporal",IF(ISNUMBER(JUEVES!E167),JUEVES!E167,0)+JUEVES!L167,JUEVES!L167)*JUEVES!M167,IF(JUEVES!C167="peso_corporal",IF(ISNUMBER(JUEVES!E167),JUEVES!E167,0)+JUEVES!O167,JUEVES!O167)*JUEVES!P167,IF(JUEVES!C167="peso_corporal",IF(ISNUMBER(JUEVES!E167),JUEVES!E167,0)+JUEVES!R167,JUEVES!R167)*JUEVES!S167),1),""))</f>
        <v/>
      </c>
      <c r="K422" s="51" t="str">
        <f>IF(P422="","",IFERROR(ROUND(CHOOSE(VALUE(RIGHT(P422,1)),(IF(JUEVES!C167="peso_corporal",IF(ISNUMBER(JUEVES!E167),JUEVES!E167,0)+JUEVES!F167,JUEVES!F167))*(1+JUEVES!G167/30),(IF(JUEVES!C167="peso_corporal",IF(ISNUMBER(JUEVES!E167),JUEVES!E167,0)+JUEVES!I167,JUEVES!I167))*(1+JUEVES!J167/30),(IF(JUEVES!C167="peso_corporal",IF(ISNUMBER(JUEVES!E167),JUEVES!E167,0)+JUEVES!L167,JUEVES!L167))*(1+JUEVES!M167/30),(IF(JUEVES!C167="peso_corporal",IF(ISNUMBER(JUEVES!E167),JUEVES!E167,0)+JUEVES!O167,JUEVES!O167))*(1+JUEVES!P167/30),(IF(JUEVES!C167="peso_corporal",IF(ISNUMBER(JUEVES!E167),JUEVES!E167,0)+JUEVES!R167,JUEVES!R167))*(1+JUEVES!S167/30)),1),""))</f>
        <v/>
      </c>
      <c r="L422" s="52">
        <f>IFERROR(JUEVES!E167,"")</f>
        <v>80</v>
      </c>
      <c r="M422" s="53" t="str">
        <f>IFERROR(IF(K422="","-",IF(ISNUMBER(LOOKUP(2,1/((HISTORIAL!$O$3:$O$421=O422)*(HISTORIAL!$F$3:$F$421&lt;&gt;"")),HISTORIAL!$K$3:$K$421)),IF(K422&gt;LOOKUP(2,1/((HISTORIAL!$O$3:$O$421=O422)*(HISTORIAL!$F$3:$F$421&lt;&gt;"")),HISTORIAL!$K$3:$K$421),"^",IF(K422&lt;LOOKUP(2,1/((HISTORIAL!$O$3:$O$421=O422)*(HISTORIAL!$F$3:$F$421&lt;&gt;"")),HISTORIAL!$K$3:$K$421),"v","-")),"-")),"-")</f>
        <v>-</v>
      </c>
      <c r="N422" s="54" t="str">
        <f>IFERROR(VLOOKUP(A422,CONFIG!$A$10:$B$21,2,0),"")</f>
        <v>HIP</v>
      </c>
      <c r="O422" s="55" t="str">
        <f t="shared" si="13"/>
        <v>Elevaciones Posteriores|Polea Individual</v>
      </c>
      <c r="P422" s="69" t="str">
        <f>JUEVES!AC167</f>
        <v/>
      </c>
    </row>
    <row r="423" spans="1:16" ht="14.1" customHeight="1">
      <c r="A423" s="37">
        <v>7</v>
      </c>
      <c r="B423" s="37" t="s">
        <v>280</v>
      </c>
      <c r="C423" s="44" t="str">
        <f>JUEVES!$A$170</f>
        <v>Press Plano</v>
      </c>
      <c r="D423" s="45" t="str">
        <f>JUEVES!$B$170</f>
        <v>Mancuernas</v>
      </c>
      <c r="E423" s="37" t="str">
        <f>JUEVES!$C$170</f>
        <v>mancuerna</v>
      </c>
      <c r="F423" s="46" t="str">
        <f>IF(P423="","",IFERROR(CHOOSE(VALUE(RIGHT(P423,1)),JUEVES!F170,JUEVES!I170,JUEVES!L170,JUEVES!O170,JUEVES!R170),""))</f>
        <v/>
      </c>
      <c r="G423" s="47" t="str">
        <f>IF(P423="","",IFERROR(CHOOSE(VALUE(RIGHT(P423,1)),JUEVES!G170,JUEVES!J170,JUEVES!M170,JUEVES!P170,JUEVES!S170),""))</f>
        <v/>
      </c>
      <c r="H423" s="48" t="str">
        <f>IF(P423="","",IFERROR(CHOOSE(VALUE(RIGHT(P423,1)),JUEVES!H170,JUEVES!K170,JUEVES!N170,JUEVES!Q170,JUEVES!T170),""))</f>
        <v/>
      </c>
      <c r="I423" s="49" t="str">
        <f t="shared" si="12"/>
        <v/>
      </c>
      <c r="J423" s="50" t="str">
        <f>IF(P423="","",IFERROR(ROUND(CHOOSE(VALUE(RIGHT(P423,1)),IF(JUEVES!C170="peso_corporal",IF(ISNUMBER(JUEVES!E170),JUEVES!E170,0)+JUEVES!F170,JUEVES!F170)*JUEVES!G170,IF(JUEVES!C170="peso_corporal",IF(ISNUMBER(JUEVES!E170),JUEVES!E170,0)+JUEVES!I170,JUEVES!I170)*JUEVES!J170,IF(JUEVES!C170="peso_corporal",IF(ISNUMBER(JUEVES!E170),JUEVES!E170,0)+JUEVES!L170,JUEVES!L170)*JUEVES!M170,IF(JUEVES!C170="peso_corporal",IF(ISNUMBER(JUEVES!E170),JUEVES!E170,0)+JUEVES!O170,JUEVES!O170)*JUEVES!P170,IF(JUEVES!C170="peso_corporal",IF(ISNUMBER(JUEVES!E170),JUEVES!E170,0)+JUEVES!R170,JUEVES!R170)*JUEVES!S170),1),""))</f>
        <v/>
      </c>
      <c r="K423" s="51" t="str">
        <f>IF(P423="","",IFERROR(ROUND(CHOOSE(VALUE(RIGHT(P423,1)),(IF(JUEVES!C170="peso_corporal",IF(ISNUMBER(JUEVES!E170),JUEVES!E170,0)+JUEVES!F170,JUEVES!F170))*(1+JUEVES!G170/30),(IF(JUEVES!C170="peso_corporal",IF(ISNUMBER(JUEVES!E170),JUEVES!E170,0)+JUEVES!I170,JUEVES!I170))*(1+JUEVES!J170/30),(IF(JUEVES!C170="peso_corporal",IF(ISNUMBER(JUEVES!E170),JUEVES!E170,0)+JUEVES!L170,JUEVES!L170))*(1+JUEVES!M170/30),(IF(JUEVES!C170="peso_corporal",IF(ISNUMBER(JUEVES!E170),JUEVES!E170,0)+JUEVES!O170,JUEVES!O170))*(1+JUEVES!P170/30),(IF(JUEVES!C170="peso_corporal",IF(ISNUMBER(JUEVES!E170),JUEVES!E170,0)+JUEVES!R170,JUEVES!R170))*(1+JUEVES!S170/30)),1),""))</f>
        <v/>
      </c>
      <c r="L423" s="52">
        <f>IFERROR(JUEVES!E170,"")</f>
        <v>80</v>
      </c>
      <c r="M423" s="53" t="str">
        <f>IFERROR(IF(K423="","-",IF(ISNUMBER(LOOKUP(2,1/((HISTORIAL!$O$3:$O$422=O423)*(HISTORIAL!$F$3:$F$422&lt;&gt;"")),HISTORIAL!$K$3:$K$422)),IF(K423&gt;LOOKUP(2,1/((HISTORIAL!$O$3:$O$422=O423)*(HISTORIAL!$F$3:$F$422&lt;&gt;"")),HISTORIAL!$K$3:$K$422),"^",IF(K423&lt;LOOKUP(2,1/((HISTORIAL!$O$3:$O$422=O423)*(HISTORIAL!$F$3:$F$422&lt;&gt;"")),HISTORIAL!$K$3:$K$422),"v","-")),"-")),"-")</f>
        <v>-</v>
      </c>
      <c r="N423" s="54" t="str">
        <f>IFERROR(VLOOKUP(A423,CONFIG!$A$10:$B$21,2,0),"")</f>
        <v>HIP</v>
      </c>
      <c r="O423" s="55" t="str">
        <f t="shared" si="13"/>
        <v>Press Plano|Mancuernas</v>
      </c>
      <c r="P423" s="69" t="str">
        <f>JUEVES!AC170</f>
        <v/>
      </c>
    </row>
    <row r="424" spans="1:16" ht="14.1" customHeight="1">
      <c r="A424" s="37">
        <v>7</v>
      </c>
      <c r="B424" s="37" t="s">
        <v>280</v>
      </c>
      <c r="C424" s="44" t="str">
        <f>JUEVES!$A$172</f>
        <v>Press Inclinado</v>
      </c>
      <c r="D424" s="45" t="str">
        <f>JUEVES!$B$172</f>
        <v>Multipower</v>
      </c>
      <c r="E424" s="37" t="str">
        <f>JUEVES!$C$172</f>
        <v>disco</v>
      </c>
      <c r="F424" s="46" t="str">
        <f>IF(P424="","",IFERROR(CHOOSE(VALUE(RIGHT(P424,1)),JUEVES!F172,JUEVES!I172,JUEVES!L172,JUEVES!O172,JUEVES!R172),""))</f>
        <v/>
      </c>
      <c r="G424" s="47" t="str">
        <f>IF(P424="","",IFERROR(CHOOSE(VALUE(RIGHT(P424,1)),JUEVES!G172,JUEVES!J172,JUEVES!M172,JUEVES!P172,JUEVES!S172),""))</f>
        <v/>
      </c>
      <c r="H424" s="48" t="str">
        <f>IF(P424="","",IFERROR(CHOOSE(VALUE(RIGHT(P424,1)),JUEVES!H172,JUEVES!K172,JUEVES!N172,JUEVES!Q172,JUEVES!T172),""))</f>
        <v/>
      </c>
      <c r="I424" s="49" t="str">
        <f t="shared" si="12"/>
        <v/>
      </c>
      <c r="J424" s="50" t="str">
        <f>IF(P424="","",IFERROR(ROUND(CHOOSE(VALUE(RIGHT(P424,1)),IF(JUEVES!C172="peso_corporal",IF(ISNUMBER(JUEVES!E172),JUEVES!E172,0)+JUEVES!F172,JUEVES!F172)*JUEVES!G172,IF(JUEVES!C172="peso_corporal",IF(ISNUMBER(JUEVES!E172),JUEVES!E172,0)+JUEVES!I172,JUEVES!I172)*JUEVES!J172,IF(JUEVES!C172="peso_corporal",IF(ISNUMBER(JUEVES!E172),JUEVES!E172,0)+JUEVES!L172,JUEVES!L172)*JUEVES!M172,IF(JUEVES!C172="peso_corporal",IF(ISNUMBER(JUEVES!E172),JUEVES!E172,0)+JUEVES!O172,JUEVES!O172)*JUEVES!P172,IF(JUEVES!C172="peso_corporal",IF(ISNUMBER(JUEVES!E172),JUEVES!E172,0)+JUEVES!R172,JUEVES!R172)*JUEVES!S172),1),""))</f>
        <v/>
      </c>
      <c r="K424" s="51" t="str">
        <f>IF(P424="","",IFERROR(ROUND(CHOOSE(VALUE(RIGHT(P424,1)),(IF(JUEVES!C172="peso_corporal",IF(ISNUMBER(JUEVES!E172),JUEVES!E172,0)+JUEVES!F172,JUEVES!F172))*(1+JUEVES!G172/30),(IF(JUEVES!C172="peso_corporal",IF(ISNUMBER(JUEVES!E172),JUEVES!E172,0)+JUEVES!I172,JUEVES!I172))*(1+JUEVES!J172/30),(IF(JUEVES!C172="peso_corporal",IF(ISNUMBER(JUEVES!E172),JUEVES!E172,0)+JUEVES!L172,JUEVES!L172))*(1+JUEVES!M172/30),(IF(JUEVES!C172="peso_corporal",IF(ISNUMBER(JUEVES!E172),JUEVES!E172,0)+JUEVES!O172,JUEVES!O172))*(1+JUEVES!P172/30),(IF(JUEVES!C172="peso_corporal",IF(ISNUMBER(JUEVES!E172),JUEVES!E172,0)+JUEVES!R172,JUEVES!R172))*(1+JUEVES!S172/30)),1),""))</f>
        <v/>
      </c>
      <c r="L424" s="52">
        <f>IFERROR(JUEVES!E172,"")</f>
        <v>80</v>
      </c>
      <c r="M424" s="53" t="str">
        <f>IFERROR(IF(K424="","-",IF(ISNUMBER(LOOKUP(2,1/((HISTORIAL!$O$3:$O$423=O424)*(HISTORIAL!$F$3:$F$423&lt;&gt;"")),HISTORIAL!$K$3:$K$423)),IF(K424&gt;LOOKUP(2,1/((HISTORIAL!$O$3:$O$423=O424)*(HISTORIAL!$F$3:$F$423&lt;&gt;"")),HISTORIAL!$K$3:$K$423),"^",IF(K424&lt;LOOKUP(2,1/((HISTORIAL!$O$3:$O$423=O424)*(HISTORIAL!$F$3:$F$423&lt;&gt;"")),HISTORIAL!$K$3:$K$423),"v","-")),"-")),"-")</f>
        <v>-</v>
      </c>
      <c r="N424" s="54" t="str">
        <f>IFERROR(VLOOKUP(A424,CONFIG!$A$10:$B$21,2,0),"")</f>
        <v>HIP</v>
      </c>
      <c r="O424" s="55" t="str">
        <f t="shared" si="13"/>
        <v>Press Inclinado|Multipower</v>
      </c>
      <c r="P424" s="69" t="str">
        <f>JUEVES!AC172</f>
        <v/>
      </c>
    </row>
    <row r="425" spans="1:16" ht="14.1" customHeight="1">
      <c r="A425" s="37">
        <v>7</v>
      </c>
      <c r="B425" s="37" t="s">
        <v>280</v>
      </c>
      <c r="C425" s="44" t="str">
        <f>JUEVES!$A$174</f>
        <v>Aperturas</v>
      </c>
      <c r="D425" s="45" t="str">
        <f>JUEVES!$B$174</f>
        <v>Pec Deck Maquina</v>
      </c>
      <c r="E425" s="37" t="str">
        <f>JUEVES!$C$174</f>
        <v>--</v>
      </c>
      <c r="F425" s="46" t="str">
        <f>IF(P425="","",IFERROR(CHOOSE(VALUE(RIGHT(P425,1)),JUEVES!F174,JUEVES!I174,JUEVES!L174,JUEVES!O174,JUEVES!R174),""))</f>
        <v/>
      </c>
      <c r="G425" s="47" t="str">
        <f>IF(P425="","",IFERROR(CHOOSE(VALUE(RIGHT(P425,1)),JUEVES!G174,JUEVES!J174,JUEVES!M174,JUEVES!P174,JUEVES!S174),""))</f>
        <v/>
      </c>
      <c r="H425" s="48" t="str">
        <f>IF(P425="","",IFERROR(CHOOSE(VALUE(RIGHT(P425,1)),JUEVES!H174,JUEVES!K174,JUEVES!N174,JUEVES!Q174,JUEVES!T174),""))</f>
        <v/>
      </c>
      <c r="I425" s="49" t="str">
        <f t="shared" si="12"/>
        <v/>
      </c>
      <c r="J425" s="50" t="str">
        <f>IF(P425="","",IFERROR(ROUND(CHOOSE(VALUE(RIGHT(P425,1)),IF(JUEVES!C174="peso_corporal",IF(ISNUMBER(JUEVES!E174),JUEVES!E174,0)+JUEVES!F174,JUEVES!F174)*JUEVES!G174,IF(JUEVES!C174="peso_corporal",IF(ISNUMBER(JUEVES!E174),JUEVES!E174,0)+JUEVES!I174,JUEVES!I174)*JUEVES!J174,IF(JUEVES!C174="peso_corporal",IF(ISNUMBER(JUEVES!E174),JUEVES!E174,0)+JUEVES!L174,JUEVES!L174)*JUEVES!M174,IF(JUEVES!C174="peso_corporal",IF(ISNUMBER(JUEVES!E174),JUEVES!E174,0)+JUEVES!O174,JUEVES!O174)*JUEVES!P174,IF(JUEVES!C174="peso_corporal",IF(ISNUMBER(JUEVES!E174),JUEVES!E174,0)+JUEVES!R174,JUEVES!R174)*JUEVES!S174),1),""))</f>
        <v/>
      </c>
      <c r="K425" s="51" t="str">
        <f>IF(P425="","",IFERROR(ROUND(CHOOSE(VALUE(RIGHT(P425,1)),(IF(JUEVES!C174="peso_corporal",IF(ISNUMBER(JUEVES!E174),JUEVES!E174,0)+JUEVES!F174,JUEVES!F174))*(1+JUEVES!G174/30),(IF(JUEVES!C174="peso_corporal",IF(ISNUMBER(JUEVES!E174),JUEVES!E174,0)+JUEVES!I174,JUEVES!I174))*(1+JUEVES!J174/30),(IF(JUEVES!C174="peso_corporal",IF(ISNUMBER(JUEVES!E174),JUEVES!E174,0)+JUEVES!L174,JUEVES!L174))*(1+JUEVES!M174/30),(IF(JUEVES!C174="peso_corporal",IF(ISNUMBER(JUEVES!E174),JUEVES!E174,0)+JUEVES!O174,JUEVES!O174))*(1+JUEVES!P174/30),(IF(JUEVES!C174="peso_corporal",IF(ISNUMBER(JUEVES!E174),JUEVES!E174,0)+JUEVES!R174,JUEVES!R174))*(1+JUEVES!S174/30)),1),""))</f>
        <v/>
      </c>
      <c r="L425" s="52">
        <f>IFERROR(JUEVES!E174,"")</f>
        <v>80</v>
      </c>
      <c r="M425" s="53" t="str">
        <f>IFERROR(IF(K425="","-",IF(ISNUMBER(LOOKUP(2,1/((HISTORIAL!$O$3:$O$424=O425)*(HISTORIAL!$F$3:$F$424&lt;&gt;"")),HISTORIAL!$K$3:$K$424)),IF(K425&gt;LOOKUP(2,1/((HISTORIAL!$O$3:$O$424=O425)*(HISTORIAL!$F$3:$F$424&lt;&gt;"")),HISTORIAL!$K$3:$K$424),"^",IF(K425&lt;LOOKUP(2,1/((HISTORIAL!$O$3:$O$424=O425)*(HISTORIAL!$F$3:$F$424&lt;&gt;"")),HISTORIAL!$K$3:$K$424),"v","-")),"-")),"-")</f>
        <v>-</v>
      </c>
      <c r="N425" s="54" t="str">
        <f>IFERROR(VLOOKUP(A425,CONFIG!$A$10:$B$21,2,0),"")</f>
        <v>HIP</v>
      </c>
      <c r="O425" s="55" t="str">
        <f t="shared" si="13"/>
        <v>Aperturas|Pec Deck Maquina</v>
      </c>
      <c r="P425" s="69" t="str">
        <f>JUEVES!AC174</f>
        <v/>
      </c>
    </row>
    <row r="426" spans="1:16" ht="14.1" customHeight="1">
      <c r="A426" s="37">
        <v>7</v>
      </c>
      <c r="B426" s="37" t="s">
        <v>280</v>
      </c>
      <c r="C426" s="44" t="str">
        <f>JUEVES!$A$176</f>
        <v>Press Polea</v>
      </c>
      <c r="D426" s="45" t="str">
        <f>JUEVES!$B$176</f>
        <v>Barra Recta Diagonal Arriba</v>
      </c>
      <c r="E426" s="37" t="str">
        <f>JUEVES!$C$176</f>
        <v>polea</v>
      </c>
      <c r="F426" s="46" t="str">
        <f>IF(P426="","",IFERROR(CHOOSE(VALUE(RIGHT(P426,1)),JUEVES!F176,JUEVES!I176,JUEVES!L176,JUEVES!O176,JUEVES!R176),""))</f>
        <v/>
      </c>
      <c r="G426" s="47" t="str">
        <f>IF(P426="","",IFERROR(CHOOSE(VALUE(RIGHT(P426,1)),JUEVES!G176,JUEVES!J176,JUEVES!M176,JUEVES!P176,JUEVES!S176),""))</f>
        <v/>
      </c>
      <c r="H426" s="48" t="str">
        <f>IF(P426="","",IFERROR(CHOOSE(VALUE(RIGHT(P426,1)),JUEVES!H176,JUEVES!K176,JUEVES!N176,JUEVES!Q176,JUEVES!T176),""))</f>
        <v/>
      </c>
      <c r="I426" s="49" t="str">
        <f t="shared" si="12"/>
        <v/>
      </c>
      <c r="J426" s="50" t="str">
        <f>IF(P426="","",IFERROR(ROUND(CHOOSE(VALUE(RIGHT(P426,1)),IF(JUEVES!C176="peso_corporal",IF(ISNUMBER(JUEVES!E176),JUEVES!E176,0)+JUEVES!F176,JUEVES!F176)*JUEVES!G176,IF(JUEVES!C176="peso_corporal",IF(ISNUMBER(JUEVES!E176),JUEVES!E176,0)+JUEVES!I176,JUEVES!I176)*JUEVES!J176,IF(JUEVES!C176="peso_corporal",IF(ISNUMBER(JUEVES!E176),JUEVES!E176,0)+JUEVES!L176,JUEVES!L176)*JUEVES!M176,IF(JUEVES!C176="peso_corporal",IF(ISNUMBER(JUEVES!E176),JUEVES!E176,0)+JUEVES!O176,JUEVES!O176)*JUEVES!P176,IF(JUEVES!C176="peso_corporal",IF(ISNUMBER(JUEVES!E176),JUEVES!E176,0)+JUEVES!R176,JUEVES!R176)*JUEVES!S176),1),""))</f>
        <v/>
      </c>
      <c r="K426" s="51" t="str">
        <f>IF(P426="","",IFERROR(ROUND(CHOOSE(VALUE(RIGHT(P426,1)),(IF(JUEVES!C176="peso_corporal",IF(ISNUMBER(JUEVES!E176),JUEVES!E176,0)+JUEVES!F176,JUEVES!F176))*(1+JUEVES!G176/30),(IF(JUEVES!C176="peso_corporal",IF(ISNUMBER(JUEVES!E176),JUEVES!E176,0)+JUEVES!I176,JUEVES!I176))*(1+JUEVES!J176/30),(IF(JUEVES!C176="peso_corporal",IF(ISNUMBER(JUEVES!E176),JUEVES!E176,0)+JUEVES!L176,JUEVES!L176))*(1+JUEVES!M176/30),(IF(JUEVES!C176="peso_corporal",IF(ISNUMBER(JUEVES!E176),JUEVES!E176,0)+JUEVES!O176,JUEVES!O176))*(1+JUEVES!P176/30),(IF(JUEVES!C176="peso_corporal",IF(ISNUMBER(JUEVES!E176),JUEVES!E176,0)+JUEVES!R176,JUEVES!R176))*(1+JUEVES!S176/30)),1),""))</f>
        <v/>
      </c>
      <c r="L426" s="52">
        <f>IFERROR(JUEVES!E176,"")</f>
        <v>80</v>
      </c>
      <c r="M426" s="53" t="str">
        <f>IFERROR(IF(K426="","-",IF(ISNUMBER(LOOKUP(2,1/((HISTORIAL!$O$3:$O$425=O426)*(HISTORIAL!$F$3:$F$425&lt;&gt;"")),HISTORIAL!$K$3:$K$425)),IF(K426&gt;LOOKUP(2,1/((HISTORIAL!$O$3:$O$425=O426)*(HISTORIAL!$F$3:$F$425&lt;&gt;"")),HISTORIAL!$K$3:$K$425),"^",IF(K426&lt;LOOKUP(2,1/((HISTORIAL!$O$3:$O$425=O426)*(HISTORIAL!$F$3:$F$425&lt;&gt;"")),HISTORIAL!$K$3:$K$425),"v","-")),"-")),"-")</f>
        <v>-</v>
      </c>
      <c r="N426" s="54" t="str">
        <f>IFERROR(VLOOKUP(A426,CONFIG!$A$10:$B$21,2,0),"")</f>
        <v>HIP</v>
      </c>
      <c r="O426" s="55" t="str">
        <f t="shared" si="13"/>
        <v>Press Polea|Barra Recta Diagonal Arriba</v>
      </c>
      <c r="P426" s="69" t="str">
        <f>JUEVES!AC176</f>
        <v/>
      </c>
    </row>
    <row r="427" spans="1:16" ht="14.1" customHeight="1">
      <c r="A427" s="37">
        <v>7</v>
      </c>
      <c r="B427" s="37" t="s">
        <v>280</v>
      </c>
      <c r="C427" s="44" t="str">
        <f>JUEVES!$A$177</f>
        <v>Extension Triceps</v>
      </c>
      <c r="D427" s="45" t="str">
        <f>JUEVES!$B$177</f>
        <v>Polea Sobre Cabeza</v>
      </c>
      <c r="E427" s="37" t="str">
        <f>JUEVES!$C$177</f>
        <v>--</v>
      </c>
      <c r="F427" s="46" t="str">
        <f>IF(P427="","",IFERROR(CHOOSE(VALUE(RIGHT(P427,1)),JUEVES!F177,JUEVES!I177,JUEVES!L177,JUEVES!O177,JUEVES!R177),""))</f>
        <v/>
      </c>
      <c r="G427" s="47" t="str">
        <f>IF(P427="","",IFERROR(CHOOSE(VALUE(RIGHT(P427,1)),JUEVES!G177,JUEVES!J177,JUEVES!M177,JUEVES!P177,JUEVES!S177),""))</f>
        <v/>
      </c>
      <c r="H427" s="48" t="str">
        <f>IF(P427="","",IFERROR(CHOOSE(VALUE(RIGHT(P427,1)),JUEVES!H177,JUEVES!K177,JUEVES!N177,JUEVES!Q177,JUEVES!T177),""))</f>
        <v/>
      </c>
      <c r="I427" s="49" t="str">
        <f t="shared" si="12"/>
        <v/>
      </c>
      <c r="J427" s="50" t="str">
        <f>IF(P427="","",IFERROR(ROUND(CHOOSE(VALUE(RIGHT(P427,1)),IF(JUEVES!C177="peso_corporal",IF(ISNUMBER(JUEVES!E177),JUEVES!E177,0)+JUEVES!F177,JUEVES!F177)*JUEVES!G177,IF(JUEVES!C177="peso_corporal",IF(ISNUMBER(JUEVES!E177),JUEVES!E177,0)+JUEVES!I177,JUEVES!I177)*JUEVES!J177,IF(JUEVES!C177="peso_corporal",IF(ISNUMBER(JUEVES!E177),JUEVES!E177,0)+JUEVES!L177,JUEVES!L177)*JUEVES!M177,IF(JUEVES!C177="peso_corporal",IF(ISNUMBER(JUEVES!E177),JUEVES!E177,0)+JUEVES!O177,JUEVES!O177)*JUEVES!P177,IF(JUEVES!C177="peso_corporal",IF(ISNUMBER(JUEVES!E177),JUEVES!E177,0)+JUEVES!R177,JUEVES!R177)*JUEVES!S177),1),""))</f>
        <v/>
      </c>
      <c r="K427" s="51" t="str">
        <f>IF(P427="","",IFERROR(ROUND(CHOOSE(VALUE(RIGHT(P427,1)),(IF(JUEVES!C177="peso_corporal",IF(ISNUMBER(JUEVES!E177),JUEVES!E177,0)+JUEVES!F177,JUEVES!F177))*(1+JUEVES!G177/30),(IF(JUEVES!C177="peso_corporal",IF(ISNUMBER(JUEVES!E177),JUEVES!E177,0)+JUEVES!I177,JUEVES!I177))*(1+JUEVES!J177/30),(IF(JUEVES!C177="peso_corporal",IF(ISNUMBER(JUEVES!E177),JUEVES!E177,0)+JUEVES!L177,JUEVES!L177))*(1+JUEVES!M177/30),(IF(JUEVES!C177="peso_corporal",IF(ISNUMBER(JUEVES!E177),JUEVES!E177,0)+JUEVES!O177,JUEVES!O177))*(1+JUEVES!P177/30),(IF(JUEVES!C177="peso_corporal",IF(ISNUMBER(JUEVES!E177),JUEVES!E177,0)+JUEVES!R177,JUEVES!R177))*(1+JUEVES!S177/30)),1),""))</f>
        <v/>
      </c>
      <c r="L427" s="52">
        <f>IFERROR(JUEVES!E177,"")</f>
        <v>80</v>
      </c>
      <c r="M427" s="53" t="str">
        <f>IFERROR(IF(K427="","-",IF(ISNUMBER(LOOKUP(2,1/((HISTORIAL!$O$3:$O$426=O427)*(HISTORIAL!$F$3:$F$426&lt;&gt;"")),HISTORIAL!$K$3:$K$426)),IF(K427&gt;LOOKUP(2,1/((HISTORIAL!$O$3:$O$426=O427)*(HISTORIAL!$F$3:$F$426&lt;&gt;"")),HISTORIAL!$K$3:$K$426),"^",IF(K427&lt;LOOKUP(2,1/((HISTORIAL!$O$3:$O$426=O427)*(HISTORIAL!$F$3:$F$426&lt;&gt;"")),HISTORIAL!$K$3:$K$426),"v","-")),"-")),"-")</f>
        <v>-</v>
      </c>
      <c r="N427" s="54" t="str">
        <f>IFERROR(VLOOKUP(A427,CONFIG!$A$10:$B$21,2,0),"")</f>
        <v>HIP</v>
      </c>
      <c r="O427" s="55" t="str">
        <f t="shared" si="13"/>
        <v>Extension Triceps|Polea Sobre Cabeza</v>
      </c>
      <c r="P427" s="69" t="str">
        <f>JUEVES!AC177</f>
        <v/>
      </c>
    </row>
    <row r="428" spans="1:16" ht="14.1" customHeight="1">
      <c r="A428" s="37">
        <v>7</v>
      </c>
      <c r="B428" s="37" t="s">
        <v>280</v>
      </c>
      <c r="C428" s="44" t="str">
        <f>JUEVES!$A$179</f>
        <v>Extension Cuadriceps</v>
      </c>
      <c r="D428" s="45" t="str">
        <f>JUEVES!$B$179</f>
        <v>Vasto Interno</v>
      </c>
      <c r="E428" s="37" t="str">
        <f>JUEVES!$C$179</f>
        <v>--</v>
      </c>
      <c r="F428" s="46" t="str">
        <f>IF(P428="","",IFERROR(CHOOSE(VALUE(RIGHT(P428,1)),JUEVES!F179,JUEVES!I179,JUEVES!L179,JUEVES!O179,JUEVES!R179),""))</f>
        <v/>
      </c>
      <c r="G428" s="47" t="str">
        <f>IF(P428="","",IFERROR(CHOOSE(VALUE(RIGHT(P428,1)),JUEVES!G179,JUEVES!J179,JUEVES!M179,JUEVES!P179,JUEVES!S179),""))</f>
        <v/>
      </c>
      <c r="H428" s="48" t="str">
        <f>IF(P428="","",IFERROR(CHOOSE(VALUE(RIGHT(P428,1)),JUEVES!H179,JUEVES!K179,JUEVES!N179,JUEVES!Q179,JUEVES!T179),""))</f>
        <v/>
      </c>
      <c r="I428" s="49" t="str">
        <f t="shared" si="12"/>
        <v/>
      </c>
      <c r="J428" s="50" t="str">
        <f>IF(P428="","",IFERROR(ROUND(CHOOSE(VALUE(RIGHT(P428,1)),IF(JUEVES!C179="peso_corporal",IF(ISNUMBER(JUEVES!E179),JUEVES!E179,0)+JUEVES!F179,JUEVES!F179)*JUEVES!G179,IF(JUEVES!C179="peso_corporal",IF(ISNUMBER(JUEVES!E179),JUEVES!E179,0)+JUEVES!I179,JUEVES!I179)*JUEVES!J179,IF(JUEVES!C179="peso_corporal",IF(ISNUMBER(JUEVES!E179),JUEVES!E179,0)+JUEVES!L179,JUEVES!L179)*JUEVES!M179,IF(JUEVES!C179="peso_corporal",IF(ISNUMBER(JUEVES!E179),JUEVES!E179,0)+JUEVES!O179,JUEVES!O179)*JUEVES!P179,IF(JUEVES!C179="peso_corporal",IF(ISNUMBER(JUEVES!E179),JUEVES!E179,0)+JUEVES!R179,JUEVES!R179)*JUEVES!S179),1),""))</f>
        <v/>
      </c>
      <c r="K428" s="51" t="str">
        <f>IF(P428="","",IFERROR(ROUND(CHOOSE(VALUE(RIGHT(P428,1)),(IF(JUEVES!C179="peso_corporal",IF(ISNUMBER(JUEVES!E179),JUEVES!E179,0)+JUEVES!F179,JUEVES!F179))*(1+JUEVES!G179/30),(IF(JUEVES!C179="peso_corporal",IF(ISNUMBER(JUEVES!E179),JUEVES!E179,0)+JUEVES!I179,JUEVES!I179))*(1+JUEVES!J179/30),(IF(JUEVES!C179="peso_corporal",IF(ISNUMBER(JUEVES!E179),JUEVES!E179,0)+JUEVES!L179,JUEVES!L179))*(1+JUEVES!M179/30),(IF(JUEVES!C179="peso_corporal",IF(ISNUMBER(JUEVES!E179),JUEVES!E179,0)+JUEVES!O179,JUEVES!O179))*(1+JUEVES!P179/30),(IF(JUEVES!C179="peso_corporal",IF(ISNUMBER(JUEVES!E179),JUEVES!E179,0)+JUEVES!R179,JUEVES!R179))*(1+JUEVES!S179/30)),1),""))</f>
        <v/>
      </c>
      <c r="L428" s="52">
        <f>IFERROR(JUEVES!E179,"")</f>
        <v>80</v>
      </c>
      <c r="M428" s="53" t="str">
        <f>IFERROR(IF(K428="","-",IF(ISNUMBER(LOOKUP(2,1/((HISTORIAL!$O$3:$O$427=O428)*(HISTORIAL!$F$3:$F$427&lt;&gt;"")),HISTORIAL!$K$3:$K$427)),IF(K428&gt;LOOKUP(2,1/((HISTORIAL!$O$3:$O$427=O428)*(HISTORIAL!$F$3:$F$427&lt;&gt;"")),HISTORIAL!$K$3:$K$427),"^",IF(K428&lt;LOOKUP(2,1/((HISTORIAL!$O$3:$O$427=O428)*(HISTORIAL!$F$3:$F$427&lt;&gt;"")),HISTORIAL!$K$3:$K$427),"v","-")),"-")),"-")</f>
        <v>-</v>
      </c>
      <c r="N428" s="54" t="str">
        <f>IFERROR(VLOOKUP(A428,CONFIG!$A$10:$B$21,2,0),"")</f>
        <v>HIP</v>
      </c>
      <c r="O428" s="55" t="str">
        <f t="shared" si="13"/>
        <v>Extension Cuadriceps|Vasto Interno</v>
      </c>
      <c r="P428" s="69" t="str">
        <f>JUEVES!AC179</f>
        <v/>
      </c>
    </row>
    <row r="429" spans="1:16" ht="14.1" customHeight="1">
      <c r="A429" s="37">
        <v>7</v>
      </c>
      <c r="B429" s="37" t="s">
        <v>280</v>
      </c>
      <c r="C429" s="44" t="str">
        <f>JUEVES!$A$181</f>
        <v>Curl Biceps</v>
      </c>
      <c r="D429" s="45" t="str">
        <f>JUEVES!$B$181</f>
        <v>Concentrado Maquina</v>
      </c>
      <c r="E429" s="37" t="str">
        <f>JUEVES!$C$181</f>
        <v>polea</v>
      </c>
      <c r="F429" s="46" t="str">
        <f>IF(P429="","",IFERROR(CHOOSE(VALUE(RIGHT(P429,1)),JUEVES!F181,JUEVES!I181,JUEVES!L181,JUEVES!O181,JUEVES!R181),""))</f>
        <v/>
      </c>
      <c r="G429" s="47" t="str">
        <f>IF(P429="","",IFERROR(CHOOSE(VALUE(RIGHT(P429,1)),JUEVES!G181,JUEVES!J181,JUEVES!M181,JUEVES!P181,JUEVES!S181),""))</f>
        <v/>
      </c>
      <c r="H429" s="48" t="str">
        <f>IF(P429="","",IFERROR(CHOOSE(VALUE(RIGHT(P429,1)),JUEVES!H181,JUEVES!K181,JUEVES!N181,JUEVES!Q181,JUEVES!T181),""))</f>
        <v/>
      </c>
      <c r="I429" s="49" t="str">
        <f t="shared" si="12"/>
        <v/>
      </c>
      <c r="J429" s="50" t="str">
        <f>IF(P429="","",IFERROR(ROUND(CHOOSE(VALUE(RIGHT(P429,1)),IF(JUEVES!C181="peso_corporal",IF(ISNUMBER(JUEVES!E181),JUEVES!E181,0)+JUEVES!F181,JUEVES!F181)*JUEVES!G181,IF(JUEVES!C181="peso_corporal",IF(ISNUMBER(JUEVES!E181),JUEVES!E181,0)+JUEVES!I181,JUEVES!I181)*JUEVES!J181,IF(JUEVES!C181="peso_corporal",IF(ISNUMBER(JUEVES!E181),JUEVES!E181,0)+JUEVES!L181,JUEVES!L181)*JUEVES!M181,IF(JUEVES!C181="peso_corporal",IF(ISNUMBER(JUEVES!E181),JUEVES!E181,0)+JUEVES!O181,JUEVES!O181)*JUEVES!P181,IF(JUEVES!C181="peso_corporal",IF(ISNUMBER(JUEVES!E181),JUEVES!E181,0)+JUEVES!R181,JUEVES!R181)*JUEVES!S181),1),""))</f>
        <v/>
      </c>
      <c r="K429" s="51" t="str">
        <f>IF(P429="","",IFERROR(ROUND(CHOOSE(VALUE(RIGHT(P429,1)),(IF(JUEVES!C181="peso_corporal",IF(ISNUMBER(JUEVES!E181),JUEVES!E181,0)+JUEVES!F181,JUEVES!F181))*(1+JUEVES!G181/30),(IF(JUEVES!C181="peso_corporal",IF(ISNUMBER(JUEVES!E181),JUEVES!E181,0)+JUEVES!I181,JUEVES!I181))*(1+JUEVES!J181/30),(IF(JUEVES!C181="peso_corporal",IF(ISNUMBER(JUEVES!E181),JUEVES!E181,0)+JUEVES!L181,JUEVES!L181))*(1+JUEVES!M181/30),(IF(JUEVES!C181="peso_corporal",IF(ISNUMBER(JUEVES!E181),JUEVES!E181,0)+JUEVES!O181,JUEVES!O181))*(1+JUEVES!P181/30),(IF(JUEVES!C181="peso_corporal",IF(ISNUMBER(JUEVES!E181),JUEVES!E181,0)+JUEVES!R181,JUEVES!R181))*(1+JUEVES!S181/30)),1),""))</f>
        <v/>
      </c>
      <c r="L429" s="52">
        <f>IFERROR(JUEVES!E181,"")</f>
        <v>80</v>
      </c>
      <c r="M429" s="53" t="str">
        <f>IFERROR(IF(K429="","-",IF(ISNUMBER(LOOKUP(2,1/((HISTORIAL!$O$3:$O$428=O429)*(HISTORIAL!$F$3:$F$428&lt;&gt;"")),HISTORIAL!$K$3:$K$428)),IF(K429&gt;LOOKUP(2,1/((HISTORIAL!$O$3:$O$428=O429)*(HISTORIAL!$F$3:$F$428&lt;&gt;"")),HISTORIAL!$K$3:$K$428),"^",IF(K429&lt;LOOKUP(2,1/((HISTORIAL!$O$3:$O$428=O429)*(HISTORIAL!$F$3:$F$428&lt;&gt;"")),HISTORIAL!$K$3:$K$428),"v","-")),"-")),"-")</f>
        <v>-</v>
      </c>
      <c r="N429" s="54" t="str">
        <f>IFERROR(VLOOKUP(A429,CONFIG!$A$10:$B$21,2,0),"")</f>
        <v>HIP</v>
      </c>
      <c r="O429" s="55" t="str">
        <f t="shared" si="13"/>
        <v>Curl Biceps|Concentrado Maquina</v>
      </c>
      <c r="P429" s="69" t="str">
        <f>JUEVES!AC181</f>
        <v/>
      </c>
    </row>
    <row r="430" spans="1:16" ht="14.1" customHeight="1">
      <c r="A430" s="37">
        <v>7</v>
      </c>
      <c r="B430" s="37" t="s">
        <v>280</v>
      </c>
      <c r="C430" s="44" t="str">
        <f>JUEVES!$A$183</f>
        <v>Crunch</v>
      </c>
      <c r="D430" s="45" t="str">
        <f>JUEVES!$B$183</f>
        <v>Polea</v>
      </c>
      <c r="E430" s="37" t="str">
        <f>JUEVES!$C$183</f>
        <v>polea</v>
      </c>
      <c r="F430" s="46" t="str">
        <f>IF(P430="","",IFERROR(CHOOSE(VALUE(RIGHT(P430,1)),JUEVES!F183,JUEVES!I183,JUEVES!L183,JUEVES!O183,JUEVES!R183),""))</f>
        <v/>
      </c>
      <c r="G430" s="47" t="str">
        <f>IF(P430="","",IFERROR(CHOOSE(VALUE(RIGHT(P430,1)),JUEVES!G183,JUEVES!J183,JUEVES!M183,JUEVES!P183,JUEVES!S183),""))</f>
        <v/>
      </c>
      <c r="H430" s="48" t="str">
        <f>IF(P430="","",IFERROR(CHOOSE(VALUE(RIGHT(P430,1)),JUEVES!H183,JUEVES!K183,JUEVES!N183,JUEVES!Q183,JUEVES!T183),""))</f>
        <v/>
      </c>
      <c r="I430" s="49" t="str">
        <f t="shared" si="12"/>
        <v/>
      </c>
      <c r="J430" s="50" t="str">
        <f>IF(P430="","",IFERROR(ROUND(CHOOSE(VALUE(RIGHT(P430,1)),IF(JUEVES!C183="peso_corporal",IF(ISNUMBER(JUEVES!E183),JUEVES!E183,0)+JUEVES!F183,JUEVES!F183)*JUEVES!G183,IF(JUEVES!C183="peso_corporal",IF(ISNUMBER(JUEVES!E183),JUEVES!E183,0)+JUEVES!I183,JUEVES!I183)*JUEVES!J183,IF(JUEVES!C183="peso_corporal",IF(ISNUMBER(JUEVES!E183),JUEVES!E183,0)+JUEVES!L183,JUEVES!L183)*JUEVES!M183,IF(JUEVES!C183="peso_corporal",IF(ISNUMBER(JUEVES!E183),JUEVES!E183,0)+JUEVES!O183,JUEVES!O183)*JUEVES!P183,IF(JUEVES!C183="peso_corporal",IF(ISNUMBER(JUEVES!E183),JUEVES!E183,0)+JUEVES!R183,JUEVES!R183)*JUEVES!S183),1),""))</f>
        <v/>
      </c>
      <c r="K430" s="51" t="str">
        <f>IF(P430="","",IFERROR(ROUND(CHOOSE(VALUE(RIGHT(P430,1)),(IF(JUEVES!C183="peso_corporal",IF(ISNUMBER(JUEVES!E183),JUEVES!E183,0)+JUEVES!F183,JUEVES!F183))*(1+JUEVES!G183/30),(IF(JUEVES!C183="peso_corporal",IF(ISNUMBER(JUEVES!E183),JUEVES!E183,0)+JUEVES!I183,JUEVES!I183))*(1+JUEVES!J183/30),(IF(JUEVES!C183="peso_corporal",IF(ISNUMBER(JUEVES!E183),JUEVES!E183,0)+JUEVES!L183,JUEVES!L183))*(1+JUEVES!M183/30),(IF(JUEVES!C183="peso_corporal",IF(ISNUMBER(JUEVES!E183),JUEVES!E183,0)+JUEVES!O183,JUEVES!O183))*(1+JUEVES!P183/30),(IF(JUEVES!C183="peso_corporal",IF(ISNUMBER(JUEVES!E183),JUEVES!E183,0)+JUEVES!R183,JUEVES!R183))*(1+JUEVES!S183/30)),1),""))</f>
        <v/>
      </c>
      <c r="L430" s="52">
        <f>IFERROR(JUEVES!E183,"")</f>
        <v>80</v>
      </c>
      <c r="M430" s="53" t="str">
        <f>IFERROR(IF(K430="","-",IF(ISNUMBER(LOOKUP(2,1/((HISTORIAL!$O$3:$O$429=O430)*(HISTORIAL!$F$3:$F$429&lt;&gt;"")),HISTORIAL!$K$3:$K$429)),IF(K430&gt;LOOKUP(2,1/((HISTORIAL!$O$3:$O$429=O430)*(HISTORIAL!$F$3:$F$429&lt;&gt;"")),HISTORIAL!$K$3:$K$429),"^",IF(K430&lt;LOOKUP(2,1/((HISTORIAL!$O$3:$O$429=O430)*(HISTORIAL!$F$3:$F$429&lt;&gt;"")),HISTORIAL!$K$3:$K$429),"v","-")),"-")),"-")</f>
        <v>-</v>
      </c>
      <c r="N430" s="54" t="str">
        <f>IFERROR(VLOOKUP(A430,CONFIG!$A$10:$B$21,2,0),"")</f>
        <v>HIP</v>
      </c>
      <c r="O430" s="55" t="str">
        <f t="shared" si="13"/>
        <v>Crunch|Polea</v>
      </c>
      <c r="P430" s="69" t="str">
        <f>JUEVES!AC183</f>
        <v/>
      </c>
    </row>
    <row r="431" spans="1:16" ht="14.1" customHeight="1">
      <c r="A431" s="37">
        <v>7</v>
      </c>
      <c r="B431" s="37" t="s">
        <v>281</v>
      </c>
      <c r="C431" s="44" t="str">
        <f>SABADO!$A$157</f>
        <v>Pulldown</v>
      </c>
      <c r="D431" s="45" t="str">
        <f>SABADO!$B$157</f>
        <v>Polea Alta Brazos Rectos Prono</v>
      </c>
      <c r="E431" s="37" t="str">
        <f>SABADO!$C$157</f>
        <v>polea</v>
      </c>
      <c r="F431" s="46" t="str">
        <f>IF(P431="","",IFERROR(CHOOSE(VALUE(RIGHT(P431,1)),SABADO!F157,SABADO!I157,SABADO!L157,SABADO!O157,SABADO!R157),""))</f>
        <v/>
      </c>
      <c r="G431" s="47" t="str">
        <f>IF(P431="","",IFERROR(CHOOSE(VALUE(RIGHT(P431,1)),SABADO!G157,SABADO!J157,SABADO!M157,SABADO!P157,SABADO!S157),""))</f>
        <v/>
      </c>
      <c r="H431" s="48" t="str">
        <f>IF(P431="","",IFERROR(CHOOSE(VALUE(RIGHT(P431,1)),SABADO!H157,SABADO!K157,SABADO!N157,SABADO!Q157,SABADO!T157),""))</f>
        <v/>
      </c>
      <c r="I431" s="49" t="str">
        <f t="shared" si="12"/>
        <v/>
      </c>
      <c r="J431" s="50" t="str">
        <f>IF(P431="","",IFERROR(ROUND(CHOOSE(VALUE(RIGHT(P431,1)),IF(SABADO!C157="peso_corporal",IF(ISNUMBER(SABADO!E157),SABADO!E157,0)+SABADO!F157,SABADO!F157)*SABADO!G157,IF(SABADO!C157="peso_corporal",IF(ISNUMBER(SABADO!E157),SABADO!E157,0)+SABADO!I157,SABADO!I157)*SABADO!J157,IF(SABADO!C157="peso_corporal",IF(ISNUMBER(SABADO!E157),SABADO!E157,0)+SABADO!L157,SABADO!L157)*SABADO!M157,IF(SABADO!C157="peso_corporal",IF(ISNUMBER(SABADO!E157),SABADO!E157,0)+SABADO!O157,SABADO!O157)*SABADO!P157,IF(SABADO!C157="peso_corporal",IF(ISNUMBER(SABADO!E157),SABADO!E157,0)+SABADO!R157,SABADO!R157)*SABADO!S157),1),""))</f>
        <v/>
      </c>
      <c r="K431" s="51" t="str">
        <f>IF(P431="","",IFERROR(ROUND(CHOOSE(VALUE(RIGHT(P431,1)),(IF(SABADO!C157="peso_corporal",IF(ISNUMBER(SABADO!E157),SABADO!E157,0)+SABADO!F157,SABADO!F157))*(1+SABADO!G157/30),(IF(SABADO!C157="peso_corporal",IF(ISNUMBER(SABADO!E157),SABADO!E157,0)+SABADO!I157,SABADO!I157))*(1+SABADO!J157/30),(IF(SABADO!C157="peso_corporal",IF(ISNUMBER(SABADO!E157),SABADO!E157,0)+SABADO!L157,SABADO!L157))*(1+SABADO!M157/30),(IF(SABADO!C157="peso_corporal",IF(ISNUMBER(SABADO!E157),SABADO!E157,0)+SABADO!O157,SABADO!O157))*(1+SABADO!P157/30),(IF(SABADO!C157="peso_corporal",IF(ISNUMBER(SABADO!E157),SABADO!E157,0)+SABADO!R157,SABADO!R157))*(1+SABADO!S157/30)),1),""))</f>
        <v/>
      </c>
      <c r="L431" s="52">
        <f>IFERROR(SABADO!E157,"")</f>
        <v>80</v>
      </c>
      <c r="M431" s="53" t="str">
        <f>IFERROR(IF(K431="","-",IF(ISNUMBER(LOOKUP(2,1/((HISTORIAL!$O$3:$O$430=O431)*(HISTORIAL!$F$3:$F$430&lt;&gt;"")),HISTORIAL!$K$3:$K$430)),IF(K431&gt;LOOKUP(2,1/((HISTORIAL!$O$3:$O$430=O431)*(HISTORIAL!$F$3:$F$430&lt;&gt;"")),HISTORIAL!$K$3:$K$430),"^",IF(K431&lt;LOOKUP(2,1/((HISTORIAL!$O$3:$O$430=O431)*(HISTORIAL!$F$3:$F$430&lt;&gt;"")),HISTORIAL!$K$3:$K$430),"v","-")),"-")),"-")</f>
        <v>-</v>
      </c>
      <c r="N431" s="54" t="str">
        <f>IFERROR(VLOOKUP(A431,CONFIG!$A$10:$B$21,2,0),"")</f>
        <v>HIP</v>
      </c>
      <c r="O431" s="55" t="str">
        <f t="shared" si="13"/>
        <v>Pulldown|Polea Alta Brazos Rectos Prono</v>
      </c>
      <c r="P431" s="69" t="str">
        <f>SABADO!AC157</f>
        <v/>
      </c>
    </row>
    <row r="432" spans="1:16" ht="14.1" customHeight="1">
      <c r="A432" s="37">
        <v>7</v>
      </c>
      <c r="B432" s="37" t="s">
        <v>281</v>
      </c>
      <c r="C432" s="44" t="str">
        <f>SABADO!$A$159</f>
        <v>Remo</v>
      </c>
      <c r="D432" s="45" t="str">
        <f>SABADO!$B$159</f>
        <v>Maquina Neutro Estrecho</v>
      </c>
      <c r="E432" s="37" t="str">
        <f>SABADO!$C$159</f>
        <v>polea</v>
      </c>
      <c r="F432" s="46" t="str">
        <f>IF(P432="","",IFERROR(CHOOSE(VALUE(RIGHT(P432,1)),SABADO!F159,SABADO!I159,SABADO!L159,SABADO!O159,SABADO!R159),""))</f>
        <v/>
      </c>
      <c r="G432" s="47" t="str">
        <f>IF(P432="","",IFERROR(CHOOSE(VALUE(RIGHT(P432,1)),SABADO!G159,SABADO!J159,SABADO!M159,SABADO!P159,SABADO!S159),""))</f>
        <v/>
      </c>
      <c r="H432" s="48" t="str">
        <f>IF(P432="","",IFERROR(CHOOSE(VALUE(RIGHT(P432,1)),SABADO!H159,SABADO!K159,SABADO!N159,SABADO!Q159,SABADO!T159),""))</f>
        <v/>
      </c>
      <c r="I432" s="49" t="str">
        <f t="shared" si="12"/>
        <v/>
      </c>
      <c r="J432" s="50" t="str">
        <f>IF(P432="","",IFERROR(ROUND(CHOOSE(VALUE(RIGHT(P432,1)),IF(SABADO!C159="peso_corporal",IF(ISNUMBER(SABADO!E159),SABADO!E159,0)+SABADO!F159,SABADO!F159)*SABADO!G159,IF(SABADO!C159="peso_corporal",IF(ISNUMBER(SABADO!E159),SABADO!E159,0)+SABADO!I159,SABADO!I159)*SABADO!J159,IF(SABADO!C159="peso_corporal",IF(ISNUMBER(SABADO!E159),SABADO!E159,0)+SABADO!L159,SABADO!L159)*SABADO!M159,IF(SABADO!C159="peso_corporal",IF(ISNUMBER(SABADO!E159),SABADO!E159,0)+SABADO!O159,SABADO!O159)*SABADO!P159,IF(SABADO!C159="peso_corporal",IF(ISNUMBER(SABADO!E159),SABADO!E159,0)+SABADO!R159,SABADO!R159)*SABADO!S159),1),""))</f>
        <v/>
      </c>
      <c r="K432" s="51" t="str">
        <f>IF(P432="","",IFERROR(ROUND(CHOOSE(VALUE(RIGHT(P432,1)),(IF(SABADO!C159="peso_corporal",IF(ISNUMBER(SABADO!E159),SABADO!E159,0)+SABADO!F159,SABADO!F159))*(1+SABADO!G159/30),(IF(SABADO!C159="peso_corporal",IF(ISNUMBER(SABADO!E159),SABADO!E159,0)+SABADO!I159,SABADO!I159))*(1+SABADO!J159/30),(IF(SABADO!C159="peso_corporal",IF(ISNUMBER(SABADO!E159),SABADO!E159,0)+SABADO!L159,SABADO!L159))*(1+SABADO!M159/30),(IF(SABADO!C159="peso_corporal",IF(ISNUMBER(SABADO!E159),SABADO!E159,0)+SABADO!O159,SABADO!O159))*(1+SABADO!P159/30),(IF(SABADO!C159="peso_corporal",IF(ISNUMBER(SABADO!E159),SABADO!E159,0)+SABADO!R159,SABADO!R159))*(1+SABADO!S159/30)),1),""))</f>
        <v/>
      </c>
      <c r="L432" s="52">
        <f>IFERROR(SABADO!E159,"")</f>
        <v>80</v>
      </c>
      <c r="M432" s="53" t="str">
        <f>IFERROR(IF(K432="","-",IF(ISNUMBER(LOOKUP(2,1/((HISTORIAL!$O$3:$O$431=O432)*(HISTORIAL!$F$3:$F$431&lt;&gt;"")),HISTORIAL!$K$3:$K$431)),IF(K432&gt;LOOKUP(2,1/((HISTORIAL!$O$3:$O$431=O432)*(HISTORIAL!$F$3:$F$431&lt;&gt;"")),HISTORIAL!$K$3:$K$431),"^",IF(K432&lt;LOOKUP(2,1/((HISTORIAL!$O$3:$O$431=O432)*(HISTORIAL!$F$3:$F$431&lt;&gt;"")),HISTORIAL!$K$3:$K$431),"v","-")),"-")),"-")</f>
        <v>-</v>
      </c>
      <c r="N432" s="54" t="str">
        <f>IFERROR(VLOOKUP(A432,CONFIG!$A$10:$B$21,2,0),"")</f>
        <v>HIP</v>
      </c>
      <c r="O432" s="55" t="str">
        <f t="shared" si="13"/>
        <v>Remo|Maquina Neutro Estrecho</v>
      </c>
      <c r="P432" s="69" t="str">
        <f>SABADO!AC159</f>
        <v/>
      </c>
    </row>
    <row r="433" spans="1:16" ht="14.1" customHeight="1">
      <c r="A433" s="37">
        <v>7</v>
      </c>
      <c r="B433" s="37" t="s">
        <v>281</v>
      </c>
      <c r="C433" s="44" t="str">
        <f>SABADO!$A$160</f>
        <v>Remo</v>
      </c>
      <c r="D433" s="45" t="str">
        <f>SABADO!$B$160</f>
        <v>Maquina Neutro Ancho</v>
      </c>
      <c r="E433" s="37" t="str">
        <f>SABADO!$C$160</f>
        <v>polea</v>
      </c>
      <c r="F433" s="46" t="str">
        <f>IF(P433="","",IFERROR(CHOOSE(VALUE(RIGHT(P433,1)),SABADO!F160,SABADO!I160,SABADO!L160,SABADO!O160,SABADO!R160),""))</f>
        <v/>
      </c>
      <c r="G433" s="47" t="str">
        <f>IF(P433="","",IFERROR(CHOOSE(VALUE(RIGHT(P433,1)),SABADO!G160,SABADO!J160,SABADO!M160,SABADO!P160,SABADO!S160),""))</f>
        <v/>
      </c>
      <c r="H433" s="48" t="str">
        <f>IF(P433="","",IFERROR(CHOOSE(VALUE(RIGHT(P433,1)),SABADO!H160,SABADO!K160,SABADO!N160,SABADO!Q160,SABADO!T160),""))</f>
        <v/>
      </c>
      <c r="I433" s="49" t="str">
        <f t="shared" si="12"/>
        <v/>
      </c>
      <c r="J433" s="50" t="str">
        <f>IF(P433="","",IFERROR(ROUND(CHOOSE(VALUE(RIGHT(P433,1)),IF(SABADO!C160="peso_corporal",IF(ISNUMBER(SABADO!E160),SABADO!E160,0)+SABADO!F160,SABADO!F160)*SABADO!G160,IF(SABADO!C160="peso_corporal",IF(ISNUMBER(SABADO!E160),SABADO!E160,0)+SABADO!I160,SABADO!I160)*SABADO!J160,IF(SABADO!C160="peso_corporal",IF(ISNUMBER(SABADO!E160),SABADO!E160,0)+SABADO!L160,SABADO!L160)*SABADO!M160,IF(SABADO!C160="peso_corporal",IF(ISNUMBER(SABADO!E160),SABADO!E160,0)+SABADO!O160,SABADO!O160)*SABADO!P160,IF(SABADO!C160="peso_corporal",IF(ISNUMBER(SABADO!E160),SABADO!E160,0)+SABADO!R160,SABADO!R160)*SABADO!S160),1),""))</f>
        <v/>
      </c>
      <c r="K433" s="51" t="str">
        <f>IF(P433="","",IFERROR(ROUND(CHOOSE(VALUE(RIGHT(P433,1)),(IF(SABADO!C160="peso_corporal",IF(ISNUMBER(SABADO!E160),SABADO!E160,0)+SABADO!F160,SABADO!F160))*(1+SABADO!G160/30),(IF(SABADO!C160="peso_corporal",IF(ISNUMBER(SABADO!E160),SABADO!E160,0)+SABADO!I160,SABADO!I160))*(1+SABADO!J160/30),(IF(SABADO!C160="peso_corporal",IF(ISNUMBER(SABADO!E160),SABADO!E160,0)+SABADO!L160,SABADO!L160))*(1+SABADO!M160/30),(IF(SABADO!C160="peso_corporal",IF(ISNUMBER(SABADO!E160),SABADO!E160,0)+SABADO!O160,SABADO!O160))*(1+SABADO!P160/30),(IF(SABADO!C160="peso_corporal",IF(ISNUMBER(SABADO!E160),SABADO!E160,0)+SABADO!R160,SABADO!R160))*(1+SABADO!S160/30)),1),""))</f>
        <v/>
      </c>
      <c r="L433" s="52">
        <f>IFERROR(SABADO!E160,"")</f>
        <v>80</v>
      </c>
      <c r="M433" s="53" t="str">
        <f>IFERROR(IF(K433="","-",IF(ISNUMBER(LOOKUP(2,1/((HISTORIAL!$O$3:$O$432=O433)*(HISTORIAL!$F$3:$F$432&lt;&gt;"")),HISTORIAL!$K$3:$K$432)),IF(K433&gt;LOOKUP(2,1/((HISTORIAL!$O$3:$O$432=O433)*(HISTORIAL!$F$3:$F$432&lt;&gt;"")),HISTORIAL!$K$3:$K$432),"^",IF(K433&lt;LOOKUP(2,1/((HISTORIAL!$O$3:$O$432=O433)*(HISTORIAL!$F$3:$F$432&lt;&gt;"")),HISTORIAL!$K$3:$K$432),"v","-")),"-")),"-")</f>
        <v>-</v>
      </c>
      <c r="N433" s="54" t="str">
        <f>IFERROR(VLOOKUP(A433,CONFIG!$A$10:$B$21,2,0),"")</f>
        <v>HIP</v>
      </c>
      <c r="O433" s="55" t="str">
        <f t="shared" si="13"/>
        <v>Remo|Maquina Neutro Ancho</v>
      </c>
      <c r="P433" s="69" t="str">
        <f>SABADO!AC160</f>
        <v/>
      </c>
    </row>
    <row r="434" spans="1:16" ht="14.1" customHeight="1">
      <c r="A434" s="37">
        <v>7</v>
      </c>
      <c r="B434" s="37" t="s">
        <v>281</v>
      </c>
      <c r="C434" s="44" t="str">
        <f>SABADO!$A$161</f>
        <v>Peck Deck Invertida</v>
      </c>
      <c r="D434" s="45" t="str">
        <f>SABADO!$B$161</f>
        <v>Maquina</v>
      </c>
      <c r="E434" s="37" t="str">
        <f>SABADO!$C$161</f>
        <v>polea</v>
      </c>
      <c r="F434" s="46" t="str">
        <f>IF(P434="","",IFERROR(CHOOSE(VALUE(RIGHT(P434,1)),SABADO!F161,SABADO!I161,SABADO!L161,SABADO!O161,SABADO!R161),""))</f>
        <v/>
      </c>
      <c r="G434" s="47" t="str">
        <f>IF(P434="","",IFERROR(CHOOSE(VALUE(RIGHT(P434,1)),SABADO!G161,SABADO!J161,SABADO!M161,SABADO!P161,SABADO!S161),""))</f>
        <v/>
      </c>
      <c r="H434" s="48" t="str">
        <f>IF(P434="","",IFERROR(CHOOSE(VALUE(RIGHT(P434,1)),SABADO!H161,SABADO!K161,SABADO!N161,SABADO!Q161,SABADO!T161),""))</f>
        <v/>
      </c>
      <c r="I434" s="49" t="str">
        <f t="shared" si="12"/>
        <v/>
      </c>
      <c r="J434" s="50" t="str">
        <f>IF(P434="","",IFERROR(ROUND(CHOOSE(VALUE(RIGHT(P434,1)),IF(SABADO!C161="peso_corporal",IF(ISNUMBER(SABADO!E161),SABADO!E161,0)+SABADO!F161,SABADO!F161)*SABADO!G161,IF(SABADO!C161="peso_corporal",IF(ISNUMBER(SABADO!E161),SABADO!E161,0)+SABADO!I161,SABADO!I161)*SABADO!J161,IF(SABADO!C161="peso_corporal",IF(ISNUMBER(SABADO!E161),SABADO!E161,0)+SABADO!L161,SABADO!L161)*SABADO!M161,IF(SABADO!C161="peso_corporal",IF(ISNUMBER(SABADO!E161),SABADO!E161,0)+SABADO!O161,SABADO!O161)*SABADO!P161,IF(SABADO!C161="peso_corporal",IF(ISNUMBER(SABADO!E161),SABADO!E161,0)+SABADO!R161,SABADO!R161)*SABADO!S161),1),""))</f>
        <v/>
      </c>
      <c r="K434" s="51" t="str">
        <f>IF(P434="","",IFERROR(ROUND(CHOOSE(VALUE(RIGHT(P434,1)),(IF(SABADO!C161="peso_corporal",IF(ISNUMBER(SABADO!E161),SABADO!E161,0)+SABADO!F161,SABADO!F161))*(1+SABADO!G161/30),(IF(SABADO!C161="peso_corporal",IF(ISNUMBER(SABADO!E161),SABADO!E161,0)+SABADO!I161,SABADO!I161))*(1+SABADO!J161/30),(IF(SABADO!C161="peso_corporal",IF(ISNUMBER(SABADO!E161),SABADO!E161,0)+SABADO!L161,SABADO!L161))*(1+SABADO!M161/30),(IF(SABADO!C161="peso_corporal",IF(ISNUMBER(SABADO!E161),SABADO!E161,0)+SABADO!O161,SABADO!O161))*(1+SABADO!P161/30),(IF(SABADO!C161="peso_corporal",IF(ISNUMBER(SABADO!E161),SABADO!E161,0)+SABADO!R161,SABADO!R161))*(1+SABADO!S161/30)),1),""))</f>
        <v/>
      </c>
      <c r="L434" s="52">
        <f>IFERROR(SABADO!E161,"")</f>
        <v>80</v>
      </c>
      <c r="M434" s="53" t="str">
        <f>IFERROR(IF(K434="","-",IF(ISNUMBER(LOOKUP(2,1/((HISTORIAL!$O$3:$O$433=O434)*(HISTORIAL!$F$3:$F$433&lt;&gt;"")),HISTORIAL!$K$3:$K$433)),IF(K434&gt;LOOKUP(2,1/((HISTORIAL!$O$3:$O$433=O434)*(HISTORIAL!$F$3:$F$433&lt;&gt;"")),HISTORIAL!$K$3:$K$433),"^",IF(K434&lt;LOOKUP(2,1/((HISTORIAL!$O$3:$O$433=O434)*(HISTORIAL!$F$3:$F$433&lt;&gt;"")),HISTORIAL!$K$3:$K$433),"v","-")),"-")),"-")</f>
        <v>-</v>
      </c>
      <c r="N434" s="54" t="str">
        <f>IFERROR(VLOOKUP(A434,CONFIG!$A$10:$B$21,2,0),"")</f>
        <v>HIP</v>
      </c>
      <c r="O434" s="55" t="str">
        <f t="shared" si="13"/>
        <v>Peck Deck Invertida|Maquina</v>
      </c>
      <c r="P434" s="69" t="str">
        <f>SABADO!AC161</f>
        <v/>
      </c>
    </row>
    <row r="435" spans="1:16" ht="14.1" customHeight="1">
      <c r="A435" s="37">
        <v>7</v>
      </c>
      <c r="B435" s="37" t="s">
        <v>281</v>
      </c>
      <c r="C435" s="44" t="str">
        <f>SABADO!$A$163</f>
        <v>Curl Biceps</v>
      </c>
      <c r="D435" s="45" t="str">
        <f>SABADO!$B$163</f>
        <v>Concentrado Maquina</v>
      </c>
      <c r="E435" s="37" t="str">
        <f>SABADO!$C$163</f>
        <v>polea</v>
      </c>
      <c r="F435" s="46" t="str">
        <f>IF(P435="","",IFERROR(CHOOSE(VALUE(RIGHT(P435,1)),SABADO!F163,SABADO!I163,SABADO!L163,SABADO!O163,SABADO!R163),""))</f>
        <v/>
      </c>
      <c r="G435" s="47" t="str">
        <f>IF(P435="","",IFERROR(CHOOSE(VALUE(RIGHT(P435,1)),SABADO!G163,SABADO!J163,SABADO!M163,SABADO!P163,SABADO!S163),""))</f>
        <v/>
      </c>
      <c r="H435" s="48" t="str">
        <f>IF(P435="","",IFERROR(CHOOSE(VALUE(RIGHT(P435,1)),SABADO!H163,SABADO!K163,SABADO!N163,SABADO!Q163,SABADO!T163),""))</f>
        <v/>
      </c>
      <c r="I435" s="49" t="str">
        <f t="shared" si="12"/>
        <v/>
      </c>
      <c r="J435" s="50" t="str">
        <f>IF(P435="","",IFERROR(ROUND(CHOOSE(VALUE(RIGHT(P435,1)),IF(SABADO!C163="peso_corporal",IF(ISNUMBER(SABADO!E163),SABADO!E163,0)+SABADO!F163,SABADO!F163)*SABADO!G163,IF(SABADO!C163="peso_corporal",IF(ISNUMBER(SABADO!E163),SABADO!E163,0)+SABADO!I163,SABADO!I163)*SABADO!J163,IF(SABADO!C163="peso_corporal",IF(ISNUMBER(SABADO!E163),SABADO!E163,0)+SABADO!L163,SABADO!L163)*SABADO!M163,IF(SABADO!C163="peso_corporal",IF(ISNUMBER(SABADO!E163),SABADO!E163,0)+SABADO!O163,SABADO!O163)*SABADO!P163,IF(SABADO!C163="peso_corporal",IF(ISNUMBER(SABADO!E163),SABADO!E163,0)+SABADO!R163,SABADO!R163)*SABADO!S163),1),""))</f>
        <v/>
      </c>
      <c r="K435" s="51" t="str">
        <f>IF(P435="","",IFERROR(ROUND(CHOOSE(VALUE(RIGHT(P435,1)),(IF(SABADO!C163="peso_corporal",IF(ISNUMBER(SABADO!E163),SABADO!E163,0)+SABADO!F163,SABADO!F163))*(1+SABADO!G163/30),(IF(SABADO!C163="peso_corporal",IF(ISNUMBER(SABADO!E163),SABADO!E163,0)+SABADO!I163,SABADO!I163))*(1+SABADO!J163/30),(IF(SABADO!C163="peso_corporal",IF(ISNUMBER(SABADO!E163),SABADO!E163,0)+SABADO!L163,SABADO!L163))*(1+SABADO!M163/30),(IF(SABADO!C163="peso_corporal",IF(ISNUMBER(SABADO!E163),SABADO!E163,0)+SABADO!O163,SABADO!O163))*(1+SABADO!P163/30),(IF(SABADO!C163="peso_corporal",IF(ISNUMBER(SABADO!E163),SABADO!E163,0)+SABADO!R163,SABADO!R163))*(1+SABADO!S163/30)),1),""))</f>
        <v/>
      </c>
      <c r="L435" s="52">
        <f>IFERROR(SABADO!E163,"")</f>
        <v>80</v>
      </c>
      <c r="M435" s="53" t="str">
        <f>IFERROR(IF(K435="","-",IF(ISNUMBER(LOOKUP(2,1/((HISTORIAL!$O$3:$O$434=O435)*(HISTORIAL!$F$3:$F$434&lt;&gt;"")),HISTORIAL!$K$3:$K$434)),IF(K435&gt;LOOKUP(2,1/((HISTORIAL!$O$3:$O$434=O435)*(HISTORIAL!$F$3:$F$434&lt;&gt;"")),HISTORIAL!$K$3:$K$434),"^",IF(K435&lt;LOOKUP(2,1/((HISTORIAL!$O$3:$O$434=O435)*(HISTORIAL!$F$3:$F$434&lt;&gt;"")),HISTORIAL!$K$3:$K$434),"v","-")),"-")),"-")</f>
        <v>-</v>
      </c>
      <c r="N435" s="54" t="str">
        <f>IFERROR(VLOOKUP(A435,CONFIG!$A$10:$B$21,2,0),"")</f>
        <v>HIP</v>
      </c>
      <c r="O435" s="55" t="str">
        <f t="shared" si="13"/>
        <v>Curl Biceps|Concentrado Maquina</v>
      </c>
      <c r="P435" s="69" t="str">
        <f>SABADO!AC163</f>
        <v/>
      </c>
    </row>
    <row r="436" spans="1:16" ht="14.1" customHeight="1">
      <c r="A436" s="37">
        <v>7</v>
      </c>
      <c r="B436" s="37" t="s">
        <v>281</v>
      </c>
      <c r="C436" s="44" t="str">
        <f>SABADO!$A$164</f>
        <v>Curl Martillo</v>
      </c>
      <c r="D436" s="45" t="str">
        <f>SABADO!$B$164</f>
        <v>Polea Individual</v>
      </c>
      <c r="E436" s="37" t="str">
        <f>SABADO!$C$164</f>
        <v>polea</v>
      </c>
      <c r="F436" s="46" t="str">
        <f>IF(P436="","",IFERROR(CHOOSE(VALUE(RIGHT(P436,1)),SABADO!F164,SABADO!I164,SABADO!L164,SABADO!O164,SABADO!R164),""))</f>
        <v/>
      </c>
      <c r="G436" s="47" t="str">
        <f>IF(P436="","",IFERROR(CHOOSE(VALUE(RIGHT(P436,1)),SABADO!G164,SABADO!J164,SABADO!M164,SABADO!P164,SABADO!S164),""))</f>
        <v/>
      </c>
      <c r="H436" s="48" t="str">
        <f>IF(P436="","",IFERROR(CHOOSE(VALUE(RIGHT(P436,1)),SABADO!H164,SABADO!K164,SABADO!N164,SABADO!Q164,SABADO!T164),""))</f>
        <v/>
      </c>
      <c r="I436" s="49" t="str">
        <f t="shared" si="12"/>
        <v/>
      </c>
      <c r="J436" s="50" t="str">
        <f>IF(P436="","",IFERROR(ROUND(CHOOSE(VALUE(RIGHT(P436,1)),IF(SABADO!C164="peso_corporal",IF(ISNUMBER(SABADO!E164),SABADO!E164,0)+SABADO!F164,SABADO!F164)*SABADO!G164,IF(SABADO!C164="peso_corporal",IF(ISNUMBER(SABADO!E164),SABADO!E164,0)+SABADO!I164,SABADO!I164)*SABADO!J164,IF(SABADO!C164="peso_corporal",IF(ISNUMBER(SABADO!E164),SABADO!E164,0)+SABADO!L164,SABADO!L164)*SABADO!M164,IF(SABADO!C164="peso_corporal",IF(ISNUMBER(SABADO!E164),SABADO!E164,0)+SABADO!O164,SABADO!O164)*SABADO!P164,IF(SABADO!C164="peso_corporal",IF(ISNUMBER(SABADO!E164),SABADO!E164,0)+SABADO!R164,SABADO!R164)*SABADO!S164),1),""))</f>
        <v/>
      </c>
      <c r="K436" s="51" t="str">
        <f>IF(P436="","",IFERROR(ROUND(CHOOSE(VALUE(RIGHT(P436,1)),(IF(SABADO!C164="peso_corporal",IF(ISNUMBER(SABADO!E164),SABADO!E164,0)+SABADO!F164,SABADO!F164))*(1+SABADO!G164/30),(IF(SABADO!C164="peso_corporal",IF(ISNUMBER(SABADO!E164),SABADO!E164,0)+SABADO!I164,SABADO!I164))*(1+SABADO!J164/30),(IF(SABADO!C164="peso_corporal",IF(ISNUMBER(SABADO!E164),SABADO!E164,0)+SABADO!L164,SABADO!L164))*(1+SABADO!M164/30),(IF(SABADO!C164="peso_corporal",IF(ISNUMBER(SABADO!E164),SABADO!E164,0)+SABADO!O164,SABADO!O164))*(1+SABADO!P164/30),(IF(SABADO!C164="peso_corporal",IF(ISNUMBER(SABADO!E164),SABADO!E164,0)+SABADO!R164,SABADO!R164))*(1+SABADO!S164/30)),1),""))</f>
        <v/>
      </c>
      <c r="L436" s="52">
        <f>IFERROR(SABADO!E164,"")</f>
        <v>80</v>
      </c>
      <c r="M436" s="53" t="str">
        <f>IFERROR(IF(K436="","-",IF(ISNUMBER(LOOKUP(2,1/((HISTORIAL!$O$3:$O$435=O436)*(HISTORIAL!$F$3:$F$435&lt;&gt;"")),HISTORIAL!$K$3:$K$435)),IF(K436&gt;LOOKUP(2,1/((HISTORIAL!$O$3:$O$435=O436)*(HISTORIAL!$F$3:$F$435&lt;&gt;"")),HISTORIAL!$K$3:$K$435),"^",IF(K436&lt;LOOKUP(2,1/((HISTORIAL!$O$3:$O$435=O436)*(HISTORIAL!$F$3:$F$435&lt;&gt;"")),HISTORIAL!$K$3:$K$435),"v","-")),"-")),"-")</f>
        <v>-</v>
      </c>
      <c r="N436" s="54" t="str">
        <f>IFERROR(VLOOKUP(A436,CONFIG!$A$10:$B$21,2,0),"")</f>
        <v>HIP</v>
      </c>
      <c r="O436" s="55" t="str">
        <f t="shared" si="13"/>
        <v>Curl Martillo|Polea Individual</v>
      </c>
      <c r="P436" s="69" t="str">
        <f>SABADO!AC164</f>
        <v/>
      </c>
    </row>
    <row r="437" spans="1:16" ht="14.1" customHeight="1">
      <c r="A437" s="37">
        <v>7</v>
      </c>
      <c r="B437" s="37" t="s">
        <v>281</v>
      </c>
      <c r="C437" s="44" t="str">
        <f>SABADO!$A$166</f>
        <v>Curl Muneca</v>
      </c>
      <c r="D437" s="45" t="str">
        <f>SABADO!$B$166</f>
        <v>Supinado</v>
      </c>
      <c r="E437" s="37" t="str">
        <f>SABADO!$C$166</f>
        <v>mancuerna</v>
      </c>
      <c r="F437" s="46" t="str">
        <f>IF(P437="","",IFERROR(CHOOSE(VALUE(RIGHT(P437,1)),SABADO!F166,SABADO!I166,SABADO!L166,SABADO!O166,SABADO!R166),""))</f>
        <v/>
      </c>
      <c r="G437" s="47" t="str">
        <f>IF(P437="","",IFERROR(CHOOSE(VALUE(RIGHT(P437,1)),SABADO!G166,SABADO!J166,SABADO!M166,SABADO!P166,SABADO!S166),""))</f>
        <v/>
      </c>
      <c r="H437" s="48" t="str">
        <f>IF(P437="","",IFERROR(CHOOSE(VALUE(RIGHT(P437,1)),SABADO!H166,SABADO!K166,SABADO!N166,SABADO!Q166,SABADO!T166),""))</f>
        <v/>
      </c>
      <c r="I437" s="49" t="str">
        <f t="shared" si="12"/>
        <v/>
      </c>
      <c r="J437" s="50" t="str">
        <f>IF(P437="","",IFERROR(ROUND(CHOOSE(VALUE(RIGHT(P437,1)),IF(SABADO!C166="peso_corporal",IF(ISNUMBER(SABADO!E166),SABADO!E166,0)+SABADO!F166,SABADO!F166)*SABADO!G166,IF(SABADO!C166="peso_corporal",IF(ISNUMBER(SABADO!E166),SABADO!E166,0)+SABADO!I166,SABADO!I166)*SABADO!J166,IF(SABADO!C166="peso_corporal",IF(ISNUMBER(SABADO!E166),SABADO!E166,0)+SABADO!L166,SABADO!L166)*SABADO!M166,IF(SABADO!C166="peso_corporal",IF(ISNUMBER(SABADO!E166),SABADO!E166,0)+SABADO!O166,SABADO!O166)*SABADO!P166,IF(SABADO!C166="peso_corporal",IF(ISNUMBER(SABADO!E166),SABADO!E166,0)+SABADO!R166,SABADO!R166)*SABADO!S166),1),""))</f>
        <v/>
      </c>
      <c r="K437" s="51" t="str">
        <f>IF(P437="","",IFERROR(ROUND(CHOOSE(VALUE(RIGHT(P437,1)),(IF(SABADO!C166="peso_corporal",IF(ISNUMBER(SABADO!E166),SABADO!E166,0)+SABADO!F166,SABADO!F166))*(1+SABADO!G166/30),(IF(SABADO!C166="peso_corporal",IF(ISNUMBER(SABADO!E166),SABADO!E166,0)+SABADO!I166,SABADO!I166))*(1+SABADO!J166/30),(IF(SABADO!C166="peso_corporal",IF(ISNUMBER(SABADO!E166),SABADO!E166,0)+SABADO!L166,SABADO!L166))*(1+SABADO!M166/30),(IF(SABADO!C166="peso_corporal",IF(ISNUMBER(SABADO!E166),SABADO!E166,0)+SABADO!O166,SABADO!O166))*(1+SABADO!P166/30),(IF(SABADO!C166="peso_corporal",IF(ISNUMBER(SABADO!E166),SABADO!E166,0)+SABADO!R166,SABADO!R166))*(1+SABADO!S166/30)),1),""))</f>
        <v/>
      </c>
      <c r="L437" s="52">
        <f>IFERROR(SABADO!E166,"")</f>
        <v>80</v>
      </c>
      <c r="M437" s="53" t="str">
        <f>IFERROR(IF(K437="","-",IF(ISNUMBER(LOOKUP(2,1/((HISTORIAL!$O$3:$O$436=O437)*(HISTORIAL!$F$3:$F$436&lt;&gt;"")),HISTORIAL!$K$3:$K$436)),IF(K437&gt;LOOKUP(2,1/((HISTORIAL!$O$3:$O$436=O437)*(HISTORIAL!$F$3:$F$436&lt;&gt;"")),HISTORIAL!$K$3:$K$436),"^",IF(K437&lt;LOOKUP(2,1/((HISTORIAL!$O$3:$O$436=O437)*(HISTORIAL!$F$3:$F$436&lt;&gt;"")),HISTORIAL!$K$3:$K$436),"v","-")),"-")),"-")</f>
        <v>-</v>
      </c>
      <c r="N437" s="54" t="str">
        <f>IFERROR(VLOOKUP(A437,CONFIG!$A$10:$B$21,2,0),"")</f>
        <v>HIP</v>
      </c>
      <c r="O437" s="55" t="str">
        <f t="shared" si="13"/>
        <v>Curl Muneca|Supinado</v>
      </c>
      <c r="P437" s="69" t="str">
        <f>SABADO!AC166</f>
        <v/>
      </c>
    </row>
    <row r="438" spans="1:16" ht="14.1" customHeight="1">
      <c r="A438" s="37">
        <v>7</v>
      </c>
      <c r="B438" s="37" t="s">
        <v>281</v>
      </c>
      <c r="C438" s="44" t="str">
        <f>SABADO!$A$167</f>
        <v>Curl Muneca</v>
      </c>
      <c r="D438" s="45" t="str">
        <f>SABADO!$B$167</f>
        <v>Pronado</v>
      </c>
      <c r="E438" s="37" t="str">
        <f>SABADO!$C$167</f>
        <v>mancuerna</v>
      </c>
      <c r="F438" s="46" t="str">
        <f>IF(P438="","",IFERROR(CHOOSE(VALUE(RIGHT(P438,1)),SABADO!F167,SABADO!I167,SABADO!L167,SABADO!O167,SABADO!R167),""))</f>
        <v/>
      </c>
      <c r="G438" s="47" t="str">
        <f>IF(P438="","",IFERROR(CHOOSE(VALUE(RIGHT(P438,1)),SABADO!G167,SABADO!J167,SABADO!M167,SABADO!P167,SABADO!S167),""))</f>
        <v/>
      </c>
      <c r="H438" s="48" t="str">
        <f>IF(P438="","",IFERROR(CHOOSE(VALUE(RIGHT(P438,1)),SABADO!H167,SABADO!K167,SABADO!N167,SABADO!Q167,SABADO!T167),""))</f>
        <v/>
      </c>
      <c r="I438" s="49" t="str">
        <f t="shared" si="12"/>
        <v/>
      </c>
      <c r="J438" s="50" t="str">
        <f>IF(P438="","",IFERROR(ROUND(CHOOSE(VALUE(RIGHT(P438,1)),IF(SABADO!C167="peso_corporal",IF(ISNUMBER(SABADO!E167),SABADO!E167,0)+SABADO!F167,SABADO!F167)*SABADO!G167,IF(SABADO!C167="peso_corporal",IF(ISNUMBER(SABADO!E167),SABADO!E167,0)+SABADO!I167,SABADO!I167)*SABADO!J167,IF(SABADO!C167="peso_corporal",IF(ISNUMBER(SABADO!E167),SABADO!E167,0)+SABADO!L167,SABADO!L167)*SABADO!M167,IF(SABADO!C167="peso_corporal",IF(ISNUMBER(SABADO!E167),SABADO!E167,0)+SABADO!O167,SABADO!O167)*SABADO!P167,IF(SABADO!C167="peso_corporal",IF(ISNUMBER(SABADO!E167),SABADO!E167,0)+SABADO!R167,SABADO!R167)*SABADO!S167),1),""))</f>
        <v/>
      </c>
      <c r="K438" s="51" t="str">
        <f>IF(P438="","",IFERROR(ROUND(CHOOSE(VALUE(RIGHT(P438,1)),(IF(SABADO!C167="peso_corporal",IF(ISNUMBER(SABADO!E167),SABADO!E167,0)+SABADO!F167,SABADO!F167))*(1+SABADO!G167/30),(IF(SABADO!C167="peso_corporal",IF(ISNUMBER(SABADO!E167),SABADO!E167,0)+SABADO!I167,SABADO!I167))*(1+SABADO!J167/30),(IF(SABADO!C167="peso_corporal",IF(ISNUMBER(SABADO!E167),SABADO!E167,0)+SABADO!L167,SABADO!L167))*(1+SABADO!M167/30),(IF(SABADO!C167="peso_corporal",IF(ISNUMBER(SABADO!E167),SABADO!E167,0)+SABADO!O167,SABADO!O167))*(1+SABADO!P167/30),(IF(SABADO!C167="peso_corporal",IF(ISNUMBER(SABADO!E167),SABADO!E167,0)+SABADO!R167,SABADO!R167))*(1+SABADO!S167/30)),1),""))</f>
        <v/>
      </c>
      <c r="L438" s="52">
        <f>IFERROR(SABADO!E167,"")</f>
        <v>80</v>
      </c>
      <c r="M438" s="53" t="str">
        <f>IFERROR(IF(K438="","-",IF(ISNUMBER(LOOKUP(2,1/((HISTORIAL!$O$3:$O$437=O438)*(HISTORIAL!$F$3:$F$437&lt;&gt;"")),HISTORIAL!$K$3:$K$437)),IF(K438&gt;LOOKUP(2,1/((HISTORIAL!$O$3:$O$437=O438)*(HISTORIAL!$F$3:$F$437&lt;&gt;"")),HISTORIAL!$K$3:$K$437),"^",IF(K438&lt;LOOKUP(2,1/((HISTORIAL!$O$3:$O$437=O438)*(HISTORIAL!$F$3:$F$437&lt;&gt;"")),HISTORIAL!$K$3:$K$437),"v","-")),"-")),"-")</f>
        <v>-</v>
      </c>
      <c r="N438" s="54" t="str">
        <f>IFERROR(VLOOKUP(A438,CONFIG!$A$10:$B$21,2,0),"")</f>
        <v>HIP</v>
      </c>
      <c r="O438" s="55" t="str">
        <f t="shared" si="13"/>
        <v>Curl Muneca|Pronado</v>
      </c>
      <c r="P438" s="69" t="str">
        <f>SABADO!AC167</f>
        <v/>
      </c>
    </row>
    <row r="439" spans="1:16" ht="14.1" customHeight="1">
      <c r="A439" s="37">
        <v>7</v>
      </c>
      <c r="B439" s="37" t="s">
        <v>281</v>
      </c>
      <c r="C439" s="44" t="str">
        <f>SABADO!$A$169</f>
        <v>Elevaciones Laterales</v>
      </c>
      <c r="D439" s="45" t="str">
        <f>SABADO!$B$169</f>
        <v>Cable Polea Individual</v>
      </c>
      <c r="E439" s="37" t="str">
        <f>SABADO!$C$169</f>
        <v>polea</v>
      </c>
      <c r="F439" s="46" t="str">
        <f>IF(P439="","",IFERROR(CHOOSE(VALUE(RIGHT(P439,1)),SABADO!F169,SABADO!I169,SABADO!L169,SABADO!O169,SABADO!R169),""))</f>
        <v/>
      </c>
      <c r="G439" s="47" t="str">
        <f>IF(P439="","",IFERROR(CHOOSE(VALUE(RIGHT(P439,1)),SABADO!G169,SABADO!J169,SABADO!M169,SABADO!P169,SABADO!S169),""))</f>
        <v/>
      </c>
      <c r="H439" s="48" t="str">
        <f>IF(P439="","",IFERROR(CHOOSE(VALUE(RIGHT(P439,1)),SABADO!H169,SABADO!K169,SABADO!N169,SABADO!Q169,SABADO!T169),""))</f>
        <v/>
      </c>
      <c r="I439" s="49" t="str">
        <f t="shared" si="12"/>
        <v/>
      </c>
      <c r="J439" s="50" t="str">
        <f>IF(P439="","",IFERROR(ROUND(CHOOSE(VALUE(RIGHT(P439,1)),IF(SABADO!C169="peso_corporal",IF(ISNUMBER(SABADO!E169),SABADO!E169,0)+SABADO!F169,SABADO!F169)*SABADO!G169,IF(SABADO!C169="peso_corporal",IF(ISNUMBER(SABADO!E169),SABADO!E169,0)+SABADO!I169,SABADO!I169)*SABADO!J169,IF(SABADO!C169="peso_corporal",IF(ISNUMBER(SABADO!E169),SABADO!E169,0)+SABADO!L169,SABADO!L169)*SABADO!M169,IF(SABADO!C169="peso_corporal",IF(ISNUMBER(SABADO!E169),SABADO!E169,0)+SABADO!O169,SABADO!O169)*SABADO!P169,IF(SABADO!C169="peso_corporal",IF(ISNUMBER(SABADO!E169),SABADO!E169,0)+SABADO!R169,SABADO!R169)*SABADO!S169),1),""))</f>
        <v/>
      </c>
      <c r="K439" s="51" t="str">
        <f>IF(P439="","",IFERROR(ROUND(CHOOSE(VALUE(RIGHT(P439,1)),(IF(SABADO!C169="peso_corporal",IF(ISNUMBER(SABADO!E169),SABADO!E169,0)+SABADO!F169,SABADO!F169))*(1+SABADO!G169/30),(IF(SABADO!C169="peso_corporal",IF(ISNUMBER(SABADO!E169),SABADO!E169,0)+SABADO!I169,SABADO!I169))*(1+SABADO!J169/30),(IF(SABADO!C169="peso_corporal",IF(ISNUMBER(SABADO!E169),SABADO!E169,0)+SABADO!L169,SABADO!L169))*(1+SABADO!M169/30),(IF(SABADO!C169="peso_corporal",IF(ISNUMBER(SABADO!E169),SABADO!E169,0)+SABADO!O169,SABADO!O169))*(1+SABADO!P169/30),(IF(SABADO!C169="peso_corporal",IF(ISNUMBER(SABADO!E169),SABADO!E169,0)+SABADO!R169,SABADO!R169))*(1+SABADO!S169/30)),1),""))</f>
        <v/>
      </c>
      <c r="L439" s="52">
        <f>IFERROR(SABADO!E169,"")</f>
        <v>80</v>
      </c>
      <c r="M439" s="53" t="str">
        <f>IFERROR(IF(K439="","-",IF(ISNUMBER(LOOKUP(2,1/((HISTORIAL!$O$3:$O$438=O439)*(HISTORIAL!$F$3:$F$438&lt;&gt;"")),HISTORIAL!$K$3:$K$438)),IF(K439&gt;LOOKUP(2,1/((HISTORIAL!$O$3:$O$438=O439)*(HISTORIAL!$F$3:$F$438&lt;&gt;"")),HISTORIAL!$K$3:$K$438),"^",IF(K439&lt;LOOKUP(2,1/((HISTORIAL!$O$3:$O$438=O439)*(HISTORIAL!$F$3:$F$438&lt;&gt;"")),HISTORIAL!$K$3:$K$438),"v","-")),"-")),"-")</f>
        <v>-</v>
      </c>
      <c r="N439" s="54" t="str">
        <f>IFERROR(VLOOKUP(A439,CONFIG!$A$10:$B$21,2,0),"")</f>
        <v>HIP</v>
      </c>
      <c r="O439" s="55" t="str">
        <f t="shared" si="13"/>
        <v>Elevaciones Laterales|Cable Polea Individual</v>
      </c>
      <c r="P439" s="69" t="str">
        <f>SABADO!AC169</f>
        <v/>
      </c>
    </row>
    <row r="440" spans="1:16" ht="14.1" customHeight="1">
      <c r="A440" s="37">
        <v>7</v>
      </c>
      <c r="B440" s="37" t="s">
        <v>281</v>
      </c>
      <c r="C440" s="44" t="str">
        <f>SABADO!$A$171</f>
        <v>Encogimientos</v>
      </c>
      <c r="D440" s="45" t="str">
        <f>SABADO!$B$171</f>
        <v>Mancuernas Trapecio</v>
      </c>
      <c r="E440" s="37" t="str">
        <f>SABADO!$C$171</f>
        <v>mancuerna</v>
      </c>
      <c r="F440" s="46" t="str">
        <f>IF(P440="","",IFERROR(CHOOSE(VALUE(RIGHT(P440,1)),SABADO!F171,SABADO!I171,SABADO!L171,SABADO!O171,SABADO!R171),""))</f>
        <v/>
      </c>
      <c r="G440" s="47" t="str">
        <f>IF(P440="","",IFERROR(CHOOSE(VALUE(RIGHT(P440,1)),SABADO!G171,SABADO!J171,SABADO!M171,SABADO!P171,SABADO!S171),""))</f>
        <v/>
      </c>
      <c r="H440" s="48" t="str">
        <f>IF(P440="","",IFERROR(CHOOSE(VALUE(RIGHT(P440,1)),SABADO!H171,SABADO!K171,SABADO!N171,SABADO!Q171,SABADO!T171),""))</f>
        <v/>
      </c>
      <c r="I440" s="49" t="str">
        <f t="shared" si="12"/>
        <v/>
      </c>
      <c r="J440" s="50" t="str">
        <f>IF(P440="","",IFERROR(ROUND(CHOOSE(VALUE(RIGHT(P440,1)),IF(SABADO!C171="peso_corporal",IF(ISNUMBER(SABADO!E171),SABADO!E171,0)+SABADO!F171,SABADO!F171)*SABADO!G171,IF(SABADO!C171="peso_corporal",IF(ISNUMBER(SABADO!E171),SABADO!E171,0)+SABADO!I171,SABADO!I171)*SABADO!J171,IF(SABADO!C171="peso_corporal",IF(ISNUMBER(SABADO!E171),SABADO!E171,0)+SABADO!L171,SABADO!L171)*SABADO!M171,IF(SABADO!C171="peso_corporal",IF(ISNUMBER(SABADO!E171),SABADO!E171,0)+SABADO!O171,SABADO!O171)*SABADO!P171,IF(SABADO!C171="peso_corporal",IF(ISNUMBER(SABADO!E171),SABADO!E171,0)+SABADO!R171,SABADO!R171)*SABADO!S171),1),""))</f>
        <v/>
      </c>
      <c r="K440" s="51" t="str">
        <f>IF(P440="","",IFERROR(ROUND(CHOOSE(VALUE(RIGHT(P440,1)),(IF(SABADO!C171="peso_corporal",IF(ISNUMBER(SABADO!E171),SABADO!E171,0)+SABADO!F171,SABADO!F171))*(1+SABADO!G171/30),(IF(SABADO!C171="peso_corporal",IF(ISNUMBER(SABADO!E171),SABADO!E171,0)+SABADO!I171,SABADO!I171))*(1+SABADO!J171/30),(IF(SABADO!C171="peso_corporal",IF(ISNUMBER(SABADO!E171),SABADO!E171,0)+SABADO!L171,SABADO!L171))*(1+SABADO!M171/30),(IF(SABADO!C171="peso_corporal",IF(ISNUMBER(SABADO!E171),SABADO!E171,0)+SABADO!O171,SABADO!O171))*(1+SABADO!P171/30),(IF(SABADO!C171="peso_corporal",IF(ISNUMBER(SABADO!E171),SABADO!E171,0)+SABADO!R171,SABADO!R171))*(1+SABADO!S171/30)),1),""))</f>
        <v/>
      </c>
      <c r="L440" s="52">
        <f>IFERROR(SABADO!E171,"")</f>
        <v>80</v>
      </c>
      <c r="M440" s="53" t="str">
        <f>IFERROR(IF(K440="","-",IF(ISNUMBER(LOOKUP(2,1/((HISTORIAL!$O$3:$O$439=O440)*(HISTORIAL!$F$3:$F$439&lt;&gt;"")),HISTORIAL!$K$3:$K$439)),IF(K440&gt;LOOKUP(2,1/((HISTORIAL!$O$3:$O$439=O440)*(HISTORIAL!$F$3:$F$439&lt;&gt;"")),HISTORIAL!$K$3:$K$439),"^",IF(K440&lt;LOOKUP(2,1/((HISTORIAL!$O$3:$O$439=O440)*(HISTORIAL!$F$3:$F$439&lt;&gt;"")),HISTORIAL!$K$3:$K$439),"v","-")),"-")),"-")</f>
        <v>-</v>
      </c>
      <c r="N440" s="54" t="str">
        <f>IFERROR(VLOOKUP(A440,CONFIG!$A$10:$B$21,2,0),"")</f>
        <v>HIP</v>
      </c>
      <c r="O440" s="55" t="str">
        <f t="shared" si="13"/>
        <v>Encogimientos|Mancuernas Trapecio</v>
      </c>
      <c r="P440" s="69" t="str">
        <f>SABADO!AC171</f>
        <v/>
      </c>
    </row>
    <row r="441" spans="1:16" ht="14.1" customHeight="1">
      <c r="A441" s="37">
        <v>7</v>
      </c>
      <c r="B441" s="37" t="s">
        <v>281</v>
      </c>
      <c r="C441" s="44" t="str">
        <f>SABADO!$A$172</f>
        <v>Face Pull</v>
      </c>
      <c r="D441" s="45" t="str">
        <f>SABADO!$B$172</f>
        <v>Polea Alta Cuerda</v>
      </c>
      <c r="E441" s="37" t="str">
        <f>SABADO!$C$172</f>
        <v>polea</v>
      </c>
      <c r="F441" s="46" t="str">
        <f>IF(P441="","",IFERROR(CHOOSE(VALUE(RIGHT(P441,1)),SABADO!F172,SABADO!I172,SABADO!L172,SABADO!O172,SABADO!R172),""))</f>
        <v/>
      </c>
      <c r="G441" s="47" t="str">
        <f>IF(P441="","",IFERROR(CHOOSE(VALUE(RIGHT(P441,1)),SABADO!G172,SABADO!J172,SABADO!M172,SABADO!P172,SABADO!S172),""))</f>
        <v/>
      </c>
      <c r="H441" s="48" t="str">
        <f>IF(P441="","",IFERROR(CHOOSE(VALUE(RIGHT(P441,1)),SABADO!H172,SABADO!K172,SABADO!N172,SABADO!Q172,SABADO!T172),""))</f>
        <v/>
      </c>
      <c r="I441" s="49" t="str">
        <f t="shared" si="12"/>
        <v/>
      </c>
      <c r="J441" s="50" t="str">
        <f>IF(P441="","",IFERROR(ROUND(CHOOSE(VALUE(RIGHT(P441,1)),IF(SABADO!C172="peso_corporal",IF(ISNUMBER(SABADO!E172),SABADO!E172,0)+SABADO!F172,SABADO!F172)*SABADO!G172,IF(SABADO!C172="peso_corporal",IF(ISNUMBER(SABADO!E172),SABADO!E172,0)+SABADO!I172,SABADO!I172)*SABADO!J172,IF(SABADO!C172="peso_corporal",IF(ISNUMBER(SABADO!E172),SABADO!E172,0)+SABADO!L172,SABADO!L172)*SABADO!M172,IF(SABADO!C172="peso_corporal",IF(ISNUMBER(SABADO!E172),SABADO!E172,0)+SABADO!O172,SABADO!O172)*SABADO!P172,IF(SABADO!C172="peso_corporal",IF(ISNUMBER(SABADO!E172),SABADO!E172,0)+SABADO!R172,SABADO!R172)*SABADO!S172),1),""))</f>
        <v/>
      </c>
      <c r="K441" s="51" t="str">
        <f>IF(P441="","",IFERROR(ROUND(CHOOSE(VALUE(RIGHT(P441,1)),(IF(SABADO!C172="peso_corporal",IF(ISNUMBER(SABADO!E172),SABADO!E172,0)+SABADO!F172,SABADO!F172))*(1+SABADO!G172/30),(IF(SABADO!C172="peso_corporal",IF(ISNUMBER(SABADO!E172),SABADO!E172,0)+SABADO!I172,SABADO!I172))*(1+SABADO!J172/30),(IF(SABADO!C172="peso_corporal",IF(ISNUMBER(SABADO!E172),SABADO!E172,0)+SABADO!L172,SABADO!L172))*(1+SABADO!M172/30),(IF(SABADO!C172="peso_corporal",IF(ISNUMBER(SABADO!E172),SABADO!E172,0)+SABADO!O172,SABADO!O172))*(1+SABADO!P172/30),(IF(SABADO!C172="peso_corporal",IF(ISNUMBER(SABADO!E172),SABADO!E172,0)+SABADO!R172,SABADO!R172))*(1+SABADO!S172/30)),1),""))</f>
        <v/>
      </c>
      <c r="L441" s="52">
        <f>IFERROR(SABADO!E172,"")</f>
        <v>80</v>
      </c>
      <c r="M441" s="53" t="str">
        <f>IFERROR(IF(K441="","-",IF(ISNUMBER(LOOKUP(2,1/((HISTORIAL!$O$3:$O$440=O441)*(HISTORIAL!$F$3:$F$440&lt;&gt;"")),HISTORIAL!$K$3:$K$440)),IF(K441&gt;LOOKUP(2,1/((HISTORIAL!$O$3:$O$440=O441)*(HISTORIAL!$F$3:$F$440&lt;&gt;"")),HISTORIAL!$K$3:$K$440),"^",IF(K441&lt;LOOKUP(2,1/((HISTORIAL!$O$3:$O$440=O441)*(HISTORIAL!$F$3:$F$440&lt;&gt;"")),HISTORIAL!$K$3:$K$440),"v","-")),"-")),"-")</f>
        <v>-</v>
      </c>
      <c r="N441" s="54" t="str">
        <f>IFERROR(VLOOKUP(A441,CONFIG!$A$10:$B$21,2,0),"")</f>
        <v>HIP</v>
      </c>
      <c r="O441" s="55" t="str">
        <f t="shared" si="13"/>
        <v>Face Pull|Polea Alta Cuerda</v>
      </c>
      <c r="P441" s="69" t="str">
        <f>SABADO!AC172</f>
        <v/>
      </c>
    </row>
    <row r="442" spans="1:16" ht="14.1" customHeight="1">
      <c r="A442" s="37">
        <v>7</v>
      </c>
      <c r="B442" s="37" t="s">
        <v>281</v>
      </c>
      <c r="C442" s="44" t="str">
        <f>SABADO!$A$174</f>
        <v>Hiperextension</v>
      </c>
      <c r="D442" s="45" t="str">
        <f>SABADO!$B$174</f>
        <v>Banco Romano</v>
      </c>
      <c r="E442" s="37" t="str">
        <f>SABADO!$C$174</f>
        <v>peso_corporal</v>
      </c>
      <c r="F442" s="46" t="str">
        <f>IF(P442="","",IFERROR(CHOOSE(VALUE(RIGHT(P442,1)),SABADO!F174,SABADO!I174,SABADO!L174,SABADO!O174,SABADO!R174),""))</f>
        <v/>
      </c>
      <c r="G442" s="47" t="str">
        <f>IF(P442="","",IFERROR(CHOOSE(VALUE(RIGHT(P442,1)),SABADO!G174,SABADO!J174,SABADO!M174,SABADO!P174,SABADO!S174),""))</f>
        <v/>
      </c>
      <c r="H442" s="48" t="str">
        <f>IF(P442="","",IFERROR(CHOOSE(VALUE(RIGHT(P442,1)),SABADO!H174,SABADO!K174,SABADO!N174,SABADO!Q174,SABADO!T174),""))</f>
        <v/>
      </c>
      <c r="I442" s="49" t="str">
        <f t="shared" si="12"/>
        <v/>
      </c>
      <c r="J442" s="50" t="str">
        <f>IF(P442="","",IFERROR(ROUND(CHOOSE(VALUE(RIGHT(P442,1)),IF(SABADO!C174="peso_corporal",IF(ISNUMBER(SABADO!E174),SABADO!E174,0)+SABADO!F174,SABADO!F174)*SABADO!G174,IF(SABADO!C174="peso_corporal",IF(ISNUMBER(SABADO!E174),SABADO!E174,0)+SABADO!I174,SABADO!I174)*SABADO!J174,IF(SABADO!C174="peso_corporal",IF(ISNUMBER(SABADO!E174),SABADO!E174,0)+SABADO!L174,SABADO!L174)*SABADO!M174,IF(SABADO!C174="peso_corporal",IF(ISNUMBER(SABADO!E174),SABADO!E174,0)+SABADO!O174,SABADO!O174)*SABADO!P174,IF(SABADO!C174="peso_corporal",IF(ISNUMBER(SABADO!E174),SABADO!E174,0)+SABADO!R174,SABADO!R174)*SABADO!S174),1),""))</f>
        <v/>
      </c>
      <c r="K442" s="51" t="str">
        <f>IF(P442="","",IFERROR(ROUND(CHOOSE(VALUE(RIGHT(P442,1)),(IF(SABADO!C174="peso_corporal",IF(ISNUMBER(SABADO!E174),SABADO!E174,0)+SABADO!F174,SABADO!F174))*(1+SABADO!G174/30),(IF(SABADO!C174="peso_corporal",IF(ISNUMBER(SABADO!E174),SABADO!E174,0)+SABADO!I174,SABADO!I174))*(1+SABADO!J174/30),(IF(SABADO!C174="peso_corporal",IF(ISNUMBER(SABADO!E174),SABADO!E174,0)+SABADO!L174,SABADO!L174))*(1+SABADO!M174/30),(IF(SABADO!C174="peso_corporal",IF(ISNUMBER(SABADO!E174),SABADO!E174,0)+SABADO!O174,SABADO!O174))*(1+SABADO!P174/30),(IF(SABADO!C174="peso_corporal",IF(ISNUMBER(SABADO!E174),SABADO!E174,0)+SABADO!R174,SABADO!R174))*(1+SABADO!S174/30)),1),""))</f>
        <v/>
      </c>
      <c r="L442" s="52">
        <f>IFERROR(SABADO!E174,"")</f>
        <v>80</v>
      </c>
      <c r="M442" s="53" t="str">
        <f>IFERROR(IF(K442="","-",IF(ISNUMBER(LOOKUP(2,1/((HISTORIAL!$O$3:$O$441=O442)*(HISTORIAL!$F$3:$F$441&lt;&gt;"")),HISTORIAL!$K$3:$K$441)),IF(K442&gt;LOOKUP(2,1/((HISTORIAL!$O$3:$O$441=O442)*(HISTORIAL!$F$3:$F$441&lt;&gt;"")),HISTORIAL!$K$3:$K$441),"^",IF(K442&lt;LOOKUP(2,1/((HISTORIAL!$O$3:$O$441=O442)*(HISTORIAL!$F$3:$F$441&lt;&gt;"")),HISTORIAL!$K$3:$K$441),"v","-")),"-")),"-")</f>
        <v>-</v>
      </c>
      <c r="N442" s="54" t="str">
        <f>IFERROR(VLOOKUP(A442,CONFIG!$A$10:$B$21,2,0),"")</f>
        <v>HIP</v>
      </c>
      <c r="O442" s="55" t="str">
        <f t="shared" si="13"/>
        <v>Hiperextension|Banco Romano</v>
      </c>
      <c r="P442" s="69" t="str">
        <f>SABADO!AC174</f>
        <v/>
      </c>
    </row>
    <row r="443" spans="1:16" ht="14.1" customHeight="1">
      <c r="A443" s="37">
        <v>7</v>
      </c>
      <c r="B443" s="37" t="s">
        <v>281</v>
      </c>
      <c r="C443" s="44" t="str">
        <f>SABADO!$A$176</f>
        <v>Crunch</v>
      </c>
      <c r="D443" s="45" t="str">
        <f>SABADO!$B$176</f>
        <v>Polea</v>
      </c>
      <c r="E443" s="37" t="str">
        <f>SABADO!$C$176</f>
        <v>polea</v>
      </c>
      <c r="F443" s="46" t="str">
        <f>IF(P443="","",IFERROR(CHOOSE(VALUE(RIGHT(P443,1)),SABADO!F176,SABADO!I176,SABADO!L176,SABADO!O176,SABADO!R176),""))</f>
        <v/>
      </c>
      <c r="G443" s="47" t="str">
        <f>IF(P443="","",IFERROR(CHOOSE(VALUE(RIGHT(P443,1)),SABADO!G176,SABADO!J176,SABADO!M176,SABADO!P176,SABADO!S176),""))</f>
        <v/>
      </c>
      <c r="H443" s="48" t="str">
        <f>IF(P443="","",IFERROR(CHOOSE(VALUE(RIGHT(P443,1)),SABADO!H176,SABADO!K176,SABADO!N176,SABADO!Q176,SABADO!T176),""))</f>
        <v/>
      </c>
      <c r="I443" s="49" t="str">
        <f t="shared" si="12"/>
        <v/>
      </c>
      <c r="J443" s="50" t="str">
        <f>IF(P443="","",IFERROR(ROUND(CHOOSE(VALUE(RIGHT(P443,1)),IF(SABADO!C176="peso_corporal",IF(ISNUMBER(SABADO!E176),SABADO!E176,0)+SABADO!F176,SABADO!F176)*SABADO!G176,IF(SABADO!C176="peso_corporal",IF(ISNUMBER(SABADO!E176),SABADO!E176,0)+SABADO!I176,SABADO!I176)*SABADO!J176,IF(SABADO!C176="peso_corporal",IF(ISNUMBER(SABADO!E176),SABADO!E176,0)+SABADO!L176,SABADO!L176)*SABADO!M176,IF(SABADO!C176="peso_corporal",IF(ISNUMBER(SABADO!E176),SABADO!E176,0)+SABADO!O176,SABADO!O176)*SABADO!P176,IF(SABADO!C176="peso_corporal",IF(ISNUMBER(SABADO!E176),SABADO!E176,0)+SABADO!R176,SABADO!R176)*SABADO!S176),1),""))</f>
        <v/>
      </c>
      <c r="K443" s="51" t="str">
        <f>IF(P443="","",IFERROR(ROUND(CHOOSE(VALUE(RIGHT(P443,1)),(IF(SABADO!C176="peso_corporal",IF(ISNUMBER(SABADO!E176),SABADO!E176,0)+SABADO!F176,SABADO!F176))*(1+SABADO!G176/30),(IF(SABADO!C176="peso_corporal",IF(ISNUMBER(SABADO!E176),SABADO!E176,0)+SABADO!I176,SABADO!I176))*(1+SABADO!J176/30),(IF(SABADO!C176="peso_corporal",IF(ISNUMBER(SABADO!E176),SABADO!E176,0)+SABADO!L176,SABADO!L176))*(1+SABADO!M176/30),(IF(SABADO!C176="peso_corporal",IF(ISNUMBER(SABADO!E176),SABADO!E176,0)+SABADO!O176,SABADO!O176))*(1+SABADO!P176/30),(IF(SABADO!C176="peso_corporal",IF(ISNUMBER(SABADO!E176),SABADO!E176,0)+SABADO!R176,SABADO!R176))*(1+SABADO!S176/30)),1),""))</f>
        <v/>
      </c>
      <c r="L443" s="52">
        <f>IFERROR(SABADO!E176,"")</f>
        <v>80</v>
      </c>
      <c r="M443" s="53" t="str">
        <f>IFERROR(IF(K443="","-",IF(ISNUMBER(LOOKUP(2,1/((HISTORIAL!$O$3:$O$442=O443)*(HISTORIAL!$F$3:$F$442&lt;&gt;"")),HISTORIAL!$K$3:$K$442)),IF(K443&gt;LOOKUP(2,1/((HISTORIAL!$O$3:$O$442=O443)*(HISTORIAL!$F$3:$F$442&lt;&gt;"")),HISTORIAL!$K$3:$K$442),"^",IF(K443&lt;LOOKUP(2,1/((HISTORIAL!$O$3:$O$442=O443)*(HISTORIAL!$F$3:$F$442&lt;&gt;"")),HISTORIAL!$K$3:$K$442),"v","-")),"-")),"-")</f>
        <v>-</v>
      </c>
      <c r="N443" s="54" t="str">
        <f>IFERROR(VLOOKUP(A443,CONFIG!$A$10:$B$21,2,0),"")</f>
        <v>HIP</v>
      </c>
      <c r="O443" s="55" t="str">
        <f t="shared" si="13"/>
        <v>Crunch|Polea</v>
      </c>
      <c r="P443" s="69" t="str">
        <f>SABADO!AC176</f>
        <v/>
      </c>
    </row>
    <row r="444" spans="1:16" ht="14.1" customHeight="1">
      <c r="A444" s="37">
        <v>8</v>
      </c>
      <c r="B444" s="37" t="s">
        <v>277</v>
      </c>
      <c r="C444" s="44" t="str">
        <f>LUNES!$A$167</f>
        <v>Press Plano</v>
      </c>
      <c r="D444" s="45" t="str">
        <f>LUNES!$B$167</f>
        <v>Barra</v>
      </c>
      <c r="E444" s="37" t="str">
        <f>LUNES!$C$167</f>
        <v>disco</v>
      </c>
      <c r="F444" s="46" t="str">
        <f>IF(P444="","",IFERROR(CHOOSE(VALUE(RIGHT(P444,1)),LUNES!F167,LUNES!I167,LUNES!L167,LUNES!O167,LUNES!R167),""))</f>
        <v/>
      </c>
      <c r="G444" s="47" t="str">
        <f>IF(P444="","",IFERROR(CHOOSE(VALUE(RIGHT(P444,1)),LUNES!G167,LUNES!J167,LUNES!M167,LUNES!P167,LUNES!S167),""))</f>
        <v/>
      </c>
      <c r="H444" s="48" t="str">
        <f>IF(P444="","",IFERROR(CHOOSE(VALUE(RIGHT(P444,1)),LUNES!H167,LUNES!K167,LUNES!N167,LUNES!Q167,LUNES!T167),""))</f>
        <v/>
      </c>
      <c r="I444" s="49" t="str">
        <f t="shared" si="12"/>
        <v/>
      </c>
      <c r="J444" s="50" t="str">
        <f>IF(P444="","",IFERROR(ROUND(CHOOSE(VALUE(RIGHT(P444,1)),IF(LUNES!C167="peso_corporal",IF(ISNUMBER(LUNES!E167),LUNES!E167,0)+LUNES!F167,LUNES!F167)*LUNES!G167,IF(LUNES!C167="peso_corporal",IF(ISNUMBER(LUNES!E167),LUNES!E167,0)+LUNES!I167,LUNES!I167)*LUNES!J167,IF(LUNES!C167="peso_corporal",IF(ISNUMBER(LUNES!E167),LUNES!E167,0)+LUNES!L167,LUNES!L167)*LUNES!M167,IF(LUNES!C167="peso_corporal",IF(ISNUMBER(LUNES!E167),LUNES!E167,0)+LUNES!O167,LUNES!O167)*LUNES!P167,IF(LUNES!C167="peso_corporal",IF(ISNUMBER(LUNES!E167),LUNES!E167,0)+LUNES!R167,LUNES!R167)*LUNES!S167),1),""))</f>
        <v/>
      </c>
      <c r="K444" s="51" t="str">
        <f>IF(P444="","",IFERROR(ROUND(CHOOSE(VALUE(RIGHT(P444,1)),(IF(LUNES!C167="peso_corporal",IF(ISNUMBER(LUNES!E167),LUNES!E167,0)+LUNES!F167,LUNES!F167))*(1+LUNES!G167/30),(IF(LUNES!C167="peso_corporal",IF(ISNUMBER(LUNES!E167),LUNES!E167,0)+LUNES!I167,LUNES!I167))*(1+LUNES!J167/30),(IF(LUNES!C167="peso_corporal",IF(ISNUMBER(LUNES!E167),LUNES!E167,0)+LUNES!L167,LUNES!L167))*(1+LUNES!M167/30),(IF(LUNES!C167="peso_corporal",IF(ISNUMBER(LUNES!E167),LUNES!E167,0)+LUNES!O167,LUNES!O167))*(1+LUNES!P167/30),(IF(LUNES!C167="peso_corporal",IF(ISNUMBER(LUNES!E167),LUNES!E167,0)+LUNES!R167,LUNES!R167))*(1+LUNES!S167/30)),1),""))</f>
        <v/>
      </c>
      <c r="L444" s="52">
        <f>IFERROR(LUNES!E167,"")</f>
        <v>80</v>
      </c>
      <c r="M444" s="53" t="str">
        <f>IFERROR(IF(K444="","-",IF(ISNUMBER(LOOKUP(2,1/((HISTORIAL!$O$3:$O$443=O444)*(HISTORIAL!$F$3:$F$443&lt;&gt;"")),HISTORIAL!$K$3:$K$443)),IF(K444&gt;LOOKUP(2,1/((HISTORIAL!$O$3:$O$443=O444)*(HISTORIAL!$F$3:$F$443&lt;&gt;"")),HISTORIAL!$K$3:$K$443),"^",IF(K444&lt;LOOKUP(2,1/((HISTORIAL!$O$3:$O$443=O444)*(HISTORIAL!$F$3:$F$443&lt;&gt;"")),HISTORIAL!$K$3:$K$443),"v","-")),"-")),"-")</f>
        <v>-</v>
      </c>
      <c r="N444" s="54" t="str">
        <f>IFERROR(VLOOKUP(A444,CONFIG!$A$10:$B$21,2,0),"")</f>
        <v>HIP</v>
      </c>
      <c r="O444" s="55" t="str">
        <f t="shared" si="13"/>
        <v>Press Plano|Barra</v>
      </c>
      <c r="P444" s="69" t="str">
        <f>LUNES!AC167</f>
        <v/>
      </c>
    </row>
    <row r="445" spans="1:16" ht="14.1" customHeight="1">
      <c r="A445" s="37">
        <v>8</v>
      </c>
      <c r="B445" s="37" t="s">
        <v>277</v>
      </c>
      <c r="C445" s="44" t="str">
        <f>LUNES!$A$169</f>
        <v>Press Inclinado</v>
      </c>
      <c r="D445" s="45" t="str">
        <f>LUNES!$B$169</f>
        <v>Mancuernas</v>
      </c>
      <c r="E445" s="37" t="str">
        <f>LUNES!$C$169</f>
        <v>mancuerna</v>
      </c>
      <c r="F445" s="46" t="str">
        <f>IF(P445="","",IFERROR(CHOOSE(VALUE(RIGHT(P445,1)),LUNES!F169,LUNES!I169,LUNES!L169,LUNES!O169,LUNES!R169),""))</f>
        <v/>
      </c>
      <c r="G445" s="47" t="str">
        <f>IF(P445="","",IFERROR(CHOOSE(VALUE(RIGHT(P445,1)),LUNES!G169,LUNES!J169,LUNES!M169,LUNES!P169,LUNES!S169),""))</f>
        <v/>
      </c>
      <c r="H445" s="48" t="str">
        <f>IF(P445="","",IFERROR(CHOOSE(VALUE(RIGHT(P445,1)),LUNES!H169,LUNES!K169,LUNES!N169,LUNES!Q169,LUNES!T169),""))</f>
        <v/>
      </c>
      <c r="I445" s="49" t="str">
        <f t="shared" si="12"/>
        <v/>
      </c>
      <c r="J445" s="50" t="str">
        <f>IF(P445="","",IFERROR(ROUND(CHOOSE(VALUE(RIGHT(P445,1)),IF(LUNES!C169="peso_corporal",IF(ISNUMBER(LUNES!E169),LUNES!E169,0)+LUNES!F169,LUNES!F169)*LUNES!G169,IF(LUNES!C169="peso_corporal",IF(ISNUMBER(LUNES!E169),LUNES!E169,0)+LUNES!I169,LUNES!I169)*LUNES!J169,IF(LUNES!C169="peso_corporal",IF(ISNUMBER(LUNES!E169),LUNES!E169,0)+LUNES!L169,LUNES!L169)*LUNES!M169,IF(LUNES!C169="peso_corporal",IF(ISNUMBER(LUNES!E169),LUNES!E169,0)+LUNES!O169,LUNES!O169)*LUNES!P169,IF(LUNES!C169="peso_corporal",IF(ISNUMBER(LUNES!E169),LUNES!E169,0)+LUNES!R169,LUNES!R169)*LUNES!S169),1),""))</f>
        <v/>
      </c>
      <c r="K445" s="51" t="str">
        <f>IF(P445="","",IFERROR(ROUND(CHOOSE(VALUE(RIGHT(P445,1)),(IF(LUNES!C169="peso_corporal",IF(ISNUMBER(LUNES!E169),LUNES!E169,0)+LUNES!F169,LUNES!F169))*(1+LUNES!G169/30),(IF(LUNES!C169="peso_corporal",IF(ISNUMBER(LUNES!E169),LUNES!E169,0)+LUNES!I169,LUNES!I169))*(1+LUNES!J169/30),(IF(LUNES!C169="peso_corporal",IF(ISNUMBER(LUNES!E169),LUNES!E169,0)+LUNES!L169,LUNES!L169))*(1+LUNES!M169/30),(IF(LUNES!C169="peso_corporal",IF(ISNUMBER(LUNES!E169),LUNES!E169,0)+LUNES!O169,LUNES!O169))*(1+LUNES!P169/30),(IF(LUNES!C169="peso_corporal",IF(ISNUMBER(LUNES!E169),LUNES!E169,0)+LUNES!R169,LUNES!R169))*(1+LUNES!S169/30)),1),""))</f>
        <v/>
      </c>
      <c r="L445" s="52">
        <f>IFERROR(LUNES!E169,"")</f>
        <v>80</v>
      </c>
      <c r="M445" s="53" t="str">
        <f>IFERROR(IF(K445="","-",IF(ISNUMBER(LOOKUP(2,1/((HISTORIAL!$O$3:$O$444=O445)*(HISTORIAL!$F$3:$F$444&lt;&gt;"")),HISTORIAL!$K$3:$K$444)),IF(K445&gt;LOOKUP(2,1/((HISTORIAL!$O$3:$O$444=O445)*(HISTORIAL!$F$3:$F$444&lt;&gt;"")),HISTORIAL!$K$3:$K$444),"^",IF(K445&lt;LOOKUP(2,1/((HISTORIAL!$O$3:$O$444=O445)*(HISTORIAL!$F$3:$F$444&lt;&gt;"")),HISTORIAL!$K$3:$K$444),"v","-")),"-")),"-")</f>
        <v>-</v>
      </c>
      <c r="N445" s="54" t="str">
        <f>IFERROR(VLOOKUP(A445,CONFIG!$A$10:$B$21,2,0),"")</f>
        <v>HIP</v>
      </c>
      <c r="O445" s="55" t="str">
        <f t="shared" si="13"/>
        <v>Press Inclinado|Mancuernas</v>
      </c>
      <c r="P445" s="69" t="str">
        <f>LUNES!AC169</f>
        <v/>
      </c>
    </row>
    <row r="446" spans="1:16" ht="14.1" customHeight="1">
      <c r="A446" s="37">
        <v>8</v>
      </c>
      <c r="B446" s="37" t="s">
        <v>277</v>
      </c>
      <c r="C446" s="44" t="str">
        <f>LUNES!$A$171</f>
        <v>Fondos</v>
      </c>
      <c r="D446" s="45" t="str">
        <f>LUNES!$B$171</f>
        <v>Paralelas</v>
      </c>
      <c r="E446" s="37" t="str">
        <f>LUNES!$C$171</f>
        <v>peso_corporal</v>
      </c>
      <c r="F446" s="46" t="str">
        <f>IF(P446="","",IFERROR(CHOOSE(VALUE(RIGHT(P446,1)),LUNES!F171,LUNES!I171,LUNES!L171,LUNES!O171,LUNES!R171),""))</f>
        <v/>
      </c>
      <c r="G446" s="47" t="str">
        <f>IF(P446="","",IFERROR(CHOOSE(VALUE(RIGHT(P446,1)),LUNES!G171,LUNES!J171,LUNES!M171,LUNES!P171,LUNES!S171),""))</f>
        <v/>
      </c>
      <c r="H446" s="48" t="str">
        <f>IF(P446="","",IFERROR(CHOOSE(VALUE(RIGHT(P446,1)),LUNES!H171,LUNES!K171,LUNES!N171,LUNES!Q171,LUNES!T171),""))</f>
        <v/>
      </c>
      <c r="I446" s="49" t="str">
        <f t="shared" si="12"/>
        <v/>
      </c>
      <c r="J446" s="50" t="str">
        <f>IF(P446="","",IFERROR(ROUND(CHOOSE(VALUE(RIGHT(P446,1)),IF(LUNES!C171="peso_corporal",IF(ISNUMBER(LUNES!E171),LUNES!E171,0)+LUNES!F171,LUNES!F171)*LUNES!G171,IF(LUNES!C171="peso_corporal",IF(ISNUMBER(LUNES!E171),LUNES!E171,0)+LUNES!I171,LUNES!I171)*LUNES!J171,IF(LUNES!C171="peso_corporal",IF(ISNUMBER(LUNES!E171),LUNES!E171,0)+LUNES!L171,LUNES!L171)*LUNES!M171,IF(LUNES!C171="peso_corporal",IF(ISNUMBER(LUNES!E171),LUNES!E171,0)+LUNES!O171,LUNES!O171)*LUNES!P171,IF(LUNES!C171="peso_corporal",IF(ISNUMBER(LUNES!E171),LUNES!E171,0)+LUNES!R171,LUNES!R171)*LUNES!S171),1),""))</f>
        <v/>
      </c>
      <c r="K446" s="51" t="str">
        <f>IF(P446="","",IFERROR(ROUND(CHOOSE(VALUE(RIGHT(P446,1)),(IF(LUNES!C171="peso_corporal",IF(ISNUMBER(LUNES!E171),LUNES!E171,0)+LUNES!F171,LUNES!F171))*(1+LUNES!G171/30),(IF(LUNES!C171="peso_corporal",IF(ISNUMBER(LUNES!E171),LUNES!E171,0)+LUNES!I171,LUNES!I171))*(1+LUNES!J171/30),(IF(LUNES!C171="peso_corporal",IF(ISNUMBER(LUNES!E171),LUNES!E171,0)+LUNES!L171,LUNES!L171))*(1+LUNES!M171/30),(IF(LUNES!C171="peso_corporal",IF(ISNUMBER(LUNES!E171),LUNES!E171,0)+LUNES!O171,LUNES!O171))*(1+LUNES!P171/30),(IF(LUNES!C171="peso_corporal",IF(ISNUMBER(LUNES!E171),LUNES!E171,0)+LUNES!R171,LUNES!R171))*(1+LUNES!S171/30)),1),""))</f>
        <v/>
      </c>
      <c r="L446" s="52">
        <f>IFERROR(LUNES!E171,"")</f>
        <v>80</v>
      </c>
      <c r="M446" s="53" t="str">
        <f>IFERROR(IF(K446="","-",IF(ISNUMBER(LOOKUP(2,1/((HISTORIAL!$O$3:$O$445=O446)*(HISTORIAL!$F$3:$F$445&lt;&gt;"")),HISTORIAL!$K$3:$K$445)),IF(K446&gt;LOOKUP(2,1/((HISTORIAL!$O$3:$O$445=O446)*(HISTORIAL!$F$3:$F$445&lt;&gt;"")),HISTORIAL!$K$3:$K$445),"^",IF(K446&lt;LOOKUP(2,1/((HISTORIAL!$O$3:$O$445=O446)*(HISTORIAL!$F$3:$F$445&lt;&gt;"")),HISTORIAL!$K$3:$K$445),"v","-")),"-")),"-")</f>
        <v>-</v>
      </c>
      <c r="N446" s="54" t="str">
        <f>IFERROR(VLOOKUP(A446,CONFIG!$A$10:$B$21,2,0),"")</f>
        <v>HIP</v>
      </c>
      <c r="O446" s="55" t="str">
        <f t="shared" si="13"/>
        <v>Fondos|Paralelas</v>
      </c>
      <c r="P446" s="69" t="str">
        <f>LUNES!AC171</f>
        <v/>
      </c>
    </row>
    <row r="447" spans="1:16" ht="14.1" customHeight="1">
      <c r="A447" s="37">
        <v>8</v>
      </c>
      <c r="B447" s="37" t="s">
        <v>277</v>
      </c>
      <c r="C447" s="44" t="str">
        <f>LUNES!$A$172</f>
        <v>Aperturas</v>
      </c>
      <c r="D447" s="45" t="str">
        <f>LUNES!$B$172</f>
        <v>Polea Baja Crossover</v>
      </c>
      <c r="E447" s="37" t="str">
        <f>LUNES!$C$172</f>
        <v>--</v>
      </c>
      <c r="F447" s="46" t="str">
        <f>IF(P447="","",IFERROR(CHOOSE(VALUE(RIGHT(P447,1)),LUNES!F172,LUNES!I172,LUNES!L172,LUNES!O172,LUNES!R172),""))</f>
        <v/>
      </c>
      <c r="G447" s="47" t="str">
        <f>IF(P447="","",IFERROR(CHOOSE(VALUE(RIGHT(P447,1)),LUNES!G172,LUNES!J172,LUNES!M172,LUNES!P172,LUNES!S172),""))</f>
        <v/>
      </c>
      <c r="H447" s="48" t="str">
        <f>IF(P447="","",IFERROR(CHOOSE(VALUE(RIGHT(P447,1)),LUNES!H172,LUNES!K172,LUNES!N172,LUNES!Q172,LUNES!T172),""))</f>
        <v/>
      </c>
      <c r="I447" s="49" t="str">
        <f t="shared" si="12"/>
        <v/>
      </c>
      <c r="J447" s="50" t="str">
        <f>IF(P447="","",IFERROR(ROUND(CHOOSE(VALUE(RIGHT(P447,1)),IF(LUNES!C172="peso_corporal",IF(ISNUMBER(LUNES!E172),LUNES!E172,0)+LUNES!F172,LUNES!F172)*LUNES!G172,IF(LUNES!C172="peso_corporal",IF(ISNUMBER(LUNES!E172),LUNES!E172,0)+LUNES!I172,LUNES!I172)*LUNES!J172,IF(LUNES!C172="peso_corporal",IF(ISNUMBER(LUNES!E172),LUNES!E172,0)+LUNES!L172,LUNES!L172)*LUNES!M172,IF(LUNES!C172="peso_corporal",IF(ISNUMBER(LUNES!E172),LUNES!E172,0)+LUNES!O172,LUNES!O172)*LUNES!P172,IF(LUNES!C172="peso_corporal",IF(ISNUMBER(LUNES!E172),LUNES!E172,0)+LUNES!R172,LUNES!R172)*LUNES!S172),1),""))</f>
        <v/>
      </c>
      <c r="K447" s="51" t="str">
        <f>IF(P447="","",IFERROR(ROUND(CHOOSE(VALUE(RIGHT(P447,1)),(IF(LUNES!C172="peso_corporal",IF(ISNUMBER(LUNES!E172),LUNES!E172,0)+LUNES!F172,LUNES!F172))*(1+LUNES!G172/30),(IF(LUNES!C172="peso_corporal",IF(ISNUMBER(LUNES!E172),LUNES!E172,0)+LUNES!I172,LUNES!I172))*(1+LUNES!J172/30),(IF(LUNES!C172="peso_corporal",IF(ISNUMBER(LUNES!E172),LUNES!E172,0)+LUNES!L172,LUNES!L172))*(1+LUNES!M172/30),(IF(LUNES!C172="peso_corporal",IF(ISNUMBER(LUNES!E172),LUNES!E172,0)+LUNES!O172,LUNES!O172))*(1+LUNES!P172/30),(IF(LUNES!C172="peso_corporal",IF(ISNUMBER(LUNES!E172),LUNES!E172,0)+LUNES!R172,LUNES!R172))*(1+LUNES!S172/30)),1),""))</f>
        <v/>
      </c>
      <c r="L447" s="52">
        <f>IFERROR(LUNES!E172,"")</f>
        <v>80</v>
      </c>
      <c r="M447" s="53" t="str">
        <f>IFERROR(IF(K447="","-",IF(ISNUMBER(LOOKUP(2,1/((HISTORIAL!$O$3:$O$446=O447)*(HISTORIAL!$F$3:$F$446&lt;&gt;"")),HISTORIAL!$K$3:$K$446)),IF(K447&gt;LOOKUP(2,1/((HISTORIAL!$O$3:$O$446=O447)*(HISTORIAL!$F$3:$F$446&lt;&gt;"")),HISTORIAL!$K$3:$K$446),"^",IF(K447&lt;LOOKUP(2,1/((HISTORIAL!$O$3:$O$446=O447)*(HISTORIAL!$F$3:$F$446&lt;&gt;"")),HISTORIAL!$K$3:$K$446),"v","-")),"-")),"-")</f>
        <v>-</v>
      </c>
      <c r="N447" s="54" t="str">
        <f>IFERROR(VLOOKUP(A447,CONFIG!$A$10:$B$21,2,0),"")</f>
        <v>HIP</v>
      </c>
      <c r="O447" s="55" t="str">
        <f t="shared" si="13"/>
        <v>Aperturas|Polea Baja Crossover</v>
      </c>
      <c r="P447" s="69" t="str">
        <f>LUNES!AC172</f>
        <v/>
      </c>
    </row>
    <row r="448" spans="1:16" ht="14.1" customHeight="1">
      <c r="A448" s="37">
        <v>8</v>
      </c>
      <c r="B448" s="37" t="s">
        <v>277</v>
      </c>
      <c r="C448" s="44" t="str">
        <f>LUNES!$A$173</f>
        <v>Aperturas</v>
      </c>
      <c r="D448" s="45" t="str">
        <f>LUNES!$B$173</f>
        <v>Pec Deck Maquina</v>
      </c>
      <c r="E448" s="37" t="str">
        <f>LUNES!$C$173</f>
        <v>--</v>
      </c>
      <c r="F448" s="46" t="str">
        <f>IF(P448="","",IFERROR(CHOOSE(VALUE(RIGHT(P448,1)),LUNES!F173,LUNES!I173,LUNES!L173,LUNES!O173,LUNES!R173),""))</f>
        <v/>
      </c>
      <c r="G448" s="47" t="str">
        <f>IF(P448="","",IFERROR(CHOOSE(VALUE(RIGHT(P448,1)),LUNES!G173,LUNES!J173,LUNES!M173,LUNES!P173,LUNES!S173),""))</f>
        <v/>
      </c>
      <c r="H448" s="48" t="str">
        <f>IF(P448="","",IFERROR(CHOOSE(VALUE(RIGHT(P448,1)),LUNES!H173,LUNES!K173,LUNES!N173,LUNES!Q173,LUNES!T173),""))</f>
        <v/>
      </c>
      <c r="I448" s="49" t="str">
        <f t="shared" si="12"/>
        <v/>
      </c>
      <c r="J448" s="50" t="str">
        <f>IF(P448="","",IFERROR(ROUND(CHOOSE(VALUE(RIGHT(P448,1)),IF(LUNES!C173="peso_corporal",IF(ISNUMBER(LUNES!E173),LUNES!E173,0)+LUNES!F173,LUNES!F173)*LUNES!G173,IF(LUNES!C173="peso_corporal",IF(ISNUMBER(LUNES!E173),LUNES!E173,0)+LUNES!I173,LUNES!I173)*LUNES!J173,IF(LUNES!C173="peso_corporal",IF(ISNUMBER(LUNES!E173),LUNES!E173,0)+LUNES!L173,LUNES!L173)*LUNES!M173,IF(LUNES!C173="peso_corporal",IF(ISNUMBER(LUNES!E173),LUNES!E173,0)+LUNES!O173,LUNES!O173)*LUNES!P173,IF(LUNES!C173="peso_corporal",IF(ISNUMBER(LUNES!E173),LUNES!E173,0)+LUNES!R173,LUNES!R173)*LUNES!S173),1),""))</f>
        <v/>
      </c>
      <c r="K448" s="51" t="str">
        <f>IF(P448="","",IFERROR(ROUND(CHOOSE(VALUE(RIGHT(P448,1)),(IF(LUNES!C173="peso_corporal",IF(ISNUMBER(LUNES!E173),LUNES!E173,0)+LUNES!F173,LUNES!F173))*(1+LUNES!G173/30),(IF(LUNES!C173="peso_corporal",IF(ISNUMBER(LUNES!E173),LUNES!E173,0)+LUNES!I173,LUNES!I173))*(1+LUNES!J173/30),(IF(LUNES!C173="peso_corporal",IF(ISNUMBER(LUNES!E173),LUNES!E173,0)+LUNES!L173,LUNES!L173))*(1+LUNES!M173/30),(IF(LUNES!C173="peso_corporal",IF(ISNUMBER(LUNES!E173),LUNES!E173,0)+LUNES!O173,LUNES!O173))*(1+LUNES!P173/30),(IF(LUNES!C173="peso_corporal",IF(ISNUMBER(LUNES!E173),LUNES!E173,0)+LUNES!R173,LUNES!R173))*(1+LUNES!S173/30)),1),""))</f>
        <v/>
      </c>
      <c r="L448" s="52">
        <f>IFERROR(LUNES!E173,"")</f>
        <v>80</v>
      </c>
      <c r="M448" s="53" t="str">
        <f>IFERROR(IF(K448="","-",IF(ISNUMBER(LOOKUP(2,1/((HISTORIAL!$O$3:$O$447=O448)*(HISTORIAL!$F$3:$F$447&lt;&gt;"")),HISTORIAL!$K$3:$K$447)),IF(K448&gt;LOOKUP(2,1/((HISTORIAL!$O$3:$O$447=O448)*(HISTORIAL!$F$3:$F$447&lt;&gt;"")),HISTORIAL!$K$3:$K$447),"^",IF(K448&lt;LOOKUP(2,1/((HISTORIAL!$O$3:$O$447=O448)*(HISTORIAL!$F$3:$F$447&lt;&gt;"")),HISTORIAL!$K$3:$K$447),"v","-")),"-")),"-")</f>
        <v>-</v>
      </c>
      <c r="N448" s="54" t="str">
        <f>IFERROR(VLOOKUP(A448,CONFIG!$A$10:$B$21,2,0),"")</f>
        <v>HIP</v>
      </c>
      <c r="O448" s="55" t="str">
        <f t="shared" si="13"/>
        <v>Aperturas|Pec Deck Maquina</v>
      </c>
      <c r="P448" s="69" t="str">
        <f>LUNES!AC173</f>
        <v/>
      </c>
    </row>
    <row r="449" spans="1:16" ht="14.1" customHeight="1">
      <c r="A449" s="37">
        <v>8</v>
      </c>
      <c r="B449" s="37" t="s">
        <v>277</v>
      </c>
      <c r="C449" s="44" t="str">
        <f>LUNES!$A$175</f>
        <v>Elevaciones Laterales</v>
      </c>
      <c r="D449" s="45" t="str">
        <f>LUNES!$B$175</f>
        <v>Cable Polea Individual</v>
      </c>
      <c r="E449" s="37" t="str">
        <f>LUNES!$C$175</f>
        <v>polea</v>
      </c>
      <c r="F449" s="46" t="str">
        <f>IF(P449="","",IFERROR(CHOOSE(VALUE(RIGHT(P449,1)),LUNES!F175,LUNES!I175,LUNES!L175,LUNES!O175,LUNES!R175),""))</f>
        <v/>
      </c>
      <c r="G449" s="47" t="str">
        <f>IF(P449="","",IFERROR(CHOOSE(VALUE(RIGHT(P449,1)),LUNES!G175,LUNES!J175,LUNES!M175,LUNES!P175,LUNES!S175),""))</f>
        <v/>
      </c>
      <c r="H449" s="48" t="str">
        <f>IF(P449="","",IFERROR(CHOOSE(VALUE(RIGHT(P449,1)),LUNES!H175,LUNES!K175,LUNES!N175,LUNES!Q175,LUNES!T175),""))</f>
        <v/>
      </c>
      <c r="I449" s="49" t="str">
        <f t="shared" si="12"/>
        <v/>
      </c>
      <c r="J449" s="50" t="str">
        <f>IF(P449="","",IFERROR(ROUND(CHOOSE(VALUE(RIGHT(P449,1)),IF(LUNES!C175="peso_corporal",IF(ISNUMBER(LUNES!E175),LUNES!E175,0)+LUNES!F175,LUNES!F175)*LUNES!G175,IF(LUNES!C175="peso_corporal",IF(ISNUMBER(LUNES!E175),LUNES!E175,0)+LUNES!I175,LUNES!I175)*LUNES!J175,IF(LUNES!C175="peso_corporal",IF(ISNUMBER(LUNES!E175),LUNES!E175,0)+LUNES!L175,LUNES!L175)*LUNES!M175,IF(LUNES!C175="peso_corporal",IF(ISNUMBER(LUNES!E175),LUNES!E175,0)+LUNES!O175,LUNES!O175)*LUNES!P175,IF(LUNES!C175="peso_corporal",IF(ISNUMBER(LUNES!E175),LUNES!E175,0)+LUNES!R175,LUNES!R175)*LUNES!S175),1),""))</f>
        <v/>
      </c>
      <c r="K449" s="51" t="str">
        <f>IF(P449="","",IFERROR(ROUND(CHOOSE(VALUE(RIGHT(P449,1)),(IF(LUNES!C175="peso_corporal",IF(ISNUMBER(LUNES!E175),LUNES!E175,0)+LUNES!F175,LUNES!F175))*(1+LUNES!G175/30),(IF(LUNES!C175="peso_corporal",IF(ISNUMBER(LUNES!E175),LUNES!E175,0)+LUNES!I175,LUNES!I175))*(1+LUNES!J175/30),(IF(LUNES!C175="peso_corporal",IF(ISNUMBER(LUNES!E175),LUNES!E175,0)+LUNES!L175,LUNES!L175))*(1+LUNES!M175/30),(IF(LUNES!C175="peso_corporal",IF(ISNUMBER(LUNES!E175),LUNES!E175,0)+LUNES!O175,LUNES!O175))*(1+LUNES!P175/30),(IF(LUNES!C175="peso_corporal",IF(ISNUMBER(LUNES!E175),LUNES!E175,0)+LUNES!R175,LUNES!R175))*(1+LUNES!S175/30)),1),""))</f>
        <v/>
      </c>
      <c r="L449" s="52">
        <f>IFERROR(LUNES!E175,"")</f>
        <v>80</v>
      </c>
      <c r="M449" s="53" t="str">
        <f>IFERROR(IF(K449="","-",IF(ISNUMBER(LOOKUP(2,1/((HISTORIAL!$O$3:$O$448=O449)*(HISTORIAL!$F$3:$F$448&lt;&gt;"")),HISTORIAL!$K$3:$K$448)),IF(K449&gt;LOOKUP(2,1/((HISTORIAL!$O$3:$O$448=O449)*(HISTORIAL!$F$3:$F$448&lt;&gt;"")),HISTORIAL!$K$3:$K$448),"^",IF(K449&lt;LOOKUP(2,1/((HISTORIAL!$O$3:$O$448=O449)*(HISTORIAL!$F$3:$F$448&lt;&gt;"")),HISTORIAL!$K$3:$K$448),"v","-")),"-")),"-")</f>
        <v>-</v>
      </c>
      <c r="N449" s="54" t="str">
        <f>IFERROR(VLOOKUP(A449,CONFIG!$A$10:$B$21,2,0),"")</f>
        <v>HIP</v>
      </c>
      <c r="O449" s="55" t="str">
        <f t="shared" si="13"/>
        <v>Elevaciones Laterales|Cable Polea Individual</v>
      </c>
      <c r="P449" s="69" t="str">
        <f>LUNES!AC175</f>
        <v/>
      </c>
    </row>
    <row r="450" spans="1:16" ht="14.1" customHeight="1">
      <c r="A450" s="37">
        <v>8</v>
      </c>
      <c r="B450" s="37" t="s">
        <v>277</v>
      </c>
      <c r="C450" s="44" t="str">
        <f>LUNES!$A$176</f>
        <v>Press Militar</v>
      </c>
      <c r="D450" s="45" t="str">
        <f>LUNES!$B$176</f>
        <v>Mancuernas Sentado</v>
      </c>
      <c r="E450" s="37" t="str">
        <f>LUNES!$C$176</f>
        <v>mancuerna</v>
      </c>
      <c r="F450" s="46" t="str">
        <f>IF(P450="","",IFERROR(CHOOSE(VALUE(RIGHT(P450,1)),LUNES!F176,LUNES!I176,LUNES!L176,LUNES!O176,LUNES!R176),""))</f>
        <v/>
      </c>
      <c r="G450" s="47" t="str">
        <f>IF(P450="","",IFERROR(CHOOSE(VALUE(RIGHT(P450,1)),LUNES!G176,LUNES!J176,LUNES!M176,LUNES!P176,LUNES!S176),""))</f>
        <v/>
      </c>
      <c r="H450" s="48" t="str">
        <f>IF(P450="","",IFERROR(CHOOSE(VALUE(RIGHT(P450,1)),LUNES!H176,LUNES!K176,LUNES!N176,LUNES!Q176,LUNES!T176),""))</f>
        <v/>
      </c>
      <c r="I450" s="49" t="str">
        <f t="shared" si="12"/>
        <v/>
      </c>
      <c r="J450" s="50" t="str">
        <f>IF(P450="","",IFERROR(ROUND(CHOOSE(VALUE(RIGHT(P450,1)),IF(LUNES!C176="peso_corporal",IF(ISNUMBER(LUNES!E176),LUNES!E176,0)+LUNES!F176,LUNES!F176)*LUNES!G176,IF(LUNES!C176="peso_corporal",IF(ISNUMBER(LUNES!E176),LUNES!E176,0)+LUNES!I176,LUNES!I176)*LUNES!J176,IF(LUNES!C176="peso_corporal",IF(ISNUMBER(LUNES!E176),LUNES!E176,0)+LUNES!L176,LUNES!L176)*LUNES!M176,IF(LUNES!C176="peso_corporal",IF(ISNUMBER(LUNES!E176),LUNES!E176,0)+LUNES!O176,LUNES!O176)*LUNES!P176,IF(LUNES!C176="peso_corporal",IF(ISNUMBER(LUNES!E176),LUNES!E176,0)+LUNES!R176,LUNES!R176)*LUNES!S176),1),""))</f>
        <v/>
      </c>
      <c r="K450" s="51" t="str">
        <f>IF(P450="","",IFERROR(ROUND(CHOOSE(VALUE(RIGHT(P450,1)),(IF(LUNES!C176="peso_corporal",IF(ISNUMBER(LUNES!E176),LUNES!E176,0)+LUNES!F176,LUNES!F176))*(1+LUNES!G176/30),(IF(LUNES!C176="peso_corporal",IF(ISNUMBER(LUNES!E176),LUNES!E176,0)+LUNES!I176,LUNES!I176))*(1+LUNES!J176/30),(IF(LUNES!C176="peso_corporal",IF(ISNUMBER(LUNES!E176),LUNES!E176,0)+LUNES!L176,LUNES!L176))*(1+LUNES!M176/30),(IF(LUNES!C176="peso_corporal",IF(ISNUMBER(LUNES!E176),LUNES!E176,0)+LUNES!O176,LUNES!O176))*(1+LUNES!P176/30),(IF(LUNES!C176="peso_corporal",IF(ISNUMBER(LUNES!E176),LUNES!E176,0)+LUNES!R176,LUNES!R176))*(1+LUNES!S176/30)),1),""))</f>
        <v/>
      </c>
      <c r="L450" s="52">
        <f>IFERROR(LUNES!E176,"")</f>
        <v>80</v>
      </c>
      <c r="M450" s="53" t="str">
        <f>IFERROR(IF(K450="","-",IF(ISNUMBER(LOOKUP(2,1/((HISTORIAL!$O$3:$O$449=O450)*(HISTORIAL!$F$3:$F$449&lt;&gt;"")),HISTORIAL!$K$3:$K$449)),IF(K450&gt;LOOKUP(2,1/((HISTORIAL!$O$3:$O$449=O450)*(HISTORIAL!$F$3:$F$449&lt;&gt;"")),HISTORIAL!$K$3:$K$449),"^",IF(K450&lt;LOOKUP(2,1/((HISTORIAL!$O$3:$O$449=O450)*(HISTORIAL!$F$3:$F$449&lt;&gt;"")),HISTORIAL!$K$3:$K$449),"v","-")),"-")),"-")</f>
        <v>-</v>
      </c>
      <c r="N450" s="54" t="str">
        <f>IFERROR(VLOOKUP(A450,CONFIG!$A$10:$B$21,2,0),"")</f>
        <v>HIP</v>
      </c>
      <c r="O450" s="55" t="str">
        <f t="shared" si="13"/>
        <v>Press Militar|Mancuernas Sentado</v>
      </c>
      <c r="P450" s="69" t="str">
        <f>LUNES!AC176</f>
        <v/>
      </c>
    </row>
    <row r="451" spans="1:16" ht="14.1" customHeight="1">
      <c r="A451" s="37">
        <v>8</v>
      </c>
      <c r="B451" s="37" t="s">
        <v>277</v>
      </c>
      <c r="C451" s="44" t="str">
        <f>LUNES!$A$178</f>
        <v>Extension Triceps</v>
      </c>
      <c r="D451" s="45" t="str">
        <f>LUNES!$B$178</f>
        <v>Press Neutro Polea Individual</v>
      </c>
      <c r="E451" s="37" t="str">
        <f>LUNES!$C$178</f>
        <v>--</v>
      </c>
      <c r="F451" s="46" t="str">
        <f>IF(P451="","",IFERROR(CHOOSE(VALUE(RIGHT(P451,1)),LUNES!F178,LUNES!I178,LUNES!L178,LUNES!O178,LUNES!R178),""))</f>
        <v/>
      </c>
      <c r="G451" s="47" t="str">
        <f>IF(P451="","",IFERROR(CHOOSE(VALUE(RIGHT(P451,1)),LUNES!G178,LUNES!J178,LUNES!M178,LUNES!P178,LUNES!S178),""))</f>
        <v/>
      </c>
      <c r="H451" s="48" t="str">
        <f>IF(P451="","",IFERROR(CHOOSE(VALUE(RIGHT(P451,1)),LUNES!H178,LUNES!K178,LUNES!N178,LUNES!Q178,LUNES!T178),""))</f>
        <v/>
      </c>
      <c r="I451" s="49" t="str">
        <f t="shared" ref="I451:I514" si="14">IF(P451="","",LEFT(P451,1))</f>
        <v/>
      </c>
      <c r="J451" s="50" t="str">
        <f>IF(P451="","",IFERROR(ROUND(CHOOSE(VALUE(RIGHT(P451,1)),IF(LUNES!C178="peso_corporal",IF(ISNUMBER(LUNES!E178),LUNES!E178,0)+LUNES!F178,LUNES!F178)*LUNES!G178,IF(LUNES!C178="peso_corporal",IF(ISNUMBER(LUNES!E178),LUNES!E178,0)+LUNES!I178,LUNES!I178)*LUNES!J178,IF(LUNES!C178="peso_corporal",IF(ISNUMBER(LUNES!E178),LUNES!E178,0)+LUNES!L178,LUNES!L178)*LUNES!M178,IF(LUNES!C178="peso_corporal",IF(ISNUMBER(LUNES!E178),LUNES!E178,0)+LUNES!O178,LUNES!O178)*LUNES!P178,IF(LUNES!C178="peso_corporal",IF(ISNUMBER(LUNES!E178),LUNES!E178,0)+LUNES!R178,LUNES!R178)*LUNES!S178),1),""))</f>
        <v/>
      </c>
      <c r="K451" s="51" t="str">
        <f>IF(P451="","",IFERROR(ROUND(CHOOSE(VALUE(RIGHT(P451,1)),(IF(LUNES!C178="peso_corporal",IF(ISNUMBER(LUNES!E178),LUNES!E178,0)+LUNES!F178,LUNES!F178))*(1+LUNES!G178/30),(IF(LUNES!C178="peso_corporal",IF(ISNUMBER(LUNES!E178),LUNES!E178,0)+LUNES!I178,LUNES!I178))*(1+LUNES!J178/30),(IF(LUNES!C178="peso_corporal",IF(ISNUMBER(LUNES!E178),LUNES!E178,0)+LUNES!L178,LUNES!L178))*(1+LUNES!M178/30),(IF(LUNES!C178="peso_corporal",IF(ISNUMBER(LUNES!E178),LUNES!E178,0)+LUNES!O178,LUNES!O178))*(1+LUNES!P178/30),(IF(LUNES!C178="peso_corporal",IF(ISNUMBER(LUNES!E178),LUNES!E178,0)+LUNES!R178,LUNES!R178))*(1+LUNES!S178/30)),1),""))</f>
        <v/>
      </c>
      <c r="L451" s="52">
        <f>IFERROR(LUNES!E178,"")</f>
        <v>80</v>
      </c>
      <c r="M451" s="53" t="str">
        <f>IFERROR(IF(K451="","-",IF(ISNUMBER(LOOKUP(2,1/((HISTORIAL!$O$3:$O$450=O451)*(HISTORIAL!$F$3:$F$450&lt;&gt;"")),HISTORIAL!$K$3:$K$450)),IF(K451&gt;LOOKUP(2,1/((HISTORIAL!$O$3:$O$450=O451)*(HISTORIAL!$F$3:$F$450&lt;&gt;"")),HISTORIAL!$K$3:$K$450),"^",IF(K451&lt;LOOKUP(2,1/((HISTORIAL!$O$3:$O$450=O451)*(HISTORIAL!$F$3:$F$450&lt;&gt;"")),HISTORIAL!$K$3:$K$450),"v","-")),"-")),"-")</f>
        <v>-</v>
      </c>
      <c r="N451" s="54" t="str">
        <f>IFERROR(VLOOKUP(A451,CONFIG!$A$10:$B$21,2,0),"")</f>
        <v>HIP</v>
      </c>
      <c r="O451" s="55" t="str">
        <f t="shared" ref="O451:O514" si="15">C451&amp;"|"&amp;D451</f>
        <v>Extension Triceps|Press Neutro Polea Individual</v>
      </c>
      <c r="P451" s="69" t="str">
        <f>LUNES!AC178</f>
        <v/>
      </c>
    </row>
    <row r="452" spans="1:16" ht="14.1" customHeight="1">
      <c r="A452" s="37">
        <v>8</v>
      </c>
      <c r="B452" s="37" t="s">
        <v>277</v>
      </c>
      <c r="C452" s="44" t="str">
        <f>LUNES!$A$180</f>
        <v>Extension Cuadriceps</v>
      </c>
      <c r="D452" s="45" t="str">
        <f>LUNES!$B$180</f>
        <v>Vasto Externo</v>
      </c>
      <c r="E452" s="37" t="str">
        <f>LUNES!$C$180</f>
        <v>--</v>
      </c>
      <c r="F452" s="46" t="str">
        <f>IF(P452="","",IFERROR(CHOOSE(VALUE(RIGHT(P452,1)),LUNES!F180,LUNES!I180,LUNES!L180,LUNES!O180,LUNES!R180),""))</f>
        <v/>
      </c>
      <c r="G452" s="47" t="str">
        <f>IF(P452="","",IFERROR(CHOOSE(VALUE(RIGHT(P452,1)),LUNES!G180,LUNES!J180,LUNES!M180,LUNES!P180,LUNES!S180),""))</f>
        <v/>
      </c>
      <c r="H452" s="48" t="str">
        <f>IF(P452="","",IFERROR(CHOOSE(VALUE(RIGHT(P452,1)),LUNES!H180,LUNES!K180,LUNES!N180,LUNES!Q180,LUNES!T180),""))</f>
        <v/>
      </c>
      <c r="I452" s="49" t="str">
        <f t="shared" si="14"/>
        <v/>
      </c>
      <c r="J452" s="50" t="str">
        <f>IF(P452="","",IFERROR(ROUND(CHOOSE(VALUE(RIGHT(P452,1)),IF(LUNES!C180="peso_corporal",IF(ISNUMBER(LUNES!E180),LUNES!E180,0)+LUNES!F180,LUNES!F180)*LUNES!G180,IF(LUNES!C180="peso_corporal",IF(ISNUMBER(LUNES!E180),LUNES!E180,0)+LUNES!I180,LUNES!I180)*LUNES!J180,IF(LUNES!C180="peso_corporal",IF(ISNUMBER(LUNES!E180),LUNES!E180,0)+LUNES!L180,LUNES!L180)*LUNES!M180,IF(LUNES!C180="peso_corporal",IF(ISNUMBER(LUNES!E180),LUNES!E180,0)+LUNES!O180,LUNES!O180)*LUNES!P180,IF(LUNES!C180="peso_corporal",IF(ISNUMBER(LUNES!E180),LUNES!E180,0)+LUNES!R180,LUNES!R180)*LUNES!S180),1),""))</f>
        <v/>
      </c>
      <c r="K452" s="51" t="str">
        <f>IF(P452="","",IFERROR(ROUND(CHOOSE(VALUE(RIGHT(P452,1)),(IF(LUNES!C180="peso_corporal",IF(ISNUMBER(LUNES!E180),LUNES!E180,0)+LUNES!F180,LUNES!F180))*(1+LUNES!G180/30),(IF(LUNES!C180="peso_corporal",IF(ISNUMBER(LUNES!E180),LUNES!E180,0)+LUNES!I180,LUNES!I180))*(1+LUNES!J180/30),(IF(LUNES!C180="peso_corporal",IF(ISNUMBER(LUNES!E180),LUNES!E180,0)+LUNES!L180,LUNES!L180))*(1+LUNES!M180/30),(IF(LUNES!C180="peso_corporal",IF(ISNUMBER(LUNES!E180),LUNES!E180,0)+LUNES!O180,LUNES!O180))*(1+LUNES!P180/30),(IF(LUNES!C180="peso_corporal",IF(ISNUMBER(LUNES!E180),LUNES!E180,0)+LUNES!R180,LUNES!R180))*(1+LUNES!S180/30)),1),""))</f>
        <v/>
      </c>
      <c r="L452" s="52">
        <f>IFERROR(LUNES!E180,"")</f>
        <v>80</v>
      </c>
      <c r="M452" s="53" t="str">
        <f>IFERROR(IF(K452="","-",IF(ISNUMBER(LOOKUP(2,1/((HISTORIAL!$O$3:$O$451=O452)*(HISTORIAL!$F$3:$F$451&lt;&gt;"")),HISTORIAL!$K$3:$K$451)),IF(K452&gt;LOOKUP(2,1/((HISTORIAL!$O$3:$O$451=O452)*(HISTORIAL!$F$3:$F$451&lt;&gt;"")),HISTORIAL!$K$3:$K$451),"^",IF(K452&lt;LOOKUP(2,1/((HISTORIAL!$O$3:$O$451=O452)*(HISTORIAL!$F$3:$F$451&lt;&gt;"")),HISTORIAL!$K$3:$K$451),"v","-")),"-")),"-")</f>
        <v>-</v>
      </c>
      <c r="N452" s="54" t="str">
        <f>IFERROR(VLOOKUP(A452,CONFIG!$A$10:$B$21,2,0),"")</f>
        <v>HIP</v>
      </c>
      <c r="O452" s="55" t="str">
        <f t="shared" si="15"/>
        <v>Extension Cuadriceps|Vasto Externo</v>
      </c>
      <c r="P452" s="69" t="str">
        <f>LUNES!AC180</f>
        <v/>
      </c>
    </row>
    <row r="453" spans="1:16" ht="14.1" customHeight="1">
      <c r="A453" s="37">
        <v>8</v>
      </c>
      <c r="B453" s="37" t="s">
        <v>277</v>
      </c>
      <c r="C453" s="44" t="str">
        <f>LUNES!$A$182</f>
        <v>Curl Biceps</v>
      </c>
      <c r="D453" s="45" t="str">
        <f>LUNES!$B$182</f>
        <v>Inclinado Banco Mancuernas</v>
      </c>
      <c r="E453" s="37" t="str">
        <f>LUNES!$C$182</f>
        <v>mancuerna</v>
      </c>
      <c r="F453" s="46" t="str">
        <f>IF(P453="","",IFERROR(CHOOSE(VALUE(RIGHT(P453,1)),LUNES!F182,LUNES!I182,LUNES!L182,LUNES!O182,LUNES!R182),""))</f>
        <v/>
      </c>
      <c r="G453" s="47" t="str">
        <f>IF(P453="","",IFERROR(CHOOSE(VALUE(RIGHT(P453,1)),LUNES!G182,LUNES!J182,LUNES!M182,LUNES!P182,LUNES!S182),""))</f>
        <v/>
      </c>
      <c r="H453" s="48" t="str">
        <f>IF(P453="","",IFERROR(CHOOSE(VALUE(RIGHT(P453,1)),LUNES!H182,LUNES!K182,LUNES!N182,LUNES!Q182,LUNES!T182),""))</f>
        <v/>
      </c>
      <c r="I453" s="49" t="str">
        <f t="shared" si="14"/>
        <v/>
      </c>
      <c r="J453" s="50" t="str">
        <f>IF(P453="","",IFERROR(ROUND(CHOOSE(VALUE(RIGHT(P453,1)),IF(LUNES!C182="peso_corporal",IF(ISNUMBER(LUNES!E182),LUNES!E182,0)+LUNES!F182,LUNES!F182)*LUNES!G182,IF(LUNES!C182="peso_corporal",IF(ISNUMBER(LUNES!E182),LUNES!E182,0)+LUNES!I182,LUNES!I182)*LUNES!J182,IF(LUNES!C182="peso_corporal",IF(ISNUMBER(LUNES!E182),LUNES!E182,0)+LUNES!L182,LUNES!L182)*LUNES!M182,IF(LUNES!C182="peso_corporal",IF(ISNUMBER(LUNES!E182),LUNES!E182,0)+LUNES!O182,LUNES!O182)*LUNES!P182,IF(LUNES!C182="peso_corporal",IF(ISNUMBER(LUNES!E182),LUNES!E182,0)+LUNES!R182,LUNES!R182)*LUNES!S182),1),""))</f>
        <v/>
      </c>
      <c r="K453" s="51" t="str">
        <f>IF(P453="","",IFERROR(ROUND(CHOOSE(VALUE(RIGHT(P453,1)),(IF(LUNES!C182="peso_corporal",IF(ISNUMBER(LUNES!E182),LUNES!E182,0)+LUNES!F182,LUNES!F182))*(1+LUNES!G182/30),(IF(LUNES!C182="peso_corporal",IF(ISNUMBER(LUNES!E182),LUNES!E182,0)+LUNES!I182,LUNES!I182))*(1+LUNES!J182/30),(IF(LUNES!C182="peso_corporal",IF(ISNUMBER(LUNES!E182),LUNES!E182,0)+LUNES!L182,LUNES!L182))*(1+LUNES!M182/30),(IF(LUNES!C182="peso_corporal",IF(ISNUMBER(LUNES!E182),LUNES!E182,0)+LUNES!O182,LUNES!O182))*(1+LUNES!P182/30),(IF(LUNES!C182="peso_corporal",IF(ISNUMBER(LUNES!E182),LUNES!E182,0)+LUNES!R182,LUNES!R182))*(1+LUNES!S182/30)),1),""))</f>
        <v/>
      </c>
      <c r="L453" s="52">
        <f>IFERROR(LUNES!E182,"")</f>
        <v>80</v>
      </c>
      <c r="M453" s="53" t="str">
        <f>IFERROR(IF(K453="","-",IF(ISNUMBER(LOOKUP(2,1/((HISTORIAL!$O$3:$O$452=O453)*(HISTORIAL!$F$3:$F$452&lt;&gt;"")),HISTORIAL!$K$3:$K$452)),IF(K453&gt;LOOKUP(2,1/((HISTORIAL!$O$3:$O$452=O453)*(HISTORIAL!$F$3:$F$452&lt;&gt;"")),HISTORIAL!$K$3:$K$452),"^",IF(K453&lt;LOOKUP(2,1/((HISTORIAL!$O$3:$O$452=O453)*(HISTORIAL!$F$3:$F$452&lt;&gt;"")),HISTORIAL!$K$3:$K$452),"v","-")),"-")),"-")</f>
        <v>-</v>
      </c>
      <c r="N453" s="54" t="str">
        <f>IFERROR(VLOOKUP(A453,CONFIG!$A$10:$B$21,2,0),"")</f>
        <v>HIP</v>
      </c>
      <c r="O453" s="55" t="str">
        <f t="shared" si="15"/>
        <v>Curl Biceps|Inclinado Banco Mancuernas</v>
      </c>
      <c r="P453" s="69" t="str">
        <f>LUNES!AC182</f>
        <v/>
      </c>
    </row>
    <row r="454" spans="1:16" ht="14.1" customHeight="1">
      <c r="A454" s="37">
        <v>8</v>
      </c>
      <c r="B454" s="37" t="s">
        <v>277</v>
      </c>
      <c r="C454" s="44" t="str">
        <f>LUNES!$A$184</f>
        <v>Crunch</v>
      </c>
      <c r="D454" s="45" t="str">
        <f>LUNES!$B$184</f>
        <v>Polea</v>
      </c>
      <c r="E454" s="37" t="str">
        <f>LUNES!$C$184</f>
        <v>polea</v>
      </c>
      <c r="F454" s="46" t="str">
        <f>IF(P454="","",IFERROR(CHOOSE(VALUE(RIGHT(P454,1)),LUNES!F184,LUNES!I184,LUNES!L184,LUNES!O184,LUNES!R184),""))</f>
        <v/>
      </c>
      <c r="G454" s="47" t="str">
        <f>IF(P454="","",IFERROR(CHOOSE(VALUE(RIGHT(P454,1)),LUNES!G184,LUNES!J184,LUNES!M184,LUNES!P184,LUNES!S184),""))</f>
        <v/>
      </c>
      <c r="H454" s="48" t="str">
        <f>IF(P454="","",IFERROR(CHOOSE(VALUE(RIGHT(P454,1)),LUNES!H184,LUNES!K184,LUNES!N184,LUNES!Q184,LUNES!T184),""))</f>
        <v/>
      </c>
      <c r="I454" s="49" t="str">
        <f t="shared" si="14"/>
        <v/>
      </c>
      <c r="J454" s="50" t="str">
        <f>IF(P454="","",IFERROR(ROUND(CHOOSE(VALUE(RIGHT(P454,1)),IF(LUNES!C184="peso_corporal",IF(ISNUMBER(LUNES!E184),LUNES!E184,0)+LUNES!F184,LUNES!F184)*LUNES!G184,IF(LUNES!C184="peso_corporal",IF(ISNUMBER(LUNES!E184),LUNES!E184,0)+LUNES!I184,LUNES!I184)*LUNES!J184,IF(LUNES!C184="peso_corporal",IF(ISNUMBER(LUNES!E184),LUNES!E184,0)+LUNES!L184,LUNES!L184)*LUNES!M184,IF(LUNES!C184="peso_corporal",IF(ISNUMBER(LUNES!E184),LUNES!E184,0)+LUNES!O184,LUNES!O184)*LUNES!P184,IF(LUNES!C184="peso_corporal",IF(ISNUMBER(LUNES!E184),LUNES!E184,0)+LUNES!R184,LUNES!R184)*LUNES!S184),1),""))</f>
        <v/>
      </c>
      <c r="K454" s="51" t="str">
        <f>IF(P454="","",IFERROR(ROUND(CHOOSE(VALUE(RIGHT(P454,1)),(IF(LUNES!C184="peso_corporal",IF(ISNUMBER(LUNES!E184),LUNES!E184,0)+LUNES!F184,LUNES!F184))*(1+LUNES!G184/30),(IF(LUNES!C184="peso_corporal",IF(ISNUMBER(LUNES!E184),LUNES!E184,0)+LUNES!I184,LUNES!I184))*(1+LUNES!J184/30),(IF(LUNES!C184="peso_corporal",IF(ISNUMBER(LUNES!E184),LUNES!E184,0)+LUNES!L184,LUNES!L184))*(1+LUNES!M184/30),(IF(LUNES!C184="peso_corporal",IF(ISNUMBER(LUNES!E184),LUNES!E184,0)+LUNES!O184,LUNES!O184))*(1+LUNES!P184/30),(IF(LUNES!C184="peso_corporal",IF(ISNUMBER(LUNES!E184),LUNES!E184,0)+LUNES!R184,LUNES!R184))*(1+LUNES!S184/30)),1),""))</f>
        <v/>
      </c>
      <c r="L454" s="52">
        <f>IFERROR(LUNES!E184,"")</f>
        <v>80</v>
      </c>
      <c r="M454" s="53" t="str">
        <f>IFERROR(IF(K454="","-",IF(ISNUMBER(LOOKUP(2,1/((HISTORIAL!$O$3:$O$453=O454)*(HISTORIAL!$F$3:$F$453&lt;&gt;"")),HISTORIAL!$K$3:$K$453)),IF(K454&gt;LOOKUP(2,1/((HISTORIAL!$O$3:$O$453=O454)*(HISTORIAL!$F$3:$F$453&lt;&gt;"")),HISTORIAL!$K$3:$K$453),"^",IF(K454&lt;LOOKUP(2,1/((HISTORIAL!$O$3:$O$453=O454)*(HISTORIAL!$F$3:$F$453&lt;&gt;"")),HISTORIAL!$K$3:$K$453),"v","-")),"-")),"-")</f>
        <v>-</v>
      </c>
      <c r="N454" s="54" t="str">
        <f>IFERROR(VLOOKUP(A454,CONFIG!$A$10:$B$21,2,0),"")</f>
        <v>HIP</v>
      </c>
      <c r="O454" s="55" t="str">
        <f t="shared" si="15"/>
        <v>Crunch|Polea</v>
      </c>
      <c r="P454" s="69" t="str">
        <f>LUNES!AC184</f>
        <v/>
      </c>
    </row>
    <row r="455" spans="1:16" ht="14.1" customHeight="1">
      <c r="A455" s="37">
        <v>8</v>
      </c>
      <c r="B455" s="37" t="s">
        <v>278</v>
      </c>
      <c r="C455" s="44" t="str">
        <f>MARTES!$A$160</f>
        <v>Dominadas</v>
      </c>
      <c r="D455" s="45" t="str">
        <f>MARTES!$B$160</f>
        <v>Polea Alta Prono Ancho</v>
      </c>
      <c r="E455" s="37" t="str">
        <f>MARTES!$C$160</f>
        <v>peso_corporal</v>
      </c>
      <c r="F455" s="46" t="str">
        <f>IF(P455="","",IFERROR(CHOOSE(VALUE(RIGHT(P455,1)),MARTES!F160,MARTES!I160,MARTES!L160,MARTES!O160,MARTES!R160),""))</f>
        <v/>
      </c>
      <c r="G455" s="47" t="str">
        <f>IF(P455="","",IFERROR(CHOOSE(VALUE(RIGHT(P455,1)),MARTES!G160,MARTES!J160,MARTES!M160,MARTES!P160,MARTES!S160),""))</f>
        <v/>
      </c>
      <c r="H455" s="48" t="str">
        <f>IF(P455="","",IFERROR(CHOOSE(VALUE(RIGHT(P455,1)),MARTES!H160,MARTES!K160,MARTES!N160,MARTES!Q160,MARTES!T160),""))</f>
        <v/>
      </c>
      <c r="I455" s="49" t="str">
        <f t="shared" si="14"/>
        <v/>
      </c>
      <c r="J455" s="50" t="str">
        <f>IF(P455="","",IFERROR(ROUND(CHOOSE(VALUE(RIGHT(P455,1)),IF(MARTES!C160="peso_corporal",IF(ISNUMBER(MARTES!E160),MARTES!E160,0)+MARTES!F160,MARTES!F160)*MARTES!G160,IF(MARTES!C160="peso_corporal",IF(ISNUMBER(MARTES!E160),MARTES!E160,0)+MARTES!I160,MARTES!I160)*MARTES!J160,IF(MARTES!C160="peso_corporal",IF(ISNUMBER(MARTES!E160),MARTES!E160,0)+MARTES!L160,MARTES!L160)*MARTES!M160,IF(MARTES!C160="peso_corporal",IF(ISNUMBER(MARTES!E160),MARTES!E160,0)+MARTES!O160,MARTES!O160)*MARTES!P160,IF(MARTES!C160="peso_corporal",IF(ISNUMBER(MARTES!E160),MARTES!E160,0)+MARTES!R160,MARTES!R160)*MARTES!S160),1),""))</f>
        <v/>
      </c>
      <c r="K455" s="51" t="str">
        <f>IF(P455="","",IFERROR(ROUND(CHOOSE(VALUE(RIGHT(P455,1)),(IF(MARTES!C160="peso_corporal",IF(ISNUMBER(MARTES!E160),MARTES!E160,0)+MARTES!F160,MARTES!F160))*(1+MARTES!G160/30),(IF(MARTES!C160="peso_corporal",IF(ISNUMBER(MARTES!E160),MARTES!E160,0)+MARTES!I160,MARTES!I160))*(1+MARTES!J160/30),(IF(MARTES!C160="peso_corporal",IF(ISNUMBER(MARTES!E160),MARTES!E160,0)+MARTES!L160,MARTES!L160))*(1+MARTES!M160/30),(IF(MARTES!C160="peso_corporal",IF(ISNUMBER(MARTES!E160),MARTES!E160,0)+MARTES!O160,MARTES!O160))*(1+MARTES!P160/30),(IF(MARTES!C160="peso_corporal",IF(ISNUMBER(MARTES!E160),MARTES!E160,0)+MARTES!R160,MARTES!R160))*(1+MARTES!S160/30)),1),""))</f>
        <v/>
      </c>
      <c r="L455" s="52">
        <f>IFERROR(MARTES!E160,"")</f>
        <v>80</v>
      </c>
      <c r="M455" s="53" t="str">
        <f>IFERROR(IF(K455="","-",IF(ISNUMBER(LOOKUP(2,1/((HISTORIAL!$O$3:$O$454=O455)*(HISTORIAL!$F$3:$F$454&lt;&gt;"")),HISTORIAL!$K$3:$K$454)),IF(K455&gt;LOOKUP(2,1/((HISTORIAL!$O$3:$O$454=O455)*(HISTORIAL!$F$3:$F$454&lt;&gt;"")),HISTORIAL!$K$3:$K$454),"^",IF(K455&lt;LOOKUP(2,1/((HISTORIAL!$O$3:$O$454=O455)*(HISTORIAL!$F$3:$F$454&lt;&gt;"")),HISTORIAL!$K$3:$K$454),"v","-")),"-")),"-")</f>
        <v>-</v>
      </c>
      <c r="N455" s="54" t="str">
        <f>IFERROR(VLOOKUP(A455,CONFIG!$A$10:$B$21,2,0),"")</f>
        <v>HIP</v>
      </c>
      <c r="O455" s="55" t="str">
        <f t="shared" si="15"/>
        <v>Dominadas|Polea Alta Prono Ancho</v>
      </c>
      <c r="P455" s="69" t="str">
        <f>MARTES!AC160</f>
        <v/>
      </c>
    </row>
    <row r="456" spans="1:16" ht="14.1" customHeight="1">
      <c r="A456" s="37">
        <v>8</v>
      </c>
      <c r="B456" s="37" t="s">
        <v>278</v>
      </c>
      <c r="C456" s="44" t="str">
        <f>MARTES!$A$161</f>
        <v>Pulldown</v>
      </c>
      <c r="D456" s="45" t="str">
        <f>MARTES!$B$161</f>
        <v>Polea Alta Brazos Rectos Prono</v>
      </c>
      <c r="E456" s="37" t="str">
        <f>MARTES!$C$161</f>
        <v>polea</v>
      </c>
      <c r="F456" s="46" t="str">
        <f>IF(P456="","",IFERROR(CHOOSE(VALUE(RIGHT(P456,1)),MARTES!F161,MARTES!I161,MARTES!L161,MARTES!O161,MARTES!R161),""))</f>
        <v/>
      </c>
      <c r="G456" s="47" t="str">
        <f>IF(P456="","",IFERROR(CHOOSE(VALUE(RIGHT(P456,1)),MARTES!G161,MARTES!J161,MARTES!M161,MARTES!P161,MARTES!S161),""))</f>
        <v/>
      </c>
      <c r="H456" s="48" t="str">
        <f>IF(P456="","",IFERROR(CHOOSE(VALUE(RIGHT(P456,1)),MARTES!H161,MARTES!K161,MARTES!N161,MARTES!Q161,MARTES!T161),""))</f>
        <v/>
      </c>
      <c r="I456" s="49" t="str">
        <f t="shared" si="14"/>
        <v/>
      </c>
      <c r="J456" s="50" t="str">
        <f>IF(P456="","",IFERROR(ROUND(CHOOSE(VALUE(RIGHT(P456,1)),IF(MARTES!C161="peso_corporal",IF(ISNUMBER(MARTES!E161),MARTES!E161,0)+MARTES!F161,MARTES!F161)*MARTES!G161,IF(MARTES!C161="peso_corporal",IF(ISNUMBER(MARTES!E161),MARTES!E161,0)+MARTES!I161,MARTES!I161)*MARTES!J161,IF(MARTES!C161="peso_corporal",IF(ISNUMBER(MARTES!E161),MARTES!E161,0)+MARTES!L161,MARTES!L161)*MARTES!M161,IF(MARTES!C161="peso_corporal",IF(ISNUMBER(MARTES!E161),MARTES!E161,0)+MARTES!O161,MARTES!O161)*MARTES!P161,IF(MARTES!C161="peso_corporal",IF(ISNUMBER(MARTES!E161),MARTES!E161,0)+MARTES!R161,MARTES!R161)*MARTES!S161),1),""))</f>
        <v/>
      </c>
      <c r="K456" s="51" t="str">
        <f>IF(P456="","",IFERROR(ROUND(CHOOSE(VALUE(RIGHT(P456,1)),(IF(MARTES!C161="peso_corporal",IF(ISNUMBER(MARTES!E161),MARTES!E161,0)+MARTES!F161,MARTES!F161))*(1+MARTES!G161/30),(IF(MARTES!C161="peso_corporal",IF(ISNUMBER(MARTES!E161),MARTES!E161,0)+MARTES!I161,MARTES!I161))*(1+MARTES!J161/30),(IF(MARTES!C161="peso_corporal",IF(ISNUMBER(MARTES!E161),MARTES!E161,0)+MARTES!L161,MARTES!L161))*(1+MARTES!M161/30),(IF(MARTES!C161="peso_corporal",IF(ISNUMBER(MARTES!E161),MARTES!E161,0)+MARTES!O161,MARTES!O161))*(1+MARTES!P161/30),(IF(MARTES!C161="peso_corporal",IF(ISNUMBER(MARTES!E161),MARTES!E161,0)+MARTES!R161,MARTES!R161))*(1+MARTES!S161/30)),1),""))</f>
        <v/>
      </c>
      <c r="L456" s="52">
        <f>IFERROR(MARTES!E161,"")</f>
        <v>80</v>
      </c>
      <c r="M456" s="53" t="str">
        <f>IFERROR(IF(K456="","-",IF(ISNUMBER(LOOKUP(2,1/((HISTORIAL!$O$3:$O$455=O456)*(HISTORIAL!$F$3:$F$455&lt;&gt;"")),HISTORIAL!$K$3:$K$455)),IF(K456&gt;LOOKUP(2,1/((HISTORIAL!$O$3:$O$455=O456)*(HISTORIAL!$F$3:$F$455&lt;&gt;"")),HISTORIAL!$K$3:$K$455),"^",IF(K456&lt;LOOKUP(2,1/((HISTORIAL!$O$3:$O$455=O456)*(HISTORIAL!$F$3:$F$455&lt;&gt;"")),HISTORIAL!$K$3:$K$455),"v","-")),"-")),"-")</f>
        <v>-</v>
      </c>
      <c r="N456" s="54" t="str">
        <f>IFERROR(VLOOKUP(A456,CONFIG!$A$10:$B$21,2,0),"")</f>
        <v>HIP</v>
      </c>
      <c r="O456" s="55" t="str">
        <f t="shared" si="15"/>
        <v>Pulldown|Polea Alta Brazos Rectos Prono</v>
      </c>
      <c r="P456" s="69" t="str">
        <f>MARTES!AC161</f>
        <v/>
      </c>
    </row>
    <row r="457" spans="1:16" ht="14.1" customHeight="1">
      <c r="A457" s="37">
        <v>8</v>
      </c>
      <c r="B457" s="37" t="s">
        <v>278</v>
      </c>
      <c r="C457" s="44" t="str">
        <f>MARTES!$A$163</f>
        <v>Remo</v>
      </c>
      <c r="D457" s="45" t="str">
        <f>MARTES!$B$163</f>
        <v>Maquina Hammer Neutro Unilateral</v>
      </c>
      <c r="E457" s="37" t="str">
        <f>MARTES!$C$163</f>
        <v>polea</v>
      </c>
      <c r="F457" s="46" t="str">
        <f>IF(P457="","",IFERROR(CHOOSE(VALUE(RIGHT(P457,1)),MARTES!F163,MARTES!I163,MARTES!L163,MARTES!O163,MARTES!R163),""))</f>
        <v/>
      </c>
      <c r="G457" s="47" t="str">
        <f>IF(P457="","",IFERROR(CHOOSE(VALUE(RIGHT(P457,1)),MARTES!G163,MARTES!J163,MARTES!M163,MARTES!P163,MARTES!S163),""))</f>
        <v/>
      </c>
      <c r="H457" s="48" t="str">
        <f>IF(P457="","",IFERROR(CHOOSE(VALUE(RIGHT(P457,1)),MARTES!H163,MARTES!K163,MARTES!N163,MARTES!Q163,MARTES!T163),""))</f>
        <v/>
      </c>
      <c r="I457" s="49" t="str">
        <f t="shared" si="14"/>
        <v/>
      </c>
      <c r="J457" s="50" t="str">
        <f>IF(P457="","",IFERROR(ROUND(CHOOSE(VALUE(RIGHT(P457,1)),IF(MARTES!C163="peso_corporal",IF(ISNUMBER(MARTES!E163),MARTES!E163,0)+MARTES!F163,MARTES!F163)*MARTES!G163,IF(MARTES!C163="peso_corporal",IF(ISNUMBER(MARTES!E163),MARTES!E163,0)+MARTES!I163,MARTES!I163)*MARTES!J163,IF(MARTES!C163="peso_corporal",IF(ISNUMBER(MARTES!E163),MARTES!E163,0)+MARTES!L163,MARTES!L163)*MARTES!M163,IF(MARTES!C163="peso_corporal",IF(ISNUMBER(MARTES!E163),MARTES!E163,0)+MARTES!O163,MARTES!O163)*MARTES!P163,IF(MARTES!C163="peso_corporal",IF(ISNUMBER(MARTES!E163),MARTES!E163,0)+MARTES!R163,MARTES!R163)*MARTES!S163),1),""))</f>
        <v/>
      </c>
      <c r="K457" s="51" t="str">
        <f>IF(P457="","",IFERROR(ROUND(CHOOSE(VALUE(RIGHT(P457,1)),(IF(MARTES!C163="peso_corporal",IF(ISNUMBER(MARTES!E163),MARTES!E163,0)+MARTES!F163,MARTES!F163))*(1+MARTES!G163/30),(IF(MARTES!C163="peso_corporal",IF(ISNUMBER(MARTES!E163),MARTES!E163,0)+MARTES!I163,MARTES!I163))*(1+MARTES!J163/30),(IF(MARTES!C163="peso_corporal",IF(ISNUMBER(MARTES!E163),MARTES!E163,0)+MARTES!L163,MARTES!L163))*(1+MARTES!M163/30),(IF(MARTES!C163="peso_corporal",IF(ISNUMBER(MARTES!E163),MARTES!E163,0)+MARTES!O163,MARTES!O163))*(1+MARTES!P163/30),(IF(MARTES!C163="peso_corporal",IF(ISNUMBER(MARTES!E163),MARTES!E163,0)+MARTES!R163,MARTES!R163))*(1+MARTES!S163/30)),1),""))</f>
        <v/>
      </c>
      <c r="L457" s="52">
        <f>IFERROR(MARTES!E163,"")</f>
        <v>80</v>
      </c>
      <c r="M457" s="53" t="str">
        <f>IFERROR(IF(K457="","-",IF(ISNUMBER(LOOKUP(2,1/((HISTORIAL!$O$3:$O$456=O457)*(HISTORIAL!$F$3:$F$456&lt;&gt;"")),HISTORIAL!$K$3:$K$456)),IF(K457&gt;LOOKUP(2,1/((HISTORIAL!$O$3:$O$456=O457)*(HISTORIAL!$F$3:$F$456&lt;&gt;"")),HISTORIAL!$K$3:$K$456),"^",IF(K457&lt;LOOKUP(2,1/((HISTORIAL!$O$3:$O$456=O457)*(HISTORIAL!$F$3:$F$456&lt;&gt;"")),HISTORIAL!$K$3:$K$456),"v","-")),"-")),"-")</f>
        <v>-</v>
      </c>
      <c r="N457" s="54" t="str">
        <f>IFERROR(VLOOKUP(A457,CONFIG!$A$10:$B$21,2,0),"")</f>
        <v>HIP</v>
      </c>
      <c r="O457" s="55" t="str">
        <f t="shared" si="15"/>
        <v>Remo|Maquina Hammer Neutro Unilateral</v>
      </c>
      <c r="P457" s="69" t="str">
        <f>MARTES!AC163</f>
        <v/>
      </c>
    </row>
    <row r="458" spans="1:16" ht="14.1" customHeight="1">
      <c r="A458" s="37">
        <v>8</v>
      </c>
      <c r="B458" s="37" t="s">
        <v>278</v>
      </c>
      <c r="C458" s="44" t="str">
        <f>MARTES!$A$164</f>
        <v>Remo</v>
      </c>
      <c r="D458" s="45" t="str">
        <f>MARTES!$B$164</f>
        <v>Maquina Prono</v>
      </c>
      <c r="E458" s="37" t="str">
        <f>MARTES!$C$164</f>
        <v>polea</v>
      </c>
      <c r="F458" s="46" t="str">
        <f>IF(P458="","",IFERROR(CHOOSE(VALUE(RIGHT(P458,1)),MARTES!F164,MARTES!I164,MARTES!L164,MARTES!O164,MARTES!R164),""))</f>
        <v/>
      </c>
      <c r="G458" s="47" t="str">
        <f>IF(P458="","",IFERROR(CHOOSE(VALUE(RIGHT(P458,1)),MARTES!G164,MARTES!J164,MARTES!M164,MARTES!P164,MARTES!S164),""))</f>
        <v/>
      </c>
      <c r="H458" s="48" t="str">
        <f>IF(P458="","",IFERROR(CHOOSE(VALUE(RIGHT(P458,1)),MARTES!H164,MARTES!K164,MARTES!N164,MARTES!Q164,MARTES!T164),""))</f>
        <v/>
      </c>
      <c r="I458" s="49" t="str">
        <f t="shared" si="14"/>
        <v/>
      </c>
      <c r="J458" s="50" t="str">
        <f>IF(P458="","",IFERROR(ROUND(CHOOSE(VALUE(RIGHT(P458,1)),IF(MARTES!C164="peso_corporal",IF(ISNUMBER(MARTES!E164),MARTES!E164,0)+MARTES!F164,MARTES!F164)*MARTES!G164,IF(MARTES!C164="peso_corporal",IF(ISNUMBER(MARTES!E164),MARTES!E164,0)+MARTES!I164,MARTES!I164)*MARTES!J164,IF(MARTES!C164="peso_corporal",IF(ISNUMBER(MARTES!E164),MARTES!E164,0)+MARTES!L164,MARTES!L164)*MARTES!M164,IF(MARTES!C164="peso_corporal",IF(ISNUMBER(MARTES!E164),MARTES!E164,0)+MARTES!O164,MARTES!O164)*MARTES!P164,IF(MARTES!C164="peso_corporal",IF(ISNUMBER(MARTES!E164),MARTES!E164,0)+MARTES!R164,MARTES!R164)*MARTES!S164),1),""))</f>
        <v/>
      </c>
      <c r="K458" s="51" t="str">
        <f>IF(P458="","",IFERROR(ROUND(CHOOSE(VALUE(RIGHT(P458,1)),(IF(MARTES!C164="peso_corporal",IF(ISNUMBER(MARTES!E164),MARTES!E164,0)+MARTES!F164,MARTES!F164))*(1+MARTES!G164/30),(IF(MARTES!C164="peso_corporal",IF(ISNUMBER(MARTES!E164),MARTES!E164,0)+MARTES!I164,MARTES!I164))*(1+MARTES!J164/30),(IF(MARTES!C164="peso_corporal",IF(ISNUMBER(MARTES!E164),MARTES!E164,0)+MARTES!L164,MARTES!L164))*(1+MARTES!M164/30),(IF(MARTES!C164="peso_corporal",IF(ISNUMBER(MARTES!E164),MARTES!E164,0)+MARTES!O164,MARTES!O164))*(1+MARTES!P164/30),(IF(MARTES!C164="peso_corporal",IF(ISNUMBER(MARTES!E164),MARTES!E164,0)+MARTES!R164,MARTES!R164))*(1+MARTES!S164/30)),1),""))</f>
        <v/>
      </c>
      <c r="L458" s="52">
        <f>IFERROR(MARTES!E164,"")</f>
        <v>80</v>
      </c>
      <c r="M458" s="53" t="str">
        <f>IFERROR(IF(K458="","-",IF(ISNUMBER(LOOKUP(2,1/((HISTORIAL!$O$3:$O$457=O458)*(HISTORIAL!$F$3:$F$457&lt;&gt;"")),HISTORIAL!$K$3:$K$457)),IF(K458&gt;LOOKUP(2,1/((HISTORIAL!$O$3:$O$457=O458)*(HISTORIAL!$F$3:$F$457&lt;&gt;"")),HISTORIAL!$K$3:$K$457),"^",IF(K458&lt;LOOKUP(2,1/((HISTORIAL!$O$3:$O$457=O458)*(HISTORIAL!$F$3:$F$457&lt;&gt;"")),HISTORIAL!$K$3:$K$457),"v","-")),"-")),"-")</f>
        <v>-</v>
      </c>
      <c r="N458" s="54" t="str">
        <f>IFERROR(VLOOKUP(A458,CONFIG!$A$10:$B$21,2,0),"")</f>
        <v>HIP</v>
      </c>
      <c r="O458" s="55" t="str">
        <f t="shared" si="15"/>
        <v>Remo|Maquina Prono</v>
      </c>
      <c r="P458" s="69" t="str">
        <f>MARTES!AC164</f>
        <v/>
      </c>
    </row>
    <row r="459" spans="1:16" ht="14.1" customHeight="1">
      <c r="A459" s="37">
        <v>8</v>
      </c>
      <c r="B459" s="37" t="s">
        <v>278</v>
      </c>
      <c r="C459" s="44" t="str">
        <f>MARTES!$A$166</f>
        <v>Curl Biceps</v>
      </c>
      <c r="D459" s="45" t="str">
        <f>MARTES!$B$166</f>
        <v>Inclinado Banco Mancuernas</v>
      </c>
      <c r="E459" s="37" t="str">
        <f>MARTES!$C$166</f>
        <v>mancuerna</v>
      </c>
      <c r="F459" s="46" t="str">
        <f>IF(P459="","",IFERROR(CHOOSE(VALUE(RIGHT(P459,1)),MARTES!F166,MARTES!I166,MARTES!L166,MARTES!O166,MARTES!R166),""))</f>
        <v/>
      </c>
      <c r="G459" s="47" t="str">
        <f>IF(P459="","",IFERROR(CHOOSE(VALUE(RIGHT(P459,1)),MARTES!G166,MARTES!J166,MARTES!M166,MARTES!P166,MARTES!S166),""))</f>
        <v/>
      </c>
      <c r="H459" s="48" t="str">
        <f>IF(P459="","",IFERROR(CHOOSE(VALUE(RIGHT(P459,1)),MARTES!H166,MARTES!K166,MARTES!N166,MARTES!Q166,MARTES!T166),""))</f>
        <v/>
      </c>
      <c r="I459" s="49" t="str">
        <f t="shared" si="14"/>
        <v/>
      </c>
      <c r="J459" s="50" t="str">
        <f>IF(P459="","",IFERROR(ROUND(CHOOSE(VALUE(RIGHT(P459,1)),IF(MARTES!C166="peso_corporal",IF(ISNUMBER(MARTES!E166),MARTES!E166,0)+MARTES!F166,MARTES!F166)*MARTES!G166,IF(MARTES!C166="peso_corporal",IF(ISNUMBER(MARTES!E166),MARTES!E166,0)+MARTES!I166,MARTES!I166)*MARTES!J166,IF(MARTES!C166="peso_corporal",IF(ISNUMBER(MARTES!E166),MARTES!E166,0)+MARTES!L166,MARTES!L166)*MARTES!M166,IF(MARTES!C166="peso_corporal",IF(ISNUMBER(MARTES!E166),MARTES!E166,0)+MARTES!O166,MARTES!O166)*MARTES!P166,IF(MARTES!C166="peso_corporal",IF(ISNUMBER(MARTES!E166),MARTES!E166,0)+MARTES!R166,MARTES!R166)*MARTES!S166),1),""))</f>
        <v/>
      </c>
      <c r="K459" s="51" t="str">
        <f>IF(P459="","",IFERROR(ROUND(CHOOSE(VALUE(RIGHT(P459,1)),(IF(MARTES!C166="peso_corporal",IF(ISNUMBER(MARTES!E166),MARTES!E166,0)+MARTES!F166,MARTES!F166))*(1+MARTES!G166/30),(IF(MARTES!C166="peso_corporal",IF(ISNUMBER(MARTES!E166),MARTES!E166,0)+MARTES!I166,MARTES!I166))*(1+MARTES!J166/30),(IF(MARTES!C166="peso_corporal",IF(ISNUMBER(MARTES!E166),MARTES!E166,0)+MARTES!L166,MARTES!L166))*(1+MARTES!M166/30),(IF(MARTES!C166="peso_corporal",IF(ISNUMBER(MARTES!E166),MARTES!E166,0)+MARTES!O166,MARTES!O166))*(1+MARTES!P166/30),(IF(MARTES!C166="peso_corporal",IF(ISNUMBER(MARTES!E166),MARTES!E166,0)+MARTES!R166,MARTES!R166))*(1+MARTES!S166/30)),1),""))</f>
        <v/>
      </c>
      <c r="L459" s="52">
        <f>IFERROR(MARTES!E166,"")</f>
        <v>80</v>
      </c>
      <c r="M459" s="53" t="str">
        <f>IFERROR(IF(K459="","-",IF(ISNUMBER(LOOKUP(2,1/((HISTORIAL!$O$3:$O$458=O459)*(HISTORIAL!$F$3:$F$458&lt;&gt;"")),HISTORIAL!$K$3:$K$458)),IF(K459&gt;LOOKUP(2,1/((HISTORIAL!$O$3:$O$458=O459)*(HISTORIAL!$F$3:$F$458&lt;&gt;"")),HISTORIAL!$K$3:$K$458),"^",IF(K459&lt;LOOKUP(2,1/((HISTORIAL!$O$3:$O$458=O459)*(HISTORIAL!$F$3:$F$458&lt;&gt;"")),HISTORIAL!$K$3:$K$458),"v","-")),"-")),"-")</f>
        <v>-</v>
      </c>
      <c r="N459" s="54" t="str">
        <f>IFERROR(VLOOKUP(A459,CONFIG!$A$10:$B$21,2,0),"")</f>
        <v>HIP</v>
      </c>
      <c r="O459" s="55" t="str">
        <f t="shared" si="15"/>
        <v>Curl Biceps|Inclinado Banco Mancuernas</v>
      </c>
      <c r="P459" s="69" t="str">
        <f>MARTES!AC166</f>
        <v/>
      </c>
    </row>
    <row r="460" spans="1:16" ht="14.1" customHeight="1">
      <c r="A460" s="37">
        <v>8</v>
      </c>
      <c r="B460" s="37" t="s">
        <v>278</v>
      </c>
      <c r="C460" s="44" t="str">
        <f>MARTES!$A$167</f>
        <v>Curl Biceps</v>
      </c>
      <c r="D460" s="45" t="str">
        <f>MARTES!$B$167</f>
        <v>Polea Baja Supino</v>
      </c>
      <c r="E460" s="37" t="str">
        <f>MARTES!$C$167</f>
        <v>polea</v>
      </c>
      <c r="F460" s="46" t="str">
        <f>IF(P460="","",IFERROR(CHOOSE(VALUE(RIGHT(P460,1)),MARTES!F167,MARTES!I167,MARTES!L167,MARTES!O167,MARTES!R167),""))</f>
        <v/>
      </c>
      <c r="G460" s="47" t="str">
        <f>IF(P460="","",IFERROR(CHOOSE(VALUE(RIGHT(P460,1)),MARTES!G167,MARTES!J167,MARTES!M167,MARTES!P167,MARTES!S167),""))</f>
        <v/>
      </c>
      <c r="H460" s="48" t="str">
        <f>IF(P460="","",IFERROR(CHOOSE(VALUE(RIGHT(P460,1)),MARTES!H167,MARTES!K167,MARTES!N167,MARTES!Q167,MARTES!T167),""))</f>
        <v/>
      </c>
      <c r="I460" s="49" t="str">
        <f t="shared" si="14"/>
        <v/>
      </c>
      <c r="J460" s="50" t="str">
        <f>IF(P460="","",IFERROR(ROUND(CHOOSE(VALUE(RIGHT(P460,1)),IF(MARTES!C167="peso_corporal",IF(ISNUMBER(MARTES!E167),MARTES!E167,0)+MARTES!F167,MARTES!F167)*MARTES!G167,IF(MARTES!C167="peso_corporal",IF(ISNUMBER(MARTES!E167),MARTES!E167,0)+MARTES!I167,MARTES!I167)*MARTES!J167,IF(MARTES!C167="peso_corporal",IF(ISNUMBER(MARTES!E167),MARTES!E167,0)+MARTES!L167,MARTES!L167)*MARTES!M167,IF(MARTES!C167="peso_corporal",IF(ISNUMBER(MARTES!E167),MARTES!E167,0)+MARTES!O167,MARTES!O167)*MARTES!P167,IF(MARTES!C167="peso_corporal",IF(ISNUMBER(MARTES!E167),MARTES!E167,0)+MARTES!R167,MARTES!R167)*MARTES!S167),1),""))</f>
        <v/>
      </c>
      <c r="K460" s="51" t="str">
        <f>IF(P460="","",IFERROR(ROUND(CHOOSE(VALUE(RIGHT(P460,1)),(IF(MARTES!C167="peso_corporal",IF(ISNUMBER(MARTES!E167),MARTES!E167,0)+MARTES!F167,MARTES!F167))*(1+MARTES!G167/30),(IF(MARTES!C167="peso_corporal",IF(ISNUMBER(MARTES!E167),MARTES!E167,0)+MARTES!I167,MARTES!I167))*(1+MARTES!J167/30),(IF(MARTES!C167="peso_corporal",IF(ISNUMBER(MARTES!E167),MARTES!E167,0)+MARTES!L167,MARTES!L167))*(1+MARTES!M167/30),(IF(MARTES!C167="peso_corporal",IF(ISNUMBER(MARTES!E167),MARTES!E167,0)+MARTES!O167,MARTES!O167))*(1+MARTES!P167/30),(IF(MARTES!C167="peso_corporal",IF(ISNUMBER(MARTES!E167),MARTES!E167,0)+MARTES!R167,MARTES!R167))*(1+MARTES!S167/30)),1),""))</f>
        <v/>
      </c>
      <c r="L460" s="52">
        <f>IFERROR(MARTES!E167,"")</f>
        <v>80</v>
      </c>
      <c r="M460" s="53" t="str">
        <f>IFERROR(IF(K460="","-",IF(ISNUMBER(LOOKUP(2,1/((HISTORIAL!$O$3:$O$459=O460)*(HISTORIAL!$F$3:$F$459&lt;&gt;"")),HISTORIAL!$K$3:$K$459)),IF(K460&gt;LOOKUP(2,1/((HISTORIAL!$O$3:$O$459=O460)*(HISTORIAL!$F$3:$F$459&lt;&gt;"")),HISTORIAL!$K$3:$K$459),"^",IF(K460&lt;LOOKUP(2,1/((HISTORIAL!$O$3:$O$459=O460)*(HISTORIAL!$F$3:$F$459&lt;&gt;"")),HISTORIAL!$K$3:$K$459),"v","-")),"-")),"-")</f>
        <v>-</v>
      </c>
      <c r="N460" s="54" t="str">
        <f>IFERROR(VLOOKUP(A460,CONFIG!$A$10:$B$21,2,0),"")</f>
        <v>HIP</v>
      </c>
      <c r="O460" s="55" t="str">
        <f t="shared" si="15"/>
        <v>Curl Biceps|Polea Baja Supino</v>
      </c>
      <c r="P460" s="69" t="str">
        <f>MARTES!AC167</f>
        <v/>
      </c>
    </row>
    <row r="461" spans="1:16" ht="14.1" customHeight="1">
      <c r="A461" s="37">
        <v>8</v>
      </c>
      <c r="B461" s="37" t="s">
        <v>278</v>
      </c>
      <c r="C461" s="44" t="str">
        <f>MARTES!$A$169</f>
        <v>Curl Muneca</v>
      </c>
      <c r="D461" s="45" t="str">
        <f>MARTES!$B$169</f>
        <v>Supinado</v>
      </c>
      <c r="E461" s="37" t="str">
        <f>MARTES!$C$169</f>
        <v>mancuerna</v>
      </c>
      <c r="F461" s="46" t="str">
        <f>IF(P461="","",IFERROR(CHOOSE(VALUE(RIGHT(P461,1)),MARTES!F169,MARTES!I169,MARTES!L169,MARTES!O169,MARTES!R169),""))</f>
        <v/>
      </c>
      <c r="G461" s="47" t="str">
        <f>IF(P461="","",IFERROR(CHOOSE(VALUE(RIGHT(P461,1)),MARTES!G169,MARTES!J169,MARTES!M169,MARTES!P169,MARTES!S169),""))</f>
        <v/>
      </c>
      <c r="H461" s="48" t="str">
        <f>IF(P461="","",IFERROR(CHOOSE(VALUE(RIGHT(P461,1)),MARTES!H169,MARTES!K169,MARTES!N169,MARTES!Q169,MARTES!T169),""))</f>
        <v/>
      </c>
      <c r="I461" s="49" t="str">
        <f t="shared" si="14"/>
        <v/>
      </c>
      <c r="J461" s="50" t="str">
        <f>IF(P461="","",IFERROR(ROUND(CHOOSE(VALUE(RIGHT(P461,1)),IF(MARTES!C169="peso_corporal",IF(ISNUMBER(MARTES!E169),MARTES!E169,0)+MARTES!F169,MARTES!F169)*MARTES!G169,IF(MARTES!C169="peso_corporal",IF(ISNUMBER(MARTES!E169),MARTES!E169,0)+MARTES!I169,MARTES!I169)*MARTES!J169,IF(MARTES!C169="peso_corporal",IF(ISNUMBER(MARTES!E169),MARTES!E169,0)+MARTES!L169,MARTES!L169)*MARTES!M169,IF(MARTES!C169="peso_corporal",IF(ISNUMBER(MARTES!E169),MARTES!E169,0)+MARTES!O169,MARTES!O169)*MARTES!P169,IF(MARTES!C169="peso_corporal",IF(ISNUMBER(MARTES!E169),MARTES!E169,0)+MARTES!R169,MARTES!R169)*MARTES!S169),1),""))</f>
        <v/>
      </c>
      <c r="K461" s="51" t="str">
        <f>IF(P461="","",IFERROR(ROUND(CHOOSE(VALUE(RIGHT(P461,1)),(IF(MARTES!C169="peso_corporal",IF(ISNUMBER(MARTES!E169),MARTES!E169,0)+MARTES!F169,MARTES!F169))*(1+MARTES!G169/30),(IF(MARTES!C169="peso_corporal",IF(ISNUMBER(MARTES!E169),MARTES!E169,0)+MARTES!I169,MARTES!I169))*(1+MARTES!J169/30),(IF(MARTES!C169="peso_corporal",IF(ISNUMBER(MARTES!E169),MARTES!E169,0)+MARTES!L169,MARTES!L169))*(1+MARTES!M169/30),(IF(MARTES!C169="peso_corporal",IF(ISNUMBER(MARTES!E169),MARTES!E169,0)+MARTES!O169,MARTES!O169))*(1+MARTES!P169/30),(IF(MARTES!C169="peso_corporal",IF(ISNUMBER(MARTES!E169),MARTES!E169,0)+MARTES!R169,MARTES!R169))*(1+MARTES!S169/30)),1),""))</f>
        <v/>
      </c>
      <c r="L461" s="52">
        <f>IFERROR(MARTES!E169,"")</f>
        <v>80</v>
      </c>
      <c r="M461" s="53" t="str">
        <f>IFERROR(IF(K461="","-",IF(ISNUMBER(LOOKUP(2,1/((HISTORIAL!$O$3:$O$460=O461)*(HISTORIAL!$F$3:$F$460&lt;&gt;"")),HISTORIAL!$K$3:$K$460)),IF(K461&gt;LOOKUP(2,1/((HISTORIAL!$O$3:$O$460=O461)*(HISTORIAL!$F$3:$F$460&lt;&gt;"")),HISTORIAL!$K$3:$K$460),"^",IF(K461&lt;LOOKUP(2,1/((HISTORIAL!$O$3:$O$460=O461)*(HISTORIAL!$F$3:$F$460&lt;&gt;"")),HISTORIAL!$K$3:$K$460),"v","-")),"-")),"-")</f>
        <v>-</v>
      </c>
      <c r="N461" s="54" t="str">
        <f>IFERROR(VLOOKUP(A461,CONFIG!$A$10:$B$21,2,0),"")</f>
        <v>HIP</v>
      </c>
      <c r="O461" s="55" t="str">
        <f t="shared" si="15"/>
        <v>Curl Muneca|Supinado</v>
      </c>
      <c r="P461" s="69" t="str">
        <f>MARTES!AC169</f>
        <v/>
      </c>
    </row>
    <row r="462" spans="1:16" ht="14.1" customHeight="1">
      <c r="A462" s="37">
        <v>8</v>
      </c>
      <c r="B462" s="37" t="s">
        <v>278</v>
      </c>
      <c r="C462" s="44" t="str">
        <f>MARTES!$A$170</f>
        <v>Curl Muneca</v>
      </c>
      <c r="D462" s="45" t="str">
        <f>MARTES!$B$170</f>
        <v>Pronado</v>
      </c>
      <c r="E462" s="37" t="str">
        <f>MARTES!$C$170</f>
        <v>mancuerna</v>
      </c>
      <c r="F462" s="46" t="str">
        <f>IF(P462="","",IFERROR(CHOOSE(VALUE(RIGHT(P462,1)),MARTES!F170,MARTES!I170,MARTES!L170,MARTES!O170,MARTES!R170),""))</f>
        <v/>
      </c>
      <c r="G462" s="47" t="str">
        <f>IF(P462="","",IFERROR(CHOOSE(VALUE(RIGHT(P462,1)),MARTES!G170,MARTES!J170,MARTES!M170,MARTES!P170,MARTES!S170),""))</f>
        <v/>
      </c>
      <c r="H462" s="48" t="str">
        <f>IF(P462="","",IFERROR(CHOOSE(VALUE(RIGHT(P462,1)),MARTES!H170,MARTES!K170,MARTES!N170,MARTES!Q170,MARTES!T170),""))</f>
        <v/>
      </c>
      <c r="I462" s="49" t="str">
        <f t="shared" si="14"/>
        <v/>
      </c>
      <c r="J462" s="50" t="str">
        <f>IF(P462="","",IFERROR(ROUND(CHOOSE(VALUE(RIGHT(P462,1)),IF(MARTES!C170="peso_corporal",IF(ISNUMBER(MARTES!E170),MARTES!E170,0)+MARTES!F170,MARTES!F170)*MARTES!G170,IF(MARTES!C170="peso_corporal",IF(ISNUMBER(MARTES!E170),MARTES!E170,0)+MARTES!I170,MARTES!I170)*MARTES!J170,IF(MARTES!C170="peso_corporal",IF(ISNUMBER(MARTES!E170),MARTES!E170,0)+MARTES!L170,MARTES!L170)*MARTES!M170,IF(MARTES!C170="peso_corporal",IF(ISNUMBER(MARTES!E170),MARTES!E170,0)+MARTES!O170,MARTES!O170)*MARTES!P170,IF(MARTES!C170="peso_corporal",IF(ISNUMBER(MARTES!E170),MARTES!E170,0)+MARTES!R170,MARTES!R170)*MARTES!S170),1),""))</f>
        <v/>
      </c>
      <c r="K462" s="51" t="str">
        <f>IF(P462="","",IFERROR(ROUND(CHOOSE(VALUE(RIGHT(P462,1)),(IF(MARTES!C170="peso_corporal",IF(ISNUMBER(MARTES!E170),MARTES!E170,0)+MARTES!F170,MARTES!F170))*(1+MARTES!G170/30),(IF(MARTES!C170="peso_corporal",IF(ISNUMBER(MARTES!E170),MARTES!E170,0)+MARTES!I170,MARTES!I170))*(1+MARTES!J170/30),(IF(MARTES!C170="peso_corporal",IF(ISNUMBER(MARTES!E170),MARTES!E170,0)+MARTES!L170,MARTES!L170))*(1+MARTES!M170/30),(IF(MARTES!C170="peso_corporal",IF(ISNUMBER(MARTES!E170),MARTES!E170,0)+MARTES!O170,MARTES!O170))*(1+MARTES!P170/30),(IF(MARTES!C170="peso_corporal",IF(ISNUMBER(MARTES!E170),MARTES!E170,0)+MARTES!R170,MARTES!R170))*(1+MARTES!S170/30)),1),""))</f>
        <v/>
      </c>
      <c r="L462" s="52">
        <f>IFERROR(MARTES!E170,"")</f>
        <v>80</v>
      </c>
      <c r="M462" s="53" t="str">
        <f>IFERROR(IF(K462="","-",IF(ISNUMBER(LOOKUP(2,1/((HISTORIAL!$O$3:$O$461=O462)*(HISTORIAL!$F$3:$F$461&lt;&gt;"")),HISTORIAL!$K$3:$K$461)),IF(K462&gt;LOOKUP(2,1/((HISTORIAL!$O$3:$O$461=O462)*(HISTORIAL!$F$3:$F$461&lt;&gt;"")),HISTORIAL!$K$3:$K$461),"^",IF(K462&lt;LOOKUP(2,1/((HISTORIAL!$O$3:$O$461=O462)*(HISTORIAL!$F$3:$F$461&lt;&gt;"")),HISTORIAL!$K$3:$K$461),"v","-")),"-")),"-")</f>
        <v>-</v>
      </c>
      <c r="N462" s="54" t="str">
        <f>IFERROR(VLOOKUP(A462,CONFIG!$A$10:$B$21,2,0),"")</f>
        <v>HIP</v>
      </c>
      <c r="O462" s="55" t="str">
        <f t="shared" si="15"/>
        <v>Curl Muneca|Pronado</v>
      </c>
      <c r="P462" s="69" t="str">
        <f>MARTES!AC170</f>
        <v/>
      </c>
    </row>
    <row r="463" spans="1:16" ht="14.1" customHeight="1">
      <c r="A463" s="37">
        <v>8</v>
      </c>
      <c r="B463" s="37" t="s">
        <v>278</v>
      </c>
      <c r="C463" s="44" t="str">
        <f>MARTES!$A$172</f>
        <v>Farmer Carry</v>
      </c>
      <c r="D463" s="45" t="str">
        <f>MARTES!$B$172</f>
        <v>Libre</v>
      </c>
      <c r="E463" s="37" t="str">
        <f>MARTES!$C$172</f>
        <v>mancuerna</v>
      </c>
      <c r="F463" s="46" t="str">
        <f>IF(P463="","",IFERROR(CHOOSE(VALUE(RIGHT(P463,1)),MARTES!F172,MARTES!I172,MARTES!L172,MARTES!O172,MARTES!R172),""))</f>
        <v/>
      </c>
      <c r="G463" s="47" t="str">
        <f>IF(P463="","",IFERROR(CHOOSE(VALUE(RIGHT(P463,1)),MARTES!G172,MARTES!J172,MARTES!M172,MARTES!P172,MARTES!S172),""))</f>
        <v/>
      </c>
      <c r="H463" s="48" t="str">
        <f>IF(P463="","",IFERROR(CHOOSE(VALUE(RIGHT(P463,1)),MARTES!H172,MARTES!K172,MARTES!N172,MARTES!Q172,MARTES!T172),""))</f>
        <v/>
      </c>
      <c r="I463" s="49" t="str">
        <f t="shared" si="14"/>
        <v/>
      </c>
      <c r="J463" s="50" t="str">
        <f>IF(P463="","",IFERROR(ROUND(CHOOSE(VALUE(RIGHT(P463,1)),IF(MARTES!C172="peso_corporal",IF(ISNUMBER(MARTES!E172),MARTES!E172,0)+MARTES!F172,MARTES!F172)*MARTES!G172,IF(MARTES!C172="peso_corporal",IF(ISNUMBER(MARTES!E172),MARTES!E172,0)+MARTES!I172,MARTES!I172)*MARTES!J172,IF(MARTES!C172="peso_corporal",IF(ISNUMBER(MARTES!E172),MARTES!E172,0)+MARTES!L172,MARTES!L172)*MARTES!M172,IF(MARTES!C172="peso_corporal",IF(ISNUMBER(MARTES!E172),MARTES!E172,0)+MARTES!O172,MARTES!O172)*MARTES!P172,IF(MARTES!C172="peso_corporal",IF(ISNUMBER(MARTES!E172),MARTES!E172,0)+MARTES!R172,MARTES!R172)*MARTES!S172),1),""))</f>
        <v/>
      </c>
      <c r="K463" s="51" t="str">
        <f>IF(P463="","",IFERROR(ROUND(CHOOSE(VALUE(RIGHT(P463,1)),(IF(MARTES!C172="peso_corporal",IF(ISNUMBER(MARTES!E172),MARTES!E172,0)+MARTES!F172,MARTES!F172))*(1+MARTES!G172/30),(IF(MARTES!C172="peso_corporal",IF(ISNUMBER(MARTES!E172),MARTES!E172,0)+MARTES!I172,MARTES!I172))*(1+MARTES!J172/30),(IF(MARTES!C172="peso_corporal",IF(ISNUMBER(MARTES!E172),MARTES!E172,0)+MARTES!L172,MARTES!L172))*(1+MARTES!M172/30),(IF(MARTES!C172="peso_corporal",IF(ISNUMBER(MARTES!E172),MARTES!E172,0)+MARTES!O172,MARTES!O172))*(1+MARTES!P172/30),(IF(MARTES!C172="peso_corporal",IF(ISNUMBER(MARTES!E172),MARTES!E172,0)+MARTES!R172,MARTES!R172))*(1+MARTES!S172/30)),1),""))</f>
        <v/>
      </c>
      <c r="L463" s="52">
        <f>IFERROR(MARTES!E172,"")</f>
        <v>80</v>
      </c>
      <c r="M463" s="53" t="str">
        <f>IFERROR(IF(K463="","-",IF(ISNUMBER(LOOKUP(2,1/((HISTORIAL!$O$3:$O$462=O463)*(HISTORIAL!$F$3:$F$462&lt;&gt;"")),HISTORIAL!$K$3:$K$462)),IF(K463&gt;LOOKUP(2,1/((HISTORIAL!$O$3:$O$462=O463)*(HISTORIAL!$F$3:$F$462&lt;&gt;"")),HISTORIAL!$K$3:$K$462),"^",IF(K463&lt;LOOKUP(2,1/((HISTORIAL!$O$3:$O$462=O463)*(HISTORIAL!$F$3:$F$462&lt;&gt;"")),HISTORIAL!$K$3:$K$462),"v","-")),"-")),"-")</f>
        <v>-</v>
      </c>
      <c r="N463" s="54" t="str">
        <f>IFERROR(VLOOKUP(A463,CONFIG!$A$10:$B$21,2,0),"")</f>
        <v>HIP</v>
      </c>
      <c r="O463" s="55" t="str">
        <f t="shared" si="15"/>
        <v>Farmer Carry|Libre</v>
      </c>
      <c r="P463" s="69" t="str">
        <f>MARTES!AC172</f>
        <v/>
      </c>
    </row>
    <row r="464" spans="1:16" ht="14.1" customHeight="1">
      <c r="A464" s="37">
        <v>8</v>
      </c>
      <c r="B464" s="37" t="s">
        <v>278</v>
      </c>
      <c r="C464" s="44" t="str">
        <f>MARTES!$A$174</f>
        <v>Skullcrusher</v>
      </c>
      <c r="D464" s="45" t="str">
        <f>MARTES!$B$174</f>
        <v>Mancuerna Tumbado</v>
      </c>
      <c r="E464" s="37" t="str">
        <f>MARTES!$C$174</f>
        <v>--</v>
      </c>
      <c r="F464" s="46" t="str">
        <f>IF(P464="","",IFERROR(CHOOSE(VALUE(RIGHT(P464,1)),MARTES!F174,MARTES!I174,MARTES!L174,MARTES!O174,MARTES!R174),""))</f>
        <v/>
      </c>
      <c r="G464" s="47" t="str">
        <f>IF(P464="","",IFERROR(CHOOSE(VALUE(RIGHT(P464,1)),MARTES!G174,MARTES!J174,MARTES!M174,MARTES!P174,MARTES!S174),""))</f>
        <v/>
      </c>
      <c r="H464" s="48" t="str">
        <f>IF(P464="","",IFERROR(CHOOSE(VALUE(RIGHT(P464,1)),MARTES!H174,MARTES!K174,MARTES!N174,MARTES!Q174,MARTES!T174),""))</f>
        <v/>
      </c>
      <c r="I464" s="49" t="str">
        <f t="shared" si="14"/>
        <v/>
      </c>
      <c r="J464" s="50" t="str">
        <f>IF(P464="","",IFERROR(ROUND(CHOOSE(VALUE(RIGHT(P464,1)),IF(MARTES!C174="peso_corporal",IF(ISNUMBER(MARTES!E174),MARTES!E174,0)+MARTES!F174,MARTES!F174)*MARTES!G174,IF(MARTES!C174="peso_corporal",IF(ISNUMBER(MARTES!E174),MARTES!E174,0)+MARTES!I174,MARTES!I174)*MARTES!J174,IF(MARTES!C174="peso_corporal",IF(ISNUMBER(MARTES!E174),MARTES!E174,0)+MARTES!L174,MARTES!L174)*MARTES!M174,IF(MARTES!C174="peso_corporal",IF(ISNUMBER(MARTES!E174),MARTES!E174,0)+MARTES!O174,MARTES!O174)*MARTES!P174,IF(MARTES!C174="peso_corporal",IF(ISNUMBER(MARTES!E174),MARTES!E174,0)+MARTES!R174,MARTES!R174)*MARTES!S174),1),""))</f>
        <v/>
      </c>
      <c r="K464" s="51" t="str">
        <f>IF(P464="","",IFERROR(ROUND(CHOOSE(VALUE(RIGHT(P464,1)),(IF(MARTES!C174="peso_corporal",IF(ISNUMBER(MARTES!E174),MARTES!E174,0)+MARTES!F174,MARTES!F174))*(1+MARTES!G174/30),(IF(MARTES!C174="peso_corporal",IF(ISNUMBER(MARTES!E174),MARTES!E174,0)+MARTES!I174,MARTES!I174))*(1+MARTES!J174/30),(IF(MARTES!C174="peso_corporal",IF(ISNUMBER(MARTES!E174),MARTES!E174,0)+MARTES!L174,MARTES!L174))*(1+MARTES!M174/30),(IF(MARTES!C174="peso_corporal",IF(ISNUMBER(MARTES!E174),MARTES!E174,0)+MARTES!O174,MARTES!O174))*(1+MARTES!P174/30),(IF(MARTES!C174="peso_corporal",IF(ISNUMBER(MARTES!E174),MARTES!E174,0)+MARTES!R174,MARTES!R174))*(1+MARTES!S174/30)),1),""))</f>
        <v/>
      </c>
      <c r="L464" s="52">
        <f>IFERROR(MARTES!E174,"")</f>
        <v>80</v>
      </c>
      <c r="M464" s="53" t="str">
        <f>IFERROR(IF(K464="","-",IF(ISNUMBER(LOOKUP(2,1/((HISTORIAL!$O$3:$O$463=O464)*(HISTORIAL!$F$3:$F$463&lt;&gt;"")),HISTORIAL!$K$3:$K$463)),IF(K464&gt;LOOKUP(2,1/((HISTORIAL!$O$3:$O$463=O464)*(HISTORIAL!$F$3:$F$463&lt;&gt;"")),HISTORIAL!$K$3:$K$463),"^",IF(K464&lt;LOOKUP(2,1/((HISTORIAL!$O$3:$O$463=O464)*(HISTORIAL!$F$3:$F$463&lt;&gt;"")),HISTORIAL!$K$3:$K$463),"v","-")),"-")),"-")</f>
        <v>-</v>
      </c>
      <c r="N464" s="54" t="str">
        <f>IFERROR(VLOOKUP(A464,CONFIG!$A$10:$B$21,2,0),"")</f>
        <v>HIP</v>
      </c>
      <c r="O464" s="55" t="str">
        <f t="shared" si="15"/>
        <v>Skullcrusher|Mancuerna Tumbado</v>
      </c>
      <c r="P464" s="69" t="str">
        <f>MARTES!AC174</f>
        <v/>
      </c>
    </row>
    <row r="465" spans="1:16" ht="14.1" customHeight="1">
      <c r="A465" s="37">
        <v>8</v>
      </c>
      <c r="B465" s="37" t="s">
        <v>278</v>
      </c>
      <c r="C465" s="44" t="str">
        <f>MARTES!$A$176</f>
        <v>Crunch</v>
      </c>
      <c r="D465" s="45" t="str">
        <f>MARTES!$B$176</f>
        <v>Polea</v>
      </c>
      <c r="E465" s="37" t="str">
        <f>MARTES!$C$176</f>
        <v>polea</v>
      </c>
      <c r="F465" s="46" t="str">
        <f>IF(P465="","",IFERROR(CHOOSE(VALUE(RIGHT(P465,1)),MARTES!F176,MARTES!I176,MARTES!L176,MARTES!O176,MARTES!R176),""))</f>
        <v/>
      </c>
      <c r="G465" s="47" t="str">
        <f>IF(P465="","",IFERROR(CHOOSE(VALUE(RIGHT(P465,1)),MARTES!G176,MARTES!J176,MARTES!M176,MARTES!P176,MARTES!S176),""))</f>
        <v/>
      </c>
      <c r="H465" s="48" t="str">
        <f>IF(P465="","",IFERROR(CHOOSE(VALUE(RIGHT(P465,1)),MARTES!H176,MARTES!K176,MARTES!N176,MARTES!Q176,MARTES!T176),""))</f>
        <v/>
      </c>
      <c r="I465" s="49" t="str">
        <f t="shared" si="14"/>
        <v/>
      </c>
      <c r="J465" s="50" t="str">
        <f>IF(P465="","",IFERROR(ROUND(CHOOSE(VALUE(RIGHT(P465,1)),IF(MARTES!C176="peso_corporal",IF(ISNUMBER(MARTES!E176),MARTES!E176,0)+MARTES!F176,MARTES!F176)*MARTES!G176,IF(MARTES!C176="peso_corporal",IF(ISNUMBER(MARTES!E176),MARTES!E176,0)+MARTES!I176,MARTES!I176)*MARTES!J176,IF(MARTES!C176="peso_corporal",IF(ISNUMBER(MARTES!E176),MARTES!E176,0)+MARTES!L176,MARTES!L176)*MARTES!M176,IF(MARTES!C176="peso_corporal",IF(ISNUMBER(MARTES!E176),MARTES!E176,0)+MARTES!O176,MARTES!O176)*MARTES!P176,IF(MARTES!C176="peso_corporal",IF(ISNUMBER(MARTES!E176),MARTES!E176,0)+MARTES!R176,MARTES!R176)*MARTES!S176),1),""))</f>
        <v/>
      </c>
      <c r="K465" s="51" t="str">
        <f>IF(P465="","",IFERROR(ROUND(CHOOSE(VALUE(RIGHT(P465,1)),(IF(MARTES!C176="peso_corporal",IF(ISNUMBER(MARTES!E176),MARTES!E176,0)+MARTES!F176,MARTES!F176))*(1+MARTES!G176/30),(IF(MARTES!C176="peso_corporal",IF(ISNUMBER(MARTES!E176),MARTES!E176,0)+MARTES!I176,MARTES!I176))*(1+MARTES!J176/30),(IF(MARTES!C176="peso_corporal",IF(ISNUMBER(MARTES!E176),MARTES!E176,0)+MARTES!L176,MARTES!L176))*(1+MARTES!M176/30),(IF(MARTES!C176="peso_corporal",IF(ISNUMBER(MARTES!E176),MARTES!E176,0)+MARTES!O176,MARTES!O176))*(1+MARTES!P176/30),(IF(MARTES!C176="peso_corporal",IF(ISNUMBER(MARTES!E176),MARTES!E176,0)+MARTES!R176,MARTES!R176))*(1+MARTES!S176/30)),1),""))</f>
        <v/>
      </c>
      <c r="L465" s="52">
        <f>IFERROR(MARTES!E176,"")</f>
        <v>80</v>
      </c>
      <c r="M465" s="53" t="str">
        <f>IFERROR(IF(K465="","-",IF(ISNUMBER(LOOKUP(2,1/((HISTORIAL!$O$3:$O$464=O465)*(HISTORIAL!$F$3:$F$464&lt;&gt;"")),HISTORIAL!$K$3:$K$464)),IF(K465&gt;LOOKUP(2,1/((HISTORIAL!$O$3:$O$464=O465)*(HISTORIAL!$F$3:$F$464&lt;&gt;"")),HISTORIAL!$K$3:$K$464),"^",IF(K465&lt;LOOKUP(2,1/((HISTORIAL!$O$3:$O$464=O465)*(HISTORIAL!$F$3:$F$464&lt;&gt;"")),HISTORIAL!$K$3:$K$464),"v","-")),"-")),"-")</f>
        <v>-</v>
      </c>
      <c r="N465" s="54" t="str">
        <f>IFERROR(VLOOKUP(A465,CONFIG!$A$10:$B$21,2,0),"")</f>
        <v>HIP</v>
      </c>
      <c r="O465" s="55" t="str">
        <f t="shared" si="15"/>
        <v>Crunch|Polea</v>
      </c>
      <c r="P465" s="69" t="str">
        <f>MARTES!AC176</f>
        <v/>
      </c>
    </row>
    <row r="466" spans="1:16" ht="14.1" customHeight="1">
      <c r="A466" s="37">
        <v>8</v>
      </c>
      <c r="B466" s="37" t="s">
        <v>279</v>
      </c>
      <c r="C466" s="44" t="str">
        <f>MIERCOLES!$A$166</f>
        <v>Curl Femoral</v>
      </c>
      <c r="D466" s="45" t="str">
        <f>MIERCOLES!$B$166</f>
        <v>Tumbado Maquina</v>
      </c>
      <c r="E466" s="37" t="str">
        <f>MIERCOLES!$C$166</f>
        <v>polea</v>
      </c>
      <c r="F466" s="46" t="str">
        <f>IF(P466="","",IFERROR(CHOOSE(VALUE(RIGHT(P466,1)),MIERCOLES!F166,MIERCOLES!I166,MIERCOLES!L166,MIERCOLES!O166,MIERCOLES!R166),""))</f>
        <v/>
      </c>
      <c r="G466" s="47" t="str">
        <f>IF(P466="","",IFERROR(CHOOSE(VALUE(RIGHT(P466,1)),MIERCOLES!G166,MIERCOLES!J166,MIERCOLES!M166,MIERCOLES!P166,MIERCOLES!S166),""))</f>
        <v/>
      </c>
      <c r="H466" s="48" t="str">
        <f>IF(P466="","",IFERROR(CHOOSE(VALUE(RIGHT(P466,1)),MIERCOLES!H166,MIERCOLES!K166,MIERCOLES!N166,MIERCOLES!Q166,MIERCOLES!T166),""))</f>
        <v/>
      </c>
      <c r="I466" s="49" t="str">
        <f t="shared" si="14"/>
        <v/>
      </c>
      <c r="J466" s="50" t="str">
        <f>IF(P466="","",IFERROR(ROUND(CHOOSE(VALUE(RIGHT(P466,1)),IF(MIERCOLES!C166="peso_corporal",IF(ISNUMBER(MIERCOLES!E166),MIERCOLES!E166,0)+MIERCOLES!F166,MIERCOLES!F166)*MIERCOLES!G166,IF(MIERCOLES!C166="peso_corporal",IF(ISNUMBER(MIERCOLES!E166),MIERCOLES!E166,0)+MIERCOLES!I166,MIERCOLES!I166)*MIERCOLES!J166,IF(MIERCOLES!C166="peso_corporal",IF(ISNUMBER(MIERCOLES!E166),MIERCOLES!E166,0)+MIERCOLES!L166,MIERCOLES!L166)*MIERCOLES!M166,IF(MIERCOLES!C166="peso_corporal",IF(ISNUMBER(MIERCOLES!E166),MIERCOLES!E166,0)+MIERCOLES!O166,MIERCOLES!O166)*MIERCOLES!P166,IF(MIERCOLES!C166="peso_corporal",IF(ISNUMBER(MIERCOLES!E166),MIERCOLES!E166,0)+MIERCOLES!R166,MIERCOLES!R166)*MIERCOLES!S166),1),""))</f>
        <v/>
      </c>
      <c r="K466" s="51" t="str">
        <f>IF(P466="","",IFERROR(ROUND(CHOOSE(VALUE(RIGHT(P466,1)),(IF(MIERCOLES!C166="peso_corporal",IF(ISNUMBER(MIERCOLES!E166),MIERCOLES!E166,0)+MIERCOLES!F166,MIERCOLES!F166))*(1+MIERCOLES!G166/30),(IF(MIERCOLES!C166="peso_corporal",IF(ISNUMBER(MIERCOLES!E166),MIERCOLES!E166,0)+MIERCOLES!I166,MIERCOLES!I166))*(1+MIERCOLES!J166/30),(IF(MIERCOLES!C166="peso_corporal",IF(ISNUMBER(MIERCOLES!E166),MIERCOLES!E166,0)+MIERCOLES!L166,MIERCOLES!L166))*(1+MIERCOLES!M166/30),(IF(MIERCOLES!C166="peso_corporal",IF(ISNUMBER(MIERCOLES!E166),MIERCOLES!E166,0)+MIERCOLES!O166,MIERCOLES!O166))*(1+MIERCOLES!P166/30),(IF(MIERCOLES!C166="peso_corporal",IF(ISNUMBER(MIERCOLES!E166),MIERCOLES!E166,0)+MIERCOLES!R166,MIERCOLES!R166))*(1+MIERCOLES!S166/30)),1),""))</f>
        <v/>
      </c>
      <c r="L466" s="52">
        <f>IFERROR(MIERCOLES!E166,"")</f>
        <v>80</v>
      </c>
      <c r="M466" s="53" t="str">
        <f>IFERROR(IF(K466="","-",IF(ISNUMBER(LOOKUP(2,1/((HISTORIAL!$O$3:$O$465=O466)*(HISTORIAL!$F$3:$F$465&lt;&gt;"")),HISTORIAL!$K$3:$K$465)),IF(K466&gt;LOOKUP(2,1/((HISTORIAL!$O$3:$O$465=O466)*(HISTORIAL!$F$3:$F$465&lt;&gt;"")),HISTORIAL!$K$3:$K$465),"^",IF(K466&lt;LOOKUP(2,1/((HISTORIAL!$O$3:$O$465=O466)*(HISTORIAL!$F$3:$F$465&lt;&gt;"")),HISTORIAL!$K$3:$K$465),"v","-")),"-")),"-")</f>
        <v>-</v>
      </c>
      <c r="N466" s="54" t="str">
        <f>IFERROR(VLOOKUP(A466,CONFIG!$A$10:$B$21,2,0),"")</f>
        <v>HIP</v>
      </c>
      <c r="O466" s="55" t="str">
        <f t="shared" si="15"/>
        <v>Curl Femoral|Tumbado Maquina</v>
      </c>
      <c r="P466" s="69" t="str">
        <f>MIERCOLES!AC166</f>
        <v/>
      </c>
    </row>
    <row r="467" spans="1:16" ht="14.1" customHeight="1">
      <c r="A467" s="37">
        <v>8</v>
      </c>
      <c r="B467" s="37" t="s">
        <v>279</v>
      </c>
      <c r="C467" s="44" t="str">
        <f>MIERCOLES!$A$167</f>
        <v>Curl Femoral</v>
      </c>
      <c r="D467" s="45" t="str">
        <f>MIERCOLES!$B$167</f>
        <v>Sentado Maquina</v>
      </c>
      <c r="E467" s="37" t="str">
        <f>MIERCOLES!$C$167</f>
        <v>polea</v>
      </c>
      <c r="F467" s="46" t="str">
        <f>IF(P467="","",IFERROR(CHOOSE(VALUE(RIGHT(P467,1)),MIERCOLES!F167,MIERCOLES!I167,MIERCOLES!L167,MIERCOLES!O167,MIERCOLES!R167),""))</f>
        <v/>
      </c>
      <c r="G467" s="47" t="str">
        <f>IF(P467="","",IFERROR(CHOOSE(VALUE(RIGHT(P467,1)),MIERCOLES!G167,MIERCOLES!J167,MIERCOLES!M167,MIERCOLES!P167,MIERCOLES!S167),""))</f>
        <v/>
      </c>
      <c r="H467" s="48" t="str">
        <f>IF(P467="","",IFERROR(CHOOSE(VALUE(RIGHT(P467,1)),MIERCOLES!H167,MIERCOLES!K167,MIERCOLES!N167,MIERCOLES!Q167,MIERCOLES!T167),""))</f>
        <v/>
      </c>
      <c r="I467" s="49" t="str">
        <f t="shared" si="14"/>
        <v/>
      </c>
      <c r="J467" s="50" t="str">
        <f>IF(P467="","",IFERROR(ROUND(CHOOSE(VALUE(RIGHT(P467,1)),IF(MIERCOLES!C167="peso_corporal",IF(ISNUMBER(MIERCOLES!E167),MIERCOLES!E167,0)+MIERCOLES!F167,MIERCOLES!F167)*MIERCOLES!G167,IF(MIERCOLES!C167="peso_corporal",IF(ISNUMBER(MIERCOLES!E167),MIERCOLES!E167,0)+MIERCOLES!I167,MIERCOLES!I167)*MIERCOLES!J167,IF(MIERCOLES!C167="peso_corporal",IF(ISNUMBER(MIERCOLES!E167),MIERCOLES!E167,0)+MIERCOLES!L167,MIERCOLES!L167)*MIERCOLES!M167,IF(MIERCOLES!C167="peso_corporal",IF(ISNUMBER(MIERCOLES!E167),MIERCOLES!E167,0)+MIERCOLES!O167,MIERCOLES!O167)*MIERCOLES!P167,IF(MIERCOLES!C167="peso_corporal",IF(ISNUMBER(MIERCOLES!E167),MIERCOLES!E167,0)+MIERCOLES!R167,MIERCOLES!R167)*MIERCOLES!S167),1),""))</f>
        <v/>
      </c>
      <c r="K467" s="51" t="str">
        <f>IF(P467="","",IFERROR(ROUND(CHOOSE(VALUE(RIGHT(P467,1)),(IF(MIERCOLES!C167="peso_corporal",IF(ISNUMBER(MIERCOLES!E167),MIERCOLES!E167,0)+MIERCOLES!F167,MIERCOLES!F167))*(1+MIERCOLES!G167/30),(IF(MIERCOLES!C167="peso_corporal",IF(ISNUMBER(MIERCOLES!E167),MIERCOLES!E167,0)+MIERCOLES!I167,MIERCOLES!I167))*(1+MIERCOLES!J167/30),(IF(MIERCOLES!C167="peso_corporal",IF(ISNUMBER(MIERCOLES!E167),MIERCOLES!E167,0)+MIERCOLES!L167,MIERCOLES!L167))*(1+MIERCOLES!M167/30),(IF(MIERCOLES!C167="peso_corporal",IF(ISNUMBER(MIERCOLES!E167),MIERCOLES!E167,0)+MIERCOLES!O167,MIERCOLES!O167))*(1+MIERCOLES!P167/30),(IF(MIERCOLES!C167="peso_corporal",IF(ISNUMBER(MIERCOLES!E167),MIERCOLES!E167,0)+MIERCOLES!R167,MIERCOLES!R167))*(1+MIERCOLES!S167/30)),1),""))</f>
        <v/>
      </c>
      <c r="L467" s="52">
        <f>IFERROR(MIERCOLES!E167,"")</f>
        <v>80</v>
      </c>
      <c r="M467" s="53" t="str">
        <f>IFERROR(IF(K467="","-",IF(ISNUMBER(LOOKUP(2,1/((HISTORIAL!$O$3:$O$466=O467)*(HISTORIAL!$F$3:$F$466&lt;&gt;"")),HISTORIAL!$K$3:$K$466)),IF(K467&gt;LOOKUP(2,1/((HISTORIAL!$O$3:$O$466=O467)*(HISTORIAL!$F$3:$F$466&lt;&gt;"")),HISTORIAL!$K$3:$K$466),"^",IF(K467&lt;LOOKUP(2,1/((HISTORIAL!$O$3:$O$466=O467)*(HISTORIAL!$F$3:$F$466&lt;&gt;"")),HISTORIAL!$K$3:$K$466),"v","-")),"-")),"-")</f>
        <v>-</v>
      </c>
      <c r="N467" s="54" t="str">
        <f>IFERROR(VLOOKUP(A467,CONFIG!$A$10:$B$21,2,0),"")</f>
        <v>HIP</v>
      </c>
      <c r="O467" s="55" t="str">
        <f t="shared" si="15"/>
        <v>Curl Femoral|Sentado Maquina</v>
      </c>
      <c r="P467" s="69" t="str">
        <f>MIERCOLES!AC167</f>
        <v/>
      </c>
    </row>
    <row r="468" spans="1:16" ht="14.1" customHeight="1">
      <c r="A468" s="37">
        <v>8</v>
      </c>
      <c r="B468" s="37" t="s">
        <v>279</v>
      </c>
      <c r="C468" s="44" t="str">
        <f>MIERCOLES!$A$168</f>
        <v>Curl Rumano</v>
      </c>
      <c r="D468" s="45" t="str">
        <f>MIERCOLES!$B$168</f>
        <v>Mancuernas</v>
      </c>
      <c r="E468" s="37" t="str">
        <f>MIERCOLES!$C$168</f>
        <v>mancuerna</v>
      </c>
      <c r="F468" s="46" t="str">
        <f>IF(P468="","",IFERROR(CHOOSE(VALUE(RIGHT(P468,1)),MIERCOLES!F168,MIERCOLES!I168,MIERCOLES!L168,MIERCOLES!O168,MIERCOLES!R168),""))</f>
        <v/>
      </c>
      <c r="G468" s="47" t="str">
        <f>IF(P468="","",IFERROR(CHOOSE(VALUE(RIGHT(P468,1)),MIERCOLES!G168,MIERCOLES!J168,MIERCOLES!M168,MIERCOLES!P168,MIERCOLES!S168),""))</f>
        <v/>
      </c>
      <c r="H468" s="48" t="str">
        <f>IF(P468="","",IFERROR(CHOOSE(VALUE(RIGHT(P468,1)),MIERCOLES!H168,MIERCOLES!K168,MIERCOLES!N168,MIERCOLES!Q168,MIERCOLES!T168),""))</f>
        <v/>
      </c>
      <c r="I468" s="49" t="str">
        <f t="shared" si="14"/>
        <v/>
      </c>
      <c r="J468" s="50" t="str">
        <f>IF(P468="","",IFERROR(ROUND(CHOOSE(VALUE(RIGHT(P468,1)),IF(MIERCOLES!C168="peso_corporal",IF(ISNUMBER(MIERCOLES!E168),MIERCOLES!E168,0)+MIERCOLES!F168,MIERCOLES!F168)*MIERCOLES!G168,IF(MIERCOLES!C168="peso_corporal",IF(ISNUMBER(MIERCOLES!E168),MIERCOLES!E168,0)+MIERCOLES!I168,MIERCOLES!I168)*MIERCOLES!J168,IF(MIERCOLES!C168="peso_corporal",IF(ISNUMBER(MIERCOLES!E168),MIERCOLES!E168,0)+MIERCOLES!L168,MIERCOLES!L168)*MIERCOLES!M168,IF(MIERCOLES!C168="peso_corporal",IF(ISNUMBER(MIERCOLES!E168),MIERCOLES!E168,0)+MIERCOLES!O168,MIERCOLES!O168)*MIERCOLES!P168,IF(MIERCOLES!C168="peso_corporal",IF(ISNUMBER(MIERCOLES!E168),MIERCOLES!E168,0)+MIERCOLES!R168,MIERCOLES!R168)*MIERCOLES!S168),1),""))</f>
        <v/>
      </c>
      <c r="K468" s="51" t="str">
        <f>IF(P468="","",IFERROR(ROUND(CHOOSE(VALUE(RIGHT(P468,1)),(IF(MIERCOLES!C168="peso_corporal",IF(ISNUMBER(MIERCOLES!E168),MIERCOLES!E168,0)+MIERCOLES!F168,MIERCOLES!F168))*(1+MIERCOLES!G168/30),(IF(MIERCOLES!C168="peso_corporal",IF(ISNUMBER(MIERCOLES!E168),MIERCOLES!E168,0)+MIERCOLES!I168,MIERCOLES!I168))*(1+MIERCOLES!J168/30),(IF(MIERCOLES!C168="peso_corporal",IF(ISNUMBER(MIERCOLES!E168),MIERCOLES!E168,0)+MIERCOLES!L168,MIERCOLES!L168))*(1+MIERCOLES!M168/30),(IF(MIERCOLES!C168="peso_corporal",IF(ISNUMBER(MIERCOLES!E168),MIERCOLES!E168,0)+MIERCOLES!O168,MIERCOLES!O168))*(1+MIERCOLES!P168/30),(IF(MIERCOLES!C168="peso_corporal",IF(ISNUMBER(MIERCOLES!E168),MIERCOLES!E168,0)+MIERCOLES!R168,MIERCOLES!R168))*(1+MIERCOLES!S168/30)),1),""))</f>
        <v/>
      </c>
      <c r="L468" s="52">
        <f>IFERROR(MIERCOLES!E168,"")</f>
        <v>80</v>
      </c>
      <c r="M468" s="53" t="str">
        <f>IFERROR(IF(K468="","-",IF(ISNUMBER(LOOKUP(2,1/((HISTORIAL!$O$3:$O$467=O468)*(HISTORIAL!$F$3:$F$467&lt;&gt;"")),HISTORIAL!$K$3:$K$467)),IF(K468&gt;LOOKUP(2,1/((HISTORIAL!$O$3:$O$467=O468)*(HISTORIAL!$F$3:$F$467&lt;&gt;"")),HISTORIAL!$K$3:$K$467),"^",IF(K468&lt;LOOKUP(2,1/((HISTORIAL!$O$3:$O$467=O468)*(HISTORIAL!$F$3:$F$467&lt;&gt;"")),HISTORIAL!$K$3:$K$467),"v","-")),"-")),"-")</f>
        <v>-</v>
      </c>
      <c r="N468" s="54" t="str">
        <f>IFERROR(VLOOKUP(A468,CONFIG!$A$10:$B$21,2,0),"")</f>
        <v>HIP</v>
      </c>
      <c r="O468" s="55" t="str">
        <f t="shared" si="15"/>
        <v>Curl Rumano|Mancuernas</v>
      </c>
      <c r="P468" s="69" t="str">
        <f>MIERCOLES!AC168</f>
        <v/>
      </c>
    </row>
    <row r="469" spans="1:16" ht="14.1" customHeight="1">
      <c r="A469" s="37">
        <v>8</v>
      </c>
      <c r="B469" s="37" t="s">
        <v>279</v>
      </c>
      <c r="C469" s="44" t="str">
        <f>MIERCOLES!$A$170</f>
        <v>Sentadilla</v>
      </c>
      <c r="D469" s="45" t="str">
        <f>MIERCOLES!$B$170</f>
        <v>Multipower Cuna Talones</v>
      </c>
      <c r="E469" s="37" t="str">
        <f>MIERCOLES!$C$170</f>
        <v>--</v>
      </c>
      <c r="F469" s="46" t="str">
        <f>IF(P469="","",IFERROR(CHOOSE(VALUE(RIGHT(P469,1)),MIERCOLES!F170,MIERCOLES!I170,MIERCOLES!L170,MIERCOLES!O170,MIERCOLES!R170),""))</f>
        <v/>
      </c>
      <c r="G469" s="47" t="str">
        <f>IF(P469="","",IFERROR(CHOOSE(VALUE(RIGHT(P469,1)),MIERCOLES!G170,MIERCOLES!J170,MIERCOLES!M170,MIERCOLES!P170,MIERCOLES!S170),""))</f>
        <v/>
      </c>
      <c r="H469" s="48" t="str">
        <f>IF(P469="","",IFERROR(CHOOSE(VALUE(RIGHT(P469,1)),MIERCOLES!H170,MIERCOLES!K170,MIERCOLES!N170,MIERCOLES!Q170,MIERCOLES!T170),""))</f>
        <v/>
      </c>
      <c r="I469" s="49" t="str">
        <f t="shared" si="14"/>
        <v/>
      </c>
      <c r="J469" s="50" t="str">
        <f>IF(P469="","",IFERROR(ROUND(CHOOSE(VALUE(RIGHT(P469,1)),IF(MIERCOLES!C170="peso_corporal",IF(ISNUMBER(MIERCOLES!E170),MIERCOLES!E170,0)+MIERCOLES!F170,MIERCOLES!F170)*MIERCOLES!G170,IF(MIERCOLES!C170="peso_corporal",IF(ISNUMBER(MIERCOLES!E170),MIERCOLES!E170,0)+MIERCOLES!I170,MIERCOLES!I170)*MIERCOLES!J170,IF(MIERCOLES!C170="peso_corporal",IF(ISNUMBER(MIERCOLES!E170),MIERCOLES!E170,0)+MIERCOLES!L170,MIERCOLES!L170)*MIERCOLES!M170,IF(MIERCOLES!C170="peso_corporal",IF(ISNUMBER(MIERCOLES!E170),MIERCOLES!E170,0)+MIERCOLES!O170,MIERCOLES!O170)*MIERCOLES!P170,IF(MIERCOLES!C170="peso_corporal",IF(ISNUMBER(MIERCOLES!E170),MIERCOLES!E170,0)+MIERCOLES!R170,MIERCOLES!R170)*MIERCOLES!S170),1),""))</f>
        <v/>
      </c>
      <c r="K469" s="51" t="str">
        <f>IF(P469="","",IFERROR(ROUND(CHOOSE(VALUE(RIGHT(P469,1)),(IF(MIERCOLES!C170="peso_corporal",IF(ISNUMBER(MIERCOLES!E170),MIERCOLES!E170,0)+MIERCOLES!F170,MIERCOLES!F170))*(1+MIERCOLES!G170/30),(IF(MIERCOLES!C170="peso_corporal",IF(ISNUMBER(MIERCOLES!E170),MIERCOLES!E170,0)+MIERCOLES!I170,MIERCOLES!I170))*(1+MIERCOLES!J170/30),(IF(MIERCOLES!C170="peso_corporal",IF(ISNUMBER(MIERCOLES!E170),MIERCOLES!E170,0)+MIERCOLES!L170,MIERCOLES!L170))*(1+MIERCOLES!M170/30),(IF(MIERCOLES!C170="peso_corporal",IF(ISNUMBER(MIERCOLES!E170),MIERCOLES!E170,0)+MIERCOLES!O170,MIERCOLES!O170))*(1+MIERCOLES!P170/30),(IF(MIERCOLES!C170="peso_corporal",IF(ISNUMBER(MIERCOLES!E170),MIERCOLES!E170,0)+MIERCOLES!R170,MIERCOLES!R170))*(1+MIERCOLES!S170/30)),1),""))</f>
        <v/>
      </c>
      <c r="L469" s="52">
        <f>IFERROR(MIERCOLES!E170,"")</f>
        <v>80</v>
      </c>
      <c r="M469" s="53" t="str">
        <f>IFERROR(IF(K469="","-",IF(ISNUMBER(LOOKUP(2,1/((HISTORIAL!$O$3:$O$468=O469)*(HISTORIAL!$F$3:$F$468&lt;&gt;"")),HISTORIAL!$K$3:$K$468)),IF(K469&gt;LOOKUP(2,1/((HISTORIAL!$O$3:$O$468=O469)*(HISTORIAL!$F$3:$F$468&lt;&gt;"")),HISTORIAL!$K$3:$K$468),"^",IF(K469&lt;LOOKUP(2,1/((HISTORIAL!$O$3:$O$468=O469)*(HISTORIAL!$F$3:$F$468&lt;&gt;"")),HISTORIAL!$K$3:$K$468),"v","-")),"-")),"-")</f>
        <v>-</v>
      </c>
      <c r="N469" s="54" t="str">
        <f>IFERROR(VLOOKUP(A469,CONFIG!$A$10:$B$21,2,0),"")</f>
        <v>HIP</v>
      </c>
      <c r="O469" s="55" t="str">
        <f t="shared" si="15"/>
        <v>Sentadilla|Multipower Cuna Talones</v>
      </c>
      <c r="P469" s="69" t="str">
        <f>MIERCOLES!AC170</f>
        <v/>
      </c>
    </row>
    <row r="470" spans="1:16" ht="14.1" customHeight="1">
      <c r="A470" s="37">
        <v>8</v>
      </c>
      <c r="B470" s="37" t="s">
        <v>279</v>
      </c>
      <c r="C470" s="44" t="str">
        <f>MIERCOLES!$A$171</f>
        <v>Prensa Pierna</v>
      </c>
      <c r="D470" s="45" t="str">
        <f>MIERCOLES!$B$171</f>
        <v>Individual Horizontal</v>
      </c>
      <c r="E470" s="37" t="str">
        <f>MIERCOLES!$C$171</f>
        <v>--</v>
      </c>
      <c r="F470" s="46" t="str">
        <f>IF(P470="","",IFERROR(CHOOSE(VALUE(RIGHT(P470,1)),MIERCOLES!F171,MIERCOLES!I171,MIERCOLES!L171,MIERCOLES!O171,MIERCOLES!R171),""))</f>
        <v/>
      </c>
      <c r="G470" s="47" t="str">
        <f>IF(P470="","",IFERROR(CHOOSE(VALUE(RIGHT(P470,1)),MIERCOLES!G171,MIERCOLES!J171,MIERCOLES!M171,MIERCOLES!P171,MIERCOLES!S171),""))</f>
        <v/>
      </c>
      <c r="H470" s="48" t="str">
        <f>IF(P470="","",IFERROR(CHOOSE(VALUE(RIGHT(P470,1)),MIERCOLES!H171,MIERCOLES!K171,MIERCOLES!N171,MIERCOLES!Q171,MIERCOLES!T171),""))</f>
        <v/>
      </c>
      <c r="I470" s="49" t="str">
        <f t="shared" si="14"/>
        <v/>
      </c>
      <c r="J470" s="50" t="str">
        <f>IF(P470="","",IFERROR(ROUND(CHOOSE(VALUE(RIGHT(P470,1)),IF(MIERCOLES!C171="peso_corporal",IF(ISNUMBER(MIERCOLES!E171),MIERCOLES!E171,0)+MIERCOLES!F171,MIERCOLES!F171)*MIERCOLES!G171,IF(MIERCOLES!C171="peso_corporal",IF(ISNUMBER(MIERCOLES!E171),MIERCOLES!E171,0)+MIERCOLES!I171,MIERCOLES!I171)*MIERCOLES!J171,IF(MIERCOLES!C171="peso_corporal",IF(ISNUMBER(MIERCOLES!E171),MIERCOLES!E171,0)+MIERCOLES!L171,MIERCOLES!L171)*MIERCOLES!M171,IF(MIERCOLES!C171="peso_corporal",IF(ISNUMBER(MIERCOLES!E171),MIERCOLES!E171,0)+MIERCOLES!O171,MIERCOLES!O171)*MIERCOLES!P171,IF(MIERCOLES!C171="peso_corporal",IF(ISNUMBER(MIERCOLES!E171),MIERCOLES!E171,0)+MIERCOLES!R171,MIERCOLES!R171)*MIERCOLES!S171),1),""))</f>
        <v/>
      </c>
      <c r="K470" s="51" t="str">
        <f>IF(P470="","",IFERROR(ROUND(CHOOSE(VALUE(RIGHT(P470,1)),(IF(MIERCOLES!C171="peso_corporal",IF(ISNUMBER(MIERCOLES!E171),MIERCOLES!E171,0)+MIERCOLES!F171,MIERCOLES!F171))*(1+MIERCOLES!G171/30),(IF(MIERCOLES!C171="peso_corporal",IF(ISNUMBER(MIERCOLES!E171),MIERCOLES!E171,0)+MIERCOLES!I171,MIERCOLES!I171))*(1+MIERCOLES!J171/30),(IF(MIERCOLES!C171="peso_corporal",IF(ISNUMBER(MIERCOLES!E171),MIERCOLES!E171,0)+MIERCOLES!L171,MIERCOLES!L171))*(1+MIERCOLES!M171/30),(IF(MIERCOLES!C171="peso_corporal",IF(ISNUMBER(MIERCOLES!E171),MIERCOLES!E171,0)+MIERCOLES!O171,MIERCOLES!O171))*(1+MIERCOLES!P171/30),(IF(MIERCOLES!C171="peso_corporal",IF(ISNUMBER(MIERCOLES!E171),MIERCOLES!E171,0)+MIERCOLES!R171,MIERCOLES!R171))*(1+MIERCOLES!S171/30)),1),""))</f>
        <v/>
      </c>
      <c r="L470" s="52">
        <f>IFERROR(MIERCOLES!E171,"")</f>
        <v>80</v>
      </c>
      <c r="M470" s="53" t="str">
        <f>IFERROR(IF(K470="","-",IF(ISNUMBER(LOOKUP(2,1/((HISTORIAL!$O$3:$O$469=O470)*(HISTORIAL!$F$3:$F$469&lt;&gt;"")),HISTORIAL!$K$3:$K$469)),IF(K470&gt;LOOKUP(2,1/((HISTORIAL!$O$3:$O$469=O470)*(HISTORIAL!$F$3:$F$469&lt;&gt;"")),HISTORIAL!$K$3:$K$469),"^",IF(K470&lt;LOOKUP(2,1/((HISTORIAL!$O$3:$O$469=O470)*(HISTORIAL!$F$3:$F$469&lt;&gt;"")),HISTORIAL!$K$3:$K$469),"v","-")),"-")),"-")</f>
        <v>-</v>
      </c>
      <c r="N470" s="54" t="str">
        <f>IFERROR(VLOOKUP(A470,CONFIG!$A$10:$B$21,2,0),"")</f>
        <v>HIP</v>
      </c>
      <c r="O470" s="55" t="str">
        <f t="shared" si="15"/>
        <v>Prensa Pierna|Individual Horizontal</v>
      </c>
      <c r="P470" s="69" t="str">
        <f>MIERCOLES!AC171</f>
        <v/>
      </c>
    </row>
    <row r="471" spans="1:16" ht="14.1" customHeight="1">
      <c r="A471" s="37">
        <v>8</v>
      </c>
      <c r="B471" s="37" t="s">
        <v>279</v>
      </c>
      <c r="C471" s="44" t="str">
        <f>MIERCOLES!$A$172</f>
        <v>Extension Cuadriceps</v>
      </c>
      <c r="D471" s="45" t="str">
        <f>MIERCOLES!$B$172</f>
        <v>Vasto Externo</v>
      </c>
      <c r="E471" s="37" t="str">
        <f>MIERCOLES!$C$172</f>
        <v>--</v>
      </c>
      <c r="F471" s="46" t="str">
        <f>IF(P471="","",IFERROR(CHOOSE(VALUE(RIGHT(P471,1)),MIERCOLES!F172,MIERCOLES!I172,MIERCOLES!L172,MIERCOLES!O172,MIERCOLES!R172),""))</f>
        <v/>
      </c>
      <c r="G471" s="47" t="str">
        <f>IF(P471="","",IFERROR(CHOOSE(VALUE(RIGHT(P471,1)),MIERCOLES!G172,MIERCOLES!J172,MIERCOLES!M172,MIERCOLES!P172,MIERCOLES!S172),""))</f>
        <v/>
      </c>
      <c r="H471" s="48" t="str">
        <f>IF(P471="","",IFERROR(CHOOSE(VALUE(RIGHT(P471,1)),MIERCOLES!H172,MIERCOLES!K172,MIERCOLES!N172,MIERCOLES!Q172,MIERCOLES!T172),""))</f>
        <v/>
      </c>
      <c r="I471" s="49" t="str">
        <f t="shared" si="14"/>
        <v/>
      </c>
      <c r="J471" s="50" t="str">
        <f>IF(P471="","",IFERROR(ROUND(CHOOSE(VALUE(RIGHT(P471,1)),IF(MIERCOLES!C172="peso_corporal",IF(ISNUMBER(MIERCOLES!E172),MIERCOLES!E172,0)+MIERCOLES!F172,MIERCOLES!F172)*MIERCOLES!G172,IF(MIERCOLES!C172="peso_corporal",IF(ISNUMBER(MIERCOLES!E172),MIERCOLES!E172,0)+MIERCOLES!I172,MIERCOLES!I172)*MIERCOLES!J172,IF(MIERCOLES!C172="peso_corporal",IF(ISNUMBER(MIERCOLES!E172),MIERCOLES!E172,0)+MIERCOLES!L172,MIERCOLES!L172)*MIERCOLES!M172,IF(MIERCOLES!C172="peso_corporal",IF(ISNUMBER(MIERCOLES!E172),MIERCOLES!E172,0)+MIERCOLES!O172,MIERCOLES!O172)*MIERCOLES!P172,IF(MIERCOLES!C172="peso_corporal",IF(ISNUMBER(MIERCOLES!E172),MIERCOLES!E172,0)+MIERCOLES!R172,MIERCOLES!R172)*MIERCOLES!S172),1),""))</f>
        <v/>
      </c>
      <c r="K471" s="51" t="str">
        <f>IF(P471="","",IFERROR(ROUND(CHOOSE(VALUE(RIGHT(P471,1)),(IF(MIERCOLES!C172="peso_corporal",IF(ISNUMBER(MIERCOLES!E172),MIERCOLES!E172,0)+MIERCOLES!F172,MIERCOLES!F172))*(1+MIERCOLES!G172/30),(IF(MIERCOLES!C172="peso_corporal",IF(ISNUMBER(MIERCOLES!E172),MIERCOLES!E172,0)+MIERCOLES!I172,MIERCOLES!I172))*(1+MIERCOLES!J172/30),(IF(MIERCOLES!C172="peso_corporal",IF(ISNUMBER(MIERCOLES!E172),MIERCOLES!E172,0)+MIERCOLES!L172,MIERCOLES!L172))*(1+MIERCOLES!M172/30),(IF(MIERCOLES!C172="peso_corporal",IF(ISNUMBER(MIERCOLES!E172),MIERCOLES!E172,0)+MIERCOLES!O172,MIERCOLES!O172))*(1+MIERCOLES!P172/30),(IF(MIERCOLES!C172="peso_corporal",IF(ISNUMBER(MIERCOLES!E172),MIERCOLES!E172,0)+MIERCOLES!R172,MIERCOLES!R172))*(1+MIERCOLES!S172/30)),1),""))</f>
        <v/>
      </c>
      <c r="L471" s="52">
        <f>IFERROR(MIERCOLES!E172,"")</f>
        <v>80</v>
      </c>
      <c r="M471" s="53" t="str">
        <f>IFERROR(IF(K471="","-",IF(ISNUMBER(LOOKUP(2,1/((HISTORIAL!$O$3:$O$470=O471)*(HISTORIAL!$F$3:$F$470&lt;&gt;"")),HISTORIAL!$K$3:$K$470)),IF(K471&gt;LOOKUP(2,1/((HISTORIAL!$O$3:$O$470=O471)*(HISTORIAL!$F$3:$F$470&lt;&gt;"")),HISTORIAL!$K$3:$K$470),"^",IF(K471&lt;LOOKUP(2,1/((HISTORIAL!$O$3:$O$470=O471)*(HISTORIAL!$F$3:$F$470&lt;&gt;"")),HISTORIAL!$K$3:$K$470),"v","-")),"-")),"-")</f>
        <v>-</v>
      </c>
      <c r="N471" s="54" t="str">
        <f>IFERROR(VLOOKUP(A471,CONFIG!$A$10:$B$21,2,0),"")</f>
        <v>HIP</v>
      </c>
      <c r="O471" s="55" t="str">
        <f t="shared" si="15"/>
        <v>Extension Cuadriceps|Vasto Externo</v>
      </c>
      <c r="P471" s="69" t="str">
        <f>MIERCOLES!AC172</f>
        <v/>
      </c>
    </row>
    <row r="472" spans="1:16" ht="14.1" customHeight="1">
      <c r="A472" s="37">
        <v>8</v>
      </c>
      <c r="B472" s="37" t="s">
        <v>279</v>
      </c>
      <c r="C472" s="44" t="str">
        <f>MIERCOLES!$A$173</f>
        <v>Extension Cuadriceps</v>
      </c>
      <c r="D472" s="45" t="str">
        <f>MIERCOLES!$B$173</f>
        <v>Vasto Interno</v>
      </c>
      <c r="E472" s="37" t="str">
        <f>MIERCOLES!$C$173</f>
        <v>--</v>
      </c>
      <c r="F472" s="46" t="str">
        <f>IF(P472="","",IFERROR(CHOOSE(VALUE(RIGHT(P472,1)),MIERCOLES!F173,MIERCOLES!I173,MIERCOLES!L173,MIERCOLES!O173,MIERCOLES!R173),""))</f>
        <v/>
      </c>
      <c r="G472" s="47" t="str">
        <f>IF(P472="","",IFERROR(CHOOSE(VALUE(RIGHT(P472,1)),MIERCOLES!G173,MIERCOLES!J173,MIERCOLES!M173,MIERCOLES!P173,MIERCOLES!S173),""))</f>
        <v/>
      </c>
      <c r="H472" s="48" t="str">
        <f>IF(P472="","",IFERROR(CHOOSE(VALUE(RIGHT(P472,1)),MIERCOLES!H173,MIERCOLES!K173,MIERCOLES!N173,MIERCOLES!Q173,MIERCOLES!T173),""))</f>
        <v/>
      </c>
      <c r="I472" s="49" t="str">
        <f t="shared" si="14"/>
        <v/>
      </c>
      <c r="J472" s="50" t="str">
        <f>IF(P472="","",IFERROR(ROUND(CHOOSE(VALUE(RIGHT(P472,1)),IF(MIERCOLES!C173="peso_corporal",IF(ISNUMBER(MIERCOLES!E173),MIERCOLES!E173,0)+MIERCOLES!F173,MIERCOLES!F173)*MIERCOLES!G173,IF(MIERCOLES!C173="peso_corporal",IF(ISNUMBER(MIERCOLES!E173),MIERCOLES!E173,0)+MIERCOLES!I173,MIERCOLES!I173)*MIERCOLES!J173,IF(MIERCOLES!C173="peso_corporal",IF(ISNUMBER(MIERCOLES!E173),MIERCOLES!E173,0)+MIERCOLES!L173,MIERCOLES!L173)*MIERCOLES!M173,IF(MIERCOLES!C173="peso_corporal",IF(ISNUMBER(MIERCOLES!E173),MIERCOLES!E173,0)+MIERCOLES!O173,MIERCOLES!O173)*MIERCOLES!P173,IF(MIERCOLES!C173="peso_corporal",IF(ISNUMBER(MIERCOLES!E173),MIERCOLES!E173,0)+MIERCOLES!R173,MIERCOLES!R173)*MIERCOLES!S173),1),""))</f>
        <v/>
      </c>
      <c r="K472" s="51" t="str">
        <f>IF(P472="","",IFERROR(ROUND(CHOOSE(VALUE(RIGHT(P472,1)),(IF(MIERCOLES!C173="peso_corporal",IF(ISNUMBER(MIERCOLES!E173),MIERCOLES!E173,0)+MIERCOLES!F173,MIERCOLES!F173))*(1+MIERCOLES!G173/30),(IF(MIERCOLES!C173="peso_corporal",IF(ISNUMBER(MIERCOLES!E173),MIERCOLES!E173,0)+MIERCOLES!I173,MIERCOLES!I173))*(1+MIERCOLES!J173/30),(IF(MIERCOLES!C173="peso_corporal",IF(ISNUMBER(MIERCOLES!E173),MIERCOLES!E173,0)+MIERCOLES!L173,MIERCOLES!L173))*(1+MIERCOLES!M173/30),(IF(MIERCOLES!C173="peso_corporal",IF(ISNUMBER(MIERCOLES!E173),MIERCOLES!E173,0)+MIERCOLES!O173,MIERCOLES!O173))*(1+MIERCOLES!P173/30),(IF(MIERCOLES!C173="peso_corporal",IF(ISNUMBER(MIERCOLES!E173),MIERCOLES!E173,0)+MIERCOLES!R173,MIERCOLES!R173))*(1+MIERCOLES!S173/30)),1),""))</f>
        <v/>
      </c>
      <c r="L472" s="52">
        <f>IFERROR(MIERCOLES!E173,"")</f>
        <v>80</v>
      </c>
      <c r="M472" s="53" t="str">
        <f>IFERROR(IF(K472="","-",IF(ISNUMBER(LOOKUP(2,1/((HISTORIAL!$O$3:$O$471=O472)*(HISTORIAL!$F$3:$F$471&lt;&gt;"")),HISTORIAL!$K$3:$K$471)),IF(K472&gt;LOOKUP(2,1/((HISTORIAL!$O$3:$O$471=O472)*(HISTORIAL!$F$3:$F$471&lt;&gt;"")),HISTORIAL!$K$3:$K$471),"^",IF(K472&lt;LOOKUP(2,1/((HISTORIAL!$O$3:$O$471=O472)*(HISTORIAL!$F$3:$F$471&lt;&gt;"")),HISTORIAL!$K$3:$K$471),"v","-")),"-")),"-")</f>
        <v>-</v>
      </c>
      <c r="N472" s="54" t="str">
        <f>IFERROR(VLOOKUP(A472,CONFIG!$A$10:$B$21,2,0),"")</f>
        <v>HIP</v>
      </c>
      <c r="O472" s="55" t="str">
        <f t="shared" si="15"/>
        <v>Extension Cuadriceps|Vasto Interno</v>
      </c>
      <c r="P472" s="69" t="str">
        <f>MIERCOLES!AC173</f>
        <v/>
      </c>
    </row>
    <row r="473" spans="1:16" ht="14.1" customHeight="1">
      <c r="A473" s="37">
        <v>8</v>
      </c>
      <c r="B473" s="37" t="s">
        <v>279</v>
      </c>
      <c r="C473" s="44" t="str">
        <f>MIERCOLES!$A$175</f>
        <v>Elevacion Gemelo</v>
      </c>
      <c r="D473" s="45" t="str">
        <f>MIERCOLES!$B$175</f>
        <v>Sentado</v>
      </c>
      <c r="E473" s="37" t="str">
        <f>MIERCOLES!$C$175</f>
        <v>disco</v>
      </c>
      <c r="F473" s="46" t="str">
        <f>IF(P473="","",IFERROR(CHOOSE(VALUE(RIGHT(P473,1)),MIERCOLES!F175,MIERCOLES!I175,MIERCOLES!L175,MIERCOLES!O175,MIERCOLES!R175),""))</f>
        <v/>
      </c>
      <c r="G473" s="47" t="str">
        <f>IF(P473="","",IFERROR(CHOOSE(VALUE(RIGHT(P473,1)),MIERCOLES!G175,MIERCOLES!J175,MIERCOLES!M175,MIERCOLES!P175,MIERCOLES!S175),""))</f>
        <v/>
      </c>
      <c r="H473" s="48" t="str">
        <f>IF(P473="","",IFERROR(CHOOSE(VALUE(RIGHT(P473,1)),MIERCOLES!H175,MIERCOLES!K175,MIERCOLES!N175,MIERCOLES!Q175,MIERCOLES!T175),""))</f>
        <v/>
      </c>
      <c r="I473" s="49" t="str">
        <f t="shared" si="14"/>
        <v/>
      </c>
      <c r="J473" s="50" t="str">
        <f>IF(P473="","",IFERROR(ROUND(CHOOSE(VALUE(RIGHT(P473,1)),IF(MIERCOLES!C175="peso_corporal",IF(ISNUMBER(MIERCOLES!E175),MIERCOLES!E175,0)+MIERCOLES!F175,MIERCOLES!F175)*MIERCOLES!G175,IF(MIERCOLES!C175="peso_corporal",IF(ISNUMBER(MIERCOLES!E175),MIERCOLES!E175,0)+MIERCOLES!I175,MIERCOLES!I175)*MIERCOLES!J175,IF(MIERCOLES!C175="peso_corporal",IF(ISNUMBER(MIERCOLES!E175),MIERCOLES!E175,0)+MIERCOLES!L175,MIERCOLES!L175)*MIERCOLES!M175,IF(MIERCOLES!C175="peso_corporal",IF(ISNUMBER(MIERCOLES!E175),MIERCOLES!E175,0)+MIERCOLES!O175,MIERCOLES!O175)*MIERCOLES!P175,IF(MIERCOLES!C175="peso_corporal",IF(ISNUMBER(MIERCOLES!E175),MIERCOLES!E175,0)+MIERCOLES!R175,MIERCOLES!R175)*MIERCOLES!S175),1),""))</f>
        <v/>
      </c>
      <c r="K473" s="51" t="str">
        <f>IF(P473="","",IFERROR(ROUND(CHOOSE(VALUE(RIGHT(P473,1)),(IF(MIERCOLES!C175="peso_corporal",IF(ISNUMBER(MIERCOLES!E175),MIERCOLES!E175,0)+MIERCOLES!F175,MIERCOLES!F175))*(1+MIERCOLES!G175/30),(IF(MIERCOLES!C175="peso_corporal",IF(ISNUMBER(MIERCOLES!E175),MIERCOLES!E175,0)+MIERCOLES!I175,MIERCOLES!I175))*(1+MIERCOLES!J175/30),(IF(MIERCOLES!C175="peso_corporal",IF(ISNUMBER(MIERCOLES!E175),MIERCOLES!E175,0)+MIERCOLES!L175,MIERCOLES!L175))*(1+MIERCOLES!M175/30),(IF(MIERCOLES!C175="peso_corporal",IF(ISNUMBER(MIERCOLES!E175),MIERCOLES!E175,0)+MIERCOLES!O175,MIERCOLES!O175))*(1+MIERCOLES!P175/30),(IF(MIERCOLES!C175="peso_corporal",IF(ISNUMBER(MIERCOLES!E175),MIERCOLES!E175,0)+MIERCOLES!R175,MIERCOLES!R175))*(1+MIERCOLES!S175/30)),1),""))</f>
        <v/>
      </c>
      <c r="L473" s="52">
        <f>IFERROR(MIERCOLES!E175,"")</f>
        <v>80</v>
      </c>
      <c r="M473" s="53" t="str">
        <f>IFERROR(IF(K473="","-",IF(ISNUMBER(LOOKUP(2,1/((HISTORIAL!$O$3:$O$472=O473)*(HISTORIAL!$F$3:$F$472&lt;&gt;"")),HISTORIAL!$K$3:$K$472)),IF(K473&gt;LOOKUP(2,1/((HISTORIAL!$O$3:$O$472=O473)*(HISTORIAL!$F$3:$F$472&lt;&gt;"")),HISTORIAL!$K$3:$K$472),"^",IF(K473&lt;LOOKUP(2,1/((HISTORIAL!$O$3:$O$472=O473)*(HISTORIAL!$F$3:$F$472&lt;&gt;"")),HISTORIAL!$K$3:$K$472),"v","-")),"-")),"-")</f>
        <v>-</v>
      </c>
      <c r="N473" s="54" t="str">
        <f>IFERROR(VLOOKUP(A473,CONFIG!$A$10:$B$21,2,0),"")</f>
        <v>HIP</v>
      </c>
      <c r="O473" s="55" t="str">
        <f t="shared" si="15"/>
        <v>Elevacion Gemelo|Sentado</v>
      </c>
      <c r="P473" s="69" t="str">
        <f>MIERCOLES!AC175</f>
        <v/>
      </c>
    </row>
    <row r="474" spans="1:16" ht="14.1" customHeight="1">
      <c r="A474" s="37">
        <v>8</v>
      </c>
      <c r="B474" s="37" t="s">
        <v>279</v>
      </c>
      <c r="C474" s="44" t="str">
        <f>MIERCOLES!$A$176</f>
        <v>Elevacion Gemelo</v>
      </c>
      <c r="D474" s="45" t="str">
        <f>MIERCOLES!$B$176</f>
        <v>De Pie</v>
      </c>
      <c r="E474" s="37" t="str">
        <f>MIERCOLES!$C$176</f>
        <v>disco</v>
      </c>
      <c r="F474" s="46" t="str">
        <f>IF(P474="","",IFERROR(CHOOSE(VALUE(RIGHT(P474,1)),MIERCOLES!F176,MIERCOLES!I176,MIERCOLES!L176,MIERCOLES!O176,MIERCOLES!R176),""))</f>
        <v/>
      </c>
      <c r="G474" s="47" t="str">
        <f>IF(P474="","",IFERROR(CHOOSE(VALUE(RIGHT(P474,1)),MIERCOLES!G176,MIERCOLES!J176,MIERCOLES!M176,MIERCOLES!P176,MIERCOLES!S176),""))</f>
        <v/>
      </c>
      <c r="H474" s="48" t="str">
        <f>IF(P474="","",IFERROR(CHOOSE(VALUE(RIGHT(P474,1)),MIERCOLES!H176,MIERCOLES!K176,MIERCOLES!N176,MIERCOLES!Q176,MIERCOLES!T176),""))</f>
        <v/>
      </c>
      <c r="I474" s="49" t="str">
        <f t="shared" si="14"/>
        <v/>
      </c>
      <c r="J474" s="50" t="str">
        <f>IF(P474="","",IFERROR(ROUND(CHOOSE(VALUE(RIGHT(P474,1)),IF(MIERCOLES!C176="peso_corporal",IF(ISNUMBER(MIERCOLES!E176),MIERCOLES!E176,0)+MIERCOLES!F176,MIERCOLES!F176)*MIERCOLES!G176,IF(MIERCOLES!C176="peso_corporal",IF(ISNUMBER(MIERCOLES!E176),MIERCOLES!E176,0)+MIERCOLES!I176,MIERCOLES!I176)*MIERCOLES!J176,IF(MIERCOLES!C176="peso_corporal",IF(ISNUMBER(MIERCOLES!E176),MIERCOLES!E176,0)+MIERCOLES!L176,MIERCOLES!L176)*MIERCOLES!M176,IF(MIERCOLES!C176="peso_corporal",IF(ISNUMBER(MIERCOLES!E176),MIERCOLES!E176,0)+MIERCOLES!O176,MIERCOLES!O176)*MIERCOLES!P176,IF(MIERCOLES!C176="peso_corporal",IF(ISNUMBER(MIERCOLES!E176),MIERCOLES!E176,0)+MIERCOLES!R176,MIERCOLES!R176)*MIERCOLES!S176),1),""))</f>
        <v/>
      </c>
      <c r="K474" s="51" t="str">
        <f>IF(P474="","",IFERROR(ROUND(CHOOSE(VALUE(RIGHT(P474,1)),(IF(MIERCOLES!C176="peso_corporal",IF(ISNUMBER(MIERCOLES!E176),MIERCOLES!E176,0)+MIERCOLES!F176,MIERCOLES!F176))*(1+MIERCOLES!G176/30),(IF(MIERCOLES!C176="peso_corporal",IF(ISNUMBER(MIERCOLES!E176),MIERCOLES!E176,0)+MIERCOLES!I176,MIERCOLES!I176))*(1+MIERCOLES!J176/30),(IF(MIERCOLES!C176="peso_corporal",IF(ISNUMBER(MIERCOLES!E176),MIERCOLES!E176,0)+MIERCOLES!L176,MIERCOLES!L176))*(1+MIERCOLES!M176/30),(IF(MIERCOLES!C176="peso_corporal",IF(ISNUMBER(MIERCOLES!E176),MIERCOLES!E176,0)+MIERCOLES!O176,MIERCOLES!O176))*(1+MIERCOLES!P176/30),(IF(MIERCOLES!C176="peso_corporal",IF(ISNUMBER(MIERCOLES!E176),MIERCOLES!E176,0)+MIERCOLES!R176,MIERCOLES!R176))*(1+MIERCOLES!S176/30)),1),""))</f>
        <v/>
      </c>
      <c r="L474" s="52">
        <f>IFERROR(MIERCOLES!E176,"")</f>
        <v>80</v>
      </c>
      <c r="M474" s="53" t="str">
        <f>IFERROR(IF(K474="","-",IF(ISNUMBER(LOOKUP(2,1/((HISTORIAL!$O$3:$O$473=O474)*(HISTORIAL!$F$3:$F$473&lt;&gt;"")),HISTORIAL!$K$3:$K$473)),IF(K474&gt;LOOKUP(2,1/((HISTORIAL!$O$3:$O$473=O474)*(HISTORIAL!$F$3:$F$473&lt;&gt;"")),HISTORIAL!$K$3:$K$473),"^",IF(K474&lt;LOOKUP(2,1/((HISTORIAL!$O$3:$O$473=O474)*(HISTORIAL!$F$3:$F$473&lt;&gt;"")),HISTORIAL!$K$3:$K$473),"v","-")),"-")),"-")</f>
        <v>-</v>
      </c>
      <c r="N474" s="54" t="str">
        <f>IFERROR(VLOOKUP(A474,CONFIG!$A$10:$B$21,2,0),"")</f>
        <v>HIP</v>
      </c>
      <c r="O474" s="55" t="str">
        <f t="shared" si="15"/>
        <v>Elevacion Gemelo|De Pie</v>
      </c>
      <c r="P474" s="69" t="str">
        <f>MIERCOLES!AC176</f>
        <v/>
      </c>
    </row>
    <row r="475" spans="1:16" ht="14.1" customHeight="1">
      <c r="A475" s="37">
        <v>8</v>
      </c>
      <c r="B475" s="37" t="s">
        <v>279</v>
      </c>
      <c r="C475" s="44" t="str">
        <f>MIERCOLES!$A$178</f>
        <v>Hiperextension</v>
      </c>
      <c r="D475" s="45" t="str">
        <f>MIERCOLES!$B$178</f>
        <v>Banco Romano</v>
      </c>
      <c r="E475" s="37" t="str">
        <f>MIERCOLES!$C$178</f>
        <v>peso_corporal</v>
      </c>
      <c r="F475" s="46" t="str">
        <f>IF(P475="","",IFERROR(CHOOSE(VALUE(RIGHT(P475,1)),MIERCOLES!F178,MIERCOLES!I178,MIERCOLES!L178,MIERCOLES!O178,MIERCOLES!R178),""))</f>
        <v/>
      </c>
      <c r="G475" s="47" t="str">
        <f>IF(P475="","",IFERROR(CHOOSE(VALUE(RIGHT(P475,1)),MIERCOLES!G178,MIERCOLES!J178,MIERCOLES!M178,MIERCOLES!P178,MIERCOLES!S178),""))</f>
        <v/>
      </c>
      <c r="H475" s="48" t="str">
        <f>IF(P475="","",IFERROR(CHOOSE(VALUE(RIGHT(P475,1)),MIERCOLES!H178,MIERCOLES!K178,MIERCOLES!N178,MIERCOLES!Q178,MIERCOLES!T178),""))</f>
        <v/>
      </c>
      <c r="I475" s="49" t="str">
        <f t="shared" si="14"/>
        <v/>
      </c>
      <c r="J475" s="50" t="str">
        <f>IF(P475="","",IFERROR(ROUND(CHOOSE(VALUE(RIGHT(P475,1)),IF(MIERCOLES!C178="peso_corporal",IF(ISNUMBER(MIERCOLES!E178),MIERCOLES!E178,0)+MIERCOLES!F178,MIERCOLES!F178)*MIERCOLES!G178,IF(MIERCOLES!C178="peso_corporal",IF(ISNUMBER(MIERCOLES!E178),MIERCOLES!E178,0)+MIERCOLES!I178,MIERCOLES!I178)*MIERCOLES!J178,IF(MIERCOLES!C178="peso_corporal",IF(ISNUMBER(MIERCOLES!E178),MIERCOLES!E178,0)+MIERCOLES!L178,MIERCOLES!L178)*MIERCOLES!M178,IF(MIERCOLES!C178="peso_corporal",IF(ISNUMBER(MIERCOLES!E178),MIERCOLES!E178,0)+MIERCOLES!O178,MIERCOLES!O178)*MIERCOLES!P178,IF(MIERCOLES!C178="peso_corporal",IF(ISNUMBER(MIERCOLES!E178),MIERCOLES!E178,0)+MIERCOLES!R178,MIERCOLES!R178)*MIERCOLES!S178),1),""))</f>
        <v/>
      </c>
      <c r="K475" s="51" t="str">
        <f>IF(P475="","",IFERROR(ROUND(CHOOSE(VALUE(RIGHT(P475,1)),(IF(MIERCOLES!C178="peso_corporal",IF(ISNUMBER(MIERCOLES!E178),MIERCOLES!E178,0)+MIERCOLES!F178,MIERCOLES!F178))*(1+MIERCOLES!G178/30),(IF(MIERCOLES!C178="peso_corporal",IF(ISNUMBER(MIERCOLES!E178),MIERCOLES!E178,0)+MIERCOLES!I178,MIERCOLES!I178))*(1+MIERCOLES!J178/30),(IF(MIERCOLES!C178="peso_corporal",IF(ISNUMBER(MIERCOLES!E178),MIERCOLES!E178,0)+MIERCOLES!L178,MIERCOLES!L178))*(1+MIERCOLES!M178/30),(IF(MIERCOLES!C178="peso_corporal",IF(ISNUMBER(MIERCOLES!E178),MIERCOLES!E178,0)+MIERCOLES!O178,MIERCOLES!O178))*(1+MIERCOLES!P178/30),(IF(MIERCOLES!C178="peso_corporal",IF(ISNUMBER(MIERCOLES!E178),MIERCOLES!E178,0)+MIERCOLES!R178,MIERCOLES!R178))*(1+MIERCOLES!S178/30)),1),""))</f>
        <v/>
      </c>
      <c r="L475" s="52">
        <f>IFERROR(MIERCOLES!E178,"")</f>
        <v>80</v>
      </c>
      <c r="M475" s="53" t="str">
        <f>IFERROR(IF(K475="","-",IF(ISNUMBER(LOOKUP(2,1/((HISTORIAL!$O$3:$O$474=O475)*(HISTORIAL!$F$3:$F$474&lt;&gt;"")),HISTORIAL!$K$3:$K$474)),IF(K475&gt;LOOKUP(2,1/((HISTORIAL!$O$3:$O$474=O475)*(HISTORIAL!$F$3:$F$474&lt;&gt;"")),HISTORIAL!$K$3:$K$474),"^",IF(K475&lt;LOOKUP(2,1/((HISTORIAL!$O$3:$O$474=O475)*(HISTORIAL!$F$3:$F$474&lt;&gt;"")),HISTORIAL!$K$3:$K$474),"v","-")),"-")),"-")</f>
        <v>-</v>
      </c>
      <c r="N475" s="54" t="str">
        <f>IFERROR(VLOOKUP(A475,CONFIG!$A$10:$B$21,2,0),"")</f>
        <v>HIP</v>
      </c>
      <c r="O475" s="55" t="str">
        <f t="shared" si="15"/>
        <v>Hiperextension|Banco Romano</v>
      </c>
      <c r="P475" s="69" t="str">
        <f>MIERCOLES!AC178</f>
        <v/>
      </c>
    </row>
    <row r="476" spans="1:16" ht="14.1" customHeight="1">
      <c r="A476" s="37">
        <v>8</v>
      </c>
      <c r="B476" s="37" t="s">
        <v>279</v>
      </c>
      <c r="C476" s="44" t="str">
        <f>MIERCOLES!$A$179</f>
        <v>Peso Muerto Parcial</v>
      </c>
      <c r="D476" s="45" t="str">
        <f>MIERCOLES!$B$179</f>
        <v>Barra</v>
      </c>
      <c r="E476" s="37" t="str">
        <f>MIERCOLES!$C$179</f>
        <v>disco</v>
      </c>
      <c r="F476" s="46" t="str">
        <f>IF(P476="","",IFERROR(CHOOSE(VALUE(RIGHT(P476,1)),MIERCOLES!F179,MIERCOLES!I179,MIERCOLES!L179,MIERCOLES!O179,MIERCOLES!R179),""))</f>
        <v/>
      </c>
      <c r="G476" s="47" t="str">
        <f>IF(P476="","",IFERROR(CHOOSE(VALUE(RIGHT(P476,1)),MIERCOLES!G179,MIERCOLES!J179,MIERCOLES!M179,MIERCOLES!P179,MIERCOLES!S179),""))</f>
        <v/>
      </c>
      <c r="H476" s="48" t="str">
        <f>IF(P476="","",IFERROR(CHOOSE(VALUE(RIGHT(P476,1)),MIERCOLES!H179,MIERCOLES!K179,MIERCOLES!N179,MIERCOLES!Q179,MIERCOLES!T179),""))</f>
        <v/>
      </c>
      <c r="I476" s="49" t="str">
        <f t="shared" si="14"/>
        <v/>
      </c>
      <c r="J476" s="50" t="str">
        <f>IF(P476="","",IFERROR(ROUND(CHOOSE(VALUE(RIGHT(P476,1)),IF(MIERCOLES!C179="peso_corporal",IF(ISNUMBER(MIERCOLES!E179),MIERCOLES!E179,0)+MIERCOLES!F179,MIERCOLES!F179)*MIERCOLES!G179,IF(MIERCOLES!C179="peso_corporal",IF(ISNUMBER(MIERCOLES!E179),MIERCOLES!E179,0)+MIERCOLES!I179,MIERCOLES!I179)*MIERCOLES!J179,IF(MIERCOLES!C179="peso_corporal",IF(ISNUMBER(MIERCOLES!E179),MIERCOLES!E179,0)+MIERCOLES!L179,MIERCOLES!L179)*MIERCOLES!M179,IF(MIERCOLES!C179="peso_corporal",IF(ISNUMBER(MIERCOLES!E179),MIERCOLES!E179,0)+MIERCOLES!O179,MIERCOLES!O179)*MIERCOLES!P179,IF(MIERCOLES!C179="peso_corporal",IF(ISNUMBER(MIERCOLES!E179),MIERCOLES!E179,0)+MIERCOLES!R179,MIERCOLES!R179)*MIERCOLES!S179),1),""))</f>
        <v/>
      </c>
      <c r="K476" s="51" t="str">
        <f>IF(P476="","",IFERROR(ROUND(CHOOSE(VALUE(RIGHT(P476,1)),(IF(MIERCOLES!C179="peso_corporal",IF(ISNUMBER(MIERCOLES!E179),MIERCOLES!E179,0)+MIERCOLES!F179,MIERCOLES!F179))*(1+MIERCOLES!G179/30),(IF(MIERCOLES!C179="peso_corporal",IF(ISNUMBER(MIERCOLES!E179),MIERCOLES!E179,0)+MIERCOLES!I179,MIERCOLES!I179))*(1+MIERCOLES!J179/30),(IF(MIERCOLES!C179="peso_corporal",IF(ISNUMBER(MIERCOLES!E179),MIERCOLES!E179,0)+MIERCOLES!L179,MIERCOLES!L179))*(1+MIERCOLES!M179/30),(IF(MIERCOLES!C179="peso_corporal",IF(ISNUMBER(MIERCOLES!E179),MIERCOLES!E179,0)+MIERCOLES!O179,MIERCOLES!O179))*(1+MIERCOLES!P179/30),(IF(MIERCOLES!C179="peso_corporal",IF(ISNUMBER(MIERCOLES!E179),MIERCOLES!E179,0)+MIERCOLES!R179,MIERCOLES!R179))*(1+MIERCOLES!S179/30)),1),""))</f>
        <v/>
      </c>
      <c r="L476" s="52">
        <f>IFERROR(MIERCOLES!E179,"")</f>
        <v>80</v>
      </c>
      <c r="M476" s="53" t="str">
        <f>IFERROR(IF(K476="","-",IF(ISNUMBER(LOOKUP(2,1/((HISTORIAL!$O$3:$O$475=O476)*(HISTORIAL!$F$3:$F$475&lt;&gt;"")),HISTORIAL!$K$3:$K$475)),IF(K476&gt;LOOKUP(2,1/((HISTORIAL!$O$3:$O$475=O476)*(HISTORIAL!$F$3:$F$475&lt;&gt;"")),HISTORIAL!$K$3:$K$475),"^",IF(K476&lt;LOOKUP(2,1/((HISTORIAL!$O$3:$O$475=O476)*(HISTORIAL!$F$3:$F$475&lt;&gt;"")),HISTORIAL!$K$3:$K$475),"v","-")),"-")),"-")</f>
        <v>-</v>
      </c>
      <c r="N476" s="54" t="str">
        <f>IFERROR(VLOOKUP(A476,CONFIG!$A$10:$B$21,2,0),"")</f>
        <v>HIP</v>
      </c>
      <c r="O476" s="55" t="str">
        <f t="shared" si="15"/>
        <v>Peso Muerto Parcial|Barra</v>
      </c>
      <c r="P476" s="69" t="str">
        <f>MIERCOLES!AC179</f>
        <v/>
      </c>
    </row>
    <row r="477" spans="1:16" ht="14.1" customHeight="1">
      <c r="A477" s="37">
        <v>8</v>
      </c>
      <c r="B477" s="37" t="s">
        <v>279</v>
      </c>
      <c r="C477" s="44" t="str">
        <f>MIERCOLES!$A$181</f>
        <v>Crunch</v>
      </c>
      <c r="D477" s="45" t="str">
        <f>MIERCOLES!$B$181</f>
        <v>Polea</v>
      </c>
      <c r="E477" s="37" t="str">
        <f>MIERCOLES!$C$181</f>
        <v>polea</v>
      </c>
      <c r="F477" s="46" t="str">
        <f>IF(P477="","",IFERROR(CHOOSE(VALUE(RIGHT(P477,1)),MIERCOLES!F181,MIERCOLES!I181,MIERCOLES!L181,MIERCOLES!O181,MIERCOLES!R181),""))</f>
        <v/>
      </c>
      <c r="G477" s="47" t="str">
        <f>IF(P477="","",IFERROR(CHOOSE(VALUE(RIGHT(P477,1)),MIERCOLES!G181,MIERCOLES!J181,MIERCOLES!M181,MIERCOLES!P181,MIERCOLES!S181),""))</f>
        <v/>
      </c>
      <c r="H477" s="48" t="str">
        <f>IF(P477="","",IFERROR(CHOOSE(VALUE(RIGHT(P477,1)),MIERCOLES!H181,MIERCOLES!K181,MIERCOLES!N181,MIERCOLES!Q181,MIERCOLES!T181),""))</f>
        <v/>
      </c>
      <c r="I477" s="49" t="str">
        <f t="shared" si="14"/>
        <v/>
      </c>
      <c r="J477" s="50" t="str">
        <f>IF(P477="","",IFERROR(ROUND(CHOOSE(VALUE(RIGHT(P477,1)),IF(MIERCOLES!C181="peso_corporal",IF(ISNUMBER(MIERCOLES!E181),MIERCOLES!E181,0)+MIERCOLES!F181,MIERCOLES!F181)*MIERCOLES!G181,IF(MIERCOLES!C181="peso_corporal",IF(ISNUMBER(MIERCOLES!E181),MIERCOLES!E181,0)+MIERCOLES!I181,MIERCOLES!I181)*MIERCOLES!J181,IF(MIERCOLES!C181="peso_corporal",IF(ISNUMBER(MIERCOLES!E181),MIERCOLES!E181,0)+MIERCOLES!L181,MIERCOLES!L181)*MIERCOLES!M181,IF(MIERCOLES!C181="peso_corporal",IF(ISNUMBER(MIERCOLES!E181),MIERCOLES!E181,0)+MIERCOLES!O181,MIERCOLES!O181)*MIERCOLES!P181,IF(MIERCOLES!C181="peso_corporal",IF(ISNUMBER(MIERCOLES!E181),MIERCOLES!E181,0)+MIERCOLES!R181,MIERCOLES!R181)*MIERCOLES!S181),1),""))</f>
        <v/>
      </c>
      <c r="K477" s="51" t="str">
        <f>IF(P477="","",IFERROR(ROUND(CHOOSE(VALUE(RIGHT(P477,1)),(IF(MIERCOLES!C181="peso_corporal",IF(ISNUMBER(MIERCOLES!E181),MIERCOLES!E181,0)+MIERCOLES!F181,MIERCOLES!F181))*(1+MIERCOLES!G181/30),(IF(MIERCOLES!C181="peso_corporal",IF(ISNUMBER(MIERCOLES!E181),MIERCOLES!E181,0)+MIERCOLES!I181,MIERCOLES!I181))*(1+MIERCOLES!J181/30),(IF(MIERCOLES!C181="peso_corporal",IF(ISNUMBER(MIERCOLES!E181),MIERCOLES!E181,0)+MIERCOLES!L181,MIERCOLES!L181))*(1+MIERCOLES!M181/30),(IF(MIERCOLES!C181="peso_corporal",IF(ISNUMBER(MIERCOLES!E181),MIERCOLES!E181,0)+MIERCOLES!O181,MIERCOLES!O181))*(1+MIERCOLES!P181/30),(IF(MIERCOLES!C181="peso_corporal",IF(ISNUMBER(MIERCOLES!E181),MIERCOLES!E181,0)+MIERCOLES!R181,MIERCOLES!R181))*(1+MIERCOLES!S181/30)),1),""))</f>
        <v/>
      </c>
      <c r="L477" s="52">
        <f>IFERROR(MIERCOLES!E181,"")</f>
        <v>80</v>
      </c>
      <c r="M477" s="53" t="str">
        <f>IFERROR(IF(K477="","-",IF(ISNUMBER(LOOKUP(2,1/((HISTORIAL!$O$3:$O$476=O477)*(HISTORIAL!$F$3:$F$476&lt;&gt;"")),HISTORIAL!$K$3:$K$476)),IF(K477&gt;LOOKUP(2,1/((HISTORIAL!$O$3:$O$476=O477)*(HISTORIAL!$F$3:$F$476&lt;&gt;"")),HISTORIAL!$K$3:$K$476),"^",IF(K477&lt;LOOKUP(2,1/((HISTORIAL!$O$3:$O$476=O477)*(HISTORIAL!$F$3:$F$476&lt;&gt;"")),HISTORIAL!$K$3:$K$476),"v","-")),"-")),"-")</f>
        <v>-</v>
      </c>
      <c r="N477" s="54" t="str">
        <f>IFERROR(VLOOKUP(A477,CONFIG!$A$10:$B$21,2,0),"")</f>
        <v>HIP</v>
      </c>
      <c r="O477" s="55" t="str">
        <f t="shared" si="15"/>
        <v>Crunch|Polea</v>
      </c>
      <c r="P477" s="69" t="str">
        <f>MIERCOLES!AC181</f>
        <v/>
      </c>
    </row>
    <row r="478" spans="1:16" ht="14.1" customHeight="1">
      <c r="A478" s="37">
        <v>8</v>
      </c>
      <c r="B478" s="37" t="s">
        <v>279</v>
      </c>
      <c r="C478" s="44" t="str">
        <f>MIERCOLES!$A$182</f>
        <v>Plancha</v>
      </c>
      <c r="D478" s="45" t="str">
        <f>MIERCOLES!$B$182</f>
        <v>Abdominal</v>
      </c>
      <c r="E478" s="37" t="str">
        <f>MIERCOLES!$C$182</f>
        <v>--</v>
      </c>
      <c r="F478" s="46" t="str">
        <f>IF(P478="","",IFERROR(CHOOSE(VALUE(RIGHT(P478,1)),MIERCOLES!F182,MIERCOLES!I182,MIERCOLES!L182,MIERCOLES!O182,MIERCOLES!R182),""))</f>
        <v/>
      </c>
      <c r="G478" s="47" t="str">
        <f>IF(P478="","",IFERROR(CHOOSE(VALUE(RIGHT(P478,1)),MIERCOLES!G182,MIERCOLES!J182,MIERCOLES!M182,MIERCOLES!P182,MIERCOLES!S182),""))</f>
        <v/>
      </c>
      <c r="H478" s="48" t="str">
        <f>IF(P478="","",IFERROR(CHOOSE(VALUE(RIGHT(P478,1)),MIERCOLES!H182,MIERCOLES!K182,MIERCOLES!N182,MIERCOLES!Q182,MIERCOLES!T182),""))</f>
        <v/>
      </c>
      <c r="I478" s="49" t="str">
        <f t="shared" si="14"/>
        <v/>
      </c>
      <c r="J478" s="50" t="str">
        <f>IF(P478="","",IFERROR(ROUND(CHOOSE(VALUE(RIGHT(P478,1)),IF(MIERCOLES!C182="peso_corporal",IF(ISNUMBER(MIERCOLES!E182),MIERCOLES!E182,0)+MIERCOLES!F182,MIERCOLES!F182)*MIERCOLES!G182,IF(MIERCOLES!C182="peso_corporal",IF(ISNUMBER(MIERCOLES!E182),MIERCOLES!E182,0)+MIERCOLES!I182,MIERCOLES!I182)*MIERCOLES!J182,IF(MIERCOLES!C182="peso_corporal",IF(ISNUMBER(MIERCOLES!E182),MIERCOLES!E182,0)+MIERCOLES!L182,MIERCOLES!L182)*MIERCOLES!M182,IF(MIERCOLES!C182="peso_corporal",IF(ISNUMBER(MIERCOLES!E182),MIERCOLES!E182,0)+MIERCOLES!O182,MIERCOLES!O182)*MIERCOLES!P182,IF(MIERCOLES!C182="peso_corporal",IF(ISNUMBER(MIERCOLES!E182),MIERCOLES!E182,0)+MIERCOLES!R182,MIERCOLES!R182)*MIERCOLES!S182),1),""))</f>
        <v/>
      </c>
      <c r="K478" s="51" t="str">
        <f>IF(P478="","",IFERROR(ROUND(CHOOSE(VALUE(RIGHT(P478,1)),(IF(MIERCOLES!C182="peso_corporal",IF(ISNUMBER(MIERCOLES!E182),MIERCOLES!E182,0)+MIERCOLES!F182,MIERCOLES!F182))*(1+MIERCOLES!G182/30),(IF(MIERCOLES!C182="peso_corporal",IF(ISNUMBER(MIERCOLES!E182),MIERCOLES!E182,0)+MIERCOLES!I182,MIERCOLES!I182))*(1+MIERCOLES!J182/30),(IF(MIERCOLES!C182="peso_corporal",IF(ISNUMBER(MIERCOLES!E182),MIERCOLES!E182,0)+MIERCOLES!L182,MIERCOLES!L182))*(1+MIERCOLES!M182/30),(IF(MIERCOLES!C182="peso_corporal",IF(ISNUMBER(MIERCOLES!E182),MIERCOLES!E182,0)+MIERCOLES!O182,MIERCOLES!O182))*(1+MIERCOLES!P182/30),(IF(MIERCOLES!C182="peso_corporal",IF(ISNUMBER(MIERCOLES!E182),MIERCOLES!E182,0)+MIERCOLES!R182,MIERCOLES!R182))*(1+MIERCOLES!S182/30)),1),""))</f>
        <v/>
      </c>
      <c r="L478" s="52">
        <f>IFERROR(MIERCOLES!E182,"")</f>
        <v>80</v>
      </c>
      <c r="M478" s="53" t="str">
        <f>IFERROR(IF(K478="","-",IF(ISNUMBER(LOOKUP(2,1/((HISTORIAL!$O$3:$O$477=O478)*(HISTORIAL!$F$3:$F$477&lt;&gt;"")),HISTORIAL!$K$3:$K$477)),IF(K478&gt;LOOKUP(2,1/((HISTORIAL!$O$3:$O$477=O478)*(HISTORIAL!$F$3:$F$477&lt;&gt;"")),HISTORIAL!$K$3:$K$477),"^",IF(K478&lt;LOOKUP(2,1/((HISTORIAL!$O$3:$O$477=O478)*(HISTORIAL!$F$3:$F$477&lt;&gt;"")),HISTORIAL!$K$3:$K$477),"v","-")),"-")),"-")</f>
        <v>-</v>
      </c>
      <c r="N478" s="54" t="str">
        <f>IFERROR(VLOOKUP(A478,CONFIG!$A$10:$B$21,2,0),"")</f>
        <v>HIP</v>
      </c>
      <c r="O478" s="55" t="str">
        <f t="shared" si="15"/>
        <v>Plancha|Abdominal</v>
      </c>
      <c r="P478" s="69" t="str">
        <f>MIERCOLES!AC182</f>
        <v/>
      </c>
    </row>
    <row r="479" spans="1:16" ht="14.1" customHeight="1">
      <c r="A479" s="37">
        <v>8</v>
      </c>
      <c r="B479" s="37" t="s">
        <v>279</v>
      </c>
      <c r="C479" s="44" t="str">
        <f>MIERCOLES!$A$183</f>
        <v>Rueda Abdominal</v>
      </c>
      <c r="D479" s="45" t="str">
        <f>MIERCOLES!$B$183</f>
        <v>Ab Wheel</v>
      </c>
      <c r="E479" s="37" t="str">
        <f>MIERCOLES!$C$183</f>
        <v>--</v>
      </c>
      <c r="F479" s="46" t="str">
        <f>IF(P479="","",IFERROR(CHOOSE(VALUE(RIGHT(P479,1)),MIERCOLES!F183,MIERCOLES!I183,MIERCOLES!L183,MIERCOLES!O183,MIERCOLES!R183),""))</f>
        <v/>
      </c>
      <c r="G479" s="47" t="str">
        <f>IF(P479="","",IFERROR(CHOOSE(VALUE(RIGHT(P479,1)),MIERCOLES!G183,MIERCOLES!J183,MIERCOLES!M183,MIERCOLES!P183,MIERCOLES!S183),""))</f>
        <v/>
      </c>
      <c r="H479" s="48" t="str">
        <f>IF(P479="","",IFERROR(CHOOSE(VALUE(RIGHT(P479,1)),MIERCOLES!H183,MIERCOLES!K183,MIERCOLES!N183,MIERCOLES!Q183,MIERCOLES!T183),""))</f>
        <v/>
      </c>
      <c r="I479" s="49" t="str">
        <f t="shared" si="14"/>
        <v/>
      </c>
      <c r="J479" s="50" t="str">
        <f>IF(P479="","",IFERROR(ROUND(CHOOSE(VALUE(RIGHT(P479,1)),IF(MIERCOLES!C183="peso_corporal",IF(ISNUMBER(MIERCOLES!E183),MIERCOLES!E183,0)+MIERCOLES!F183,MIERCOLES!F183)*MIERCOLES!G183,IF(MIERCOLES!C183="peso_corporal",IF(ISNUMBER(MIERCOLES!E183),MIERCOLES!E183,0)+MIERCOLES!I183,MIERCOLES!I183)*MIERCOLES!J183,IF(MIERCOLES!C183="peso_corporal",IF(ISNUMBER(MIERCOLES!E183),MIERCOLES!E183,0)+MIERCOLES!L183,MIERCOLES!L183)*MIERCOLES!M183,IF(MIERCOLES!C183="peso_corporal",IF(ISNUMBER(MIERCOLES!E183),MIERCOLES!E183,0)+MIERCOLES!O183,MIERCOLES!O183)*MIERCOLES!P183,IF(MIERCOLES!C183="peso_corporal",IF(ISNUMBER(MIERCOLES!E183),MIERCOLES!E183,0)+MIERCOLES!R183,MIERCOLES!R183)*MIERCOLES!S183),1),""))</f>
        <v/>
      </c>
      <c r="K479" s="51" t="str">
        <f>IF(P479="","",IFERROR(ROUND(CHOOSE(VALUE(RIGHT(P479,1)),(IF(MIERCOLES!C183="peso_corporal",IF(ISNUMBER(MIERCOLES!E183),MIERCOLES!E183,0)+MIERCOLES!F183,MIERCOLES!F183))*(1+MIERCOLES!G183/30),(IF(MIERCOLES!C183="peso_corporal",IF(ISNUMBER(MIERCOLES!E183),MIERCOLES!E183,0)+MIERCOLES!I183,MIERCOLES!I183))*(1+MIERCOLES!J183/30),(IF(MIERCOLES!C183="peso_corporal",IF(ISNUMBER(MIERCOLES!E183),MIERCOLES!E183,0)+MIERCOLES!L183,MIERCOLES!L183))*(1+MIERCOLES!M183/30),(IF(MIERCOLES!C183="peso_corporal",IF(ISNUMBER(MIERCOLES!E183),MIERCOLES!E183,0)+MIERCOLES!O183,MIERCOLES!O183))*(1+MIERCOLES!P183/30),(IF(MIERCOLES!C183="peso_corporal",IF(ISNUMBER(MIERCOLES!E183),MIERCOLES!E183,0)+MIERCOLES!R183,MIERCOLES!R183))*(1+MIERCOLES!S183/30)),1),""))</f>
        <v/>
      </c>
      <c r="L479" s="52">
        <f>IFERROR(MIERCOLES!E183,"")</f>
        <v>80</v>
      </c>
      <c r="M479" s="53" t="str">
        <f>IFERROR(IF(K479="","-",IF(ISNUMBER(LOOKUP(2,1/((HISTORIAL!$O$3:$O$478=O479)*(HISTORIAL!$F$3:$F$478&lt;&gt;"")),HISTORIAL!$K$3:$K$478)),IF(K479&gt;LOOKUP(2,1/((HISTORIAL!$O$3:$O$478=O479)*(HISTORIAL!$F$3:$F$478&lt;&gt;"")),HISTORIAL!$K$3:$K$478),"^",IF(K479&lt;LOOKUP(2,1/((HISTORIAL!$O$3:$O$478=O479)*(HISTORIAL!$F$3:$F$478&lt;&gt;"")),HISTORIAL!$K$3:$K$478),"v","-")),"-")),"-")</f>
        <v>-</v>
      </c>
      <c r="N479" s="54" t="str">
        <f>IFERROR(VLOOKUP(A479,CONFIG!$A$10:$B$21,2,0),"")</f>
        <v>HIP</v>
      </c>
      <c r="O479" s="55" t="str">
        <f t="shared" si="15"/>
        <v>Rueda Abdominal|Ab Wheel</v>
      </c>
      <c r="P479" s="69" t="str">
        <f>MIERCOLES!AC183</f>
        <v/>
      </c>
    </row>
    <row r="480" spans="1:16" ht="14.1" customHeight="1">
      <c r="A480" s="37">
        <v>8</v>
      </c>
      <c r="B480" s="37" t="s">
        <v>279</v>
      </c>
      <c r="C480" s="44" t="str">
        <f>MIERCOLES!$A$184</f>
        <v>Elevacion Piernas</v>
      </c>
      <c r="D480" s="45" t="str">
        <f>MIERCOLES!$B$184</f>
        <v>Colgado</v>
      </c>
      <c r="E480" s="37" t="str">
        <f>MIERCOLES!$C$184</f>
        <v>peso_corporal</v>
      </c>
      <c r="F480" s="46" t="str">
        <f>IF(P480="","",IFERROR(CHOOSE(VALUE(RIGHT(P480,1)),MIERCOLES!F184,MIERCOLES!I184,MIERCOLES!L184,MIERCOLES!O184,MIERCOLES!R184),""))</f>
        <v/>
      </c>
      <c r="G480" s="47" t="str">
        <f>IF(P480="","",IFERROR(CHOOSE(VALUE(RIGHT(P480,1)),MIERCOLES!G184,MIERCOLES!J184,MIERCOLES!M184,MIERCOLES!P184,MIERCOLES!S184),""))</f>
        <v/>
      </c>
      <c r="H480" s="48" t="str">
        <f>IF(P480="","",IFERROR(CHOOSE(VALUE(RIGHT(P480,1)),MIERCOLES!H184,MIERCOLES!K184,MIERCOLES!N184,MIERCOLES!Q184,MIERCOLES!T184),""))</f>
        <v/>
      </c>
      <c r="I480" s="49" t="str">
        <f t="shared" si="14"/>
        <v/>
      </c>
      <c r="J480" s="50" t="str">
        <f>IF(P480="","",IFERROR(ROUND(CHOOSE(VALUE(RIGHT(P480,1)),IF(MIERCOLES!C184="peso_corporal",IF(ISNUMBER(MIERCOLES!E184),MIERCOLES!E184,0)+MIERCOLES!F184,MIERCOLES!F184)*MIERCOLES!G184,IF(MIERCOLES!C184="peso_corporal",IF(ISNUMBER(MIERCOLES!E184),MIERCOLES!E184,0)+MIERCOLES!I184,MIERCOLES!I184)*MIERCOLES!J184,IF(MIERCOLES!C184="peso_corporal",IF(ISNUMBER(MIERCOLES!E184),MIERCOLES!E184,0)+MIERCOLES!L184,MIERCOLES!L184)*MIERCOLES!M184,IF(MIERCOLES!C184="peso_corporal",IF(ISNUMBER(MIERCOLES!E184),MIERCOLES!E184,0)+MIERCOLES!O184,MIERCOLES!O184)*MIERCOLES!P184,IF(MIERCOLES!C184="peso_corporal",IF(ISNUMBER(MIERCOLES!E184),MIERCOLES!E184,0)+MIERCOLES!R184,MIERCOLES!R184)*MIERCOLES!S184),1),""))</f>
        <v/>
      </c>
      <c r="K480" s="51" t="str">
        <f>IF(P480="","",IFERROR(ROUND(CHOOSE(VALUE(RIGHT(P480,1)),(IF(MIERCOLES!C184="peso_corporal",IF(ISNUMBER(MIERCOLES!E184),MIERCOLES!E184,0)+MIERCOLES!F184,MIERCOLES!F184))*(1+MIERCOLES!G184/30),(IF(MIERCOLES!C184="peso_corporal",IF(ISNUMBER(MIERCOLES!E184),MIERCOLES!E184,0)+MIERCOLES!I184,MIERCOLES!I184))*(1+MIERCOLES!J184/30),(IF(MIERCOLES!C184="peso_corporal",IF(ISNUMBER(MIERCOLES!E184),MIERCOLES!E184,0)+MIERCOLES!L184,MIERCOLES!L184))*(1+MIERCOLES!M184/30),(IF(MIERCOLES!C184="peso_corporal",IF(ISNUMBER(MIERCOLES!E184),MIERCOLES!E184,0)+MIERCOLES!O184,MIERCOLES!O184))*(1+MIERCOLES!P184/30),(IF(MIERCOLES!C184="peso_corporal",IF(ISNUMBER(MIERCOLES!E184),MIERCOLES!E184,0)+MIERCOLES!R184,MIERCOLES!R184))*(1+MIERCOLES!S184/30)),1),""))</f>
        <v/>
      </c>
      <c r="L480" s="52">
        <f>IFERROR(MIERCOLES!E184,"")</f>
        <v>80</v>
      </c>
      <c r="M480" s="53" t="str">
        <f>IFERROR(IF(K480="","-",IF(ISNUMBER(LOOKUP(2,1/((HISTORIAL!$O$3:$O$479=O480)*(HISTORIAL!$F$3:$F$479&lt;&gt;"")),HISTORIAL!$K$3:$K$479)),IF(K480&gt;LOOKUP(2,1/((HISTORIAL!$O$3:$O$479=O480)*(HISTORIAL!$F$3:$F$479&lt;&gt;"")),HISTORIAL!$K$3:$K$479),"^",IF(K480&lt;LOOKUP(2,1/((HISTORIAL!$O$3:$O$479=O480)*(HISTORIAL!$F$3:$F$479&lt;&gt;"")),HISTORIAL!$K$3:$K$479),"v","-")),"-")),"-")</f>
        <v>-</v>
      </c>
      <c r="N480" s="54" t="str">
        <f>IFERROR(VLOOKUP(A480,CONFIG!$A$10:$B$21,2,0),"")</f>
        <v>HIP</v>
      </c>
      <c r="O480" s="55" t="str">
        <f t="shared" si="15"/>
        <v>Elevacion Piernas|Colgado</v>
      </c>
      <c r="P480" s="69" t="str">
        <f>MIERCOLES!AC184</f>
        <v/>
      </c>
    </row>
    <row r="481" spans="1:16" ht="14.1" customHeight="1">
      <c r="A481" s="37">
        <v>8</v>
      </c>
      <c r="B481" s="37" t="s">
        <v>280</v>
      </c>
      <c r="C481" s="44" t="str">
        <f>JUEVES!$A$187</f>
        <v>Press Militar</v>
      </c>
      <c r="D481" s="45" t="str">
        <f>JUEVES!$B$187</f>
        <v>Multipower</v>
      </c>
      <c r="E481" s="37" t="str">
        <f>JUEVES!$C$187</f>
        <v>--</v>
      </c>
      <c r="F481" s="46" t="str">
        <f>IF(P481="","",IFERROR(CHOOSE(VALUE(RIGHT(P481,1)),JUEVES!F187,JUEVES!I187,JUEVES!L187,JUEVES!O187,JUEVES!R187),""))</f>
        <v/>
      </c>
      <c r="G481" s="47" t="str">
        <f>IF(P481="","",IFERROR(CHOOSE(VALUE(RIGHT(P481,1)),JUEVES!G187,JUEVES!J187,JUEVES!M187,JUEVES!P187,JUEVES!S187),""))</f>
        <v/>
      </c>
      <c r="H481" s="48" t="str">
        <f>IF(P481="","",IFERROR(CHOOSE(VALUE(RIGHT(P481,1)),JUEVES!H187,JUEVES!K187,JUEVES!N187,JUEVES!Q187,JUEVES!T187),""))</f>
        <v/>
      </c>
      <c r="I481" s="49" t="str">
        <f t="shared" si="14"/>
        <v/>
      </c>
      <c r="J481" s="50" t="str">
        <f>IF(P481="","",IFERROR(ROUND(CHOOSE(VALUE(RIGHT(P481,1)),IF(JUEVES!C187="peso_corporal",IF(ISNUMBER(JUEVES!E187),JUEVES!E187,0)+JUEVES!F187,JUEVES!F187)*JUEVES!G187,IF(JUEVES!C187="peso_corporal",IF(ISNUMBER(JUEVES!E187),JUEVES!E187,0)+JUEVES!I187,JUEVES!I187)*JUEVES!J187,IF(JUEVES!C187="peso_corporal",IF(ISNUMBER(JUEVES!E187),JUEVES!E187,0)+JUEVES!L187,JUEVES!L187)*JUEVES!M187,IF(JUEVES!C187="peso_corporal",IF(ISNUMBER(JUEVES!E187),JUEVES!E187,0)+JUEVES!O187,JUEVES!O187)*JUEVES!P187,IF(JUEVES!C187="peso_corporal",IF(ISNUMBER(JUEVES!E187),JUEVES!E187,0)+JUEVES!R187,JUEVES!R187)*JUEVES!S187),1),""))</f>
        <v/>
      </c>
      <c r="K481" s="51" t="str">
        <f>IF(P481="","",IFERROR(ROUND(CHOOSE(VALUE(RIGHT(P481,1)),(IF(JUEVES!C187="peso_corporal",IF(ISNUMBER(JUEVES!E187),JUEVES!E187,0)+JUEVES!F187,JUEVES!F187))*(1+JUEVES!G187/30),(IF(JUEVES!C187="peso_corporal",IF(ISNUMBER(JUEVES!E187),JUEVES!E187,0)+JUEVES!I187,JUEVES!I187))*(1+JUEVES!J187/30),(IF(JUEVES!C187="peso_corporal",IF(ISNUMBER(JUEVES!E187),JUEVES!E187,0)+JUEVES!L187,JUEVES!L187))*(1+JUEVES!M187/30),(IF(JUEVES!C187="peso_corporal",IF(ISNUMBER(JUEVES!E187),JUEVES!E187,0)+JUEVES!O187,JUEVES!O187))*(1+JUEVES!P187/30),(IF(JUEVES!C187="peso_corporal",IF(ISNUMBER(JUEVES!E187),JUEVES!E187,0)+JUEVES!R187,JUEVES!R187))*(1+JUEVES!S187/30)),1),""))</f>
        <v/>
      </c>
      <c r="L481" s="52">
        <f>IFERROR(JUEVES!E187,"")</f>
        <v>80</v>
      </c>
      <c r="M481" s="53" t="str">
        <f>IFERROR(IF(K481="","-",IF(ISNUMBER(LOOKUP(2,1/((HISTORIAL!$O$3:$O$480=O481)*(HISTORIAL!$F$3:$F$480&lt;&gt;"")),HISTORIAL!$K$3:$K$480)),IF(K481&gt;LOOKUP(2,1/((HISTORIAL!$O$3:$O$480=O481)*(HISTORIAL!$F$3:$F$480&lt;&gt;"")),HISTORIAL!$K$3:$K$480),"^",IF(K481&lt;LOOKUP(2,1/((HISTORIAL!$O$3:$O$480=O481)*(HISTORIAL!$F$3:$F$480&lt;&gt;"")),HISTORIAL!$K$3:$K$480),"v","-")),"-")),"-")</f>
        <v>-</v>
      </c>
      <c r="N481" s="54" t="str">
        <f>IFERROR(VLOOKUP(A481,CONFIG!$A$10:$B$21,2,0),"")</f>
        <v>HIP</v>
      </c>
      <c r="O481" s="55" t="str">
        <f t="shared" si="15"/>
        <v>Press Militar|Multipower</v>
      </c>
      <c r="P481" s="69" t="str">
        <f>JUEVES!AC187</f>
        <v/>
      </c>
    </row>
    <row r="482" spans="1:16" ht="14.1" customHeight="1">
      <c r="A482" s="37">
        <v>8</v>
      </c>
      <c r="B482" s="37" t="s">
        <v>280</v>
      </c>
      <c r="C482" s="44" t="str">
        <f>JUEVES!$A$188</f>
        <v>Elevaciones Laterales</v>
      </c>
      <c r="D482" s="45" t="str">
        <f>JUEVES!$B$188</f>
        <v>Drop Set Maquina</v>
      </c>
      <c r="E482" s="37" t="str">
        <f>JUEVES!$C$188</f>
        <v>--</v>
      </c>
      <c r="F482" s="46" t="str">
        <f>IF(P482="","",IFERROR(CHOOSE(VALUE(RIGHT(P482,1)),JUEVES!F188,JUEVES!I188,JUEVES!L188,JUEVES!O188,JUEVES!R188),""))</f>
        <v/>
      </c>
      <c r="G482" s="47" t="str">
        <f>IF(P482="","",IFERROR(CHOOSE(VALUE(RIGHT(P482,1)),JUEVES!G188,JUEVES!J188,JUEVES!M188,JUEVES!P188,JUEVES!S188),""))</f>
        <v/>
      </c>
      <c r="H482" s="48" t="str">
        <f>IF(P482="","",IFERROR(CHOOSE(VALUE(RIGHT(P482,1)),JUEVES!H188,JUEVES!K188,JUEVES!N188,JUEVES!Q188,JUEVES!T188),""))</f>
        <v/>
      </c>
      <c r="I482" s="49" t="str">
        <f t="shared" si="14"/>
        <v/>
      </c>
      <c r="J482" s="50" t="str">
        <f>IF(P482="","",IFERROR(ROUND(CHOOSE(VALUE(RIGHT(P482,1)),IF(JUEVES!C188="peso_corporal",IF(ISNUMBER(JUEVES!E188),JUEVES!E188,0)+JUEVES!F188,JUEVES!F188)*JUEVES!G188,IF(JUEVES!C188="peso_corporal",IF(ISNUMBER(JUEVES!E188),JUEVES!E188,0)+JUEVES!I188,JUEVES!I188)*JUEVES!J188,IF(JUEVES!C188="peso_corporal",IF(ISNUMBER(JUEVES!E188),JUEVES!E188,0)+JUEVES!L188,JUEVES!L188)*JUEVES!M188,IF(JUEVES!C188="peso_corporal",IF(ISNUMBER(JUEVES!E188),JUEVES!E188,0)+JUEVES!O188,JUEVES!O188)*JUEVES!P188,IF(JUEVES!C188="peso_corporal",IF(ISNUMBER(JUEVES!E188),JUEVES!E188,0)+JUEVES!R188,JUEVES!R188)*JUEVES!S188),1),""))</f>
        <v/>
      </c>
      <c r="K482" s="51" t="str">
        <f>IF(P482="","",IFERROR(ROUND(CHOOSE(VALUE(RIGHT(P482,1)),(IF(JUEVES!C188="peso_corporal",IF(ISNUMBER(JUEVES!E188),JUEVES!E188,0)+JUEVES!F188,JUEVES!F188))*(1+JUEVES!G188/30),(IF(JUEVES!C188="peso_corporal",IF(ISNUMBER(JUEVES!E188),JUEVES!E188,0)+JUEVES!I188,JUEVES!I188))*(1+JUEVES!J188/30),(IF(JUEVES!C188="peso_corporal",IF(ISNUMBER(JUEVES!E188),JUEVES!E188,0)+JUEVES!L188,JUEVES!L188))*(1+JUEVES!M188/30),(IF(JUEVES!C188="peso_corporal",IF(ISNUMBER(JUEVES!E188),JUEVES!E188,0)+JUEVES!O188,JUEVES!O188))*(1+JUEVES!P188/30),(IF(JUEVES!C188="peso_corporal",IF(ISNUMBER(JUEVES!E188),JUEVES!E188,0)+JUEVES!R188,JUEVES!R188))*(1+JUEVES!S188/30)),1),""))</f>
        <v/>
      </c>
      <c r="L482" s="52">
        <f>IFERROR(JUEVES!E188,"")</f>
        <v>80</v>
      </c>
      <c r="M482" s="53" t="str">
        <f>IFERROR(IF(K482="","-",IF(ISNUMBER(LOOKUP(2,1/((HISTORIAL!$O$3:$O$481=O482)*(HISTORIAL!$F$3:$F$481&lt;&gt;"")),HISTORIAL!$K$3:$K$481)),IF(K482&gt;LOOKUP(2,1/((HISTORIAL!$O$3:$O$481=O482)*(HISTORIAL!$F$3:$F$481&lt;&gt;"")),HISTORIAL!$K$3:$K$481),"^",IF(K482&lt;LOOKUP(2,1/((HISTORIAL!$O$3:$O$481=O482)*(HISTORIAL!$F$3:$F$481&lt;&gt;"")),HISTORIAL!$K$3:$K$481),"v","-")),"-")),"-")</f>
        <v>-</v>
      </c>
      <c r="N482" s="54" t="str">
        <f>IFERROR(VLOOKUP(A482,CONFIG!$A$10:$B$21,2,0),"")</f>
        <v>HIP</v>
      </c>
      <c r="O482" s="55" t="str">
        <f t="shared" si="15"/>
        <v>Elevaciones Laterales|Drop Set Maquina</v>
      </c>
      <c r="P482" s="69" t="str">
        <f>JUEVES!AC188</f>
        <v/>
      </c>
    </row>
    <row r="483" spans="1:16" ht="14.1" customHeight="1">
      <c r="A483" s="37">
        <v>8</v>
      </c>
      <c r="B483" s="37" t="s">
        <v>280</v>
      </c>
      <c r="C483" s="44" t="str">
        <f>JUEVES!$A$190</f>
        <v>Pajaro</v>
      </c>
      <c r="D483" s="45" t="str">
        <f>JUEVES!$B$190</f>
        <v>Elevacion Posterior</v>
      </c>
      <c r="E483" s="37" t="str">
        <f>JUEVES!$C$190</f>
        <v>mancuerna</v>
      </c>
      <c r="F483" s="46" t="str">
        <f>IF(P483="","",IFERROR(CHOOSE(VALUE(RIGHT(P483,1)),JUEVES!F190,JUEVES!I190,JUEVES!L190,JUEVES!O190,JUEVES!R190),""))</f>
        <v/>
      </c>
      <c r="G483" s="47" t="str">
        <f>IF(P483="","",IFERROR(CHOOSE(VALUE(RIGHT(P483,1)),JUEVES!G190,JUEVES!J190,JUEVES!M190,JUEVES!P190,JUEVES!S190),""))</f>
        <v/>
      </c>
      <c r="H483" s="48" t="str">
        <f>IF(P483="","",IFERROR(CHOOSE(VALUE(RIGHT(P483,1)),JUEVES!H190,JUEVES!K190,JUEVES!N190,JUEVES!Q190,JUEVES!T190),""))</f>
        <v/>
      </c>
      <c r="I483" s="49" t="str">
        <f t="shared" si="14"/>
        <v/>
      </c>
      <c r="J483" s="50" t="str">
        <f>IF(P483="","",IFERROR(ROUND(CHOOSE(VALUE(RIGHT(P483,1)),IF(JUEVES!C190="peso_corporal",IF(ISNUMBER(JUEVES!E190),JUEVES!E190,0)+JUEVES!F190,JUEVES!F190)*JUEVES!G190,IF(JUEVES!C190="peso_corporal",IF(ISNUMBER(JUEVES!E190),JUEVES!E190,0)+JUEVES!I190,JUEVES!I190)*JUEVES!J190,IF(JUEVES!C190="peso_corporal",IF(ISNUMBER(JUEVES!E190),JUEVES!E190,0)+JUEVES!L190,JUEVES!L190)*JUEVES!M190,IF(JUEVES!C190="peso_corporal",IF(ISNUMBER(JUEVES!E190),JUEVES!E190,0)+JUEVES!O190,JUEVES!O190)*JUEVES!P190,IF(JUEVES!C190="peso_corporal",IF(ISNUMBER(JUEVES!E190),JUEVES!E190,0)+JUEVES!R190,JUEVES!R190)*JUEVES!S190),1),""))</f>
        <v/>
      </c>
      <c r="K483" s="51" t="str">
        <f>IF(P483="","",IFERROR(ROUND(CHOOSE(VALUE(RIGHT(P483,1)),(IF(JUEVES!C190="peso_corporal",IF(ISNUMBER(JUEVES!E190),JUEVES!E190,0)+JUEVES!F190,JUEVES!F190))*(1+JUEVES!G190/30),(IF(JUEVES!C190="peso_corporal",IF(ISNUMBER(JUEVES!E190),JUEVES!E190,0)+JUEVES!I190,JUEVES!I190))*(1+JUEVES!J190/30),(IF(JUEVES!C190="peso_corporal",IF(ISNUMBER(JUEVES!E190),JUEVES!E190,0)+JUEVES!L190,JUEVES!L190))*(1+JUEVES!M190/30),(IF(JUEVES!C190="peso_corporal",IF(ISNUMBER(JUEVES!E190),JUEVES!E190,0)+JUEVES!O190,JUEVES!O190))*(1+JUEVES!P190/30),(IF(JUEVES!C190="peso_corporal",IF(ISNUMBER(JUEVES!E190),JUEVES!E190,0)+JUEVES!R190,JUEVES!R190))*(1+JUEVES!S190/30)),1),""))</f>
        <v/>
      </c>
      <c r="L483" s="52">
        <f>IFERROR(JUEVES!E190,"")</f>
        <v>80</v>
      </c>
      <c r="M483" s="53" t="str">
        <f>IFERROR(IF(K483="","-",IF(ISNUMBER(LOOKUP(2,1/((HISTORIAL!$O$3:$O$482=O483)*(HISTORIAL!$F$3:$F$482&lt;&gt;"")),HISTORIAL!$K$3:$K$482)),IF(K483&gt;LOOKUP(2,1/((HISTORIAL!$O$3:$O$482=O483)*(HISTORIAL!$F$3:$F$482&lt;&gt;"")),HISTORIAL!$K$3:$K$482),"^",IF(K483&lt;LOOKUP(2,1/((HISTORIAL!$O$3:$O$482=O483)*(HISTORIAL!$F$3:$F$482&lt;&gt;"")),HISTORIAL!$K$3:$K$482),"v","-")),"-")),"-")</f>
        <v>-</v>
      </c>
      <c r="N483" s="54" t="str">
        <f>IFERROR(VLOOKUP(A483,CONFIG!$A$10:$B$21,2,0),"")</f>
        <v>HIP</v>
      </c>
      <c r="O483" s="55" t="str">
        <f t="shared" si="15"/>
        <v>Pajaro|Elevacion Posterior</v>
      </c>
      <c r="P483" s="69" t="str">
        <f>JUEVES!AC190</f>
        <v/>
      </c>
    </row>
    <row r="484" spans="1:16" ht="14.1" customHeight="1">
      <c r="A484" s="37">
        <v>8</v>
      </c>
      <c r="B484" s="37" t="s">
        <v>280</v>
      </c>
      <c r="C484" s="44" t="str">
        <f>JUEVES!$A$191</f>
        <v>Peck Deck Invertida</v>
      </c>
      <c r="D484" s="45" t="str">
        <f>JUEVES!$B$191</f>
        <v>Maquina</v>
      </c>
      <c r="E484" s="37" t="str">
        <f>JUEVES!$C$191</f>
        <v>polea</v>
      </c>
      <c r="F484" s="46" t="str">
        <f>IF(P484="","",IFERROR(CHOOSE(VALUE(RIGHT(P484,1)),JUEVES!F191,JUEVES!I191,JUEVES!L191,JUEVES!O191,JUEVES!R191),""))</f>
        <v/>
      </c>
      <c r="G484" s="47" t="str">
        <f>IF(P484="","",IFERROR(CHOOSE(VALUE(RIGHT(P484,1)),JUEVES!G191,JUEVES!J191,JUEVES!M191,JUEVES!P191,JUEVES!S191),""))</f>
        <v/>
      </c>
      <c r="H484" s="48" t="str">
        <f>IF(P484="","",IFERROR(CHOOSE(VALUE(RIGHT(P484,1)),JUEVES!H191,JUEVES!K191,JUEVES!N191,JUEVES!Q191,JUEVES!T191),""))</f>
        <v/>
      </c>
      <c r="I484" s="49" t="str">
        <f t="shared" si="14"/>
        <v/>
      </c>
      <c r="J484" s="50" t="str">
        <f>IF(P484="","",IFERROR(ROUND(CHOOSE(VALUE(RIGHT(P484,1)),IF(JUEVES!C191="peso_corporal",IF(ISNUMBER(JUEVES!E191),JUEVES!E191,0)+JUEVES!F191,JUEVES!F191)*JUEVES!G191,IF(JUEVES!C191="peso_corporal",IF(ISNUMBER(JUEVES!E191),JUEVES!E191,0)+JUEVES!I191,JUEVES!I191)*JUEVES!J191,IF(JUEVES!C191="peso_corporal",IF(ISNUMBER(JUEVES!E191),JUEVES!E191,0)+JUEVES!L191,JUEVES!L191)*JUEVES!M191,IF(JUEVES!C191="peso_corporal",IF(ISNUMBER(JUEVES!E191),JUEVES!E191,0)+JUEVES!O191,JUEVES!O191)*JUEVES!P191,IF(JUEVES!C191="peso_corporal",IF(ISNUMBER(JUEVES!E191),JUEVES!E191,0)+JUEVES!R191,JUEVES!R191)*JUEVES!S191),1),""))</f>
        <v/>
      </c>
      <c r="K484" s="51" t="str">
        <f>IF(P484="","",IFERROR(ROUND(CHOOSE(VALUE(RIGHT(P484,1)),(IF(JUEVES!C191="peso_corporal",IF(ISNUMBER(JUEVES!E191),JUEVES!E191,0)+JUEVES!F191,JUEVES!F191))*(1+JUEVES!G191/30),(IF(JUEVES!C191="peso_corporal",IF(ISNUMBER(JUEVES!E191),JUEVES!E191,0)+JUEVES!I191,JUEVES!I191))*(1+JUEVES!J191/30),(IF(JUEVES!C191="peso_corporal",IF(ISNUMBER(JUEVES!E191),JUEVES!E191,0)+JUEVES!L191,JUEVES!L191))*(1+JUEVES!M191/30),(IF(JUEVES!C191="peso_corporal",IF(ISNUMBER(JUEVES!E191),JUEVES!E191,0)+JUEVES!O191,JUEVES!O191))*(1+JUEVES!P191/30),(IF(JUEVES!C191="peso_corporal",IF(ISNUMBER(JUEVES!E191),JUEVES!E191,0)+JUEVES!R191,JUEVES!R191))*(1+JUEVES!S191/30)),1),""))</f>
        <v/>
      </c>
      <c r="L484" s="52">
        <f>IFERROR(JUEVES!E191,"")</f>
        <v>80</v>
      </c>
      <c r="M484" s="53" t="str">
        <f>IFERROR(IF(K484="","-",IF(ISNUMBER(LOOKUP(2,1/((HISTORIAL!$O$3:$O$483=O484)*(HISTORIAL!$F$3:$F$483&lt;&gt;"")),HISTORIAL!$K$3:$K$483)),IF(K484&gt;LOOKUP(2,1/((HISTORIAL!$O$3:$O$483=O484)*(HISTORIAL!$F$3:$F$483&lt;&gt;"")),HISTORIAL!$K$3:$K$483),"^",IF(K484&lt;LOOKUP(2,1/((HISTORIAL!$O$3:$O$483=O484)*(HISTORIAL!$F$3:$F$483&lt;&gt;"")),HISTORIAL!$K$3:$K$483),"v","-")),"-")),"-")</f>
        <v>-</v>
      </c>
      <c r="N484" s="54" t="str">
        <f>IFERROR(VLOOKUP(A484,CONFIG!$A$10:$B$21,2,0),"")</f>
        <v>HIP</v>
      </c>
      <c r="O484" s="55" t="str">
        <f t="shared" si="15"/>
        <v>Peck Deck Invertida|Maquina</v>
      </c>
      <c r="P484" s="69" t="str">
        <f>JUEVES!AC191</f>
        <v/>
      </c>
    </row>
    <row r="485" spans="1:16" ht="14.1" customHeight="1">
      <c r="A485" s="37">
        <v>8</v>
      </c>
      <c r="B485" s="37" t="s">
        <v>280</v>
      </c>
      <c r="C485" s="44" t="str">
        <f>JUEVES!$A$192</f>
        <v>Elevaciones Posteriores</v>
      </c>
      <c r="D485" s="45" t="str">
        <f>JUEVES!$B$192</f>
        <v>Polea Individual</v>
      </c>
      <c r="E485" s="37" t="str">
        <f>JUEVES!$C$192</f>
        <v>polea</v>
      </c>
      <c r="F485" s="46" t="str">
        <f>IF(P485="","",IFERROR(CHOOSE(VALUE(RIGHT(P485,1)),JUEVES!F192,JUEVES!I192,JUEVES!L192,JUEVES!O192,JUEVES!R192),""))</f>
        <v/>
      </c>
      <c r="G485" s="47" t="str">
        <f>IF(P485="","",IFERROR(CHOOSE(VALUE(RIGHT(P485,1)),JUEVES!G192,JUEVES!J192,JUEVES!M192,JUEVES!P192,JUEVES!S192),""))</f>
        <v/>
      </c>
      <c r="H485" s="48" t="str">
        <f>IF(P485="","",IFERROR(CHOOSE(VALUE(RIGHT(P485,1)),JUEVES!H192,JUEVES!K192,JUEVES!N192,JUEVES!Q192,JUEVES!T192),""))</f>
        <v/>
      </c>
      <c r="I485" s="49" t="str">
        <f t="shared" si="14"/>
        <v/>
      </c>
      <c r="J485" s="50" t="str">
        <f>IF(P485="","",IFERROR(ROUND(CHOOSE(VALUE(RIGHT(P485,1)),IF(JUEVES!C192="peso_corporal",IF(ISNUMBER(JUEVES!E192),JUEVES!E192,0)+JUEVES!F192,JUEVES!F192)*JUEVES!G192,IF(JUEVES!C192="peso_corporal",IF(ISNUMBER(JUEVES!E192),JUEVES!E192,0)+JUEVES!I192,JUEVES!I192)*JUEVES!J192,IF(JUEVES!C192="peso_corporal",IF(ISNUMBER(JUEVES!E192),JUEVES!E192,0)+JUEVES!L192,JUEVES!L192)*JUEVES!M192,IF(JUEVES!C192="peso_corporal",IF(ISNUMBER(JUEVES!E192),JUEVES!E192,0)+JUEVES!O192,JUEVES!O192)*JUEVES!P192,IF(JUEVES!C192="peso_corporal",IF(ISNUMBER(JUEVES!E192),JUEVES!E192,0)+JUEVES!R192,JUEVES!R192)*JUEVES!S192),1),""))</f>
        <v/>
      </c>
      <c r="K485" s="51" t="str">
        <f>IF(P485="","",IFERROR(ROUND(CHOOSE(VALUE(RIGHT(P485,1)),(IF(JUEVES!C192="peso_corporal",IF(ISNUMBER(JUEVES!E192),JUEVES!E192,0)+JUEVES!F192,JUEVES!F192))*(1+JUEVES!G192/30),(IF(JUEVES!C192="peso_corporal",IF(ISNUMBER(JUEVES!E192),JUEVES!E192,0)+JUEVES!I192,JUEVES!I192))*(1+JUEVES!J192/30),(IF(JUEVES!C192="peso_corporal",IF(ISNUMBER(JUEVES!E192),JUEVES!E192,0)+JUEVES!L192,JUEVES!L192))*(1+JUEVES!M192/30),(IF(JUEVES!C192="peso_corporal",IF(ISNUMBER(JUEVES!E192),JUEVES!E192,0)+JUEVES!O192,JUEVES!O192))*(1+JUEVES!P192/30),(IF(JUEVES!C192="peso_corporal",IF(ISNUMBER(JUEVES!E192),JUEVES!E192,0)+JUEVES!R192,JUEVES!R192))*(1+JUEVES!S192/30)),1),""))</f>
        <v/>
      </c>
      <c r="L485" s="52">
        <f>IFERROR(JUEVES!E192,"")</f>
        <v>80</v>
      </c>
      <c r="M485" s="53" t="str">
        <f>IFERROR(IF(K485="","-",IF(ISNUMBER(LOOKUP(2,1/((HISTORIAL!$O$3:$O$484=O485)*(HISTORIAL!$F$3:$F$484&lt;&gt;"")),HISTORIAL!$K$3:$K$484)),IF(K485&gt;LOOKUP(2,1/((HISTORIAL!$O$3:$O$484=O485)*(HISTORIAL!$F$3:$F$484&lt;&gt;"")),HISTORIAL!$K$3:$K$484),"^",IF(K485&lt;LOOKUP(2,1/((HISTORIAL!$O$3:$O$484=O485)*(HISTORIAL!$F$3:$F$484&lt;&gt;"")),HISTORIAL!$K$3:$K$484),"v","-")),"-")),"-")</f>
        <v>-</v>
      </c>
      <c r="N485" s="54" t="str">
        <f>IFERROR(VLOOKUP(A485,CONFIG!$A$10:$B$21,2,0),"")</f>
        <v>HIP</v>
      </c>
      <c r="O485" s="55" t="str">
        <f t="shared" si="15"/>
        <v>Elevaciones Posteriores|Polea Individual</v>
      </c>
      <c r="P485" s="69" t="str">
        <f>JUEVES!AC192</f>
        <v/>
      </c>
    </row>
    <row r="486" spans="1:16" ht="14.1" customHeight="1">
      <c r="A486" s="37">
        <v>8</v>
      </c>
      <c r="B486" s="37" t="s">
        <v>280</v>
      </c>
      <c r="C486" s="44" t="str">
        <f>JUEVES!$A$195</f>
        <v>Press Plano</v>
      </c>
      <c r="D486" s="45" t="str">
        <f>JUEVES!$B$195</f>
        <v>Mancuernas</v>
      </c>
      <c r="E486" s="37" t="str">
        <f>JUEVES!$C$195</f>
        <v>mancuerna</v>
      </c>
      <c r="F486" s="46" t="str">
        <f>IF(P486="","",IFERROR(CHOOSE(VALUE(RIGHT(P486,1)),JUEVES!F195,JUEVES!I195,JUEVES!L195,JUEVES!O195,JUEVES!R195),""))</f>
        <v/>
      </c>
      <c r="G486" s="47" t="str">
        <f>IF(P486="","",IFERROR(CHOOSE(VALUE(RIGHT(P486,1)),JUEVES!G195,JUEVES!J195,JUEVES!M195,JUEVES!P195,JUEVES!S195),""))</f>
        <v/>
      </c>
      <c r="H486" s="48" t="str">
        <f>IF(P486="","",IFERROR(CHOOSE(VALUE(RIGHT(P486,1)),JUEVES!H195,JUEVES!K195,JUEVES!N195,JUEVES!Q195,JUEVES!T195),""))</f>
        <v/>
      </c>
      <c r="I486" s="49" t="str">
        <f t="shared" si="14"/>
        <v/>
      </c>
      <c r="J486" s="50" t="str">
        <f>IF(P486="","",IFERROR(ROUND(CHOOSE(VALUE(RIGHT(P486,1)),IF(JUEVES!C195="peso_corporal",IF(ISNUMBER(JUEVES!E195),JUEVES!E195,0)+JUEVES!F195,JUEVES!F195)*JUEVES!G195,IF(JUEVES!C195="peso_corporal",IF(ISNUMBER(JUEVES!E195),JUEVES!E195,0)+JUEVES!I195,JUEVES!I195)*JUEVES!J195,IF(JUEVES!C195="peso_corporal",IF(ISNUMBER(JUEVES!E195),JUEVES!E195,0)+JUEVES!L195,JUEVES!L195)*JUEVES!M195,IF(JUEVES!C195="peso_corporal",IF(ISNUMBER(JUEVES!E195),JUEVES!E195,0)+JUEVES!O195,JUEVES!O195)*JUEVES!P195,IF(JUEVES!C195="peso_corporal",IF(ISNUMBER(JUEVES!E195),JUEVES!E195,0)+JUEVES!R195,JUEVES!R195)*JUEVES!S195),1),""))</f>
        <v/>
      </c>
      <c r="K486" s="51" t="str">
        <f>IF(P486="","",IFERROR(ROUND(CHOOSE(VALUE(RIGHT(P486,1)),(IF(JUEVES!C195="peso_corporal",IF(ISNUMBER(JUEVES!E195),JUEVES!E195,0)+JUEVES!F195,JUEVES!F195))*(1+JUEVES!G195/30),(IF(JUEVES!C195="peso_corporal",IF(ISNUMBER(JUEVES!E195),JUEVES!E195,0)+JUEVES!I195,JUEVES!I195))*(1+JUEVES!J195/30),(IF(JUEVES!C195="peso_corporal",IF(ISNUMBER(JUEVES!E195),JUEVES!E195,0)+JUEVES!L195,JUEVES!L195))*(1+JUEVES!M195/30),(IF(JUEVES!C195="peso_corporal",IF(ISNUMBER(JUEVES!E195),JUEVES!E195,0)+JUEVES!O195,JUEVES!O195))*(1+JUEVES!P195/30),(IF(JUEVES!C195="peso_corporal",IF(ISNUMBER(JUEVES!E195),JUEVES!E195,0)+JUEVES!R195,JUEVES!R195))*(1+JUEVES!S195/30)),1),""))</f>
        <v/>
      </c>
      <c r="L486" s="52">
        <f>IFERROR(JUEVES!E195,"")</f>
        <v>80</v>
      </c>
      <c r="M486" s="53" t="str">
        <f>IFERROR(IF(K486="","-",IF(ISNUMBER(LOOKUP(2,1/((HISTORIAL!$O$3:$O$485=O486)*(HISTORIAL!$F$3:$F$485&lt;&gt;"")),HISTORIAL!$K$3:$K$485)),IF(K486&gt;LOOKUP(2,1/((HISTORIAL!$O$3:$O$485=O486)*(HISTORIAL!$F$3:$F$485&lt;&gt;"")),HISTORIAL!$K$3:$K$485),"^",IF(K486&lt;LOOKUP(2,1/((HISTORIAL!$O$3:$O$485=O486)*(HISTORIAL!$F$3:$F$485&lt;&gt;"")),HISTORIAL!$K$3:$K$485),"v","-")),"-")),"-")</f>
        <v>-</v>
      </c>
      <c r="N486" s="54" t="str">
        <f>IFERROR(VLOOKUP(A486,CONFIG!$A$10:$B$21,2,0),"")</f>
        <v>HIP</v>
      </c>
      <c r="O486" s="55" t="str">
        <f t="shared" si="15"/>
        <v>Press Plano|Mancuernas</v>
      </c>
      <c r="P486" s="69" t="str">
        <f>JUEVES!AC195</f>
        <v/>
      </c>
    </row>
    <row r="487" spans="1:16" ht="14.1" customHeight="1">
      <c r="A487" s="37">
        <v>8</v>
      </c>
      <c r="B487" s="37" t="s">
        <v>280</v>
      </c>
      <c r="C487" s="44" t="str">
        <f>JUEVES!$A$197</f>
        <v>Press Inclinado</v>
      </c>
      <c r="D487" s="45" t="str">
        <f>JUEVES!$B$197</f>
        <v>Multipower</v>
      </c>
      <c r="E487" s="37" t="str">
        <f>JUEVES!$C$197</f>
        <v>disco</v>
      </c>
      <c r="F487" s="46" t="str">
        <f>IF(P487="","",IFERROR(CHOOSE(VALUE(RIGHT(P487,1)),JUEVES!F197,JUEVES!I197,JUEVES!L197,JUEVES!O197,JUEVES!R197),""))</f>
        <v/>
      </c>
      <c r="G487" s="47" t="str">
        <f>IF(P487="","",IFERROR(CHOOSE(VALUE(RIGHT(P487,1)),JUEVES!G197,JUEVES!J197,JUEVES!M197,JUEVES!P197,JUEVES!S197),""))</f>
        <v/>
      </c>
      <c r="H487" s="48" t="str">
        <f>IF(P487="","",IFERROR(CHOOSE(VALUE(RIGHT(P487,1)),JUEVES!H197,JUEVES!K197,JUEVES!N197,JUEVES!Q197,JUEVES!T197),""))</f>
        <v/>
      </c>
      <c r="I487" s="49" t="str">
        <f t="shared" si="14"/>
        <v/>
      </c>
      <c r="J487" s="50" t="str">
        <f>IF(P487="","",IFERROR(ROUND(CHOOSE(VALUE(RIGHT(P487,1)),IF(JUEVES!C197="peso_corporal",IF(ISNUMBER(JUEVES!E197),JUEVES!E197,0)+JUEVES!F197,JUEVES!F197)*JUEVES!G197,IF(JUEVES!C197="peso_corporal",IF(ISNUMBER(JUEVES!E197),JUEVES!E197,0)+JUEVES!I197,JUEVES!I197)*JUEVES!J197,IF(JUEVES!C197="peso_corporal",IF(ISNUMBER(JUEVES!E197),JUEVES!E197,0)+JUEVES!L197,JUEVES!L197)*JUEVES!M197,IF(JUEVES!C197="peso_corporal",IF(ISNUMBER(JUEVES!E197),JUEVES!E197,0)+JUEVES!O197,JUEVES!O197)*JUEVES!P197,IF(JUEVES!C197="peso_corporal",IF(ISNUMBER(JUEVES!E197),JUEVES!E197,0)+JUEVES!R197,JUEVES!R197)*JUEVES!S197),1),""))</f>
        <v/>
      </c>
      <c r="K487" s="51" t="str">
        <f>IF(P487="","",IFERROR(ROUND(CHOOSE(VALUE(RIGHT(P487,1)),(IF(JUEVES!C197="peso_corporal",IF(ISNUMBER(JUEVES!E197),JUEVES!E197,0)+JUEVES!F197,JUEVES!F197))*(1+JUEVES!G197/30),(IF(JUEVES!C197="peso_corporal",IF(ISNUMBER(JUEVES!E197),JUEVES!E197,0)+JUEVES!I197,JUEVES!I197))*(1+JUEVES!J197/30),(IF(JUEVES!C197="peso_corporal",IF(ISNUMBER(JUEVES!E197),JUEVES!E197,0)+JUEVES!L197,JUEVES!L197))*(1+JUEVES!M197/30),(IF(JUEVES!C197="peso_corporal",IF(ISNUMBER(JUEVES!E197),JUEVES!E197,0)+JUEVES!O197,JUEVES!O197))*(1+JUEVES!P197/30),(IF(JUEVES!C197="peso_corporal",IF(ISNUMBER(JUEVES!E197),JUEVES!E197,0)+JUEVES!R197,JUEVES!R197))*(1+JUEVES!S197/30)),1),""))</f>
        <v/>
      </c>
      <c r="L487" s="52">
        <f>IFERROR(JUEVES!E197,"")</f>
        <v>80</v>
      </c>
      <c r="M487" s="53" t="str">
        <f>IFERROR(IF(K487="","-",IF(ISNUMBER(LOOKUP(2,1/((HISTORIAL!$O$3:$O$486=O487)*(HISTORIAL!$F$3:$F$486&lt;&gt;"")),HISTORIAL!$K$3:$K$486)),IF(K487&gt;LOOKUP(2,1/((HISTORIAL!$O$3:$O$486=O487)*(HISTORIAL!$F$3:$F$486&lt;&gt;"")),HISTORIAL!$K$3:$K$486),"^",IF(K487&lt;LOOKUP(2,1/((HISTORIAL!$O$3:$O$486=O487)*(HISTORIAL!$F$3:$F$486&lt;&gt;"")),HISTORIAL!$K$3:$K$486),"v","-")),"-")),"-")</f>
        <v>-</v>
      </c>
      <c r="N487" s="54" t="str">
        <f>IFERROR(VLOOKUP(A487,CONFIG!$A$10:$B$21,2,0),"")</f>
        <v>HIP</v>
      </c>
      <c r="O487" s="55" t="str">
        <f t="shared" si="15"/>
        <v>Press Inclinado|Multipower</v>
      </c>
      <c r="P487" s="69" t="str">
        <f>JUEVES!AC197</f>
        <v/>
      </c>
    </row>
    <row r="488" spans="1:16" ht="14.1" customHeight="1">
      <c r="A488" s="37">
        <v>8</v>
      </c>
      <c r="B488" s="37" t="s">
        <v>280</v>
      </c>
      <c r="C488" s="44" t="str">
        <f>JUEVES!$A$199</f>
        <v>Aperturas</v>
      </c>
      <c r="D488" s="45" t="str">
        <f>JUEVES!$B$199</f>
        <v>Pec Deck Maquina</v>
      </c>
      <c r="E488" s="37" t="str">
        <f>JUEVES!$C$199</f>
        <v>--</v>
      </c>
      <c r="F488" s="46" t="str">
        <f>IF(P488="","",IFERROR(CHOOSE(VALUE(RIGHT(P488,1)),JUEVES!F199,JUEVES!I199,JUEVES!L199,JUEVES!O199,JUEVES!R199),""))</f>
        <v/>
      </c>
      <c r="G488" s="47" t="str">
        <f>IF(P488="","",IFERROR(CHOOSE(VALUE(RIGHT(P488,1)),JUEVES!G199,JUEVES!J199,JUEVES!M199,JUEVES!P199,JUEVES!S199),""))</f>
        <v/>
      </c>
      <c r="H488" s="48" t="str">
        <f>IF(P488="","",IFERROR(CHOOSE(VALUE(RIGHT(P488,1)),JUEVES!H199,JUEVES!K199,JUEVES!N199,JUEVES!Q199,JUEVES!T199),""))</f>
        <v/>
      </c>
      <c r="I488" s="49" t="str">
        <f t="shared" si="14"/>
        <v/>
      </c>
      <c r="J488" s="50" t="str">
        <f>IF(P488="","",IFERROR(ROUND(CHOOSE(VALUE(RIGHT(P488,1)),IF(JUEVES!C199="peso_corporal",IF(ISNUMBER(JUEVES!E199),JUEVES!E199,0)+JUEVES!F199,JUEVES!F199)*JUEVES!G199,IF(JUEVES!C199="peso_corporal",IF(ISNUMBER(JUEVES!E199),JUEVES!E199,0)+JUEVES!I199,JUEVES!I199)*JUEVES!J199,IF(JUEVES!C199="peso_corporal",IF(ISNUMBER(JUEVES!E199),JUEVES!E199,0)+JUEVES!L199,JUEVES!L199)*JUEVES!M199,IF(JUEVES!C199="peso_corporal",IF(ISNUMBER(JUEVES!E199),JUEVES!E199,0)+JUEVES!O199,JUEVES!O199)*JUEVES!P199,IF(JUEVES!C199="peso_corporal",IF(ISNUMBER(JUEVES!E199),JUEVES!E199,0)+JUEVES!R199,JUEVES!R199)*JUEVES!S199),1),""))</f>
        <v/>
      </c>
      <c r="K488" s="51" t="str">
        <f>IF(P488="","",IFERROR(ROUND(CHOOSE(VALUE(RIGHT(P488,1)),(IF(JUEVES!C199="peso_corporal",IF(ISNUMBER(JUEVES!E199),JUEVES!E199,0)+JUEVES!F199,JUEVES!F199))*(1+JUEVES!G199/30),(IF(JUEVES!C199="peso_corporal",IF(ISNUMBER(JUEVES!E199),JUEVES!E199,0)+JUEVES!I199,JUEVES!I199))*(1+JUEVES!J199/30),(IF(JUEVES!C199="peso_corporal",IF(ISNUMBER(JUEVES!E199),JUEVES!E199,0)+JUEVES!L199,JUEVES!L199))*(1+JUEVES!M199/30),(IF(JUEVES!C199="peso_corporal",IF(ISNUMBER(JUEVES!E199),JUEVES!E199,0)+JUEVES!O199,JUEVES!O199))*(1+JUEVES!P199/30),(IF(JUEVES!C199="peso_corporal",IF(ISNUMBER(JUEVES!E199),JUEVES!E199,0)+JUEVES!R199,JUEVES!R199))*(1+JUEVES!S199/30)),1),""))</f>
        <v/>
      </c>
      <c r="L488" s="52">
        <f>IFERROR(JUEVES!E199,"")</f>
        <v>80</v>
      </c>
      <c r="M488" s="53" t="str">
        <f>IFERROR(IF(K488="","-",IF(ISNUMBER(LOOKUP(2,1/((HISTORIAL!$O$3:$O$487=O488)*(HISTORIAL!$F$3:$F$487&lt;&gt;"")),HISTORIAL!$K$3:$K$487)),IF(K488&gt;LOOKUP(2,1/((HISTORIAL!$O$3:$O$487=O488)*(HISTORIAL!$F$3:$F$487&lt;&gt;"")),HISTORIAL!$K$3:$K$487),"^",IF(K488&lt;LOOKUP(2,1/((HISTORIAL!$O$3:$O$487=O488)*(HISTORIAL!$F$3:$F$487&lt;&gt;"")),HISTORIAL!$K$3:$K$487),"v","-")),"-")),"-")</f>
        <v>-</v>
      </c>
      <c r="N488" s="54" t="str">
        <f>IFERROR(VLOOKUP(A488,CONFIG!$A$10:$B$21,2,0),"")</f>
        <v>HIP</v>
      </c>
      <c r="O488" s="55" t="str">
        <f t="shared" si="15"/>
        <v>Aperturas|Pec Deck Maquina</v>
      </c>
      <c r="P488" s="69" t="str">
        <f>JUEVES!AC199</f>
        <v/>
      </c>
    </row>
    <row r="489" spans="1:16" ht="14.1" customHeight="1">
      <c r="A489" s="37">
        <v>8</v>
      </c>
      <c r="B489" s="37" t="s">
        <v>280</v>
      </c>
      <c r="C489" s="44" t="str">
        <f>JUEVES!$A$201</f>
        <v>Press Polea</v>
      </c>
      <c r="D489" s="45" t="str">
        <f>JUEVES!$B$201</f>
        <v>Barra Recta Diagonal Arriba</v>
      </c>
      <c r="E489" s="37" t="str">
        <f>JUEVES!$C$201</f>
        <v>polea</v>
      </c>
      <c r="F489" s="46" t="str">
        <f>IF(P489="","",IFERROR(CHOOSE(VALUE(RIGHT(P489,1)),JUEVES!F201,JUEVES!I201,JUEVES!L201,JUEVES!O201,JUEVES!R201),""))</f>
        <v/>
      </c>
      <c r="G489" s="47" t="str">
        <f>IF(P489="","",IFERROR(CHOOSE(VALUE(RIGHT(P489,1)),JUEVES!G201,JUEVES!J201,JUEVES!M201,JUEVES!P201,JUEVES!S201),""))</f>
        <v/>
      </c>
      <c r="H489" s="48" t="str">
        <f>IF(P489="","",IFERROR(CHOOSE(VALUE(RIGHT(P489,1)),JUEVES!H201,JUEVES!K201,JUEVES!N201,JUEVES!Q201,JUEVES!T201),""))</f>
        <v/>
      </c>
      <c r="I489" s="49" t="str">
        <f t="shared" si="14"/>
        <v/>
      </c>
      <c r="J489" s="50" t="str">
        <f>IF(P489="","",IFERROR(ROUND(CHOOSE(VALUE(RIGHT(P489,1)),IF(JUEVES!C201="peso_corporal",IF(ISNUMBER(JUEVES!E201),JUEVES!E201,0)+JUEVES!F201,JUEVES!F201)*JUEVES!G201,IF(JUEVES!C201="peso_corporal",IF(ISNUMBER(JUEVES!E201),JUEVES!E201,0)+JUEVES!I201,JUEVES!I201)*JUEVES!J201,IF(JUEVES!C201="peso_corporal",IF(ISNUMBER(JUEVES!E201),JUEVES!E201,0)+JUEVES!L201,JUEVES!L201)*JUEVES!M201,IF(JUEVES!C201="peso_corporal",IF(ISNUMBER(JUEVES!E201),JUEVES!E201,0)+JUEVES!O201,JUEVES!O201)*JUEVES!P201,IF(JUEVES!C201="peso_corporal",IF(ISNUMBER(JUEVES!E201),JUEVES!E201,0)+JUEVES!R201,JUEVES!R201)*JUEVES!S201),1),""))</f>
        <v/>
      </c>
      <c r="K489" s="51" t="str">
        <f>IF(P489="","",IFERROR(ROUND(CHOOSE(VALUE(RIGHT(P489,1)),(IF(JUEVES!C201="peso_corporal",IF(ISNUMBER(JUEVES!E201),JUEVES!E201,0)+JUEVES!F201,JUEVES!F201))*(1+JUEVES!G201/30),(IF(JUEVES!C201="peso_corporal",IF(ISNUMBER(JUEVES!E201),JUEVES!E201,0)+JUEVES!I201,JUEVES!I201))*(1+JUEVES!J201/30),(IF(JUEVES!C201="peso_corporal",IF(ISNUMBER(JUEVES!E201),JUEVES!E201,0)+JUEVES!L201,JUEVES!L201))*(1+JUEVES!M201/30),(IF(JUEVES!C201="peso_corporal",IF(ISNUMBER(JUEVES!E201),JUEVES!E201,0)+JUEVES!O201,JUEVES!O201))*(1+JUEVES!P201/30),(IF(JUEVES!C201="peso_corporal",IF(ISNUMBER(JUEVES!E201),JUEVES!E201,0)+JUEVES!R201,JUEVES!R201))*(1+JUEVES!S201/30)),1),""))</f>
        <v/>
      </c>
      <c r="L489" s="52">
        <f>IFERROR(JUEVES!E201,"")</f>
        <v>80</v>
      </c>
      <c r="M489" s="53" t="str">
        <f>IFERROR(IF(K489="","-",IF(ISNUMBER(LOOKUP(2,1/((HISTORIAL!$O$3:$O$488=O489)*(HISTORIAL!$F$3:$F$488&lt;&gt;"")),HISTORIAL!$K$3:$K$488)),IF(K489&gt;LOOKUP(2,1/((HISTORIAL!$O$3:$O$488=O489)*(HISTORIAL!$F$3:$F$488&lt;&gt;"")),HISTORIAL!$K$3:$K$488),"^",IF(K489&lt;LOOKUP(2,1/((HISTORIAL!$O$3:$O$488=O489)*(HISTORIAL!$F$3:$F$488&lt;&gt;"")),HISTORIAL!$K$3:$K$488),"v","-")),"-")),"-")</f>
        <v>-</v>
      </c>
      <c r="N489" s="54" t="str">
        <f>IFERROR(VLOOKUP(A489,CONFIG!$A$10:$B$21,2,0),"")</f>
        <v>HIP</v>
      </c>
      <c r="O489" s="55" t="str">
        <f t="shared" si="15"/>
        <v>Press Polea|Barra Recta Diagonal Arriba</v>
      </c>
      <c r="P489" s="69" t="str">
        <f>JUEVES!AC201</f>
        <v/>
      </c>
    </row>
    <row r="490" spans="1:16" ht="14.1" customHeight="1">
      <c r="A490" s="37">
        <v>8</v>
      </c>
      <c r="B490" s="37" t="s">
        <v>280</v>
      </c>
      <c r="C490" s="44" t="str">
        <f>JUEVES!$A$202</f>
        <v>Extension Triceps</v>
      </c>
      <c r="D490" s="45" t="str">
        <f>JUEVES!$B$202</f>
        <v>Polea Sobre Cabeza</v>
      </c>
      <c r="E490" s="37" t="str">
        <f>JUEVES!$C$202</f>
        <v>--</v>
      </c>
      <c r="F490" s="46" t="str">
        <f>IF(P490="","",IFERROR(CHOOSE(VALUE(RIGHT(P490,1)),JUEVES!F202,JUEVES!I202,JUEVES!L202,JUEVES!O202,JUEVES!R202),""))</f>
        <v/>
      </c>
      <c r="G490" s="47" t="str">
        <f>IF(P490="","",IFERROR(CHOOSE(VALUE(RIGHT(P490,1)),JUEVES!G202,JUEVES!J202,JUEVES!M202,JUEVES!P202,JUEVES!S202),""))</f>
        <v/>
      </c>
      <c r="H490" s="48" t="str">
        <f>IF(P490="","",IFERROR(CHOOSE(VALUE(RIGHT(P490,1)),JUEVES!H202,JUEVES!K202,JUEVES!N202,JUEVES!Q202,JUEVES!T202),""))</f>
        <v/>
      </c>
      <c r="I490" s="49" t="str">
        <f t="shared" si="14"/>
        <v/>
      </c>
      <c r="J490" s="50" t="str">
        <f>IF(P490="","",IFERROR(ROUND(CHOOSE(VALUE(RIGHT(P490,1)),IF(JUEVES!C202="peso_corporal",IF(ISNUMBER(JUEVES!E202),JUEVES!E202,0)+JUEVES!F202,JUEVES!F202)*JUEVES!G202,IF(JUEVES!C202="peso_corporal",IF(ISNUMBER(JUEVES!E202),JUEVES!E202,0)+JUEVES!I202,JUEVES!I202)*JUEVES!J202,IF(JUEVES!C202="peso_corporal",IF(ISNUMBER(JUEVES!E202),JUEVES!E202,0)+JUEVES!L202,JUEVES!L202)*JUEVES!M202,IF(JUEVES!C202="peso_corporal",IF(ISNUMBER(JUEVES!E202),JUEVES!E202,0)+JUEVES!O202,JUEVES!O202)*JUEVES!P202,IF(JUEVES!C202="peso_corporal",IF(ISNUMBER(JUEVES!E202),JUEVES!E202,0)+JUEVES!R202,JUEVES!R202)*JUEVES!S202),1),""))</f>
        <v/>
      </c>
      <c r="K490" s="51" t="str">
        <f>IF(P490="","",IFERROR(ROUND(CHOOSE(VALUE(RIGHT(P490,1)),(IF(JUEVES!C202="peso_corporal",IF(ISNUMBER(JUEVES!E202),JUEVES!E202,0)+JUEVES!F202,JUEVES!F202))*(1+JUEVES!G202/30),(IF(JUEVES!C202="peso_corporal",IF(ISNUMBER(JUEVES!E202),JUEVES!E202,0)+JUEVES!I202,JUEVES!I202))*(1+JUEVES!J202/30),(IF(JUEVES!C202="peso_corporal",IF(ISNUMBER(JUEVES!E202),JUEVES!E202,0)+JUEVES!L202,JUEVES!L202))*(1+JUEVES!M202/30),(IF(JUEVES!C202="peso_corporal",IF(ISNUMBER(JUEVES!E202),JUEVES!E202,0)+JUEVES!O202,JUEVES!O202))*(1+JUEVES!P202/30),(IF(JUEVES!C202="peso_corporal",IF(ISNUMBER(JUEVES!E202),JUEVES!E202,0)+JUEVES!R202,JUEVES!R202))*(1+JUEVES!S202/30)),1),""))</f>
        <v/>
      </c>
      <c r="L490" s="52">
        <f>IFERROR(JUEVES!E202,"")</f>
        <v>80</v>
      </c>
      <c r="M490" s="53" t="str">
        <f>IFERROR(IF(K490="","-",IF(ISNUMBER(LOOKUP(2,1/((HISTORIAL!$O$3:$O$489=O490)*(HISTORIAL!$F$3:$F$489&lt;&gt;"")),HISTORIAL!$K$3:$K$489)),IF(K490&gt;LOOKUP(2,1/((HISTORIAL!$O$3:$O$489=O490)*(HISTORIAL!$F$3:$F$489&lt;&gt;"")),HISTORIAL!$K$3:$K$489),"^",IF(K490&lt;LOOKUP(2,1/((HISTORIAL!$O$3:$O$489=O490)*(HISTORIAL!$F$3:$F$489&lt;&gt;"")),HISTORIAL!$K$3:$K$489),"v","-")),"-")),"-")</f>
        <v>-</v>
      </c>
      <c r="N490" s="54" t="str">
        <f>IFERROR(VLOOKUP(A490,CONFIG!$A$10:$B$21,2,0),"")</f>
        <v>HIP</v>
      </c>
      <c r="O490" s="55" t="str">
        <f t="shared" si="15"/>
        <v>Extension Triceps|Polea Sobre Cabeza</v>
      </c>
      <c r="P490" s="69" t="str">
        <f>JUEVES!AC202</f>
        <v/>
      </c>
    </row>
    <row r="491" spans="1:16" ht="14.1" customHeight="1">
      <c r="A491" s="37">
        <v>8</v>
      </c>
      <c r="B491" s="37" t="s">
        <v>280</v>
      </c>
      <c r="C491" s="44" t="str">
        <f>JUEVES!$A$204</f>
        <v>Extension Cuadriceps</v>
      </c>
      <c r="D491" s="45" t="str">
        <f>JUEVES!$B$204</f>
        <v>Vasto Interno</v>
      </c>
      <c r="E491" s="37" t="str">
        <f>JUEVES!$C$204</f>
        <v>--</v>
      </c>
      <c r="F491" s="46" t="str">
        <f>IF(P491="","",IFERROR(CHOOSE(VALUE(RIGHT(P491,1)),JUEVES!F204,JUEVES!I204,JUEVES!L204,JUEVES!O204,JUEVES!R204),""))</f>
        <v/>
      </c>
      <c r="G491" s="47" t="str">
        <f>IF(P491="","",IFERROR(CHOOSE(VALUE(RIGHT(P491,1)),JUEVES!G204,JUEVES!J204,JUEVES!M204,JUEVES!P204,JUEVES!S204),""))</f>
        <v/>
      </c>
      <c r="H491" s="48" t="str">
        <f>IF(P491="","",IFERROR(CHOOSE(VALUE(RIGHT(P491,1)),JUEVES!H204,JUEVES!K204,JUEVES!N204,JUEVES!Q204,JUEVES!T204),""))</f>
        <v/>
      </c>
      <c r="I491" s="49" t="str">
        <f t="shared" si="14"/>
        <v/>
      </c>
      <c r="J491" s="50" t="str">
        <f>IF(P491="","",IFERROR(ROUND(CHOOSE(VALUE(RIGHT(P491,1)),IF(JUEVES!C204="peso_corporal",IF(ISNUMBER(JUEVES!E204),JUEVES!E204,0)+JUEVES!F204,JUEVES!F204)*JUEVES!G204,IF(JUEVES!C204="peso_corporal",IF(ISNUMBER(JUEVES!E204),JUEVES!E204,0)+JUEVES!I204,JUEVES!I204)*JUEVES!J204,IF(JUEVES!C204="peso_corporal",IF(ISNUMBER(JUEVES!E204),JUEVES!E204,0)+JUEVES!L204,JUEVES!L204)*JUEVES!M204,IF(JUEVES!C204="peso_corporal",IF(ISNUMBER(JUEVES!E204),JUEVES!E204,0)+JUEVES!O204,JUEVES!O204)*JUEVES!P204,IF(JUEVES!C204="peso_corporal",IF(ISNUMBER(JUEVES!E204),JUEVES!E204,0)+JUEVES!R204,JUEVES!R204)*JUEVES!S204),1),""))</f>
        <v/>
      </c>
      <c r="K491" s="51" t="str">
        <f>IF(P491="","",IFERROR(ROUND(CHOOSE(VALUE(RIGHT(P491,1)),(IF(JUEVES!C204="peso_corporal",IF(ISNUMBER(JUEVES!E204),JUEVES!E204,0)+JUEVES!F204,JUEVES!F204))*(1+JUEVES!G204/30),(IF(JUEVES!C204="peso_corporal",IF(ISNUMBER(JUEVES!E204),JUEVES!E204,0)+JUEVES!I204,JUEVES!I204))*(1+JUEVES!J204/30),(IF(JUEVES!C204="peso_corporal",IF(ISNUMBER(JUEVES!E204),JUEVES!E204,0)+JUEVES!L204,JUEVES!L204))*(1+JUEVES!M204/30),(IF(JUEVES!C204="peso_corporal",IF(ISNUMBER(JUEVES!E204),JUEVES!E204,0)+JUEVES!O204,JUEVES!O204))*(1+JUEVES!P204/30),(IF(JUEVES!C204="peso_corporal",IF(ISNUMBER(JUEVES!E204),JUEVES!E204,0)+JUEVES!R204,JUEVES!R204))*(1+JUEVES!S204/30)),1),""))</f>
        <v/>
      </c>
      <c r="L491" s="52">
        <f>IFERROR(JUEVES!E204,"")</f>
        <v>80</v>
      </c>
      <c r="M491" s="53" t="str">
        <f>IFERROR(IF(K491="","-",IF(ISNUMBER(LOOKUP(2,1/((HISTORIAL!$O$3:$O$490=O491)*(HISTORIAL!$F$3:$F$490&lt;&gt;"")),HISTORIAL!$K$3:$K$490)),IF(K491&gt;LOOKUP(2,1/((HISTORIAL!$O$3:$O$490=O491)*(HISTORIAL!$F$3:$F$490&lt;&gt;"")),HISTORIAL!$K$3:$K$490),"^",IF(K491&lt;LOOKUP(2,1/((HISTORIAL!$O$3:$O$490=O491)*(HISTORIAL!$F$3:$F$490&lt;&gt;"")),HISTORIAL!$K$3:$K$490),"v","-")),"-")),"-")</f>
        <v>-</v>
      </c>
      <c r="N491" s="54" t="str">
        <f>IFERROR(VLOOKUP(A491,CONFIG!$A$10:$B$21,2,0),"")</f>
        <v>HIP</v>
      </c>
      <c r="O491" s="55" t="str">
        <f t="shared" si="15"/>
        <v>Extension Cuadriceps|Vasto Interno</v>
      </c>
      <c r="P491" s="69" t="str">
        <f>JUEVES!AC204</f>
        <v/>
      </c>
    </row>
    <row r="492" spans="1:16" ht="14.1" customHeight="1">
      <c r="A492" s="37">
        <v>8</v>
      </c>
      <c r="B492" s="37" t="s">
        <v>280</v>
      </c>
      <c r="C492" s="44" t="str">
        <f>JUEVES!$A$206</f>
        <v>Curl Biceps</v>
      </c>
      <c r="D492" s="45" t="str">
        <f>JUEVES!$B$206</f>
        <v>Concentrado Maquina</v>
      </c>
      <c r="E492" s="37" t="str">
        <f>JUEVES!$C$206</f>
        <v>polea</v>
      </c>
      <c r="F492" s="46" t="str">
        <f>IF(P492="","",IFERROR(CHOOSE(VALUE(RIGHT(P492,1)),JUEVES!F206,JUEVES!I206,JUEVES!L206,JUEVES!O206,JUEVES!R206),""))</f>
        <v/>
      </c>
      <c r="G492" s="47" t="str">
        <f>IF(P492="","",IFERROR(CHOOSE(VALUE(RIGHT(P492,1)),JUEVES!G206,JUEVES!J206,JUEVES!M206,JUEVES!P206,JUEVES!S206),""))</f>
        <v/>
      </c>
      <c r="H492" s="48" t="str">
        <f>IF(P492="","",IFERROR(CHOOSE(VALUE(RIGHT(P492,1)),JUEVES!H206,JUEVES!K206,JUEVES!N206,JUEVES!Q206,JUEVES!T206),""))</f>
        <v/>
      </c>
      <c r="I492" s="49" t="str">
        <f t="shared" si="14"/>
        <v/>
      </c>
      <c r="J492" s="50" t="str">
        <f>IF(P492="","",IFERROR(ROUND(CHOOSE(VALUE(RIGHT(P492,1)),IF(JUEVES!C206="peso_corporal",IF(ISNUMBER(JUEVES!E206),JUEVES!E206,0)+JUEVES!F206,JUEVES!F206)*JUEVES!G206,IF(JUEVES!C206="peso_corporal",IF(ISNUMBER(JUEVES!E206),JUEVES!E206,0)+JUEVES!I206,JUEVES!I206)*JUEVES!J206,IF(JUEVES!C206="peso_corporal",IF(ISNUMBER(JUEVES!E206),JUEVES!E206,0)+JUEVES!L206,JUEVES!L206)*JUEVES!M206,IF(JUEVES!C206="peso_corporal",IF(ISNUMBER(JUEVES!E206),JUEVES!E206,0)+JUEVES!O206,JUEVES!O206)*JUEVES!P206,IF(JUEVES!C206="peso_corporal",IF(ISNUMBER(JUEVES!E206),JUEVES!E206,0)+JUEVES!R206,JUEVES!R206)*JUEVES!S206),1),""))</f>
        <v/>
      </c>
      <c r="K492" s="51" t="str">
        <f>IF(P492="","",IFERROR(ROUND(CHOOSE(VALUE(RIGHT(P492,1)),(IF(JUEVES!C206="peso_corporal",IF(ISNUMBER(JUEVES!E206),JUEVES!E206,0)+JUEVES!F206,JUEVES!F206))*(1+JUEVES!G206/30),(IF(JUEVES!C206="peso_corporal",IF(ISNUMBER(JUEVES!E206),JUEVES!E206,0)+JUEVES!I206,JUEVES!I206))*(1+JUEVES!J206/30),(IF(JUEVES!C206="peso_corporal",IF(ISNUMBER(JUEVES!E206),JUEVES!E206,0)+JUEVES!L206,JUEVES!L206))*(1+JUEVES!M206/30),(IF(JUEVES!C206="peso_corporal",IF(ISNUMBER(JUEVES!E206),JUEVES!E206,0)+JUEVES!O206,JUEVES!O206))*(1+JUEVES!P206/30),(IF(JUEVES!C206="peso_corporal",IF(ISNUMBER(JUEVES!E206),JUEVES!E206,0)+JUEVES!R206,JUEVES!R206))*(1+JUEVES!S206/30)),1),""))</f>
        <v/>
      </c>
      <c r="L492" s="52">
        <f>IFERROR(JUEVES!E206,"")</f>
        <v>80</v>
      </c>
      <c r="M492" s="53" t="str">
        <f>IFERROR(IF(K492="","-",IF(ISNUMBER(LOOKUP(2,1/((HISTORIAL!$O$3:$O$491=O492)*(HISTORIAL!$F$3:$F$491&lt;&gt;"")),HISTORIAL!$K$3:$K$491)),IF(K492&gt;LOOKUP(2,1/((HISTORIAL!$O$3:$O$491=O492)*(HISTORIAL!$F$3:$F$491&lt;&gt;"")),HISTORIAL!$K$3:$K$491),"^",IF(K492&lt;LOOKUP(2,1/((HISTORIAL!$O$3:$O$491=O492)*(HISTORIAL!$F$3:$F$491&lt;&gt;"")),HISTORIAL!$K$3:$K$491),"v","-")),"-")),"-")</f>
        <v>-</v>
      </c>
      <c r="N492" s="54" t="str">
        <f>IFERROR(VLOOKUP(A492,CONFIG!$A$10:$B$21,2,0),"")</f>
        <v>HIP</v>
      </c>
      <c r="O492" s="55" t="str">
        <f t="shared" si="15"/>
        <v>Curl Biceps|Concentrado Maquina</v>
      </c>
      <c r="P492" s="69" t="str">
        <f>JUEVES!AC206</f>
        <v/>
      </c>
    </row>
    <row r="493" spans="1:16" ht="14.1" customHeight="1">
      <c r="A493" s="37">
        <v>8</v>
      </c>
      <c r="B493" s="37" t="s">
        <v>280</v>
      </c>
      <c r="C493" s="44" t="str">
        <f>JUEVES!$A$208</f>
        <v>Crunch</v>
      </c>
      <c r="D493" s="45" t="str">
        <f>JUEVES!$B$208</f>
        <v>Polea</v>
      </c>
      <c r="E493" s="37" t="str">
        <f>JUEVES!$C$208</f>
        <v>polea</v>
      </c>
      <c r="F493" s="46" t="str">
        <f>IF(P493="","",IFERROR(CHOOSE(VALUE(RIGHT(P493,1)),JUEVES!F208,JUEVES!I208,JUEVES!L208,JUEVES!O208,JUEVES!R208),""))</f>
        <v/>
      </c>
      <c r="G493" s="47" t="str">
        <f>IF(P493="","",IFERROR(CHOOSE(VALUE(RIGHT(P493,1)),JUEVES!G208,JUEVES!J208,JUEVES!M208,JUEVES!P208,JUEVES!S208),""))</f>
        <v/>
      </c>
      <c r="H493" s="48" t="str">
        <f>IF(P493="","",IFERROR(CHOOSE(VALUE(RIGHT(P493,1)),JUEVES!H208,JUEVES!K208,JUEVES!N208,JUEVES!Q208,JUEVES!T208),""))</f>
        <v/>
      </c>
      <c r="I493" s="49" t="str">
        <f t="shared" si="14"/>
        <v/>
      </c>
      <c r="J493" s="50" t="str">
        <f>IF(P493="","",IFERROR(ROUND(CHOOSE(VALUE(RIGHT(P493,1)),IF(JUEVES!C208="peso_corporal",IF(ISNUMBER(JUEVES!E208),JUEVES!E208,0)+JUEVES!F208,JUEVES!F208)*JUEVES!G208,IF(JUEVES!C208="peso_corporal",IF(ISNUMBER(JUEVES!E208),JUEVES!E208,0)+JUEVES!I208,JUEVES!I208)*JUEVES!J208,IF(JUEVES!C208="peso_corporal",IF(ISNUMBER(JUEVES!E208),JUEVES!E208,0)+JUEVES!L208,JUEVES!L208)*JUEVES!M208,IF(JUEVES!C208="peso_corporal",IF(ISNUMBER(JUEVES!E208),JUEVES!E208,0)+JUEVES!O208,JUEVES!O208)*JUEVES!P208,IF(JUEVES!C208="peso_corporal",IF(ISNUMBER(JUEVES!E208),JUEVES!E208,0)+JUEVES!R208,JUEVES!R208)*JUEVES!S208),1),""))</f>
        <v/>
      </c>
      <c r="K493" s="51" t="str">
        <f>IF(P493="","",IFERROR(ROUND(CHOOSE(VALUE(RIGHT(P493,1)),(IF(JUEVES!C208="peso_corporal",IF(ISNUMBER(JUEVES!E208),JUEVES!E208,0)+JUEVES!F208,JUEVES!F208))*(1+JUEVES!G208/30),(IF(JUEVES!C208="peso_corporal",IF(ISNUMBER(JUEVES!E208),JUEVES!E208,0)+JUEVES!I208,JUEVES!I208))*(1+JUEVES!J208/30),(IF(JUEVES!C208="peso_corporal",IF(ISNUMBER(JUEVES!E208),JUEVES!E208,0)+JUEVES!L208,JUEVES!L208))*(1+JUEVES!M208/30),(IF(JUEVES!C208="peso_corporal",IF(ISNUMBER(JUEVES!E208),JUEVES!E208,0)+JUEVES!O208,JUEVES!O208))*(1+JUEVES!P208/30),(IF(JUEVES!C208="peso_corporal",IF(ISNUMBER(JUEVES!E208),JUEVES!E208,0)+JUEVES!R208,JUEVES!R208))*(1+JUEVES!S208/30)),1),""))</f>
        <v/>
      </c>
      <c r="L493" s="52">
        <f>IFERROR(JUEVES!E208,"")</f>
        <v>80</v>
      </c>
      <c r="M493" s="53" t="str">
        <f>IFERROR(IF(K493="","-",IF(ISNUMBER(LOOKUP(2,1/((HISTORIAL!$O$3:$O$492=O493)*(HISTORIAL!$F$3:$F$492&lt;&gt;"")),HISTORIAL!$K$3:$K$492)),IF(K493&gt;LOOKUP(2,1/((HISTORIAL!$O$3:$O$492=O493)*(HISTORIAL!$F$3:$F$492&lt;&gt;"")),HISTORIAL!$K$3:$K$492),"^",IF(K493&lt;LOOKUP(2,1/((HISTORIAL!$O$3:$O$492=O493)*(HISTORIAL!$F$3:$F$492&lt;&gt;"")),HISTORIAL!$K$3:$K$492),"v","-")),"-")),"-")</f>
        <v>-</v>
      </c>
      <c r="N493" s="54" t="str">
        <f>IFERROR(VLOOKUP(A493,CONFIG!$A$10:$B$21,2,0),"")</f>
        <v>HIP</v>
      </c>
      <c r="O493" s="55" t="str">
        <f t="shared" si="15"/>
        <v>Crunch|Polea</v>
      </c>
      <c r="P493" s="69" t="str">
        <f>JUEVES!AC208</f>
        <v/>
      </c>
    </row>
    <row r="494" spans="1:16" ht="14.1" customHeight="1">
      <c r="A494" s="37">
        <v>8</v>
      </c>
      <c r="B494" s="37" t="s">
        <v>281</v>
      </c>
      <c r="C494" s="44" t="str">
        <f>SABADO!$A$181</f>
        <v>Pulldown</v>
      </c>
      <c r="D494" s="45" t="str">
        <f>SABADO!$B$181</f>
        <v>Polea Alta Brazos Rectos Prono</v>
      </c>
      <c r="E494" s="37" t="str">
        <f>SABADO!$C$181</f>
        <v>polea</v>
      </c>
      <c r="F494" s="46" t="str">
        <f>IF(P494="","",IFERROR(CHOOSE(VALUE(RIGHT(P494,1)),SABADO!F181,SABADO!I181,SABADO!L181,SABADO!O181,SABADO!R181),""))</f>
        <v/>
      </c>
      <c r="G494" s="47" t="str">
        <f>IF(P494="","",IFERROR(CHOOSE(VALUE(RIGHT(P494,1)),SABADO!G181,SABADO!J181,SABADO!M181,SABADO!P181,SABADO!S181),""))</f>
        <v/>
      </c>
      <c r="H494" s="48" t="str">
        <f>IF(P494="","",IFERROR(CHOOSE(VALUE(RIGHT(P494,1)),SABADO!H181,SABADO!K181,SABADO!N181,SABADO!Q181,SABADO!T181),""))</f>
        <v/>
      </c>
      <c r="I494" s="49" t="str">
        <f t="shared" si="14"/>
        <v/>
      </c>
      <c r="J494" s="50" t="str">
        <f>IF(P494="","",IFERROR(ROUND(CHOOSE(VALUE(RIGHT(P494,1)),IF(SABADO!C181="peso_corporal",IF(ISNUMBER(SABADO!E181),SABADO!E181,0)+SABADO!F181,SABADO!F181)*SABADO!G181,IF(SABADO!C181="peso_corporal",IF(ISNUMBER(SABADO!E181),SABADO!E181,0)+SABADO!I181,SABADO!I181)*SABADO!J181,IF(SABADO!C181="peso_corporal",IF(ISNUMBER(SABADO!E181),SABADO!E181,0)+SABADO!L181,SABADO!L181)*SABADO!M181,IF(SABADO!C181="peso_corporal",IF(ISNUMBER(SABADO!E181),SABADO!E181,0)+SABADO!O181,SABADO!O181)*SABADO!P181,IF(SABADO!C181="peso_corporal",IF(ISNUMBER(SABADO!E181),SABADO!E181,0)+SABADO!R181,SABADO!R181)*SABADO!S181),1),""))</f>
        <v/>
      </c>
      <c r="K494" s="51" t="str">
        <f>IF(P494="","",IFERROR(ROUND(CHOOSE(VALUE(RIGHT(P494,1)),(IF(SABADO!C181="peso_corporal",IF(ISNUMBER(SABADO!E181),SABADO!E181,0)+SABADO!F181,SABADO!F181))*(1+SABADO!G181/30),(IF(SABADO!C181="peso_corporal",IF(ISNUMBER(SABADO!E181),SABADO!E181,0)+SABADO!I181,SABADO!I181))*(1+SABADO!J181/30),(IF(SABADO!C181="peso_corporal",IF(ISNUMBER(SABADO!E181),SABADO!E181,0)+SABADO!L181,SABADO!L181))*(1+SABADO!M181/30),(IF(SABADO!C181="peso_corporal",IF(ISNUMBER(SABADO!E181),SABADO!E181,0)+SABADO!O181,SABADO!O181))*(1+SABADO!P181/30),(IF(SABADO!C181="peso_corporal",IF(ISNUMBER(SABADO!E181),SABADO!E181,0)+SABADO!R181,SABADO!R181))*(1+SABADO!S181/30)),1),""))</f>
        <v/>
      </c>
      <c r="L494" s="52">
        <f>IFERROR(SABADO!E181,"")</f>
        <v>80</v>
      </c>
      <c r="M494" s="53" t="str">
        <f>IFERROR(IF(K494="","-",IF(ISNUMBER(LOOKUP(2,1/((HISTORIAL!$O$3:$O$493=O494)*(HISTORIAL!$F$3:$F$493&lt;&gt;"")),HISTORIAL!$K$3:$K$493)),IF(K494&gt;LOOKUP(2,1/((HISTORIAL!$O$3:$O$493=O494)*(HISTORIAL!$F$3:$F$493&lt;&gt;"")),HISTORIAL!$K$3:$K$493),"^",IF(K494&lt;LOOKUP(2,1/((HISTORIAL!$O$3:$O$493=O494)*(HISTORIAL!$F$3:$F$493&lt;&gt;"")),HISTORIAL!$K$3:$K$493),"v","-")),"-")),"-")</f>
        <v>-</v>
      </c>
      <c r="N494" s="54" t="str">
        <f>IFERROR(VLOOKUP(A494,CONFIG!$A$10:$B$21,2,0),"")</f>
        <v>HIP</v>
      </c>
      <c r="O494" s="55" t="str">
        <f t="shared" si="15"/>
        <v>Pulldown|Polea Alta Brazos Rectos Prono</v>
      </c>
      <c r="P494" s="69" t="str">
        <f>SABADO!AC181</f>
        <v/>
      </c>
    </row>
    <row r="495" spans="1:16" ht="14.1" customHeight="1">
      <c r="A495" s="37">
        <v>8</v>
      </c>
      <c r="B495" s="37" t="s">
        <v>281</v>
      </c>
      <c r="C495" s="44" t="str">
        <f>SABADO!$A$183</f>
        <v>Remo</v>
      </c>
      <c r="D495" s="45" t="str">
        <f>SABADO!$B$183</f>
        <v>Maquina Neutro Estrecho</v>
      </c>
      <c r="E495" s="37" t="str">
        <f>SABADO!$C$183</f>
        <v>polea</v>
      </c>
      <c r="F495" s="46" t="str">
        <f>IF(P495="","",IFERROR(CHOOSE(VALUE(RIGHT(P495,1)),SABADO!F183,SABADO!I183,SABADO!L183,SABADO!O183,SABADO!R183),""))</f>
        <v/>
      </c>
      <c r="G495" s="47" t="str">
        <f>IF(P495="","",IFERROR(CHOOSE(VALUE(RIGHT(P495,1)),SABADO!G183,SABADO!J183,SABADO!M183,SABADO!P183,SABADO!S183),""))</f>
        <v/>
      </c>
      <c r="H495" s="48" t="str">
        <f>IF(P495="","",IFERROR(CHOOSE(VALUE(RIGHT(P495,1)),SABADO!H183,SABADO!K183,SABADO!N183,SABADO!Q183,SABADO!T183),""))</f>
        <v/>
      </c>
      <c r="I495" s="49" t="str">
        <f t="shared" si="14"/>
        <v/>
      </c>
      <c r="J495" s="50" t="str">
        <f>IF(P495="","",IFERROR(ROUND(CHOOSE(VALUE(RIGHT(P495,1)),IF(SABADO!C183="peso_corporal",IF(ISNUMBER(SABADO!E183),SABADO!E183,0)+SABADO!F183,SABADO!F183)*SABADO!G183,IF(SABADO!C183="peso_corporal",IF(ISNUMBER(SABADO!E183),SABADO!E183,0)+SABADO!I183,SABADO!I183)*SABADO!J183,IF(SABADO!C183="peso_corporal",IF(ISNUMBER(SABADO!E183),SABADO!E183,0)+SABADO!L183,SABADO!L183)*SABADO!M183,IF(SABADO!C183="peso_corporal",IF(ISNUMBER(SABADO!E183),SABADO!E183,0)+SABADO!O183,SABADO!O183)*SABADO!P183,IF(SABADO!C183="peso_corporal",IF(ISNUMBER(SABADO!E183),SABADO!E183,0)+SABADO!R183,SABADO!R183)*SABADO!S183),1),""))</f>
        <v/>
      </c>
      <c r="K495" s="51" t="str">
        <f>IF(P495="","",IFERROR(ROUND(CHOOSE(VALUE(RIGHT(P495,1)),(IF(SABADO!C183="peso_corporal",IF(ISNUMBER(SABADO!E183),SABADO!E183,0)+SABADO!F183,SABADO!F183))*(1+SABADO!G183/30),(IF(SABADO!C183="peso_corporal",IF(ISNUMBER(SABADO!E183),SABADO!E183,0)+SABADO!I183,SABADO!I183))*(1+SABADO!J183/30),(IF(SABADO!C183="peso_corporal",IF(ISNUMBER(SABADO!E183),SABADO!E183,0)+SABADO!L183,SABADO!L183))*(1+SABADO!M183/30),(IF(SABADO!C183="peso_corporal",IF(ISNUMBER(SABADO!E183),SABADO!E183,0)+SABADO!O183,SABADO!O183))*(1+SABADO!P183/30),(IF(SABADO!C183="peso_corporal",IF(ISNUMBER(SABADO!E183),SABADO!E183,0)+SABADO!R183,SABADO!R183))*(1+SABADO!S183/30)),1),""))</f>
        <v/>
      </c>
      <c r="L495" s="52">
        <f>IFERROR(SABADO!E183,"")</f>
        <v>80</v>
      </c>
      <c r="M495" s="53" t="str">
        <f>IFERROR(IF(K495="","-",IF(ISNUMBER(LOOKUP(2,1/((HISTORIAL!$O$3:$O$494=O495)*(HISTORIAL!$F$3:$F$494&lt;&gt;"")),HISTORIAL!$K$3:$K$494)),IF(K495&gt;LOOKUP(2,1/((HISTORIAL!$O$3:$O$494=O495)*(HISTORIAL!$F$3:$F$494&lt;&gt;"")),HISTORIAL!$K$3:$K$494),"^",IF(K495&lt;LOOKUP(2,1/((HISTORIAL!$O$3:$O$494=O495)*(HISTORIAL!$F$3:$F$494&lt;&gt;"")),HISTORIAL!$K$3:$K$494),"v","-")),"-")),"-")</f>
        <v>-</v>
      </c>
      <c r="N495" s="54" t="str">
        <f>IFERROR(VLOOKUP(A495,CONFIG!$A$10:$B$21,2,0),"")</f>
        <v>HIP</v>
      </c>
      <c r="O495" s="55" t="str">
        <f t="shared" si="15"/>
        <v>Remo|Maquina Neutro Estrecho</v>
      </c>
      <c r="P495" s="69" t="str">
        <f>SABADO!AC183</f>
        <v/>
      </c>
    </row>
    <row r="496" spans="1:16" ht="14.1" customHeight="1">
      <c r="A496" s="37">
        <v>8</v>
      </c>
      <c r="B496" s="37" t="s">
        <v>281</v>
      </c>
      <c r="C496" s="44" t="str">
        <f>SABADO!$A$184</f>
        <v>Remo</v>
      </c>
      <c r="D496" s="45" t="str">
        <f>SABADO!$B$184</f>
        <v>Maquina Neutro Ancho</v>
      </c>
      <c r="E496" s="37" t="str">
        <f>SABADO!$C$184</f>
        <v>polea</v>
      </c>
      <c r="F496" s="46" t="str">
        <f>IF(P496="","",IFERROR(CHOOSE(VALUE(RIGHT(P496,1)),SABADO!F184,SABADO!I184,SABADO!L184,SABADO!O184,SABADO!R184),""))</f>
        <v/>
      </c>
      <c r="G496" s="47" t="str">
        <f>IF(P496="","",IFERROR(CHOOSE(VALUE(RIGHT(P496,1)),SABADO!G184,SABADO!J184,SABADO!M184,SABADO!P184,SABADO!S184),""))</f>
        <v/>
      </c>
      <c r="H496" s="48" t="str">
        <f>IF(P496="","",IFERROR(CHOOSE(VALUE(RIGHT(P496,1)),SABADO!H184,SABADO!K184,SABADO!N184,SABADO!Q184,SABADO!T184),""))</f>
        <v/>
      </c>
      <c r="I496" s="49" t="str">
        <f t="shared" si="14"/>
        <v/>
      </c>
      <c r="J496" s="50" t="str">
        <f>IF(P496="","",IFERROR(ROUND(CHOOSE(VALUE(RIGHT(P496,1)),IF(SABADO!C184="peso_corporal",IF(ISNUMBER(SABADO!E184),SABADO!E184,0)+SABADO!F184,SABADO!F184)*SABADO!G184,IF(SABADO!C184="peso_corporal",IF(ISNUMBER(SABADO!E184),SABADO!E184,0)+SABADO!I184,SABADO!I184)*SABADO!J184,IF(SABADO!C184="peso_corporal",IF(ISNUMBER(SABADO!E184),SABADO!E184,0)+SABADO!L184,SABADO!L184)*SABADO!M184,IF(SABADO!C184="peso_corporal",IF(ISNUMBER(SABADO!E184),SABADO!E184,0)+SABADO!O184,SABADO!O184)*SABADO!P184,IF(SABADO!C184="peso_corporal",IF(ISNUMBER(SABADO!E184),SABADO!E184,0)+SABADO!R184,SABADO!R184)*SABADO!S184),1),""))</f>
        <v/>
      </c>
      <c r="K496" s="51" t="str">
        <f>IF(P496="","",IFERROR(ROUND(CHOOSE(VALUE(RIGHT(P496,1)),(IF(SABADO!C184="peso_corporal",IF(ISNUMBER(SABADO!E184),SABADO!E184,0)+SABADO!F184,SABADO!F184))*(1+SABADO!G184/30),(IF(SABADO!C184="peso_corporal",IF(ISNUMBER(SABADO!E184),SABADO!E184,0)+SABADO!I184,SABADO!I184))*(1+SABADO!J184/30),(IF(SABADO!C184="peso_corporal",IF(ISNUMBER(SABADO!E184),SABADO!E184,0)+SABADO!L184,SABADO!L184))*(1+SABADO!M184/30),(IF(SABADO!C184="peso_corporal",IF(ISNUMBER(SABADO!E184),SABADO!E184,0)+SABADO!O184,SABADO!O184))*(1+SABADO!P184/30),(IF(SABADO!C184="peso_corporal",IF(ISNUMBER(SABADO!E184),SABADO!E184,0)+SABADO!R184,SABADO!R184))*(1+SABADO!S184/30)),1),""))</f>
        <v/>
      </c>
      <c r="L496" s="52">
        <f>IFERROR(SABADO!E184,"")</f>
        <v>80</v>
      </c>
      <c r="M496" s="53" t="str">
        <f>IFERROR(IF(K496="","-",IF(ISNUMBER(LOOKUP(2,1/((HISTORIAL!$O$3:$O$495=O496)*(HISTORIAL!$F$3:$F$495&lt;&gt;"")),HISTORIAL!$K$3:$K$495)),IF(K496&gt;LOOKUP(2,1/((HISTORIAL!$O$3:$O$495=O496)*(HISTORIAL!$F$3:$F$495&lt;&gt;"")),HISTORIAL!$K$3:$K$495),"^",IF(K496&lt;LOOKUP(2,1/((HISTORIAL!$O$3:$O$495=O496)*(HISTORIAL!$F$3:$F$495&lt;&gt;"")),HISTORIAL!$K$3:$K$495),"v","-")),"-")),"-")</f>
        <v>-</v>
      </c>
      <c r="N496" s="54" t="str">
        <f>IFERROR(VLOOKUP(A496,CONFIG!$A$10:$B$21,2,0),"")</f>
        <v>HIP</v>
      </c>
      <c r="O496" s="55" t="str">
        <f t="shared" si="15"/>
        <v>Remo|Maquina Neutro Ancho</v>
      </c>
      <c r="P496" s="69" t="str">
        <f>SABADO!AC184</f>
        <v/>
      </c>
    </row>
    <row r="497" spans="1:16" ht="14.1" customHeight="1">
      <c r="A497" s="37">
        <v>8</v>
      </c>
      <c r="B497" s="37" t="s">
        <v>281</v>
      </c>
      <c r="C497" s="44" t="str">
        <f>SABADO!$A$185</f>
        <v>Peck Deck Invertida</v>
      </c>
      <c r="D497" s="45" t="str">
        <f>SABADO!$B$185</f>
        <v>Maquina</v>
      </c>
      <c r="E497" s="37" t="str">
        <f>SABADO!$C$185</f>
        <v>polea</v>
      </c>
      <c r="F497" s="46" t="str">
        <f>IF(P497="","",IFERROR(CHOOSE(VALUE(RIGHT(P497,1)),SABADO!F185,SABADO!I185,SABADO!L185,SABADO!O185,SABADO!R185),""))</f>
        <v/>
      </c>
      <c r="G497" s="47" t="str">
        <f>IF(P497="","",IFERROR(CHOOSE(VALUE(RIGHT(P497,1)),SABADO!G185,SABADO!J185,SABADO!M185,SABADO!P185,SABADO!S185),""))</f>
        <v/>
      </c>
      <c r="H497" s="48" t="str">
        <f>IF(P497="","",IFERROR(CHOOSE(VALUE(RIGHT(P497,1)),SABADO!H185,SABADO!K185,SABADO!N185,SABADO!Q185,SABADO!T185),""))</f>
        <v/>
      </c>
      <c r="I497" s="49" t="str">
        <f t="shared" si="14"/>
        <v/>
      </c>
      <c r="J497" s="50" t="str">
        <f>IF(P497="","",IFERROR(ROUND(CHOOSE(VALUE(RIGHT(P497,1)),IF(SABADO!C185="peso_corporal",IF(ISNUMBER(SABADO!E185),SABADO!E185,0)+SABADO!F185,SABADO!F185)*SABADO!G185,IF(SABADO!C185="peso_corporal",IF(ISNUMBER(SABADO!E185),SABADO!E185,0)+SABADO!I185,SABADO!I185)*SABADO!J185,IF(SABADO!C185="peso_corporal",IF(ISNUMBER(SABADO!E185),SABADO!E185,0)+SABADO!L185,SABADO!L185)*SABADO!M185,IF(SABADO!C185="peso_corporal",IF(ISNUMBER(SABADO!E185),SABADO!E185,0)+SABADO!O185,SABADO!O185)*SABADO!P185,IF(SABADO!C185="peso_corporal",IF(ISNUMBER(SABADO!E185),SABADO!E185,0)+SABADO!R185,SABADO!R185)*SABADO!S185),1),""))</f>
        <v/>
      </c>
      <c r="K497" s="51" t="str">
        <f>IF(P497="","",IFERROR(ROUND(CHOOSE(VALUE(RIGHT(P497,1)),(IF(SABADO!C185="peso_corporal",IF(ISNUMBER(SABADO!E185),SABADO!E185,0)+SABADO!F185,SABADO!F185))*(1+SABADO!G185/30),(IF(SABADO!C185="peso_corporal",IF(ISNUMBER(SABADO!E185),SABADO!E185,0)+SABADO!I185,SABADO!I185))*(1+SABADO!J185/30),(IF(SABADO!C185="peso_corporal",IF(ISNUMBER(SABADO!E185),SABADO!E185,0)+SABADO!L185,SABADO!L185))*(1+SABADO!M185/30),(IF(SABADO!C185="peso_corporal",IF(ISNUMBER(SABADO!E185),SABADO!E185,0)+SABADO!O185,SABADO!O185))*(1+SABADO!P185/30),(IF(SABADO!C185="peso_corporal",IF(ISNUMBER(SABADO!E185),SABADO!E185,0)+SABADO!R185,SABADO!R185))*(1+SABADO!S185/30)),1),""))</f>
        <v/>
      </c>
      <c r="L497" s="52">
        <f>IFERROR(SABADO!E185,"")</f>
        <v>80</v>
      </c>
      <c r="M497" s="53" t="str">
        <f>IFERROR(IF(K497="","-",IF(ISNUMBER(LOOKUP(2,1/((HISTORIAL!$O$3:$O$496=O497)*(HISTORIAL!$F$3:$F$496&lt;&gt;"")),HISTORIAL!$K$3:$K$496)),IF(K497&gt;LOOKUP(2,1/((HISTORIAL!$O$3:$O$496=O497)*(HISTORIAL!$F$3:$F$496&lt;&gt;"")),HISTORIAL!$K$3:$K$496),"^",IF(K497&lt;LOOKUP(2,1/((HISTORIAL!$O$3:$O$496=O497)*(HISTORIAL!$F$3:$F$496&lt;&gt;"")),HISTORIAL!$K$3:$K$496),"v","-")),"-")),"-")</f>
        <v>-</v>
      </c>
      <c r="N497" s="54" t="str">
        <f>IFERROR(VLOOKUP(A497,CONFIG!$A$10:$B$21,2,0),"")</f>
        <v>HIP</v>
      </c>
      <c r="O497" s="55" t="str">
        <f t="shared" si="15"/>
        <v>Peck Deck Invertida|Maquina</v>
      </c>
      <c r="P497" s="69" t="str">
        <f>SABADO!AC185</f>
        <v/>
      </c>
    </row>
    <row r="498" spans="1:16" ht="14.1" customHeight="1">
      <c r="A498" s="37">
        <v>8</v>
      </c>
      <c r="B498" s="37" t="s">
        <v>281</v>
      </c>
      <c r="C498" s="44" t="str">
        <f>SABADO!$A$187</f>
        <v>Curl Biceps</v>
      </c>
      <c r="D498" s="45" t="str">
        <f>SABADO!$B$187</f>
        <v>Concentrado Maquina</v>
      </c>
      <c r="E498" s="37" t="str">
        <f>SABADO!$C$187</f>
        <v>polea</v>
      </c>
      <c r="F498" s="46" t="str">
        <f>IF(P498="","",IFERROR(CHOOSE(VALUE(RIGHT(P498,1)),SABADO!F187,SABADO!I187,SABADO!L187,SABADO!O187,SABADO!R187),""))</f>
        <v/>
      </c>
      <c r="G498" s="47" t="str">
        <f>IF(P498="","",IFERROR(CHOOSE(VALUE(RIGHT(P498,1)),SABADO!G187,SABADO!J187,SABADO!M187,SABADO!P187,SABADO!S187),""))</f>
        <v/>
      </c>
      <c r="H498" s="48" t="str">
        <f>IF(P498="","",IFERROR(CHOOSE(VALUE(RIGHT(P498,1)),SABADO!H187,SABADO!K187,SABADO!N187,SABADO!Q187,SABADO!T187),""))</f>
        <v/>
      </c>
      <c r="I498" s="49" t="str">
        <f t="shared" si="14"/>
        <v/>
      </c>
      <c r="J498" s="50" t="str">
        <f>IF(P498="","",IFERROR(ROUND(CHOOSE(VALUE(RIGHT(P498,1)),IF(SABADO!C187="peso_corporal",IF(ISNUMBER(SABADO!E187),SABADO!E187,0)+SABADO!F187,SABADO!F187)*SABADO!G187,IF(SABADO!C187="peso_corporal",IF(ISNUMBER(SABADO!E187),SABADO!E187,0)+SABADO!I187,SABADO!I187)*SABADO!J187,IF(SABADO!C187="peso_corporal",IF(ISNUMBER(SABADO!E187),SABADO!E187,0)+SABADO!L187,SABADO!L187)*SABADO!M187,IF(SABADO!C187="peso_corporal",IF(ISNUMBER(SABADO!E187),SABADO!E187,0)+SABADO!O187,SABADO!O187)*SABADO!P187,IF(SABADO!C187="peso_corporal",IF(ISNUMBER(SABADO!E187),SABADO!E187,0)+SABADO!R187,SABADO!R187)*SABADO!S187),1),""))</f>
        <v/>
      </c>
      <c r="K498" s="51" t="str">
        <f>IF(P498="","",IFERROR(ROUND(CHOOSE(VALUE(RIGHT(P498,1)),(IF(SABADO!C187="peso_corporal",IF(ISNUMBER(SABADO!E187),SABADO!E187,0)+SABADO!F187,SABADO!F187))*(1+SABADO!G187/30),(IF(SABADO!C187="peso_corporal",IF(ISNUMBER(SABADO!E187),SABADO!E187,0)+SABADO!I187,SABADO!I187))*(1+SABADO!J187/30),(IF(SABADO!C187="peso_corporal",IF(ISNUMBER(SABADO!E187),SABADO!E187,0)+SABADO!L187,SABADO!L187))*(1+SABADO!M187/30),(IF(SABADO!C187="peso_corporal",IF(ISNUMBER(SABADO!E187),SABADO!E187,0)+SABADO!O187,SABADO!O187))*(1+SABADO!P187/30),(IF(SABADO!C187="peso_corporal",IF(ISNUMBER(SABADO!E187),SABADO!E187,0)+SABADO!R187,SABADO!R187))*(1+SABADO!S187/30)),1),""))</f>
        <v/>
      </c>
      <c r="L498" s="52">
        <f>IFERROR(SABADO!E187,"")</f>
        <v>80</v>
      </c>
      <c r="M498" s="53" t="str">
        <f>IFERROR(IF(K498="","-",IF(ISNUMBER(LOOKUP(2,1/((HISTORIAL!$O$3:$O$497=O498)*(HISTORIAL!$F$3:$F$497&lt;&gt;"")),HISTORIAL!$K$3:$K$497)),IF(K498&gt;LOOKUP(2,1/((HISTORIAL!$O$3:$O$497=O498)*(HISTORIAL!$F$3:$F$497&lt;&gt;"")),HISTORIAL!$K$3:$K$497),"^",IF(K498&lt;LOOKUP(2,1/((HISTORIAL!$O$3:$O$497=O498)*(HISTORIAL!$F$3:$F$497&lt;&gt;"")),HISTORIAL!$K$3:$K$497),"v","-")),"-")),"-")</f>
        <v>-</v>
      </c>
      <c r="N498" s="54" t="str">
        <f>IFERROR(VLOOKUP(A498,CONFIG!$A$10:$B$21,2,0),"")</f>
        <v>HIP</v>
      </c>
      <c r="O498" s="55" t="str">
        <f t="shared" si="15"/>
        <v>Curl Biceps|Concentrado Maquina</v>
      </c>
      <c r="P498" s="69" t="str">
        <f>SABADO!AC187</f>
        <v/>
      </c>
    </row>
    <row r="499" spans="1:16" ht="14.1" customHeight="1">
      <c r="A499" s="37">
        <v>8</v>
      </c>
      <c r="B499" s="37" t="s">
        <v>281</v>
      </c>
      <c r="C499" s="44" t="str">
        <f>SABADO!$A$188</f>
        <v>Curl Martillo</v>
      </c>
      <c r="D499" s="45" t="str">
        <f>SABADO!$B$188</f>
        <v>Polea Individual</v>
      </c>
      <c r="E499" s="37" t="str">
        <f>SABADO!$C$188</f>
        <v>polea</v>
      </c>
      <c r="F499" s="46" t="str">
        <f>IF(P499="","",IFERROR(CHOOSE(VALUE(RIGHT(P499,1)),SABADO!F188,SABADO!I188,SABADO!L188,SABADO!O188,SABADO!R188),""))</f>
        <v/>
      </c>
      <c r="G499" s="47" t="str">
        <f>IF(P499="","",IFERROR(CHOOSE(VALUE(RIGHT(P499,1)),SABADO!G188,SABADO!J188,SABADO!M188,SABADO!P188,SABADO!S188),""))</f>
        <v/>
      </c>
      <c r="H499" s="48" t="str">
        <f>IF(P499="","",IFERROR(CHOOSE(VALUE(RIGHT(P499,1)),SABADO!H188,SABADO!K188,SABADO!N188,SABADO!Q188,SABADO!T188),""))</f>
        <v/>
      </c>
      <c r="I499" s="49" t="str">
        <f t="shared" si="14"/>
        <v/>
      </c>
      <c r="J499" s="50" t="str">
        <f>IF(P499="","",IFERROR(ROUND(CHOOSE(VALUE(RIGHT(P499,1)),IF(SABADO!C188="peso_corporal",IF(ISNUMBER(SABADO!E188),SABADO!E188,0)+SABADO!F188,SABADO!F188)*SABADO!G188,IF(SABADO!C188="peso_corporal",IF(ISNUMBER(SABADO!E188),SABADO!E188,0)+SABADO!I188,SABADO!I188)*SABADO!J188,IF(SABADO!C188="peso_corporal",IF(ISNUMBER(SABADO!E188),SABADO!E188,0)+SABADO!L188,SABADO!L188)*SABADO!M188,IF(SABADO!C188="peso_corporal",IF(ISNUMBER(SABADO!E188),SABADO!E188,0)+SABADO!O188,SABADO!O188)*SABADO!P188,IF(SABADO!C188="peso_corporal",IF(ISNUMBER(SABADO!E188),SABADO!E188,0)+SABADO!R188,SABADO!R188)*SABADO!S188),1),""))</f>
        <v/>
      </c>
      <c r="K499" s="51" t="str">
        <f>IF(P499="","",IFERROR(ROUND(CHOOSE(VALUE(RIGHT(P499,1)),(IF(SABADO!C188="peso_corporal",IF(ISNUMBER(SABADO!E188),SABADO!E188,0)+SABADO!F188,SABADO!F188))*(1+SABADO!G188/30),(IF(SABADO!C188="peso_corporal",IF(ISNUMBER(SABADO!E188),SABADO!E188,0)+SABADO!I188,SABADO!I188))*(1+SABADO!J188/30),(IF(SABADO!C188="peso_corporal",IF(ISNUMBER(SABADO!E188),SABADO!E188,0)+SABADO!L188,SABADO!L188))*(1+SABADO!M188/30),(IF(SABADO!C188="peso_corporal",IF(ISNUMBER(SABADO!E188),SABADO!E188,0)+SABADO!O188,SABADO!O188))*(1+SABADO!P188/30),(IF(SABADO!C188="peso_corporal",IF(ISNUMBER(SABADO!E188),SABADO!E188,0)+SABADO!R188,SABADO!R188))*(1+SABADO!S188/30)),1),""))</f>
        <v/>
      </c>
      <c r="L499" s="52">
        <f>IFERROR(SABADO!E188,"")</f>
        <v>80</v>
      </c>
      <c r="M499" s="53" t="str">
        <f>IFERROR(IF(K499="","-",IF(ISNUMBER(LOOKUP(2,1/((HISTORIAL!$O$3:$O$498=O499)*(HISTORIAL!$F$3:$F$498&lt;&gt;"")),HISTORIAL!$K$3:$K$498)),IF(K499&gt;LOOKUP(2,1/((HISTORIAL!$O$3:$O$498=O499)*(HISTORIAL!$F$3:$F$498&lt;&gt;"")),HISTORIAL!$K$3:$K$498),"^",IF(K499&lt;LOOKUP(2,1/((HISTORIAL!$O$3:$O$498=O499)*(HISTORIAL!$F$3:$F$498&lt;&gt;"")),HISTORIAL!$K$3:$K$498),"v","-")),"-")),"-")</f>
        <v>-</v>
      </c>
      <c r="N499" s="54" t="str">
        <f>IFERROR(VLOOKUP(A499,CONFIG!$A$10:$B$21,2,0),"")</f>
        <v>HIP</v>
      </c>
      <c r="O499" s="55" t="str">
        <f t="shared" si="15"/>
        <v>Curl Martillo|Polea Individual</v>
      </c>
      <c r="P499" s="69" t="str">
        <f>SABADO!AC188</f>
        <v/>
      </c>
    </row>
    <row r="500" spans="1:16" ht="14.1" customHeight="1">
      <c r="A500" s="37">
        <v>8</v>
      </c>
      <c r="B500" s="37" t="s">
        <v>281</v>
      </c>
      <c r="C500" s="44" t="str">
        <f>SABADO!$A$190</f>
        <v>Curl Muneca</v>
      </c>
      <c r="D500" s="45" t="str">
        <f>SABADO!$B$190</f>
        <v>Supinado</v>
      </c>
      <c r="E500" s="37" t="str">
        <f>SABADO!$C$190</f>
        <v>mancuerna</v>
      </c>
      <c r="F500" s="46" t="str">
        <f>IF(P500="","",IFERROR(CHOOSE(VALUE(RIGHT(P500,1)),SABADO!F190,SABADO!I190,SABADO!L190,SABADO!O190,SABADO!R190),""))</f>
        <v/>
      </c>
      <c r="G500" s="47" t="str">
        <f>IF(P500="","",IFERROR(CHOOSE(VALUE(RIGHT(P500,1)),SABADO!G190,SABADO!J190,SABADO!M190,SABADO!P190,SABADO!S190),""))</f>
        <v/>
      </c>
      <c r="H500" s="48" t="str">
        <f>IF(P500="","",IFERROR(CHOOSE(VALUE(RIGHT(P500,1)),SABADO!H190,SABADO!K190,SABADO!N190,SABADO!Q190,SABADO!T190),""))</f>
        <v/>
      </c>
      <c r="I500" s="49" t="str">
        <f t="shared" si="14"/>
        <v/>
      </c>
      <c r="J500" s="50" t="str">
        <f>IF(P500="","",IFERROR(ROUND(CHOOSE(VALUE(RIGHT(P500,1)),IF(SABADO!C190="peso_corporal",IF(ISNUMBER(SABADO!E190),SABADO!E190,0)+SABADO!F190,SABADO!F190)*SABADO!G190,IF(SABADO!C190="peso_corporal",IF(ISNUMBER(SABADO!E190),SABADO!E190,0)+SABADO!I190,SABADO!I190)*SABADO!J190,IF(SABADO!C190="peso_corporal",IF(ISNUMBER(SABADO!E190),SABADO!E190,0)+SABADO!L190,SABADO!L190)*SABADO!M190,IF(SABADO!C190="peso_corporal",IF(ISNUMBER(SABADO!E190),SABADO!E190,0)+SABADO!O190,SABADO!O190)*SABADO!P190,IF(SABADO!C190="peso_corporal",IF(ISNUMBER(SABADO!E190),SABADO!E190,0)+SABADO!R190,SABADO!R190)*SABADO!S190),1),""))</f>
        <v/>
      </c>
      <c r="K500" s="51" t="str">
        <f>IF(P500="","",IFERROR(ROUND(CHOOSE(VALUE(RIGHT(P500,1)),(IF(SABADO!C190="peso_corporal",IF(ISNUMBER(SABADO!E190),SABADO!E190,0)+SABADO!F190,SABADO!F190))*(1+SABADO!G190/30),(IF(SABADO!C190="peso_corporal",IF(ISNUMBER(SABADO!E190),SABADO!E190,0)+SABADO!I190,SABADO!I190))*(1+SABADO!J190/30),(IF(SABADO!C190="peso_corporal",IF(ISNUMBER(SABADO!E190),SABADO!E190,0)+SABADO!L190,SABADO!L190))*(1+SABADO!M190/30),(IF(SABADO!C190="peso_corporal",IF(ISNUMBER(SABADO!E190),SABADO!E190,0)+SABADO!O190,SABADO!O190))*(1+SABADO!P190/30),(IF(SABADO!C190="peso_corporal",IF(ISNUMBER(SABADO!E190),SABADO!E190,0)+SABADO!R190,SABADO!R190))*(1+SABADO!S190/30)),1),""))</f>
        <v/>
      </c>
      <c r="L500" s="52">
        <f>IFERROR(SABADO!E190,"")</f>
        <v>80</v>
      </c>
      <c r="M500" s="53" t="str">
        <f>IFERROR(IF(K500="","-",IF(ISNUMBER(LOOKUP(2,1/((HISTORIAL!$O$3:$O$499=O500)*(HISTORIAL!$F$3:$F$499&lt;&gt;"")),HISTORIAL!$K$3:$K$499)),IF(K500&gt;LOOKUP(2,1/((HISTORIAL!$O$3:$O$499=O500)*(HISTORIAL!$F$3:$F$499&lt;&gt;"")),HISTORIAL!$K$3:$K$499),"^",IF(K500&lt;LOOKUP(2,1/((HISTORIAL!$O$3:$O$499=O500)*(HISTORIAL!$F$3:$F$499&lt;&gt;"")),HISTORIAL!$K$3:$K$499),"v","-")),"-")),"-")</f>
        <v>-</v>
      </c>
      <c r="N500" s="54" t="str">
        <f>IFERROR(VLOOKUP(A500,CONFIG!$A$10:$B$21,2,0),"")</f>
        <v>HIP</v>
      </c>
      <c r="O500" s="55" t="str">
        <f t="shared" si="15"/>
        <v>Curl Muneca|Supinado</v>
      </c>
      <c r="P500" s="69" t="str">
        <f>SABADO!AC190</f>
        <v/>
      </c>
    </row>
    <row r="501" spans="1:16" ht="14.1" customHeight="1">
      <c r="A501" s="37">
        <v>8</v>
      </c>
      <c r="B501" s="37" t="s">
        <v>281</v>
      </c>
      <c r="C501" s="44" t="str">
        <f>SABADO!$A$191</f>
        <v>Curl Muneca</v>
      </c>
      <c r="D501" s="45" t="str">
        <f>SABADO!$B$191</f>
        <v>Pronado</v>
      </c>
      <c r="E501" s="37" t="str">
        <f>SABADO!$C$191</f>
        <v>mancuerna</v>
      </c>
      <c r="F501" s="46" t="str">
        <f>IF(P501="","",IFERROR(CHOOSE(VALUE(RIGHT(P501,1)),SABADO!F191,SABADO!I191,SABADO!L191,SABADO!O191,SABADO!R191),""))</f>
        <v/>
      </c>
      <c r="G501" s="47" t="str">
        <f>IF(P501="","",IFERROR(CHOOSE(VALUE(RIGHT(P501,1)),SABADO!G191,SABADO!J191,SABADO!M191,SABADO!P191,SABADO!S191),""))</f>
        <v/>
      </c>
      <c r="H501" s="48" t="str">
        <f>IF(P501="","",IFERROR(CHOOSE(VALUE(RIGHT(P501,1)),SABADO!H191,SABADO!K191,SABADO!N191,SABADO!Q191,SABADO!T191),""))</f>
        <v/>
      </c>
      <c r="I501" s="49" t="str">
        <f t="shared" si="14"/>
        <v/>
      </c>
      <c r="J501" s="50" t="str">
        <f>IF(P501="","",IFERROR(ROUND(CHOOSE(VALUE(RIGHT(P501,1)),IF(SABADO!C191="peso_corporal",IF(ISNUMBER(SABADO!E191),SABADO!E191,0)+SABADO!F191,SABADO!F191)*SABADO!G191,IF(SABADO!C191="peso_corporal",IF(ISNUMBER(SABADO!E191),SABADO!E191,0)+SABADO!I191,SABADO!I191)*SABADO!J191,IF(SABADO!C191="peso_corporal",IF(ISNUMBER(SABADO!E191),SABADO!E191,0)+SABADO!L191,SABADO!L191)*SABADO!M191,IF(SABADO!C191="peso_corporal",IF(ISNUMBER(SABADO!E191),SABADO!E191,0)+SABADO!O191,SABADO!O191)*SABADO!P191,IF(SABADO!C191="peso_corporal",IF(ISNUMBER(SABADO!E191),SABADO!E191,0)+SABADO!R191,SABADO!R191)*SABADO!S191),1),""))</f>
        <v/>
      </c>
      <c r="K501" s="51" t="str">
        <f>IF(P501="","",IFERROR(ROUND(CHOOSE(VALUE(RIGHT(P501,1)),(IF(SABADO!C191="peso_corporal",IF(ISNUMBER(SABADO!E191),SABADO!E191,0)+SABADO!F191,SABADO!F191))*(1+SABADO!G191/30),(IF(SABADO!C191="peso_corporal",IF(ISNUMBER(SABADO!E191),SABADO!E191,0)+SABADO!I191,SABADO!I191))*(1+SABADO!J191/30),(IF(SABADO!C191="peso_corporal",IF(ISNUMBER(SABADO!E191),SABADO!E191,0)+SABADO!L191,SABADO!L191))*(1+SABADO!M191/30),(IF(SABADO!C191="peso_corporal",IF(ISNUMBER(SABADO!E191),SABADO!E191,0)+SABADO!O191,SABADO!O191))*(1+SABADO!P191/30),(IF(SABADO!C191="peso_corporal",IF(ISNUMBER(SABADO!E191),SABADO!E191,0)+SABADO!R191,SABADO!R191))*(1+SABADO!S191/30)),1),""))</f>
        <v/>
      </c>
      <c r="L501" s="52">
        <f>IFERROR(SABADO!E191,"")</f>
        <v>80</v>
      </c>
      <c r="M501" s="53" t="str">
        <f>IFERROR(IF(K501="","-",IF(ISNUMBER(LOOKUP(2,1/((HISTORIAL!$O$3:$O$500=O501)*(HISTORIAL!$F$3:$F$500&lt;&gt;"")),HISTORIAL!$K$3:$K$500)),IF(K501&gt;LOOKUP(2,1/((HISTORIAL!$O$3:$O$500=O501)*(HISTORIAL!$F$3:$F$500&lt;&gt;"")),HISTORIAL!$K$3:$K$500),"^",IF(K501&lt;LOOKUP(2,1/((HISTORIAL!$O$3:$O$500=O501)*(HISTORIAL!$F$3:$F$500&lt;&gt;"")),HISTORIAL!$K$3:$K$500),"v","-")),"-")),"-")</f>
        <v>-</v>
      </c>
      <c r="N501" s="54" t="str">
        <f>IFERROR(VLOOKUP(A501,CONFIG!$A$10:$B$21,2,0),"")</f>
        <v>HIP</v>
      </c>
      <c r="O501" s="55" t="str">
        <f t="shared" si="15"/>
        <v>Curl Muneca|Pronado</v>
      </c>
      <c r="P501" s="69" t="str">
        <f>SABADO!AC191</f>
        <v/>
      </c>
    </row>
    <row r="502" spans="1:16" ht="14.1" customHeight="1">
      <c r="A502" s="37">
        <v>8</v>
      </c>
      <c r="B502" s="37" t="s">
        <v>281</v>
      </c>
      <c r="C502" s="44" t="str">
        <f>SABADO!$A$193</f>
        <v>Elevaciones Laterales</v>
      </c>
      <c r="D502" s="45" t="str">
        <f>SABADO!$B$193</f>
        <v>Cable Polea Individual</v>
      </c>
      <c r="E502" s="37" t="str">
        <f>SABADO!$C$193</f>
        <v>polea</v>
      </c>
      <c r="F502" s="46" t="str">
        <f>IF(P502="","",IFERROR(CHOOSE(VALUE(RIGHT(P502,1)),SABADO!F193,SABADO!I193,SABADO!L193,SABADO!O193,SABADO!R193),""))</f>
        <v/>
      </c>
      <c r="G502" s="47" t="str">
        <f>IF(P502="","",IFERROR(CHOOSE(VALUE(RIGHT(P502,1)),SABADO!G193,SABADO!J193,SABADO!M193,SABADO!P193,SABADO!S193),""))</f>
        <v/>
      </c>
      <c r="H502" s="48" t="str">
        <f>IF(P502="","",IFERROR(CHOOSE(VALUE(RIGHT(P502,1)),SABADO!H193,SABADO!K193,SABADO!N193,SABADO!Q193,SABADO!T193),""))</f>
        <v/>
      </c>
      <c r="I502" s="49" t="str">
        <f t="shared" si="14"/>
        <v/>
      </c>
      <c r="J502" s="50" t="str">
        <f>IF(P502="","",IFERROR(ROUND(CHOOSE(VALUE(RIGHT(P502,1)),IF(SABADO!C193="peso_corporal",IF(ISNUMBER(SABADO!E193),SABADO!E193,0)+SABADO!F193,SABADO!F193)*SABADO!G193,IF(SABADO!C193="peso_corporal",IF(ISNUMBER(SABADO!E193),SABADO!E193,0)+SABADO!I193,SABADO!I193)*SABADO!J193,IF(SABADO!C193="peso_corporal",IF(ISNUMBER(SABADO!E193),SABADO!E193,0)+SABADO!L193,SABADO!L193)*SABADO!M193,IF(SABADO!C193="peso_corporal",IF(ISNUMBER(SABADO!E193),SABADO!E193,0)+SABADO!O193,SABADO!O193)*SABADO!P193,IF(SABADO!C193="peso_corporal",IF(ISNUMBER(SABADO!E193),SABADO!E193,0)+SABADO!R193,SABADO!R193)*SABADO!S193),1),""))</f>
        <v/>
      </c>
      <c r="K502" s="51" t="str">
        <f>IF(P502="","",IFERROR(ROUND(CHOOSE(VALUE(RIGHT(P502,1)),(IF(SABADO!C193="peso_corporal",IF(ISNUMBER(SABADO!E193),SABADO!E193,0)+SABADO!F193,SABADO!F193))*(1+SABADO!G193/30),(IF(SABADO!C193="peso_corporal",IF(ISNUMBER(SABADO!E193),SABADO!E193,0)+SABADO!I193,SABADO!I193))*(1+SABADO!J193/30),(IF(SABADO!C193="peso_corporal",IF(ISNUMBER(SABADO!E193),SABADO!E193,0)+SABADO!L193,SABADO!L193))*(1+SABADO!M193/30),(IF(SABADO!C193="peso_corporal",IF(ISNUMBER(SABADO!E193),SABADO!E193,0)+SABADO!O193,SABADO!O193))*(1+SABADO!P193/30),(IF(SABADO!C193="peso_corporal",IF(ISNUMBER(SABADO!E193),SABADO!E193,0)+SABADO!R193,SABADO!R193))*(1+SABADO!S193/30)),1),""))</f>
        <v/>
      </c>
      <c r="L502" s="52">
        <f>IFERROR(SABADO!E193,"")</f>
        <v>80</v>
      </c>
      <c r="M502" s="53" t="str">
        <f>IFERROR(IF(K502="","-",IF(ISNUMBER(LOOKUP(2,1/((HISTORIAL!$O$3:$O$501=O502)*(HISTORIAL!$F$3:$F$501&lt;&gt;"")),HISTORIAL!$K$3:$K$501)),IF(K502&gt;LOOKUP(2,1/((HISTORIAL!$O$3:$O$501=O502)*(HISTORIAL!$F$3:$F$501&lt;&gt;"")),HISTORIAL!$K$3:$K$501),"^",IF(K502&lt;LOOKUP(2,1/((HISTORIAL!$O$3:$O$501=O502)*(HISTORIAL!$F$3:$F$501&lt;&gt;"")),HISTORIAL!$K$3:$K$501),"v","-")),"-")),"-")</f>
        <v>-</v>
      </c>
      <c r="N502" s="54" t="str">
        <f>IFERROR(VLOOKUP(A502,CONFIG!$A$10:$B$21,2,0),"")</f>
        <v>HIP</v>
      </c>
      <c r="O502" s="55" t="str">
        <f t="shared" si="15"/>
        <v>Elevaciones Laterales|Cable Polea Individual</v>
      </c>
      <c r="P502" s="69" t="str">
        <f>SABADO!AC193</f>
        <v/>
      </c>
    </row>
    <row r="503" spans="1:16" ht="14.1" customHeight="1">
      <c r="A503" s="37">
        <v>8</v>
      </c>
      <c r="B503" s="37" t="s">
        <v>281</v>
      </c>
      <c r="C503" s="44" t="str">
        <f>SABADO!$A$195</f>
        <v>Encogimientos</v>
      </c>
      <c r="D503" s="45" t="str">
        <f>SABADO!$B$195</f>
        <v>Mancuernas Trapecio</v>
      </c>
      <c r="E503" s="37" t="str">
        <f>SABADO!$C$195</f>
        <v>mancuerna</v>
      </c>
      <c r="F503" s="46" t="str">
        <f>IF(P503="","",IFERROR(CHOOSE(VALUE(RIGHT(P503,1)),SABADO!F195,SABADO!I195,SABADO!L195,SABADO!O195,SABADO!R195),""))</f>
        <v/>
      </c>
      <c r="G503" s="47" t="str">
        <f>IF(P503="","",IFERROR(CHOOSE(VALUE(RIGHT(P503,1)),SABADO!G195,SABADO!J195,SABADO!M195,SABADO!P195,SABADO!S195),""))</f>
        <v/>
      </c>
      <c r="H503" s="48" t="str">
        <f>IF(P503="","",IFERROR(CHOOSE(VALUE(RIGHT(P503,1)),SABADO!H195,SABADO!K195,SABADO!N195,SABADO!Q195,SABADO!T195),""))</f>
        <v/>
      </c>
      <c r="I503" s="49" t="str">
        <f t="shared" si="14"/>
        <v/>
      </c>
      <c r="J503" s="50" t="str">
        <f>IF(P503="","",IFERROR(ROUND(CHOOSE(VALUE(RIGHT(P503,1)),IF(SABADO!C195="peso_corporal",IF(ISNUMBER(SABADO!E195),SABADO!E195,0)+SABADO!F195,SABADO!F195)*SABADO!G195,IF(SABADO!C195="peso_corporal",IF(ISNUMBER(SABADO!E195),SABADO!E195,0)+SABADO!I195,SABADO!I195)*SABADO!J195,IF(SABADO!C195="peso_corporal",IF(ISNUMBER(SABADO!E195),SABADO!E195,0)+SABADO!L195,SABADO!L195)*SABADO!M195,IF(SABADO!C195="peso_corporal",IF(ISNUMBER(SABADO!E195),SABADO!E195,0)+SABADO!O195,SABADO!O195)*SABADO!P195,IF(SABADO!C195="peso_corporal",IF(ISNUMBER(SABADO!E195),SABADO!E195,0)+SABADO!R195,SABADO!R195)*SABADO!S195),1),""))</f>
        <v/>
      </c>
      <c r="K503" s="51" t="str">
        <f>IF(P503="","",IFERROR(ROUND(CHOOSE(VALUE(RIGHT(P503,1)),(IF(SABADO!C195="peso_corporal",IF(ISNUMBER(SABADO!E195),SABADO!E195,0)+SABADO!F195,SABADO!F195))*(1+SABADO!G195/30),(IF(SABADO!C195="peso_corporal",IF(ISNUMBER(SABADO!E195),SABADO!E195,0)+SABADO!I195,SABADO!I195))*(1+SABADO!J195/30),(IF(SABADO!C195="peso_corporal",IF(ISNUMBER(SABADO!E195),SABADO!E195,0)+SABADO!L195,SABADO!L195))*(1+SABADO!M195/30),(IF(SABADO!C195="peso_corporal",IF(ISNUMBER(SABADO!E195),SABADO!E195,0)+SABADO!O195,SABADO!O195))*(1+SABADO!P195/30),(IF(SABADO!C195="peso_corporal",IF(ISNUMBER(SABADO!E195),SABADO!E195,0)+SABADO!R195,SABADO!R195))*(1+SABADO!S195/30)),1),""))</f>
        <v/>
      </c>
      <c r="L503" s="52">
        <f>IFERROR(SABADO!E195,"")</f>
        <v>80</v>
      </c>
      <c r="M503" s="53" t="str">
        <f>IFERROR(IF(K503="","-",IF(ISNUMBER(LOOKUP(2,1/((HISTORIAL!$O$3:$O$502=O503)*(HISTORIAL!$F$3:$F$502&lt;&gt;"")),HISTORIAL!$K$3:$K$502)),IF(K503&gt;LOOKUP(2,1/((HISTORIAL!$O$3:$O$502=O503)*(HISTORIAL!$F$3:$F$502&lt;&gt;"")),HISTORIAL!$K$3:$K$502),"^",IF(K503&lt;LOOKUP(2,1/((HISTORIAL!$O$3:$O$502=O503)*(HISTORIAL!$F$3:$F$502&lt;&gt;"")),HISTORIAL!$K$3:$K$502),"v","-")),"-")),"-")</f>
        <v>-</v>
      </c>
      <c r="N503" s="54" t="str">
        <f>IFERROR(VLOOKUP(A503,CONFIG!$A$10:$B$21,2,0),"")</f>
        <v>HIP</v>
      </c>
      <c r="O503" s="55" t="str">
        <f t="shared" si="15"/>
        <v>Encogimientos|Mancuernas Trapecio</v>
      </c>
      <c r="P503" s="69" t="str">
        <f>SABADO!AC195</f>
        <v/>
      </c>
    </row>
    <row r="504" spans="1:16" ht="14.1" customHeight="1">
      <c r="A504" s="37">
        <v>8</v>
      </c>
      <c r="B504" s="37" t="s">
        <v>281</v>
      </c>
      <c r="C504" s="44" t="str">
        <f>SABADO!$A$196</f>
        <v>Face Pull</v>
      </c>
      <c r="D504" s="45" t="str">
        <f>SABADO!$B$196</f>
        <v>Polea Alta Cuerda</v>
      </c>
      <c r="E504" s="37" t="str">
        <f>SABADO!$C$196</f>
        <v>polea</v>
      </c>
      <c r="F504" s="46" t="str">
        <f>IF(P504="","",IFERROR(CHOOSE(VALUE(RIGHT(P504,1)),SABADO!F196,SABADO!I196,SABADO!L196,SABADO!O196,SABADO!R196),""))</f>
        <v/>
      </c>
      <c r="G504" s="47" t="str">
        <f>IF(P504="","",IFERROR(CHOOSE(VALUE(RIGHT(P504,1)),SABADO!G196,SABADO!J196,SABADO!M196,SABADO!P196,SABADO!S196),""))</f>
        <v/>
      </c>
      <c r="H504" s="48" t="str">
        <f>IF(P504="","",IFERROR(CHOOSE(VALUE(RIGHT(P504,1)),SABADO!H196,SABADO!K196,SABADO!N196,SABADO!Q196,SABADO!T196),""))</f>
        <v/>
      </c>
      <c r="I504" s="49" t="str">
        <f t="shared" si="14"/>
        <v/>
      </c>
      <c r="J504" s="50" t="str">
        <f>IF(P504="","",IFERROR(ROUND(CHOOSE(VALUE(RIGHT(P504,1)),IF(SABADO!C196="peso_corporal",IF(ISNUMBER(SABADO!E196),SABADO!E196,0)+SABADO!F196,SABADO!F196)*SABADO!G196,IF(SABADO!C196="peso_corporal",IF(ISNUMBER(SABADO!E196),SABADO!E196,0)+SABADO!I196,SABADO!I196)*SABADO!J196,IF(SABADO!C196="peso_corporal",IF(ISNUMBER(SABADO!E196),SABADO!E196,0)+SABADO!L196,SABADO!L196)*SABADO!M196,IF(SABADO!C196="peso_corporal",IF(ISNUMBER(SABADO!E196),SABADO!E196,0)+SABADO!O196,SABADO!O196)*SABADO!P196,IF(SABADO!C196="peso_corporal",IF(ISNUMBER(SABADO!E196),SABADO!E196,0)+SABADO!R196,SABADO!R196)*SABADO!S196),1),""))</f>
        <v/>
      </c>
      <c r="K504" s="51" t="str">
        <f>IF(P504="","",IFERROR(ROUND(CHOOSE(VALUE(RIGHT(P504,1)),(IF(SABADO!C196="peso_corporal",IF(ISNUMBER(SABADO!E196),SABADO!E196,0)+SABADO!F196,SABADO!F196))*(1+SABADO!G196/30),(IF(SABADO!C196="peso_corporal",IF(ISNUMBER(SABADO!E196),SABADO!E196,0)+SABADO!I196,SABADO!I196))*(1+SABADO!J196/30),(IF(SABADO!C196="peso_corporal",IF(ISNUMBER(SABADO!E196),SABADO!E196,0)+SABADO!L196,SABADO!L196))*(1+SABADO!M196/30),(IF(SABADO!C196="peso_corporal",IF(ISNUMBER(SABADO!E196),SABADO!E196,0)+SABADO!O196,SABADO!O196))*(1+SABADO!P196/30),(IF(SABADO!C196="peso_corporal",IF(ISNUMBER(SABADO!E196),SABADO!E196,0)+SABADO!R196,SABADO!R196))*(1+SABADO!S196/30)),1),""))</f>
        <v/>
      </c>
      <c r="L504" s="52">
        <f>IFERROR(SABADO!E196,"")</f>
        <v>80</v>
      </c>
      <c r="M504" s="53" t="str">
        <f>IFERROR(IF(K504="","-",IF(ISNUMBER(LOOKUP(2,1/((HISTORIAL!$O$3:$O$503=O504)*(HISTORIAL!$F$3:$F$503&lt;&gt;"")),HISTORIAL!$K$3:$K$503)),IF(K504&gt;LOOKUP(2,1/((HISTORIAL!$O$3:$O$503=O504)*(HISTORIAL!$F$3:$F$503&lt;&gt;"")),HISTORIAL!$K$3:$K$503),"^",IF(K504&lt;LOOKUP(2,1/((HISTORIAL!$O$3:$O$503=O504)*(HISTORIAL!$F$3:$F$503&lt;&gt;"")),HISTORIAL!$K$3:$K$503),"v","-")),"-")),"-")</f>
        <v>-</v>
      </c>
      <c r="N504" s="54" t="str">
        <f>IFERROR(VLOOKUP(A504,CONFIG!$A$10:$B$21,2,0),"")</f>
        <v>HIP</v>
      </c>
      <c r="O504" s="55" t="str">
        <f t="shared" si="15"/>
        <v>Face Pull|Polea Alta Cuerda</v>
      </c>
      <c r="P504" s="69" t="str">
        <f>SABADO!AC196</f>
        <v/>
      </c>
    </row>
    <row r="505" spans="1:16" ht="14.1" customHeight="1">
      <c r="A505" s="37">
        <v>8</v>
      </c>
      <c r="B505" s="37" t="s">
        <v>281</v>
      </c>
      <c r="C505" s="44" t="str">
        <f>SABADO!$A$198</f>
        <v>Hiperextension</v>
      </c>
      <c r="D505" s="45" t="str">
        <f>SABADO!$B$198</f>
        <v>Banco Romano</v>
      </c>
      <c r="E505" s="37" t="str">
        <f>SABADO!$C$198</f>
        <v>peso_corporal</v>
      </c>
      <c r="F505" s="46" t="str">
        <f>IF(P505="","",IFERROR(CHOOSE(VALUE(RIGHT(P505,1)),SABADO!F198,SABADO!I198,SABADO!L198,SABADO!O198,SABADO!R198),""))</f>
        <v/>
      </c>
      <c r="G505" s="47" t="str">
        <f>IF(P505="","",IFERROR(CHOOSE(VALUE(RIGHT(P505,1)),SABADO!G198,SABADO!J198,SABADO!M198,SABADO!P198,SABADO!S198),""))</f>
        <v/>
      </c>
      <c r="H505" s="48" t="str">
        <f>IF(P505="","",IFERROR(CHOOSE(VALUE(RIGHT(P505,1)),SABADO!H198,SABADO!K198,SABADO!N198,SABADO!Q198,SABADO!T198),""))</f>
        <v/>
      </c>
      <c r="I505" s="49" t="str">
        <f t="shared" si="14"/>
        <v/>
      </c>
      <c r="J505" s="50" t="str">
        <f>IF(P505="","",IFERROR(ROUND(CHOOSE(VALUE(RIGHT(P505,1)),IF(SABADO!C198="peso_corporal",IF(ISNUMBER(SABADO!E198),SABADO!E198,0)+SABADO!F198,SABADO!F198)*SABADO!G198,IF(SABADO!C198="peso_corporal",IF(ISNUMBER(SABADO!E198),SABADO!E198,0)+SABADO!I198,SABADO!I198)*SABADO!J198,IF(SABADO!C198="peso_corporal",IF(ISNUMBER(SABADO!E198),SABADO!E198,0)+SABADO!L198,SABADO!L198)*SABADO!M198,IF(SABADO!C198="peso_corporal",IF(ISNUMBER(SABADO!E198),SABADO!E198,0)+SABADO!O198,SABADO!O198)*SABADO!P198,IF(SABADO!C198="peso_corporal",IF(ISNUMBER(SABADO!E198),SABADO!E198,0)+SABADO!R198,SABADO!R198)*SABADO!S198),1),""))</f>
        <v/>
      </c>
      <c r="K505" s="51" t="str">
        <f>IF(P505="","",IFERROR(ROUND(CHOOSE(VALUE(RIGHT(P505,1)),(IF(SABADO!C198="peso_corporal",IF(ISNUMBER(SABADO!E198),SABADO!E198,0)+SABADO!F198,SABADO!F198))*(1+SABADO!G198/30),(IF(SABADO!C198="peso_corporal",IF(ISNUMBER(SABADO!E198),SABADO!E198,0)+SABADO!I198,SABADO!I198))*(1+SABADO!J198/30),(IF(SABADO!C198="peso_corporal",IF(ISNUMBER(SABADO!E198),SABADO!E198,0)+SABADO!L198,SABADO!L198))*(1+SABADO!M198/30),(IF(SABADO!C198="peso_corporal",IF(ISNUMBER(SABADO!E198),SABADO!E198,0)+SABADO!O198,SABADO!O198))*(1+SABADO!P198/30),(IF(SABADO!C198="peso_corporal",IF(ISNUMBER(SABADO!E198),SABADO!E198,0)+SABADO!R198,SABADO!R198))*(1+SABADO!S198/30)),1),""))</f>
        <v/>
      </c>
      <c r="L505" s="52">
        <f>IFERROR(SABADO!E198,"")</f>
        <v>80</v>
      </c>
      <c r="M505" s="53" t="str">
        <f>IFERROR(IF(K505="","-",IF(ISNUMBER(LOOKUP(2,1/((HISTORIAL!$O$3:$O$504=O505)*(HISTORIAL!$F$3:$F$504&lt;&gt;"")),HISTORIAL!$K$3:$K$504)),IF(K505&gt;LOOKUP(2,1/((HISTORIAL!$O$3:$O$504=O505)*(HISTORIAL!$F$3:$F$504&lt;&gt;"")),HISTORIAL!$K$3:$K$504),"^",IF(K505&lt;LOOKUP(2,1/((HISTORIAL!$O$3:$O$504=O505)*(HISTORIAL!$F$3:$F$504&lt;&gt;"")),HISTORIAL!$K$3:$K$504),"v","-")),"-")),"-")</f>
        <v>-</v>
      </c>
      <c r="N505" s="54" t="str">
        <f>IFERROR(VLOOKUP(A505,CONFIG!$A$10:$B$21,2,0),"")</f>
        <v>HIP</v>
      </c>
      <c r="O505" s="55" t="str">
        <f t="shared" si="15"/>
        <v>Hiperextension|Banco Romano</v>
      </c>
      <c r="P505" s="69" t="str">
        <f>SABADO!AC198</f>
        <v/>
      </c>
    </row>
    <row r="506" spans="1:16" ht="14.1" customHeight="1">
      <c r="A506" s="37">
        <v>8</v>
      </c>
      <c r="B506" s="37" t="s">
        <v>281</v>
      </c>
      <c r="C506" s="44" t="str">
        <f>SABADO!$A$200</f>
        <v>Crunch</v>
      </c>
      <c r="D506" s="45" t="str">
        <f>SABADO!$B$200</f>
        <v>Polea</v>
      </c>
      <c r="E506" s="37" t="str">
        <f>SABADO!$C$200</f>
        <v>polea</v>
      </c>
      <c r="F506" s="46" t="str">
        <f>IF(P506="","",IFERROR(CHOOSE(VALUE(RIGHT(P506,1)),SABADO!F200,SABADO!I200,SABADO!L200,SABADO!O200,SABADO!R200),""))</f>
        <v/>
      </c>
      <c r="G506" s="47" t="str">
        <f>IF(P506="","",IFERROR(CHOOSE(VALUE(RIGHT(P506,1)),SABADO!G200,SABADO!J200,SABADO!M200,SABADO!P200,SABADO!S200),""))</f>
        <v/>
      </c>
      <c r="H506" s="48" t="str">
        <f>IF(P506="","",IFERROR(CHOOSE(VALUE(RIGHT(P506,1)),SABADO!H200,SABADO!K200,SABADO!N200,SABADO!Q200,SABADO!T200),""))</f>
        <v/>
      </c>
      <c r="I506" s="49" t="str">
        <f t="shared" si="14"/>
        <v/>
      </c>
      <c r="J506" s="50" t="str">
        <f>IF(P506="","",IFERROR(ROUND(CHOOSE(VALUE(RIGHT(P506,1)),IF(SABADO!C200="peso_corporal",IF(ISNUMBER(SABADO!E200),SABADO!E200,0)+SABADO!F200,SABADO!F200)*SABADO!G200,IF(SABADO!C200="peso_corporal",IF(ISNUMBER(SABADO!E200),SABADO!E200,0)+SABADO!I200,SABADO!I200)*SABADO!J200,IF(SABADO!C200="peso_corporal",IF(ISNUMBER(SABADO!E200),SABADO!E200,0)+SABADO!L200,SABADO!L200)*SABADO!M200,IF(SABADO!C200="peso_corporal",IF(ISNUMBER(SABADO!E200),SABADO!E200,0)+SABADO!O200,SABADO!O200)*SABADO!P200,IF(SABADO!C200="peso_corporal",IF(ISNUMBER(SABADO!E200),SABADO!E200,0)+SABADO!R200,SABADO!R200)*SABADO!S200),1),""))</f>
        <v/>
      </c>
      <c r="K506" s="51" t="str">
        <f>IF(P506="","",IFERROR(ROUND(CHOOSE(VALUE(RIGHT(P506,1)),(IF(SABADO!C200="peso_corporal",IF(ISNUMBER(SABADO!E200),SABADO!E200,0)+SABADO!F200,SABADO!F200))*(1+SABADO!G200/30),(IF(SABADO!C200="peso_corporal",IF(ISNUMBER(SABADO!E200),SABADO!E200,0)+SABADO!I200,SABADO!I200))*(1+SABADO!J200/30),(IF(SABADO!C200="peso_corporal",IF(ISNUMBER(SABADO!E200),SABADO!E200,0)+SABADO!L200,SABADO!L200))*(1+SABADO!M200/30),(IF(SABADO!C200="peso_corporal",IF(ISNUMBER(SABADO!E200),SABADO!E200,0)+SABADO!O200,SABADO!O200))*(1+SABADO!P200/30),(IF(SABADO!C200="peso_corporal",IF(ISNUMBER(SABADO!E200),SABADO!E200,0)+SABADO!R200,SABADO!R200))*(1+SABADO!S200/30)),1),""))</f>
        <v/>
      </c>
      <c r="L506" s="52">
        <f>IFERROR(SABADO!E200,"")</f>
        <v>80</v>
      </c>
      <c r="M506" s="53" t="str">
        <f>IFERROR(IF(K506="","-",IF(ISNUMBER(LOOKUP(2,1/((HISTORIAL!$O$3:$O$505=O506)*(HISTORIAL!$F$3:$F$505&lt;&gt;"")),HISTORIAL!$K$3:$K$505)),IF(K506&gt;LOOKUP(2,1/((HISTORIAL!$O$3:$O$505=O506)*(HISTORIAL!$F$3:$F$505&lt;&gt;"")),HISTORIAL!$K$3:$K$505),"^",IF(K506&lt;LOOKUP(2,1/((HISTORIAL!$O$3:$O$505=O506)*(HISTORIAL!$F$3:$F$505&lt;&gt;"")),HISTORIAL!$K$3:$K$505),"v","-")),"-")),"-")</f>
        <v>-</v>
      </c>
      <c r="N506" s="54" t="str">
        <f>IFERROR(VLOOKUP(A506,CONFIG!$A$10:$B$21,2,0),"")</f>
        <v>HIP</v>
      </c>
      <c r="O506" s="55" t="str">
        <f t="shared" si="15"/>
        <v>Crunch|Polea</v>
      </c>
      <c r="P506" s="69" t="str">
        <f>SABADO!AC200</f>
        <v/>
      </c>
    </row>
    <row r="507" spans="1:16" ht="14.1" customHeight="1">
      <c r="A507" s="37">
        <v>9</v>
      </c>
      <c r="B507" s="37" t="s">
        <v>277</v>
      </c>
      <c r="C507" s="44" t="str">
        <f>LUNES!$A$189</f>
        <v>Press Plano</v>
      </c>
      <c r="D507" s="45" t="str">
        <f>LUNES!$B$189</f>
        <v>Barra</v>
      </c>
      <c r="E507" s="37" t="str">
        <f>LUNES!$C$189</f>
        <v>disco</v>
      </c>
      <c r="F507" s="46" t="str">
        <f>IF(P507="","",IFERROR(CHOOSE(VALUE(RIGHT(P507,1)),LUNES!F189,LUNES!I189,LUNES!L189,LUNES!O189,LUNES!R189),""))</f>
        <v/>
      </c>
      <c r="G507" s="47" t="str">
        <f>IF(P507="","",IFERROR(CHOOSE(VALUE(RIGHT(P507,1)),LUNES!G189,LUNES!J189,LUNES!M189,LUNES!P189,LUNES!S189),""))</f>
        <v/>
      </c>
      <c r="H507" s="48" t="str">
        <f>IF(P507="","",IFERROR(CHOOSE(VALUE(RIGHT(P507,1)),LUNES!H189,LUNES!K189,LUNES!N189,LUNES!Q189,LUNES!T189),""))</f>
        <v/>
      </c>
      <c r="I507" s="49" t="str">
        <f t="shared" si="14"/>
        <v/>
      </c>
      <c r="J507" s="50" t="str">
        <f>IF(P507="","",IFERROR(ROUND(CHOOSE(VALUE(RIGHT(P507,1)),IF(LUNES!C189="peso_corporal",IF(ISNUMBER(LUNES!E189),LUNES!E189,0)+LUNES!F189,LUNES!F189)*LUNES!G189,IF(LUNES!C189="peso_corporal",IF(ISNUMBER(LUNES!E189),LUNES!E189,0)+LUNES!I189,LUNES!I189)*LUNES!J189,IF(LUNES!C189="peso_corporal",IF(ISNUMBER(LUNES!E189),LUNES!E189,0)+LUNES!L189,LUNES!L189)*LUNES!M189,IF(LUNES!C189="peso_corporal",IF(ISNUMBER(LUNES!E189),LUNES!E189,0)+LUNES!O189,LUNES!O189)*LUNES!P189,IF(LUNES!C189="peso_corporal",IF(ISNUMBER(LUNES!E189),LUNES!E189,0)+LUNES!R189,LUNES!R189)*LUNES!S189),1),""))</f>
        <v/>
      </c>
      <c r="K507" s="51" t="str">
        <f>IF(P507="","",IFERROR(ROUND(CHOOSE(VALUE(RIGHT(P507,1)),(IF(LUNES!C189="peso_corporal",IF(ISNUMBER(LUNES!E189),LUNES!E189,0)+LUNES!F189,LUNES!F189))*(1+LUNES!G189/30),(IF(LUNES!C189="peso_corporal",IF(ISNUMBER(LUNES!E189),LUNES!E189,0)+LUNES!I189,LUNES!I189))*(1+LUNES!J189/30),(IF(LUNES!C189="peso_corporal",IF(ISNUMBER(LUNES!E189),LUNES!E189,0)+LUNES!L189,LUNES!L189))*(1+LUNES!M189/30),(IF(LUNES!C189="peso_corporal",IF(ISNUMBER(LUNES!E189),LUNES!E189,0)+LUNES!O189,LUNES!O189))*(1+LUNES!P189/30),(IF(LUNES!C189="peso_corporal",IF(ISNUMBER(LUNES!E189),LUNES!E189,0)+LUNES!R189,LUNES!R189))*(1+LUNES!S189/30)),1),""))</f>
        <v/>
      </c>
      <c r="L507" s="52">
        <f>IFERROR(LUNES!E189,"")</f>
        <v>80</v>
      </c>
      <c r="M507" s="53" t="str">
        <f>IFERROR(IF(K507="","-",IF(ISNUMBER(LOOKUP(2,1/((HISTORIAL!$O$3:$O$506=O507)*(HISTORIAL!$F$3:$F$506&lt;&gt;"")),HISTORIAL!$K$3:$K$506)),IF(K507&gt;LOOKUP(2,1/((HISTORIAL!$O$3:$O$506=O507)*(HISTORIAL!$F$3:$F$506&lt;&gt;"")),HISTORIAL!$K$3:$K$506),"^",IF(K507&lt;LOOKUP(2,1/((HISTORIAL!$O$3:$O$506=O507)*(HISTORIAL!$F$3:$F$506&lt;&gt;"")),HISTORIAL!$K$3:$K$506),"v","-")),"-")),"-")</f>
        <v>-</v>
      </c>
      <c r="N507" s="54" t="str">
        <f>IFERROR(VLOOKUP(A507,CONFIG!$A$10:$B$21,2,0),"")</f>
        <v>FUE</v>
      </c>
      <c r="O507" s="55" t="str">
        <f t="shared" si="15"/>
        <v>Press Plano|Barra</v>
      </c>
      <c r="P507" s="69" t="str">
        <f>LUNES!AC189</f>
        <v/>
      </c>
    </row>
    <row r="508" spans="1:16" ht="14.1" customHeight="1">
      <c r="A508" s="37">
        <v>9</v>
      </c>
      <c r="B508" s="37" t="s">
        <v>277</v>
      </c>
      <c r="C508" s="44" t="str">
        <f>LUNES!$A$191</f>
        <v>Press Inclinado</v>
      </c>
      <c r="D508" s="45" t="str">
        <f>LUNES!$B$191</f>
        <v>Mancuernas</v>
      </c>
      <c r="E508" s="37" t="str">
        <f>LUNES!$C$191</f>
        <v>mancuerna</v>
      </c>
      <c r="F508" s="46" t="str">
        <f>IF(P508="","",IFERROR(CHOOSE(VALUE(RIGHT(P508,1)),LUNES!F191,LUNES!I191,LUNES!L191,LUNES!O191,LUNES!R191),""))</f>
        <v/>
      </c>
      <c r="G508" s="47" t="str">
        <f>IF(P508="","",IFERROR(CHOOSE(VALUE(RIGHT(P508,1)),LUNES!G191,LUNES!J191,LUNES!M191,LUNES!P191,LUNES!S191),""))</f>
        <v/>
      </c>
      <c r="H508" s="48" t="str">
        <f>IF(P508="","",IFERROR(CHOOSE(VALUE(RIGHT(P508,1)),LUNES!H191,LUNES!K191,LUNES!N191,LUNES!Q191,LUNES!T191),""))</f>
        <v/>
      </c>
      <c r="I508" s="49" t="str">
        <f t="shared" si="14"/>
        <v/>
      </c>
      <c r="J508" s="50" t="str">
        <f>IF(P508="","",IFERROR(ROUND(CHOOSE(VALUE(RIGHT(P508,1)),IF(LUNES!C191="peso_corporal",IF(ISNUMBER(LUNES!E191),LUNES!E191,0)+LUNES!F191,LUNES!F191)*LUNES!G191,IF(LUNES!C191="peso_corporal",IF(ISNUMBER(LUNES!E191),LUNES!E191,0)+LUNES!I191,LUNES!I191)*LUNES!J191,IF(LUNES!C191="peso_corporal",IF(ISNUMBER(LUNES!E191),LUNES!E191,0)+LUNES!L191,LUNES!L191)*LUNES!M191,IF(LUNES!C191="peso_corporal",IF(ISNUMBER(LUNES!E191),LUNES!E191,0)+LUNES!O191,LUNES!O191)*LUNES!P191,IF(LUNES!C191="peso_corporal",IF(ISNUMBER(LUNES!E191),LUNES!E191,0)+LUNES!R191,LUNES!R191)*LUNES!S191),1),""))</f>
        <v/>
      </c>
      <c r="K508" s="51" t="str">
        <f>IF(P508="","",IFERROR(ROUND(CHOOSE(VALUE(RIGHT(P508,1)),(IF(LUNES!C191="peso_corporal",IF(ISNUMBER(LUNES!E191),LUNES!E191,0)+LUNES!F191,LUNES!F191))*(1+LUNES!G191/30),(IF(LUNES!C191="peso_corporal",IF(ISNUMBER(LUNES!E191),LUNES!E191,0)+LUNES!I191,LUNES!I191))*(1+LUNES!J191/30),(IF(LUNES!C191="peso_corporal",IF(ISNUMBER(LUNES!E191),LUNES!E191,0)+LUNES!L191,LUNES!L191))*(1+LUNES!M191/30),(IF(LUNES!C191="peso_corporal",IF(ISNUMBER(LUNES!E191),LUNES!E191,0)+LUNES!O191,LUNES!O191))*(1+LUNES!P191/30),(IF(LUNES!C191="peso_corporal",IF(ISNUMBER(LUNES!E191),LUNES!E191,0)+LUNES!R191,LUNES!R191))*(1+LUNES!S191/30)),1),""))</f>
        <v/>
      </c>
      <c r="L508" s="52">
        <f>IFERROR(LUNES!E191,"")</f>
        <v>80</v>
      </c>
      <c r="M508" s="53" t="str">
        <f>IFERROR(IF(K508="","-",IF(ISNUMBER(LOOKUP(2,1/((HISTORIAL!$O$3:$O$507=O508)*(HISTORIAL!$F$3:$F$507&lt;&gt;"")),HISTORIAL!$K$3:$K$507)),IF(K508&gt;LOOKUP(2,1/((HISTORIAL!$O$3:$O$507=O508)*(HISTORIAL!$F$3:$F$507&lt;&gt;"")),HISTORIAL!$K$3:$K$507),"^",IF(K508&lt;LOOKUP(2,1/((HISTORIAL!$O$3:$O$507=O508)*(HISTORIAL!$F$3:$F$507&lt;&gt;"")),HISTORIAL!$K$3:$K$507),"v","-")),"-")),"-")</f>
        <v>-</v>
      </c>
      <c r="N508" s="54" t="str">
        <f>IFERROR(VLOOKUP(A508,CONFIG!$A$10:$B$21,2,0),"")</f>
        <v>FUE</v>
      </c>
      <c r="O508" s="55" t="str">
        <f t="shared" si="15"/>
        <v>Press Inclinado|Mancuernas</v>
      </c>
      <c r="P508" s="69" t="str">
        <f>LUNES!AC191</f>
        <v/>
      </c>
    </row>
    <row r="509" spans="1:16" ht="14.1" customHeight="1">
      <c r="A509" s="37">
        <v>9</v>
      </c>
      <c r="B509" s="37" t="s">
        <v>277</v>
      </c>
      <c r="C509" s="44" t="str">
        <f>LUNES!$A$193</f>
        <v>Fondos</v>
      </c>
      <c r="D509" s="45" t="str">
        <f>LUNES!$B$193</f>
        <v>Paralelas</v>
      </c>
      <c r="E509" s="37" t="str">
        <f>LUNES!$C$193</f>
        <v>peso_corporal</v>
      </c>
      <c r="F509" s="46" t="str">
        <f>IF(P509="","",IFERROR(CHOOSE(VALUE(RIGHT(P509,1)),LUNES!F193,LUNES!I193,LUNES!L193,LUNES!O193,LUNES!R193),""))</f>
        <v/>
      </c>
      <c r="G509" s="47" t="str">
        <f>IF(P509="","",IFERROR(CHOOSE(VALUE(RIGHT(P509,1)),LUNES!G193,LUNES!J193,LUNES!M193,LUNES!P193,LUNES!S193),""))</f>
        <v/>
      </c>
      <c r="H509" s="48" t="str">
        <f>IF(P509="","",IFERROR(CHOOSE(VALUE(RIGHT(P509,1)),LUNES!H193,LUNES!K193,LUNES!N193,LUNES!Q193,LUNES!T193),""))</f>
        <v/>
      </c>
      <c r="I509" s="49" t="str">
        <f t="shared" si="14"/>
        <v/>
      </c>
      <c r="J509" s="50" t="str">
        <f>IF(P509="","",IFERROR(ROUND(CHOOSE(VALUE(RIGHT(P509,1)),IF(LUNES!C193="peso_corporal",IF(ISNUMBER(LUNES!E193),LUNES!E193,0)+LUNES!F193,LUNES!F193)*LUNES!G193,IF(LUNES!C193="peso_corporal",IF(ISNUMBER(LUNES!E193),LUNES!E193,0)+LUNES!I193,LUNES!I193)*LUNES!J193,IF(LUNES!C193="peso_corporal",IF(ISNUMBER(LUNES!E193),LUNES!E193,0)+LUNES!L193,LUNES!L193)*LUNES!M193,IF(LUNES!C193="peso_corporal",IF(ISNUMBER(LUNES!E193),LUNES!E193,0)+LUNES!O193,LUNES!O193)*LUNES!P193,IF(LUNES!C193="peso_corporal",IF(ISNUMBER(LUNES!E193),LUNES!E193,0)+LUNES!R193,LUNES!R193)*LUNES!S193),1),""))</f>
        <v/>
      </c>
      <c r="K509" s="51" t="str">
        <f>IF(P509="","",IFERROR(ROUND(CHOOSE(VALUE(RIGHT(P509,1)),(IF(LUNES!C193="peso_corporal",IF(ISNUMBER(LUNES!E193),LUNES!E193,0)+LUNES!F193,LUNES!F193))*(1+LUNES!G193/30),(IF(LUNES!C193="peso_corporal",IF(ISNUMBER(LUNES!E193),LUNES!E193,0)+LUNES!I193,LUNES!I193))*(1+LUNES!J193/30),(IF(LUNES!C193="peso_corporal",IF(ISNUMBER(LUNES!E193),LUNES!E193,0)+LUNES!L193,LUNES!L193))*(1+LUNES!M193/30),(IF(LUNES!C193="peso_corporal",IF(ISNUMBER(LUNES!E193),LUNES!E193,0)+LUNES!O193,LUNES!O193))*(1+LUNES!P193/30),(IF(LUNES!C193="peso_corporal",IF(ISNUMBER(LUNES!E193),LUNES!E193,0)+LUNES!R193,LUNES!R193))*(1+LUNES!S193/30)),1),""))</f>
        <v/>
      </c>
      <c r="L509" s="52">
        <f>IFERROR(LUNES!E193,"")</f>
        <v>80</v>
      </c>
      <c r="M509" s="53" t="str">
        <f>IFERROR(IF(K509="","-",IF(ISNUMBER(LOOKUP(2,1/((HISTORIAL!$O$3:$O$508=O509)*(HISTORIAL!$F$3:$F$508&lt;&gt;"")),HISTORIAL!$K$3:$K$508)),IF(K509&gt;LOOKUP(2,1/((HISTORIAL!$O$3:$O$508=O509)*(HISTORIAL!$F$3:$F$508&lt;&gt;"")),HISTORIAL!$K$3:$K$508),"^",IF(K509&lt;LOOKUP(2,1/((HISTORIAL!$O$3:$O$508=O509)*(HISTORIAL!$F$3:$F$508&lt;&gt;"")),HISTORIAL!$K$3:$K$508),"v","-")),"-")),"-")</f>
        <v>-</v>
      </c>
      <c r="N509" s="54" t="str">
        <f>IFERROR(VLOOKUP(A509,CONFIG!$A$10:$B$21,2,0),"")</f>
        <v>FUE</v>
      </c>
      <c r="O509" s="55" t="str">
        <f t="shared" si="15"/>
        <v>Fondos|Paralelas</v>
      </c>
      <c r="P509" s="69" t="str">
        <f>LUNES!AC193</f>
        <v/>
      </c>
    </row>
    <row r="510" spans="1:16" ht="14.1" customHeight="1">
      <c r="A510" s="37">
        <v>9</v>
      </c>
      <c r="B510" s="37" t="s">
        <v>277</v>
      </c>
      <c r="C510" s="44" t="str">
        <f>LUNES!$A$194</f>
        <v>Aperturas</v>
      </c>
      <c r="D510" s="45" t="str">
        <f>LUNES!$B$194</f>
        <v>Polea Baja Crossover</v>
      </c>
      <c r="E510" s="37" t="str">
        <f>LUNES!$C$194</f>
        <v>--</v>
      </c>
      <c r="F510" s="46" t="str">
        <f>IF(P510="","",IFERROR(CHOOSE(VALUE(RIGHT(P510,1)),LUNES!F194,LUNES!I194,LUNES!L194,LUNES!O194,LUNES!R194),""))</f>
        <v/>
      </c>
      <c r="G510" s="47" t="str">
        <f>IF(P510="","",IFERROR(CHOOSE(VALUE(RIGHT(P510,1)),LUNES!G194,LUNES!J194,LUNES!M194,LUNES!P194,LUNES!S194),""))</f>
        <v/>
      </c>
      <c r="H510" s="48" t="str">
        <f>IF(P510="","",IFERROR(CHOOSE(VALUE(RIGHT(P510,1)),LUNES!H194,LUNES!K194,LUNES!N194,LUNES!Q194,LUNES!T194),""))</f>
        <v/>
      </c>
      <c r="I510" s="49" t="str">
        <f t="shared" si="14"/>
        <v/>
      </c>
      <c r="J510" s="50" t="str">
        <f>IF(P510="","",IFERROR(ROUND(CHOOSE(VALUE(RIGHT(P510,1)),IF(LUNES!C194="peso_corporal",IF(ISNUMBER(LUNES!E194),LUNES!E194,0)+LUNES!F194,LUNES!F194)*LUNES!G194,IF(LUNES!C194="peso_corporal",IF(ISNUMBER(LUNES!E194),LUNES!E194,0)+LUNES!I194,LUNES!I194)*LUNES!J194,IF(LUNES!C194="peso_corporal",IF(ISNUMBER(LUNES!E194),LUNES!E194,0)+LUNES!L194,LUNES!L194)*LUNES!M194,IF(LUNES!C194="peso_corporal",IF(ISNUMBER(LUNES!E194),LUNES!E194,0)+LUNES!O194,LUNES!O194)*LUNES!P194,IF(LUNES!C194="peso_corporal",IF(ISNUMBER(LUNES!E194),LUNES!E194,0)+LUNES!R194,LUNES!R194)*LUNES!S194),1),""))</f>
        <v/>
      </c>
      <c r="K510" s="51" t="str">
        <f>IF(P510="","",IFERROR(ROUND(CHOOSE(VALUE(RIGHT(P510,1)),(IF(LUNES!C194="peso_corporal",IF(ISNUMBER(LUNES!E194),LUNES!E194,0)+LUNES!F194,LUNES!F194))*(1+LUNES!G194/30),(IF(LUNES!C194="peso_corporal",IF(ISNUMBER(LUNES!E194),LUNES!E194,0)+LUNES!I194,LUNES!I194))*(1+LUNES!J194/30),(IF(LUNES!C194="peso_corporal",IF(ISNUMBER(LUNES!E194),LUNES!E194,0)+LUNES!L194,LUNES!L194))*(1+LUNES!M194/30),(IF(LUNES!C194="peso_corporal",IF(ISNUMBER(LUNES!E194),LUNES!E194,0)+LUNES!O194,LUNES!O194))*(1+LUNES!P194/30),(IF(LUNES!C194="peso_corporal",IF(ISNUMBER(LUNES!E194),LUNES!E194,0)+LUNES!R194,LUNES!R194))*(1+LUNES!S194/30)),1),""))</f>
        <v/>
      </c>
      <c r="L510" s="52">
        <f>IFERROR(LUNES!E194,"")</f>
        <v>80</v>
      </c>
      <c r="M510" s="53" t="str">
        <f>IFERROR(IF(K510="","-",IF(ISNUMBER(LOOKUP(2,1/((HISTORIAL!$O$3:$O$509=O510)*(HISTORIAL!$F$3:$F$509&lt;&gt;"")),HISTORIAL!$K$3:$K$509)),IF(K510&gt;LOOKUP(2,1/((HISTORIAL!$O$3:$O$509=O510)*(HISTORIAL!$F$3:$F$509&lt;&gt;"")),HISTORIAL!$K$3:$K$509),"^",IF(K510&lt;LOOKUP(2,1/((HISTORIAL!$O$3:$O$509=O510)*(HISTORIAL!$F$3:$F$509&lt;&gt;"")),HISTORIAL!$K$3:$K$509),"v","-")),"-")),"-")</f>
        <v>-</v>
      </c>
      <c r="N510" s="54" t="str">
        <f>IFERROR(VLOOKUP(A510,CONFIG!$A$10:$B$21,2,0),"")</f>
        <v>FUE</v>
      </c>
      <c r="O510" s="55" t="str">
        <f t="shared" si="15"/>
        <v>Aperturas|Polea Baja Crossover</v>
      </c>
      <c r="P510" s="69" t="str">
        <f>LUNES!AC194</f>
        <v/>
      </c>
    </row>
    <row r="511" spans="1:16" ht="14.1" customHeight="1">
      <c r="A511" s="37">
        <v>9</v>
      </c>
      <c r="B511" s="37" t="s">
        <v>277</v>
      </c>
      <c r="C511" s="44" t="str">
        <f>LUNES!$A$195</f>
        <v>Aperturas</v>
      </c>
      <c r="D511" s="45" t="str">
        <f>LUNES!$B$195</f>
        <v>Pec Deck Maquina</v>
      </c>
      <c r="E511" s="37" t="str">
        <f>LUNES!$C$195</f>
        <v>--</v>
      </c>
      <c r="F511" s="46" t="str">
        <f>IF(P511="","",IFERROR(CHOOSE(VALUE(RIGHT(P511,1)),LUNES!F195,LUNES!I195,LUNES!L195,LUNES!O195,LUNES!R195),""))</f>
        <v/>
      </c>
      <c r="G511" s="47" t="str">
        <f>IF(P511="","",IFERROR(CHOOSE(VALUE(RIGHT(P511,1)),LUNES!G195,LUNES!J195,LUNES!M195,LUNES!P195,LUNES!S195),""))</f>
        <v/>
      </c>
      <c r="H511" s="48" t="str">
        <f>IF(P511="","",IFERROR(CHOOSE(VALUE(RIGHT(P511,1)),LUNES!H195,LUNES!K195,LUNES!N195,LUNES!Q195,LUNES!T195),""))</f>
        <v/>
      </c>
      <c r="I511" s="49" t="str">
        <f t="shared" si="14"/>
        <v/>
      </c>
      <c r="J511" s="50" t="str">
        <f>IF(P511="","",IFERROR(ROUND(CHOOSE(VALUE(RIGHT(P511,1)),IF(LUNES!C195="peso_corporal",IF(ISNUMBER(LUNES!E195),LUNES!E195,0)+LUNES!F195,LUNES!F195)*LUNES!G195,IF(LUNES!C195="peso_corporal",IF(ISNUMBER(LUNES!E195),LUNES!E195,0)+LUNES!I195,LUNES!I195)*LUNES!J195,IF(LUNES!C195="peso_corporal",IF(ISNUMBER(LUNES!E195),LUNES!E195,0)+LUNES!L195,LUNES!L195)*LUNES!M195,IF(LUNES!C195="peso_corporal",IF(ISNUMBER(LUNES!E195),LUNES!E195,0)+LUNES!O195,LUNES!O195)*LUNES!P195,IF(LUNES!C195="peso_corporal",IF(ISNUMBER(LUNES!E195),LUNES!E195,0)+LUNES!R195,LUNES!R195)*LUNES!S195),1),""))</f>
        <v/>
      </c>
      <c r="K511" s="51" t="str">
        <f>IF(P511="","",IFERROR(ROUND(CHOOSE(VALUE(RIGHT(P511,1)),(IF(LUNES!C195="peso_corporal",IF(ISNUMBER(LUNES!E195),LUNES!E195,0)+LUNES!F195,LUNES!F195))*(1+LUNES!G195/30),(IF(LUNES!C195="peso_corporal",IF(ISNUMBER(LUNES!E195),LUNES!E195,0)+LUNES!I195,LUNES!I195))*(1+LUNES!J195/30),(IF(LUNES!C195="peso_corporal",IF(ISNUMBER(LUNES!E195),LUNES!E195,0)+LUNES!L195,LUNES!L195))*(1+LUNES!M195/30),(IF(LUNES!C195="peso_corporal",IF(ISNUMBER(LUNES!E195),LUNES!E195,0)+LUNES!O195,LUNES!O195))*(1+LUNES!P195/30),(IF(LUNES!C195="peso_corporal",IF(ISNUMBER(LUNES!E195),LUNES!E195,0)+LUNES!R195,LUNES!R195))*(1+LUNES!S195/30)),1),""))</f>
        <v/>
      </c>
      <c r="L511" s="52">
        <f>IFERROR(LUNES!E195,"")</f>
        <v>80</v>
      </c>
      <c r="M511" s="53" t="str">
        <f>IFERROR(IF(K511="","-",IF(ISNUMBER(LOOKUP(2,1/((HISTORIAL!$O$3:$O$510=O511)*(HISTORIAL!$F$3:$F$510&lt;&gt;"")),HISTORIAL!$K$3:$K$510)),IF(K511&gt;LOOKUP(2,1/((HISTORIAL!$O$3:$O$510=O511)*(HISTORIAL!$F$3:$F$510&lt;&gt;"")),HISTORIAL!$K$3:$K$510),"^",IF(K511&lt;LOOKUP(2,1/((HISTORIAL!$O$3:$O$510=O511)*(HISTORIAL!$F$3:$F$510&lt;&gt;"")),HISTORIAL!$K$3:$K$510),"v","-")),"-")),"-")</f>
        <v>-</v>
      </c>
      <c r="N511" s="54" t="str">
        <f>IFERROR(VLOOKUP(A511,CONFIG!$A$10:$B$21,2,0),"")</f>
        <v>FUE</v>
      </c>
      <c r="O511" s="55" t="str">
        <f t="shared" si="15"/>
        <v>Aperturas|Pec Deck Maquina</v>
      </c>
      <c r="P511" s="69" t="str">
        <f>LUNES!AC195</f>
        <v/>
      </c>
    </row>
    <row r="512" spans="1:16" ht="14.1" customHeight="1">
      <c r="A512" s="37">
        <v>9</v>
      </c>
      <c r="B512" s="37" t="s">
        <v>277</v>
      </c>
      <c r="C512" s="44" t="str">
        <f>LUNES!$A$197</f>
        <v>Elevaciones Laterales</v>
      </c>
      <c r="D512" s="45" t="str">
        <f>LUNES!$B$197</f>
        <v>Cable Polea Individual</v>
      </c>
      <c r="E512" s="37" t="str">
        <f>LUNES!$C$197</f>
        <v>polea</v>
      </c>
      <c r="F512" s="46" t="str">
        <f>IF(P512="","",IFERROR(CHOOSE(VALUE(RIGHT(P512,1)),LUNES!F197,LUNES!I197,LUNES!L197,LUNES!O197,LUNES!R197),""))</f>
        <v/>
      </c>
      <c r="G512" s="47" t="str">
        <f>IF(P512="","",IFERROR(CHOOSE(VALUE(RIGHT(P512,1)),LUNES!G197,LUNES!J197,LUNES!M197,LUNES!P197,LUNES!S197),""))</f>
        <v/>
      </c>
      <c r="H512" s="48" t="str">
        <f>IF(P512="","",IFERROR(CHOOSE(VALUE(RIGHT(P512,1)),LUNES!H197,LUNES!K197,LUNES!N197,LUNES!Q197,LUNES!T197),""))</f>
        <v/>
      </c>
      <c r="I512" s="49" t="str">
        <f t="shared" si="14"/>
        <v/>
      </c>
      <c r="J512" s="50" t="str">
        <f>IF(P512="","",IFERROR(ROUND(CHOOSE(VALUE(RIGHT(P512,1)),IF(LUNES!C197="peso_corporal",IF(ISNUMBER(LUNES!E197),LUNES!E197,0)+LUNES!F197,LUNES!F197)*LUNES!G197,IF(LUNES!C197="peso_corporal",IF(ISNUMBER(LUNES!E197),LUNES!E197,0)+LUNES!I197,LUNES!I197)*LUNES!J197,IF(LUNES!C197="peso_corporal",IF(ISNUMBER(LUNES!E197),LUNES!E197,0)+LUNES!L197,LUNES!L197)*LUNES!M197,IF(LUNES!C197="peso_corporal",IF(ISNUMBER(LUNES!E197),LUNES!E197,0)+LUNES!O197,LUNES!O197)*LUNES!P197,IF(LUNES!C197="peso_corporal",IF(ISNUMBER(LUNES!E197),LUNES!E197,0)+LUNES!R197,LUNES!R197)*LUNES!S197),1),""))</f>
        <v/>
      </c>
      <c r="K512" s="51" t="str">
        <f>IF(P512="","",IFERROR(ROUND(CHOOSE(VALUE(RIGHT(P512,1)),(IF(LUNES!C197="peso_corporal",IF(ISNUMBER(LUNES!E197),LUNES!E197,0)+LUNES!F197,LUNES!F197))*(1+LUNES!G197/30),(IF(LUNES!C197="peso_corporal",IF(ISNUMBER(LUNES!E197),LUNES!E197,0)+LUNES!I197,LUNES!I197))*(1+LUNES!J197/30),(IF(LUNES!C197="peso_corporal",IF(ISNUMBER(LUNES!E197),LUNES!E197,0)+LUNES!L197,LUNES!L197))*(1+LUNES!M197/30),(IF(LUNES!C197="peso_corporal",IF(ISNUMBER(LUNES!E197),LUNES!E197,0)+LUNES!O197,LUNES!O197))*(1+LUNES!P197/30),(IF(LUNES!C197="peso_corporal",IF(ISNUMBER(LUNES!E197),LUNES!E197,0)+LUNES!R197,LUNES!R197))*(1+LUNES!S197/30)),1),""))</f>
        <v/>
      </c>
      <c r="L512" s="52">
        <f>IFERROR(LUNES!E197,"")</f>
        <v>80</v>
      </c>
      <c r="M512" s="53" t="str">
        <f>IFERROR(IF(K512="","-",IF(ISNUMBER(LOOKUP(2,1/((HISTORIAL!$O$3:$O$511=O512)*(HISTORIAL!$F$3:$F$511&lt;&gt;"")),HISTORIAL!$K$3:$K$511)),IF(K512&gt;LOOKUP(2,1/((HISTORIAL!$O$3:$O$511=O512)*(HISTORIAL!$F$3:$F$511&lt;&gt;"")),HISTORIAL!$K$3:$K$511),"^",IF(K512&lt;LOOKUP(2,1/((HISTORIAL!$O$3:$O$511=O512)*(HISTORIAL!$F$3:$F$511&lt;&gt;"")),HISTORIAL!$K$3:$K$511),"v","-")),"-")),"-")</f>
        <v>-</v>
      </c>
      <c r="N512" s="54" t="str">
        <f>IFERROR(VLOOKUP(A512,CONFIG!$A$10:$B$21,2,0),"")</f>
        <v>FUE</v>
      </c>
      <c r="O512" s="55" t="str">
        <f t="shared" si="15"/>
        <v>Elevaciones Laterales|Cable Polea Individual</v>
      </c>
      <c r="P512" s="69" t="str">
        <f>LUNES!AC197</f>
        <v/>
      </c>
    </row>
    <row r="513" spans="1:16" ht="14.1" customHeight="1">
      <c r="A513" s="37">
        <v>9</v>
      </c>
      <c r="B513" s="37" t="s">
        <v>277</v>
      </c>
      <c r="C513" s="44" t="str">
        <f>LUNES!$A$198</f>
        <v>Press Militar</v>
      </c>
      <c r="D513" s="45" t="str">
        <f>LUNES!$B$198</f>
        <v>Mancuernas Sentado</v>
      </c>
      <c r="E513" s="37" t="str">
        <f>LUNES!$C$198</f>
        <v>mancuerna</v>
      </c>
      <c r="F513" s="46" t="str">
        <f>IF(P513="","",IFERROR(CHOOSE(VALUE(RIGHT(P513,1)),LUNES!F198,LUNES!I198,LUNES!L198,LUNES!O198,LUNES!R198),""))</f>
        <v/>
      </c>
      <c r="G513" s="47" t="str">
        <f>IF(P513="","",IFERROR(CHOOSE(VALUE(RIGHT(P513,1)),LUNES!G198,LUNES!J198,LUNES!M198,LUNES!P198,LUNES!S198),""))</f>
        <v/>
      </c>
      <c r="H513" s="48" t="str">
        <f>IF(P513="","",IFERROR(CHOOSE(VALUE(RIGHT(P513,1)),LUNES!H198,LUNES!K198,LUNES!N198,LUNES!Q198,LUNES!T198),""))</f>
        <v/>
      </c>
      <c r="I513" s="49" t="str">
        <f t="shared" si="14"/>
        <v/>
      </c>
      <c r="J513" s="50" t="str">
        <f>IF(P513="","",IFERROR(ROUND(CHOOSE(VALUE(RIGHT(P513,1)),IF(LUNES!C198="peso_corporal",IF(ISNUMBER(LUNES!E198),LUNES!E198,0)+LUNES!F198,LUNES!F198)*LUNES!G198,IF(LUNES!C198="peso_corporal",IF(ISNUMBER(LUNES!E198),LUNES!E198,0)+LUNES!I198,LUNES!I198)*LUNES!J198,IF(LUNES!C198="peso_corporal",IF(ISNUMBER(LUNES!E198),LUNES!E198,0)+LUNES!L198,LUNES!L198)*LUNES!M198,IF(LUNES!C198="peso_corporal",IF(ISNUMBER(LUNES!E198),LUNES!E198,0)+LUNES!O198,LUNES!O198)*LUNES!P198,IF(LUNES!C198="peso_corporal",IF(ISNUMBER(LUNES!E198),LUNES!E198,0)+LUNES!R198,LUNES!R198)*LUNES!S198),1),""))</f>
        <v/>
      </c>
      <c r="K513" s="51" t="str">
        <f>IF(P513="","",IFERROR(ROUND(CHOOSE(VALUE(RIGHT(P513,1)),(IF(LUNES!C198="peso_corporal",IF(ISNUMBER(LUNES!E198),LUNES!E198,0)+LUNES!F198,LUNES!F198))*(1+LUNES!G198/30),(IF(LUNES!C198="peso_corporal",IF(ISNUMBER(LUNES!E198),LUNES!E198,0)+LUNES!I198,LUNES!I198))*(1+LUNES!J198/30),(IF(LUNES!C198="peso_corporal",IF(ISNUMBER(LUNES!E198),LUNES!E198,0)+LUNES!L198,LUNES!L198))*(1+LUNES!M198/30),(IF(LUNES!C198="peso_corporal",IF(ISNUMBER(LUNES!E198),LUNES!E198,0)+LUNES!O198,LUNES!O198))*(1+LUNES!P198/30),(IF(LUNES!C198="peso_corporal",IF(ISNUMBER(LUNES!E198),LUNES!E198,0)+LUNES!R198,LUNES!R198))*(1+LUNES!S198/30)),1),""))</f>
        <v/>
      </c>
      <c r="L513" s="52">
        <f>IFERROR(LUNES!E198,"")</f>
        <v>80</v>
      </c>
      <c r="M513" s="53" t="str">
        <f>IFERROR(IF(K513="","-",IF(ISNUMBER(LOOKUP(2,1/((HISTORIAL!$O$3:$O$512=O513)*(HISTORIAL!$F$3:$F$512&lt;&gt;"")),HISTORIAL!$K$3:$K$512)),IF(K513&gt;LOOKUP(2,1/((HISTORIAL!$O$3:$O$512=O513)*(HISTORIAL!$F$3:$F$512&lt;&gt;"")),HISTORIAL!$K$3:$K$512),"^",IF(K513&lt;LOOKUP(2,1/((HISTORIAL!$O$3:$O$512=O513)*(HISTORIAL!$F$3:$F$512&lt;&gt;"")),HISTORIAL!$K$3:$K$512),"v","-")),"-")),"-")</f>
        <v>-</v>
      </c>
      <c r="N513" s="54" t="str">
        <f>IFERROR(VLOOKUP(A513,CONFIG!$A$10:$B$21,2,0),"")</f>
        <v>FUE</v>
      </c>
      <c r="O513" s="55" t="str">
        <f t="shared" si="15"/>
        <v>Press Militar|Mancuernas Sentado</v>
      </c>
      <c r="P513" s="69" t="str">
        <f>LUNES!AC198</f>
        <v/>
      </c>
    </row>
    <row r="514" spans="1:16" ht="14.1" customHeight="1">
      <c r="A514" s="37">
        <v>9</v>
      </c>
      <c r="B514" s="37" t="s">
        <v>277</v>
      </c>
      <c r="C514" s="44" t="str">
        <f>LUNES!$A$200</f>
        <v>Extension Triceps</v>
      </c>
      <c r="D514" s="45" t="str">
        <f>LUNES!$B$200</f>
        <v>Press Neutro Polea Individual</v>
      </c>
      <c r="E514" s="37" t="str">
        <f>LUNES!$C$200</f>
        <v>--</v>
      </c>
      <c r="F514" s="46" t="str">
        <f>IF(P514="","",IFERROR(CHOOSE(VALUE(RIGHT(P514,1)),LUNES!F200,LUNES!I200,LUNES!L200,LUNES!O200,LUNES!R200),""))</f>
        <v/>
      </c>
      <c r="G514" s="47" t="str">
        <f>IF(P514="","",IFERROR(CHOOSE(VALUE(RIGHT(P514,1)),LUNES!G200,LUNES!J200,LUNES!M200,LUNES!P200,LUNES!S200),""))</f>
        <v/>
      </c>
      <c r="H514" s="48" t="str">
        <f>IF(P514="","",IFERROR(CHOOSE(VALUE(RIGHT(P514,1)),LUNES!H200,LUNES!K200,LUNES!N200,LUNES!Q200,LUNES!T200),""))</f>
        <v/>
      </c>
      <c r="I514" s="49" t="str">
        <f t="shared" si="14"/>
        <v/>
      </c>
      <c r="J514" s="50" t="str">
        <f>IF(P514="","",IFERROR(ROUND(CHOOSE(VALUE(RIGHT(P514,1)),IF(LUNES!C200="peso_corporal",IF(ISNUMBER(LUNES!E200),LUNES!E200,0)+LUNES!F200,LUNES!F200)*LUNES!G200,IF(LUNES!C200="peso_corporal",IF(ISNUMBER(LUNES!E200),LUNES!E200,0)+LUNES!I200,LUNES!I200)*LUNES!J200,IF(LUNES!C200="peso_corporal",IF(ISNUMBER(LUNES!E200),LUNES!E200,0)+LUNES!L200,LUNES!L200)*LUNES!M200,IF(LUNES!C200="peso_corporal",IF(ISNUMBER(LUNES!E200),LUNES!E200,0)+LUNES!O200,LUNES!O200)*LUNES!P200,IF(LUNES!C200="peso_corporal",IF(ISNUMBER(LUNES!E200),LUNES!E200,0)+LUNES!R200,LUNES!R200)*LUNES!S200),1),""))</f>
        <v/>
      </c>
      <c r="K514" s="51" t="str">
        <f>IF(P514="","",IFERROR(ROUND(CHOOSE(VALUE(RIGHT(P514,1)),(IF(LUNES!C200="peso_corporal",IF(ISNUMBER(LUNES!E200),LUNES!E200,0)+LUNES!F200,LUNES!F200))*(1+LUNES!G200/30),(IF(LUNES!C200="peso_corporal",IF(ISNUMBER(LUNES!E200),LUNES!E200,0)+LUNES!I200,LUNES!I200))*(1+LUNES!J200/30),(IF(LUNES!C200="peso_corporal",IF(ISNUMBER(LUNES!E200),LUNES!E200,0)+LUNES!L200,LUNES!L200))*(1+LUNES!M200/30),(IF(LUNES!C200="peso_corporal",IF(ISNUMBER(LUNES!E200),LUNES!E200,0)+LUNES!O200,LUNES!O200))*(1+LUNES!P200/30),(IF(LUNES!C200="peso_corporal",IF(ISNUMBER(LUNES!E200),LUNES!E200,0)+LUNES!R200,LUNES!R200))*(1+LUNES!S200/30)),1),""))</f>
        <v/>
      </c>
      <c r="L514" s="52">
        <f>IFERROR(LUNES!E200,"")</f>
        <v>80</v>
      </c>
      <c r="M514" s="53" t="str">
        <f>IFERROR(IF(K514="","-",IF(ISNUMBER(LOOKUP(2,1/((HISTORIAL!$O$3:$O$513=O514)*(HISTORIAL!$F$3:$F$513&lt;&gt;"")),HISTORIAL!$K$3:$K$513)),IF(K514&gt;LOOKUP(2,1/((HISTORIAL!$O$3:$O$513=O514)*(HISTORIAL!$F$3:$F$513&lt;&gt;"")),HISTORIAL!$K$3:$K$513),"^",IF(K514&lt;LOOKUP(2,1/((HISTORIAL!$O$3:$O$513=O514)*(HISTORIAL!$F$3:$F$513&lt;&gt;"")),HISTORIAL!$K$3:$K$513),"v","-")),"-")),"-")</f>
        <v>-</v>
      </c>
      <c r="N514" s="54" t="str">
        <f>IFERROR(VLOOKUP(A514,CONFIG!$A$10:$B$21,2,0),"")</f>
        <v>FUE</v>
      </c>
      <c r="O514" s="55" t="str">
        <f t="shared" si="15"/>
        <v>Extension Triceps|Press Neutro Polea Individual</v>
      </c>
      <c r="P514" s="69" t="str">
        <f>LUNES!AC200</f>
        <v/>
      </c>
    </row>
    <row r="515" spans="1:16" ht="14.1" customHeight="1">
      <c r="A515" s="37">
        <v>9</v>
      </c>
      <c r="B515" s="37" t="s">
        <v>277</v>
      </c>
      <c r="C515" s="44" t="str">
        <f>LUNES!$A$202</f>
        <v>Extension Cuadriceps</v>
      </c>
      <c r="D515" s="45" t="str">
        <f>LUNES!$B$202</f>
        <v>Vasto Externo</v>
      </c>
      <c r="E515" s="37" t="str">
        <f>LUNES!$C$202</f>
        <v>--</v>
      </c>
      <c r="F515" s="46" t="str">
        <f>IF(P515="","",IFERROR(CHOOSE(VALUE(RIGHT(P515,1)),LUNES!F202,LUNES!I202,LUNES!L202,LUNES!O202,LUNES!R202),""))</f>
        <v/>
      </c>
      <c r="G515" s="47" t="str">
        <f>IF(P515="","",IFERROR(CHOOSE(VALUE(RIGHT(P515,1)),LUNES!G202,LUNES!J202,LUNES!M202,LUNES!P202,LUNES!S202),""))</f>
        <v/>
      </c>
      <c r="H515" s="48" t="str">
        <f>IF(P515="","",IFERROR(CHOOSE(VALUE(RIGHT(P515,1)),LUNES!H202,LUNES!K202,LUNES!N202,LUNES!Q202,LUNES!T202),""))</f>
        <v/>
      </c>
      <c r="I515" s="49" t="str">
        <f t="shared" ref="I515:I578" si="16">IF(P515="","",LEFT(P515,1))</f>
        <v/>
      </c>
      <c r="J515" s="50" t="str">
        <f>IF(P515="","",IFERROR(ROUND(CHOOSE(VALUE(RIGHT(P515,1)),IF(LUNES!C202="peso_corporal",IF(ISNUMBER(LUNES!E202),LUNES!E202,0)+LUNES!F202,LUNES!F202)*LUNES!G202,IF(LUNES!C202="peso_corporal",IF(ISNUMBER(LUNES!E202),LUNES!E202,0)+LUNES!I202,LUNES!I202)*LUNES!J202,IF(LUNES!C202="peso_corporal",IF(ISNUMBER(LUNES!E202),LUNES!E202,0)+LUNES!L202,LUNES!L202)*LUNES!M202,IF(LUNES!C202="peso_corporal",IF(ISNUMBER(LUNES!E202),LUNES!E202,0)+LUNES!O202,LUNES!O202)*LUNES!P202,IF(LUNES!C202="peso_corporal",IF(ISNUMBER(LUNES!E202),LUNES!E202,0)+LUNES!R202,LUNES!R202)*LUNES!S202),1),""))</f>
        <v/>
      </c>
      <c r="K515" s="51" t="str">
        <f>IF(P515="","",IFERROR(ROUND(CHOOSE(VALUE(RIGHT(P515,1)),(IF(LUNES!C202="peso_corporal",IF(ISNUMBER(LUNES!E202),LUNES!E202,0)+LUNES!F202,LUNES!F202))*(1+LUNES!G202/30),(IF(LUNES!C202="peso_corporal",IF(ISNUMBER(LUNES!E202),LUNES!E202,0)+LUNES!I202,LUNES!I202))*(1+LUNES!J202/30),(IF(LUNES!C202="peso_corporal",IF(ISNUMBER(LUNES!E202),LUNES!E202,0)+LUNES!L202,LUNES!L202))*(1+LUNES!M202/30),(IF(LUNES!C202="peso_corporal",IF(ISNUMBER(LUNES!E202),LUNES!E202,0)+LUNES!O202,LUNES!O202))*(1+LUNES!P202/30),(IF(LUNES!C202="peso_corporal",IF(ISNUMBER(LUNES!E202),LUNES!E202,0)+LUNES!R202,LUNES!R202))*(1+LUNES!S202/30)),1),""))</f>
        <v/>
      </c>
      <c r="L515" s="52">
        <f>IFERROR(LUNES!E202,"")</f>
        <v>80</v>
      </c>
      <c r="M515" s="53" t="str">
        <f>IFERROR(IF(K515="","-",IF(ISNUMBER(LOOKUP(2,1/((HISTORIAL!$O$3:$O$514=O515)*(HISTORIAL!$F$3:$F$514&lt;&gt;"")),HISTORIAL!$K$3:$K$514)),IF(K515&gt;LOOKUP(2,1/((HISTORIAL!$O$3:$O$514=O515)*(HISTORIAL!$F$3:$F$514&lt;&gt;"")),HISTORIAL!$K$3:$K$514),"^",IF(K515&lt;LOOKUP(2,1/((HISTORIAL!$O$3:$O$514=O515)*(HISTORIAL!$F$3:$F$514&lt;&gt;"")),HISTORIAL!$K$3:$K$514),"v","-")),"-")),"-")</f>
        <v>-</v>
      </c>
      <c r="N515" s="54" t="str">
        <f>IFERROR(VLOOKUP(A515,CONFIG!$A$10:$B$21,2,0),"")</f>
        <v>FUE</v>
      </c>
      <c r="O515" s="55" t="str">
        <f t="shared" ref="O515:O578" si="17">C515&amp;"|"&amp;D515</f>
        <v>Extension Cuadriceps|Vasto Externo</v>
      </c>
      <c r="P515" s="69" t="str">
        <f>LUNES!AC202</f>
        <v/>
      </c>
    </row>
    <row r="516" spans="1:16" ht="14.1" customHeight="1">
      <c r="A516" s="37">
        <v>9</v>
      </c>
      <c r="B516" s="37" t="s">
        <v>277</v>
      </c>
      <c r="C516" s="44" t="str">
        <f>LUNES!$A$204</f>
        <v>Curl Biceps</v>
      </c>
      <c r="D516" s="45" t="str">
        <f>LUNES!$B$204</f>
        <v>Inclinado Banco Mancuernas</v>
      </c>
      <c r="E516" s="37" t="str">
        <f>LUNES!$C$204</f>
        <v>mancuerna</v>
      </c>
      <c r="F516" s="46" t="str">
        <f>IF(P516="","",IFERROR(CHOOSE(VALUE(RIGHT(P516,1)),LUNES!F204,LUNES!I204,LUNES!L204,LUNES!O204,LUNES!R204),""))</f>
        <v/>
      </c>
      <c r="G516" s="47" t="str">
        <f>IF(P516="","",IFERROR(CHOOSE(VALUE(RIGHT(P516,1)),LUNES!G204,LUNES!J204,LUNES!M204,LUNES!P204,LUNES!S204),""))</f>
        <v/>
      </c>
      <c r="H516" s="48" t="str">
        <f>IF(P516="","",IFERROR(CHOOSE(VALUE(RIGHT(P516,1)),LUNES!H204,LUNES!K204,LUNES!N204,LUNES!Q204,LUNES!T204),""))</f>
        <v/>
      </c>
      <c r="I516" s="49" t="str">
        <f t="shared" si="16"/>
        <v/>
      </c>
      <c r="J516" s="50" t="str">
        <f>IF(P516="","",IFERROR(ROUND(CHOOSE(VALUE(RIGHT(P516,1)),IF(LUNES!C204="peso_corporal",IF(ISNUMBER(LUNES!E204),LUNES!E204,0)+LUNES!F204,LUNES!F204)*LUNES!G204,IF(LUNES!C204="peso_corporal",IF(ISNUMBER(LUNES!E204),LUNES!E204,0)+LUNES!I204,LUNES!I204)*LUNES!J204,IF(LUNES!C204="peso_corporal",IF(ISNUMBER(LUNES!E204),LUNES!E204,0)+LUNES!L204,LUNES!L204)*LUNES!M204,IF(LUNES!C204="peso_corporal",IF(ISNUMBER(LUNES!E204),LUNES!E204,0)+LUNES!O204,LUNES!O204)*LUNES!P204,IF(LUNES!C204="peso_corporal",IF(ISNUMBER(LUNES!E204),LUNES!E204,0)+LUNES!R204,LUNES!R204)*LUNES!S204),1),""))</f>
        <v/>
      </c>
      <c r="K516" s="51" t="str">
        <f>IF(P516="","",IFERROR(ROUND(CHOOSE(VALUE(RIGHT(P516,1)),(IF(LUNES!C204="peso_corporal",IF(ISNUMBER(LUNES!E204),LUNES!E204,0)+LUNES!F204,LUNES!F204))*(1+LUNES!G204/30),(IF(LUNES!C204="peso_corporal",IF(ISNUMBER(LUNES!E204),LUNES!E204,0)+LUNES!I204,LUNES!I204))*(1+LUNES!J204/30),(IF(LUNES!C204="peso_corporal",IF(ISNUMBER(LUNES!E204),LUNES!E204,0)+LUNES!L204,LUNES!L204))*(1+LUNES!M204/30),(IF(LUNES!C204="peso_corporal",IF(ISNUMBER(LUNES!E204),LUNES!E204,0)+LUNES!O204,LUNES!O204))*(1+LUNES!P204/30),(IF(LUNES!C204="peso_corporal",IF(ISNUMBER(LUNES!E204),LUNES!E204,0)+LUNES!R204,LUNES!R204))*(1+LUNES!S204/30)),1),""))</f>
        <v/>
      </c>
      <c r="L516" s="52">
        <f>IFERROR(LUNES!E204,"")</f>
        <v>80</v>
      </c>
      <c r="M516" s="53" t="str">
        <f>IFERROR(IF(K516="","-",IF(ISNUMBER(LOOKUP(2,1/((HISTORIAL!$O$3:$O$515=O516)*(HISTORIAL!$F$3:$F$515&lt;&gt;"")),HISTORIAL!$K$3:$K$515)),IF(K516&gt;LOOKUP(2,1/((HISTORIAL!$O$3:$O$515=O516)*(HISTORIAL!$F$3:$F$515&lt;&gt;"")),HISTORIAL!$K$3:$K$515),"^",IF(K516&lt;LOOKUP(2,1/((HISTORIAL!$O$3:$O$515=O516)*(HISTORIAL!$F$3:$F$515&lt;&gt;"")),HISTORIAL!$K$3:$K$515),"v","-")),"-")),"-")</f>
        <v>-</v>
      </c>
      <c r="N516" s="54" t="str">
        <f>IFERROR(VLOOKUP(A516,CONFIG!$A$10:$B$21,2,0),"")</f>
        <v>FUE</v>
      </c>
      <c r="O516" s="55" t="str">
        <f t="shared" si="17"/>
        <v>Curl Biceps|Inclinado Banco Mancuernas</v>
      </c>
      <c r="P516" s="69" t="str">
        <f>LUNES!AC204</f>
        <v/>
      </c>
    </row>
    <row r="517" spans="1:16" ht="14.1" customHeight="1">
      <c r="A517" s="37">
        <v>9</v>
      </c>
      <c r="B517" s="37" t="s">
        <v>277</v>
      </c>
      <c r="C517" s="44" t="str">
        <f>LUNES!$A$206</f>
        <v>Crunch</v>
      </c>
      <c r="D517" s="45" t="str">
        <f>LUNES!$B$206</f>
        <v>Polea</v>
      </c>
      <c r="E517" s="37" t="str">
        <f>LUNES!$C$206</f>
        <v>polea</v>
      </c>
      <c r="F517" s="46" t="str">
        <f>IF(P517="","",IFERROR(CHOOSE(VALUE(RIGHT(P517,1)),LUNES!F206,LUNES!I206,LUNES!L206,LUNES!O206,LUNES!R206),""))</f>
        <v/>
      </c>
      <c r="G517" s="47" t="str">
        <f>IF(P517="","",IFERROR(CHOOSE(VALUE(RIGHT(P517,1)),LUNES!G206,LUNES!J206,LUNES!M206,LUNES!P206,LUNES!S206),""))</f>
        <v/>
      </c>
      <c r="H517" s="48" t="str">
        <f>IF(P517="","",IFERROR(CHOOSE(VALUE(RIGHT(P517,1)),LUNES!H206,LUNES!K206,LUNES!N206,LUNES!Q206,LUNES!T206),""))</f>
        <v/>
      </c>
      <c r="I517" s="49" t="str">
        <f t="shared" si="16"/>
        <v/>
      </c>
      <c r="J517" s="50" t="str">
        <f>IF(P517="","",IFERROR(ROUND(CHOOSE(VALUE(RIGHT(P517,1)),IF(LUNES!C206="peso_corporal",IF(ISNUMBER(LUNES!E206),LUNES!E206,0)+LUNES!F206,LUNES!F206)*LUNES!G206,IF(LUNES!C206="peso_corporal",IF(ISNUMBER(LUNES!E206),LUNES!E206,0)+LUNES!I206,LUNES!I206)*LUNES!J206,IF(LUNES!C206="peso_corporal",IF(ISNUMBER(LUNES!E206),LUNES!E206,0)+LUNES!L206,LUNES!L206)*LUNES!M206,IF(LUNES!C206="peso_corporal",IF(ISNUMBER(LUNES!E206),LUNES!E206,0)+LUNES!O206,LUNES!O206)*LUNES!P206,IF(LUNES!C206="peso_corporal",IF(ISNUMBER(LUNES!E206),LUNES!E206,0)+LUNES!R206,LUNES!R206)*LUNES!S206),1),""))</f>
        <v/>
      </c>
      <c r="K517" s="51" t="str">
        <f>IF(P517="","",IFERROR(ROUND(CHOOSE(VALUE(RIGHT(P517,1)),(IF(LUNES!C206="peso_corporal",IF(ISNUMBER(LUNES!E206),LUNES!E206,0)+LUNES!F206,LUNES!F206))*(1+LUNES!G206/30),(IF(LUNES!C206="peso_corporal",IF(ISNUMBER(LUNES!E206),LUNES!E206,0)+LUNES!I206,LUNES!I206))*(1+LUNES!J206/30),(IF(LUNES!C206="peso_corporal",IF(ISNUMBER(LUNES!E206),LUNES!E206,0)+LUNES!L206,LUNES!L206))*(1+LUNES!M206/30),(IF(LUNES!C206="peso_corporal",IF(ISNUMBER(LUNES!E206),LUNES!E206,0)+LUNES!O206,LUNES!O206))*(1+LUNES!P206/30),(IF(LUNES!C206="peso_corporal",IF(ISNUMBER(LUNES!E206),LUNES!E206,0)+LUNES!R206,LUNES!R206))*(1+LUNES!S206/30)),1),""))</f>
        <v/>
      </c>
      <c r="L517" s="52">
        <f>IFERROR(LUNES!E206,"")</f>
        <v>80</v>
      </c>
      <c r="M517" s="53" t="str">
        <f>IFERROR(IF(K517="","-",IF(ISNUMBER(LOOKUP(2,1/((HISTORIAL!$O$3:$O$516=O517)*(HISTORIAL!$F$3:$F$516&lt;&gt;"")),HISTORIAL!$K$3:$K$516)),IF(K517&gt;LOOKUP(2,1/((HISTORIAL!$O$3:$O$516=O517)*(HISTORIAL!$F$3:$F$516&lt;&gt;"")),HISTORIAL!$K$3:$K$516),"^",IF(K517&lt;LOOKUP(2,1/((HISTORIAL!$O$3:$O$516=O517)*(HISTORIAL!$F$3:$F$516&lt;&gt;"")),HISTORIAL!$K$3:$K$516),"v","-")),"-")),"-")</f>
        <v>-</v>
      </c>
      <c r="N517" s="54" t="str">
        <f>IFERROR(VLOOKUP(A517,CONFIG!$A$10:$B$21,2,0),"")</f>
        <v>FUE</v>
      </c>
      <c r="O517" s="55" t="str">
        <f t="shared" si="17"/>
        <v>Crunch|Polea</v>
      </c>
      <c r="P517" s="69" t="str">
        <f>LUNES!AC206</f>
        <v/>
      </c>
    </row>
    <row r="518" spans="1:16" ht="14.1" customHeight="1">
      <c r="A518" s="37">
        <v>9</v>
      </c>
      <c r="B518" s="37" t="s">
        <v>278</v>
      </c>
      <c r="C518" s="44" t="str">
        <f>MARTES!$A$181</f>
        <v>Dominadas</v>
      </c>
      <c r="D518" s="45" t="str">
        <f>MARTES!$B$181</f>
        <v>Polea Alta Prono Ancho</v>
      </c>
      <c r="E518" s="37" t="str">
        <f>MARTES!$C$181</f>
        <v>peso_corporal</v>
      </c>
      <c r="F518" s="46" t="str">
        <f>IF(P518="","",IFERROR(CHOOSE(VALUE(RIGHT(P518,1)),MARTES!F181,MARTES!I181,MARTES!L181,MARTES!O181,MARTES!R181),""))</f>
        <v/>
      </c>
      <c r="G518" s="47" t="str">
        <f>IF(P518="","",IFERROR(CHOOSE(VALUE(RIGHT(P518,1)),MARTES!G181,MARTES!J181,MARTES!M181,MARTES!P181,MARTES!S181),""))</f>
        <v/>
      </c>
      <c r="H518" s="48" t="str">
        <f>IF(P518="","",IFERROR(CHOOSE(VALUE(RIGHT(P518,1)),MARTES!H181,MARTES!K181,MARTES!N181,MARTES!Q181,MARTES!T181),""))</f>
        <v/>
      </c>
      <c r="I518" s="49" t="str">
        <f t="shared" si="16"/>
        <v/>
      </c>
      <c r="J518" s="50" t="str">
        <f>IF(P518="","",IFERROR(ROUND(CHOOSE(VALUE(RIGHT(P518,1)),IF(MARTES!C181="peso_corporal",IF(ISNUMBER(MARTES!E181),MARTES!E181,0)+MARTES!F181,MARTES!F181)*MARTES!G181,IF(MARTES!C181="peso_corporal",IF(ISNUMBER(MARTES!E181),MARTES!E181,0)+MARTES!I181,MARTES!I181)*MARTES!J181,IF(MARTES!C181="peso_corporal",IF(ISNUMBER(MARTES!E181),MARTES!E181,0)+MARTES!L181,MARTES!L181)*MARTES!M181,IF(MARTES!C181="peso_corporal",IF(ISNUMBER(MARTES!E181),MARTES!E181,0)+MARTES!O181,MARTES!O181)*MARTES!P181,IF(MARTES!C181="peso_corporal",IF(ISNUMBER(MARTES!E181),MARTES!E181,0)+MARTES!R181,MARTES!R181)*MARTES!S181),1),""))</f>
        <v/>
      </c>
      <c r="K518" s="51" t="str">
        <f>IF(P518="","",IFERROR(ROUND(CHOOSE(VALUE(RIGHT(P518,1)),(IF(MARTES!C181="peso_corporal",IF(ISNUMBER(MARTES!E181),MARTES!E181,0)+MARTES!F181,MARTES!F181))*(1+MARTES!G181/30),(IF(MARTES!C181="peso_corporal",IF(ISNUMBER(MARTES!E181),MARTES!E181,0)+MARTES!I181,MARTES!I181))*(1+MARTES!J181/30),(IF(MARTES!C181="peso_corporal",IF(ISNUMBER(MARTES!E181),MARTES!E181,0)+MARTES!L181,MARTES!L181))*(1+MARTES!M181/30),(IF(MARTES!C181="peso_corporal",IF(ISNUMBER(MARTES!E181),MARTES!E181,0)+MARTES!O181,MARTES!O181))*(1+MARTES!P181/30),(IF(MARTES!C181="peso_corporal",IF(ISNUMBER(MARTES!E181),MARTES!E181,0)+MARTES!R181,MARTES!R181))*(1+MARTES!S181/30)),1),""))</f>
        <v/>
      </c>
      <c r="L518" s="52">
        <f>IFERROR(MARTES!E181,"")</f>
        <v>80</v>
      </c>
      <c r="M518" s="53" t="str">
        <f>IFERROR(IF(K518="","-",IF(ISNUMBER(LOOKUP(2,1/((HISTORIAL!$O$3:$O$517=O518)*(HISTORIAL!$F$3:$F$517&lt;&gt;"")),HISTORIAL!$K$3:$K$517)),IF(K518&gt;LOOKUP(2,1/((HISTORIAL!$O$3:$O$517=O518)*(HISTORIAL!$F$3:$F$517&lt;&gt;"")),HISTORIAL!$K$3:$K$517),"^",IF(K518&lt;LOOKUP(2,1/((HISTORIAL!$O$3:$O$517=O518)*(HISTORIAL!$F$3:$F$517&lt;&gt;"")),HISTORIAL!$K$3:$K$517),"v","-")),"-")),"-")</f>
        <v>-</v>
      </c>
      <c r="N518" s="54" t="str">
        <f>IFERROR(VLOOKUP(A518,CONFIG!$A$10:$B$21,2,0),"")</f>
        <v>FUE</v>
      </c>
      <c r="O518" s="55" t="str">
        <f t="shared" si="17"/>
        <v>Dominadas|Polea Alta Prono Ancho</v>
      </c>
      <c r="P518" s="69" t="str">
        <f>MARTES!AC181</f>
        <v/>
      </c>
    </row>
    <row r="519" spans="1:16" ht="14.1" customHeight="1">
      <c r="A519" s="37">
        <v>9</v>
      </c>
      <c r="B519" s="37" t="s">
        <v>278</v>
      </c>
      <c r="C519" s="44" t="str">
        <f>MARTES!$A$182</f>
        <v>Pulldown</v>
      </c>
      <c r="D519" s="45" t="str">
        <f>MARTES!$B$182</f>
        <v>Polea Alta Brazos Rectos Prono</v>
      </c>
      <c r="E519" s="37" t="str">
        <f>MARTES!$C$182</f>
        <v>polea</v>
      </c>
      <c r="F519" s="46" t="str">
        <f>IF(P519="","",IFERROR(CHOOSE(VALUE(RIGHT(P519,1)),MARTES!F182,MARTES!I182,MARTES!L182,MARTES!O182,MARTES!R182),""))</f>
        <v/>
      </c>
      <c r="G519" s="47" t="str">
        <f>IF(P519="","",IFERROR(CHOOSE(VALUE(RIGHT(P519,1)),MARTES!G182,MARTES!J182,MARTES!M182,MARTES!P182,MARTES!S182),""))</f>
        <v/>
      </c>
      <c r="H519" s="48" t="str">
        <f>IF(P519="","",IFERROR(CHOOSE(VALUE(RIGHT(P519,1)),MARTES!H182,MARTES!K182,MARTES!N182,MARTES!Q182,MARTES!T182),""))</f>
        <v/>
      </c>
      <c r="I519" s="49" t="str">
        <f t="shared" si="16"/>
        <v/>
      </c>
      <c r="J519" s="50" t="str">
        <f>IF(P519="","",IFERROR(ROUND(CHOOSE(VALUE(RIGHT(P519,1)),IF(MARTES!C182="peso_corporal",IF(ISNUMBER(MARTES!E182),MARTES!E182,0)+MARTES!F182,MARTES!F182)*MARTES!G182,IF(MARTES!C182="peso_corporal",IF(ISNUMBER(MARTES!E182),MARTES!E182,0)+MARTES!I182,MARTES!I182)*MARTES!J182,IF(MARTES!C182="peso_corporal",IF(ISNUMBER(MARTES!E182),MARTES!E182,0)+MARTES!L182,MARTES!L182)*MARTES!M182,IF(MARTES!C182="peso_corporal",IF(ISNUMBER(MARTES!E182),MARTES!E182,0)+MARTES!O182,MARTES!O182)*MARTES!P182,IF(MARTES!C182="peso_corporal",IF(ISNUMBER(MARTES!E182),MARTES!E182,0)+MARTES!R182,MARTES!R182)*MARTES!S182),1),""))</f>
        <v/>
      </c>
      <c r="K519" s="51" t="str">
        <f>IF(P519="","",IFERROR(ROUND(CHOOSE(VALUE(RIGHT(P519,1)),(IF(MARTES!C182="peso_corporal",IF(ISNUMBER(MARTES!E182),MARTES!E182,0)+MARTES!F182,MARTES!F182))*(1+MARTES!G182/30),(IF(MARTES!C182="peso_corporal",IF(ISNUMBER(MARTES!E182),MARTES!E182,0)+MARTES!I182,MARTES!I182))*(1+MARTES!J182/30),(IF(MARTES!C182="peso_corporal",IF(ISNUMBER(MARTES!E182),MARTES!E182,0)+MARTES!L182,MARTES!L182))*(1+MARTES!M182/30),(IF(MARTES!C182="peso_corporal",IF(ISNUMBER(MARTES!E182),MARTES!E182,0)+MARTES!O182,MARTES!O182))*(1+MARTES!P182/30),(IF(MARTES!C182="peso_corporal",IF(ISNUMBER(MARTES!E182),MARTES!E182,0)+MARTES!R182,MARTES!R182))*(1+MARTES!S182/30)),1),""))</f>
        <v/>
      </c>
      <c r="L519" s="52">
        <f>IFERROR(MARTES!E182,"")</f>
        <v>80</v>
      </c>
      <c r="M519" s="53" t="str">
        <f>IFERROR(IF(K519="","-",IF(ISNUMBER(LOOKUP(2,1/((HISTORIAL!$O$3:$O$518=O519)*(HISTORIAL!$F$3:$F$518&lt;&gt;"")),HISTORIAL!$K$3:$K$518)),IF(K519&gt;LOOKUP(2,1/((HISTORIAL!$O$3:$O$518=O519)*(HISTORIAL!$F$3:$F$518&lt;&gt;"")),HISTORIAL!$K$3:$K$518),"^",IF(K519&lt;LOOKUP(2,1/((HISTORIAL!$O$3:$O$518=O519)*(HISTORIAL!$F$3:$F$518&lt;&gt;"")),HISTORIAL!$K$3:$K$518),"v","-")),"-")),"-")</f>
        <v>-</v>
      </c>
      <c r="N519" s="54" t="str">
        <f>IFERROR(VLOOKUP(A519,CONFIG!$A$10:$B$21,2,0),"")</f>
        <v>FUE</v>
      </c>
      <c r="O519" s="55" t="str">
        <f t="shared" si="17"/>
        <v>Pulldown|Polea Alta Brazos Rectos Prono</v>
      </c>
      <c r="P519" s="69" t="str">
        <f>MARTES!AC182</f>
        <v/>
      </c>
    </row>
    <row r="520" spans="1:16" ht="14.1" customHeight="1">
      <c r="A520" s="37">
        <v>9</v>
      </c>
      <c r="B520" s="37" t="s">
        <v>278</v>
      </c>
      <c r="C520" s="44" t="str">
        <f>MARTES!$A$184</f>
        <v>Remo</v>
      </c>
      <c r="D520" s="45" t="str">
        <f>MARTES!$B$184</f>
        <v>Maquina Hammer Neutro Unilateral</v>
      </c>
      <c r="E520" s="37" t="str">
        <f>MARTES!$C$184</f>
        <v>polea</v>
      </c>
      <c r="F520" s="46" t="str">
        <f>IF(P520="","",IFERROR(CHOOSE(VALUE(RIGHT(P520,1)),MARTES!F184,MARTES!I184,MARTES!L184,MARTES!O184,MARTES!R184),""))</f>
        <v/>
      </c>
      <c r="G520" s="47" t="str">
        <f>IF(P520="","",IFERROR(CHOOSE(VALUE(RIGHT(P520,1)),MARTES!G184,MARTES!J184,MARTES!M184,MARTES!P184,MARTES!S184),""))</f>
        <v/>
      </c>
      <c r="H520" s="48" t="str">
        <f>IF(P520="","",IFERROR(CHOOSE(VALUE(RIGHT(P520,1)),MARTES!H184,MARTES!K184,MARTES!N184,MARTES!Q184,MARTES!T184),""))</f>
        <v/>
      </c>
      <c r="I520" s="49" t="str">
        <f t="shared" si="16"/>
        <v/>
      </c>
      <c r="J520" s="50" t="str">
        <f>IF(P520="","",IFERROR(ROUND(CHOOSE(VALUE(RIGHT(P520,1)),IF(MARTES!C184="peso_corporal",IF(ISNUMBER(MARTES!E184),MARTES!E184,0)+MARTES!F184,MARTES!F184)*MARTES!G184,IF(MARTES!C184="peso_corporal",IF(ISNUMBER(MARTES!E184),MARTES!E184,0)+MARTES!I184,MARTES!I184)*MARTES!J184,IF(MARTES!C184="peso_corporal",IF(ISNUMBER(MARTES!E184),MARTES!E184,0)+MARTES!L184,MARTES!L184)*MARTES!M184,IF(MARTES!C184="peso_corporal",IF(ISNUMBER(MARTES!E184),MARTES!E184,0)+MARTES!O184,MARTES!O184)*MARTES!P184,IF(MARTES!C184="peso_corporal",IF(ISNUMBER(MARTES!E184),MARTES!E184,0)+MARTES!R184,MARTES!R184)*MARTES!S184),1),""))</f>
        <v/>
      </c>
      <c r="K520" s="51" t="str">
        <f>IF(P520="","",IFERROR(ROUND(CHOOSE(VALUE(RIGHT(P520,1)),(IF(MARTES!C184="peso_corporal",IF(ISNUMBER(MARTES!E184),MARTES!E184,0)+MARTES!F184,MARTES!F184))*(1+MARTES!G184/30),(IF(MARTES!C184="peso_corporal",IF(ISNUMBER(MARTES!E184),MARTES!E184,0)+MARTES!I184,MARTES!I184))*(1+MARTES!J184/30),(IF(MARTES!C184="peso_corporal",IF(ISNUMBER(MARTES!E184),MARTES!E184,0)+MARTES!L184,MARTES!L184))*(1+MARTES!M184/30),(IF(MARTES!C184="peso_corporal",IF(ISNUMBER(MARTES!E184),MARTES!E184,0)+MARTES!O184,MARTES!O184))*(1+MARTES!P184/30),(IF(MARTES!C184="peso_corporal",IF(ISNUMBER(MARTES!E184),MARTES!E184,0)+MARTES!R184,MARTES!R184))*(1+MARTES!S184/30)),1),""))</f>
        <v/>
      </c>
      <c r="L520" s="52">
        <f>IFERROR(MARTES!E184,"")</f>
        <v>80</v>
      </c>
      <c r="M520" s="53" t="str">
        <f>IFERROR(IF(K520="","-",IF(ISNUMBER(LOOKUP(2,1/((HISTORIAL!$O$3:$O$519=O520)*(HISTORIAL!$F$3:$F$519&lt;&gt;"")),HISTORIAL!$K$3:$K$519)),IF(K520&gt;LOOKUP(2,1/((HISTORIAL!$O$3:$O$519=O520)*(HISTORIAL!$F$3:$F$519&lt;&gt;"")),HISTORIAL!$K$3:$K$519),"^",IF(K520&lt;LOOKUP(2,1/((HISTORIAL!$O$3:$O$519=O520)*(HISTORIAL!$F$3:$F$519&lt;&gt;"")),HISTORIAL!$K$3:$K$519),"v","-")),"-")),"-")</f>
        <v>-</v>
      </c>
      <c r="N520" s="54" t="str">
        <f>IFERROR(VLOOKUP(A520,CONFIG!$A$10:$B$21,2,0),"")</f>
        <v>FUE</v>
      </c>
      <c r="O520" s="55" t="str">
        <f t="shared" si="17"/>
        <v>Remo|Maquina Hammer Neutro Unilateral</v>
      </c>
      <c r="P520" s="69" t="str">
        <f>MARTES!AC184</f>
        <v/>
      </c>
    </row>
    <row r="521" spans="1:16" ht="14.1" customHeight="1">
      <c r="A521" s="37">
        <v>9</v>
      </c>
      <c r="B521" s="37" t="s">
        <v>278</v>
      </c>
      <c r="C521" s="44" t="str">
        <f>MARTES!$A$185</f>
        <v>Remo</v>
      </c>
      <c r="D521" s="45" t="str">
        <f>MARTES!$B$185</f>
        <v>Maquina Prono</v>
      </c>
      <c r="E521" s="37" t="str">
        <f>MARTES!$C$185</f>
        <v>polea</v>
      </c>
      <c r="F521" s="46" t="str">
        <f>IF(P521="","",IFERROR(CHOOSE(VALUE(RIGHT(P521,1)),MARTES!F185,MARTES!I185,MARTES!L185,MARTES!O185,MARTES!R185),""))</f>
        <v/>
      </c>
      <c r="G521" s="47" t="str">
        <f>IF(P521="","",IFERROR(CHOOSE(VALUE(RIGHT(P521,1)),MARTES!G185,MARTES!J185,MARTES!M185,MARTES!P185,MARTES!S185),""))</f>
        <v/>
      </c>
      <c r="H521" s="48" t="str">
        <f>IF(P521="","",IFERROR(CHOOSE(VALUE(RIGHT(P521,1)),MARTES!H185,MARTES!K185,MARTES!N185,MARTES!Q185,MARTES!T185),""))</f>
        <v/>
      </c>
      <c r="I521" s="49" t="str">
        <f t="shared" si="16"/>
        <v/>
      </c>
      <c r="J521" s="50" t="str">
        <f>IF(P521="","",IFERROR(ROUND(CHOOSE(VALUE(RIGHT(P521,1)),IF(MARTES!C185="peso_corporal",IF(ISNUMBER(MARTES!E185),MARTES!E185,0)+MARTES!F185,MARTES!F185)*MARTES!G185,IF(MARTES!C185="peso_corporal",IF(ISNUMBER(MARTES!E185),MARTES!E185,0)+MARTES!I185,MARTES!I185)*MARTES!J185,IF(MARTES!C185="peso_corporal",IF(ISNUMBER(MARTES!E185),MARTES!E185,0)+MARTES!L185,MARTES!L185)*MARTES!M185,IF(MARTES!C185="peso_corporal",IF(ISNUMBER(MARTES!E185),MARTES!E185,0)+MARTES!O185,MARTES!O185)*MARTES!P185,IF(MARTES!C185="peso_corporal",IF(ISNUMBER(MARTES!E185),MARTES!E185,0)+MARTES!R185,MARTES!R185)*MARTES!S185),1),""))</f>
        <v/>
      </c>
      <c r="K521" s="51" t="str">
        <f>IF(P521="","",IFERROR(ROUND(CHOOSE(VALUE(RIGHT(P521,1)),(IF(MARTES!C185="peso_corporal",IF(ISNUMBER(MARTES!E185),MARTES!E185,0)+MARTES!F185,MARTES!F185))*(1+MARTES!G185/30),(IF(MARTES!C185="peso_corporal",IF(ISNUMBER(MARTES!E185),MARTES!E185,0)+MARTES!I185,MARTES!I185))*(1+MARTES!J185/30),(IF(MARTES!C185="peso_corporal",IF(ISNUMBER(MARTES!E185),MARTES!E185,0)+MARTES!L185,MARTES!L185))*(1+MARTES!M185/30),(IF(MARTES!C185="peso_corporal",IF(ISNUMBER(MARTES!E185),MARTES!E185,0)+MARTES!O185,MARTES!O185))*(1+MARTES!P185/30),(IF(MARTES!C185="peso_corporal",IF(ISNUMBER(MARTES!E185),MARTES!E185,0)+MARTES!R185,MARTES!R185))*(1+MARTES!S185/30)),1),""))</f>
        <v/>
      </c>
      <c r="L521" s="52">
        <f>IFERROR(MARTES!E185,"")</f>
        <v>80</v>
      </c>
      <c r="M521" s="53" t="str">
        <f>IFERROR(IF(K521="","-",IF(ISNUMBER(LOOKUP(2,1/((HISTORIAL!$O$3:$O$520=O521)*(HISTORIAL!$F$3:$F$520&lt;&gt;"")),HISTORIAL!$K$3:$K$520)),IF(K521&gt;LOOKUP(2,1/((HISTORIAL!$O$3:$O$520=O521)*(HISTORIAL!$F$3:$F$520&lt;&gt;"")),HISTORIAL!$K$3:$K$520),"^",IF(K521&lt;LOOKUP(2,1/((HISTORIAL!$O$3:$O$520=O521)*(HISTORIAL!$F$3:$F$520&lt;&gt;"")),HISTORIAL!$K$3:$K$520),"v","-")),"-")),"-")</f>
        <v>-</v>
      </c>
      <c r="N521" s="54" t="str">
        <f>IFERROR(VLOOKUP(A521,CONFIG!$A$10:$B$21,2,0),"")</f>
        <v>FUE</v>
      </c>
      <c r="O521" s="55" t="str">
        <f t="shared" si="17"/>
        <v>Remo|Maquina Prono</v>
      </c>
      <c r="P521" s="69" t="str">
        <f>MARTES!AC185</f>
        <v/>
      </c>
    </row>
    <row r="522" spans="1:16" ht="14.1" customHeight="1">
      <c r="A522" s="37">
        <v>9</v>
      </c>
      <c r="B522" s="37" t="s">
        <v>278</v>
      </c>
      <c r="C522" s="44" t="str">
        <f>MARTES!$A$187</f>
        <v>Curl Biceps</v>
      </c>
      <c r="D522" s="45" t="str">
        <f>MARTES!$B$187</f>
        <v>Inclinado Banco Mancuernas</v>
      </c>
      <c r="E522" s="37" t="str">
        <f>MARTES!$C$187</f>
        <v>mancuerna</v>
      </c>
      <c r="F522" s="46" t="str">
        <f>IF(P522="","",IFERROR(CHOOSE(VALUE(RIGHT(P522,1)),MARTES!F187,MARTES!I187,MARTES!L187,MARTES!O187,MARTES!R187),""))</f>
        <v/>
      </c>
      <c r="G522" s="47" t="str">
        <f>IF(P522="","",IFERROR(CHOOSE(VALUE(RIGHT(P522,1)),MARTES!G187,MARTES!J187,MARTES!M187,MARTES!P187,MARTES!S187),""))</f>
        <v/>
      </c>
      <c r="H522" s="48" t="str">
        <f>IF(P522="","",IFERROR(CHOOSE(VALUE(RIGHT(P522,1)),MARTES!H187,MARTES!K187,MARTES!N187,MARTES!Q187,MARTES!T187),""))</f>
        <v/>
      </c>
      <c r="I522" s="49" t="str">
        <f t="shared" si="16"/>
        <v/>
      </c>
      <c r="J522" s="50" t="str">
        <f>IF(P522="","",IFERROR(ROUND(CHOOSE(VALUE(RIGHT(P522,1)),IF(MARTES!C187="peso_corporal",IF(ISNUMBER(MARTES!E187),MARTES!E187,0)+MARTES!F187,MARTES!F187)*MARTES!G187,IF(MARTES!C187="peso_corporal",IF(ISNUMBER(MARTES!E187),MARTES!E187,0)+MARTES!I187,MARTES!I187)*MARTES!J187,IF(MARTES!C187="peso_corporal",IF(ISNUMBER(MARTES!E187),MARTES!E187,0)+MARTES!L187,MARTES!L187)*MARTES!M187,IF(MARTES!C187="peso_corporal",IF(ISNUMBER(MARTES!E187),MARTES!E187,0)+MARTES!O187,MARTES!O187)*MARTES!P187,IF(MARTES!C187="peso_corporal",IF(ISNUMBER(MARTES!E187),MARTES!E187,0)+MARTES!R187,MARTES!R187)*MARTES!S187),1),""))</f>
        <v/>
      </c>
      <c r="K522" s="51" t="str">
        <f>IF(P522="","",IFERROR(ROUND(CHOOSE(VALUE(RIGHT(P522,1)),(IF(MARTES!C187="peso_corporal",IF(ISNUMBER(MARTES!E187),MARTES!E187,0)+MARTES!F187,MARTES!F187))*(1+MARTES!G187/30),(IF(MARTES!C187="peso_corporal",IF(ISNUMBER(MARTES!E187),MARTES!E187,0)+MARTES!I187,MARTES!I187))*(1+MARTES!J187/30),(IF(MARTES!C187="peso_corporal",IF(ISNUMBER(MARTES!E187),MARTES!E187,0)+MARTES!L187,MARTES!L187))*(1+MARTES!M187/30),(IF(MARTES!C187="peso_corporal",IF(ISNUMBER(MARTES!E187),MARTES!E187,0)+MARTES!O187,MARTES!O187))*(1+MARTES!P187/30),(IF(MARTES!C187="peso_corporal",IF(ISNUMBER(MARTES!E187),MARTES!E187,0)+MARTES!R187,MARTES!R187))*(1+MARTES!S187/30)),1),""))</f>
        <v/>
      </c>
      <c r="L522" s="52">
        <f>IFERROR(MARTES!E187,"")</f>
        <v>80</v>
      </c>
      <c r="M522" s="53" t="str">
        <f>IFERROR(IF(K522="","-",IF(ISNUMBER(LOOKUP(2,1/((HISTORIAL!$O$3:$O$521=O522)*(HISTORIAL!$F$3:$F$521&lt;&gt;"")),HISTORIAL!$K$3:$K$521)),IF(K522&gt;LOOKUP(2,1/((HISTORIAL!$O$3:$O$521=O522)*(HISTORIAL!$F$3:$F$521&lt;&gt;"")),HISTORIAL!$K$3:$K$521),"^",IF(K522&lt;LOOKUP(2,1/((HISTORIAL!$O$3:$O$521=O522)*(HISTORIAL!$F$3:$F$521&lt;&gt;"")),HISTORIAL!$K$3:$K$521),"v","-")),"-")),"-")</f>
        <v>-</v>
      </c>
      <c r="N522" s="54" t="str">
        <f>IFERROR(VLOOKUP(A522,CONFIG!$A$10:$B$21,2,0),"")</f>
        <v>FUE</v>
      </c>
      <c r="O522" s="55" t="str">
        <f t="shared" si="17"/>
        <v>Curl Biceps|Inclinado Banco Mancuernas</v>
      </c>
      <c r="P522" s="69" t="str">
        <f>MARTES!AC187</f>
        <v/>
      </c>
    </row>
    <row r="523" spans="1:16" ht="14.1" customHeight="1">
      <c r="A523" s="37">
        <v>9</v>
      </c>
      <c r="B523" s="37" t="s">
        <v>278</v>
      </c>
      <c r="C523" s="44" t="str">
        <f>MARTES!$A$188</f>
        <v>Curl Biceps</v>
      </c>
      <c r="D523" s="45" t="str">
        <f>MARTES!$B$188</f>
        <v>Polea Baja Supino</v>
      </c>
      <c r="E523" s="37" t="str">
        <f>MARTES!$C$188</f>
        <v>polea</v>
      </c>
      <c r="F523" s="46" t="str">
        <f>IF(P523="","",IFERROR(CHOOSE(VALUE(RIGHT(P523,1)),MARTES!F188,MARTES!I188,MARTES!L188,MARTES!O188,MARTES!R188),""))</f>
        <v/>
      </c>
      <c r="G523" s="47" t="str">
        <f>IF(P523="","",IFERROR(CHOOSE(VALUE(RIGHT(P523,1)),MARTES!G188,MARTES!J188,MARTES!M188,MARTES!P188,MARTES!S188),""))</f>
        <v/>
      </c>
      <c r="H523" s="48" t="str">
        <f>IF(P523="","",IFERROR(CHOOSE(VALUE(RIGHT(P523,1)),MARTES!H188,MARTES!K188,MARTES!N188,MARTES!Q188,MARTES!T188),""))</f>
        <v/>
      </c>
      <c r="I523" s="49" t="str">
        <f t="shared" si="16"/>
        <v/>
      </c>
      <c r="J523" s="50" t="str">
        <f>IF(P523="","",IFERROR(ROUND(CHOOSE(VALUE(RIGHT(P523,1)),IF(MARTES!C188="peso_corporal",IF(ISNUMBER(MARTES!E188),MARTES!E188,0)+MARTES!F188,MARTES!F188)*MARTES!G188,IF(MARTES!C188="peso_corporal",IF(ISNUMBER(MARTES!E188),MARTES!E188,0)+MARTES!I188,MARTES!I188)*MARTES!J188,IF(MARTES!C188="peso_corporal",IF(ISNUMBER(MARTES!E188),MARTES!E188,0)+MARTES!L188,MARTES!L188)*MARTES!M188,IF(MARTES!C188="peso_corporal",IF(ISNUMBER(MARTES!E188),MARTES!E188,0)+MARTES!O188,MARTES!O188)*MARTES!P188,IF(MARTES!C188="peso_corporal",IF(ISNUMBER(MARTES!E188),MARTES!E188,0)+MARTES!R188,MARTES!R188)*MARTES!S188),1),""))</f>
        <v/>
      </c>
      <c r="K523" s="51" t="str">
        <f>IF(P523="","",IFERROR(ROUND(CHOOSE(VALUE(RIGHT(P523,1)),(IF(MARTES!C188="peso_corporal",IF(ISNUMBER(MARTES!E188),MARTES!E188,0)+MARTES!F188,MARTES!F188))*(1+MARTES!G188/30),(IF(MARTES!C188="peso_corporal",IF(ISNUMBER(MARTES!E188),MARTES!E188,0)+MARTES!I188,MARTES!I188))*(1+MARTES!J188/30),(IF(MARTES!C188="peso_corporal",IF(ISNUMBER(MARTES!E188),MARTES!E188,0)+MARTES!L188,MARTES!L188))*(1+MARTES!M188/30),(IF(MARTES!C188="peso_corporal",IF(ISNUMBER(MARTES!E188),MARTES!E188,0)+MARTES!O188,MARTES!O188))*(1+MARTES!P188/30),(IF(MARTES!C188="peso_corporal",IF(ISNUMBER(MARTES!E188),MARTES!E188,0)+MARTES!R188,MARTES!R188))*(1+MARTES!S188/30)),1),""))</f>
        <v/>
      </c>
      <c r="L523" s="52">
        <f>IFERROR(MARTES!E188,"")</f>
        <v>80</v>
      </c>
      <c r="M523" s="53" t="str">
        <f>IFERROR(IF(K523="","-",IF(ISNUMBER(LOOKUP(2,1/((HISTORIAL!$O$3:$O$522=O523)*(HISTORIAL!$F$3:$F$522&lt;&gt;"")),HISTORIAL!$K$3:$K$522)),IF(K523&gt;LOOKUP(2,1/((HISTORIAL!$O$3:$O$522=O523)*(HISTORIAL!$F$3:$F$522&lt;&gt;"")),HISTORIAL!$K$3:$K$522),"^",IF(K523&lt;LOOKUP(2,1/((HISTORIAL!$O$3:$O$522=O523)*(HISTORIAL!$F$3:$F$522&lt;&gt;"")),HISTORIAL!$K$3:$K$522),"v","-")),"-")),"-")</f>
        <v>-</v>
      </c>
      <c r="N523" s="54" t="str">
        <f>IFERROR(VLOOKUP(A523,CONFIG!$A$10:$B$21,2,0),"")</f>
        <v>FUE</v>
      </c>
      <c r="O523" s="55" t="str">
        <f t="shared" si="17"/>
        <v>Curl Biceps|Polea Baja Supino</v>
      </c>
      <c r="P523" s="69" t="str">
        <f>MARTES!AC188</f>
        <v/>
      </c>
    </row>
    <row r="524" spans="1:16" ht="14.1" customHeight="1">
      <c r="A524" s="37">
        <v>9</v>
      </c>
      <c r="B524" s="37" t="s">
        <v>278</v>
      </c>
      <c r="C524" s="44" t="str">
        <f>MARTES!$A$190</f>
        <v>Curl Muneca</v>
      </c>
      <c r="D524" s="45" t="str">
        <f>MARTES!$B$190</f>
        <v>Supinado</v>
      </c>
      <c r="E524" s="37" t="str">
        <f>MARTES!$C$190</f>
        <v>mancuerna</v>
      </c>
      <c r="F524" s="46" t="str">
        <f>IF(P524="","",IFERROR(CHOOSE(VALUE(RIGHT(P524,1)),MARTES!F190,MARTES!I190,MARTES!L190,MARTES!O190,MARTES!R190),""))</f>
        <v/>
      </c>
      <c r="G524" s="47" t="str">
        <f>IF(P524="","",IFERROR(CHOOSE(VALUE(RIGHT(P524,1)),MARTES!G190,MARTES!J190,MARTES!M190,MARTES!P190,MARTES!S190),""))</f>
        <v/>
      </c>
      <c r="H524" s="48" t="str">
        <f>IF(P524="","",IFERROR(CHOOSE(VALUE(RIGHT(P524,1)),MARTES!H190,MARTES!K190,MARTES!N190,MARTES!Q190,MARTES!T190),""))</f>
        <v/>
      </c>
      <c r="I524" s="49" t="str">
        <f t="shared" si="16"/>
        <v/>
      </c>
      <c r="J524" s="50" t="str">
        <f>IF(P524="","",IFERROR(ROUND(CHOOSE(VALUE(RIGHT(P524,1)),IF(MARTES!C190="peso_corporal",IF(ISNUMBER(MARTES!E190),MARTES!E190,0)+MARTES!F190,MARTES!F190)*MARTES!G190,IF(MARTES!C190="peso_corporal",IF(ISNUMBER(MARTES!E190),MARTES!E190,0)+MARTES!I190,MARTES!I190)*MARTES!J190,IF(MARTES!C190="peso_corporal",IF(ISNUMBER(MARTES!E190),MARTES!E190,0)+MARTES!L190,MARTES!L190)*MARTES!M190,IF(MARTES!C190="peso_corporal",IF(ISNUMBER(MARTES!E190),MARTES!E190,0)+MARTES!O190,MARTES!O190)*MARTES!P190,IF(MARTES!C190="peso_corporal",IF(ISNUMBER(MARTES!E190),MARTES!E190,0)+MARTES!R190,MARTES!R190)*MARTES!S190),1),""))</f>
        <v/>
      </c>
      <c r="K524" s="51" t="str">
        <f>IF(P524="","",IFERROR(ROUND(CHOOSE(VALUE(RIGHT(P524,1)),(IF(MARTES!C190="peso_corporal",IF(ISNUMBER(MARTES!E190),MARTES!E190,0)+MARTES!F190,MARTES!F190))*(1+MARTES!G190/30),(IF(MARTES!C190="peso_corporal",IF(ISNUMBER(MARTES!E190),MARTES!E190,0)+MARTES!I190,MARTES!I190))*(1+MARTES!J190/30),(IF(MARTES!C190="peso_corporal",IF(ISNUMBER(MARTES!E190),MARTES!E190,0)+MARTES!L190,MARTES!L190))*(1+MARTES!M190/30),(IF(MARTES!C190="peso_corporal",IF(ISNUMBER(MARTES!E190),MARTES!E190,0)+MARTES!O190,MARTES!O190))*(1+MARTES!P190/30),(IF(MARTES!C190="peso_corporal",IF(ISNUMBER(MARTES!E190),MARTES!E190,0)+MARTES!R190,MARTES!R190))*(1+MARTES!S190/30)),1),""))</f>
        <v/>
      </c>
      <c r="L524" s="52">
        <f>IFERROR(MARTES!E190,"")</f>
        <v>80</v>
      </c>
      <c r="M524" s="53" t="str">
        <f>IFERROR(IF(K524="","-",IF(ISNUMBER(LOOKUP(2,1/((HISTORIAL!$O$3:$O$523=O524)*(HISTORIAL!$F$3:$F$523&lt;&gt;"")),HISTORIAL!$K$3:$K$523)),IF(K524&gt;LOOKUP(2,1/((HISTORIAL!$O$3:$O$523=O524)*(HISTORIAL!$F$3:$F$523&lt;&gt;"")),HISTORIAL!$K$3:$K$523),"^",IF(K524&lt;LOOKUP(2,1/((HISTORIAL!$O$3:$O$523=O524)*(HISTORIAL!$F$3:$F$523&lt;&gt;"")),HISTORIAL!$K$3:$K$523),"v","-")),"-")),"-")</f>
        <v>-</v>
      </c>
      <c r="N524" s="54" t="str">
        <f>IFERROR(VLOOKUP(A524,CONFIG!$A$10:$B$21,2,0),"")</f>
        <v>FUE</v>
      </c>
      <c r="O524" s="55" t="str">
        <f t="shared" si="17"/>
        <v>Curl Muneca|Supinado</v>
      </c>
      <c r="P524" s="69" t="str">
        <f>MARTES!AC190</f>
        <v/>
      </c>
    </row>
    <row r="525" spans="1:16" ht="14.1" customHeight="1">
      <c r="A525" s="37">
        <v>9</v>
      </c>
      <c r="B525" s="37" t="s">
        <v>278</v>
      </c>
      <c r="C525" s="44" t="str">
        <f>MARTES!$A$191</f>
        <v>Curl Muneca</v>
      </c>
      <c r="D525" s="45" t="str">
        <f>MARTES!$B$191</f>
        <v>Pronado</v>
      </c>
      <c r="E525" s="37" t="str">
        <f>MARTES!$C$191</f>
        <v>mancuerna</v>
      </c>
      <c r="F525" s="46" t="str">
        <f>IF(P525="","",IFERROR(CHOOSE(VALUE(RIGHT(P525,1)),MARTES!F191,MARTES!I191,MARTES!L191,MARTES!O191,MARTES!R191),""))</f>
        <v/>
      </c>
      <c r="G525" s="47" t="str">
        <f>IF(P525="","",IFERROR(CHOOSE(VALUE(RIGHT(P525,1)),MARTES!G191,MARTES!J191,MARTES!M191,MARTES!P191,MARTES!S191),""))</f>
        <v/>
      </c>
      <c r="H525" s="48" t="str">
        <f>IF(P525="","",IFERROR(CHOOSE(VALUE(RIGHT(P525,1)),MARTES!H191,MARTES!K191,MARTES!N191,MARTES!Q191,MARTES!T191),""))</f>
        <v/>
      </c>
      <c r="I525" s="49" t="str">
        <f t="shared" si="16"/>
        <v/>
      </c>
      <c r="J525" s="50" t="str">
        <f>IF(P525="","",IFERROR(ROUND(CHOOSE(VALUE(RIGHT(P525,1)),IF(MARTES!C191="peso_corporal",IF(ISNUMBER(MARTES!E191),MARTES!E191,0)+MARTES!F191,MARTES!F191)*MARTES!G191,IF(MARTES!C191="peso_corporal",IF(ISNUMBER(MARTES!E191),MARTES!E191,0)+MARTES!I191,MARTES!I191)*MARTES!J191,IF(MARTES!C191="peso_corporal",IF(ISNUMBER(MARTES!E191),MARTES!E191,0)+MARTES!L191,MARTES!L191)*MARTES!M191,IF(MARTES!C191="peso_corporal",IF(ISNUMBER(MARTES!E191),MARTES!E191,0)+MARTES!O191,MARTES!O191)*MARTES!P191,IF(MARTES!C191="peso_corporal",IF(ISNUMBER(MARTES!E191),MARTES!E191,0)+MARTES!R191,MARTES!R191)*MARTES!S191),1),""))</f>
        <v/>
      </c>
      <c r="K525" s="51" t="str">
        <f>IF(P525="","",IFERROR(ROUND(CHOOSE(VALUE(RIGHT(P525,1)),(IF(MARTES!C191="peso_corporal",IF(ISNUMBER(MARTES!E191),MARTES!E191,0)+MARTES!F191,MARTES!F191))*(1+MARTES!G191/30),(IF(MARTES!C191="peso_corporal",IF(ISNUMBER(MARTES!E191),MARTES!E191,0)+MARTES!I191,MARTES!I191))*(1+MARTES!J191/30),(IF(MARTES!C191="peso_corporal",IF(ISNUMBER(MARTES!E191),MARTES!E191,0)+MARTES!L191,MARTES!L191))*(1+MARTES!M191/30),(IF(MARTES!C191="peso_corporal",IF(ISNUMBER(MARTES!E191),MARTES!E191,0)+MARTES!O191,MARTES!O191))*(1+MARTES!P191/30),(IF(MARTES!C191="peso_corporal",IF(ISNUMBER(MARTES!E191),MARTES!E191,0)+MARTES!R191,MARTES!R191))*(1+MARTES!S191/30)),1),""))</f>
        <v/>
      </c>
      <c r="L525" s="52">
        <f>IFERROR(MARTES!E191,"")</f>
        <v>80</v>
      </c>
      <c r="M525" s="53" t="str">
        <f>IFERROR(IF(K525="","-",IF(ISNUMBER(LOOKUP(2,1/((HISTORIAL!$O$3:$O$524=O525)*(HISTORIAL!$F$3:$F$524&lt;&gt;"")),HISTORIAL!$K$3:$K$524)),IF(K525&gt;LOOKUP(2,1/((HISTORIAL!$O$3:$O$524=O525)*(HISTORIAL!$F$3:$F$524&lt;&gt;"")),HISTORIAL!$K$3:$K$524),"^",IF(K525&lt;LOOKUP(2,1/((HISTORIAL!$O$3:$O$524=O525)*(HISTORIAL!$F$3:$F$524&lt;&gt;"")),HISTORIAL!$K$3:$K$524),"v","-")),"-")),"-")</f>
        <v>-</v>
      </c>
      <c r="N525" s="54" t="str">
        <f>IFERROR(VLOOKUP(A525,CONFIG!$A$10:$B$21,2,0),"")</f>
        <v>FUE</v>
      </c>
      <c r="O525" s="55" t="str">
        <f t="shared" si="17"/>
        <v>Curl Muneca|Pronado</v>
      </c>
      <c r="P525" s="69" t="str">
        <f>MARTES!AC191</f>
        <v/>
      </c>
    </row>
    <row r="526" spans="1:16" ht="14.1" customHeight="1">
      <c r="A526" s="37">
        <v>9</v>
      </c>
      <c r="B526" s="37" t="s">
        <v>278</v>
      </c>
      <c r="C526" s="44" t="str">
        <f>MARTES!$A$193</f>
        <v>Farmer Carry</v>
      </c>
      <c r="D526" s="45" t="str">
        <f>MARTES!$B$193</f>
        <v>Libre</v>
      </c>
      <c r="E526" s="37" t="str">
        <f>MARTES!$C$193</f>
        <v>mancuerna</v>
      </c>
      <c r="F526" s="46" t="str">
        <f>IF(P526="","",IFERROR(CHOOSE(VALUE(RIGHT(P526,1)),MARTES!F193,MARTES!I193,MARTES!L193,MARTES!O193,MARTES!R193),""))</f>
        <v/>
      </c>
      <c r="G526" s="47" t="str">
        <f>IF(P526="","",IFERROR(CHOOSE(VALUE(RIGHT(P526,1)),MARTES!G193,MARTES!J193,MARTES!M193,MARTES!P193,MARTES!S193),""))</f>
        <v/>
      </c>
      <c r="H526" s="48" t="str">
        <f>IF(P526="","",IFERROR(CHOOSE(VALUE(RIGHT(P526,1)),MARTES!H193,MARTES!K193,MARTES!N193,MARTES!Q193,MARTES!T193),""))</f>
        <v/>
      </c>
      <c r="I526" s="49" t="str">
        <f t="shared" si="16"/>
        <v/>
      </c>
      <c r="J526" s="50" t="str">
        <f>IF(P526="","",IFERROR(ROUND(CHOOSE(VALUE(RIGHT(P526,1)),IF(MARTES!C193="peso_corporal",IF(ISNUMBER(MARTES!E193),MARTES!E193,0)+MARTES!F193,MARTES!F193)*MARTES!G193,IF(MARTES!C193="peso_corporal",IF(ISNUMBER(MARTES!E193),MARTES!E193,0)+MARTES!I193,MARTES!I193)*MARTES!J193,IF(MARTES!C193="peso_corporal",IF(ISNUMBER(MARTES!E193),MARTES!E193,0)+MARTES!L193,MARTES!L193)*MARTES!M193,IF(MARTES!C193="peso_corporal",IF(ISNUMBER(MARTES!E193),MARTES!E193,0)+MARTES!O193,MARTES!O193)*MARTES!P193,IF(MARTES!C193="peso_corporal",IF(ISNUMBER(MARTES!E193),MARTES!E193,0)+MARTES!R193,MARTES!R193)*MARTES!S193),1),""))</f>
        <v/>
      </c>
      <c r="K526" s="51" t="str">
        <f>IF(P526="","",IFERROR(ROUND(CHOOSE(VALUE(RIGHT(P526,1)),(IF(MARTES!C193="peso_corporal",IF(ISNUMBER(MARTES!E193),MARTES!E193,0)+MARTES!F193,MARTES!F193))*(1+MARTES!G193/30),(IF(MARTES!C193="peso_corporal",IF(ISNUMBER(MARTES!E193),MARTES!E193,0)+MARTES!I193,MARTES!I193))*(1+MARTES!J193/30),(IF(MARTES!C193="peso_corporal",IF(ISNUMBER(MARTES!E193),MARTES!E193,0)+MARTES!L193,MARTES!L193))*(1+MARTES!M193/30),(IF(MARTES!C193="peso_corporal",IF(ISNUMBER(MARTES!E193),MARTES!E193,0)+MARTES!O193,MARTES!O193))*(1+MARTES!P193/30),(IF(MARTES!C193="peso_corporal",IF(ISNUMBER(MARTES!E193),MARTES!E193,0)+MARTES!R193,MARTES!R193))*(1+MARTES!S193/30)),1),""))</f>
        <v/>
      </c>
      <c r="L526" s="52">
        <f>IFERROR(MARTES!E193,"")</f>
        <v>80</v>
      </c>
      <c r="M526" s="53" t="str">
        <f>IFERROR(IF(K526="","-",IF(ISNUMBER(LOOKUP(2,1/((HISTORIAL!$O$3:$O$525=O526)*(HISTORIAL!$F$3:$F$525&lt;&gt;"")),HISTORIAL!$K$3:$K$525)),IF(K526&gt;LOOKUP(2,1/((HISTORIAL!$O$3:$O$525=O526)*(HISTORIAL!$F$3:$F$525&lt;&gt;"")),HISTORIAL!$K$3:$K$525),"^",IF(K526&lt;LOOKUP(2,1/((HISTORIAL!$O$3:$O$525=O526)*(HISTORIAL!$F$3:$F$525&lt;&gt;"")),HISTORIAL!$K$3:$K$525),"v","-")),"-")),"-")</f>
        <v>-</v>
      </c>
      <c r="N526" s="54" t="str">
        <f>IFERROR(VLOOKUP(A526,CONFIG!$A$10:$B$21,2,0),"")</f>
        <v>FUE</v>
      </c>
      <c r="O526" s="55" t="str">
        <f t="shared" si="17"/>
        <v>Farmer Carry|Libre</v>
      </c>
      <c r="P526" s="69" t="str">
        <f>MARTES!AC193</f>
        <v/>
      </c>
    </row>
    <row r="527" spans="1:16" ht="14.1" customHeight="1">
      <c r="A527" s="37">
        <v>9</v>
      </c>
      <c r="B527" s="37" t="s">
        <v>278</v>
      </c>
      <c r="C527" s="44" t="str">
        <f>MARTES!$A$195</f>
        <v>Skullcrusher</v>
      </c>
      <c r="D527" s="45" t="str">
        <f>MARTES!$B$195</f>
        <v>Mancuerna Tumbado</v>
      </c>
      <c r="E527" s="37" t="str">
        <f>MARTES!$C$195</f>
        <v>--</v>
      </c>
      <c r="F527" s="46" t="str">
        <f>IF(P527="","",IFERROR(CHOOSE(VALUE(RIGHT(P527,1)),MARTES!F195,MARTES!I195,MARTES!L195,MARTES!O195,MARTES!R195),""))</f>
        <v/>
      </c>
      <c r="G527" s="47" t="str">
        <f>IF(P527="","",IFERROR(CHOOSE(VALUE(RIGHT(P527,1)),MARTES!G195,MARTES!J195,MARTES!M195,MARTES!P195,MARTES!S195),""))</f>
        <v/>
      </c>
      <c r="H527" s="48" t="str">
        <f>IF(P527="","",IFERROR(CHOOSE(VALUE(RIGHT(P527,1)),MARTES!H195,MARTES!K195,MARTES!N195,MARTES!Q195,MARTES!T195),""))</f>
        <v/>
      </c>
      <c r="I527" s="49" t="str">
        <f t="shared" si="16"/>
        <v/>
      </c>
      <c r="J527" s="50" t="str">
        <f>IF(P527="","",IFERROR(ROUND(CHOOSE(VALUE(RIGHT(P527,1)),IF(MARTES!C195="peso_corporal",IF(ISNUMBER(MARTES!E195),MARTES!E195,0)+MARTES!F195,MARTES!F195)*MARTES!G195,IF(MARTES!C195="peso_corporal",IF(ISNUMBER(MARTES!E195),MARTES!E195,0)+MARTES!I195,MARTES!I195)*MARTES!J195,IF(MARTES!C195="peso_corporal",IF(ISNUMBER(MARTES!E195),MARTES!E195,0)+MARTES!L195,MARTES!L195)*MARTES!M195,IF(MARTES!C195="peso_corporal",IF(ISNUMBER(MARTES!E195),MARTES!E195,0)+MARTES!O195,MARTES!O195)*MARTES!P195,IF(MARTES!C195="peso_corporal",IF(ISNUMBER(MARTES!E195),MARTES!E195,0)+MARTES!R195,MARTES!R195)*MARTES!S195),1),""))</f>
        <v/>
      </c>
      <c r="K527" s="51" t="str">
        <f>IF(P527="","",IFERROR(ROUND(CHOOSE(VALUE(RIGHT(P527,1)),(IF(MARTES!C195="peso_corporal",IF(ISNUMBER(MARTES!E195),MARTES!E195,0)+MARTES!F195,MARTES!F195))*(1+MARTES!G195/30),(IF(MARTES!C195="peso_corporal",IF(ISNUMBER(MARTES!E195),MARTES!E195,0)+MARTES!I195,MARTES!I195))*(1+MARTES!J195/30),(IF(MARTES!C195="peso_corporal",IF(ISNUMBER(MARTES!E195),MARTES!E195,0)+MARTES!L195,MARTES!L195))*(1+MARTES!M195/30),(IF(MARTES!C195="peso_corporal",IF(ISNUMBER(MARTES!E195),MARTES!E195,0)+MARTES!O195,MARTES!O195))*(1+MARTES!P195/30),(IF(MARTES!C195="peso_corporal",IF(ISNUMBER(MARTES!E195),MARTES!E195,0)+MARTES!R195,MARTES!R195))*(1+MARTES!S195/30)),1),""))</f>
        <v/>
      </c>
      <c r="L527" s="52">
        <f>IFERROR(MARTES!E195,"")</f>
        <v>80</v>
      </c>
      <c r="M527" s="53" t="str">
        <f>IFERROR(IF(K527="","-",IF(ISNUMBER(LOOKUP(2,1/((HISTORIAL!$O$3:$O$526=O527)*(HISTORIAL!$F$3:$F$526&lt;&gt;"")),HISTORIAL!$K$3:$K$526)),IF(K527&gt;LOOKUP(2,1/((HISTORIAL!$O$3:$O$526=O527)*(HISTORIAL!$F$3:$F$526&lt;&gt;"")),HISTORIAL!$K$3:$K$526),"^",IF(K527&lt;LOOKUP(2,1/((HISTORIAL!$O$3:$O$526=O527)*(HISTORIAL!$F$3:$F$526&lt;&gt;"")),HISTORIAL!$K$3:$K$526),"v","-")),"-")),"-")</f>
        <v>-</v>
      </c>
      <c r="N527" s="54" t="str">
        <f>IFERROR(VLOOKUP(A527,CONFIG!$A$10:$B$21,2,0),"")</f>
        <v>FUE</v>
      </c>
      <c r="O527" s="55" t="str">
        <f t="shared" si="17"/>
        <v>Skullcrusher|Mancuerna Tumbado</v>
      </c>
      <c r="P527" s="69" t="str">
        <f>MARTES!AC195</f>
        <v/>
      </c>
    </row>
    <row r="528" spans="1:16" ht="14.1" customHeight="1">
      <c r="A528" s="37">
        <v>9</v>
      </c>
      <c r="B528" s="37" t="s">
        <v>278</v>
      </c>
      <c r="C528" s="44" t="str">
        <f>MARTES!$A$197</f>
        <v>Crunch</v>
      </c>
      <c r="D528" s="45" t="str">
        <f>MARTES!$B$197</f>
        <v>Polea</v>
      </c>
      <c r="E528" s="37" t="str">
        <f>MARTES!$C$197</f>
        <v>polea</v>
      </c>
      <c r="F528" s="46" t="str">
        <f>IF(P528="","",IFERROR(CHOOSE(VALUE(RIGHT(P528,1)),MARTES!F197,MARTES!I197,MARTES!L197,MARTES!O197,MARTES!R197),""))</f>
        <v/>
      </c>
      <c r="G528" s="47" t="str">
        <f>IF(P528="","",IFERROR(CHOOSE(VALUE(RIGHT(P528,1)),MARTES!G197,MARTES!J197,MARTES!M197,MARTES!P197,MARTES!S197),""))</f>
        <v/>
      </c>
      <c r="H528" s="48" t="str">
        <f>IF(P528="","",IFERROR(CHOOSE(VALUE(RIGHT(P528,1)),MARTES!H197,MARTES!K197,MARTES!N197,MARTES!Q197,MARTES!T197),""))</f>
        <v/>
      </c>
      <c r="I528" s="49" t="str">
        <f t="shared" si="16"/>
        <v/>
      </c>
      <c r="J528" s="50" t="str">
        <f>IF(P528="","",IFERROR(ROUND(CHOOSE(VALUE(RIGHT(P528,1)),IF(MARTES!C197="peso_corporal",IF(ISNUMBER(MARTES!E197),MARTES!E197,0)+MARTES!F197,MARTES!F197)*MARTES!G197,IF(MARTES!C197="peso_corporal",IF(ISNUMBER(MARTES!E197),MARTES!E197,0)+MARTES!I197,MARTES!I197)*MARTES!J197,IF(MARTES!C197="peso_corporal",IF(ISNUMBER(MARTES!E197),MARTES!E197,0)+MARTES!L197,MARTES!L197)*MARTES!M197,IF(MARTES!C197="peso_corporal",IF(ISNUMBER(MARTES!E197),MARTES!E197,0)+MARTES!O197,MARTES!O197)*MARTES!P197,IF(MARTES!C197="peso_corporal",IF(ISNUMBER(MARTES!E197),MARTES!E197,0)+MARTES!R197,MARTES!R197)*MARTES!S197),1),""))</f>
        <v/>
      </c>
      <c r="K528" s="51" t="str">
        <f>IF(P528="","",IFERROR(ROUND(CHOOSE(VALUE(RIGHT(P528,1)),(IF(MARTES!C197="peso_corporal",IF(ISNUMBER(MARTES!E197),MARTES!E197,0)+MARTES!F197,MARTES!F197))*(1+MARTES!G197/30),(IF(MARTES!C197="peso_corporal",IF(ISNUMBER(MARTES!E197),MARTES!E197,0)+MARTES!I197,MARTES!I197))*(1+MARTES!J197/30),(IF(MARTES!C197="peso_corporal",IF(ISNUMBER(MARTES!E197),MARTES!E197,0)+MARTES!L197,MARTES!L197))*(1+MARTES!M197/30),(IF(MARTES!C197="peso_corporal",IF(ISNUMBER(MARTES!E197),MARTES!E197,0)+MARTES!O197,MARTES!O197))*(1+MARTES!P197/30),(IF(MARTES!C197="peso_corporal",IF(ISNUMBER(MARTES!E197),MARTES!E197,0)+MARTES!R197,MARTES!R197))*(1+MARTES!S197/30)),1),""))</f>
        <v/>
      </c>
      <c r="L528" s="52">
        <f>IFERROR(MARTES!E197,"")</f>
        <v>80</v>
      </c>
      <c r="M528" s="53" t="str">
        <f>IFERROR(IF(K528="","-",IF(ISNUMBER(LOOKUP(2,1/((HISTORIAL!$O$3:$O$527=O528)*(HISTORIAL!$F$3:$F$527&lt;&gt;"")),HISTORIAL!$K$3:$K$527)),IF(K528&gt;LOOKUP(2,1/((HISTORIAL!$O$3:$O$527=O528)*(HISTORIAL!$F$3:$F$527&lt;&gt;"")),HISTORIAL!$K$3:$K$527),"^",IF(K528&lt;LOOKUP(2,1/((HISTORIAL!$O$3:$O$527=O528)*(HISTORIAL!$F$3:$F$527&lt;&gt;"")),HISTORIAL!$K$3:$K$527),"v","-")),"-")),"-")</f>
        <v>-</v>
      </c>
      <c r="N528" s="54" t="str">
        <f>IFERROR(VLOOKUP(A528,CONFIG!$A$10:$B$21,2,0),"")</f>
        <v>FUE</v>
      </c>
      <c r="O528" s="55" t="str">
        <f t="shared" si="17"/>
        <v>Crunch|Polea</v>
      </c>
      <c r="P528" s="69" t="str">
        <f>MARTES!AC197</f>
        <v/>
      </c>
    </row>
    <row r="529" spans="1:16" ht="14.1" customHeight="1">
      <c r="A529" s="37">
        <v>9</v>
      </c>
      <c r="B529" s="37" t="s">
        <v>279</v>
      </c>
      <c r="C529" s="44" t="str">
        <f>MIERCOLES!$A$188</f>
        <v>Curl Femoral</v>
      </c>
      <c r="D529" s="45" t="str">
        <f>MIERCOLES!$B$188</f>
        <v>Tumbado Maquina</v>
      </c>
      <c r="E529" s="37" t="str">
        <f>MIERCOLES!$C$188</f>
        <v>polea</v>
      </c>
      <c r="F529" s="46" t="str">
        <f>IF(P529="","",IFERROR(CHOOSE(VALUE(RIGHT(P529,1)),MIERCOLES!F188,MIERCOLES!I188,MIERCOLES!L188,MIERCOLES!O188,MIERCOLES!R188),""))</f>
        <v/>
      </c>
      <c r="G529" s="47" t="str">
        <f>IF(P529="","",IFERROR(CHOOSE(VALUE(RIGHT(P529,1)),MIERCOLES!G188,MIERCOLES!J188,MIERCOLES!M188,MIERCOLES!P188,MIERCOLES!S188),""))</f>
        <v/>
      </c>
      <c r="H529" s="48" t="str">
        <f>IF(P529="","",IFERROR(CHOOSE(VALUE(RIGHT(P529,1)),MIERCOLES!H188,MIERCOLES!K188,MIERCOLES!N188,MIERCOLES!Q188,MIERCOLES!T188),""))</f>
        <v/>
      </c>
      <c r="I529" s="49" t="str">
        <f t="shared" si="16"/>
        <v/>
      </c>
      <c r="J529" s="50" t="str">
        <f>IF(P529="","",IFERROR(ROUND(CHOOSE(VALUE(RIGHT(P529,1)),IF(MIERCOLES!C188="peso_corporal",IF(ISNUMBER(MIERCOLES!E188),MIERCOLES!E188,0)+MIERCOLES!F188,MIERCOLES!F188)*MIERCOLES!G188,IF(MIERCOLES!C188="peso_corporal",IF(ISNUMBER(MIERCOLES!E188),MIERCOLES!E188,0)+MIERCOLES!I188,MIERCOLES!I188)*MIERCOLES!J188,IF(MIERCOLES!C188="peso_corporal",IF(ISNUMBER(MIERCOLES!E188),MIERCOLES!E188,0)+MIERCOLES!L188,MIERCOLES!L188)*MIERCOLES!M188,IF(MIERCOLES!C188="peso_corporal",IF(ISNUMBER(MIERCOLES!E188),MIERCOLES!E188,0)+MIERCOLES!O188,MIERCOLES!O188)*MIERCOLES!P188,IF(MIERCOLES!C188="peso_corporal",IF(ISNUMBER(MIERCOLES!E188),MIERCOLES!E188,0)+MIERCOLES!R188,MIERCOLES!R188)*MIERCOLES!S188),1),""))</f>
        <v/>
      </c>
      <c r="K529" s="51" t="str">
        <f>IF(P529="","",IFERROR(ROUND(CHOOSE(VALUE(RIGHT(P529,1)),(IF(MIERCOLES!C188="peso_corporal",IF(ISNUMBER(MIERCOLES!E188),MIERCOLES!E188,0)+MIERCOLES!F188,MIERCOLES!F188))*(1+MIERCOLES!G188/30),(IF(MIERCOLES!C188="peso_corporal",IF(ISNUMBER(MIERCOLES!E188),MIERCOLES!E188,0)+MIERCOLES!I188,MIERCOLES!I188))*(1+MIERCOLES!J188/30),(IF(MIERCOLES!C188="peso_corporal",IF(ISNUMBER(MIERCOLES!E188),MIERCOLES!E188,0)+MIERCOLES!L188,MIERCOLES!L188))*(1+MIERCOLES!M188/30),(IF(MIERCOLES!C188="peso_corporal",IF(ISNUMBER(MIERCOLES!E188),MIERCOLES!E188,0)+MIERCOLES!O188,MIERCOLES!O188))*(1+MIERCOLES!P188/30),(IF(MIERCOLES!C188="peso_corporal",IF(ISNUMBER(MIERCOLES!E188),MIERCOLES!E188,0)+MIERCOLES!R188,MIERCOLES!R188))*(1+MIERCOLES!S188/30)),1),""))</f>
        <v/>
      </c>
      <c r="L529" s="52">
        <f>IFERROR(MIERCOLES!E188,"")</f>
        <v>80</v>
      </c>
      <c r="M529" s="53" t="str">
        <f>IFERROR(IF(K529="","-",IF(ISNUMBER(LOOKUP(2,1/((HISTORIAL!$O$3:$O$528=O529)*(HISTORIAL!$F$3:$F$528&lt;&gt;"")),HISTORIAL!$K$3:$K$528)),IF(K529&gt;LOOKUP(2,1/((HISTORIAL!$O$3:$O$528=O529)*(HISTORIAL!$F$3:$F$528&lt;&gt;"")),HISTORIAL!$K$3:$K$528),"^",IF(K529&lt;LOOKUP(2,1/((HISTORIAL!$O$3:$O$528=O529)*(HISTORIAL!$F$3:$F$528&lt;&gt;"")),HISTORIAL!$K$3:$K$528),"v","-")),"-")),"-")</f>
        <v>-</v>
      </c>
      <c r="N529" s="54" t="str">
        <f>IFERROR(VLOOKUP(A529,CONFIG!$A$10:$B$21,2,0),"")</f>
        <v>FUE</v>
      </c>
      <c r="O529" s="55" t="str">
        <f t="shared" si="17"/>
        <v>Curl Femoral|Tumbado Maquina</v>
      </c>
      <c r="P529" s="69" t="str">
        <f>MIERCOLES!AC188</f>
        <v/>
      </c>
    </row>
    <row r="530" spans="1:16" ht="14.1" customHeight="1">
      <c r="A530" s="37">
        <v>9</v>
      </c>
      <c r="B530" s="37" t="s">
        <v>279</v>
      </c>
      <c r="C530" s="44" t="str">
        <f>MIERCOLES!$A$189</f>
        <v>Curl Femoral</v>
      </c>
      <c r="D530" s="45" t="str">
        <f>MIERCOLES!$B$189</f>
        <v>Sentado Maquina</v>
      </c>
      <c r="E530" s="37" t="str">
        <f>MIERCOLES!$C$189</f>
        <v>polea</v>
      </c>
      <c r="F530" s="46" t="str">
        <f>IF(P530="","",IFERROR(CHOOSE(VALUE(RIGHT(P530,1)),MIERCOLES!F189,MIERCOLES!I189,MIERCOLES!L189,MIERCOLES!O189,MIERCOLES!R189),""))</f>
        <v/>
      </c>
      <c r="G530" s="47" t="str">
        <f>IF(P530="","",IFERROR(CHOOSE(VALUE(RIGHT(P530,1)),MIERCOLES!G189,MIERCOLES!J189,MIERCOLES!M189,MIERCOLES!P189,MIERCOLES!S189),""))</f>
        <v/>
      </c>
      <c r="H530" s="48" t="str">
        <f>IF(P530="","",IFERROR(CHOOSE(VALUE(RIGHT(P530,1)),MIERCOLES!H189,MIERCOLES!K189,MIERCOLES!N189,MIERCOLES!Q189,MIERCOLES!T189),""))</f>
        <v/>
      </c>
      <c r="I530" s="49" t="str">
        <f t="shared" si="16"/>
        <v/>
      </c>
      <c r="J530" s="50" t="str">
        <f>IF(P530="","",IFERROR(ROUND(CHOOSE(VALUE(RIGHT(P530,1)),IF(MIERCOLES!C189="peso_corporal",IF(ISNUMBER(MIERCOLES!E189),MIERCOLES!E189,0)+MIERCOLES!F189,MIERCOLES!F189)*MIERCOLES!G189,IF(MIERCOLES!C189="peso_corporal",IF(ISNUMBER(MIERCOLES!E189),MIERCOLES!E189,0)+MIERCOLES!I189,MIERCOLES!I189)*MIERCOLES!J189,IF(MIERCOLES!C189="peso_corporal",IF(ISNUMBER(MIERCOLES!E189),MIERCOLES!E189,0)+MIERCOLES!L189,MIERCOLES!L189)*MIERCOLES!M189,IF(MIERCOLES!C189="peso_corporal",IF(ISNUMBER(MIERCOLES!E189),MIERCOLES!E189,0)+MIERCOLES!O189,MIERCOLES!O189)*MIERCOLES!P189,IF(MIERCOLES!C189="peso_corporal",IF(ISNUMBER(MIERCOLES!E189),MIERCOLES!E189,0)+MIERCOLES!R189,MIERCOLES!R189)*MIERCOLES!S189),1),""))</f>
        <v/>
      </c>
      <c r="K530" s="51" t="str">
        <f>IF(P530="","",IFERROR(ROUND(CHOOSE(VALUE(RIGHT(P530,1)),(IF(MIERCOLES!C189="peso_corporal",IF(ISNUMBER(MIERCOLES!E189),MIERCOLES!E189,0)+MIERCOLES!F189,MIERCOLES!F189))*(1+MIERCOLES!G189/30),(IF(MIERCOLES!C189="peso_corporal",IF(ISNUMBER(MIERCOLES!E189),MIERCOLES!E189,0)+MIERCOLES!I189,MIERCOLES!I189))*(1+MIERCOLES!J189/30),(IF(MIERCOLES!C189="peso_corporal",IF(ISNUMBER(MIERCOLES!E189),MIERCOLES!E189,0)+MIERCOLES!L189,MIERCOLES!L189))*(1+MIERCOLES!M189/30),(IF(MIERCOLES!C189="peso_corporal",IF(ISNUMBER(MIERCOLES!E189),MIERCOLES!E189,0)+MIERCOLES!O189,MIERCOLES!O189))*(1+MIERCOLES!P189/30),(IF(MIERCOLES!C189="peso_corporal",IF(ISNUMBER(MIERCOLES!E189),MIERCOLES!E189,0)+MIERCOLES!R189,MIERCOLES!R189))*(1+MIERCOLES!S189/30)),1),""))</f>
        <v/>
      </c>
      <c r="L530" s="52">
        <f>IFERROR(MIERCOLES!E189,"")</f>
        <v>80</v>
      </c>
      <c r="M530" s="53" t="str">
        <f>IFERROR(IF(K530="","-",IF(ISNUMBER(LOOKUP(2,1/((HISTORIAL!$O$3:$O$529=O530)*(HISTORIAL!$F$3:$F$529&lt;&gt;"")),HISTORIAL!$K$3:$K$529)),IF(K530&gt;LOOKUP(2,1/((HISTORIAL!$O$3:$O$529=O530)*(HISTORIAL!$F$3:$F$529&lt;&gt;"")),HISTORIAL!$K$3:$K$529),"^",IF(K530&lt;LOOKUP(2,1/((HISTORIAL!$O$3:$O$529=O530)*(HISTORIAL!$F$3:$F$529&lt;&gt;"")),HISTORIAL!$K$3:$K$529),"v","-")),"-")),"-")</f>
        <v>-</v>
      </c>
      <c r="N530" s="54" t="str">
        <f>IFERROR(VLOOKUP(A530,CONFIG!$A$10:$B$21,2,0),"")</f>
        <v>FUE</v>
      </c>
      <c r="O530" s="55" t="str">
        <f t="shared" si="17"/>
        <v>Curl Femoral|Sentado Maquina</v>
      </c>
      <c r="P530" s="69" t="str">
        <f>MIERCOLES!AC189</f>
        <v/>
      </c>
    </row>
    <row r="531" spans="1:16" ht="14.1" customHeight="1">
      <c r="A531" s="37">
        <v>9</v>
      </c>
      <c r="B531" s="37" t="s">
        <v>279</v>
      </c>
      <c r="C531" s="44" t="str">
        <f>MIERCOLES!$A$190</f>
        <v>Curl Rumano</v>
      </c>
      <c r="D531" s="45" t="str">
        <f>MIERCOLES!$B$190</f>
        <v>Mancuernas</v>
      </c>
      <c r="E531" s="37" t="str">
        <f>MIERCOLES!$C$190</f>
        <v>mancuerna</v>
      </c>
      <c r="F531" s="46" t="str">
        <f>IF(P531="","",IFERROR(CHOOSE(VALUE(RIGHT(P531,1)),MIERCOLES!F190,MIERCOLES!I190,MIERCOLES!L190,MIERCOLES!O190,MIERCOLES!R190),""))</f>
        <v/>
      </c>
      <c r="G531" s="47" t="str">
        <f>IF(P531="","",IFERROR(CHOOSE(VALUE(RIGHT(P531,1)),MIERCOLES!G190,MIERCOLES!J190,MIERCOLES!M190,MIERCOLES!P190,MIERCOLES!S190),""))</f>
        <v/>
      </c>
      <c r="H531" s="48" t="str">
        <f>IF(P531="","",IFERROR(CHOOSE(VALUE(RIGHT(P531,1)),MIERCOLES!H190,MIERCOLES!K190,MIERCOLES!N190,MIERCOLES!Q190,MIERCOLES!T190),""))</f>
        <v/>
      </c>
      <c r="I531" s="49" t="str">
        <f t="shared" si="16"/>
        <v/>
      </c>
      <c r="J531" s="50" t="str">
        <f>IF(P531="","",IFERROR(ROUND(CHOOSE(VALUE(RIGHT(P531,1)),IF(MIERCOLES!C190="peso_corporal",IF(ISNUMBER(MIERCOLES!E190),MIERCOLES!E190,0)+MIERCOLES!F190,MIERCOLES!F190)*MIERCOLES!G190,IF(MIERCOLES!C190="peso_corporal",IF(ISNUMBER(MIERCOLES!E190),MIERCOLES!E190,0)+MIERCOLES!I190,MIERCOLES!I190)*MIERCOLES!J190,IF(MIERCOLES!C190="peso_corporal",IF(ISNUMBER(MIERCOLES!E190),MIERCOLES!E190,0)+MIERCOLES!L190,MIERCOLES!L190)*MIERCOLES!M190,IF(MIERCOLES!C190="peso_corporal",IF(ISNUMBER(MIERCOLES!E190),MIERCOLES!E190,0)+MIERCOLES!O190,MIERCOLES!O190)*MIERCOLES!P190,IF(MIERCOLES!C190="peso_corporal",IF(ISNUMBER(MIERCOLES!E190),MIERCOLES!E190,0)+MIERCOLES!R190,MIERCOLES!R190)*MIERCOLES!S190),1),""))</f>
        <v/>
      </c>
      <c r="K531" s="51" t="str">
        <f>IF(P531="","",IFERROR(ROUND(CHOOSE(VALUE(RIGHT(P531,1)),(IF(MIERCOLES!C190="peso_corporal",IF(ISNUMBER(MIERCOLES!E190),MIERCOLES!E190,0)+MIERCOLES!F190,MIERCOLES!F190))*(1+MIERCOLES!G190/30),(IF(MIERCOLES!C190="peso_corporal",IF(ISNUMBER(MIERCOLES!E190),MIERCOLES!E190,0)+MIERCOLES!I190,MIERCOLES!I190))*(1+MIERCOLES!J190/30),(IF(MIERCOLES!C190="peso_corporal",IF(ISNUMBER(MIERCOLES!E190),MIERCOLES!E190,0)+MIERCOLES!L190,MIERCOLES!L190))*(1+MIERCOLES!M190/30),(IF(MIERCOLES!C190="peso_corporal",IF(ISNUMBER(MIERCOLES!E190),MIERCOLES!E190,0)+MIERCOLES!O190,MIERCOLES!O190))*(1+MIERCOLES!P190/30),(IF(MIERCOLES!C190="peso_corporal",IF(ISNUMBER(MIERCOLES!E190),MIERCOLES!E190,0)+MIERCOLES!R190,MIERCOLES!R190))*(1+MIERCOLES!S190/30)),1),""))</f>
        <v/>
      </c>
      <c r="L531" s="52">
        <f>IFERROR(MIERCOLES!E190,"")</f>
        <v>80</v>
      </c>
      <c r="M531" s="53" t="str">
        <f>IFERROR(IF(K531="","-",IF(ISNUMBER(LOOKUP(2,1/((HISTORIAL!$O$3:$O$530=O531)*(HISTORIAL!$F$3:$F$530&lt;&gt;"")),HISTORIAL!$K$3:$K$530)),IF(K531&gt;LOOKUP(2,1/((HISTORIAL!$O$3:$O$530=O531)*(HISTORIAL!$F$3:$F$530&lt;&gt;"")),HISTORIAL!$K$3:$K$530),"^",IF(K531&lt;LOOKUP(2,1/((HISTORIAL!$O$3:$O$530=O531)*(HISTORIAL!$F$3:$F$530&lt;&gt;"")),HISTORIAL!$K$3:$K$530),"v","-")),"-")),"-")</f>
        <v>-</v>
      </c>
      <c r="N531" s="54" t="str">
        <f>IFERROR(VLOOKUP(A531,CONFIG!$A$10:$B$21,2,0),"")</f>
        <v>FUE</v>
      </c>
      <c r="O531" s="55" t="str">
        <f t="shared" si="17"/>
        <v>Curl Rumano|Mancuernas</v>
      </c>
      <c r="P531" s="69" t="str">
        <f>MIERCOLES!AC190</f>
        <v/>
      </c>
    </row>
    <row r="532" spans="1:16" ht="14.1" customHeight="1">
      <c r="A532" s="37">
        <v>9</v>
      </c>
      <c r="B532" s="37" t="s">
        <v>279</v>
      </c>
      <c r="C532" s="44" t="str">
        <f>MIERCOLES!$A$192</f>
        <v>Sentadilla</v>
      </c>
      <c r="D532" s="45" t="str">
        <f>MIERCOLES!$B$192</f>
        <v>Multipower Cuna Talones</v>
      </c>
      <c r="E532" s="37" t="str">
        <f>MIERCOLES!$C$192</f>
        <v>--</v>
      </c>
      <c r="F532" s="46" t="str">
        <f>IF(P532="","",IFERROR(CHOOSE(VALUE(RIGHT(P532,1)),MIERCOLES!F192,MIERCOLES!I192,MIERCOLES!L192,MIERCOLES!O192,MIERCOLES!R192),""))</f>
        <v/>
      </c>
      <c r="G532" s="47" t="str">
        <f>IF(P532="","",IFERROR(CHOOSE(VALUE(RIGHT(P532,1)),MIERCOLES!G192,MIERCOLES!J192,MIERCOLES!M192,MIERCOLES!P192,MIERCOLES!S192),""))</f>
        <v/>
      </c>
      <c r="H532" s="48" t="str">
        <f>IF(P532="","",IFERROR(CHOOSE(VALUE(RIGHT(P532,1)),MIERCOLES!H192,MIERCOLES!K192,MIERCOLES!N192,MIERCOLES!Q192,MIERCOLES!T192),""))</f>
        <v/>
      </c>
      <c r="I532" s="49" t="str">
        <f t="shared" si="16"/>
        <v/>
      </c>
      <c r="J532" s="50" t="str">
        <f>IF(P532="","",IFERROR(ROUND(CHOOSE(VALUE(RIGHT(P532,1)),IF(MIERCOLES!C192="peso_corporal",IF(ISNUMBER(MIERCOLES!E192),MIERCOLES!E192,0)+MIERCOLES!F192,MIERCOLES!F192)*MIERCOLES!G192,IF(MIERCOLES!C192="peso_corporal",IF(ISNUMBER(MIERCOLES!E192),MIERCOLES!E192,0)+MIERCOLES!I192,MIERCOLES!I192)*MIERCOLES!J192,IF(MIERCOLES!C192="peso_corporal",IF(ISNUMBER(MIERCOLES!E192),MIERCOLES!E192,0)+MIERCOLES!L192,MIERCOLES!L192)*MIERCOLES!M192,IF(MIERCOLES!C192="peso_corporal",IF(ISNUMBER(MIERCOLES!E192),MIERCOLES!E192,0)+MIERCOLES!O192,MIERCOLES!O192)*MIERCOLES!P192,IF(MIERCOLES!C192="peso_corporal",IF(ISNUMBER(MIERCOLES!E192),MIERCOLES!E192,0)+MIERCOLES!R192,MIERCOLES!R192)*MIERCOLES!S192),1),""))</f>
        <v/>
      </c>
      <c r="K532" s="51" t="str">
        <f>IF(P532="","",IFERROR(ROUND(CHOOSE(VALUE(RIGHT(P532,1)),(IF(MIERCOLES!C192="peso_corporal",IF(ISNUMBER(MIERCOLES!E192),MIERCOLES!E192,0)+MIERCOLES!F192,MIERCOLES!F192))*(1+MIERCOLES!G192/30),(IF(MIERCOLES!C192="peso_corporal",IF(ISNUMBER(MIERCOLES!E192),MIERCOLES!E192,0)+MIERCOLES!I192,MIERCOLES!I192))*(1+MIERCOLES!J192/30),(IF(MIERCOLES!C192="peso_corporal",IF(ISNUMBER(MIERCOLES!E192),MIERCOLES!E192,0)+MIERCOLES!L192,MIERCOLES!L192))*(1+MIERCOLES!M192/30),(IF(MIERCOLES!C192="peso_corporal",IF(ISNUMBER(MIERCOLES!E192),MIERCOLES!E192,0)+MIERCOLES!O192,MIERCOLES!O192))*(1+MIERCOLES!P192/30),(IF(MIERCOLES!C192="peso_corporal",IF(ISNUMBER(MIERCOLES!E192),MIERCOLES!E192,0)+MIERCOLES!R192,MIERCOLES!R192))*(1+MIERCOLES!S192/30)),1),""))</f>
        <v/>
      </c>
      <c r="L532" s="52">
        <f>IFERROR(MIERCOLES!E192,"")</f>
        <v>80</v>
      </c>
      <c r="M532" s="53" t="str">
        <f>IFERROR(IF(K532="","-",IF(ISNUMBER(LOOKUP(2,1/((HISTORIAL!$O$3:$O$531=O532)*(HISTORIAL!$F$3:$F$531&lt;&gt;"")),HISTORIAL!$K$3:$K$531)),IF(K532&gt;LOOKUP(2,1/((HISTORIAL!$O$3:$O$531=O532)*(HISTORIAL!$F$3:$F$531&lt;&gt;"")),HISTORIAL!$K$3:$K$531),"^",IF(K532&lt;LOOKUP(2,1/((HISTORIAL!$O$3:$O$531=O532)*(HISTORIAL!$F$3:$F$531&lt;&gt;"")),HISTORIAL!$K$3:$K$531),"v","-")),"-")),"-")</f>
        <v>-</v>
      </c>
      <c r="N532" s="54" t="str">
        <f>IFERROR(VLOOKUP(A532,CONFIG!$A$10:$B$21,2,0),"")</f>
        <v>FUE</v>
      </c>
      <c r="O532" s="55" t="str">
        <f t="shared" si="17"/>
        <v>Sentadilla|Multipower Cuna Talones</v>
      </c>
      <c r="P532" s="69" t="str">
        <f>MIERCOLES!AC192</f>
        <v/>
      </c>
    </row>
    <row r="533" spans="1:16" ht="14.1" customHeight="1">
      <c r="A533" s="37">
        <v>9</v>
      </c>
      <c r="B533" s="37" t="s">
        <v>279</v>
      </c>
      <c r="C533" s="44" t="str">
        <f>MIERCOLES!$A$193</f>
        <v>Prensa Pierna</v>
      </c>
      <c r="D533" s="45" t="str">
        <f>MIERCOLES!$B$193</f>
        <v>Individual Horizontal</v>
      </c>
      <c r="E533" s="37" t="str">
        <f>MIERCOLES!$C$193</f>
        <v>--</v>
      </c>
      <c r="F533" s="46" t="str">
        <f>IF(P533="","",IFERROR(CHOOSE(VALUE(RIGHT(P533,1)),MIERCOLES!F193,MIERCOLES!I193,MIERCOLES!L193,MIERCOLES!O193,MIERCOLES!R193),""))</f>
        <v/>
      </c>
      <c r="G533" s="47" t="str">
        <f>IF(P533="","",IFERROR(CHOOSE(VALUE(RIGHT(P533,1)),MIERCOLES!G193,MIERCOLES!J193,MIERCOLES!M193,MIERCOLES!P193,MIERCOLES!S193),""))</f>
        <v/>
      </c>
      <c r="H533" s="48" t="str">
        <f>IF(P533="","",IFERROR(CHOOSE(VALUE(RIGHT(P533,1)),MIERCOLES!H193,MIERCOLES!K193,MIERCOLES!N193,MIERCOLES!Q193,MIERCOLES!T193),""))</f>
        <v/>
      </c>
      <c r="I533" s="49" t="str">
        <f t="shared" si="16"/>
        <v/>
      </c>
      <c r="J533" s="50" t="str">
        <f>IF(P533="","",IFERROR(ROUND(CHOOSE(VALUE(RIGHT(P533,1)),IF(MIERCOLES!C193="peso_corporal",IF(ISNUMBER(MIERCOLES!E193),MIERCOLES!E193,0)+MIERCOLES!F193,MIERCOLES!F193)*MIERCOLES!G193,IF(MIERCOLES!C193="peso_corporal",IF(ISNUMBER(MIERCOLES!E193),MIERCOLES!E193,0)+MIERCOLES!I193,MIERCOLES!I193)*MIERCOLES!J193,IF(MIERCOLES!C193="peso_corporal",IF(ISNUMBER(MIERCOLES!E193),MIERCOLES!E193,0)+MIERCOLES!L193,MIERCOLES!L193)*MIERCOLES!M193,IF(MIERCOLES!C193="peso_corporal",IF(ISNUMBER(MIERCOLES!E193),MIERCOLES!E193,0)+MIERCOLES!O193,MIERCOLES!O193)*MIERCOLES!P193,IF(MIERCOLES!C193="peso_corporal",IF(ISNUMBER(MIERCOLES!E193),MIERCOLES!E193,0)+MIERCOLES!R193,MIERCOLES!R193)*MIERCOLES!S193),1),""))</f>
        <v/>
      </c>
      <c r="K533" s="51" t="str">
        <f>IF(P533="","",IFERROR(ROUND(CHOOSE(VALUE(RIGHT(P533,1)),(IF(MIERCOLES!C193="peso_corporal",IF(ISNUMBER(MIERCOLES!E193),MIERCOLES!E193,0)+MIERCOLES!F193,MIERCOLES!F193))*(1+MIERCOLES!G193/30),(IF(MIERCOLES!C193="peso_corporal",IF(ISNUMBER(MIERCOLES!E193),MIERCOLES!E193,0)+MIERCOLES!I193,MIERCOLES!I193))*(1+MIERCOLES!J193/30),(IF(MIERCOLES!C193="peso_corporal",IF(ISNUMBER(MIERCOLES!E193),MIERCOLES!E193,0)+MIERCOLES!L193,MIERCOLES!L193))*(1+MIERCOLES!M193/30),(IF(MIERCOLES!C193="peso_corporal",IF(ISNUMBER(MIERCOLES!E193),MIERCOLES!E193,0)+MIERCOLES!O193,MIERCOLES!O193))*(1+MIERCOLES!P193/30),(IF(MIERCOLES!C193="peso_corporal",IF(ISNUMBER(MIERCOLES!E193),MIERCOLES!E193,0)+MIERCOLES!R193,MIERCOLES!R193))*(1+MIERCOLES!S193/30)),1),""))</f>
        <v/>
      </c>
      <c r="L533" s="52">
        <f>IFERROR(MIERCOLES!E193,"")</f>
        <v>80</v>
      </c>
      <c r="M533" s="53" t="str">
        <f>IFERROR(IF(K533="","-",IF(ISNUMBER(LOOKUP(2,1/((HISTORIAL!$O$3:$O$532=O533)*(HISTORIAL!$F$3:$F$532&lt;&gt;"")),HISTORIAL!$K$3:$K$532)),IF(K533&gt;LOOKUP(2,1/((HISTORIAL!$O$3:$O$532=O533)*(HISTORIAL!$F$3:$F$532&lt;&gt;"")),HISTORIAL!$K$3:$K$532),"^",IF(K533&lt;LOOKUP(2,1/((HISTORIAL!$O$3:$O$532=O533)*(HISTORIAL!$F$3:$F$532&lt;&gt;"")),HISTORIAL!$K$3:$K$532),"v","-")),"-")),"-")</f>
        <v>-</v>
      </c>
      <c r="N533" s="54" t="str">
        <f>IFERROR(VLOOKUP(A533,CONFIG!$A$10:$B$21,2,0),"")</f>
        <v>FUE</v>
      </c>
      <c r="O533" s="55" t="str">
        <f t="shared" si="17"/>
        <v>Prensa Pierna|Individual Horizontal</v>
      </c>
      <c r="P533" s="69" t="str">
        <f>MIERCOLES!AC193</f>
        <v/>
      </c>
    </row>
    <row r="534" spans="1:16" ht="14.1" customHeight="1">
      <c r="A534" s="37">
        <v>9</v>
      </c>
      <c r="B534" s="37" t="s">
        <v>279</v>
      </c>
      <c r="C534" s="44" t="str">
        <f>MIERCOLES!$A$194</f>
        <v>Extension Cuadriceps</v>
      </c>
      <c r="D534" s="45" t="str">
        <f>MIERCOLES!$B$194</f>
        <v>Vasto Externo</v>
      </c>
      <c r="E534" s="37" t="str">
        <f>MIERCOLES!$C$194</f>
        <v>--</v>
      </c>
      <c r="F534" s="46" t="str">
        <f>IF(P534="","",IFERROR(CHOOSE(VALUE(RIGHT(P534,1)),MIERCOLES!F194,MIERCOLES!I194,MIERCOLES!L194,MIERCOLES!O194,MIERCOLES!R194),""))</f>
        <v/>
      </c>
      <c r="G534" s="47" t="str">
        <f>IF(P534="","",IFERROR(CHOOSE(VALUE(RIGHT(P534,1)),MIERCOLES!G194,MIERCOLES!J194,MIERCOLES!M194,MIERCOLES!P194,MIERCOLES!S194),""))</f>
        <v/>
      </c>
      <c r="H534" s="48" t="str">
        <f>IF(P534="","",IFERROR(CHOOSE(VALUE(RIGHT(P534,1)),MIERCOLES!H194,MIERCOLES!K194,MIERCOLES!N194,MIERCOLES!Q194,MIERCOLES!T194),""))</f>
        <v/>
      </c>
      <c r="I534" s="49" t="str">
        <f t="shared" si="16"/>
        <v/>
      </c>
      <c r="J534" s="50" t="str">
        <f>IF(P534="","",IFERROR(ROUND(CHOOSE(VALUE(RIGHT(P534,1)),IF(MIERCOLES!C194="peso_corporal",IF(ISNUMBER(MIERCOLES!E194),MIERCOLES!E194,0)+MIERCOLES!F194,MIERCOLES!F194)*MIERCOLES!G194,IF(MIERCOLES!C194="peso_corporal",IF(ISNUMBER(MIERCOLES!E194),MIERCOLES!E194,0)+MIERCOLES!I194,MIERCOLES!I194)*MIERCOLES!J194,IF(MIERCOLES!C194="peso_corporal",IF(ISNUMBER(MIERCOLES!E194),MIERCOLES!E194,0)+MIERCOLES!L194,MIERCOLES!L194)*MIERCOLES!M194,IF(MIERCOLES!C194="peso_corporal",IF(ISNUMBER(MIERCOLES!E194),MIERCOLES!E194,0)+MIERCOLES!O194,MIERCOLES!O194)*MIERCOLES!P194,IF(MIERCOLES!C194="peso_corporal",IF(ISNUMBER(MIERCOLES!E194),MIERCOLES!E194,0)+MIERCOLES!R194,MIERCOLES!R194)*MIERCOLES!S194),1),""))</f>
        <v/>
      </c>
      <c r="K534" s="51" t="str">
        <f>IF(P534="","",IFERROR(ROUND(CHOOSE(VALUE(RIGHT(P534,1)),(IF(MIERCOLES!C194="peso_corporal",IF(ISNUMBER(MIERCOLES!E194),MIERCOLES!E194,0)+MIERCOLES!F194,MIERCOLES!F194))*(1+MIERCOLES!G194/30),(IF(MIERCOLES!C194="peso_corporal",IF(ISNUMBER(MIERCOLES!E194),MIERCOLES!E194,0)+MIERCOLES!I194,MIERCOLES!I194))*(1+MIERCOLES!J194/30),(IF(MIERCOLES!C194="peso_corporal",IF(ISNUMBER(MIERCOLES!E194),MIERCOLES!E194,0)+MIERCOLES!L194,MIERCOLES!L194))*(1+MIERCOLES!M194/30),(IF(MIERCOLES!C194="peso_corporal",IF(ISNUMBER(MIERCOLES!E194),MIERCOLES!E194,0)+MIERCOLES!O194,MIERCOLES!O194))*(1+MIERCOLES!P194/30),(IF(MIERCOLES!C194="peso_corporal",IF(ISNUMBER(MIERCOLES!E194),MIERCOLES!E194,0)+MIERCOLES!R194,MIERCOLES!R194))*(1+MIERCOLES!S194/30)),1),""))</f>
        <v/>
      </c>
      <c r="L534" s="52">
        <f>IFERROR(MIERCOLES!E194,"")</f>
        <v>80</v>
      </c>
      <c r="M534" s="53" t="str">
        <f>IFERROR(IF(K534="","-",IF(ISNUMBER(LOOKUP(2,1/((HISTORIAL!$O$3:$O$533=O534)*(HISTORIAL!$F$3:$F$533&lt;&gt;"")),HISTORIAL!$K$3:$K$533)),IF(K534&gt;LOOKUP(2,1/((HISTORIAL!$O$3:$O$533=O534)*(HISTORIAL!$F$3:$F$533&lt;&gt;"")),HISTORIAL!$K$3:$K$533),"^",IF(K534&lt;LOOKUP(2,1/((HISTORIAL!$O$3:$O$533=O534)*(HISTORIAL!$F$3:$F$533&lt;&gt;"")),HISTORIAL!$K$3:$K$533),"v","-")),"-")),"-")</f>
        <v>-</v>
      </c>
      <c r="N534" s="54" t="str">
        <f>IFERROR(VLOOKUP(A534,CONFIG!$A$10:$B$21,2,0),"")</f>
        <v>FUE</v>
      </c>
      <c r="O534" s="55" t="str">
        <f t="shared" si="17"/>
        <v>Extension Cuadriceps|Vasto Externo</v>
      </c>
      <c r="P534" s="69" t="str">
        <f>MIERCOLES!AC194</f>
        <v/>
      </c>
    </row>
    <row r="535" spans="1:16" ht="14.1" customHeight="1">
      <c r="A535" s="37">
        <v>9</v>
      </c>
      <c r="B535" s="37" t="s">
        <v>279</v>
      </c>
      <c r="C535" s="44" t="str">
        <f>MIERCOLES!$A$195</f>
        <v>Extension Cuadriceps</v>
      </c>
      <c r="D535" s="45" t="str">
        <f>MIERCOLES!$B$195</f>
        <v>Vasto Interno</v>
      </c>
      <c r="E535" s="37" t="str">
        <f>MIERCOLES!$C$195</f>
        <v>--</v>
      </c>
      <c r="F535" s="46" t="str">
        <f>IF(P535="","",IFERROR(CHOOSE(VALUE(RIGHT(P535,1)),MIERCOLES!F195,MIERCOLES!I195,MIERCOLES!L195,MIERCOLES!O195,MIERCOLES!R195),""))</f>
        <v/>
      </c>
      <c r="G535" s="47" t="str">
        <f>IF(P535="","",IFERROR(CHOOSE(VALUE(RIGHT(P535,1)),MIERCOLES!G195,MIERCOLES!J195,MIERCOLES!M195,MIERCOLES!P195,MIERCOLES!S195),""))</f>
        <v/>
      </c>
      <c r="H535" s="48" t="str">
        <f>IF(P535="","",IFERROR(CHOOSE(VALUE(RIGHT(P535,1)),MIERCOLES!H195,MIERCOLES!K195,MIERCOLES!N195,MIERCOLES!Q195,MIERCOLES!T195),""))</f>
        <v/>
      </c>
      <c r="I535" s="49" t="str">
        <f t="shared" si="16"/>
        <v/>
      </c>
      <c r="J535" s="50" t="str">
        <f>IF(P535="","",IFERROR(ROUND(CHOOSE(VALUE(RIGHT(P535,1)),IF(MIERCOLES!C195="peso_corporal",IF(ISNUMBER(MIERCOLES!E195),MIERCOLES!E195,0)+MIERCOLES!F195,MIERCOLES!F195)*MIERCOLES!G195,IF(MIERCOLES!C195="peso_corporal",IF(ISNUMBER(MIERCOLES!E195),MIERCOLES!E195,0)+MIERCOLES!I195,MIERCOLES!I195)*MIERCOLES!J195,IF(MIERCOLES!C195="peso_corporal",IF(ISNUMBER(MIERCOLES!E195),MIERCOLES!E195,0)+MIERCOLES!L195,MIERCOLES!L195)*MIERCOLES!M195,IF(MIERCOLES!C195="peso_corporal",IF(ISNUMBER(MIERCOLES!E195),MIERCOLES!E195,0)+MIERCOLES!O195,MIERCOLES!O195)*MIERCOLES!P195,IF(MIERCOLES!C195="peso_corporal",IF(ISNUMBER(MIERCOLES!E195),MIERCOLES!E195,0)+MIERCOLES!R195,MIERCOLES!R195)*MIERCOLES!S195),1),""))</f>
        <v/>
      </c>
      <c r="K535" s="51" t="str">
        <f>IF(P535="","",IFERROR(ROUND(CHOOSE(VALUE(RIGHT(P535,1)),(IF(MIERCOLES!C195="peso_corporal",IF(ISNUMBER(MIERCOLES!E195),MIERCOLES!E195,0)+MIERCOLES!F195,MIERCOLES!F195))*(1+MIERCOLES!G195/30),(IF(MIERCOLES!C195="peso_corporal",IF(ISNUMBER(MIERCOLES!E195),MIERCOLES!E195,0)+MIERCOLES!I195,MIERCOLES!I195))*(1+MIERCOLES!J195/30),(IF(MIERCOLES!C195="peso_corporal",IF(ISNUMBER(MIERCOLES!E195),MIERCOLES!E195,0)+MIERCOLES!L195,MIERCOLES!L195))*(1+MIERCOLES!M195/30),(IF(MIERCOLES!C195="peso_corporal",IF(ISNUMBER(MIERCOLES!E195),MIERCOLES!E195,0)+MIERCOLES!O195,MIERCOLES!O195))*(1+MIERCOLES!P195/30),(IF(MIERCOLES!C195="peso_corporal",IF(ISNUMBER(MIERCOLES!E195),MIERCOLES!E195,0)+MIERCOLES!R195,MIERCOLES!R195))*(1+MIERCOLES!S195/30)),1),""))</f>
        <v/>
      </c>
      <c r="L535" s="52">
        <f>IFERROR(MIERCOLES!E195,"")</f>
        <v>80</v>
      </c>
      <c r="M535" s="53" t="str">
        <f>IFERROR(IF(K535="","-",IF(ISNUMBER(LOOKUP(2,1/((HISTORIAL!$O$3:$O$534=O535)*(HISTORIAL!$F$3:$F$534&lt;&gt;"")),HISTORIAL!$K$3:$K$534)),IF(K535&gt;LOOKUP(2,1/((HISTORIAL!$O$3:$O$534=O535)*(HISTORIAL!$F$3:$F$534&lt;&gt;"")),HISTORIAL!$K$3:$K$534),"^",IF(K535&lt;LOOKUP(2,1/((HISTORIAL!$O$3:$O$534=O535)*(HISTORIAL!$F$3:$F$534&lt;&gt;"")),HISTORIAL!$K$3:$K$534),"v","-")),"-")),"-")</f>
        <v>-</v>
      </c>
      <c r="N535" s="54" t="str">
        <f>IFERROR(VLOOKUP(A535,CONFIG!$A$10:$B$21,2,0),"")</f>
        <v>FUE</v>
      </c>
      <c r="O535" s="55" t="str">
        <f t="shared" si="17"/>
        <v>Extension Cuadriceps|Vasto Interno</v>
      </c>
      <c r="P535" s="69" t="str">
        <f>MIERCOLES!AC195</f>
        <v/>
      </c>
    </row>
    <row r="536" spans="1:16" ht="14.1" customHeight="1">
      <c r="A536" s="37">
        <v>9</v>
      </c>
      <c r="B536" s="37" t="s">
        <v>279</v>
      </c>
      <c r="C536" s="44" t="str">
        <f>MIERCOLES!$A$197</f>
        <v>Elevacion Gemelo</v>
      </c>
      <c r="D536" s="45" t="str">
        <f>MIERCOLES!$B$197</f>
        <v>Sentado</v>
      </c>
      <c r="E536" s="37" t="str">
        <f>MIERCOLES!$C$197</f>
        <v>disco</v>
      </c>
      <c r="F536" s="46" t="str">
        <f>IF(P536="","",IFERROR(CHOOSE(VALUE(RIGHT(P536,1)),MIERCOLES!F197,MIERCOLES!I197,MIERCOLES!L197,MIERCOLES!O197,MIERCOLES!R197),""))</f>
        <v/>
      </c>
      <c r="G536" s="47" t="str">
        <f>IF(P536="","",IFERROR(CHOOSE(VALUE(RIGHT(P536,1)),MIERCOLES!G197,MIERCOLES!J197,MIERCOLES!M197,MIERCOLES!P197,MIERCOLES!S197),""))</f>
        <v/>
      </c>
      <c r="H536" s="48" t="str">
        <f>IF(P536="","",IFERROR(CHOOSE(VALUE(RIGHT(P536,1)),MIERCOLES!H197,MIERCOLES!K197,MIERCOLES!N197,MIERCOLES!Q197,MIERCOLES!T197),""))</f>
        <v/>
      </c>
      <c r="I536" s="49" t="str">
        <f t="shared" si="16"/>
        <v/>
      </c>
      <c r="J536" s="50" t="str">
        <f>IF(P536="","",IFERROR(ROUND(CHOOSE(VALUE(RIGHT(P536,1)),IF(MIERCOLES!C197="peso_corporal",IF(ISNUMBER(MIERCOLES!E197),MIERCOLES!E197,0)+MIERCOLES!F197,MIERCOLES!F197)*MIERCOLES!G197,IF(MIERCOLES!C197="peso_corporal",IF(ISNUMBER(MIERCOLES!E197),MIERCOLES!E197,0)+MIERCOLES!I197,MIERCOLES!I197)*MIERCOLES!J197,IF(MIERCOLES!C197="peso_corporal",IF(ISNUMBER(MIERCOLES!E197),MIERCOLES!E197,0)+MIERCOLES!L197,MIERCOLES!L197)*MIERCOLES!M197,IF(MIERCOLES!C197="peso_corporal",IF(ISNUMBER(MIERCOLES!E197),MIERCOLES!E197,0)+MIERCOLES!O197,MIERCOLES!O197)*MIERCOLES!P197,IF(MIERCOLES!C197="peso_corporal",IF(ISNUMBER(MIERCOLES!E197),MIERCOLES!E197,0)+MIERCOLES!R197,MIERCOLES!R197)*MIERCOLES!S197),1),""))</f>
        <v/>
      </c>
      <c r="K536" s="51" t="str">
        <f>IF(P536="","",IFERROR(ROUND(CHOOSE(VALUE(RIGHT(P536,1)),(IF(MIERCOLES!C197="peso_corporal",IF(ISNUMBER(MIERCOLES!E197),MIERCOLES!E197,0)+MIERCOLES!F197,MIERCOLES!F197))*(1+MIERCOLES!G197/30),(IF(MIERCOLES!C197="peso_corporal",IF(ISNUMBER(MIERCOLES!E197),MIERCOLES!E197,0)+MIERCOLES!I197,MIERCOLES!I197))*(1+MIERCOLES!J197/30),(IF(MIERCOLES!C197="peso_corporal",IF(ISNUMBER(MIERCOLES!E197),MIERCOLES!E197,0)+MIERCOLES!L197,MIERCOLES!L197))*(1+MIERCOLES!M197/30),(IF(MIERCOLES!C197="peso_corporal",IF(ISNUMBER(MIERCOLES!E197),MIERCOLES!E197,0)+MIERCOLES!O197,MIERCOLES!O197))*(1+MIERCOLES!P197/30),(IF(MIERCOLES!C197="peso_corporal",IF(ISNUMBER(MIERCOLES!E197),MIERCOLES!E197,0)+MIERCOLES!R197,MIERCOLES!R197))*(1+MIERCOLES!S197/30)),1),""))</f>
        <v/>
      </c>
      <c r="L536" s="52">
        <f>IFERROR(MIERCOLES!E197,"")</f>
        <v>80</v>
      </c>
      <c r="M536" s="53" t="str">
        <f>IFERROR(IF(K536="","-",IF(ISNUMBER(LOOKUP(2,1/((HISTORIAL!$O$3:$O$535=O536)*(HISTORIAL!$F$3:$F$535&lt;&gt;"")),HISTORIAL!$K$3:$K$535)),IF(K536&gt;LOOKUP(2,1/((HISTORIAL!$O$3:$O$535=O536)*(HISTORIAL!$F$3:$F$535&lt;&gt;"")),HISTORIAL!$K$3:$K$535),"^",IF(K536&lt;LOOKUP(2,1/((HISTORIAL!$O$3:$O$535=O536)*(HISTORIAL!$F$3:$F$535&lt;&gt;"")),HISTORIAL!$K$3:$K$535),"v","-")),"-")),"-")</f>
        <v>-</v>
      </c>
      <c r="N536" s="54" t="str">
        <f>IFERROR(VLOOKUP(A536,CONFIG!$A$10:$B$21,2,0),"")</f>
        <v>FUE</v>
      </c>
      <c r="O536" s="55" t="str">
        <f t="shared" si="17"/>
        <v>Elevacion Gemelo|Sentado</v>
      </c>
      <c r="P536" s="69" t="str">
        <f>MIERCOLES!AC197</f>
        <v/>
      </c>
    </row>
    <row r="537" spans="1:16" ht="14.1" customHeight="1">
      <c r="A537" s="37">
        <v>9</v>
      </c>
      <c r="B537" s="37" t="s">
        <v>279</v>
      </c>
      <c r="C537" s="44" t="str">
        <f>MIERCOLES!$A$198</f>
        <v>Elevacion Gemelo</v>
      </c>
      <c r="D537" s="45" t="str">
        <f>MIERCOLES!$B$198</f>
        <v>De Pie</v>
      </c>
      <c r="E537" s="37" t="str">
        <f>MIERCOLES!$C$198</f>
        <v>disco</v>
      </c>
      <c r="F537" s="46" t="str">
        <f>IF(P537="","",IFERROR(CHOOSE(VALUE(RIGHT(P537,1)),MIERCOLES!F198,MIERCOLES!I198,MIERCOLES!L198,MIERCOLES!O198,MIERCOLES!R198),""))</f>
        <v/>
      </c>
      <c r="G537" s="47" t="str">
        <f>IF(P537="","",IFERROR(CHOOSE(VALUE(RIGHT(P537,1)),MIERCOLES!G198,MIERCOLES!J198,MIERCOLES!M198,MIERCOLES!P198,MIERCOLES!S198),""))</f>
        <v/>
      </c>
      <c r="H537" s="48" t="str">
        <f>IF(P537="","",IFERROR(CHOOSE(VALUE(RIGHT(P537,1)),MIERCOLES!H198,MIERCOLES!K198,MIERCOLES!N198,MIERCOLES!Q198,MIERCOLES!T198),""))</f>
        <v/>
      </c>
      <c r="I537" s="49" t="str">
        <f t="shared" si="16"/>
        <v/>
      </c>
      <c r="J537" s="50" t="str">
        <f>IF(P537="","",IFERROR(ROUND(CHOOSE(VALUE(RIGHT(P537,1)),IF(MIERCOLES!C198="peso_corporal",IF(ISNUMBER(MIERCOLES!E198),MIERCOLES!E198,0)+MIERCOLES!F198,MIERCOLES!F198)*MIERCOLES!G198,IF(MIERCOLES!C198="peso_corporal",IF(ISNUMBER(MIERCOLES!E198),MIERCOLES!E198,0)+MIERCOLES!I198,MIERCOLES!I198)*MIERCOLES!J198,IF(MIERCOLES!C198="peso_corporal",IF(ISNUMBER(MIERCOLES!E198),MIERCOLES!E198,0)+MIERCOLES!L198,MIERCOLES!L198)*MIERCOLES!M198,IF(MIERCOLES!C198="peso_corporal",IF(ISNUMBER(MIERCOLES!E198),MIERCOLES!E198,0)+MIERCOLES!O198,MIERCOLES!O198)*MIERCOLES!P198,IF(MIERCOLES!C198="peso_corporal",IF(ISNUMBER(MIERCOLES!E198),MIERCOLES!E198,0)+MIERCOLES!R198,MIERCOLES!R198)*MIERCOLES!S198),1),""))</f>
        <v/>
      </c>
      <c r="K537" s="51" t="str">
        <f>IF(P537="","",IFERROR(ROUND(CHOOSE(VALUE(RIGHT(P537,1)),(IF(MIERCOLES!C198="peso_corporal",IF(ISNUMBER(MIERCOLES!E198),MIERCOLES!E198,0)+MIERCOLES!F198,MIERCOLES!F198))*(1+MIERCOLES!G198/30),(IF(MIERCOLES!C198="peso_corporal",IF(ISNUMBER(MIERCOLES!E198),MIERCOLES!E198,0)+MIERCOLES!I198,MIERCOLES!I198))*(1+MIERCOLES!J198/30),(IF(MIERCOLES!C198="peso_corporal",IF(ISNUMBER(MIERCOLES!E198),MIERCOLES!E198,0)+MIERCOLES!L198,MIERCOLES!L198))*(1+MIERCOLES!M198/30),(IF(MIERCOLES!C198="peso_corporal",IF(ISNUMBER(MIERCOLES!E198),MIERCOLES!E198,0)+MIERCOLES!O198,MIERCOLES!O198))*(1+MIERCOLES!P198/30),(IF(MIERCOLES!C198="peso_corporal",IF(ISNUMBER(MIERCOLES!E198),MIERCOLES!E198,0)+MIERCOLES!R198,MIERCOLES!R198))*(1+MIERCOLES!S198/30)),1),""))</f>
        <v/>
      </c>
      <c r="L537" s="52">
        <f>IFERROR(MIERCOLES!E198,"")</f>
        <v>80</v>
      </c>
      <c r="M537" s="53" t="str">
        <f>IFERROR(IF(K537="","-",IF(ISNUMBER(LOOKUP(2,1/((HISTORIAL!$O$3:$O$536=O537)*(HISTORIAL!$F$3:$F$536&lt;&gt;"")),HISTORIAL!$K$3:$K$536)),IF(K537&gt;LOOKUP(2,1/((HISTORIAL!$O$3:$O$536=O537)*(HISTORIAL!$F$3:$F$536&lt;&gt;"")),HISTORIAL!$K$3:$K$536),"^",IF(K537&lt;LOOKUP(2,1/((HISTORIAL!$O$3:$O$536=O537)*(HISTORIAL!$F$3:$F$536&lt;&gt;"")),HISTORIAL!$K$3:$K$536),"v","-")),"-")),"-")</f>
        <v>-</v>
      </c>
      <c r="N537" s="54" t="str">
        <f>IFERROR(VLOOKUP(A537,CONFIG!$A$10:$B$21,2,0),"")</f>
        <v>FUE</v>
      </c>
      <c r="O537" s="55" t="str">
        <f t="shared" si="17"/>
        <v>Elevacion Gemelo|De Pie</v>
      </c>
      <c r="P537" s="69" t="str">
        <f>MIERCOLES!AC198</f>
        <v/>
      </c>
    </row>
    <row r="538" spans="1:16" ht="14.1" customHeight="1">
      <c r="A538" s="37">
        <v>9</v>
      </c>
      <c r="B538" s="37" t="s">
        <v>279</v>
      </c>
      <c r="C538" s="44" t="str">
        <f>MIERCOLES!$A$200</f>
        <v>Hiperextension</v>
      </c>
      <c r="D538" s="45" t="str">
        <f>MIERCOLES!$B$200</f>
        <v>Banco Romano</v>
      </c>
      <c r="E538" s="37" t="str">
        <f>MIERCOLES!$C$200</f>
        <v>peso_corporal</v>
      </c>
      <c r="F538" s="46" t="str">
        <f>IF(P538="","",IFERROR(CHOOSE(VALUE(RIGHT(P538,1)),MIERCOLES!F200,MIERCOLES!I200,MIERCOLES!L200,MIERCOLES!O200,MIERCOLES!R200),""))</f>
        <v/>
      </c>
      <c r="G538" s="47" t="str">
        <f>IF(P538="","",IFERROR(CHOOSE(VALUE(RIGHT(P538,1)),MIERCOLES!G200,MIERCOLES!J200,MIERCOLES!M200,MIERCOLES!P200,MIERCOLES!S200),""))</f>
        <v/>
      </c>
      <c r="H538" s="48" t="str">
        <f>IF(P538="","",IFERROR(CHOOSE(VALUE(RIGHT(P538,1)),MIERCOLES!H200,MIERCOLES!K200,MIERCOLES!N200,MIERCOLES!Q200,MIERCOLES!T200),""))</f>
        <v/>
      </c>
      <c r="I538" s="49" t="str">
        <f t="shared" si="16"/>
        <v/>
      </c>
      <c r="J538" s="50" t="str">
        <f>IF(P538="","",IFERROR(ROUND(CHOOSE(VALUE(RIGHT(P538,1)),IF(MIERCOLES!C200="peso_corporal",IF(ISNUMBER(MIERCOLES!E200),MIERCOLES!E200,0)+MIERCOLES!F200,MIERCOLES!F200)*MIERCOLES!G200,IF(MIERCOLES!C200="peso_corporal",IF(ISNUMBER(MIERCOLES!E200),MIERCOLES!E200,0)+MIERCOLES!I200,MIERCOLES!I200)*MIERCOLES!J200,IF(MIERCOLES!C200="peso_corporal",IF(ISNUMBER(MIERCOLES!E200),MIERCOLES!E200,0)+MIERCOLES!L200,MIERCOLES!L200)*MIERCOLES!M200,IF(MIERCOLES!C200="peso_corporal",IF(ISNUMBER(MIERCOLES!E200),MIERCOLES!E200,0)+MIERCOLES!O200,MIERCOLES!O200)*MIERCOLES!P200,IF(MIERCOLES!C200="peso_corporal",IF(ISNUMBER(MIERCOLES!E200),MIERCOLES!E200,0)+MIERCOLES!R200,MIERCOLES!R200)*MIERCOLES!S200),1),""))</f>
        <v/>
      </c>
      <c r="K538" s="51" t="str">
        <f>IF(P538="","",IFERROR(ROUND(CHOOSE(VALUE(RIGHT(P538,1)),(IF(MIERCOLES!C200="peso_corporal",IF(ISNUMBER(MIERCOLES!E200),MIERCOLES!E200,0)+MIERCOLES!F200,MIERCOLES!F200))*(1+MIERCOLES!G200/30),(IF(MIERCOLES!C200="peso_corporal",IF(ISNUMBER(MIERCOLES!E200),MIERCOLES!E200,0)+MIERCOLES!I200,MIERCOLES!I200))*(1+MIERCOLES!J200/30),(IF(MIERCOLES!C200="peso_corporal",IF(ISNUMBER(MIERCOLES!E200),MIERCOLES!E200,0)+MIERCOLES!L200,MIERCOLES!L200))*(1+MIERCOLES!M200/30),(IF(MIERCOLES!C200="peso_corporal",IF(ISNUMBER(MIERCOLES!E200),MIERCOLES!E200,0)+MIERCOLES!O200,MIERCOLES!O200))*(1+MIERCOLES!P200/30),(IF(MIERCOLES!C200="peso_corporal",IF(ISNUMBER(MIERCOLES!E200),MIERCOLES!E200,0)+MIERCOLES!R200,MIERCOLES!R200))*(1+MIERCOLES!S200/30)),1),""))</f>
        <v/>
      </c>
      <c r="L538" s="52">
        <f>IFERROR(MIERCOLES!E200,"")</f>
        <v>80</v>
      </c>
      <c r="M538" s="53" t="str">
        <f>IFERROR(IF(K538="","-",IF(ISNUMBER(LOOKUP(2,1/((HISTORIAL!$O$3:$O$537=O538)*(HISTORIAL!$F$3:$F$537&lt;&gt;"")),HISTORIAL!$K$3:$K$537)),IF(K538&gt;LOOKUP(2,1/((HISTORIAL!$O$3:$O$537=O538)*(HISTORIAL!$F$3:$F$537&lt;&gt;"")),HISTORIAL!$K$3:$K$537),"^",IF(K538&lt;LOOKUP(2,1/((HISTORIAL!$O$3:$O$537=O538)*(HISTORIAL!$F$3:$F$537&lt;&gt;"")),HISTORIAL!$K$3:$K$537),"v","-")),"-")),"-")</f>
        <v>-</v>
      </c>
      <c r="N538" s="54" t="str">
        <f>IFERROR(VLOOKUP(A538,CONFIG!$A$10:$B$21,2,0),"")</f>
        <v>FUE</v>
      </c>
      <c r="O538" s="55" t="str">
        <f t="shared" si="17"/>
        <v>Hiperextension|Banco Romano</v>
      </c>
      <c r="P538" s="69" t="str">
        <f>MIERCOLES!AC200</f>
        <v/>
      </c>
    </row>
    <row r="539" spans="1:16" ht="14.1" customHeight="1">
      <c r="A539" s="37">
        <v>9</v>
      </c>
      <c r="B539" s="37" t="s">
        <v>279</v>
      </c>
      <c r="C539" s="44" t="str">
        <f>MIERCOLES!$A$201</f>
        <v>Peso Muerto Parcial</v>
      </c>
      <c r="D539" s="45" t="str">
        <f>MIERCOLES!$B$201</f>
        <v>Barra</v>
      </c>
      <c r="E539" s="37" t="str">
        <f>MIERCOLES!$C$201</f>
        <v>disco</v>
      </c>
      <c r="F539" s="46" t="str">
        <f>IF(P539="","",IFERROR(CHOOSE(VALUE(RIGHT(P539,1)),MIERCOLES!F201,MIERCOLES!I201,MIERCOLES!L201,MIERCOLES!O201,MIERCOLES!R201),""))</f>
        <v/>
      </c>
      <c r="G539" s="47" t="str">
        <f>IF(P539="","",IFERROR(CHOOSE(VALUE(RIGHT(P539,1)),MIERCOLES!G201,MIERCOLES!J201,MIERCOLES!M201,MIERCOLES!P201,MIERCOLES!S201),""))</f>
        <v/>
      </c>
      <c r="H539" s="48" t="str">
        <f>IF(P539="","",IFERROR(CHOOSE(VALUE(RIGHT(P539,1)),MIERCOLES!H201,MIERCOLES!K201,MIERCOLES!N201,MIERCOLES!Q201,MIERCOLES!T201),""))</f>
        <v/>
      </c>
      <c r="I539" s="49" t="str">
        <f t="shared" si="16"/>
        <v/>
      </c>
      <c r="J539" s="50" t="str">
        <f>IF(P539="","",IFERROR(ROUND(CHOOSE(VALUE(RIGHT(P539,1)),IF(MIERCOLES!C201="peso_corporal",IF(ISNUMBER(MIERCOLES!E201),MIERCOLES!E201,0)+MIERCOLES!F201,MIERCOLES!F201)*MIERCOLES!G201,IF(MIERCOLES!C201="peso_corporal",IF(ISNUMBER(MIERCOLES!E201),MIERCOLES!E201,0)+MIERCOLES!I201,MIERCOLES!I201)*MIERCOLES!J201,IF(MIERCOLES!C201="peso_corporal",IF(ISNUMBER(MIERCOLES!E201),MIERCOLES!E201,0)+MIERCOLES!L201,MIERCOLES!L201)*MIERCOLES!M201,IF(MIERCOLES!C201="peso_corporal",IF(ISNUMBER(MIERCOLES!E201),MIERCOLES!E201,0)+MIERCOLES!O201,MIERCOLES!O201)*MIERCOLES!P201,IF(MIERCOLES!C201="peso_corporal",IF(ISNUMBER(MIERCOLES!E201),MIERCOLES!E201,0)+MIERCOLES!R201,MIERCOLES!R201)*MIERCOLES!S201),1),""))</f>
        <v/>
      </c>
      <c r="K539" s="51" t="str">
        <f>IF(P539="","",IFERROR(ROUND(CHOOSE(VALUE(RIGHT(P539,1)),(IF(MIERCOLES!C201="peso_corporal",IF(ISNUMBER(MIERCOLES!E201),MIERCOLES!E201,0)+MIERCOLES!F201,MIERCOLES!F201))*(1+MIERCOLES!G201/30),(IF(MIERCOLES!C201="peso_corporal",IF(ISNUMBER(MIERCOLES!E201),MIERCOLES!E201,0)+MIERCOLES!I201,MIERCOLES!I201))*(1+MIERCOLES!J201/30),(IF(MIERCOLES!C201="peso_corporal",IF(ISNUMBER(MIERCOLES!E201),MIERCOLES!E201,0)+MIERCOLES!L201,MIERCOLES!L201))*(1+MIERCOLES!M201/30),(IF(MIERCOLES!C201="peso_corporal",IF(ISNUMBER(MIERCOLES!E201),MIERCOLES!E201,0)+MIERCOLES!O201,MIERCOLES!O201))*(1+MIERCOLES!P201/30),(IF(MIERCOLES!C201="peso_corporal",IF(ISNUMBER(MIERCOLES!E201),MIERCOLES!E201,0)+MIERCOLES!R201,MIERCOLES!R201))*(1+MIERCOLES!S201/30)),1),""))</f>
        <v/>
      </c>
      <c r="L539" s="52">
        <f>IFERROR(MIERCOLES!E201,"")</f>
        <v>80</v>
      </c>
      <c r="M539" s="53" t="str">
        <f>IFERROR(IF(K539="","-",IF(ISNUMBER(LOOKUP(2,1/((HISTORIAL!$O$3:$O$538=O539)*(HISTORIAL!$F$3:$F$538&lt;&gt;"")),HISTORIAL!$K$3:$K$538)),IF(K539&gt;LOOKUP(2,1/((HISTORIAL!$O$3:$O$538=O539)*(HISTORIAL!$F$3:$F$538&lt;&gt;"")),HISTORIAL!$K$3:$K$538),"^",IF(K539&lt;LOOKUP(2,1/((HISTORIAL!$O$3:$O$538=O539)*(HISTORIAL!$F$3:$F$538&lt;&gt;"")),HISTORIAL!$K$3:$K$538),"v","-")),"-")),"-")</f>
        <v>-</v>
      </c>
      <c r="N539" s="54" t="str">
        <f>IFERROR(VLOOKUP(A539,CONFIG!$A$10:$B$21,2,0),"")</f>
        <v>FUE</v>
      </c>
      <c r="O539" s="55" t="str">
        <f t="shared" si="17"/>
        <v>Peso Muerto Parcial|Barra</v>
      </c>
      <c r="P539" s="69" t="str">
        <f>MIERCOLES!AC201</f>
        <v/>
      </c>
    </row>
    <row r="540" spans="1:16" ht="14.1" customHeight="1">
      <c r="A540" s="37">
        <v>9</v>
      </c>
      <c r="B540" s="37" t="s">
        <v>279</v>
      </c>
      <c r="C540" s="44" t="str">
        <f>MIERCOLES!$A$203</f>
        <v>Crunch</v>
      </c>
      <c r="D540" s="45" t="str">
        <f>MIERCOLES!$B$203</f>
        <v>Polea</v>
      </c>
      <c r="E540" s="37" t="str">
        <f>MIERCOLES!$C$203</f>
        <v>polea</v>
      </c>
      <c r="F540" s="46" t="str">
        <f>IF(P540="","",IFERROR(CHOOSE(VALUE(RIGHT(P540,1)),MIERCOLES!F203,MIERCOLES!I203,MIERCOLES!L203,MIERCOLES!O203,MIERCOLES!R203),""))</f>
        <v/>
      </c>
      <c r="G540" s="47" t="str">
        <f>IF(P540="","",IFERROR(CHOOSE(VALUE(RIGHT(P540,1)),MIERCOLES!G203,MIERCOLES!J203,MIERCOLES!M203,MIERCOLES!P203,MIERCOLES!S203),""))</f>
        <v/>
      </c>
      <c r="H540" s="48" t="str">
        <f>IF(P540="","",IFERROR(CHOOSE(VALUE(RIGHT(P540,1)),MIERCOLES!H203,MIERCOLES!K203,MIERCOLES!N203,MIERCOLES!Q203,MIERCOLES!T203),""))</f>
        <v/>
      </c>
      <c r="I540" s="49" t="str">
        <f t="shared" si="16"/>
        <v/>
      </c>
      <c r="J540" s="50" t="str">
        <f>IF(P540="","",IFERROR(ROUND(CHOOSE(VALUE(RIGHT(P540,1)),IF(MIERCOLES!C203="peso_corporal",IF(ISNUMBER(MIERCOLES!E203),MIERCOLES!E203,0)+MIERCOLES!F203,MIERCOLES!F203)*MIERCOLES!G203,IF(MIERCOLES!C203="peso_corporal",IF(ISNUMBER(MIERCOLES!E203),MIERCOLES!E203,0)+MIERCOLES!I203,MIERCOLES!I203)*MIERCOLES!J203,IF(MIERCOLES!C203="peso_corporal",IF(ISNUMBER(MIERCOLES!E203),MIERCOLES!E203,0)+MIERCOLES!L203,MIERCOLES!L203)*MIERCOLES!M203,IF(MIERCOLES!C203="peso_corporal",IF(ISNUMBER(MIERCOLES!E203),MIERCOLES!E203,0)+MIERCOLES!O203,MIERCOLES!O203)*MIERCOLES!P203,IF(MIERCOLES!C203="peso_corporal",IF(ISNUMBER(MIERCOLES!E203),MIERCOLES!E203,0)+MIERCOLES!R203,MIERCOLES!R203)*MIERCOLES!S203),1),""))</f>
        <v/>
      </c>
      <c r="K540" s="51" t="str">
        <f>IF(P540="","",IFERROR(ROUND(CHOOSE(VALUE(RIGHT(P540,1)),(IF(MIERCOLES!C203="peso_corporal",IF(ISNUMBER(MIERCOLES!E203),MIERCOLES!E203,0)+MIERCOLES!F203,MIERCOLES!F203))*(1+MIERCOLES!G203/30),(IF(MIERCOLES!C203="peso_corporal",IF(ISNUMBER(MIERCOLES!E203),MIERCOLES!E203,0)+MIERCOLES!I203,MIERCOLES!I203))*(1+MIERCOLES!J203/30),(IF(MIERCOLES!C203="peso_corporal",IF(ISNUMBER(MIERCOLES!E203),MIERCOLES!E203,0)+MIERCOLES!L203,MIERCOLES!L203))*(1+MIERCOLES!M203/30),(IF(MIERCOLES!C203="peso_corporal",IF(ISNUMBER(MIERCOLES!E203),MIERCOLES!E203,0)+MIERCOLES!O203,MIERCOLES!O203))*(1+MIERCOLES!P203/30),(IF(MIERCOLES!C203="peso_corporal",IF(ISNUMBER(MIERCOLES!E203),MIERCOLES!E203,0)+MIERCOLES!R203,MIERCOLES!R203))*(1+MIERCOLES!S203/30)),1),""))</f>
        <v/>
      </c>
      <c r="L540" s="52">
        <f>IFERROR(MIERCOLES!E203,"")</f>
        <v>80</v>
      </c>
      <c r="M540" s="53" t="str">
        <f>IFERROR(IF(K540="","-",IF(ISNUMBER(LOOKUP(2,1/((HISTORIAL!$O$3:$O$539=O540)*(HISTORIAL!$F$3:$F$539&lt;&gt;"")),HISTORIAL!$K$3:$K$539)),IF(K540&gt;LOOKUP(2,1/((HISTORIAL!$O$3:$O$539=O540)*(HISTORIAL!$F$3:$F$539&lt;&gt;"")),HISTORIAL!$K$3:$K$539),"^",IF(K540&lt;LOOKUP(2,1/((HISTORIAL!$O$3:$O$539=O540)*(HISTORIAL!$F$3:$F$539&lt;&gt;"")),HISTORIAL!$K$3:$K$539),"v","-")),"-")),"-")</f>
        <v>-</v>
      </c>
      <c r="N540" s="54" t="str">
        <f>IFERROR(VLOOKUP(A540,CONFIG!$A$10:$B$21,2,0),"")</f>
        <v>FUE</v>
      </c>
      <c r="O540" s="55" t="str">
        <f t="shared" si="17"/>
        <v>Crunch|Polea</v>
      </c>
      <c r="P540" s="69" t="str">
        <f>MIERCOLES!AC203</f>
        <v/>
      </c>
    </row>
    <row r="541" spans="1:16" ht="14.1" customHeight="1">
      <c r="A541" s="37">
        <v>9</v>
      </c>
      <c r="B541" s="37" t="s">
        <v>279</v>
      </c>
      <c r="C541" s="44" t="str">
        <f>MIERCOLES!$A$204</f>
        <v>Plancha</v>
      </c>
      <c r="D541" s="45" t="str">
        <f>MIERCOLES!$B$204</f>
        <v>Abdominal</v>
      </c>
      <c r="E541" s="37" t="str">
        <f>MIERCOLES!$C$204</f>
        <v>--</v>
      </c>
      <c r="F541" s="46" t="str">
        <f>IF(P541="","",IFERROR(CHOOSE(VALUE(RIGHT(P541,1)),MIERCOLES!F204,MIERCOLES!I204,MIERCOLES!L204,MIERCOLES!O204,MIERCOLES!R204),""))</f>
        <v/>
      </c>
      <c r="G541" s="47" t="str">
        <f>IF(P541="","",IFERROR(CHOOSE(VALUE(RIGHT(P541,1)),MIERCOLES!G204,MIERCOLES!J204,MIERCOLES!M204,MIERCOLES!P204,MIERCOLES!S204),""))</f>
        <v/>
      </c>
      <c r="H541" s="48" t="str">
        <f>IF(P541="","",IFERROR(CHOOSE(VALUE(RIGHT(P541,1)),MIERCOLES!H204,MIERCOLES!K204,MIERCOLES!N204,MIERCOLES!Q204,MIERCOLES!T204),""))</f>
        <v/>
      </c>
      <c r="I541" s="49" t="str">
        <f t="shared" si="16"/>
        <v/>
      </c>
      <c r="J541" s="50" t="str">
        <f>IF(P541="","",IFERROR(ROUND(CHOOSE(VALUE(RIGHT(P541,1)),IF(MIERCOLES!C204="peso_corporal",IF(ISNUMBER(MIERCOLES!E204),MIERCOLES!E204,0)+MIERCOLES!F204,MIERCOLES!F204)*MIERCOLES!G204,IF(MIERCOLES!C204="peso_corporal",IF(ISNUMBER(MIERCOLES!E204),MIERCOLES!E204,0)+MIERCOLES!I204,MIERCOLES!I204)*MIERCOLES!J204,IF(MIERCOLES!C204="peso_corporal",IF(ISNUMBER(MIERCOLES!E204),MIERCOLES!E204,0)+MIERCOLES!L204,MIERCOLES!L204)*MIERCOLES!M204,IF(MIERCOLES!C204="peso_corporal",IF(ISNUMBER(MIERCOLES!E204),MIERCOLES!E204,0)+MIERCOLES!O204,MIERCOLES!O204)*MIERCOLES!P204,IF(MIERCOLES!C204="peso_corporal",IF(ISNUMBER(MIERCOLES!E204),MIERCOLES!E204,0)+MIERCOLES!R204,MIERCOLES!R204)*MIERCOLES!S204),1),""))</f>
        <v/>
      </c>
      <c r="K541" s="51" t="str">
        <f>IF(P541="","",IFERROR(ROUND(CHOOSE(VALUE(RIGHT(P541,1)),(IF(MIERCOLES!C204="peso_corporal",IF(ISNUMBER(MIERCOLES!E204),MIERCOLES!E204,0)+MIERCOLES!F204,MIERCOLES!F204))*(1+MIERCOLES!G204/30),(IF(MIERCOLES!C204="peso_corporal",IF(ISNUMBER(MIERCOLES!E204),MIERCOLES!E204,0)+MIERCOLES!I204,MIERCOLES!I204))*(1+MIERCOLES!J204/30),(IF(MIERCOLES!C204="peso_corporal",IF(ISNUMBER(MIERCOLES!E204),MIERCOLES!E204,0)+MIERCOLES!L204,MIERCOLES!L204))*(1+MIERCOLES!M204/30),(IF(MIERCOLES!C204="peso_corporal",IF(ISNUMBER(MIERCOLES!E204),MIERCOLES!E204,0)+MIERCOLES!O204,MIERCOLES!O204))*(1+MIERCOLES!P204/30),(IF(MIERCOLES!C204="peso_corporal",IF(ISNUMBER(MIERCOLES!E204),MIERCOLES!E204,0)+MIERCOLES!R204,MIERCOLES!R204))*(1+MIERCOLES!S204/30)),1),""))</f>
        <v/>
      </c>
      <c r="L541" s="52">
        <f>IFERROR(MIERCOLES!E204,"")</f>
        <v>80</v>
      </c>
      <c r="M541" s="53" t="str">
        <f>IFERROR(IF(K541="","-",IF(ISNUMBER(LOOKUP(2,1/((HISTORIAL!$O$3:$O$540=O541)*(HISTORIAL!$F$3:$F$540&lt;&gt;"")),HISTORIAL!$K$3:$K$540)),IF(K541&gt;LOOKUP(2,1/((HISTORIAL!$O$3:$O$540=O541)*(HISTORIAL!$F$3:$F$540&lt;&gt;"")),HISTORIAL!$K$3:$K$540),"^",IF(K541&lt;LOOKUP(2,1/((HISTORIAL!$O$3:$O$540=O541)*(HISTORIAL!$F$3:$F$540&lt;&gt;"")),HISTORIAL!$K$3:$K$540),"v","-")),"-")),"-")</f>
        <v>-</v>
      </c>
      <c r="N541" s="54" t="str">
        <f>IFERROR(VLOOKUP(A541,CONFIG!$A$10:$B$21,2,0),"")</f>
        <v>FUE</v>
      </c>
      <c r="O541" s="55" t="str">
        <f t="shared" si="17"/>
        <v>Plancha|Abdominal</v>
      </c>
      <c r="P541" s="69" t="str">
        <f>MIERCOLES!AC204</f>
        <v/>
      </c>
    </row>
    <row r="542" spans="1:16" ht="14.1" customHeight="1">
      <c r="A542" s="37">
        <v>9</v>
      </c>
      <c r="B542" s="37" t="s">
        <v>279</v>
      </c>
      <c r="C542" s="44" t="str">
        <f>MIERCOLES!$A$205</f>
        <v>Rueda Abdominal</v>
      </c>
      <c r="D542" s="45" t="str">
        <f>MIERCOLES!$B$205</f>
        <v>Ab Wheel</v>
      </c>
      <c r="E542" s="37" t="str">
        <f>MIERCOLES!$C$205</f>
        <v>--</v>
      </c>
      <c r="F542" s="46" t="str">
        <f>IF(P542="","",IFERROR(CHOOSE(VALUE(RIGHT(P542,1)),MIERCOLES!F205,MIERCOLES!I205,MIERCOLES!L205,MIERCOLES!O205,MIERCOLES!R205),""))</f>
        <v/>
      </c>
      <c r="G542" s="47" t="str">
        <f>IF(P542="","",IFERROR(CHOOSE(VALUE(RIGHT(P542,1)),MIERCOLES!G205,MIERCOLES!J205,MIERCOLES!M205,MIERCOLES!P205,MIERCOLES!S205),""))</f>
        <v/>
      </c>
      <c r="H542" s="48" t="str">
        <f>IF(P542="","",IFERROR(CHOOSE(VALUE(RIGHT(P542,1)),MIERCOLES!H205,MIERCOLES!K205,MIERCOLES!N205,MIERCOLES!Q205,MIERCOLES!T205),""))</f>
        <v/>
      </c>
      <c r="I542" s="49" t="str">
        <f t="shared" si="16"/>
        <v/>
      </c>
      <c r="J542" s="50" t="str">
        <f>IF(P542="","",IFERROR(ROUND(CHOOSE(VALUE(RIGHT(P542,1)),IF(MIERCOLES!C205="peso_corporal",IF(ISNUMBER(MIERCOLES!E205),MIERCOLES!E205,0)+MIERCOLES!F205,MIERCOLES!F205)*MIERCOLES!G205,IF(MIERCOLES!C205="peso_corporal",IF(ISNUMBER(MIERCOLES!E205),MIERCOLES!E205,0)+MIERCOLES!I205,MIERCOLES!I205)*MIERCOLES!J205,IF(MIERCOLES!C205="peso_corporal",IF(ISNUMBER(MIERCOLES!E205),MIERCOLES!E205,0)+MIERCOLES!L205,MIERCOLES!L205)*MIERCOLES!M205,IF(MIERCOLES!C205="peso_corporal",IF(ISNUMBER(MIERCOLES!E205),MIERCOLES!E205,0)+MIERCOLES!O205,MIERCOLES!O205)*MIERCOLES!P205,IF(MIERCOLES!C205="peso_corporal",IF(ISNUMBER(MIERCOLES!E205),MIERCOLES!E205,0)+MIERCOLES!R205,MIERCOLES!R205)*MIERCOLES!S205),1),""))</f>
        <v/>
      </c>
      <c r="K542" s="51" t="str">
        <f>IF(P542="","",IFERROR(ROUND(CHOOSE(VALUE(RIGHT(P542,1)),(IF(MIERCOLES!C205="peso_corporal",IF(ISNUMBER(MIERCOLES!E205),MIERCOLES!E205,0)+MIERCOLES!F205,MIERCOLES!F205))*(1+MIERCOLES!G205/30),(IF(MIERCOLES!C205="peso_corporal",IF(ISNUMBER(MIERCOLES!E205),MIERCOLES!E205,0)+MIERCOLES!I205,MIERCOLES!I205))*(1+MIERCOLES!J205/30),(IF(MIERCOLES!C205="peso_corporal",IF(ISNUMBER(MIERCOLES!E205),MIERCOLES!E205,0)+MIERCOLES!L205,MIERCOLES!L205))*(1+MIERCOLES!M205/30),(IF(MIERCOLES!C205="peso_corporal",IF(ISNUMBER(MIERCOLES!E205),MIERCOLES!E205,0)+MIERCOLES!O205,MIERCOLES!O205))*(1+MIERCOLES!P205/30),(IF(MIERCOLES!C205="peso_corporal",IF(ISNUMBER(MIERCOLES!E205),MIERCOLES!E205,0)+MIERCOLES!R205,MIERCOLES!R205))*(1+MIERCOLES!S205/30)),1),""))</f>
        <v/>
      </c>
      <c r="L542" s="52">
        <f>IFERROR(MIERCOLES!E205,"")</f>
        <v>80</v>
      </c>
      <c r="M542" s="53" t="str">
        <f>IFERROR(IF(K542="","-",IF(ISNUMBER(LOOKUP(2,1/((HISTORIAL!$O$3:$O$541=O542)*(HISTORIAL!$F$3:$F$541&lt;&gt;"")),HISTORIAL!$K$3:$K$541)),IF(K542&gt;LOOKUP(2,1/((HISTORIAL!$O$3:$O$541=O542)*(HISTORIAL!$F$3:$F$541&lt;&gt;"")),HISTORIAL!$K$3:$K$541),"^",IF(K542&lt;LOOKUP(2,1/((HISTORIAL!$O$3:$O$541=O542)*(HISTORIAL!$F$3:$F$541&lt;&gt;"")),HISTORIAL!$K$3:$K$541),"v","-")),"-")),"-")</f>
        <v>-</v>
      </c>
      <c r="N542" s="54" t="str">
        <f>IFERROR(VLOOKUP(A542,CONFIG!$A$10:$B$21,2,0),"")</f>
        <v>FUE</v>
      </c>
      <c r="O542" s="55" t="str">
        <f t="shared" si="17"/>
        <v>Rueda Abdominal|Ab Wheel</v>
      </c>
      <c r="P542" s="69" t="str">
        <f>MIERCOLES!AC205</f>
        <v/>
      </c>
    </row>
    <row r="543" spans="1:16" ht="14.1" customHeight="1">
      <c r="A543" s="37">
        <v>9</v>
      </c>
      <c r="B543" s="37" t="s">
        <v>279</v>
      </c>
      <c r="C543" s="44" t="str">
        <f>MIERCOLES!$A$206</f>
        <v>Elevacion Piernas</v>
      </c>
      <c r="D543" s="45" t="str">
        <f>MIERCOLES!$B$206</f>
        <v>Colgado</v>
      </c>
      <c r="E543" s="37" t="str">
        <f>MIERCOLES!$C$206</f>
        <v>peso_corporal</v>
      </c>
      <c r="F543" s="46" t="str">
        <f>IF(P543="","",IFERROR(CHOOSE(VALUE(RIGHT(P543,1)),MIERCOLES!F206,MIERCOLES!I206,MIERCOLES!L206,MIERCOLES!O206,MIERCOLES!R206),""))</f>
        <v/>
      </c>
      <c r="G543" s="47" t="str">
        <f>IF(P543="","",IFERROR(CHOOSE(VALUE(RIGHT(P543,1)),MIERCOLES!G206,MIERCOLES!J206,MIERCOLES!M206,MIERCOLES!P206,MIERCOLES!S206),""))</f>
        <v/>
      </c>
      <c r="H543" s="48" t="str">
        <f>IF(P543="","",IFERROR(CHOOSE(VALUE(RIGHT(P543,1)),MIERCOLES!H206,MIERCOLES!K206,MIERCOLES!N206,MIERCOLES!Q206,MIERCOLES!T206),""))</f>
        <v/>
      </c>
      <c r="I543" s="49" t="str">
        <f t="shared" si="16"/>
        <v/>
      </c>
      <c r="J543" s="50" t="str">
        <f>IF(P543="","",IFERROR(ROUND(CHOOSE(VALUE(RIGHT(P543,1)),IF(MIERCOLES!C206="peso_corporal",IF(ISNUMBER(MIERCOLES!E206),MIERCOLES!E206,0)+MIERCOLES!F206,MIERCOLES!F206)*MIERCOLES!G206,IF(MIERCOLES!C206="peso_corporal",IF(ISNUMBER(MIERCOLES!E206),MIERCOLES!E206,0)+MIERCOLES!I206,MIERCOLES!I206)*MIERCOLES!J206,IF(MIERCOLES!C206="peso_corporal",IF(ISNUMBER(MIERCOLES!E206),MIERCOLES!E206,0)+MIERCOLES!L206,MIERCOLES!L206)*MIERCOLES!M206,IF(MIERCOLES!C206="peso_corporal",IF(ISNUMBER(MIERCOLES!E206),MIERCOLES!E206,0)+MIERCOLES!O206,MIERCOLES!O206)*MIERCOLES!P206,IF(MIERCOLES!C206="peso_corporal",IF(ISNUMBER(MIERCOLES!E206),MIERCOLES!E206,0)+MIERCOLES!R206,MIERCOLES!R206)*MIERCOLES!S206),1),""))</f>
        <v/>
      </c>
      <c r="K543" s="51" t="str">
        <f>IF(P543="","",IFERROR(ROUND(CHOOSE(VALUE(RIGHT(P543,1)),(IF(MIERCOLES!C206="peso_corporal",IF(ISNUMBER(MIERCOLES!E206),MIERCOLES!E206,0)+MIERCOLES!F206,MIERCOLES!F206))*(1+MIERCOLES!G206/30),(IF(MIERCOLES!C206="peso_corporal",IF(ISNUMBER(MIERCOLES!E206),MIERCOLES!E206,0)+MIERCOLES!I206,MIERCOLES!I206))*(1+MIERCOLES!J206/30),(IF(MIERCOLES!C206="peso_corporal",IF(ISNUMBER(MIERCOLES!E206),MIERCOLES!E206,0)+MIERCOLES!L206,MIERCOLES!L206))*(1+MIERCOLES!M206/30),(IF(MIERCOLES!C206="peso_corporal",IF(ISNUMBER(MIERCOLES!E206),MIERCOLES!E206,0)+MIERCOLES!O206,MIERCOLES!O206))*(1+MIERCOLES!P206/30),(IF(MIERCOLES!C206="peso_corporal",IF(ISNUMBER(MIERCOLES!E206),MIERCOLES!E206,0)+MIERCOLES!R206,MIERCOLES!R206))*(1+MIERCOLES!S206/30)),1),""))</f>
        <v/>
      </c>
      <c r="L543" s="52">
        <f>IFERROR(MIERCOLES!E206,"")</f>
        <v>80</v>
      </c>
      <c r="M543" s="53" t="str">
        <f>IFERROR(IF(K543="","-",IF(ISNUMBER(LOOKUP(2,1/((HISTORIAL!$O$3:$O$542=O543)*(HISTORIAL!$F$3:$F$542&lt;&gt;"")),HISTORIAL!$K$3:$K$542)),IF(K543&gt;LOOKUP(2,1/((HISTORIAL!$O$3:$O$542=O543)*(HISTORIAL!$F$3:$F$542&lt;&gt;"")),HISTORIAL!$K$3:$K$542),"^",IF(K543&lt;LOOKUP(2,1/((HISTORIAL!$O$3:$O$542=O543)*(HISTORIAL!$F$3:$F$542&lt;&gt;"")),HISTORIAL!$K$3:$K$542),"v","-")),"-")),"-")</f>
        <v>-</v>
      </c>
      <c r="N543" s="54" t="str">
        <f>IFERROR(VLOOKUP(A543,CONFIG!$A$10:$B$21,2,0),"")</f>
        <v>FUE</v>
      </c>
      <c r="O543" s="55" t="str">
        <f t="shared" si="17"/>
        <v>Elevacion Piernas|Colgado</v>
      </c>
      <c r="P543" s="69" t="str">
        <f>MIERCOLES!AC206</f>
        <v/>
      </c>
    </row>
    <row r="544" spans="1:16" ht="14.1" customHeight="1">
      <c r="A544" s="37">
        <v>9</v>
      </c>
      <c r="B544" s="37" t="s">
        <v>280</v>
      </c>
      <c r="C544" s="44" t="str">
        <f>JUEVES!$A$212</f>
        <v>Press Militar</v>
      </c>
      <c r="D544" s="45" t="str">
        <f>JUEVES!$B$212</f>
        <v>Multipower</v>
      </c>
      <c r="E544" s="37" t="str">
        <f>JUEVES!$C$212</f>
        <v>--</v>
      </c>
      <c r="F544" s="46" t="str">
        <f>IF(P544="","",IFERROR(CHOOSE(VALUE(RIGHT(P544,1)),JUEVES!F212,JUEVES!I212,JUEVES!L212,JUEVES!O212,JUEVES!R212),""))</f>
        <v/>
      </c>
      <c r="G544" s="47" t="str">
        <f>IF(P544="","",IFERROR(CHOOSE(VALUE(RIGHT(P544,1)),JUEVES!G212,JUEVES!J212,JUEVES!M212,JUEVES!P212,JUEVES!S212),""))</f>
        <v/>
      </c>
      <c r="H544" s="48" t="str">
        <f>IF(P544="","",IFERROR(CHOOSE(VALUE(RIGHT(P544,1)),JUEVES!H212,JUEVES!K212,JUEVES!N212,JUEVES!Q212,JUEVES!T212),""))</f>
        <v/>
      </c>
      <c r="I544" s="49" t="str">
        <f t="shared" si="16"/>
        <v/>
      </c>
      <c r="J544" s="50" t="str">
        <f>IF(P544="","",IFERROR(ROUND(CHOOSE(VALUE(RIGHT(P544,1)),IF(JUEVES!C212="peso_corporal",IF(ISNUMBER(JUEVES!E212),JUEVES!E212,0)+JUEVES!F212,JUEVES!F212)*JUEVES!G212,IF(JUEVES!C212="peso_corporal",IF(ISNUMBER(JUEVES!E212),JUEVES!E212,0)+JUEVES!I212,JUEVES!I212)*JUEVES!J212,IF(JUEVES!C212="peso_corporal",IF(ISNUMBER(JUEVES!E212),JUEVES!E212,0)+JUEVES!L212,JUEVES!L212)*JUEVES!M212,IF(JUEVES!C212="peso_corporal",IF(ISNUMBER(JUEVES!E212),JUEVES!E212,0)+JUEVES!O212,JUEVES!O212)*JUEVES!P212,IF(JUEVES!C212="peso_corporal",IF(ISNUMBER(JUEVES!E212),JUEVES!E212,0)+JUEVES!R212,JUEVES!R212)*JUEVES!S212),1),""))</f>
        <v/>
      </c>
      <c r="K544" s="51" t="str">
        <f>IF(P544="","",IFERROR(ROUND(CHOOSE(VALUE(RIGHT(P544,1)),(IF(JUEVES!C212="peso_corporal",IF(ISNUMBER(JUEVES!E212),JUEVES!E212,0)+JUEVES!F212,JUEVES!F212))*(1+JUEVES!G212/30),(IF(JUEVES!C212="peso_corporal",IF(ISNUMBER(JUEVES!E212),JUEVES!E212,0)+JUEVES!I212,JUEVES!I212))*(1+JUEVES!J212/30),(IF(JUEVES!C212="peso_corporal",IF(ISNUMBER(JUEVES!E212),JUEVES!E212,0)+JUEVES!L212,JUEVES!L212))*(1+JUEVES!M212/30),(IF(JUEVES!C212="peso_corporal",IF(ISNUMBER(JUEVES!E212),JUEVES!E212,0)+JUEVES!O212,JUEVES!O212))*(1+JUEVES!P212/30),(IF(JUEVES!C212="peso_corporal",IF(ISNUMBER(JUEVES!E212),JUEVES!E212,0)+JUEVES!R212,JUEVES!R212))*(1+JUEVES!S212/30)),1),""))</f>
        <v/>
      </c>
      <c r="L544" s="52">
        <f>IFERROR(JUEVES!E212,"")</f>
        <v>80</v>
      </c>
      <c r="M544" s="53" t="str">
        <f>IFERROR(IF(K544="","-",IF(ISNUMBER(LOOKUP(2,1/((HISTORIAL!$O$3:$O$543=O544)*(HISTORIAL!$F$3:$F$543&lt;&gt;"")),HISTORIAL!$K$3:$K$543)),IF(K544&gt;LOOKUP(2,1/((HISTORIAL!$O$3:$O$543=O544)*(HISTORIAL!$F$3:$F$543&lt;&gt;"")),HISTORIAL!$K$3:$K$543),"^",IF(K544&lt;LOOKUP(2,1/((HISTORIAL!$O$3:$O$543=O544)*(HISTORIAL!$F$3:$F$543&lt;&gt;"")),HISTORIAL!$K$3:$K$543),"v","-")),"-")),"-")</f>
        <v>-</v>
      </c>
      <c r="N544" s="54" t="str">
        <f>IFERROR(VLOOKUP(A544,CONFIG!$A$10:$B$21,2,0),"")</f>
        <v>FUE</v>
      </c>
      <c r="O544" s="55" t="str">
        <f t="shared" si="17"/>
        <v>Press Militar|Multipower</v>
      </c>
      <c r="P544" s="69" t="str">
        <f>JUEVES!AC212</f>
        <v/>
      </c>
    </row>
    <row r="545" spans="1:16" ht="14.1" customHeight="1">
      <c r="A545" s="37">
        <v>9</v>
      </c>
      <c r="B545" s="37" t="s">
        <v>280</v>
      </c>
      <c r="C545" s="44" t="str">
        <f>JUEVES!$A$213</f>
        <v>Elevaciones Laterales</v>
      </c>
      <c r="D545" s="45" t="str">
        <f>JUEVES!$B$213</f>
        <v>Drop Set Maquina</v>
      </c>
      <c r="E545" s="37" t="str">
        <f>JUEVES!$C$213</f>
        <v>--</v>
      </c>
      <c r="F545" s="46" t="str">
        <f>IF(P545="","",IFERROR(CHOOSE(VALUE(RIGHT(P545,1)),JUEVES!F213,JUEVES!I213,JUEVES!L213,JUEVES!O213,JUEVES!R213),""))</f>
        <v/>
      </c>
      <c r="G545" s="47" t="str">
        <f>IF(P545="","",IFERROR(CHOOSE(VALUE(RIGHT(P545,1)),JUEVES!G213,JUEVES!J213,JUEVES!M213,JUEVES!P213,JUEVES!S213),""))</f>
        <v/>
      </c>
      <c r="H545" s="48" t="str">
        <f>IF(P545="","",IFERROR(CHOOSE(VALUE(RIGHT(P545,1)),JUEVES!H213,JUEVES!K213,JUEVES!N213,JUEVES!Q213,JUEVES!T213),""))</f>
        <v/>
      </c>
      <c r="I545" s="49" t="str">
        <f t="shared" si="16"/>
        <v/>
      </c>
      <c r="J545" s="50" t="str">
        <f>IF(P545="","",IFERROR(ROUND(CHOOSE(VALUE(RIGHT(P545,1)),IF(JUEVES!C213="peso_corporal",IF(ISNUMBER(JUEVES!E213),JUEVES!E213,0)+JUEVES!F213,JUEVES!F213)*JUEVES!G213,IF(JUEVES!C213="peso_corporal",IF(ISNUMBER(JUEVES!E213),JUEVES!E213,0)+JUEVES!I213,JUEVES!I213)*JUEVES!J213,IF(JUEVES!C213="peso_corporal",IF(ISNUMBER(JUEVES!E213),JUEVES!E213,0)+JUEVES!L213,JUEVES!L213)*JUEVES!M213,IF(JUEVES!C213="peso_corporal",IF(ISNUMBER(JUEVES!E213),JUEVES!E213,0)+JUEVES!O213,JUEVES!O213)*JUEVES!P213,IF(JUEVES!C213="peso_corporal",IF(ISNUMBER(JUEVES!E213),JUEVES!E213,0)+JUEVES!R213,JUEVES!R213)*JUEVES!S213),1),""))</f>
        <v/>
      </c>
      <c r="K545" s="51" t="str">
        <f>IF(P545="","",IFERROR(ROUND(CHOOSE(VALUE(RIGHT(P545,1)),(IF(JUEVES!C213="peso_corporal",IF(ISNUMBER(JUEVES!E213),JUEVES!E213,0)+JUEVES!F213,JUEVES!F213))*(1+JUEVES!G213/30),(IF(JUEVES!C213="peso_corporal",IF(ISNUMBER(JUEVES!E213),JUEVES!E213,0)+JUEVES!I213,JUEVES!I213))*(1+JUEVES!J213/30),(IF(JUEVES!C213="peso_corporal",IF(ISNUMBER(JUEVES!E213),JUEVES!E213,0)+JUEVES!L213,JUEVES!L213))*(1+JUEVES!M213/30),(IF(JUEVES!C213="peso_corporal",IF(ISNUMBER(JUEVES!E213),JUEVES!E213,0)+JUEVES!O213,JUEVES!O213))*(1+JUEVES!P213/30),(IF(JUEVES!C213="peso_corporal",IF(ISNUMBER(JUEVES!E213),JUEVES!E213,0)+JUEVES!R213,JUEVES!R213))*(1+JUEVES!S213/30)),1),""))</f>
        <v/>
      </c>
      <c r="L545" s="52">
        <f>IFERROR(JUEVES!E213,"")</f>
        <v>80</v>
      </c>
      <c r="M545" s="53" t="str">
        <f>IFERROR(IF(K545="","-",IF(ISNUMBER(LOOKUP(2,1/((HISTORIAL!$O$3:$O$544=O545)*(HISTORIAL!$F$3:$F$544&lt;&gt;"")),HISTORIAL!$K$3:$K$544)),IF(K545&gt;LOOKUP(2,1/((HISTORIAL!$O$3:$O$544=O545)*(HISTORIAL!$F$3:$F$544&lt;&gt;"")),HISTORIAL!$K$3:$K$544),"^",IF(K545&lt;LOOKUP(2,1/((HISTORIAL!$O$3:$O$544=O545)*(HISTORIAL!$F$3:$F$544&lt;&gt;"")),HISTORIAL!$K$3:$K$544),"v","-")),"-")),"-")</f>
        <v>-</v>
      </c>
      <c r="N545" s="54" t="str">
        <f>IFERROR(VLOOKUP(A545,CONFIG!$A$10:$B$21,2,0),"")</f>
        <v>FUE</v>
      </c>
      <c r="O545" s="55" t="str">
        <f t="shared" si="17"/>
        <v>Elevaciones Laterales|Drop Set Maquina</v>
      </c>
      <c r="P545" s="69" t="str">
        <f>JUEVES!AC213</f>
        <v/>
      </c>
    </row>
    <row r="546" spans="1:16" ht="14.1" customHeight="1">
      <c r="A546" s="37">
        <v>9</v>
      </c>
      <c r="B546" s="37" t="s">
        <v>280</v>
      </c>
      <c r="C546" s="44" t="str">
        <f>JUEVES!$A$215</f>
        <v>Pajaro</v>
      </c>
      <c r="D546" s="45" t="str">
        <f>JUEVES!$B$215</f>
        <v>Elevacion Posterior</v>
      </c>
      <c r="E546" s="37" t="str">
        <f>JUEVES!$C$215</f>
        <v>mancuerna</v>
      </c>
      <c r="F546" s="46" t="str">
        <f>IF(P546="","",IFERROR(CHOOSE(VALUE(RIGHT(P546,1)),JUEVES!F215,JUEVES!I215,JUEVES!L215,JUEVES!O215,JUEVES!R215),""))</f>
        <v/>
      </c>
      <c r="G546" s="47" t="str">
        <f>IF(P546="","",IFERROR(CHOOSE(VALUE(RIGHT(P546,1)),JUEVES!G215,JUEVES!J215,JUEVES!M215,JUEVES!P215,JUEVES!S215),""))</f>
        <v/>
      </c>
      <c r="H546" s="48" t="str">
        <f>IF(P546="","",IFERROR(CHOOSE(VALUE(RIGHT(P546,1)),JUEVES!H215,JUEVES!K215,JUEVES!N215,JUEVES!Q215,JUEVES!T215),""))</f>
        <v/>
      </c>
      <c r="I546" s="49" t="str">
        <f t="shared" si="16"/>
        <v/>
      </c>
      <c r="J546" s="50" t="str">
        <f>IF(P546="","",IFERROR(ROUND(CHOOSE(VALUE(RIGHT(P546,1)),IF(JUEVES!C215="peso_corporal",IF(ISNUMBER(JUEVES!E215),JUEVES!E215,0)+JUEVES!F215,JUEVES!F215)*JUEVES!G215,IF(JUEVES!C215="peso_corporal",IF(ISNUMBER(JUEVES!E215),JUEVES!E215,0)+JUEVES!I215,JUEVES!I215)*JUEVES!J215,IF(JUEVES!C215="peso_corporal",IF(ISNUMBER(JUEVES!E215),JUEVES!E215,0)+JUEVES!L215,JUEVES!L215)*JUEVES!M215,IF(JUEVES!C215="peso_corporal",IF(ISNUMBER(JUEVES!E215),JUEVES!E215,0)+JUEVES!O215,JUEVES!O215)*JUEVES!P215,IF(JUEVES!C215="peso_corporal",IF(ISNUMBER(JUEVES!E215),JUEVES!E215,0)+JUEVES!R215,JUEVES!R215)*JUEVES!S215),1),""))</f>
        <v/>
      </c>
      <c r="K546" s="51" t="str">
        <f>IF(P546="","",IFERROR(ROUND(CHOOSE(VALUE(RIGHT(P546,1)),(IF(JUEVES!C215="peso_corporal",IF(ISNUMBER(JUEVES!E215),JUEVES!E215,0)+JUEVES!F215,JUEVES!F215))*(1+JUEVES!G215/30),(IF(JUEVES!C215="peso_corporal",IF(ISNUMBER(JUEVES!E215),JUEVES!E215,0)+JUEVES!I215,JUEVES!I215))*(1+JUEVES!J215/30),(IF(JUEVES!C215="peso_corporal",IF(ISNUMBER(JUEVES!E215),JUEVES!E215,0)+JUEVES!L215,JUEVES!L215))*(1+JUEVES!M215/30),(IF(JUEVES!C215="peso_corporal",IF(ISNUMBER(JUEVES!E215),JUEVES!E215,0)+JUEVES!O215,JUEVES!O215))*(1+JUEVES!P215/30),(IF(JUEVES!C215="peso_corporal",IF(ISNUMBER(JUEVES!E215),JUEVES!E215,0)+JUEVES!R215,JUEVES!R215))*(1+JUEVES!S215/30)),1),""))</f>
        <v/>
      </c>
      <c r="L546" s="52">
        <f>IFERROR(JUEVES!E215,"")</f>
        <v>80</v>
      </c>
      <c r="M546" s="53" t="str">
        <f>IFERROR(IF(K546="","-",IF(ISNUMBER(LOOKUP(2,1/((HISTORIAL!$O$3:$O$545=O546)*(HISTORIAL!$F$3:$F$545&lt;&gt;"")),HISTORIAL!$K$3:$K$545)),IF(K546&gt;LOOKUP(2,1/((HISTORIAL!$O$3:$O$545=O546)*(HISTORIAL!$F$3:$F$545&lt;&gt;"")),HISTORIAL!$K$3:$K$545),"^",IF(K546&lt;LOOKUP(2,1/((HISTORIAL!$O$3:$O$545=O546)*(HISTORIAL!$F$3:$F$545&lt;&gt;"")),HISTORIAL!$K$3:$K$545),"v","-")),"-")),"-")</f>
        <v>-</v>
      </c>
      <c r="N546" s="54" t="str">
        <f>IFERROR(VLOOKUP(A546,CONFIG!$A$10:$B$21,2,0),"")</f>
        <v>FUE</v>
      </c>
      <c r="O546" s="55" t="str">
        <f t="shared" si="17"/>
        <v>Pajaro|Elevacion Posterior</v>
      </c>
      <c r="P546" s="69" t="str">
        <f>JUEVES!AC215</f>
        <v/>
      </c>
    </row>
    <row r="547" spans="1:16" ht="14.1" customHeight="1">
      <c r="A547" s="37">
        <v>9</v>
      </c>
      <c r="B547" s="37" t="s">
        <v>280</v>
      </c>
      <c r="C547" s="44" t="str">
        <f>JUEVES!$A$216</f>
        <v>Peck Deck Invertida</v>
      </c>
      <c r="D547" s="45" t="str">
        <f>JUEVES!$B$216</f>
        <v>Maquina</v>
      </c>
      <c r="E547" s="37" t="str">
        <f>JUEVES!$C$216</f>
        <v>polea</v>
      </c>
      <c r="F547" s="46" t="str">
        <f>IF(P547="","",IFERROR(CHOOSE(VALUE(RIGHT(P547,1)),JUEVES!F216,JUEVES!I216,JUEVES!L216,JUEVES!O216,JUEVES!R216),""))</f>
        <v/>
      </c>
      <c r="G547" s="47" t="str">
        <f>IF(P547="","",IFERROR(CHOOSE(VALUE(RIGHT(P547,1)),JUEVES!G216,JUEVES!J216,JUEVES!M216,JUEVES!P216,JUEVES!S216),""))</f>
        <v/>
      </c>
      <c r="H547" s="48" t="str">
        <f>IF(P547="","",IFERROR(CHOOSE(VALUE(RIGHT(P547,1)),JUEVES!H216,JUEVES!K216,JUEVES!N216,JUEVES!Q216,JUEVES!T216),""))</f>
        <v/>
      </c>
      <c r="I547" s="49" t="str">
        <f t="shared" si="16"/>
        <v/>
      </c>
      <c r="J547" s="50" t="str">
        <f>IF(P547="","",IFERROR(ROUND(CHOOSE(VALUE(RIGHT(P547,1)),IF(JUEVES!C216="peso_corporal",IF(ISNUMBER(JUEVES!E216),JUEVES!E216,0)+JUEVES!F216,JUEVES!F216)*JUEVES!G216,IF(JUEVES!C216="peso_corporal",IF(ISNUMBER(JUEVES!E216),JUEVES!E216,0)+JUEVES!I216,JUEVES!I216)*JUEVES!J216,IF(JUEVES!C216="peso_corporal",IF(ISNUMBER(JUEVES!E216),JUEVES!E216,0)+JUEVES!L216,JUEVES!L216)*JUEVES!M216,IF(JUEVES!C216="peso_corporal",IF(ISNUMBER(JUEVES!E216),JUEVES!E216,0)+JUEVES!O216,JUEVES!O216)*JUEVES!P216,IF(JUEVES!C216="peso_corporal",IF(ISNUMBER(JUEVES!E216),JUEVES!E216,0)+JUEVES!R216,JUEVES!R216)*JUEVES!S216),1),""))</f>
        <v/>
      </c>
      <c r="K547" s="51" t="str">
        <f>IF(P547="","",IFERROR(ROUND(CHOOSE(VALUE(RIGHT(P547,1)),(IF(JUEVES!C216="peso_corporal",IF(ISNUMBER(JUEVES!E216),JUEVES!E216,0)+JUEVES!F216,JUEVES!F216))*(1+JUEVES!G216/30),(IF(JUEVES!C216="peso_corporal",IF(ISNUMBER(JUEVES!E216),JUEVES!E216,0)+JUEVES!I216,JUEVES!I216))*(1+JUEVES!J216/30),(IF(JUEVES!C216="peso_corporal",IF(ISNUMBER(JUEVES!E216),JUEVES!E216,0)+JUEVES!L216,JUEVES!L216))*(1+JUEVES!M216/30),(IF(JUEVES!C216="peso_corporal",IF(ISNUMBER(JUEVES!E216),JUEVES!E216,0)+JUEVES!O216,JUEVES!O216))*(1+JUEVES!P216/30),(IF(JUEVES!C216="peso_corporal",IF(ISNUMBER(JUEVES!E216),JUEVES!E216,0)+JUEVES!R216,JUEVES!R216))*(1+JUEVES!S216/30)),1),""))</f>
        <v/>
      </c>
      <c r="L547" s="52">
        <f>IFERROR(JUEVES!E216,"")</f>
        <v>80</v>
      </c>
      <c r="M547" s="53" t="str">
        <f>IFERROR(IF(K547="","-",IF(ISNUMBER(LOOKUP(2,1/((HISTORIAL!$O$3:$O$546=O547)*(HISTORIAL!$F$3:$F$546&lt;&gt;"")),HISTORIAL!$K$3:$K$546)),IF(K547&gt;LOOKUP(2,1/((HISTORIAL!$O$3:$O$546=O547)*(HISTORIAL!$F$3:$F$546&lt;&gt;"")),HISTORIAL!$K$3:$K$546),"^",IF(K547&lt;LOOKUP(2,1/((HISTORIAL!$O$3:$O$546=O547)*(HISTORIAL!$F$3:$F$546&lt;&gt;"")),HISTORIAL!$K$3:$K$546),"v","-")),"-")),"-")</f>
        <v>-</v>
      </c>
      <c r="N547" s="54" t="str">
        <f>IFERROR(VLOOKUP(A547,CONFIG!$A$10:$B$21,2,0),"")</f>
        <v>FUE</v>
      </c>
      <c r="O547" s="55" t="str">
        <f t="shared" si="17"/>
        <v>Peck Deck Invertida|Maquina</v>
      </c>
      <c r="P547" s="69" t="str">
        <f>JUEVES!AC216</f>
        <v/>
      </c>
    </row>
    <row r="548" spans="1:16" ht="14.1" customHeight="1">
      <c r="A548" s="37">
        <v>9</v>
      </c>
      <c r="B548" s="37" t="s">
        <v>280</v>
      </c>
      <c r="C548" s="44" t="str">
        <f>JUEVES!$A$217</f>
        <v>Elevaciones Posteriores</v>
      </c>
      <c r="D548" s="45" t="str">
        <f>JUEVES!$B$217</f>
        <v>Polea Individual</v>
      </c>
      <c r="E548" s="37" t="str">
        <f>JUEVES!$C$217</f>
        <v>polea</v>
      </c>
      <c r="F548" s="46" t="str">
        <f>IF(P548="","",IFERROR(CHOOSE(VALUE(RIGHT(P548,1)),JUEVES!F217,JUEVES!I217,JUEVES!L217,JUEVES!O217,JUEVES!R217),""))</f>
        <v/>
      </c>
      <c r="G548" s="47" t="str">
        <f>IF(P548="","",IFERROR(CHOOSE(VALUE(RIGHT(P548,1)),JUEVES!G217,JUEVES!J217,JUEVES!M217,JUEVES!P217,JUEVES!S217),""))</f>
        <v/>
      </c>
      <c r="H548" s="48" t="str">
        <f>IF(P548="","",IFERROR(CHOOSE(VALUE(RIGHT(P548,1)),JUEVES!H217,JUEVES!K217,JUEVES!N217,JUEVES!Q217,JUEVES!T217),""))</f>
        <v/>
      </c>
      <c r="I548" s="49" t="str">
        <f t="shared" si="16"/>
        <v/>
      </c>
      <c r="J548" s="50" t="str">
        <f>IF(P548="","",IFERROR(ROUND(CHOOSE(VALUE(RIGHT(P548,1)),IF(JUEVES!C217="peso_corporal",IF(ISNUMBER(JUEVES!E217),JUEVES!E217,0)+JUEVES!F217,JUEVES!F217)*JUEVES!G217,IF(JUEVES!C217="peso_corporal",IF(ISNUMBER(JUEVES!E217),JUEVES!E217,0)+JUEVES!I217,JUEVES!I217)*JUEVES!J217,IF(JUEVES!C217="peso_corporal",IF(ISNUMBER(JUEVES!E217),JUEVES!E217,0)+JUEVES!L217,JUEVES!L217)*JUEVES!M217,IF(JUEVES!C217="peso_corporal",IF(ISNUMBER(JUEVES!E217),JUEVES!E217,0)+JUEVES!O217,JUEVES!O217)*JUEVES!P217,IF(JUEVES!C217="peso_corporal",IF(ISNUMBER(JUEVES!E217),JUEVES!E217,0)+JUEVES!R217,JUEVES!R217)*JUEVES!S217),1),""))</f>
        <v/>
      </c>
      <c r="K548" s="51" t="str">
        <f>IF(P548="","",IFERROR(ROUND(CHOOSE(VALUE(RIGHT(P548,1)),(IF(JUEVES!C217="peso_corporal",IF(ISNUMBER(JUEVES!E217),JUEVES!E217,0)+JUEVES!F217,JUEVES!F217))*(1+JUEVES!G217/30),(IF(JUEVES!C217="peso_corporal",IF(ISNUMBER(JUEVES!E217),JUEVES!E217,0)+JUEVES!I217,JUEVES!I217))*(1+JUEVES!J217/30),(IF(JUEVES!C217="peso_corporal",IF(ISNUMBER(JUEVES!E217),JUEVES!E217,0)+JUEVES!L217,JUEVES!L217))*(1+JUEVES!M217/30),(IF(JUEVES!C217="peso_corporal",IF(ISNUMBER(JUEVES!E217),JUEVES!E217,0)+JUEVES!O217,JUEVES!O217))*(1+JUEVES!P217/30),(IF(JUEVES!C217="peso_corporal",IF(ISNUMBER(JUEVES!E217),JUEVES!E217,0)+JUEVES!R217,JUEVES!R217))*(1+JUEVES!S217/30)),1),""))</f>
        <v/>
      </c>
      <c r="L548" s="52">
        <f>IFERROR(JUEVES!E217,"")</f>
        <v>80</v>
      </c>
      <c r="M548" s="53" t="str">
        <f>IFERROR(IF(K548="","-",IF(ISNUMBER(LOOKUP(2,1/((HISTORIAL!$O$3:$O$547=O548)*(HISTORIAL!$F$3:$F$547&lt;&gt;"")),HISTORIAL!$K$3:$K$547)),IF(K548&gt;LOOKUP(2,1/((HISTORIAL!$O$3:$O$547=O548)*(HISTORIAL!$F$3:$F$547&lt;&gt;"")),HISTORIAL!$K$3:$K$547),"^",IF(K548&lt;LOOKUP(2,1/((HISTORIAL!$O$3:$O$547=O548)*(HISTORIAL!$F$3:$F$547&lt;&gt;"")),HISTORIAL!$K$3:$K$547),"v","-")),"-")),"-")</f>
        <v>-</v>
      </c>
      <c r="N548" s="54" t="str">
        <f>IFERROR(VLOOKUP(A548,CONFIG!$A$10:$B$21,2,0),"")</f>
        <v>FUE</v>
      </c>
      <c r="O548" s="55" t="str">
        <f t="shared" si="17"/>
        <v>Elevaciones Posteriores|Polea Individual</v>
      </c>
      <c r="P548" s="69" t="str">
        <f>JUEVES!AC217</f>
        <v/>
      </c>
    </row>
    <row r="549" spans="1:16" ht="14.1" customHeight="1">
      <c r="A549" s="37">
        <v>9</v>
      </c>
      <c r="B549" s="37" t="s">
        <v>280</v>
      </c>
      <c r="C549" s="44" t="str">
        <f>JUEVES!$A$220</f>
        <v>Press Plano</v>
      </c>
      <c r="D549" s="45" t="str">
        <f>JUEVES!$B$220</f>
        <v>Mancuernas</v>
      </c>
      <c r="E549" s="37" t="str">
        <f>JUEVES!$C$220</f>
        <v>mancuerna</v>
      </c>
      <c r="F549" s="46" t="str">
        <f>IF(P549="","",IFERROR(CHOOSE(VALUE(RIGHT(P549,1)),JUEVES!F220,JUEVES!I220,JUEVES!L220,JUEVES!O220,JUEVES!R220),""))</f>
        <v/>
      </c>
      <c r="G549" s="47" t="str">
        <f>IF(P549="","",IFERROR(CHOOSE(VALUE(RIGHT(P549,1)),JUEVES!G220,JUEVES!J220,JUEVES!M220,JUEVES!P220,JUEVES!S220),""))</f>
        <v/>
      </c>
      <c r="H549" s="48" t="str">
        <f>IF(P549="","",IFERROR(CHOOSE(VALUE(RIGHT(P549,1)),JUEVES!H220,JUEVES!K220,JUEVES!N220,JUEVES!Q220,JUEVES!T220),""))</f>
        <v/>
      </c>
      <c r="I549" s="49" t="str">
        <f t="shared" si="16"/>
        <v/>
      </c>
      <c r="J549" s="50" t="str">
        <f>IF(P549="","",IFERROR(ROUND(CHOOSE(VALUE(RIGHT(P549,1)),IF(JUEVES!C220="peso_corporal",IF(ISNUMBER(JUEVES!E220),JUEVES!E220,0)+JUEVES!F220,JUEVES!F220)*JUEVES!G220,IF(JUEVES!C220="peso_corporal",IF(ISNUMBER(JUEVES!E220),JUEVES!E220,0)+JUEVES!I220,JUEVES!I220)*JUEVES!J220,IF(JUEVES!C220="peso_corporal",IF(ISNUMBER(JUEVES!E220),JUEVES!E220,0)+JUEVES!L220,JUEVES!L220)*JUEVES!M220,IF(JUEVES!C220="peso_corporal",IF(ISNUMBER(JUEVES!E220),JUEVES!E220,0)+JUEVES!O220,JUEVES!O220)*JUEVES!P220,IF(JUEVES!C220="peso_corporal",IF(ISNUMBER(JUEVES!E220),JUEVES!E220,0)+JUEVES!R220,JUEVES!R220)*JUEVES!S220),1),""))</f>
        <v/>
      </c>
      <c r="K549" s="51" t="str">
        <f>IF(P549="","",IFERROR(ROUND(CHOOSE(VALUE(RIGHT(P549,1)),(IF(JUEVES!C220="peso_corporal",IF(ISNUMBER(JUEVES!E220),JUEVES!E220,0)+JUEVES!F220,JUEVES!F220))*(1+JUEVES!G220/30),(IF(JUEVES!C220="peso_corporal",IF(ISNUMBER(JUEVES!E220),JUEVES!E220,0)+JUEVES!I220,JUEVES!I220))*(1+JUEVES!J220/30),(IF(JUEVES!C220="peso_corporal",IF(ISNUMBER(JUEVES!E220),JUEVES!E220,0)+JUEVES!L220,JUEVES!L220))*(1+JUEVES!M220/30),(IF(JUEVES!C220="peso_corporal",IF(ISNUMBER(JUEVES!E220),JUEVES!E220,0)+JUEVES!O220,JUEVES!O220))*(1+JUEVES!P220/30),(IF(JUEVES!C220="peso_corporal",IF(ISNUMBER(JUEVES!E220),JUEVES!E220,0)+JUEVES!R220,JUEVES!R220))*(1+JUEVES!S220/30)),1),""))</f>
        <v/>
      </c>
      <c r="L549" s="52">
        <f>IFERROR(JUEVES!E220,"")</f>
        <v>80</v>
      </c>
      <c r="M549" s="53" t="str">
        <f>IFERROR(IF(K549="","-",IF(ISNUMBER(LOOKUP(2,1/((HISTORIAL!$O$3:$O$548=O549)*(HISTORIAL!$F$3:$F$548&lt;&gt;"")),HISTORIAL!$K$3:$K$548)),IF(K549&gt;LOOKUP(2,1/((HISTORIAL!$O$3:$O$548=O549)*(HISTORIAL!$F$3:$F$548&lt;&gt;"")),HISTORIAL!$K$3:$K$548),"^",IF(K549&lt;LOOKUP(2,1/((HISTORIAL!$O$3:$O$548=O549)*(HISTORIAL!$F$3:$F$548&lt;&gt;"")),HISTORIAL!$K$3:$K$548),"v","-")),"-")),"-")</f>
        <v>-</v>
      </c>
      <c r="N549" s="54" t="str">
        <f>IFERROR(VLOOKUP(A549,CONFIG!$A$10:$B$21,2,0),"")</f>
        <v>FUE</v>
      </c>
      <c r="O549" s="55" t="str">
        <f t="shared" si="17"/>
        <v>Press Plano|Mancuernas</v>
      </c>
      <c r="P549" s="69" t="str">
        <f>JUEVES!AC220</f>
        <v/>
      </c>
    </row>
    <row r="550" spans="1:16" ht="14.1" customHeight="1">
      <c r="A550" s="37">
        <v>9</v>
      </c>
      <c r="B550" s="37" t="s">
        <v>280</v>
      </c>
      <c r="C550" s="44" t="str">
        <f>JUEVES!$A$222</f>
        <v>Press Inclinado</v>
      </c>
      <c r="D550" s="45" t="str">
        <f>JUEVES!$B$222</f>
        <v>Multipower</v>
      </c>
      <c r="E550" s="37" t="str">
        <f>JUEVES!$C$222</f>
        <v>disco</v>
      </c>
      <c r="F550" s="46" t="str">
        <f>IF(P550="","",IFERROR(CHOOSE(VALUE(RIGHT(P550,1)),JUEVES!F222,JUEVES!I222,JUEVES!L222,JUEVES!O222,JUEVES!R222),""))</f>
        <v/>
      </c>
      <c r="G550" s="47" t="str">
        <f>IF(P550="","",IFERROR(CHOOSE(VALUE(RIGHT(P550,1)),JUEVES!G222,JUEVES!J222,JUEVES!M222,JUEVES!P222,JUEVES!S222),""))</f>
        <v/>
      </c>
      <c r="H550" s="48" t="str">
        <f>IF(P550="","",IFERROR(CHOOSE(VALUE(RIGHT(P550,1)),JUEVES!H222,JUEVES!K222,JUEVES!N222,JUEVES!Q222,JUEVES!T222),""))</f>
        <v/>
      </c>
      <c r="I550" s="49" t="str">
        <f t="shared" si="16"/>
        <v/>
      </c>
      <c r="J550" s="50" t="str">
        <f>IF(P550="","",IFERROR(ROUND(CHOOSE(VALUE(RIGHT(P550,1)),IF(JUEVES!C222="peso_corporal",IF(ISNUMBER(JUEVES!E222),JUEVES!E222,0)+JUEVES!F222,JUEVES!F222)*JUEVES!G222,IF(JUEVES!C222="peso_corporal",IF(ISNUMBER(JUEVES!E222),JUEVES!E222,0)+JUEVES!I222,JUEVES!I222)*JUEVES!J222,IF(JUEVES!C222="peso_corporal",IF(ISNUMBER(JUEVES!E222),JUEVES!E222,0)+JUEVES!L222,JUEVES!L222)*JUEVES!M222,IF(JUEVES!C222="peso_corporal",IF(ISNUMBER(JUEVES!E222),JUEVES!E222,0)+JUEVES!O222,JUEVES!O222)*JUEVES!P222,IF(JUEVES!C222="peso_corporal",IF(ISNUMBER(JUEVES!E222),JUEVES!E222,0)+JUEVES!R222,JUEVES!R222)*JUEVES!S222),1),""))</f>
        <v/>
      </c>
      <c r="K550" s="51" t="str">
        <f>IF(P550="","",IFERROR(ROUND(CHOOSE(VALUE(RIGHT(P550,1)),(IF(JUEVES!C222="peso_corporal",IF(ISNUMBER(JUEVES!E222),JUEVES!E222,0)+JUEVES!F222,JUEVES!F222))*(1+JUEVES!G222/30),(IF(JUEVES!C222="peso_corporal",IF(ISNUMBER(JUEVES!E222),JUEVES!E222,0)+JUEVES!I222,JUEVES!I222))*(1+JUEVES!J222/30),(IF(JUEVES!C222="peso_corporal",IF(ISNUMBER(JUEVES!E222),JUEVES!E222,0)+JUEVES!L222,JUEVES!L222))*(1+JUEVES!M222/30),(IF(JUEVES!C222="peso_corporal",IF(ISNUMBER(JUEVES!E222),JUEVES!E222,0)+JUEVES!O222,JUEVES!O222))*(1+JUEVES!P222/30),(IF(JUEVES!C222="peso_corporal",IF(ISNUMBER(JUEVES!E222),JUEVES!E222,0)+JUEVES!R222,JUEVES!R222))*(1+JUEVES!S222/30)),1),""))</f>
        <v/>
      </c>
      <c r="L550" s="52">
        <f>IFERROR(JUEVES!E222,"")</f>
        <v>80</v>
      </c>
      <c r="M550" s="53" t="str">
        <f>IFERROR(IF(K550="","-",IF(ISNUMBER(LOOKUP(2,1/((HISTORIAL!$O$3:$O$549=O550)*(HISTORIAL!$F$3:$F$549&lt;&gt;"")),HISTORIAL!$K$3:$K$549)),IF(K550&gt;LOOKUP(2,1/((HISTORIAL!$O$3:$O$549=O550)*(HISTORIAL!$F$3:$F$549&lt;&gt;"")),HISTORIAL!$K$3:$K$549),"^",IF(K550&lt;LOOKUP(2,1/((HISTORIAL!$O$3:$O$549=O550)*(HISTORIAL!$F$3:$F$549&lt;&gt;"")),HISTORIAL!$K$3:$K$549),"v","-")),"-")),"-")</f>
        <v>-</v>
      </c>
      <c r="N550" s="54" t="str">
        <f>IFERROR(VLOOKUP(A550,CONFIG!$A$10:$B$21,2,0),"")</f>
        <v>FUE</v>
      </c>
      <c r="O550" s="55" t="str">
        <f t="shared" si="17"/>
        <v>Press Inclinado|Multipower</v>
      </c>
      <c r="P550" s="69" t="str">
        <f>JUEVES!AC222</f>
        <v/>
      </c>
    </row>
    <row r="551" spans="1:16" ht="14.1" customHeight="1">
      <c r="A551" s="37">
        <v>9</v>
      </c>
      <c r="B551" s="37" t="s">
        <v>280</v>
      </c>
      <c r="C551" s="44" t="str">
        <f>JUEVES!$A$224</f>
        <v>Aperturas</v>
      </c>
      <c r="D551" s="45" t="str">
        <f>JUEVES!$B$224</f>
        <v>Pec Deck Maquina</v>
      </c>
      <c r="E551" s="37" t="str">
        <f>JUEVES!$C$224</f>
        <v>--</v>
      </c>
      <c r="F551" s="46" t="str">
        <f>IF(P551="","",IFERROR(CHOOSE(VALUE(RIGHT(P551,1)),JUEVES!F224,JUEVES!I224,JUEVES!L224,JUEVES!O224,JUEVES!R224),""))</f>
        <v/>
      </c>
      <c r="G551" s="47" t="str">
        <f>IF(P551="","",IFERROR(CHOOSE(VALUE(RIGHT(P551,1)),JUEVES!G224,JUEVES!J224,JUEVES!M224,JUEVES!P224,JUEVES!S224),""))</f>
        <v/>
      </c>
      <c r="H551" s="48" t="str">
        <f>IF(P551="","",IFERROR(CHOOSE(VALUE(RIGHT(P551,1)),JUEVES!H224,JUEVES!K224,JUEVES!N224,JUEVES!Q224,JUEVES!T224),""))</f>
        <v/>
      </c>
      <c r="I551" s="49" t="str">
        <f t="shared" si="16"/>
        <v/>
      </c>
      <c r="J551" s="50" t="str">
        <f>IF(P551="","",IFERROR(ROUND(CHOOSE(VALUE(RIGHT(P551,1)),IF(JUEVES!C224="peso_corporal",IF(ISNUMBER(JUEVES!E224),JUEVES!E224,0)+JUEVES!F224,JUEVES!F224)*JUEVES!G224,IF(JUEVES!C224="peso_corporal",IF(ISNUMBER(JUEVES!E224),JUEVES!E224,0)+JUEVES!I224,JUEVES!I224)*JUEVES!J224,IF(JUEVES!C224="peso_corporal",IF(ISNUMBER(JUEVES!E224),JUEVES!E224,0)+JUEVES!L224,JUEVES!L224)*JUEVES!M224,IF(JUEVES!C224="peso_corporal",IF(ISNUMBER(JUEVES!E224),JUEVES!E224,0)+JUEVES!O224,JUEVES!O224)*JUEVES!P224,IF(JUEVES!C224="peso_corporal",IF(ISNUMBER(JUEVES!E224),JUEVES!E224,0)+JUEVES!R224,JUEVES!R224)*JUEVES!S224),1),""))</f>
        <v/>
      </c>
      <c r="K551" s="51" t="str">
        <f>IF(P551="","",IFERROR(ROUND(CHOOSE(VALUE(RIGHT(P551,1)),(IF(JUEVES!C224="peso_corporal",IF(ISNUMBER(JUEVES!E224),JUEVES!E224,0)+JUEVES!F224,JUEVES!F224))*(1+JUEVES!G224/30),(IF(JUEVES!C224="peso_corporal",IF(ISNUMBER(JUEVES!E224),JUEVES!E224,0)+JUEVES!I224,JUEVES!I224))*(1+JUEVES!J224/30),(IF(JUEVES!C224="peso_corporal",IF(ISNUMBER(JUEVES!E224),JUEVES!E224,0)+JUEVES!L224,JUEVES!L224))*(1+JUEVES!M224/30),(IF(JUEVES!C224="peso_corporal",IF(ISNUMBER(JUEVES!E224),JUEVES!E224,0)+JUEVES!O224,JUEVES!O224))*(1+JUEVES!P224/30),(IF(JUEVES!C224="peso_corporal",IF(ISNUMBER(JUEVES!E224),JUEVES!E224,0)+JUEVES!R224,JUEVES!R224))*(1+JUEVES!S224/30)),1),""))</f>
        <v/>
      </c>
      <c r="L551" s="52">
        <f>IFERROR(JUEVES!E224,"")</f>
        <v>80</v>
      </c>
      <c r="M551" s="53" t="str">
        <f>IFERROR(IF(K551="","-",IF(ISNUMBER(LOOKUP(2,1/((HISTORIAL!$O$3:$O$550=O551)*(HISTORIAL!$F$3:$F$550&lt;&gt;"")),HISTORIAL!$K$3:$K$550)),IF(K551&gt;LOOKUP(2,1/((HISTORIAL!$O$3:$O$550=O551)*(HISTORIAL!$F$3:$F$550&lt;&gt;"")),HISTORIAL!$K$3:$K$550),"^",IF(K551&lt;LOOKUP(2,1/((HISTORIAL!$O$3:$O$550=O551)*(HISTORIAL!$F$3:$F$550&lt;&gt;"")),HISTORIAL!$K$3:$K$550),"v","-")),"-")),"-")</f>
        <v>-</v>
      </c>
      <c r="N551" s="54" t="str">
        <f>IFERROR(VLOOKUP(A551,CONFIG!$A$10:$B$21,2,0),"")</f>
        <v>FUE</v>
      </c>
      <c r="O551" s="55" t="str">
        <f t="shared" si="17"/>
        <v>Aperturas|Pec Deck Maquina</v>
      </c>
      <c r="P551" s="69" t="str">
        <f>JUEVES!AC224</f>
        <v/>
      </c>
    </row>
    <row r="552" spans="1:16" ht="14.1" customHeight="1">
      <c r="A552" s="37">
        <v>9</v>
      </c>
      <c r="B552" s="37" t="s">
        <v>280</v>
      </c>
      <c r="C552" s="44" t="str">
        <f>JUEVES!$A$226</f>
        <v>Press Polea</v>
      </c>
      <c r="D552" s="45" t="str">
        <f>JUEVES!$B$226</f>
        <v>Barra Recta Diagonal Arriba</v>
      </c>
      <c r="E552" s="37" t="str">
        <f>JUEVES!$C$226</f>
        <v>polea</v>
      </c>
      <c r="F552" s="46" t="str">
        <f>IF(P552="","",IFERROR(CHOOSE(VALUE(RIGHT(P552,1)),JUEVES!F226,JUEVES!I226,JUEVES!L226,JUEVES!O226,JUEVES!R226),""))</f>
        <v/>
      </c>
      <c r="G552" s="47" t="str">
        <f>IF(P552="","",IFERROR(CHOOSE(VALUE(RIGHT(P552,1)),JUEVES!G226,JUEVES!J226,JUEVES!M226,JUEVES!P226,JUEVES!S226),""))</f>
        <v/>
      </c>
      <c r="H552" s="48" t="str">
        <f>IF(P552="","",IFERROR(CHOOSE(VALUE(RIGHT(P552,1)),JUEVES!H226,JUEVES!K226,JUEVES!N226,JUEVES!Q226,JUEVES!T226),""))</f>
        <v/>
      </c>
      <c r="I552" s="49" t="str">
        <f t="shared" si="16"/>
        <v/>
      </c>
      <c r="J552" s="50" t="str">
        <f>IF(P552="","",IFERROR(ROUND(CHOOSE(VALUE(RIGHT(P552,1)),IF(JUEVES!C226="peso_corporal",IF(ISNUMBER(JUEVES!E226),JUEVES!E226,0)+JUEVES!F226,JUEVES!F226)*JUEVES!G226,IF(JUEVES!C226="peso_corporal",IF(ISNUMBER(JUEVES!E226),JUEVES!E226,0)+JUEVES!I226,JUEVES!I226)*JUEVES!J226,IF(JUEVES!C226="peso_corporal",IF(ISNUMBER(JUEVES!E226),JUEVES!E226,0)+JUEVES!L226,JUEVES!L226)*JUEVES!M226,IF(JUEVES!C226="peso_corporal",IF(ISNUMBER(JUEVES!E226),JUEVES!E226,0)+JUEVES!O226,JUEVES!O226)*JUEVES!P226,IF(JUEVES!C226="peso_corporal",IF(ISNUMBER(JUEVES!E226),JUEVES!E226,0)+JUEVES!R226,JUEVES!R226)*JUEVES!S226),1),""))</f>
        <v/>
      </c>
      <c r="K552" s="51" t="str">
        <f>IF(P552="","",IFERROR(ROUND(CHOOSE(VALUE(RIGHT(P552,1)),(IF(JUEVES!C226="peso_corporal",IF(ISNUMBER(JUEVES!E226),JUEVES!E226,0)+JUEVES!F226,JUEVES!F226))*(1+JUEVES!G226/30),(IF(JUEVES!C226="peso_corporal",IF(ISNUMBER(JUEVES!E226),JUEVES!E226,0)+JUEVES!I226,JUEVES!I226))*(1+JUEVES!J226/30),(IF(JUEVES!C226="peso_corporal",IF(ISNUMBER(JUEVES!E226),JUEVES!E226,0)+JUEVES!L226,JUEVES!L226))*(1+JUEVES!M226/30),(IF(JUEVES!C226="peso_corporal",IF(ISNUMBER(JUEVES!E226),JUEVES!E226,0)+JUEVES!O226,JUEVES!O226))*(1+JUEVES!P226/30),(IF(JUEVES!C226="peso_corporal",IF(ISNUMBER(JUEVES!E226),JUEVES!E226,0)+JUEVES!R226,JUEVES!R226))*(1+JUEVES!S226/30)),1),""))</f>
        <v/>
      </c>
      <c r="L552" s="52">
        <f>IFERROR(JUEVES!E226,"")</f>
        <v>80</v>
      </c>
      <c r="M552" s="53" t="str">
        <f>IFERROR(IF(K552="","-",IF(ISNUMBER(LOOKUP(2,1/((HISTORIAL!$O$3:$O$551=O552)*(HISTORIAL!$F$3:$F$551&lt;&gt;"")),HISTORIAL!$K$3:$K$551)),IF(K552&gt;LOOKUP(2,1/((HISTORIAL!$O$3:$O$551=O552)*(HISTORIAL!$F$3:$F$551&lt;&gt;"")),HISTORIAL!$K$3:$K$551),"^",IF(K552&lt;LOOKUP(2,1/((HISTORIAL!$O$3:$O$551=O552)*(HISTORIAL!$F$3:$F$551&lt;&gt;"")),HISTORIAL!$K$3:$K$551),"v","-")),"-")),"-")</f>
        <v>-</v>
      </c>
      <c r="N552" s="54" t="str">
        <f>IFERROR(VLOOKUP(A552,CONFIG!$A$10:$B$21,2,0),"")</f>
        <v>FUE</v>
      </c>
      <c r="O552" s="55" t="str">
        <f t="shared" si="17"/>
        <v>Press Polea|Barra Recta Diagonal Arriba</v>
      </c>
      <c r="P552" s="69" t="str">
        <f>JUEVES!AC226</f>
        <v/>
      </c>
    </row>
    <row r="553" spans="1:16" ht="14.1" customHeight="1">
      <c r="A553" s="37">
        <v>9</v>
      </c>
      <c r="B553" s="37" t="s">
        <v>280</v>
      </c>
      <c r="C553" s="44" t="str">
        <f>JUEVES!$A$227</f>
        <v>Extension Triceps</v>
      </c>
      <c r="D553" s="45" t="str">
        <f>JUEVES!$B$227</f>
        <v>Polea Sobre Cabeza</v>
      </c>
      <c r="E553" s="37" t="str">
        <f>JUEVES!$C$227</f>
        <v>--</v>
      </c>
      <c r="F553" s="46" t="str">
        <f>IF(P553="","",IFERROR(CHOOSE(VALUE(RIGHT(P553,1)),JUEVES!F227,JUEVES!I227,JUEVES!L227,JUEVES!O227,JUEVES!R227),""))</f>
        <v/>
      </c>
      <c r="G553" s="47" t="str">
        <f>IF(P553="","",IFERROR(CHOOSE(VALUE(RIGHT(P553,1)),JUEVES!G227,JUEVES!J227,JUEVES!M227,JUEVES!P227,JUEVES!S227),""))</f>
        <v/>
      </c>
      <c r="H553" s="48" t="str">
        <f>IF(P553="","",IFERROR(CHOOSE(VALUE(RIGHT(P553,1)),JUEVES!H227,JUEVES!K227,JUEVES!N227,JUEVES!Q227,JUEVES!T227),""))</f>
        <v/>
      </c>
      <c r="I553" s="49" t="str">
        <f t="shared" si="16"/>
        <v/>
      </c>
      <c r="J553" s="50" t="str">
        <f>IF(P553="","",IFERROR(ROUND(CHOOSE(VALUE(RIGHT(P553,1)),IF(JUEVES!C227="peso_corporal",IF(ISNUMBER(JUEVES!E227),JUEVES!E227,0)+JUEVES!F227,JUEVES!F227)*JUEVES!G227,IF(JUEVES!C227="peso_corporal",IF(ISNUMBER(JUEVES!E227),JUEVES!E227,0)+JUEVES!I227,JUEVES!I227)*JUEVES!J227,IF(JUEVES!C227="peso_corporal",IF(ISNUMBER(JUEVES!E227),JUEVES!E227,0)+JUEVES!L227,JUEVES!L227)*JUEVES!M227,IF(JUEVES!C227="peso_corporal",IF(ISNUMBER(JUEVES!E227),JUEVES!E227,0)+JUEVES!O227,JUEVES!O227)*JUEVES!P227,IF(JUEVES!C227="peso_corporal",IF(ISNUMBER(JUEVES!E227),JUEVES!E227,0)+JUEVES!R227,JUEVES!R227)*JUEVES!S227),1),""))</f>
        <v/>
      </c>
      <c r="K553" s="51" t="str">
        <f>IF(P553="","",IFERROR(ROUND(CHOOSE(VALUE(RIGHT(P553,1)),(IF(JUEVES!C227="peso_corporal",IF(ISNUMBER(JUEVES!E227),JUEVES!E227,0)+JUEVES!F227,JUEVES!F227))*(1+JUEVES!G227/30),(IF(JUEVES!C227="peso_corporal",IF(ISNUMBER(JUEVES!E227),JUEVES!E227,0)+JUEVES!I227,JUEVES!I227))*(1+JUEVES!J227/30),(IF(JUEVES!C227="peso_corporal",IF(ISNUMBER(JUEVES!E227),JUEVES!E227,0)+JUEVES!L227,JUEVES!L227))*(1+JUEVES!M227/30),(IF(JUEVES!C227="peso_corporal",IF(ISNUMBER(JUEVES!E227),JUEVES!E227,0)+JUEVES!O227,JUEVES!O227))*(1+JUEVES!P227/30),(IF(JUEVES!C227="peso_corporal",IF(ISNUMBER(JUEVES!E227),JUEVES!E227,0)+JUEVES!R227,JUEVES!R227))*(1+JUEVES!S227/30)),1),""))</f>
        <v/>
      </c>
      <c r="L553" s="52">
        <f>IFERROR(JUEVES!E227,"")</f>
        <v>80</v>
      </c>
      <c r="M553" s="53" t="str">
        <f>IFERROR(IF(K553="","-",IF(ISNUMBER(LOOKUP(2,1/((HISTORIAL!$O$3:$O$552=O553)*(HISTORIAL!$F$3:$F$552&lt;&gt;"")),HISTORIAL!$K$3:$K$552)),IF(K553&gt;LOOKUP(2,1/((HISTORIAL!$O$3:$O$552=O553)*(HISTORIAL!$F$3:$F$552&lt;&gt;"")),HISTORIAL!$K$3:$K$552),"^",IF(K553&lt;LOOKUP(2,1/((HISTORIAL!$O$3:$O$552=O553)*(HISTORIAL!$F$3:$F$552&lt;&gt;"")),HISTORIAL!$K$3:$K$552),"v","-")),"-")),"-")</f>
        <v>-</v>
      </c>
      <c r="N553" s="54" t="str">
        <f>IFERROR(VLOOKUP(A553,CONFIG!$A$10:$B$21,2,0),"")</f>
        <v>FUE</v>
      </c>
      <c r="O553" s="55" t="str">
        <f t="shared" si="17"/>
        <v>Extension Triceps|Polea Sobre Cabeza</v>
      </c>
      <c r="P553" s="69" t="str">
        <f>JUEVES!AC227</f>
        <v/>
      </c>
    </row>
    <row r="554" spans="1:16" ht="14.1" customHeight="1">
      <c r="A554" s="37">
        <v>9</v>
      </c>
      <c r="B554" s="37" t="s">
        <v>280</v>
      </c>
      <c r="C554" s="44" t="str">
        <f>JUEVES!$A$229</f>
        <v>Extension Cuadriceps</v>
      </c>
      <c r="D554" s="45" t="str">
        <f>JUEVES!$B$229</f>
        <v>Vasto Interno</v>
      </c>
      <c r="E554" s="37" t="str">
        <f>JUEVES!$C$229</f>
        <v>--</v>
      </c>
      <c r="F554" s="46" t="str">
        <f>IF(P554="","",IFERROR(CHOOSE(VALUE(RIGHT(P554,1)),JUEVES!F229,JUEVES!I229,JUEVES!L229,JUEVES!O229,JUEVES!R229),""))</f>
        <v/>
      </c>
      <c r="G554" s="47" t="str">
        <f>IF(P554="","",IFERROR(CHOOSE(VALUE(RIGHT(P554,1)),JUEVES!G229,JUEVES!J229,JUEVES!M229,JUEVES!P229,JUEVES!S229),""))</f>
        <v/>
      </c>
      <c r="H554" s="48" t="str">
        <f>IF(P554="","",IFERROR(CHOOSE(VALUE(RIGHT(P554,1)),JUEVES!H229,JUEVES!K229,JUEVES!N229,JUEVES!Q229,JUEVES!T229),""))</f>
        <v/>
      </c>
      <c r="I554" s="49" t="str">
        <f t="shared" si="16"/>
        <v/>
      </c>
      <c r="J554" s="50" t="str">
        <f>IF(P554="","",IFERROR(ROUND(CHOOSE(VALUE(RIGHT(P554,1)),IF(JUEVES!C229="peso_corporal",IF(ISNUMBER(JUEVES!E229),JUEVES!E229,0)+JUEVES!F229,JUEVES!F229)*JUEVES!G229,IF(JUEVES!C229="peso_corporal",IF(ISNUMBER(JUEVES!E229),JUEVES!E229,0)+JUEVES!I229,JUEVES!I229)*JUEVES!J229,IF(JUEVES!C229="peso_corporal",IF(ISNUMBER(JUEVES!E229),JUEVES!E229,0)+JUEVES!L229,JUEVES!L229)*JUEVES!M229,IF(JUEVES!C229="peso_corporal",IF(ISNUMBER(JUEVES!E229),JUEVES!E229,0)+JUEVES!O229,JUEVES!O229)*JUEVES!P229,IF(JUEVES!C229="peso_corporal",IF(ISNUMBER(JUEVES!E229),JUEVES!E229,0)+JUEVES!R229,JUEVES!R229)*JUEVES!S229),1),""))</f>
        <v/>
      </c>
      <c r="K554" s="51" t="str">
        <f>IF(P554="","",IFERROR(ROUND(CHOOSE(VALUE(RIGHT(P554,1)),(IF(JUEVES!C229="peso_corporal",IF(ISNUMBER(JUEVES!E229),JUEVES!E229,0)+JUEVES!F229,JUEVES!F229))*(1+JUEVES!G229/30),(IF(JUEVES!C229="peso_corporal",IF(ISNUMBER(JUEVES!E229),JUEVES!E229,0)+JUEVES!I229,JUEVES!I229))*(1+JUEVES!J229/30),(IF(JUEVES!C229="peso_corporal",IF(ISNUMBER(JUEVES!E229),JUEVES!E229,0)+JUEVES!L229,JUEVES!L229))*(1+JUEVES!M229/30),(IF(JUEVES!C229="peso_corporal",IF(ISNUMBER(JUEVES!E229),JUEVES!E229,0)+JUEVES!O229,JUEVES!O229))*(1+JUEVES!P229/30),(IF(JUEVES!C229="peso_corporal",IF(ISNUMBER(JUEVES!E229),JUEVES!E229,0)+JUEVES!R229,JUEVES!R229))*(1+JUEVES!S229/30)),1),""))</f>
        <v/>
      </c>
      <c r="L554" s="52">
        <f>IFERROR(JUEVES!E229,"")</f>
        <v>80</v>
      </c>
      <c r="M554" s="53" t="str">
        <f>IFERROR(IF(K554="","-",IF(ISNUMBER(LOOKUP(2,1/((HISTORIAL!$O$3:$O$553=O554)*(HISTORIAL!$F$3:$F$553&lt;&gt;"")),HISTORIAL!$K$3:$K$553)),IF(K554&gt;LOOKUP(2,1/((HISTORIAL!$O$3:$O$553=O554)*(HISTORIAL!$F$3:$F$553&lt;&gt;"")),HISTORIAL!$K$3:$K$553),"^",IF(K554&lt;LOOKUP(2,1/((HISTORIAL!$O$3:$O$553=O554)*(HISTORIAL!$F$3:$F$553&lt;&gt;"")),HISTORIAL!$K$3:$K$553),"v","-")),"-")),"-")</f>
        <v>-</v>
      </c>
      <c r="N554" s="54" t="str">
        <f>IFERROR(VLOOKUP(A554,CONFIG!$A$10:$B$21,2,0),"")</f>
        <v>FUE</v>
      </c>
      <c r="O554" s="55" t="str">
        <f t="shared" si="17"/>
        <v>Extension Cuadriceps|Vasto Interno</v>
      </c>
      <c r="P554" s="69" t="str">
        <f>JUEVES!AC229</f>
        <v/>
      </c>
    </row>
    <row r="555" spans="1:16" ht="14.1" customHeight="1">
      <c r="A555" s="37">
        <v>9</v>
      </c>
      <c r="B555" s="37" t="s">
        <v>280</v>
      </c>
      <c r="C555" s="44" t="str">
        <f>JUEVES!$A$231</f>
        <v>Curl Biceps</v>
      </c>
      <c r="D555" s="45" t="str">
        <f>JUEVES!$B$231</f>
        <v>Concentrado Maquina</v>
      </c>
      <c r="E555" s="37" t="str">
        <f>JUEVES!$C$231</f>
        <v>polea</v>
      </c>
      <c r="F555" s="46" t="str">
        <f>IF(P555="","",IFERROR(CHOOSE(VALUE(RIGHT(P555,1)),JUEVES!F231,JUEVES!I231,JUEVES!L231,JUEVES!O231,JUEVES!R231),""))</f>
        <v/>
      </c>
      <c r="G555" s="47" t="str">
        <f>IF(P555="","",IFERROR(CHOOSE(VALUE(RIGHT(P555,1)),JUEVES!G231,JUEVES!J231,JUEVES!M231,JUEVES!P231,JUEVES!S231),""))</f>
        <v/>
      </c>
      <c r="H555" s="48" t="str">
        <f>IF(P555="","",IFERROR(CHOOSE(VALUE(RIGHT(P555,1)),JUEVES!H231,JUEVES!K231,JUEVES!N231,JUEVES!Q231,JUEVES!T231),""))</f>
        <v/>
      </c>
      <c r="I555" s="49" t="str">
        <f t="shared" si="16"/>
        <v/>
      </c>
      <c r="J555" s="50" t="str">
        <f>IF(P555="","",IFERROR(ROUND(CHOOSE(VALUE(RIGHT(P555,1)),IF(JUEVES!C231="peso_corporal",IF(ISNUMBER(JUEVES!E231),JUEVES!E231,0)+JUEVES!F231,JUEVES!F231)*JUEVES!G231,IF(JUEVES!C231="peso_corporal",IF(ISNUMBER(JUEVES!E231),JUEVES!E231,0)+JUEVES!I231,JUEVES!I231)*JUEVES!J231,IF(JUEVES!C231="peso_corporal",IF(ISNUMBER(JUEVES!E231),JUEVES!E231,0)+JUEVES!L231,JUEVES!L231)*JUEVES!M231,IF(JUEVES!C231="peso_corporal",IF(ISNUMBER(JUEVES!E231),JUEVES!E231,0)+JUEVES!O231,JUEVES!O231)*JUEVES!P231,IF(JUEVES!C231="peso_corporal",IF(ISNUMBER(JUEVES!E231),JUEVES!E231,0)+JUEVES!R231,JUEVES!R231)*JUEVES!S231),1),""))</f>
        <v/>
      </c>
      <c r="K555" s="51" t="str">
        <f>IF(P555="","",IFERROR(ROUND(CHOOSE(VALUE(RIGHT(P555,1)),(IF(JUEVES!C231="peso_corporal",IF(ISNUMBER(JUEVES!E231),JUEVES!E231,0)+JUEVES!F231,JUEVES!F231))*(1+JUEVES!G231/30),(IF(JUEVES!C231="peso_corporal",IF(ISNUMBER(JUEVES!E231),JUEVES!E231,0)+JUEVES!I231,JUEVES!I231))*(1+JUEVES!J231/30),(IF(JUEVES!C231="peso_corporal",IF(ISNUMBER(JUEVES!E231),JUEVES!E231,0)+JUEVES!L231,JUEVES!L231))*(1+JUEVES!M231/30),(IF(JUEVES!C231="peso_corporal",IF(ISNUMBER(JUEVES!E231),JUEVES!E231,0)+JUEVES!O231,JUEVES!O231))*(1+JUEVES!P231/30),(IF(JUEVES!C231="peso_corporal",IF(ISNUMBER(JUEVES!E231),JUEVES!E231,0)+JUEVES!R231,JUEVES!R231))*(1+JUEVES!S231/30)),1),""))</f>
        <v/>
      </c>
      <c r="L555" s="52">
        <f>IFERROR(JUEVES!E231,"")</f>
        <v>80</v>
      </c>
      <c r="M555" s="53" t="str">
        <f>IFERROR(IF(K555="","-",IF(ISNUMBER(LOOKUP(2,1/((HISTORIAL!$O$3:$O$554=O555)*(HISTORIAL!$F$3:$F$554&lt;&gt;"")),HISTORIAL!$K$3:$K$554)),IF(K555&gt;LOOKUP(2,1/((HISTORIAL!$O$3:$O$554=O555)*(HISTORIAL!$F$3:$F$554&lt;&gt;"")),HISTORIAL!$K$3:$K$554),"^",IF(K555&lt;LOOKUP(2,1/((HISTORIAL!$O$3:$O$554=O555)*(HISTORIAL!$F$3:$F$554&lt;&gt;"")),HISTORIAL!$K$3:$K$554),"v","-")),"-")),"-")</f>
        <v>-</v>
      </c>
      <c r="N555" s="54" t="str">
        <f>IFERROR(VLOOKUP(A555,CONFIG!$A$10:$B$21,2,0),"")</f>
        <v>FUE</v>
      </c>
      <c r="O555" s="55" t="str">
        <f t="shared" si="17"/>
        <v>Curl Biceps|Concentrado Maquina</v>
      </c>
      <c r="P555" s="69" t="str">
        <f>JUEVES!AC231</f>
        <v/>
      </c>
    </row>
    <row r="556" spans="1:16" ht="14.1" customHeight="1">
      <c r="A556" s="37">
        <v>9</v>
      </c>
      <c r="B556" s="37" t="s">
        <v>280</v>
      </c>
      <c r="C556" s="44" t="str">
        <f>JUEVES!$A$233</f>
        <v>Crunch</v>
      </c>
      <c r="D556" s="45" t="str">
        <f>JUEVES!$B$233</f>
        <v>Polea</v>
      </c>
      <c r="E556" s="37" t="str">
        <f>JUEVES!$C$233</f>
        <v>polea</v>
      </c>
      <c r="F556" s="46" t="str">
        <f>IF(P556="","",IFERROR(CHOOSE(VALUE(RIGHT(P556,1)),JUEVES!F233,JUEVES!I233,JUEVES!L233,JUEVES!O233,JUEVES!R233),""))</f>
        <v/>
      </c>
      <c r="G556" s="47" t="str">
        <f>IF(P556="","",IFERROR(CHOOSE(VALUE(RIGHT(P556,1)),JUEVES!G233,JUEVES!J233,JUEVES!M233,JUEVES!P233,JUEVES!S233),""))</f>
        <v/>
      </c>
      <c r="H556" s="48" t="str">
        <f>IF(P556="","",IFERROR(CHOOSE(VALUE(RIGHT(P556,1)),JUEVES!H233,JUEVES!K233,JUEVES!N233,JUEVES!Q233,JUEVES!T233),""))</f>
        <v/>
      </c>
      <c r="I556" s="49" t="str">
        <f t="shared" si="16"/>
        <v/>
      </c>
      <c r="J556" s="50" t="str">
        <f>IF(P556="","",IFERROR(ROUND(CHOOSE(VALUE(RIGHT(P556,1)),IF(JUEVES!C233="peso_corporal",IF(ISNUMBER(JUEVES!E233),JUEVES!E233,0)+JUEVES!F233,JUEVES!F233)*JUEVES!G233,IF(JUEVES!C233="peso_corporal",IF(ISNUMBER(JUEVES!E233),JUEVES!E233,0)+JUEVES!I233,JUEVES!I233)*JUEVES!J233,IF(JUEVES!C233="peso_corporal",IF(ISNUMBER(JUEVES!E233),JUEVES!E233,0)+JUEVES!L233,JUEVES!L233)*JUEVES!M233,IF(JUEVES!C233="peso_corporal",IF(ISNUMBER(JUEVES!E233),JUEVES!E233,0)+JUEVES!O233,JUEVES!O233)*JUEVES!P233,IF(JUEVES!C233="peso_corporal",IF(ISNUMBER(JUEVES!E233),JUEVES!E233,0)+JUEVES!R233,JUEVES!R233)*JUEVES!S233),1),""))</f>
        <v/>
      </c>
      <c r="K556" s="51" t="str">
        <f>IF(P556="","",IFERROR(ROUND(CHOOSE(VALUE(RIGHT(P556,1)),(IF(JUEVES!C233="peso_corporal",IF(ISNUMBER(JUEVES!E233),JUEVES!E233,0)+JUEVES!F233,JUEVES!F233))*(1+JUEVES!G233/30),(IF(JUEVES!C233="peso_corporal",IF(ISNUMBER(JUEVES!E233),JUEVES!E233,0)+JUEVES!I233,JUEVES!I233))*(1+JUEVES!J233/30),(IF(JUEVES!C233="peso_corporal",IF(ISNUMBER(JUEVES!E233),JUEVES!E233,0)+JUEVES!L233,JUEVES!L233))*(1+JUEVES!M233/30),(IF(JUEVES!C233="peso_corporal",IF(ISNUMBER(JUEVES!E233),JUEVES!E233,0)+JUEVES!O233,JUEVES!O233))*(1+JUEVES!P233/30),(IF(JUEVES!C233="peso_corporal",IF(ISNUMBER(JUEVES!E233),JUEVES!E233,0)+JUEVES!R233,JUEVES!R233))*(1+JUEVES!S233/30)),1),""))</f>
        <v/>
      </c>
      <c r="L556" s="52">
        <f>IFERROR(JUEVES!E233,"")</f>
        <v>80</v>
      </c>
      <c r="M556" s="53" t="str">
        <f>IFERROR(IF(K556="","-",IF(ISNUMBER(LOOKUP(2,1/((HISTORIAL!$O$3:$O$555=O556)*(HISTORIAL!$F$3:$F$555&lt;&gt;"")),HISTORIAL!$K$3:$K$555)),IF(K556&gt;LOOKUP(2,1/((HISTORIAL!$O$3:$O$555=O556)*(HISTORIAL!$F$3:$F$555&lt;&gt;"")),HISTORIAL!$K$3:$K$555),"^",IF(K556&lt;LOOKUP(2,1/((HISTORIAL!$O$3:$O$555=O556)*(HISTORIAL!$F$3:$F$555&lt;&gt;"")),HISTORIAL!$K$3:$K$555),"v","-")),"-")),"-")</f>
        <v>-</v>
      </c>
      <c r="N556" s="54" t="str">
        <f>IFERROR(VLOOKUP(A556,CONFIG!$A$10:$B$21,2,0),"")</f>
        <v>FUE</v>
      </c>
      <c r="O556" s="55" t="str">
        <f t="shared" si="17"/>
        <v>Crunch|Polea</v>
      </c>
      <c r="P556" s="69" t="str">
        <f>JUEVES!AC233</f>
        <v/>
      </c>
    </row>
    <row r="557" spans="1:16" ht="14.1" customHeight="1">
      <c r="A557" s="37">
        <v>9</v>
      </c>
      <c r="B557" s="37" t="s">
        <v>281</v>
      </c>
      <c r="C557" s="44" t="str">
        <f>SABADO!$A$205</f>
        <v>Pulldown</v>
      </c>
      <c r="D557" s="45" t="str">
        <f>SABADO!$B$205</f>
        <v>Polea Alta Brazos Rectos Prono</v>
      </c>
      <c r="E557" s="37" t="str">
        <f>SABADO!$C$205</f>
        <v>polea</v>
      </c>
      <c r="F557" s="46" t="str">
        <f>IF(P557="","",IFERROR(CHOOSE(VALUE(RIGHT(P557,1)),SABADO!F205,SABADO!I205,SABADO!L205,SABADO!O205,SABADO!R205),""))</f>
        <v/>
      </c>
      <c r="G557" s="47" t="str">
        <f>IF(P557="","",IFERROR(CHOOSE(VALUE(RIGHT(P557,1)),SABADO!G205,SABADO!J205,SABADO!M205,SABADO!P205,SABADO!S205),""))</f>
        <v/>
      </c>
      <c r="H557" s="48" t="str">
        <f>IF(P557="","",IFERROR(CHOOSE(VALUE(RIGHT(P557,1)),SABADO!H205,SABADO!K205,SABADO!N205,SABADO!Q205,SABADO!T205),""))</f>
        <v/>
      </c>
      <c r="I557" s="49" t="str">
        <f t="shared" si="16"/>
        <v/>
      </c>
      <c r="J557" s="50" t="str">
        <f>IF(P557="","",IFERROR(ROUND(CHOOSE(VALUE(RIGHT(P557,1)),IF(SABADO!C205="peso_corporal",IF(ISNUMBER(SABADO!E205),SABADO!E205,0)+SABADO!F205,SABADO!F205)*SABADO!G205,IF(SABADO!C205="peso_corporal",IF(ISNUMBER(SABADO!E205),SABADO!E205,0)+SABADO!I205,SABADO!I205)*SABADO!J205,IF(SABADO!C205="peso_corporal",IF(ISNUMBER(SABADO!E205),SABADO!E205,0)+SABADO!L205,SABADO!L205)*SABADO!M205,IF(SABADO!C205="peso_corporal",IF(ISNUMBER(SABADO!E205),SABADO!E205,0)+SABADO!O205,SABADO!O205)*SABADO!P205,IF(SABADO!C205="peso_corporal",IF(ISNUMBER(SABADO!E205),SABADO!E205,0)+SABADO!R205,SABADO!R205)*SABADO!S205),1),""))</f>
        <v/>
      </c>
      <c r="K557" s="51" t="str">
        <f>IF(P557="","",IFERROR(ROUND(CHOOSE(VALUE(RIGHT(P557,1)),(IF(SABADO!C205="peso_corporal",IF(ISNUMBER(SABADO!E205),SABADO!E205,0)+SABADO!F205,SABADO!F205))*(1+SABADO!G205/30),(IF(SABADO!C205="peso_corporal",IF(ISNUMBER(SABADO!E205),SABADO!E205,0)+SABADO!I205,SABADO!I205))*(1+SABADO!J205/30),(IF(SABADO!C205="peso_corporal",IF(ISNUMBER(SABADO!E205),SABADO!E205,0)+SABADO!L205,SABADO!L205))*(1+SABADO!M205/30),(IF(SABADO!C205="peso_corporal",IF(ISNUMBER(SABADO!E205),SABADO!E205,0)+SABADO!O205,SABADO!O205))*(1+SABADO!P205/30),(IF(SABADO!C205="peso_corporal",IF(ISNUMBER(SABADO!E205),SABADO!E205,0)+SABADO!R205,SABADO!R205))*(1+SABADO!S205/30)),1),""))</f>
        <v/>
      </c>
      <c r="L557" s="52">
        <f>IFERROR(SABADO!E205,"")</f>
        <v>80</v>
      </c>
      <c r="M557" s="53" t="str">
        <f>IFERROR(IF(K557="","-",IF(ISNUMBER(LOOKUP(2,1/((HISTORIAL!$O$3:$O$556=O557)*(HISTORIAL!$F$3:$F$556&lt;&gt;"")),HISTORIAL!$K$3:$K$556)),IF(K557&gt;LOOKUP(2,1/((HISTORIAL!$O$3:$O$556=O557)*(HISTORIAL!$F$3:$F$556&lt;&gt;"")),HISTORIAL!$K$3:$K$556),"^",IF(K557&lt;LOOKUP(2,1/((HISTORIAL!$O$3:$O$556=O557)*(HISTORIAL!$F$3:$F$556&lt;&gt;"")),HISTORIAL!$K$3:$K$556),"v","-")),"-")),"-")</f>
        <v>-</v>
      </c>
      <c r="N557" s="54" t="str">
        <f>IFERROR(VLOOKUP(A557,CONFIG!$A$10:$B$21,2,0),"")</f>
        <v>FUE</v>
      </c>
      <c r="O557" s="55" t="str">
        <f t="shared" si="17"/>
        <v>Pulldown|Polea Alta Brazos Rectos Prono</v>
      </c>
      <c r="P557" s="69" t="str">
        <f>SABADO!AC205</f>
        <v/>
      </c>
    </row>
    <row r="558" spans="1:16" ht="14.1" customHeight="1">
      <c r="A558" s="37">
        <v>9</v>
      </c>
      <c r="B558" s="37" t="s">
        <v>281</v>
      </c>
      <c r="C558" s="44" t="str">
        <f>SABADO!$A$207</f>
        <v>Remo</v>
      </c>
      <c r="D558" s="45" t="str">
        <f>SABADO!$B$207</f>
        <v>Maquina Neutro Estrecho</v>
      </c>
      <c r="E558" s="37" t="str">
        <f>SABADO!$C$207</f>
        <v>polea</v>
      </c>
      <c r="F558" s="46" t="str">
        <f>IF(P558="","",IFERROR(CHOOSE(VALUE(RIGHT(P558,1)),SABADO!F207,SABADO!I207,SABADO!L207,SABADO!O207,SABADO!R207),""))</f>
        <v/>
      </c>
      <c r="G558" s="47" t="str">
        <f>IF(P558="","",IFERROR(CHOOSE(VALUE(RIGHT(P558,1)),SABADO!G207,SABADO!J207,SABADO!M207,SABADO!P207,SABADO!S207),""))</f>
        <v/>
      </c>
      <c r="H558" s="48" t="str">
        <f>IF(P558="","",IFERROR(CHOOSE(VALUE(RIGHT(P558,1)),SABADO!H207,SABADO!K207,SABADO!N207,SABADO!Q207,SABADO!T207),""))</f>
        <v/>
      </c>
      <c r="I558" s="49" t="str">
        <f t="shared" si="16"/>
        <v/>
      </c>
      <c r="J558" s="50" t="str">
        <f>IF(P558="","",IFERROR(ROUND(CHOOSE(VALUE(RIGHT(P558,1)),IF(SABADO!C207="peso_corporal",IF(ISNUMBER(SABADO!E207),SABADO!E207,0)+SABADO!F207,SABADO!F207)*SABADO!G207,IF(SABADO!C207="peso_corporal",IF(ISNUMBER(SABADO!E207),SABADO!E207,0)+SABADO!I207,SABADO!I207)*SABADO!J207,IF(SABADO!C207="peso_corporal",IF(ISNUMBER(SABADO!E207),SABADO!E207,0)+SABADO!L207,SABADO!L207)*SABADO!M207,IF(SABADO!C207="peso_corporal",IF(ISNUMBER(SABADO!E207),SABADO!E207,0)+SABADO!O207,SABADO!O207)*SABADO!P207,IF(SABADO!C207="peso_corporal",IF(ISNUMBER(SABADO!E207),SABADO!E207,0)+SABADO!R207,SABADO!R207)*SABADO!S207),1),""))</f>
        <v/>
      </c>
      <c r="K558" s="51" t="str">
        <f>IF(P558="","",IFERROR(ROUND(CHOOSE(VALUE(RIGHT(P558,1)),(IF(SABADO!C207="peso_corporal",IF(ISNUMBER(SABADO!E207),SABADO!E207,0)+SABADO!F207,SABADO!F207))*(1+SABADO!G207/30),(IF(SABADO!C207="peso_corporal",IF(ISNUMBER(SABADO!E207),SABADO!E207,0)+SABADO!I207,SABADO!I207))*(1+SABADO!J207/30),(IF(SABADO!C207="peso_corporal",IF(ISNUMBER(SABADO!E207),SABADO!E207,0)+SABADO!L207,SABADO!L207))*(1+SABADO!M207/30),(IF(SABADO!C207="peso_corporal",IF(ISNUMBER(SABADO!E207),SABADO!E207,0)+SABADO!O207,SABADO!O207))*(1+SABADO!P207/30),(IF(SABADO!C207="peso_corporal",IF(ISNUMBER(SABADO!E207),SABADO!E207,0)+SABADO!R207,SABADO!R207))*(1+SABADO!S207/30)),1),""))</f>
        <v/>
      </c>
      <c r="L558" s="52">
        <f>IFERROR(SABADO!E207,"")</f>
        <v>80</v>
      </c>
      <c r="M558" s="53" t="str">
        <f>IFERROR(IF(K558="","-",IF(ISNUMBER(LOOKUP(2,1/((HISTORIAL!$O$3:$O$557=O558)*(HISTORIAL!$F$3:$F$557&lt;&gt;"")),HISTORIAL!$K$3:$K$557)),IF(K558&gt;LOOKUP(2,1/((HISTORIAL!$O$3:$O$557=O558)*(HISTORIAL!$F$3:$F$557&lt;&gt;"")),HISTORIAL!$K$3:$K$557),"^",IF(K558&lt;LOOKUP(2,1/((HISTORIAL!$O$3:$O$557=O558)*(HISTORIAL!$F$3:$F$557&lt;&gt;"")),HISTORIAL!$K$3:$K$557),"v","-")),"-")),"-")</f>
        <v>-</v>
      </c>
      <c r="N558" s="54" t="str">
        <f>IFERROR(VLOOKUP(A558,CONFIG!$A$10:$B$21,2,0),"")</f>
        <v>FUE</v>
      </c>
      <c r="O558" s="55" t="str">
        <f t="shared" si="17"/>
        <v>Remo|Maquina Neutro Estrecho</v>
      </c>
      <c r="P558" s="69" t="str">
        <f>SABADO!AC207</f>
        <v/>
      </c>
    </row>
    <row r="559" spans="1:16" ht="14.1" customHeight="1">
      <c r="A559" s="37">
        <v>9</v>
      </c>
      <c r="B559" s="37" t="s">
        <v>281</v>
      </c>
      <c r="C559" s="44" t="str">
        <f>SABADO!$A$208</f>
        <v>Remo</v>
      </c>
      <c r="D559" s="45" t="str">
        <f>SABADO!$B$208</f>
        <v>Maquina Neutro Ancho</v>
      </c>
      <c r="E559" s="37" t="str">
        <f>SABADO!$C$208</f>
        <v>polea</v>
      </c>
      <c r="F559" s="46" t="str">
        <f>IF(P559="","",IFERROR(CHOOSE(VALUE(RIGHT(P559,1)),SABADO!F208,SABADO!I208,SABADO!L208,SABADO!O208,SABADO!R208),""))</f>
        <v/>
      </c>
      <c r="G559" s="47" t="str">
        <f>IF(P559="","",IFERROR(CHOOSE(VALUE(RIGHT(P559,1)),SABADO!G208,SABADO!J208,SABADO!M208,SABADO!P208,SABADO!S208),""))</f>
        <v/>
      </c>
      <c r="H559" s="48" t="str">
        <f>IF(P559="","",IFERROR(CHOOSE(VALUE(RIGHT(P559,1)),SABADO!H208,SABADO!K208,SABADO!N208,SABADO!Q208,SABADO!T208),""))</f>
        <v/>
      </c>
      <c r="I559" s="49" t="str">
        <f t="shared" si="16"/>
        <v/>
      </c>
      <c r="J559" s="50" t="str">
        <f>IF(P559="","",IFERROR(ROUND(CHOOSE(VALUE(RIGHT(P559,1)),IF(SABADO!C208="peso_corporal",IF(ISNUMBER(SABADO!E208),SABADO!E208,0)+SABADO!F208,SABADO!F208)*SABADO!G208,IF(SABADO!C208="peso_corporal",IF(ISNUMBER(SABADO!E208),SABADO!E208,0)+SABADO!I208,SABADO!I208)*SABADO!J208,IF(SABADO!C208="peso_corporal",IF(ISNUMBER(SABADO!E208),SABADO!E208,0)+SABADO!L208,SABADO!L208)*SABADO!M208,IF(SABADO!C208="peso_corporal",IF(ISNUMBER(SABADO!E208),SABADO!E208,0)+SABADO!O208,SABADO!O208)*SABADO!P208,IF(SABADO!C208="peso_corporal",IF(ISNUMBER(SABADO!E208),SABADO!E208,0)+SABADO!R208,SABADO!R208)*SABADO!S208),1),""))</f>
        <v/>
      </c>
      <c r="K559" s="51" t="str">
        <f>IF(P559="","",IFERROR(ROUND(CHOOSE(VALUE(RIGHT(P559,1)),(IF(SABADO!C208="peso_corporal",IF(ISNUMBER(SABADO!E208),SABADO!E208,0)+SABADO!F208,SABADO!F208))*(1+SABADO!G208/30),(IF(SABADO!C208="peso_corporal",IF(ISNUMBER(SABADO!E208),SABADO!E208,0)+SABADO!I208,SABADO!I208))*(1+SABADO!J208/30),(IF(SABADO!C208="peso_corporal",IF(ISNUMBER(SABADO!E208),SABADO!E208,0)+SABADO!L208,SABADO!L208))*(1+SABADO!M208/30),(IF(SABADO!C208="peso_corporal",IF(ISNUMBER(SABADO!E208),SABADO!E208,0)+SABADO!O208,SABADO!O208))*(1+SABADO!P208/30),(IF(SABADO!C208="peso_corporal",IF(ISNUMBER(SABADO!E208),SABADO!E208,0)+SABADO!R208,SABADO!R208))*(1+SABADO!S208/30)),1),""))</f>
        <v/>
      </c>
      <c r="L559" s="52">
        <f>IFERROR(SABADO!E208,"")</f>
        <v>80</v>
      </c>
      <c r="M559" s="53" t="str">
        <f>IFERROR(IF(K559="","-",IF(ISNUMBER(LOOKUP(2,1/((HISTORIAL!$O$3:$O$558=O559)*(HISTORIAL!$F$3:$F$558&lt;&gt;"")),HISTORIAL!$K$3:$K$558)),IF(K559&gt;LOOKUP(2,1/((HISTORIAL!$O$3:$O$558=O559)*(HISTORIAL!$F$3:$F$558&lt;&gt;"")),HISTORIAL!$K$3:$K$558),"^",IF(K559&lt;LOOKUP(2,1/((HISTORIAL!$O$3:$O$558=O559)*(HISTORIAL!$F$3:$F$558&lt;&gt;"")),HISTORIAL!$K$3:$K$558),"v","-")),"-")),"-")</f>
        <v>-</v>
      </c>
      <c r="N559" s="54" t="str">
        <f>IFERROR(VLOOKUP(A559,CONFIG!$A$10:$B$21,2,0),"")</f>
        <v>FUE</v>
      </c>
      <c r="O559" s="55" t="str">
        <f t="shared" si="17"/>
        <v>Remo|Maquina Neutro Ancho</v>
      </c>
      <c r="P559" s="69" t="str">
        <f>SABADO!AC208</f>
        <v/>
      </c>
    </row>
    <row r="560" spans="1:16" ht="14.1" customHeight="1">
      <c r="A560" s="37">
        <v>9</v>
      </c>
      <c r="B560" s="37" t="s">
        <v>281</v>
      </c>
      <c r="C560" s="44" t="str">
        <f>SABADO!$A$209</f>
        <v>Peck Deck Invertida</v>
      </c>
      <c r="D560" s="45" t="str">
        <f>SABADO!$B$209</f>
        <v>Maquina</v>
      </c>
      <c r="E560" s="37" t="str">
        <f>SABADO!$C$209</f>
        <v>polea</v>
      </c>
      <c r="F560" s="46" t="str">
        <f>IF(P560="","",IFERROR(CHOOSE(VALUE(RIGHT(P560,1)),SABADO!F209,SABADO!I209,SABADO!L209,SABADO!O209,SABADO!R209),""))</f>
        <v/>
      </c>
      <c r="G560" s="47" t="str">
        <f>IF(P560="","",IFERROR(CHOOSE(VALUE(RIGHT(P560,1)),SABADO!G209,SABADO!J209,SABADO!M209,SABADO!P209,SABADO!S209),""))</f>
        <v/>
      </c>
      <c r="H560" s="48" t="str">
        <f>IF(P560="","",IFERROR(CHOOSE(VALUE(RIGHT(P560,1)),SABADO!H209,SABADO!K209,SABADO!N209,SABADO!Q209,SABADO!T209),""))</f>
        <v/>
      </c>
      <c r="I560" s="49" t="str">
        <f t="shared" si="16"/>
        <v/>
      </c>
      <c r="J560" s="50" t="str">
        <f>IF(P560="","",IFERROR(ROUND(CHOOSE(VALUE(RIGHT(P560,1)),IF(SABADO!C209="peso_corporal",IF(ISNUMBER(SABADO!E209),SABADO!E209,0)+SABADO!F209,SABADO!F209)*SABADO!G209,IF(SABADO!C209="peso_corporal",IF(ISNUMBER(SABADO!E209),SABADO!E209,0)+SABADO!I209,SABADO!I209)*SABADO!J209,IF(SABADO!C209="peso_corporal",IF(ISNUMBER(SABADO!E209),SABADO!E209,0)+SABADO!L209,SABADO!L209)*SABADO!M209,IF(SABADO!C209="peso_corporal",IF(ISNUMBER(SABADO!E209),SABADO!E209,0)+SABADO!O209,SABADO!O209)*SABADO!P209,IF(SABADO!C209="peso_corporal",IF(ISNUMBER(SABADO!E209),SABADO!E209,0)+SABADO!R209,SABADO!R209)*SABADO!S209),1),""))</f>
        <v/>
      </c>
      <c r="K560" s="51" t="str">
        <f>IF(P560="","",IFERROR(ROUND(CHOOSE(VALUE(RIGHT(P560,1)),(IF(SABADO!C209="peso_corporal",IF(ISNUMBER(SABADO!E209),SABADO!E209,0)+SABADO!F209,SABADO!F209))*(1+SABADO!G209/30),(IF(SABADO!C209="peso_corporal",IF(ISNUMBER(SABADO!E209),SABADO!E209,0)+SABADO!I209,SABADO!I209))*(1+SABADO!J209/30),(IF(SABADO!C209="peso_corporal",IF(ISNUMBER(SABADO!E209),SABADO!E209,0)+SABADO!L209,SABADO!L209))*(1+SABADO!M209/30),(IF(SABADO!C209="peso_corporal",IF(ISNUMBER(SABADO!E209),SABADO!E209,0)+SABADO!O209,SABADO!O209))*(1+SABADO!P209/30),(IF(SABADO!C209="peso_corporal",IF(ISNUMBER(SABADO!E209),SABADO!E209,0)+SABADO!R209,SABADO!R209))*(1+SABADO!S209/30)),1),""))</f>
        <v/>
      </c>
      <c r="L560" s="52">
        <f>IFERROR(SABADO!E209,"")</f>
        <v>80</v>
      </c>
      <c r="M560" s="53" t="str">
        <f>IFERROR(IF(K560="","-",IF(ISNUMBER(LOOKUP(2,1/((HISTORIAL!$O$3:$O$559=O560)*(HISTORIAL!$F$3:$F$559&lt;&gt;"")),HISTORIAL!$K$3:$K$559)),IF(K560&gt;LOOKUP(2,1/((HISTORIAL!$O$3:$O$559=O560)*(HISTORIAL!$F$3:$F$559&lt;&gt;"")),HISTORIAL!$K$3:$K$559),"^",IF(K560&lt;LOOKUP(2,1/((HISTORIAL!$O$3:$O$559=O560)*(HISTORIAL!$F$3:$F$559&lt;&gt;"")),HISTORIAL!$K$3:$K$559),"v","-")),"-")),"-")</f>
        <v>-</v>
      </c>
      <c r="N560" s="54" t="str">
        <f>IFERROR(VLOOKUP(A560,CONFIG!$A$10:$B$21,2,0),"")</f>
        <v>FUE</v>
      </c>
      <c r="O560" s="55" t="str">
        <f t="shared" si="17"/>
        <v>Peck Deck Invertida|Maquina</v>
      </c>
      <c r="P560" s="69" t="str">
        <f>SABADO!AC209</f>
        <v/>
      </c>
    </row>
    <row r="561" spans="1:16" ht="14.1" customHeight="1">
      <c r="A561" s="37">
        <v>9</v>
      </c>
      <c r="B561" s="37" t="s">
        <v>281</v>
      </c>
      <c r="C561" s="44" t="str">
        <f>SABADO!$A$211</f>
        <v>Curl Biceps</v>
      </c>
      <c r="D561" s="45" t="str">
        <f>SABADO!$B$211</f>
        <v>Concentrado Maquina</v>
      </c>
      <c r="E561" s="37" t="str">
        <f>SABADO!$C$211</f>
        <v>polea</v>
      </c>
      <c r="F561" s="46" t="str">
        <f>IF(P561="","",IFERROR(CHOOSE(VALUE(RIGHT(P561,1)),SABADO!F211,SABADO!I211,SABADO!L211,SABADO!O211,SABADO!R211),""))</f>
        <v/>
      </c>
      <c r="G561" s="47" t="str">
        <f>IF(P561="","",IFERROR(CHOOSE(VALUE(RIGHT(P561,1)),SABADO!G211,SABADO!J211,SABADO!M211,SABADO!P211,SABADO!S211),""))</f>
        <v/>
      </c>
      <c r="H561" s="48" t="str">
        <f>IF(P561="","",IFERROR(CHOOSE(VALUE(RIGHT(P561,1)),SABADO!H211,SABADO!K211,SABADO!N211,SABADO!Q211,SABADO!T211),""))</f>
        <v/>
      </c>
      <c r="I561" s="49" t="str">
        <f t="shared" si="16"/>
        <v/>
      </c>
      <c r="J561" s="50" t="str">
        <f>IF(P561="","",IFERROR(ROUND(CHOOSE(VALUE(RIGHT(P561,1)),IF(SABADO!C211="peso_corporal",IF(ISNUMBER(SABADO!E211),SABADO!E211,0)+SABADO!F211,SABADO!F211)*SABADO!G211,IF(SABADO!C211="peso_corporal",IF(ISNUMBER(SABADO!E211),SABADO!E211,0)+SABADO!I211,SABADO!I211)*SABADO!J211,IF(SABADO!C211="peso_corporal",IF(ISNUMBER(SABADO!E211),SABADO!E211,0)+SABADO!L211,SABADO!L211)*SABADO!M211,IF(SABADO!C211="peso_corporal",IF(ISNUMBER(SABADO!E211),SABADO!E211,0)+SABADO!O211,SABADO!O211)*SABADO!P211,IF(SABADO!C211="peso_corporal",IF(ISNUMBER(SABADO!E211),SABADO!E211,0)+SABADO!R211,SABADO!R211)*SABADO!S211),1),""))</f>
        <v/>
      </c>
      <c r="K561" s="51" t="str">
        <f>IF(P561="","",IFERROR(ROUND(CHOOSE(VALUE(RIGHT(P561,1)),(IF(SABADO!C211="peso_corporal",IF(ISNUMBER(SABADO!E211),SABADO!E211,0)+SABADO!F211,SABADO!F211))*(1+SABADO!G211/30),(IF(SABADO!C211="peso_corporal",IF(ISNUMBER(SABADO!E211),SABADO!E211,0)+SABADO!I211,SABADO!I211))*(1+SABADO!J211/30),(IF(SABADO!C211="peso_corporal",IF(ISNUMBER(SABADO!E211),SABADO!E211,0)+SABADO!L211,SABADO!L211))*(1+SABADO!M211/30),(IF(SABADO!C211="peso_corporal",IF(ISNUMBER(SABADO!E211),SABADO!E211,0)+SABADO!O211,SABADO!O211))*(1+SABADO!P211/30),(IF(SABADO!C211="peso_corporal",IF(ISNUMBER(SABADO!E211),SABADO!E211,0)+SABADO!R211,SABADO!R211))*(1+SABADO!S211/30)),1),""))</f>
        <v/>
      </c>
      <c r="L561" s="52">
        <f>IFERROR(SABADO!E211,"")</f>
        <v>80</v>
      </c>
      <c r="M561" s="53" t="str">
        <f>IFERROR(IF(K561="","-",IF(ISNUMBER(LOOKUP(2,1/((HISTORIAL!$O$3:$O$560=O561)*(HISTORIAL!$F$3:$F$560&lt;&gt;"")),HISTORIAL!$K$3:$K$560)),IF(K561&gt;LOOKUP(2,1/((HISTORIAL!$O$3:$O$560=O561)*(HISTORIAL!$F$3:$F$560&lt;&gt;"")),HISTORIAL!$K$3:$K$560),"^",IF(K561&lt;LOOKUP(2,1/((HISTORIAL!$O$3:$O$560=O561)*(HISTORIAL!$F$3:$F$560&lt;&gt;"")),HISTORIAL!$K$3:$K$560),"v","-")),"-")),"-")</f>
        <v>-</v>
      </c>
      <c r="N561" s="54" t="str">
        <f>IFERROR(VLOOKUP(A561,CONFIG!$A$10:$B$21,2,0),"")</f>
        <v>FUE</v>
      </c>
      <c r="O561" s="55" t="str">
        <f t="shared" si="17"/>
        <v>Curl Biceps|Concentrado Maquina</v>
      </c>
      <c r="P561" s="69" t="str">
        <f>SABADO!AC211</f>
        <v/>
      </c>
    </row>
    <row r="562" spans="1:16" ht="14.1" customHeight="1">
      <c r="A562" s="37">
        <v>9</v>
      </c>
      <c r="B562" s="37" t="s">
        <v>281</v>
      </c>
      <c r="C562" s="44" t="str">
        <f>SABADO!$A$212</f>
        <v>Curl Martillo</v>
      </c>
      <c r="D562" s="45" t="str">
        <f>SABADO!$B$212</f>
        <v>Polea Individual</v>
      </c>
      <c r="E562" s="37" t="str">
        <f>SABADO!$C$212</f>
        <v>polea</v>
      </c>
      <c r="F562" s="46" t="str">
        <f>IF(P562="","",IFERROR(CHOOSE(VALUE(RIGHT(P562,1)),SABADO!F212,SABADO!I212,SABADO!L212,SABADO!O212,SABADO!R212),""))</f>
        <v/>
      </c>
      <c r="G562" s="47" t="str">
        <f>IF(P562="","",IFERROR(CHOOSE(VALUE(RIGHT(P562,1)),SABADO!G212,SABADO!J212,SABADO!M212,SABADO!P212,SABADO!S212),""))</f>
        <v/>
      </c>
      <c r="H562" s="48" t="str">
        <f>IF(P562="","",IFERROR(CHOOSE(VALUE(RIGHT(P562,1)),SABADO!H212,SABADO!K212,SABADO!N212,SABADO!Q212,SABADO!T212),""))</f>
        <v/>
      </c>
      <c r="I562" s="49" t="str">
        <f t="shared" si="16"/>
        <v/>
      </c>
      <c r="J562" s="50" t="str">
        <f>IF(P562="","",IFERROR(ROUND(CHOOSE(VALUE(RIGHT(P562,1)),IF(SABADO!C212="peso_corporal",IF(ISNUMBER(SABADO!E212),SABADO!E212,0)+SABADO!F212,SABADO!F212)*SABADO!G212,IF(SABADO!C212="peso_corporal",IF(ISNUMBER(SABADO!E212),SABADO!E212,0)+SABADO!I212,SABADO!I212)*SABADO!J212,IF(SABADO!C212="peso_corporal",IF(ISNUMBER(SABADO!E212),SABADO!E212,0)+SABADO!L212,SABADO!L212)*SABADO!M212,IF(SABADO!C212="peso_corporal",IF(ISNUMBER(SABADO!E212),SABADO!E212,0)+SABADO!O212,SABADO!O212)*SABADO!P212,IF(SABADO!C212="peso_corporal",IF(ISNUMBER(SABADO!E212),SABADO!E212,0)+SABADO!R212,SABADO!R212)*SABADO!S212),1),""))</f>
        <v/>
      </c>
      <c r="K562" s="51" t="str">
        <f>IF(P562="","",IFERROR(ROUND(CHOOSE(VALUE(RIGHT(P562,1)),(IF(SABADO!C212="peso_corporal",IF(ISNUMBER(SABADO!E212),SABADO!E212,0)+SABADO!F212,SABADO!F212))*(1+SABADO!G212/30),(IF(SABADO!C212="peso_corporal",IF(ISNUMBER(SABADO!E212),SABADO!E212,0)+SABADO!I212,SABADO!I212))*(1+SABADO!J212/30),(IF(SABADO!C212="peso_corporal",IF(ISNUMBER(SABADO!E212),SABADO!E212,0)+SABADO!L212,SABADO!L212))*(1+SABADO!M212/30),(IF(SABADO!C212="peso_corporal",IF(ISNUMBER(SABADO!E212),SABADO!E212,0)+SABADO!O212,SABADO!O212))*(1+SABADO!P212/30),(IF(SABADO!C212="peso_corporal",IF(ISNUMBER(SABADO!E212),SABADO!E212,0)+SABADO!R212,SABADO!R212))*(1+SABADO!S212/30)),1),""))</f>
        <v/>
      </c>
      <c r="L562" s="52">
        <f>IFERROR(SABADO!E212,"")</f>
        <v>80</v>
      </c>
      <c r="M562" s="53" t="str">
        <f>IFERROR(IF(K562="","-",IF(ISNUMBER(LOOKUP(2,1/((HISTORIAL!$O$3:$O$561=O562)*(HISTORIAL!$F$3:$F$561&lt;&gt;"")),HISTORIAL!$K$3:$K$561)),IF(K562&gt;LOOKUP(2,1/((HISTORIAL!$O$3:$O$561=O562)*(HISTORIAL!$F$3:$F$561&lt;&gt;"")),HISTORIAL!$K$3:$K$561),"^",IF(K562&lt;LOOKUP(2,1/((HISTORIAL!$O$3:$O$561=O562)*(HISTORIAL!$F$3:$F$561&lt;&gt;"")),HISTORIAL!$K$3:$K$561),"v","-")),"-")),"-")</f>
        <v>-</v>
      </c>
      <c r="N562" s="54" t="str">
        <f>IFERROR(VLOOKUP(A562,CONFIG!$A$10:$B$21,2,0),"")</f>
        <v>FUE</v>
      </c>
      <c r="O562" s="55" t="str">
        <f t="shared" si="17"/>
        <v>Curl Martillo|Polea Individual</v>
      </c>
      <c r="P562" s="69" t="str">
        <f>SABADO!AC212</f>
        <v/>
      </c>
    </row>
    <row r="563" spans="1:16" ht="14.1" customHeight="1">
      <c r="A563" s="37">
        <v>9</v>
      </c>
      <c r="B563" s="37" t="s">
        <v>281</v>
      </c>
      <c r="C563" s="44" t="str">
        <f>SABADO!$A$214</f>
        <v>Curl Muneca</v>
      </c>
      <c r="D563" s="45" t="str">
        <f>SABADO!$B$214</f>
        <v>Supinado</v>
      </c>
      <c r="E563" s="37" t="str">
        <f>SABADO!$C$214</f>
        <v>mancuerna</v>
      </c>
      <c r="F563" s="46" t="str">
        <f>IF(P563="","",IFERROR(CHOOSE(VALUE(RIGHT(P563,1)),SABADO!F214,SABADO!I214,SABADO!L214,SABADO!O214,SABADO!R214),""))</f>
        <v/>
      </c>
      <c r="G563" s="47" t="str">
        <f>IF(P563="","",IFERROR(CHOOSE(VALUE(RIGHT(P563,1)),SABADO!G214,SABADO!J214,SABADO!M214,SABADO!P214,SABADO!S214),""))</f>
        <v/>
      </c>
      <c r="H563" s="48" t="str">
        <f>IF(P563="","",IFERROR(CHOOSE(VALUE(RIGHT(P563,1)),SABADO!H214,SABADO!K214,SABADO!N214,SABADO!Q214,SABADO!T214),""))</f>
        <v/>
      </c>
      <c r="I563" s="49" t="str">
        <f t="shared" si="16"/>
        <v/>
      </c>
      <c r="J563" s="50" t="str">
        <f>IF(P563="","",IFERROR(ROUND(CHOOSE(VALUE(RIGHT(P563,1)),IF(SABADO!C214="peso_corporal",IF(ISNUMBER(SABADO!E214),SABADO!E214,0)+SABADO!F214,SABADO!F214)*SABADO!G214,IF(SABADO!C214="peso_corporal",IF(ISNUMBER(SABADO!E214),SABADO!E214,0)+SABADO!I214,SABADO!I214)*SABADO!J214,IF(SABADO!C214="peso_corporal",IF(ISNUMBER(SABADO!E214),SABADO!E214,0)+SABADO!L214,SABADO!L214)*SABADO!M214,IF(SABADO!C214="peso_corporal",IF(ISNUMBER(SABADO!E214),SABADO!E214,0)+SABADO!O214,SABADO!O214)*SABADO!P214,IF(SABADO!C214="peso_corporal",IF(ISNUMBER(SABADO!E214),SABADO!E214,0)+SABADO!R214,SABADO!R214)*SABADO!S214),1),""))</f>
        <v/>
      </c>
      <c r="K563" s="51" t="str">
        <f>IF(P563="","",IFERROR(ROUND(CHOOSE(VALUE(RIGHT(P563,1)),(IF(SABADO!C214="peso_corporal",IF(ISNUMBER(SABADO!E214),SABADO!E214,0)+SABADO!F214,SABADO!F214))*(1+SABADO!G214/30),(IF(SABADO!C214="peso_corporal",IF(ISNUMBER(SABADO!E214),SABADO!E214,0)+SABADO!I214,SABADO!I214))*(1+SABADO!J214/30),(IF(SABADO!C214="peso_corporal",IF(ISNUMBER(SABADO!E214),SABADO!E214,0)+SABADO!L214,SABADO!L214))*(1+SABADO!M214/30),(IF(SABADO!C214="peso_corporal",IF(ISNUMBER(SABADO!E214),SABADO!E214,0)+SABADO!O214,SABADO!O214))*(1+SABADO!P214/30),(IF(SABADO!C214="peso_corporal",IF(ISNUMBER(SABADO!E214),SABADO!E214,0)+SABADO!R214,SABADO!R214))*(1+SABADO!S214/30)),1),""))</f>
        <v/>
      </c>
      <c r="L563" s="52">
        <f>IFERROR(SABADO!E214,"")</f>
        <v>80</v>
      </c>
      <c r="M563" s="53" t="str">
        <f>IFERROR(IF(K563="","-",IF(ISNUMBER(LOOKUP(2,1/((HISTORIAL!$O$3:$O$562=O563)*(HISTORIAL!$F$3:$F$562&lt;&gt;"")),HISTORIAL!$K$3:$K$562)),IF(K563&gt;LOOKUP(2,1/((HISTORIAL!$O$3:$O$562=O563)*(HISTORIAL!$F$3:$F$562&lt;&gt;"")),HISTORIAL!$K$3:$K$562),"^",IF(K563&lt;LOOKUP(2,1/((HISTORIAL!$O$3:$O$562=O563)*(HISTORIAL!$F$3:$F$562&lt;&gt;"")),HISTORIAL!$K$3:$K$562),"v","-")),"-")),"-")</f>
        <v>-</v>
      </c>
      <c r="N563" s="54" t="str">
        <f>IFERROR(VLOOKUP(A563,CONFIG!$A$10:$B$21,2,0),"")</f>
        <v>FUE</v>
      </c>
      <c r="O563" s="55" t="str">
        <f t="shared" si="17"/>
        <v>Curl Muneca|Supinado</v>
      </c>
      <c r="P563" s="69" t="str">
        <f>SABADO!AC214</f>
        <v/>
      </c>
    </row>
    <row r="564" spans="1:16" ht="14.1" customHeight="1">
      <c r="A564" s="37">
        <v>9</v>
      </c>
      <c r="B564" s="37" t="s">
        <v>281</v>
      </c>
      <c r="C564" s="44" t="str">
        <f>SABADO!$A$215</f>
        <v>Curl Muneca</v>
      </c>
      <c r="D564" s="45" t="str">
        <f>SABADO!$B$215</f>
        <v>Pronado</v>
      </c>
      <c r="E564" s="37" t="str">
        <f>SABADO!$C$215</f>
        <v>mancuerna</v>
      </c>
      <c r="F564" s="46" t="str">
        <f>IF(P564="","",IFERROR(CHOOSE(VALUE(RIGHT(P564,1)),SABADO!F215,SABADO!I215,SABADO!L215,SABADO!O215,SABADO!R215),""))</f>
        <v/>
      </c>
      <c r="G564" s="47" t="str">
        <f>IF(P564="","",IFERROR(CHOOSE(VALUE(RIGHT(P564,1)),SABADO!G215,SABADO!J215,SABADO!M215,SABADO!P215,SABADO!S215),""))</f>
        <v/>
      </c>
      <c r="H564" s="48" t="str">
        <f>IF(P564="","",IFERROR(CHOOSE(VALUE(RIGHT(P564,1)),SABADO!H215,SABADO!K215,SABADO!N215,SABADO!Q215,SABADO!T215),""))</f>
        <v/>
      </c>
      <c r="I564" s="49" t="str">
        <f t="shared" si="16"/>
        <v/>
      </c>
      <c r="J564" s="50" t="str">
        <f>IF(P564="","",IFERROR(ROUND(CHOOSE(VALUE(RIGHT(P564,1)),IF(SABADO!C215="peso_corporal",IF(ISNUMBER(SABADO!E215),SABADO!E215,0)+SABADO!F215,SABADO!F215)*SABADO!G215,IF(SABADO!C215="peso_corporal",IF(ISNUMBER(SABADO!E215),SABADO!E215,0)+SABADO!I215,SABADO!I215)*SABADO!J215,IF(SABADO!C215="peso_corporal",IF(ISNUMBER(SABADO!E215),SABADO!E215,0)+SABADO!L215,SABADO!L215)*SABADO!M215,IF(SABADO!C215="peso_corporal",IF(ISNUMBER(SABADO!E215),SABADO!E215,0)+SABADO!O215,SABADO!O215)*SABADO!P215,IF(SABADO!C215="peso_corporal",IF(ISNUMBER(SABADO!E215),SABADO!E215,0)+SABADO!R215,SABADO!R215)*SABADO!S215),1),""))</f>
        <v/>
      </c>
      <c r="K564" s="51" t="str">
        <f>IF(P564="","",IFERROR(ROUND(CHOOSE(VALUE(RIGHT(P564,1)),(IF(SABADO!C215="peso_corporal",IF(ISNUMBER(SABADO!E215),SABADO!E215,0)+SABADO!F215,SABADO!F215))*(1+SABADO!G215/30),(IF(SABADO!C215="peso_corporal",IF(ISNUMBER(SABADO!E215),SABADO!E215,0)+SABADO!I215,SABADO!I215))*(1+SABADO!J215/30),(IF(SABADO!C215="peso_corporal",IF(ISNUMBER(SABADO!E215),SABADO!E215,0)+SABADO!L215,SABADO!L215))*(1+SABADO!M215/30),(IF(SABADO!C215="peso_corporal",IF(ISNUMBER(SABADO!E215),SABADO!E215,0)+SABADO!O215,SABADO!O215))*(1+SABADO!P215/30),(IF(SABADO!C215="peso_corporal",IF(ISNUMBER(SABADO!E215),SABADO!E215,0)+SABADO!R215,SABADO!R215))*(1+SABADO!S215/30)),1),""))</f>
        <v/>
      </c>
      <c r="L564" s="52">
        <f>IFERROR(SABADO!E215,"")</f>
        <v>80</v>
      </c>
      <c r="M564" s="53" t="str">
        <f>IFERROR(IF(K564="","-",IF(ISNUMBER(LOOKUP(2,1/((HISTORIAL!$O$3:$O$563=O564)*(HISTORIAL!$F$3:$F$563&lt;&gt;"")),HISTORIAL!$K$3:$K$563)),IF(K564&gt;LOOKUP(2,1/((HISTORIAL!$O$3:$O$563=O564)*(HISTORIAL!$F$3:$F$563&lt;&gt;"")),HISTORIAL!$K$3:$K$563),"^",IF(K564&lt;LOOKUP(2,1/((HISTORIAL!$O$3:$O$563=O564)*(HISTORIAL!$F$3:$F$563&lt;&gt;"")),HISTORIAL!$K$3:$K$563),"v","-")),"-")),"-")</f>
        <v>-</v>
      </c>
      <c r="N564" s="54" t="str">
        <f>IFERROR(VLOOKUP(A564,CONFIG!$A$10:$B$21,2,0),"")</f>
        <v>FUE</v>
      </c>
      <c r="O564" s="55" t="str">
        <f t="shared" si="17"/>
        <v>Curl Muneca|Pronado</v>
      </c>
      <c r="P564" s="69" t="str">
        <f>SABADO!AC215</f>
        <v/>
      </c>
    </row>
    <row r="565" spans="1:16" ht="14.1" customHeight="1">
      <c r="A565" s="37">
        <v>9</v>
      </c>
      <c r="B565" s="37" t="s">
        <v>281</v>
      </c>
      <c r="C565" s="44" t="str">
        <f>SABADO!$A$217</f>
        <v>Elevaciones Laterales</v>
      </c>
      <c r="D565" s="45" t="str">
        <f>SABADO!$B$217</f>
        <v>Cable Polea Individual</v>
      </c>
      <c r="E565" s="37" t="str">
        <f>SABADO!$C$217</f>
        <v>polea</v>
      </c>
      <c r="F565" s="46" t="str">
        <f>IF(P565="","",IFERROR(CHOOSE(VALUE(RIGHT(P565,1)),SABADO!F217,SABADO!I217,SABADO!L217,SABADO!O217,SABADO!R217),""))</f>
        <v/>
      </c>
      <c r="G565" s="47" t="str">
        <f>IF(P565="","",IFERROR(CHOOSE(VALUE(RIGHT(P565,1)),SABADO!G217,SABADO!J217,SABADO!M217,SABADO!P217,SABADO!S217),""))</f>
        <v/>
      </c>
      <c r="H565" s="48" t="str">
        <f>IF(P565="","",IFERROR(CHOOSE(VALUE(RIGHT(P565,1)),SABADO!H217,SABADO!K217,SABADO!N217,SABADO!Q217,SABADO!T217),""))</f>
        <v/>
      </c>
      <c r="I565" s="49" t="str">
        <f t="shared" si="16"/>
        <v/>
      </c>
      <c r="J565" s="50" t="str">
        <f>IF(P565="","",IFERROR(ROUND(CHOOSE(VALUE(RIGHT(P565,1)),IF(SABADO!C217="peso_corporal",IF(ISNUMBER(SABADO!E217),SABADO!E217,0)+SABADO!F217,SABADO!F217)*SABADO!G217,IF(SABADO!C217="peso_corporal",IF(ISNUMBER(SABADO!E217),SABADO!E217,0)+SABADO!I217,SABADO!I217)*SABADO!J217,IF(SABADO!C217="peso_corporal",IF(ISNUMBER(SABADO!E217),SABADO!E217,0)+SABADO!L217,SABADO!L217)*SABADO!M217,IF(SABADO!C217="peso_corporal",IF(ISNUMBER(SABADO!E217),SABADO!E217,0)+SABADO!O217,SABADO!O217)*SABADO!P217,IF(SABADO!C217="peso_corporal",IF(ISNUMBER(SABADO!E217),SABADO!E217,0)+SABADO!R217,SABADO!R217)*SABADO!S217),1),""))</f>
        <v/>
      </c>
      <c r="K565" s="51" t="str">
        <f>IF(P565="","",IFERROR(ROUND(CHOOSE(VALUE(RIGHT(P565,1)),(IF(SABADO!C217="peso_corporal",IF(ISNUMBER(SABADO!E217),SABADO!E217,0)+SABADO!F217,SABADO!F217))*(1+SABADO!G217/30),(IF(SABADO!C217="peso_corporal",IF(ISNUMBER(SABADO!E217),SABADO!E217,0)+SABADO!I217,SABADO!I217))*(1+SABADO!J217/30),(IF(SABADO!C217="peso_corporal",IF(ISNUMBER(SABADO!E217),SABADO!E217,0)+SABADO!L217,SABADO!L217))*(1+SABADO!M217/30),(IF(SABADO!C217="peso_corporal",IF(ISNUMBER(SABADO!E217),SABADO!E217,0)+SABADO!O217,SABADO!O217))*(1+SABADO!P217/30),(IF(SABADO!C217="peso_corporal",IF(ISNUMBER(SABADO!E217),SABADO!E217,0)+SABADO!R217,SABADO!R217))*(1+SABADO!S217/30)),1),""))</f>
        <v/>
      </c>
      <c r="L565" s="52">
        <f>IFERROR(SABADO!E217,"")</f>
        <v>80</v>
      </c>
      <c r="M565" s="53" t="str">
        <f>IFERROR(IF(K565="","-",IF(ISNUMBER(LOOKUP(2,1/((HISTORIAL!$O$3:$O$564=O565)*(HISTORIAL!$F$3:$F$564&lt;&gt;"")),HISTORIAL!$K$3:$K$564)),IF(K565&gt;LOOKUP(2,1/((HISTORIAL!$O$3:$O$564=O565)*(HISTORIAL!$F$3:$F$564&lt;&gt;"")),HISTORIAL!$K$3:$K$564),"^",IF(K565&lt;LOOKUP(2,1/((HISTORIAL!$O$3:$O$564=O565)*(HISTORIAL!$F$3:$F$564&lt;&gt;"")),HISTORIAL!$K$3:$K$564),"v","-")),"-")),"-")</f>
        <v>-</v>
      </c>
      <c r="N565" s="54" t="str">
        <f>IFERROR(VLOOKUP(A565,CONFIG!$A$10:$B$21,2,0),"")</f>
        <v>FUE</v>
      </c>
      <c r="O565" s="55" t="str">
        <f t="shared" si="17"/>
        <v>Elevaciones Laterales|Cable Polea Individual</v>
      </c>
      <c r="P565" s="69" t="str">
        <f>SABADO!AC217</f>
        <v/>
      </c>
    </row>
    <row r="566" spans="1:16" ht="14.1" customHeight="1">
      <c r="A566" s="37">
        <v>9</v>
      </c>
      <c r="B566" s="37" t="s">
        <v>281</v>
      </c>
      <c r="C566" s="44" t="str">
        <f>SABADO!$A$219</f>
        <v>Encogimientos</v>
      </c>
      <c r="D566" s="45" t="str">
        <f>SABADO!$B$219</f>
        <v>Mancuernas Trapecio</v>
      </c>
      <c r="E566" s="37" t="str">
        <f>SABADO!$C$219</f>
        <v>mancuerna</v>
      </c>
      <c r="F566" s="46" t="str">
        <f>IF(P566="","",IFERROR(CHOOSE(VALUE(RIGHT(P566,1)),SABADO!F219,SABADO!I219,SABADO!L219,SABADO!O219,SABADO!R219),""))</f>
        <v/>
      </c>
      <c r="G566" s="47" t="str">
        <f>IF(P566="","",IFERROR(CHOOSE(VALUE(RIGHT(P566,1)),SABADO!G219,SABADO!J219,SABADO!M219,SABADO!P219,SABADO!S219),""))</f>
        <v/>
      </c>
      <c r="H566" s="48" t="str">
        <f>IF(P566="","",IFERROR(CHOOSE(VALUE(RIGHT(P566,1)),SABADO!H219,SABADO!K219,SABADO!N219,SABADO!Q219,SABADO!T219),""))</f>
        <v/>
      </c>
      <c r="I566" s="49" t="str">
        <f t="shared" si="16"/>
        <v/>
      </c>
      <c r="J566" s="50" t="str">
        <f>IF(P566="","",IFERROR(ROUND(CHOOSE(VALUE(RIGHT(P566,1)),IF(SABADO!C219="peso_corporal",IF(ISNUMBER(SABADO!E219),SABADO!E219,0)+SABADO!F219,SABADO!F219)*SABADO!G219,IF(SABADO!C219="peso_corporal",IF(ISNUMBER(SABADO!E219),SABADO!E219,0)+SABADO!I219,SABADO!I219)*SABADO!J219,IF(SABADO!C219="peso_corporal",IF(ISNUMBER(SABADO!E219),SABADO!E219,0)+SABADO!L219,SABADO!L219)*SABADO!M219,IF(SABADO!C219="peso_corporal",IF(ISNUMBER(SABADO!E219),SABADO!E219,0)+SABADO!O219,SABADO!O219)*SABADO!P219,IF(SABADO!C219="peso_corporal",IF(ISNUMBER(SABADO!E219),SABADO!E219,0)+SABADO!R219,SABADO!R219)*SABADO!S219),1),""))</f>
        <v/>
      </c>
      <c r="K566" s="51" t="str">
        <f>IF(P566="","",IFERROR(ROUND(CHOOSE(VALUE(RIGHT(P566,1)),(IF(SABADO!C219="peso_corporal",IF(ISNUMBER(SABADO!E219),SABADO!E219,0)+SABADO!F219,SABADO!F219))*(1+SABADO!G219/30),(IF(SABADO!C219="peso_corporal",IF(ISNUMBER(SABADO!E219),SABADO!E219,0)+SABADO!I219,SABADO!I219))*(1+SABADO!J219/30),(IF(SABADO!C219="peso_corporal",IF(ISNUMBER(SABADO!E219),SABADO!E219,0)+SABADO!L219,SABADO!L219))*(1+SABADO!M219/30),(IF(SABADO!C219="peso_corporal",IF(ISNUMBER(SABADO!E219),SABADO!E219,0)+SABADO!O219,SABADO!O219))*(1+SABADO!P219/30),(IF(SABADO!C219="peso_corporal",IF(ISNUMBER(SABADO!E219),SABADO!E219,0)+SABADO!R219,SABADO!R219))*(1+SABADO!S219/30)),1),""))</f>
        <v/>
      </c>
      <c r="L566" s="52">
        <f>IFERROR(SABADO!E219,"")</f>
        <v>80</v>
      </c>
      <c r="M566" s="53" t="str">
        <f>IFERROR(IF(K566="","-",IF(ISNUMBER(LOOKUP(2,1/((HISTORIAL!$O$3:$O$565=O566)*(HISTORIAL!$F$3:$F$565&lt;&gt;"")),HISTORIAL!$K$3:$K$565)),IF(K566&gt;LOOKUP(2,1/((HISTORIAL!$O$3:$O$565=O566)*(HISTORIAL!$F$3:$F$565&lt;&gt;"")),HISTORIAL!$K$3:$K$565),"^",IF(K566&lt;LOOKUP(2,1/((HISTORIAL!$O$3:$O$565=O566)*(HISTORIAL!$F$3:$F$565&lt;&gt;"")),HISTORIAL!$K$3:$K$565),"v","-")),"-")),"-")</f>
        <v>-</v>
      </c>
      <c r="N566" s="54" t="str">
        <f>IFERROR(VLOOKUP(A566,CONFIG!$A$10:$B$21,2,0),"")</f>
        <v>FUE</v>
      </c>
      <c r="O566" s="55" t="str">
        <f t="shared" si="17"/>
        <v>Encogimientos|Mancuernas Trapecio</v>
      </c>
      <c r="P566" s="69" t="str">
        <f>SABADO!AC219</f>
        <v/>
      </c>
    </row>
    <row r="567" spans="1:16" ht="14.1" customHeight="1">
      <c r="A567" s="37">
        <v>9</v>
      </c>
      <c r="B567" s="37" t="s">
        <v>281</v>
      </c>
      <c r="C567" s="44" t="str">
        <f>SABADO!$A$220</f>
        <v>Face Pull</v>
      </c>
      <c r="D567" s="45" t="str">
        <f>SABADO!$B$220</f>
        <v>Polea Alta Cuerda</v>
      </c>
      <c r="E567" s="37" t="str">
        <f>SABADO!$C$220</f>
        <v>polea</v>
      </c>
      <c r="F567" s="46" t="str">
        <f>IF(P567="","",IFERROR(CHOOSE(VALUE(RIGHT(P567,1)),SABADO!F220,SABADO!I220,SABADO!L220,SABADO!O220,SABADO!R220),""))</f>
        <v/>
      </c>
      <c r="G567" s="47" t="str">
        <f>IF(P567="","",IFERROR(CHOOSE(VALUE(RIGHT(P567,1)),SABADO!G220,SABADO!J220,SABADO!M220,SABADO!P220,SABADO!S220),""))</f>
        <v/>
      </c>
      <c r="H567" s="48" t="str">
        <f>IF(P567="","",IFERROR(CHOOSE(VALUE(RIGHT(P567,1)),SABADO!H220,SABADO!K220,SABADO!N220,SABADO!Q220,SABADO!T220),""))</f>
        <v/>
      </c>
      <c r="I567" s="49" t="str">
        <f t="shared" si="16"/>
        <v/>
      </c>
      <c r="J567" s="50" t="str">
        <f>IF(P567="","",IFERROR(ROUND(CHOOSE(VALUE(RIGHT(P567,1)),IF(SABADO!C220="peso_corporal",IF(ISNUMBER(SABADO!E220),SABADO!E220,0)+SABADO!F220,SABADO!F220)*SABADO!G220,IF(SABADO!C220="peso_corporal",IF(ISNUMBER(SABADO!E220),SABADO!E220,0)+SABADO!I220,SABADO!I220)*SABADO!J220,IF(SABADO!C220="peso_corporal",IF(ISNUMBER(SABADO!E220),SABADO!E220,0)+SABADO!L220,SABADO!L220)*SABADO!M220,IF(SABADO!C220="peso_corporal",IF(ISNUMBER(SABADO!E220),SABADO!E220,0)+SABADO!O220,SABADO!O220)*SABADO!P220,IF(SABADO!C220="peso_corporal",IF(ISNUMBER(SABADO!E220),SABADO!E220,0)+SABADO!R220,SABADO!R220)*SABADO!S220),1),""))</f>
        <v/>
      </c>
      <c r="K567" s="51" t="str">
        <f>IF(P567="","",IFERROR(ROUND(CHOOSE(VALUE(RIGHT(P567,1)),(IF(SABADO!C220="peso_corporal",IF(ISNUMBER(SABADO!E220),SABADO!E220,0)+SABADO!F220,SABADO!F220))*(1+SABADO!G220/30),(IF(SABADO!C220="peso_corporal",IF(ISNUMBER(SABADO!E220),SABADO!E220,0)+SABADO!I220,SABADO!I220))*(1+SABADO!J220/30),(IF(SABADO!C220="peso_corporal",IF(ISNUMBER(SABADO!E220),SABADO!E220,0)+SABADO!L220,SABADO!L220))*(1+SABADO!M220/30),(IF(SABADO!C220="peso_corporal",IF(ISNUMBER(SABADO!E220),SABADO!E220,0)+SABADO!O220,SABADO!O220))*(1+SABADO!P220/30),(IF(SABADO!C220="peso_corporal",IF(ISNUMBER(SABADO!E220),SABADO!E220,0)+SABADO!R220,SABADO!R220))*(1+SABADO!S220/30)),1),""))</f>
        <v/>
      </c>
      <c r="L567" s="52">
        <f>IFERROR(SABADO!E220,"")</f>
        <v>80</v>
      </c>
      <c r="M567" s="53" t="str">
        <f>IFERROR(IF(K567="","-",IF(ISNUMBER(LOOKUP(2,1/((HISTORIAL!$O$3:$O$566=O567)*(HISTORIAL!$F$3:$F$566&lt;&gt;"")),HISTORIAL!$K$3:$K$566)),IF(K567&gt;LOOKUP(2,1/((HISTORIAL!$O$3:$O$566=O567)*(HISTORIAL!$F$3:$F$566&lt;&gt;"")),HISTORIAL!$K$3:$K$566),"^",IF(K567&lt;LOOKUP(2,1/((HISTORIAL!$O$3:$O$566=O567)*(HISTORIAL!$F$3:$F$566&lt;&gt;"")),HISTORIAL!$K$3:$K$566),"v","-")),"-")),"-")</f>
        <v>-</v>
      </c>
      <c r="N567" s="54" t="str">
        <f>IFERROR(VLOOKUP(A567,CONFIG!$A$10:$B$21,2,0),"")</f>
        <v>FUE</v>
      </c>
      <c r="O567" s="55" t="str">
        <f t="shared" si="17"/>
        <v>Face Pull|Polea Alta Cuerda</v>
      </c>
      <c r="P567" s="69" t="str">
        <f>SABADO!AC220</f>
        <v/>
      </c>
    </row>
    <row r="568" spans="1:16" ht="14.1" customHeight="1">
      <c r="A568" s="37">
        <v>9</v>
      </c>
      <c r="B568" s="37" t="s">
        <v>281</v>
      </c>
      <c r="C568" s="44" t="str">
        <f>SABADO!$A$222</f>
        <v>Hiperextension</v>
      </c>
      <c r="D568" s="45" t="str">
        <f>SABADO!$B$222</f>
        <v>Banco Romano</v>
      </c>
      <c r="E568" s="37" t="str">
        <f>SABADO!$C$222</f>
        <v>peso_corporal</v>
      </c>
      <c r="F568" s="46" t="str">
        <f>IF(P568="","",IFERROR(CHOOSE(VALUE(RIGHT(P568,1)),SABADO!F222,SABADO!I222,SABADO!L222,SABADO!O222,SABADO!R222),""))</f>
        <v/>
      </c>
      <c r="G568" s="47" t="str">
        <f>IF(P568="","",IFERROR(CHOOSE(VALUE(RIGHT(P568,1)),SABADO!G222,SABADO!J222,SABADO!M222,SABADO!P222,SABADO!S222),""))</f>
        <v/>
      </c>
      <c r="H568" s="48" t="str">
        <f>IF(P568="","",IFERROR(CHOOSE(VALUE(RIGHT(P568,1)),SABADO!H222,SABADO!K222,SABADO!N222,SABADO!Q222,SABADO!T222),""))</f>
        <v/>
      </c>
      <c r="I568" s="49" t="str">
        <f t="shared" si="16"/>
        <v/>
      </c>
      <c r="J568" s="50" t="str">
        <f>IF(P568="","",IFERROR(ROUND(CHOOSE(VALUE(RIGHT(P568,1)),IF(SABADO!C222="peso_corporal",IF(ISNUMBER(SABADO!E222),SABADO!E222,0)+SABADO!F222,SABADO!F222)*SABADO!G222,IF(SABADO!C222="peso_corporal",IF(ISNUMBER(SABADO!E222),SABADO!E222,0)+SABADO!I222,SABADO!I222)*SABADO!J222,IF(SABADO!C222="peso_corporal",IF(ISNUMBER(SABADO!E222),SABADO!E222,0)+SABADO!L222,SABADO!L222)*SABADO!M222,IF(SABADO!C222="peso_corporal",IF(ISNUMBER(SABADO!E222),SABADO!E222,0)+SABADO!O222,SABADO!O222)*SABADO!P222,IF(SABADO!C222="peso_corporal",IF(ISNUMBER(SABADO!E222),SABADO!E222,0)+SABADO!R222,SABADO!R222)*SABADO!S222),1),""))</f>
        <v/>
      </c>
      <c r="K568" s="51" t="str">
        <f>IF(P568="","",IFERROR(ROUND(CHOOSE(VALUE(RIGHT(P568,1)),(IF(SABADO!C222="peso_corporal",IF(ISNUMBER(SABADO!E222),SABADO!E222,0)+SABADO!F222,SABADO!F222))*(1+SABADO!G222/30),(IF(SABADO!C222="peso_corporal",IF(ISNUMBER(SABADO!E222),SABADO!E222,0)+SABADO!I222,SABADO!I222))*(1+SABADO!J222/30),(IF(SABADO!C222="peso_corporal",IF(ISNUMBER(SABADO!E222),SABADO!E222,0)+SABADO!L222,SABADO!L222))*(1+SABADO!M222/30),(IF(SABADO!C222="peso_corporal",IF(ISNUMBER(SABADO!E222),SABADO!E222,0)+SABADO!O222,SABADO!O222))*(1+SABADO!P222/30),(IF(SABADO!C222="peso_corporal",IF(ISNUMBER(SABADO!E222),SABADO!E222,0)+SABADO!R222,SABADO!R222))*(1+SABADO!S222/30)),1),""))</f>
        <v/>
      </c>
      <c r="L568" s="52">
        <f>IFERROR(SABADO!E222,"")</f>
        <v>80</v>
      </c>
      <c r="M568" s="53" t="str">
        <f>IFERROR(IF(K568="","-",IF(ISNUMBER(LOOKUP(2,1/((HISTORIAL!$O$3:$O$567=O568)*(HISTORIAL!$F$3:$F$567&lt;&gt;"")),HISTORIAL!$K$3:$K$567)),IF(K568&gt;LOOKUP(2,1/((HISTORIAL!$O$3:$O$567=O568)*(HISTORIAL!$F$3:$F$567&lt;&gt;"")),HISTORIAL!$K$3:$K$567),"^",IF(K568&lt;LOOKUP(2,1/((HISTORIAL!$O$3:$O$567=O568)*(HISTORIAL!$F$3:$F$567&lt;&gt;"")),HISTORIAL!$K$3:$K$567),"v","-")),"-")),"-")</f>
        <v>-</v>
      </c>
      <c r="N568" s="54" t="str">
        <f>IFERROR(VLOOKUP(A568,CONFIG!$A$10:$B$21,2,0),"")</f>
        <v>FUE</v>
      </c>
      <c r="O568" s="55" t="str">
        <f t="shared" si="17"/>
        <v>Hiperextension|Banco Romano</v>
      </c>
      <c r="P568" s="69" t="str">
        <f>SABADO!AC222</f>
        <v/>
      </c>
    </row>
    <row r="569" spans="1:16" ht="14.1" customHeight="1">
      <c r="A569" s="37">
        <v>9</v>
      </c>
      <c r="B569" s="37" t="s">
        <v>281</v>
      </c>
      <c r="C569" s="44" t="str">
        <f>SABADO!$A$224</f>
        <v>Crunch</v>
      </c>
      <c r="D569" s="45" t="str">
        <f>SABADO!$B$224</f>
        <v>Polea</v>
      </c>
      <c r="E569" s="37" t="str">
        <f>SABADO!$C$224</f>
        <v>polea</v>
      </c>
      <c r="F569" s="46" t="str">
        <f>IF(P569="","",IFERROR(CHOOSE(VALUE(RIGHT(P569,1)),SABADO!F224,SABADO!I224,SABADO!L224,SABADO!O224,SABADO!R224),""))</f>
        <v/>
      </c>
      <c r="G569" s="47" t="str">
        <f>IF(P569="","",IFERROR(CHOOSE(VALUE(RIGHT(P569,1)),SABADO!G224,SABADO!J224,SABADO!M224,SABADO!P224,SABADO!S224),""))</f>
        <v/>
      </c>
      <c r="H569" s="48" t="str">
        <f>IF(P569="","",IFERROR(CHOOSE(VALUE(RIGHT(P569,1)),SABADO!H224,SABADO!K224,SABADO!N224,SABADO!Q224,SABADO!T224),""))</f>
        <v/>
      </c>
      <c r="I569" s="49" t="str">
        <f t="shared" si="16"/>
        <v/>
      </c>
      <c r="J569" s="50" t="str">
        <f>IF(P569="","",IFERROR(ROUND(CHOOSE(VALUE(RIGHT(P569,1)),IF(SABADO!C224="peso_corporal",IF(ISNUMBER(SABADO!E224),SABADO!E224,0)+SABADO!F224,SABADO!F224)*SABADO!G224,IF(SABADO!C224="peso_corporal",IF(ISNUMBER(SABADO!E224),SABADO!E224,0)+SABADO!I224,SABADO!I224)*SABADO!J224,IF(SABADO!C224="peso_corporal",IF(ISNUMBER(SABADO!E224),SABADO!E224,0)+SABADO!L224,SABADO!L224)*SABADO!M224,IF(SABADO!C224="peso_corporal",IF(ISNUMBER(SABADO!E224),SABADO!E224,0)+SABADO!O224,SABADO!O224)*SABADO!P224,IF(SABADO!C224="peso_corporal",IF(ISNUMBER(SABADO!E224),SABADO!E224,0)+SABADO!R224,SABADO!R224)*SABADO!S224),1),""))</f>
        <v/>
      </c>
      <c r="K569" s="51" t="str">
        <f>IF(P569="","",IFERROR(ROUND(CHOOSE(VALUE(RIGHT(P569,1)),(IF(SABADO!C224="peso_corporal",IF(ISNUMBER(SABADO!E224),SABADO!E224,0)+SABADO!F224,SABADO!F224))*(1+SABADO!G224/30),(IF(SABADO!C224="peso_corporal",IF(ISNUMBER(SABADO!E224),SABADO!E224,0)+SABADO!I224,SABADO!I224))*(1+SABADO!J224/30),(IF(SABADO!C224="peso_corporal",IF(ISNUMBER(SABADO!E224),SABADO!E224,0)+SABADO!L224,SABADO!L224))*(1+SABADO!M224/30),(IF(SABADO!C224="peso_corporal",IF(ISNUMBER(SABADO!E224),SABADO!E224,0)+SABADO!O224,SABADO!O224))*(1+SABADO!P224/30),(IF(SABADO!C224="peso_corporal",IF(ISNUMBER(SABADO!E224),SABADO!E224,0)+SABADO!R224,SABADO!R224))*(1+SABADO!S224/30)),1),""))</f>
        <v/>
      </c>
      <c r="L569" s="52">
        <f>IFERROR(SABADO!E224,"")</f>
        <v>80</v>
      </c>
      <c r="M569" s="53" t="str">
        <f>IFERROR(IF(K569="","-",IF(ISNUMBER(LOOKUP(2,1/((HISTORIAL!$O$3:$O$568=O569)*(HISTORIAL!$F$3:$F$568&lt;&gt;"")),HISTORIAL!$K$3:$K$568)),IF(K569&gt;LOOKUP(2,1/((HISTORIAL!$O$3:$O$568=O569)*(HISTORIAL!$F$3:$F$568&lt;&gt;"")),HISTORIAL!$K$3:$K$568),"^",IF(K569&lt;LOOKUP(2,1/((HISTORIAL!$O$3:$O$568=O569)*(HISTORIAL!$F$3:$F$568&lt;&gt;"")),HISTORIAL!$K$3:$K$568),"v","-")),"-")),"-")</f>
        <v>-</v>
      </c>
      <c r="N569" s="54" t="str">
        <f>IFERROR(VLOOKUP(A569,CONFIG!$A$10:$B$21,2,0),"")</f>
        <v>FUE</v>
      </c>
      <c r="O569" s="55" t="str">
        <f t="shared" si="17"/>
        <v>Crunch|Polea</v>
      </c>
      <c r="P569" s="69" t="str">
        <f>SABADO!AC224</f>
        <v/>
      </c>
    </row>
    <row r="570" spans="1:16" ht="14.1" customHeight="1">
      <c r="A570" s="37">
        <v>10</v>
      </c>
      <c r="B570" s="37" t="s">
        <v>277</v>
      </c>
      <c r="C570" s="44" t="str">
        <f>LUNES!$A$211</f>
        <v>Press Plano</v>
      </c>
      <c r="D570" s="45" t="str">
        <f>LUNES!$B$211</f>
        <v>Barra</v>
      </c>
      <c r="E570" s="37" t="str">
        <f>LUNES!$C$211</f>
        <v>disco</v>
      </c>
      <c r="F570" s="46" t="str">
        <f>IF(P570="","",IFERROR(CHOOSE(VALUE(RIGHT(P570,1)),LUNES!F211,LUNES!I211,LUNES!L211,LUNES!O211,LUNES!R211),""))</f>
        <v/>
      </c>
      <c r="G570" s="47" t="str">
        <f>IF(P570="","",IFERROR(CHOOSE(VALUE(RIGHT(P570,1)),LUNES!G211,LUNES!J211,LUNES!M211,LUNES!P211,LUNES!S211),""))</f>
        <v/>
      </c>
      <c r="H570" s="48" t="str">
        <f>IF(P570="","",IFERROR(CHOOSE(VALUE(RIGHT(P570,1)),LUNES!H211,LUNES!K211,LUNES!N211,LUNES!Q211,LUNES!T211),""))</f>
        <v/>
      </c>
      <c r="I570" s="49" t="str">
        <f t="shared" si="16"/>
        <v/>
      </c>
      <c r="J570" s="50" t="str">
        <f>IF(P570="","",IFERROR(ROUND(CHOOSE(VALUE(RIGHT(P570,1)),IF(LUNES!C211="peso_corporal",IF(ISNUMBER(LUNES!E211),LUNES!E211,0)+LUNES!F211,LUNES!F211)*LUNES!G211,IF(LUNES!C211="peso_corporal",IF(ISNUMBER(LUNES!E211),LUNES!E211,0)+LUNES!I211,LUNES!I211)*LUNES!J211,IF(LUNES!C211="peso_corporal",IF(ISNUMBER(LUNES!E211),LUNES!E211,0)+LUNES!L211,LUNES!L211)*LUNES!M211,IF(LUNES!C211="peso_corporal",IF(ISNUMBER(LUNES!E211),LUNES!E211,0)+LUNES!O211,LUNES!O211)*LUNES!P211,IF(LUNES!C211="peso_corporal",IF(ISNUMBER(LUNES!E211),LUNES!E211,0)+LUNES!R211,LUNES!R211)*LUNES!S211),1),""))</f>
        <v/>
      </c>
      <c r="K570" s="51" t="str">
        <f>IF(P570="","",IFERROR(ROUND(CHOOSE(VALUE(RIGHT(P570,1)),(IF(LUNES!C211="peso_corporal",IF(ISNUMBER(LUNES!E211),LUNES!E211,0)+LUNES!F211,LUNES!F211))*(1+LUNES!G211/30),(IF(LUNES!C211="peso_corporal",IF(ISNUMBER(LUNES!E211),LUNES!E211,0)+LUNES!I211,LUNES!I211))*(1+LUNES!J211/30),(IF(LUNES!C211="peso_corporal",IF(ISNUMBER(LUNES!E211),LUNES!E211,0)+LUNES!L211,LUNES!L211))*(1+LUNES!M211/30),(IF(LUNES!C211="peso_corporal",IF(ISNUMBER(LUNES!E211),LUNES!E211,0)+LUNES!O211,LUNES!O211))*(1+LUNES!P211/30),(IF(LUNES!C211="peso_corporal",IF(ISNUMBER(LUNES!E211),LUNES!E211,0)+LUNES!R211,LUNES!R211))*(1+LUNES!S211/30)),1),""))</f>
        <v/>
      </c>
      <c r="L570" s="52">
        <f>IFERROR(LUNES!E211,"")</f>
        <v>80</v>
      </c>
      <c r="M570" s="53" t="str">
        <f>IFERROR(IF(K570="","-",IF(ISNUMBER(LOOKUP(2,1/((HISTORIAL!$O$3:$O$569=O570)*(HISTORIAL!$F$3:$F$569&lt;&gt;"")),HISTORIAL!$K$3:$K$569)),IF(K570&gt;LOOKUP(2,1/((HISTORIAL!$O$3:$O$569=O570)*(HISTORIAL!$F$3:$F$569&lt;&gt;"")),HISTORIAL!$K$3:$K$569),"^",IF(K570&lt;LOOKUP(2,1/((HISTORIAL!$O$3:$O$569=O570)*(HISTORIAL!$F$3:$F$569&lt;&gt;"")),HISTORIAL!$K$3:$K$569),"v","-")),"-")),"-")</f>
        <v>-</v>
      </c>
      <c r="N570" s="54" t="str">
        <f>IFERROR(VLOOKUP(A570,CONFIG!$A$10:$B$21,2,0),"")</f>
        <v>HIP</v>
      </c>
      <c r="O570" s="55" t="str">
        <f t="shared" si="17"/>
        <v>Press Plano|Barra</v>
      </c>
      <c r="P570" s="69" t="str">
        <f>LUNES!AC211</f>
        <v/>
      </c>
    </row>
    <row r="571" spans="1:16" ht="14.1" customHeight="1">
      <c r="A571" s="37">
        <v>10</v>
      </c>
      <c r="B571" s="37" t="s">
        <v>277</v>
      </c>
      <c r="C571" s="44" t="str">
        <f>LUNES!$A$213</f>
        <v>Press Inclinado</v>
      </c>
      <c r="D571" s="45" t="str">
        <f>LUNES!$B$213</f>
        <v>Mancuernas</v>
      </c>
      <c r="E571" s="37" t="str">
        <f>LUNES!$C$213</f>
        <v>mancuerna</v>
      </c>
      <c r="F571" s="46" t="str">
        <f>IF(P571="","",IFERROR(CHOOSE(VALUE(RIGHT(P571,1)),LUNES!F213,LUNES!I213,LUNES!L213,LUNES!O213,LUNES!R213),""))</f>
        <v/>
      </c>
      <c r="G571" s="47" t="str">
        <f>IF(P571="","",IFERROR(CHOOSE(VALUE(RIGHT(P571,1)),LUNES!G213,LUNES!J213,LUNES!M213,LUNES!P213,LUNES!S213),""))</f>
        <v/>
      </c>
      <c r="H571" s="48" t="str">
        <f>IF(P571="","",IFERROR(CHOOSE(VALUE(RIGHT(P571,1)),LUNES!H213,LUNES!K213,LUNES!N213,LUNES!Q213,LUNES!T213),""))</f>
        <v/>
      </c>
      <c r="I571" s="49" t="str">
        <f t="shared" si="16"/>
        <v/>
      </c>
      <c r="J571" s="50" t="str">
        <f>IF(P571="","",IFERROR(ROUND(CHOOSE(VALUE(RIGHT(P571,1)),IF(LUNES!C213="peso_corporal",IF(ISNUMBER(LUNES!E213),LUNES!E213,0)+LUNES!F213,LUNES!F213)*LUNES!G213,IF(LUNES!C213="peso_corporal",IF(ISNUMBER(LUNES!E213),LUNES!E213,0)+LUNES!I213,LUNES!I213)*LUNES!J213,IF(LUNES!C213="peso_corporal",IF(ISNUMBER(LUNES!E213),LUNES!E213,0)+LUNES!L213,LUNES!L213)*LUNES!M213,IF(LUNES!C213="peso_corporal",IF(ISNUMBER(LUNES!E213),LUNES!E213,0)+LUNES!O213,LUNES!O213)*LUNES!P213,IF(LUNES!C213="peso_corporal",IF(ISNUMBER(LUNES!E213),LUNES!E213,0)+LUNES!R213,LUNES!R213)*LUNES!S213),1),""))</f>
        <v/>
      </c>
      <c r="K571" s="51" t="str">
        <f>IF(P571="","",IFERROR(ROUND(CHOOSE(VALUE(RIGHT(P571,1)),(IF(LUNES!C213="peso_corporal",IF(ISNUMBER(LUNES!E213),LUNES!E213,0)+LUNES!F213,LUNES!F213))*(1+LUNES!G213/30),(IF(LUNES!C213="peso_corporal",IF(ISNUMBER(LUNES!E213),LUNES!E213,0)+LUNES!I213,LUNES!I213))*(1+LUNES!J213/30),(IF(LUNES!C213="peso_corporal",IF(ISNUMBER(LUNES!E213),LUNES!E213,0)+LUNES!L213,LUNES!L213))*(1+LUNES!M213/30),(IF(LUNES!C213="peso_corporal",IF(ISNUMBER(LUNES!E213),LUNES!E213,0)+LUNES!O213,LUNES!O213))*(1+LUNES!P213/30),(IF(LUNES!C213="peso_corporal",IF(ISNUMBER(LUNES!E213),LUNES!E213,0)+LUNES!R213,LUNES!R213))*(1+LUNES!S213/30)),1),""))</f>
        <v/>
      </c>
      <c r="L571" s="52">
        <f>IFERROR(LUNES!E213,"")</f>
        <v>80</v>
      </c>
      <c r="M571" s="53" t="str">
        <f>IFERROR(IF(K571="","-",IF(ISNUMBER(LOOKUP(2,1/((HISTORIAL!$O$3:$O$570=O571)*(HISTORIAL!$F$3:$F$570&lt;&gt;"")),HISTORIAL!$K$3:$K$570)),IF(K571&gt;LOOKUP(2,1/((HISTORIAL!$O$3:$O$570=O571)*(HISTORIAL!$F$3:$F$570&lt;&gt;"")),HISTORIAL!$K$3:$K$570),"^",IF(K571&lt;LOOKUP(2,1/((HISTORIAL!$O$3:$O$570=O571)*(HISTORIAL!$F$3:$F$570&lt;&gt;"")),HISTORIAL!$K$3:$K$570),"v","-")),"-")),"-")</f>
        <v>-</v>
      </c>
      <c r="N571" s="54" t="str">
        <f>IFERROR(VLOOKUP(A571,CONFIG!$A$10:$B$21,2,0),"")</f>
        <v>HIP</v>
      </c>
      <c r="O571" s="55" t="str">
        <f t="shared" si="17"/>
        <v>Press Inclinado|Mancuernas</v>
      </c>
      <c r="P571" s="69" t="str">
        <f>LUNES!AC213</f>
        <v/>
      </c>
    </row>
    <row r="572" spans="1:16" ht="14.1" customHeight="1">
      <c r="A572" s="37">
        <v>10</v>
      </c>
      <c r="B572" s="37" t="s">
        <v>277</v>
      </c>
      <c r="C572" s="44" t="str">
        <f>LUNES!$A$215</f>
        <v>Fondos</v>
      </c>
      <c r="D572" s="45" t="str">
        <f>LUNES!$B$215</f>
        <v>Paralelas</v>
      </c>
      <c r="E572" s="37" t="str">
        <f>LUNES!$C$215</f>
        <v>peso_corporal</v>
      </c>
      <c r="F572" s="46" t="str">
        <f>IF(P572="","",IFERROR(CHOOSE(VALUE(RIGHT(P572,1)),LUNES!F215,LUNES!I215,LUNES!L215,LUNES!O215,LUNES!R215),""))</f>
        <v/>
      </c>
      <c r="G572" s="47" t="str">
        <f>IF(P572="","",IFERROR(CHOOSE(VALUE(RIGHT(P572,1)),LUNES!G215,LUNES!J215,LUNES!M215,LUNES!P215,LUNES!S215),""))</f>
        <v/>
      </c>
      <c r="H572" s="48" t="str">
        <f>IF(P572="","",IFERROR(CHOOSE(VALUE(RIGHT(P572,1)),LUNES!H215,LUNES!K215,LUNES!N215,LUNES!Q215,LUNES!T215),""))</f>
        <v/>
      </c>
      <c r="I572" s="49" t="str">
        <f t="shared" si="16"/>
        <v/>
      </c>
      <c r="J572" s="50" t="str">
        <f>IF(P572="","",IFERROR(ROUND(CHOOSE(VALUE(RIGHT(P572,1)),IF(LUNES!C215="peso_corporal",IF(ISNUMBER(LUNES!E215),LUNES!E215,0)+LUNES!F215,LUNES!F215)*LUNES!G215,IF(LUNES!C215="peso_corporal",IF(ISNUMBER(LUNES!E215),LUNES!E215,0)+LUNES!I215,LUNES!I215)*LUNES!J215,IF(LUNES!C215="peso_corporal",IF(ISNUMBER(LUNES!E215),LUNES!E215,0)+LUNES!L215,LUNES!L215)*LUNES!M215,IF(LUNES!C215="peso_corporal",IF(ISNUMBER(LUNES!E215),LUNES!E215,0)+LUNES!O215,LUNES!O215)*LUNES!P215,IF(LUNES!C215="peso_corporal",IF(ISNUMBER(LUNES!E215),LUNES!E215,0)+LUNES!R215,LUNES!R215)*LUNES!S215),1),""))</f>
        <v/>
      </c>
      <c r="K572" s="51" t="str">
        <f>IF(P572="","",IFERROR(ROUND(CHOOSE(VALUE(RIGHT(P572,1)),(IF(LUNES!C215="peso_corporal",IF(ISNUMBER(LUNES!E215),LUNES!E215,0)+LUNES!F215,LUNES!F215))*(1+LUNES!G215/30),(IF(LUNES!C215="peso_corporal",IF(ISNUMBER(LUNES!E215),LUNES!E215,0)+LUNES!I215,LUNES!I215))*(1+LUNES!J215/30),(IF(LUNES!C215="peso_corporal",IF(ISNUMBER(LUNES!E215),LUNES!E215,0)+LUNES!L215,LUNES!L215))*(1+LUNES!M215/30),(IF(LUNES!C215="peso_corporal",IF(ISNUMBER(LUNES!E215),LUNES!E215,0)+LUNES!O215,LUNES!O215))*(1+LUNES!P215/30),(IF(LUNES!C215="peso_corporal",IF(ISNUMBER(LUNES!E215),LUNES!E215,0)+LUNES!R215,LUNES!R215))*(1+LUNES!S215/30)),1),""))</f>
        <v/>
      </c>
      <c r="L572" s="52">
        <f>IFERROR(LUNES!E215,"")</f>
        <v>80</v>
      </c>
      <c r="M572" s="53" t="str">
        <f>IFERROR(IF(K572="","-",IF(ISNUMBER(LOOKUP(2,1/((HISTORIAL!$O$3:$O$571=O572)*(HISTORIAL!$F$3:$F$571&lt;&gt;"")),HISTORIAL!$K$3:$K$571)),IF(K572&gt;LOOKUP(2,1/((HISTORIAL!$O$3:$O$571=O572)*(HISTORIAL!$F$3:$F$571&lt;&gt;"")),HISTORIAL!$K$3:$K$571),"^",IF(K572&lt;LOOKUP(2,1/((HISTORIAL!$O$3:$O$571=O572)*(HISTORIAL!$F$3:$F$571&lt;&gt;"")),HISTORIAL!$K$3:$K$571),"v","-")),"-")),"-")</f>
        <v>-</v>
      </c>
      <c r="N572" s="54" t="str">
        <f>IFERROR(VLOOKUP(A572,CONFIG!$A$10:$B$21,2,0),"")</f>
        <v>HIP</v>
      </c>
      <c r="O572" s="55" t="str">
        <f t="shared" si="17"/>
        <v>Fondos|Paralelas</v>
      </c>
      <c r="P572" s="69" t="str">
        <f>LUNES!AC215</f>
        <v/>
      </c>
    </row>
    <row r="573" spans="1:16" ht="14.1" customHeight="1">
      <c r="A573" s="37">
        <v>10</v>
      </c>
      <c r="B573" s="37" t="s">
        <v>277</v>
      </c>
      <c r="C573" s="44" t="str">
        <f>LUNES!$A$216</f>
        <v>Aperturas</v>
      </c>
      <c r="D573" s="45" t="str">
        <f>LUNES!$B$216</f>
        <v>Polea Baja Crossover</v>
      </c>
      <c r="E573" s="37" t="str">
        <f>LUNES!$C$216</f>
        <v>--</v>
      </c>
      <c r="F573" s="46" t="str">
        <f>IF(P573="","",IFERROR(CHOOSE(VALUE(RIGHT(P573,1)),LUNES!F216,LUNES!I216,LUNES!L216,LUNES!O216,LUNES!R216),""))</f>
        <v/>
      </c>
      <c r="G573" s="47" t="str">
        <f>IF(P573="","",IFERROR(CHOOSE(VALUE(RIGHT(P573,1)),LUNES!G216,LUNES!J216,LUNES!M216,LUNES!P216,LUNES!S216),""))</f>
        <v/>
      </c>
      <c r="H573" s="48" t="str">
        <f>IF(P573="","",IFERROR(CHOOSE(VALUE(RIGHT(P573,1)),LUNES!H216,LUNES!K216,LUNES!N216,LUNES!Q216,LUNES!T216),""))</f>
        <v/>
      </c>
      <c r="I573" s="49" t="str">
        <f t="shared" si="16"/>
        <v/>
      </c>
      <c r="J573" s="50" t="str">
        <f>IF(P573="","",IFERROR(ROUND(CHOOSE(VALUE(RIGHT(P573,1)),IF(LUNES!C216="peso_corporal",IF(ISNUMBER(LUNES!E216),LUNES!E216,0)+LUNES!F216,LUNES!F216)*LUNES!G216,IF(LUNES!C216="peso_corporal",IF(ISNUMBER(LUNES!E216),LUNES!E216,0)+LUNES!I216,LUNES!I216)*LUNES!J216,IF(LUNES!C216="peso_corporal",IF(ISNUMBER(LUNES!E216),LUNES!E216,0)+LUNES!L216,LUNES!L216)*LUNES!M216,IF(LUNES!C216="peso_corporal",IF(ISNUMBER(LUNES!E216),LUNES!E216,0)+LUNES!O216,LUNES!O216)*LUNES!P216,IF(LUNES!C216="peso_corporal",IF(ISNUMBER(LUNES!E216),LUNES!E216,0)+LUNES!R216,LUNES!R216)*LUNES!S216),1),""))</f>
        <v/>
      </c>
      <c r="K573" s="51" t="str">
        <f>IF(P573="","",IFERROR(ROUND(CHOOSE(VALUE(RIGHT(P573,1)),(IF(LUNES!C216="peso_corporal",IF(ISNUMBER(LUNES!E216),LUNES!E216,0)+LUNES!F216,LUNES!F216))*(1+LUNES!G216/30),(IF(LUNES!C216="peso_corporal",IF(ISNUMBER(LUNES!E216),LUNES!E216,0)+LUNES!I216,LUNES!I216))*(1+LUNES!J216/30),(IF(LUNES!C216="peso_corporal",IF(ISNUMBER(LUNES!E216),LUNES!E216,0)+LUNES!L216,LUNES!L216))*(1+LUNES!M216/30),(IF(LUNES!C216="peso_corporal",IF(ISNUMBER(LUNES!E216),LUNES!E216,0)+LUNES!O216,LUNES!O216))*(1+LUNES!P216/30),(IF(LUNES!C216="peso_corporal",IF(ISNUMBER(LUNES!E216),LUNES!E216,0)+LUNES!R216,LUNES!R216))*(1+LUNES!S216/30)),1),""))</f>
        <v/>
      </c>
      <c r="L573" s="52">
        <f>IFERROR(LUNES!E216,"")</f>
        <v>80</v>
      </c>
      <c r="M573" s="53" t="str">
        <f>IFERROR(IF(K573="","-",IF(ISNUMBER(LOOKUP(2,1/((HISTORIAL!$O$3:$O$572=O573)*(HISTORIAL!$F$3:$F$572&lt;&gt;"")),HISTORIAL!$K$3:$K$572)),IF(K573&gt;LOOKUP(2,1/((HISTORIAL!$O$3:$O$572=O573)*(HISTORIAL!$F$3:$F$572&lt;&gt;"")),HISTORIAL!$K$3:$K$572),"^",IF(K573&lt;LOOKUP(2,1/((HISTORIAL!$O$3:$O$572=O573)*(HISTORIAL!$F$3:$F$572&lt;&gt;"")),HISTORIAL!$K$3:$K$572),"v","-")),"-")),"-")</f>
        <v>-</v>
      </c>
      <c r="N573" s="54" t="str">
        <f>IFERROR(VLOOKUP(A573,CONFIG!$A$10:$B$21,2,0),"")</f>
        <v>HIP</v>
      </c>
      <c r="O573" s="55" t="str">
        <f t="shared" si="17"/>
        <v>Aperturas|Polea Baja Crossover</v>
      </c>
      <c r="P573" s="69" t="str">
        <f>LUNES!AC216</f>
        <v/>
      </c>
    </row>
    <row r="574" spans="1:16" ht="14.1" customHeight="1">
      <c r="A574" s="37">
        <v>10</v>
      </c>
      <c r="B574" s="37" t="s">
        <v>277</v>
      </c>
      <c r="C574" s="44" t="str">
        <f>LUNES!$A$217</f>
        <v>Aperturas</v>
      </c>
      <c r="D574" s="45" t="str">
        <f>LUNES!$B$217</f>
        <v>Pec Deck Maquina</v>
      </c>
      <c r="E574" s="37" t="str">
        <f>LUNES!$C$217</f>
        <v>--</v>
      </c>
      <c r="F574" s="46" t="str">
        <f>IF(P574="","",IFERROR(CHOOSE(VALUE(RIGHT(P574,1)),LUNES!F217,LUNES!I217,LUNES!L217,LUNES!O217,LUNES!R217),""))</f>
        <v/>
      </c>
      <c r="G574" s="47" t="str">
        <f>IF(P574="","",IFERROR(CHOOSE(VALUE(RIGHT(P574,1)),LUNES!G217,LUNES!J217,LUNES!M217,LUNES!P217,LUNES!S217),""))</f>
        <v/>
      </c>
      <c r="H574" s="48" t="str">
        <f>IF(P574="","",IFERROR(CHOOSE(VALUE(RIGHT(P574,1)),LUNES!H217,LUNES!K217,LUNES!N217,LUNES!Q217,LUNES!T217),""))</f>
        <v/>
      </c>
      <c r="I574" s="49" t="str">
        <f t="shared" si="16"/>
        <v/>
      </c>
      <c r="J574" s="50" t="str">
        <f>IF(P574="","",IFERROR(ROUND(CHOOSE(VALUE(RIGHT(P574,1)),IF(LUNES!C217="peso_corporal",IF(ISNUMBER(LUNES!E217),LUNES!E217,0)+LUNES!F217,LUNES!F217)*LUNES!G217,IF(LUNES!C217="peso_corporal",IF(ISNUMBER(LUNES!E217),LUNES!E217,0)+LUNES!I217,LUNES!I217)*LUNES!J217,IF(LUNES!C217="peso_corporal",IF(ISNUMBER(LUNES!E217),LUNES!E217,0)+LUNES!L217,LUNES!L217)*LUNES!M217,IF(LUNES!C217="peso_corporal",IF(ISNUMBER(LUNES!E217),LUNES!E217,0)+LUNES!O217,LUNES!O217)*LUNES!P217,IF(LUNES!C217="peso_corporal",IF(ISNUMBER(LUNES!E217),LUNES!E217,0)+LUNES!R217,LUNES!R217)*LUNES!S217),1),""))</f>
        <v/>
      </c>
      <c r="K574" s="51" t="str">
        <f>IF(P574="","",IFERROR(ROUND(CHOOSE(VALUE(RIGHT(P574,1)),(IF(LUNES!C217="peso_corporal",IF(ISNUMBER(LUNES!E217),LUNES!E217,0)+LUNES!F217,LUNES!F217))*(1+LUNES!G217/30),(IF(LUNES!C217="peso_corporal",IF(ISNUMBER(LUNES!E217),LUNES!E217,0)+LUNES!I217,LUNES!I217))*(1+LUNES!J217/30),(IF(LUNES!C217="peso_corporal",IF(ISNUMBER(LUNES!E217),LUNES!E217,0)+LUNES!L217,LUNES!L217))*(1+LUNES!M217/30),(IF(LUNES!C217="peso_corporal",IF(ISNUMBER(LUNES!E217),LUNES!E217,0)+LUNES!O217,LUNES!O217))*(1+LUNES!P217/30),(IF(LUNES!C217="peso_corporal",IF(ISNUMBER(LUNES!E217),LUNES!E217,0)+LUNES!R217,LUNES!R217))*(1+LUNES!S217/30)),1),""))</f>
        <v/>
      </c>
      <c r="L574" s="52">
        <f>IFERROR(LUNES!E217,"")</f>
        <v>80</v>
      </c>
      <c r="M574" s="53" t="str">
        <f>IFERROR(IF(K574="","-",IF(ISNUMBER(LOOKUP(2,1/((HISTORIAL!$O$3:$O$573=O574)*(HISTORIAL!$F$3:$F$573&lt;&gt;"")),HISTORIAL!$K$3:$K$573)),IF(K574&gt;LOOKUP(2,1/((HISTORIAL!$O$3:$O$573=O574)*(HISTORIAL!$F$3:$F$573&lt;&gt;"")),HISTORIAL!$K$3:$K$573),"^",IF(K574&lt;LOOKUP(2,1/((HISTORIAL!$O$3:$O$573=O574)*(HISTORIAL!$F$3:$F$573&lt;&gt;"")),HISTORIAL!$K$3:$K$573),"v","-")),"-")),"-")</f>
        <v>-</v>
      </c>
      <c r="N574" s="54" t="str">
        <f>IFERROR(VLOOKUP(A574,CONFIG!$A$10:$B$21,2,0),"")</f>
        <v>HIP</v>
      </c>
      <c r="O574" s="55" t="str">
        <f t="shared" si="17"/>
        <v>Aperturas|Pec Deck Maquina</v>
      </c>
      <c r="P574" s="69" t="str">
        <f>LUNES!AC217</f>
        <v/>
      </c>
    </row>
    <row r="575" spans="1:16" ht="14.1" customHeight="1">
      <c r="A575" s="37">
        <v>10</v>
      </c>
      <c r="B575" s="37" t="s">
        <v>277</v>
      </c>
      <c r="C575" s="44" t="str">
        <f>LUNES!$A$219</f>
        <v>Elevaciones Laterales</v>
      </c>
      <c r="D575" s="45" t="str">
        <f>LUNES!$B$219</f>
        <v>Cable Polea Individual</v>
      </c>
      <c r="E575" s="37" t="str">
        <f>LUNES!$C$219</f>
        <v>polea</v>
      </c>
      <c r="F575" s="46" t="str">
        <f>IF(P575="","",IFERROR(CHOOSE(VALUE(RIGHT(P575,1)),LUNES!F219,LUNES!I219,LUNES!L219,LUNES!O219,LUNES!R219),""))</f>
        <v/>
      </c>
      <c r="G575" s="47" t="str">
        <f>IF(P575="","",IFERROR(CHOOSE(VALUE(RIGHT(P575,1)),LUNES!G219,LUNES!J219,LUNES!M219,LUNES!P219,LUNES!S219),""))</f>
        <v/>
      </c>
      <c r="H575" s="48" t="str">
        <f>IF(P575="","",IFERROR(CHOOSE(VALUE(RIGHT(P575,1)),LUNES!H219,LUNES!K219,LUNES!N219,LUNES!Q219,LUNES!T219),""))</f>
        <v/>
      </c>
      <c r="I575" s="49" t="str">
        <f t="shared" si="16"/>
        <v/>
      </c>
      <c r="J575" s="50" t="str">
        <f>IF(P575="","",IFERROR(ROUND(CHOOSE(VALUE(RIGHT(P575,1)),IF(LUNES!C219="peso_corporal",IF(ISNUMBER(LUNES!E219),LUNES!E219,0)+LUNES!F219,LUNES!F219)*LUNES!G219,IF(LUNES!C219="peso_corporal",IF(ISNUMBER(LUNES!E219),LUNES!E219,0)+LUNES!I219,LUNES!I219)*LUNES!J219,IF(LUNES!C219="peso_corporal",IF(ISNUMBER(LUNES!E219),LUNES!E219,0)+LUNES!L219,LUNES!L219)*LUNES!M219,IF(LUNES!C219="peso_corporal",IF(ISNUMBER(LUNES!E219),LUNES!E219,0)+LUNES!O219,LUNES!O219)*LUNES!P219,IF(LUNES!C219="peso_corporal",IF(ISNUMBER(LUNES!E219),LUNES!E219,0)+LUNES!R219,LUNES!R219)*LUNES!S219),1),""))</f>
        <v/>
      </c>
      <c r="K575" s="51" t="str">
        <f>IF(P575="","",IFERROR(ROUND(CHOOSE(VALUE(RIGHT(P575,1)),(IF(LUNES!C219="peso_corporal",IF(ISNUMBER(LUNES!E219),LUNES!E219,0)+LUNES!F219,LUNES!F219))*(1+LUNES!G219/30),(IF(LUNES!C219="peso_corporal",IF(ISNUMBER(LUNES!E219),LUNES!E219,0)+LUNES!I219,LUNES!I219))*(1+LUNES!J219/30),(IF(LUNES!C219="peso_corporal",IF(ISNUMBER(LUNES!E219),LUNES!E219,0)+LUNES!L219,LUNES!L219))*(1+LUNES!M219/30),(IF(LUNES!C219="peso_corporal",IF(ISNUMBER(LUNES!E219),LUNES!E219,0)+LUNES!O219,LUNES!O219))*(1+LUNES!P219/30),(IF(LUNES!C219="peso_corporal",IF(ISNUMBER(LUNES!E219),LUNES!E219,0)+LUNES!R219,LUNES!R219))*(1+LUNES!S219/30)),1),""))</f>
        <v/>
      </c>
      <c r="L575" s="52">
        <f>IFERROR(LUNES!E219,"")</f>
        <v>80</v>
      </c>
      <c r="M575" s="53" t="str">
        <f>IFERROR(IF(K575="","-",IF(ISNUMBER(LOOKUP(2,1/((HISTORIAL!$O$3:$O$574=O575)*(HISTORIAL!$F$3:$F$574&lt;&gt;"")),HISTORIAL!$K$3:$K$574)),IF(K575&gt;LOOKUP(2,1/((HISTORIAL!$O$3:$O$574=O575)*(HISTORIAL!$F$3:$F$574&lt;&gt;"")),HISTORIAL!$K$3:$K$574),"^",IF(K575&lt;LOOKUP(2,1/((HISTORIAL!$O$3:$O$574=O575)*(HISTORIAL!$F$3:$F$574&lt;&gt;"")),HISTORIAL!$K$3:$K$574),"v","-")),"-")),"-")</f>
        <v>-</v>
      </c>
      <c r="N575" s="54" t="str">
        <f>IFERROR(VLOOKUP(A575,CONFIG!$A$10:$B$21,2,0),"")</f>
        <v>HIP</v>
      </c>
      <c r="O575" s="55" t="str">
        <f t="shared" si="17"/>
        <v>Elevaciones Laterales|Cable Polea Individual</v>
      </c>
      <c r="P575" s="69" t="str">
        <f>LUNES!AC219</f>
        <v/>
      </c>
    </row>
    <row r="576" spans="1:16" ht="14.1" customHeight="1">
      <c r="A576" s="37">
        <v>10</v>
      </c>
      <c r="B576" s="37" t="s">
        <v>277</v>
      </c>
      <c r="C576" s="44" t="str">
        <f>LUNES!$A$220</f>
        <v>Press Militar</v>
      </c>
      <c r="D576" s="45" t="str">
        <f>LUNES!$B$220</f>
        <v>Mancuernas Sentado</v>
      </c>
      <c r="E576" s="37" t="str">
        <f>LUNES!$C$220</f>
        <v>mancuerna</v>
      </c>
      <c r="F576" s="46" t="str">
        <f>IF(P576="","",IFERROR(CHOOSE(VALUE(RIGHT(P576,1)),LUNES!F220,LUNES!I220,LUNES!L220,LUNES!O220,LUNES!R220),""))</f>
        <v/>
      </c>
      <c r="G576" s="47" t="str">
        <f>IF(P576="","",IFERROR(CHOOSE(VALUE(RIGHT(P576,1)),LUNES!G220,LUNES!J220,LUNES!M220,LUNES!P220,LUNES!S220),""))</f>
        <v/>
      </c>
      <c r="H576" s="48" t="str">
        <f>IF(P576="","",IFERROR(CHOOSE(VALUE(RIGHT(P576,1)),LUNES!H220,LUNES!K220,LUNES!N220,LUNES!Q220,LUNES!T220),""))</f>
        <v/>
      </c>
      <c r="I576" s="49" t="str">
        <f t="shared" si="16"/>
        <v/>
      </c>
      <c r="J576" s="50" t="str">
        <f>IF(P576="","",IFERROR(ROUND(CHOOSE(VALUE(RIGHT(P576,1)),IF(LUNES!C220="peso_corporal",IF(ISNUMBER(LUNES!E220),LUNES!E220,0)+LUNES!F220,LUNES!F220)*LUNES!G220,IF(LUNES!C220="peso_corporal",IF(ISNUMBER(LUNES!E220),LUNES!E220,0)+LUNES!I220,LUNES!I220)*LUNES!J220,IF(LUNES!C220="peso_corporal",IF(ISNUMBER(LUNES!E220),LUNES!E220,0)+LUNES!L220,LUNES!L220)*LUNES!M220,IF(LUNES!C220="peso_corporal",IF(ISNUMBER(LUNES!E220),LUNES!E220,0)+LUNES!O220,LUNES!O220)*LUNES!P220,IF(LUNES!C220="peso_corporal",IF(ISNUMBER(LUNES!E220),LUNES!E220,0)+LUNES!R220,LUNES!R220)*LUNES!S220),1),""))</f>
        <v/>
      </c>
      <c r="K576" s="51" t="str">
        <f>IF(P576="","",IFERROR(ROUND(CHOOSE(VALUE(RIGHT(P576,1)),(IF(LUNES!C220="peso_corporal",IF(ISNUMBER(LUNES!E220),LUNES!E220,0)+LUNES!F220,LUNES!F220))*(1+LUNES!G220/30),(IF(LUNES!C220="peso_corporal",IF(ISNUMBER(LUNES!E220),LUNES!E220,0)+LUNES!I220,LUNES!I220))*(1+LUNES!J220/30),(IF(LUNES!C220="peso_corporal",IF(ISNUMBER(LUNES!E220),LUNES!E220,0)+LUNES!L220,LUNES!L220))*(1+LUNES!M220/30),(IF(LUNES!C220="peso_corporal",IF(ISNUMBER(LUNES!E220),LUNES!E220,0)+LUNES!O220,LUNES!O220))*(1+LUNES!P220/30),(IF(LUNES!C220="peso_corporal",IF(ISNUMBER(LUNES!E220),LUNES!E220,0)+LUNES!R220,LUNES!R220))*(1+LUNES!S220/30)),1),""))</f>
        <v/>
      </c>
      <c r="L576" s="52">
        <f>IFERROR(LUNES!E220,"")</f>
        <v>80</v>
      </c>
      <c r="M576" s="53" t="str">
        <f>IFERROR(IF(K576="","-",IF(ISNUMBER(LOOKUP(2,1/((HISTORIAL!$O$3:$O$575=O576)*(HISTORIAL!$F$3:$F$575&lt;&gt;"")),HISTORIAL!$K$3:$K$575)),IF(K576&gt;LOOKUP(2,1/((HISTORIAL!$O$3:$O$575=O576)*(HISTORIAL!$F$3:$F$575&lt;&gt;"")),HISTORIAL!$K$3:$K$575),"^",IF(K576&lt;LOOKUP(2,1/((HISTORIAL!$O$3:$O$575=O576)*(HISTORIAL!$F$3:$F$575&lt;&gt;"")),HISTORIAL!$K$3:$K$575),"v","-")),"-")),"-")</f>
        <v>-</v>
      </c>
      <c r="N576" s="54" t="str">
        <f>IFERROR(VLOOKUP(A576,CONFIG!$A$10:$B$21,2,0),"")</f>
        <v>HIP</v>
      </c>
      <c r="O576" s="55" t="str">
        <f t="shared" si="17"/>
        <v>Press Militar|Mancuernas Sentado</v>
      </c>
      <c r="P576" s="69" t="str">
        <f>LUNES!AC220</f>
        <v/>
      </c>
    </row>
    <row r="577" spans="1:16" ht="14.1" customHeight="1">
      <c r="A577" s="37">
        <v>10</v>
      </c>
      <c r="B577" s="37" t="s">
        <v>277</v>
      </c>
      <c r="C577" s="44" t="str">
        <f>LUNES!$A$222</f>
        <v>Extension Triceps</v>
      </c>
      <c r="D577" s="45" t="str">
        <f>LUNES!$B$222</f>
        <v>Press Neutro Polea Individual</v>
      </c>
      <c r="E577" s="37" t="str">
        <f>LUNES!$C$222</f>
        <v>--</v>
      </c>
      <c r="F577" s="46" t="str">
        <f>IF(P577="","",IFERROR(CHOOSE(VALUE(RIGHT(P577,1)),LUNES!F222,LUNES!I222,LUNES!L222,LUNES!O222,LUNES!R222),""))</f>
        <v/>
      </c>
      <c r="G577" s="47" t="str">
        <f>IF(P577="","",IFERROR(CHOOSE(VALUE(RIGHT(P577,1)),LUNES!G222,LUNES!J222,LUNES!M222,LUNES!P222,LUNES!S222),""))</f>
        <v/>
      </c>
      <c r="H577" s="48" t="str">
        <f>IF(P577="","",IFERROR(CHOOSE(VALUE(RIGHT(P577,1)),LUNES!H222,LUNES!K222,LUNES!N222,LUNES!Q222,LUNES!T222),""))</f>
        <v/>
      </c>
      <c r="I577" s="49" t="str">
        <f t="shared" si="16"/>
        <v/>
      </c>
      <c r="J577" s="50" t="str">
        <f>IF(P577="","",IFERROR(ROUND(CHOOSE(VALUE(RIGHT(P577,1)),IF(LUNES!C222="peso_corporal",IF(ISNUMBER(LUNES!E222),LUNES!E222,0)+LUNES!F222,LUNES!F222)*LUNES!G222,IF(LUNES!C222="peso_corporal",IF(ISNUMBER(LUNES!E222),LUNES!E222,0)+LUNES!I222,LUNES!I222)*LUNES!J222,IF(LUNES!C222="peso_corporal",IF(ISNUMBER(LUNES!E222),LUNES!E222,0)+LUNES!L222,LUNES!L222)*LUNES!M222,IF(LUNES!C222="peso_corporal",IF(ISNUMBER(LUNES!E222),LUNES!E222,0)+LUNES!O222,LUNES!O222)*LUNES!P222,IF(LUNES!C222="peso_corporal",IF(ISNUMBER(LUNES!E222),LUNES!E222,0)+LUNES!R222,LUNES!R222)*LUNES!S222),1),""))</f>
        <v/>
      </c>
      <c r="K577" s="51" t="str">
        <f>IF(P577="","",IFERROR(ROUND(CHOOSE(VALUE(RIGHT(P577,1)),(IF(LUNES!C222="peso_corporal",IF(ISNUMBER(LUNES!E222),LUNES!E222,0)+LUNES!F222,LUNES!F222))*(1+LUNES!G222/30),(IF(LUNES!C222="peso_corporal",IF(ISNUMBER(LUNES!E222),LUNES!E222,0)+LUNES!I222,LUNES!I222))*(1+LUNES!J222/30),(IF(LUNES!C222="peso_corporal",IF(ISNUMBER(LUNES!E222),LUNES!E222,0)+LUNES!L222,LUNES!L222))*(1+LUNES!M222/30),(IF(LUNES!C222="peso_corporal",IF(ISNUMBER(LUNES!E222),LUNES!E222,0)+LUNES!O222,LUNES!O222))*(1+LUNES!P222/30),(IF(LUNES!C222="peso_corporal",IF(ISNUMBER(LUNES!E222),LUNES!E222,0)+LUNES!R222,LUNES!R222))*(1+LUNES!S222/30)),1),""))</f>
        <v/>
      </c>
      <c r="L577" s="52">
        <f>IFERROR(LUNES!E222,"")</f>
        <v>80</v>
      </c>
      <c r="M577" s="53" t="str">
        <f>IFERROR(IF(K577="","-",IF(ISNUMBER(LOOKUP(2,1/((HISTORIAL!$O$3:$O$576=O577)*(HISTORIAL!$F$3:$F$576&lt;&gt;"")),HISTORIAL!$K$3:$K$576)),IF(K577&gt;LOOKUP(2,1/((HISTORIAL!$O$3:$O$576=O577)*(HISTORIAL!$F$3:$F$576&lt;&gt;"")),HISTORIAL!$K$3:$K$576),"^",IF(K577&lt;LOOKUP(2,1/((HISTORIAL!$O$3:$O$576=O577)*(HISTORIAL!$F$3:$F$576&lt;&gt;"")),HISTORIAL!$K$3:$K$576),"v","-")),"-")),"-")</f>
        <v>-</v>
      </c>
      <c r="N577" s="54" t="str">
        <f>IFERROR(VLOOKUP(A577,CONFIG!$A$10:$B$21,2,0),"")</f>
        <v>HIP</v>
      </c>
      <c r="O577" s="55" t="str">
        <f t="shared" si="17"/>
        <v>Extension Triceps|Press Neutro Polea Individual</v>
      </c>
      <c r="P577" s="69" t="str">
        <f>LUNES!AC222</f>
        <v/>
      </c>
    </row>
    <row r="578" spans="1:16" ht="14.1" customHeight="1">
      <c r="A578" s="37">
        <v>10</v>
      </c>
      <c r="B578" s="37" t="s">
        <v>277</v>
      </c>
      <c r="C578" s="44" t="str">
        <f>LUNES!$A$224</f>
        <v>Extension Cuadriceps</v>
      </c>
      <c r="D578" s="45" t="str">
        <f>LUNES!$B$224</f>
        <v>Vasto Externo</v>
      </c>
      <c r="E578" s="37" t="str">
        <f>LUNES!$C$224</f>
        <v>--</v>
      </c>
      <c r="F578" s="46" t="str">
        <f>IF(P578="","",IFERROR(CHOOSE(VALUE(RIGHT(P578,1)),LUNES!F224,LUNES!I224,LUNES!L224,LUNES!O224,LUNES!R224),""))</f>
        <v/>
      </c>
      <c r="G578" s="47" t="str">
        <f>IF(P578="","",IFERROR(CHOOSE(VALUE(RIGHT(P578,1)),LUNES!G224,LUNES!J224,LUNES!M224,LUNES!P224,LUNES!S224),""))</f>
        <v/>
      </c>
      <c r="H578" s="48" t="str">
        <f>IF(P578="","",IFERROR(CHOOSE(VALUE(RIGHT(P578,1)),LUNES!H224,LUNES!K224,LUNES!N224,LUNES!Q224,LUNES!T224),""))</f>
        <v/>
      </c>
      <c r="I578" s="49" t="str">
        <f t="shared" si="16"/>
        <v/>
      </c>
      <c r="J578" s="50" t="str">
        <f>IF(P578="","",IFERROR(ROUND(CHOOSE(VALUE(RIGHT(P578,1)),IF(LUNES!C224="peso_corporal",IF(ISNUMBER(LUNES!E224),LUNES!E224,0)+LUNES!F224,LUNES!F224)*LUNES!G224,IF(LUNES!C224="peso_corporal",IF(ISNUMBER(LUNES!E224),LUNES!E224,0)+LUNES!I224,LUNES!I224)*LUNES!J224,IF(LUNES!C224="peso_corporal",IF(ISNUMBER(LUNES!E224),LUNES!E224,0)+LUNES!L224,LUNES!L224)*LUNES!M224,IF(LUNES!C224="peso_corporal",IF(ISNUMBER(LUNES!E224),LUNES!E224,0)+LUNES!O224,LUNES!O224)*LUNES!P224,IF(LUNES!C224="peso_corporal",IF(ISNUMBER(LUNES!E224),LUNES!E224,0)+LUNES!R224,LUNES!R224)*LUNES!S224),1),""))</f>
        <v/>
      </c>
      <c r="K578" s="51" t="str">
        <f>IF(P578="","",IFERROR(ROUND(CHOOSE(VALUE(RIGHT(P578,1)),(IF(LUNES!C224="peso_corporal",IF(ISNUMBER(LUNES!E224),LUNES!E224,0)+LUNES!F224,LUNES!F224))*(1+LUNES!G224/30),(IF(LUNES!C224="peso_corporal",IF(ISNUMBER(LUNES!E224),LUNES!E224,0)+LUNES!I224,LUNES!I224))*(1+LUNES!J224/30),(IF(LUNES!C224="peso_corporal",IF(ISNUMBER(LUNES!E224),LUNES!E224,0)+LUNES!L224,LUNES!L224))*(1+LUNES!M224/30),(IF(LUNES!C224="peso_corporal",IF(ISNUMBER(LUNES!E224),LUNES!E224,0)+LUNES!O224,LUNES!O224))*(1+LUNES!P224/30),(IF(LUNES!C224="peso_corporal",IF(ISNUMBER(LUNES!E224),LUNES!E224,0)+LUNES!R224,LUNES!R224))*(1+LUNES!S224/30)),1),""))</f>
        <v/>
      </c>
      <c r="L578" s="52">
        <f>IFERROR(LUNES!E224,"")</f>
        <v>80</v>
      </c>
      <c r="M578" s="53" t="str">
        <f>IFERROR(IF(K578="","-",IF(ISNUMBER(LOOKUP(2,1/((HISTORIAL!$O$3:$O$577=O578)*(HISTORIAL!$F$3:$F$577&lt;&gt;"")),HISTORIAL!$K$3:$K$577)),IF(K578&gt;LOOKUP(2,1/((HISTORIAL!$O$3:$O$577=O578)*(HISTORIAL!$F$3:$F$577&lt;&gt;"")),HISTORIAL!$K$3:$K$577),"^",IF(K578&lt;LOOKUP(2,1/((HISTORIAL!$O$3:$O$577=O578)*(HISTORIAL!$F$3:$F$577&lt;&gt;"")),HISTORIAL!$K$3:$K$577),"v","-")),"-")),"-")</f>
        <v>-</v>
      </c>
      <c r="N578" s="54" t="str">
        <f>IFERROR(VLOOKUP(A578,CONFIG!$A$10:$B$21,2,0),"")</f>
        <v>HIP</v>
      </c>
      <c r="O578" s="55" t="str">
        <f t="shared" si="17"/>
        <v>Extension Cuadriceps|Vasto Externo</v>
      </c>
      <c r="P578" s="69" t="str">
        <f>LUNES!AC224</f>
        <v/>
      </c>
    </row>
    <row r="579" spans="1:16" ht="14.1" customHeight="1">
      <c r="A579" s="37">
        <v>10</v>
      </c>
      <c r="B579" s="37" t="s">
        <v>277</v>
      </c>
      <c r="C579" s="44" t="str">
        <f>LUNES!$A$226</f>
        <v>Curl Biceps</v>
      </c>
      <c r="D579" s="45" t="str">
        <f>LUNES!$B$226</f>
        <v>Inclinado Banco Mancuernas</v>
      </c>
      <c r="E579" s="37" t="str">
        <f>LUNES!$C$226</f>
        <v>mancuerna</v>
      </c>
      <c r="F579" s="46" t="str">
        <f>IF(P579="","",IFERROR(CHOOSE(VALUE(RIGHT(P579,1)),LUNES!F226,LUNES!I226,LUNES!L226,LUNES!O226,LUNES!R226),""))</f>
        <v/>
      </c>
      <c r="G579" s="47" t="str">
        <f>IF(P579="","",IFERROR(CHOOSE(VALUE(RIGHT(P579,1)),LUNES!G226,LUNES!J226,LUNES!M226,LUNES!P226,LUNES!S226),""))</f>
        <v/>
      </c>
      <c r="H579" s="48" t="str">
        <f>IF(P579="","",IFERROR(CHOOSE(VALUE(RIGHT(P579,1)),LUNES!H226,LUNES!K226,LUNES!N226,LUNES!Q226,LUNES!T226),""))</f>
        <v/>
      </c>
      <c r="I579" s="49" t="str">
        <f t="shared" ref="I579:I642" si="18">IF(P579="","",LEFT(P579,1))</f>
        <v/>
      </c>
      <c r="J579" s="50" t="str">
        <f>IF(P579="","",IFERROR(ROUND(CHOOSE(VALUE(RIGHT(P579,1)),IF(LUNES!C226="peso_corporal",IF(ISNUMBER(LUNES!E226),LUNES!E226,0)+LUNES!F226,LUNES!F226)*LUNES!G226,IF(LUNES!C226="peso_corporal",IF(ISNUMBER(LUNES!E226),LUNES!E226,0)+LUNES!I226,LUNES!I226)*LUNES!J226,IF(LUNES!C226="peso_corporal",IF(ISNUMBER(LUNES!E226),LUNES!E226,0)+LUNES!L226,LUNES!L226)*LUNES!M226,IF(LUNES!C226="peso_corporal",IF(ISNUMBER(LUNES!E226),LUNES!E226,0)+LUNES!O226,LUNES!O226)*LUNES!P226,IF(LUNES!C226="peso_corporal",IF(ISNUMBER(LUNES!E226),LUNES!E226,0)+LUNES!R226,LUNES!R226)*LUNES!S226),1),""))</f>
        <v/>
      </c>
      <c r="K579" s="51" t="str">
        <f>IF(P579="","",IFERROR(ROUND(CHOOSE(VALUE(RIGHT(P579,1)),(IF(LUNES!C226="peso_corporal",IF(ISNUMBER(LUNES!E226),LUNES!E226,0)+LUNES!F226,LUNES!F226))*(1+LUNES!G226/30),(IF(LUNES!C226="peso_corporal",IF(ISNUMBER(LUNES!E226),LUNES!E226,0)+LUNES!I226,LUNES!I226))*(1+LUNES!J226/30),(IF(LUNES!C226="peso_corporal",IF(ISNUMBER(LUNES!E226),LUNES!E226,0)+LUNES!L226,LUNES!L226))*(1+LUNES!M226/30),(IF(LUNES!C226="peso_corporal",IF(ISNUMBER(LUNES!E226),LUNES!E226,0)+LUNES!O226,LUNES!O226))*(1+LUNES!P226/30),(IF(LUNES!C226="peso_corporal",IF(ISNUMBER(LUNES!E226),LUNES!E226,0)+LUNES!R226,LUNES!R226))*(1+LUNES!S226/30)),1),""))</f>
        <v/>
      </c>
      <c r="L579" s="52">
        <f>IFERROR(LUNES!E226,"")</f>
        <v>80</v>
      </c>
      <c r="M579" s="53" t="str">
        <f>IFERROR(IF(K579="","-",IF(ISNUMBER(LOOKUP(2,1/((HISTORIAL!$O$3:$O$578=O579)*(HISTORIAL!$F$3:$F$578&lt;&gt;"")),HISTORIAL!$K$3:$K$578)),IF(K579&gt;LOOKUP(2,1/((HISTORIAL!$O$3:$O$578=O579)*(HISTORIAL!$F$3:$F$578&lt;&gt;"")),HISTORIAL!$K$3:$K$578),"^",IF(K579&lt;LOOKUP(2,1/((HISTORIAL!$O$3:$O$578=O579)*(HISTORIAL!$F$3:$F$578&lt;&gt;"")),HISTORIAL!$K$3:$K$578),"v","-")),"-")),"-")</f>
        <v>-</v>
      </c>
      <c r="N579" s="54" t="str">
        <f>IFERROR(VLOOKUP(A579,CONFIG!$A$10:$B$21,2,0),"")</f>
        <v>HIP</v>
      </c>
      <c r="O579" s="55" t="str">
        <f t="shared" ref="O579:O642" si="19">C579&amp;"|"&amp;D579</f>
        <v>Curl Biceps|Inclinado Banco Mancuernas</v>
      </c>
      <c r="P579" s="69" t="str">
        <f>LUNES!AC226</f>
        <v/>
      </c>
    </row>
    <row r="580" spans="1:16" ht="14.1" customHeight="1">
      <c r="A580" s="37">
        <v>10</v>
      </c>
      <c r="B580" s="37" t="s">
        <v>277</v>
      </c>
      <c r="C580" s="44" t="str">
        <f>LUNES!$A$228</f>
        <v>Crunch</v>
      </c>
      <c r="D580" s="45" t="str">
        <f>LUNES!$B$228</f>
        <v>Polea</v>
      </c>
      <c r="E580" s="37" t="str">
        <f>LUNES!$C$228</f>
        <v>polea</v>
      </c>
      <c r="F580" s="46" t="str">
        <f>IF(P580="","",IFERROR(CHOOSE(VALUE(RIGHT(P580,1)),LUNES!F228,LUNES!I228,LUNES!L228,LUNES!O228,LUNES!R228),""))</f>
        <v/>
      </c>
      <c r="G580" s="47" t="str">
        <f>IF(P580="","",IFERROR(CHOOSE(VALUE(RIGHT(P580,1)),LUNES!G228,LUNES!J228,LUNES!M228,LUNES!P228,LUNES!S228),""))</f>
        <v/>
      </c>
      <c r="H580" s="48" t="str">
        <f>IF(P580="","",IFERROR(CHOOSE(VALUE(RIGHT(P580,1)),LUNES!H228,LUNES!K228,LUNES!N228,LUNES!Q228,LUNES!T228),""))</f>
        <v/>
      </c>
      <c r="I580" s="49" t="str">
        <f t="shared" si="18"/>
        <v/>
      </c>
      <c r="J580" s="50" t="str">
        <f>IF(P580="","",IFERROR(ROUND(CHOOSE(VALUE(RIGHT(P580,1)),IF(LUNES!C228="peso_corporal",IF(ISNUMBER(LUNES!E228),LUNES!E228,0)+LUNES!F228,LUNES!F228)*LUNES!G228,IF(LUNES!C228="peso_corporal",IF(ISNUMBER(LUNES!E228),LUNES!E228,0)+LUNES!I228,LUNES!I228)*LUNES!J228,IF(LUNES!C228="peso_corporal",IF(ISNUMBER(LUNES!E228),LUNES!E228,0)+LUNES!L228,LUNES!L228)*LUNES!M228,IF(LUNES!C228="peso_corporal",IF(ISNUMBER(LUNES!E228),LUNES!E228,0)+LUNES!O228,LUNES!O228)*LUNES!P228,IF(LUNES!C228="peso_corporal",IF(ISNUMBER(LUNES!E228),LUNES!E228,0)+LUNES!R228,LUNES!R228)*LUNES!S228),1),""))</f>
        <v/>
      </c>
      <c r="K580" s="51" t="str">
        <f>IF(P580="","",IFERROR(ROUND(CHOOSE(VALUE(RIGHT(P580,1)),(IF(LUNES!C228="peso_corporal",IF(ISNUMBER(LUNES!E228),LUNES!E228,0)+LUNES!F228,LUNES!F228))*(1+LUNES!G228/30),(IF(LUNES!C228="peso_corporal",IF(ISNUMBER(LUNES!E228),LUNES!E228,0)+LUNES!I228,LUNES!I228))*(1+LUNES!J228/30),(IF(LUNES!C228="peso_corporal",IF(ISNUMBER(LUNES!E228),LUNES!E228,0)+LUNES!L228,LUNES!L228))*(1+LUNES!M228/30),(IF(LUNES!C228="peso_corporal",IF(ISNUMBER(LUNES!E228),LUNES!E228,0)+LUNES!O228,LUNES!O228))*(1+LUNES!P228/30),(IF(LUNES!C228="peso_corporal",IF(ISNUMBER(LUNES!E228),LUNES!E228,0)+LUNES!R228,LUNES!R228))*(1+LUNES!S228/30)),1),""))</f>
        <v/>
      </c>
      <c r="L580" s="52">
        <f>IFERROR(LUNES!E228,"")</f>
        <v>80</v>
      </c>
      <c r="M580" s="53" t="str">
        <f>IFERROR(IF(K580="","-",IF(ISNUMBER(LOOKUP(2,1/((HISTORIAL!$O$3:$O$579=O580)*(HISTORIAL!$F$3:$F$579&lt;&gt;"")),HISTORIAL!$K$3:$K$579)),IF(K580&gt;LOOKUP(2,1/((HISTORIAL!$O$3:$O$579=O580)*(HISTORIAL!$F$3:$F$579&lt;&gt;"")),HISTORIAL!$K$3:$K$579),"^",IF(K580&lt;LOOKUP(2,1/((HISTORIAL!$O$3:$O$579=O580)*(HISTORIAL!$F$3:$F$579&lt;&gt;"")),HISTORIAL!$K$3:$K$579),"v","-")),"-")),"-")</f>
        <v>-</v>
      </c>
      <c r="N580" s="54" t="str">
        <f>IFERROR(VLOOKUP(A580,CONFIG!$A$10:$B$21,2,0),"")</f>
        <v>HIP</v>
      </c>
      <c r="O580" s="55" t="str">
        <f t="shared" si="19"/>
        <v>Crunch|Polea</v>
      </c>
      <c r="P580" s="69" t="str">
        <f>LUNES!AC228</f>
        <v/>
      </c>
    </row>
    <row r="581" spans="1:16" ht="14.1" customHeight="1">
      <c r="A581" s="37">
        <v>10</v>
      </c>
      <c r="B581" s="37" t="s">
        <v>278</v>
      </c>
      <c r="C581" s="44" t="str">
        <f>MARTES!$A$202</f>
        <v>Dominadas</v>
      </c>
      <c r="D581" s="45" t="str">
        <f>MARTES!$B$202</f>
        <v>Polea Alta Prono Ancho</v>
      </c>
      <c r="E581" s="37" t="str">
        <f>MARTES!$C$202</f>
        <v>peso_corporal</v>
      </c>
      <c r="F581" s="46" t="str">
        <f>IF(P581="","",IFERROR(CHOOSE(VALUE(RIGHT(P581,1)),MARTES!F202,MARTES!I202,MARTES!L202,MARTES!O202,MARTES!R202),""))</f>
        <v/>
      </c>
      <c r="G581" s="47" t="str">
        <f>IF(P581="","",IFERROR(CHOOSE(VALUE(RIGHT(P581,1)),MARTES!G202,MARTES!J202,MARTES!M202,MARTES!P202,MARTES!S202),""))</f>
        <v/>
      </c>
      <c r="H581" s="48" t="str">
        <f>IF(P581="","",IFERROR(CHOOSE(VALUE(RIGHT(P581,1)),MARTES!H202,MARTES!K202,MARTES!N202,MARTES!Q202,MARTES!T202),""))</f>
        <v/>
      </c>
      <c r="I581" s="49" t="str">
        <f t="shared" si="18"/>
        <v/>
      </c>
      <c r="J581" s="50" t="str">
        <f>IF(P581="","",IFERROR(ROUND(CHOOSE(VALUE(RIGHT(P581,1)),IF(MARTES!C202="peso_corporal",IF(ISNUMBER(MARTES!E202),MARTES!E202,0)+MARTES!F202,MARTES!F202)*MARTES!G202,IF(MARTES!C202="peso_corporal",IF(ISNUMBER(MARTES!E202),MARTES!E202,0)+MARTES!I202,MARTES!I202)*MARTES!J202,IF(MARTES!C202="peso_corporal",IF(ISNUMBER(MARTES!E202),MARTES!E202,0)+MARTES!L202,MARTES!L202)*MARTES!M202,IF(MARTES!C202="peso_corporal",IF(ISNUMBER(MARTES!E202),MARTES!E202,0)+MARTES!O202,MARTES!O202)*MARTES!P202,IF(MARTES!C202="peso_corporal",IF(ISNUMBER(MARTES!E202),MARTES!E202,0)+MARTES!R202,MARTES!R202)*MARTES!S202),1),""))</f>
        <v/>
      </c>
      <c r="K581" s="51" t="str">
        <f>IF(P581="","",IFERROR(ROUND(CHOOSE(VALUE(RIGHT(P581,1)),(IF(MARTES!C202="peso_corporal",IF(ISNUMBER(MARTES!E202),MARTES!E202,0)+MARTES!F202,MARTES!F202))*(1+MARTES!G202/30),(IF(MARTES!C202="peso_corporal",IF(ISNUMBER(MARTES!E202),MARTES!E202,0)+MARTES!I202,MARTES!I202))*(1+MARTES!J202/30),(IF(MARTES!C202="peso_corporal",IF(ISNUMBER(MARTES!E202),MARTES!E202,0)+MARTES!L202,MARTES!L202))*(1+MARTES!M202/30),(IF(MARTES!C202="peso_corporal",IF(ISNUMBER(MARTES!E202),MARTES!E202,0)+MARTES!O202,MARTES!O202))*(1+MARTES!P202/30),(IF(MARTES!C202="peso_corporal",IF(ISNUMBER(MARTES!E202),MARTES!E202,0)+MARTES!R202,MARTES!R202))*(1+MARTES!S202/30)),1),""))</f>
        <v/>
      </c>
      <c r="L581" s="52">
        <f>IFERROR(MARTES!E202,"")</f>
        <v>80</v>
      </c>
      <c r="M581" s="53" t="str">
        <f>IFERROR(IF(K581="","-",IF(ISNUMBER(LOOKUP(2,1/((HISTORIAL!$O$3:$O$580=O581)*(HISTORIAL!$F$3:$F$580&lt;&gt;"")),HISTORIAL!$K$3:$K$580)),IF(K581&gt;LOOKUP(2,1/((HISTORIAL!$O$3:$O$580=O581)*(HISTORIAL!$F$3:$F$580&lt;&gt;"")),HISTORIAL!$K$3:$K$580),"^",IF(K581&lt;LOOKUP(2,1/((HISTORIAL!$O$3:$O$580=O581)*(HISTORIAL!$F$3:$F$580&lt;&gt;"")),HISTORIAL!$K$3:$K$580),"v","-")),"-")),"-")</f>
        <v>-</v>
      </c>
      <c r="N581" s="54" t="str">
        <f>IFERROR(VLOOKUP(A581,CONFIG!$A$10:$B$21,2,0),"")</f>
        <v>HIP</v>
      </c>
      <c r="O581" s="55" t="str">
        <f t="shared" si="19"/>
        <v>Dominadas|Polea Alta Prono Ancho</v>
      </c>
      <c r="P581" s="69" t="str">
        <f>MARTES!AC202</f>
        <v/>
      </c>
    </row>
    <row r="582" spans="1:16" ht="14.1" customHeight="1">
      <c r="A582" s="37">
        <v>10</v>
      </c>
      <c r="B582" s="37" t="s">
        <v>278</v>
      </c>
      <c r="C582" s="44" t="str">
        <f>MARTES!$A$203</f>
        <v>Pulldown</v>
      </c>
      <c r="D582" s="45" t="str">
        <f>MARTES!$B$203</f>
        <v>Polea Alta Brazos Rectos Prono</v>
      </c>
      <c r="E582" s="37" t="str">
        <f>MARTES!$C$203</f>
        <v>polea</v>
      </c>
      <c r="F582" s="46" t="str">
        <f>IF(P582="","",IFERROR(CHOOSE(VALUE(RIGHT(P582,1)),MARTES!F203,MARTES!I203,MARTES!L203,MARTES!O203,MARTES!R203),""))</f>
        <v/>
      </c>
      <c r="G582" s="47" t="str">
        <f>IF(P582="","",IFERROR(CHOOSE(VALUE(RIGHT(P582,1)),MARTES!G203,MARTES!J203,MARTES!M203,MARTES!P203,MARTES!S203),""))</f>
        <v/>
      </c>
      <c r="H582" s="48" t="str">
        <f>IF(P582="","",IFERROR(CHOOSE(VALUE(RIGHT(P582,1)),MARTES!H203,MARTES!K203,MARTES!N203,MARTES!Q203,MARTES!T203),""))</f>
        <v/>
      </c>
      <c r="I582" s="49" t="str">
        <f t="shared" si="18"/>
        <v/>
      </c>
      <c r="J582" s="50" t="str">
        <f>IF(P582="","",IFERROR(ROUND(CHOOSE(VALUE(RIGHT(P582,1)),IF(MARTES!C203="peso_corporal",IF(ISNUMBER(MARTES!E203),MARTES!E203,0)+MARTES!F203,MARTES!F203)*MARTES!G203,IF(MARTES!C203="peso_corporal",IF(ISNUMBER(MARTES!E203),MARTES!E203,0)+MARTES!I203,MARTES!I203)*MARTES!J203,IF(MARTES!C203="peso_corporal",IF(ISNUMBER(MARTES!E203),MARTES!E203,0)+MARTES!L203,MARTES!L203)*MARTES!M203,IF(MARTES!C203="peso_corporal",IF(ISNUMBER(MARTES!E203),MARTES!E203,0)+MARTES!O203,MARTES!O203)*MARTES!P203,IF(MARTES!C203="peso_corporal",IF(ISNUMBER(MARTES!E203),MARTES!E203,0)+MARTES!R203,MARTES!R203)*MARTES!S203),1),""))</f>
        <v/>
      </c>
      <c r="K582" s="51" t="str">
        <f>IF(P582="","",IFERROR(ROUND(CHOOSE(VALUE(RIGHT(P582,1)),(IF(MARTES!C203="peso_corporal",IF(ISNUMBER(MARTES!E203),MARTES!E203,0)+MARTES!F203,MARTES!F203))*(1+MARTES!G203/30),(IF(MARTES!C203="peso_corporal",IF(ISNUMBER(MARTES!E203),MARTES!E203,0)+MARTES!I203,MARTES!I203))*(1+MARTES!J203/30),(IF(MARTES!C203="peso_corporal",IF(ISNUMBER(MARTES!E203),MARTES!E203,0)+MARTES!L203,MARTES!L203))*(1+MARTES!M203/30),(IF(MARTES!C203="peso_corporal",IF(ISNUMBER(MARTES!E203),MARTES!E203,0)+MARTES!O203,MARTES!O203))*(1+MARTES!P203/30),(IF(MARTES!C203="peso_corporal",IF(ISNUMBER(MARTES!E203),MARTES!E203,0)+MARTES!R203,MARTES!R203))*(1+MARTES!S203/30)),1),""))</f>
        <v/>
      </c>
      <c r="L582" s="52">
        <f>IFERROR(MARTES!E203,"")</f>
        <v>80</v>
      </c>
      <c r="M582" s="53" t="str">
        <f>IFERROR(IF(K582="","-",IF(ISNUMBER(LOOKUP(2,1/((HISTORIAL!$O$3:$O$581=O582)*(HISTORIAL!$F$3:$F$581&lt;&gt;"")),HISTORIAL!$K$3:$K$581)),IF(K582&gt;LOOKUP(2,1/((HISTORIAL!$O$3:$O$581=O582)*(HISTORIAL!$F$3:$F$581&lt;&gt;"")),HISTORIAL!$K$3:$K$581),"^",IF(K582&lt;LOOKUP(2,1/((HISTORIAL!$O$3:$O$581=O582)*(HISTORIAL!$F$3:$F$581&lt;&gt;"")),HISTORIAL!$K$3:$K$581),"v","-")),"-")),"-")</f>
        <v>-</v>
      </c>
      <c r="N582" s="54" t="str">
        <f>IFERROR(VLOOKUP(A582,CONFIG!$A$10:$B$21,2,0),"")</f>
        <v>HIP</v>
      </c>
      <c r="O582" s="55" t="str">
        <f t="shared" si="19"/>
        <v>Pulldown|Polea Alta Brazos Rectos Prono</v>
      </c>
      <c r="P582" s="69" t="str">
        <f>MARTES!AC203</f>
        <v/>
      </c>
    </row>
    <row r="583" spans="1:16" ht="14.1" customHeight="1">
      <c r="A583" s="37">
        <v>10</v>
      </c>
      <c r="B583" s="37" t="s">
        <v>278</v>
      </c>
      <c r="C583" s="44" t="str">
        <f>MARTES!$A$205</f>
        <v>Remo</v>
      </c>
      <c r="D583" s="45" t="str">
        <f>MARTES!$B$205</f>
        <v>Maquina Hammer Neutro Unilateral</v>
      </c>
      <c r="E583" s="37" t="str">
        <f>MARTES!$C$205</f>
        <v>polea</v>
      </c>
      <c r="F583" s="46" t="str">
        <f>IF(P583="","",IFERROR(CHOOSE(VALUE(RIGHT(P583,1)),MARTES!F205,MARTES!I205,MARTES!L205,MARTES!O205,MARTES!R205),""))</f>
        <v/>
      </c>
      <c r="G583" s="47" t="str">
        <f>IF(P583="","",IFERROR(CHOOSE(VALUE(RIGHT(P583,1)),MARTES!G205,MARTES!J205,MARTES!M205,MARTES!P205,MARTES!S205),""))</f>
        <v/>
      </c>
      <c r="H583" s="48" t="str">
        <f>IF(P583="","",IFERROR(CHOOSE(VALUE(RIGHT(P583,1)),MARTES!H205,MARTES!K205,MARTES!N205,MARTES!Q205,MARTES!T205),""))</f>
        <v/>
      </c>
      <c r="I583" s="49" t="str">
        <f t="shared" si="18"/>
        <v/>
      </c>
      <c r="J583" s="50" t="str">
        <f>IF(P583="","",IFERROR(ROUND(CHOOSE(VALUE(RIGHT(P583,1)),IF(MARTES!C205="peso_corporal",IF(ISNUMBER(MARTES!E205),MARTES!E205,0)+MARTES!F205,MARTES!F205)*MARTES!G205,IF(MARTES!C205="peso_corporal",IF(ISNUMBER(MARTES!E205),MARTES!E205,0)+MARTES!I205,MARTES!I205)*MARTES!J205,IF(MARTES!C205="peso_corporal",IF(ISNUMBER(MARTES!E205),MARTES!E205,0)+MARTES!L205,MARTES!L205)*MARTES!M205,IF(MARTES!C205="peso_corporal",IF(ISNUMBER(MARTES!E205),MARTES!E205,0)+MARTES!O205,MARTES!O205)*MARTES!P205,IF(MARTES!C205="peso_corporal",IF(ISNUMBER(MARTES!E205),MARTES!E205,0)+MARTES!R205,MARTES!R205)*MARTES!S205),1),""))</f>
        <v/>
      </c>
      <c r="K583" s="51" t="str">
        <f>IF(P583="","",IFERROR(ROUND(CHOOSE(VALUE(RIGHT(P583,1)),(IF(MARTES!C205="peso_corporal",IF(ISNUMBER(MARTES!E205),MARTES!E205,0)+MARTES!F205,MARTES!F205))*(1+MARTES!G205/30),(IF(MARTES!C205="peso_corporal",IF(ISNUMBER(MARTES!E205),MARTES!E205,0)+MARTES!I205,MARTES!I205))*(1+MARTES!J205/30),(IF(MARTES!C205="peso_corporal",IF(ISNUMBER(MARTES!E205),MARTES!E205,0)+MARTES!L205,MARTES!L205))*(1+MARTES!M205/30),(IF(MARTES!C205="peso_corporal",IF(ISNUMBER(MARTES!E205),MARTES!E205,0)+MARTES!O205,MARTES!O205))*(1+MARTES!P205/30),(IF(MARTES!C205="peso_corporal",IF(ISNUMBER(MARTES!E205),MARTES!E205,0)+MARTES!R205,MARTES!R205))*(1+MARTES!S205/30)),1),""))</f>
        <v/>
      </c>
      <c r="L583" s="52">
        <f>IFERROR(MARTES!E205,"")</f>
        <v>80</v>
      </c>
      <c r="M583" s="53" t="str">
        <f>IFERROR(IF(K583="","-",IF(ISNUMBER(LOOKUP(2,1/((HISTORIAL!$O$3:$O$582=O583)*(HISTORIAL!$F$3:$F$582&lt;&gt;"")),HISTORIAL!$K$3:$K$582)),IF(K583&gt;LOOKUP(2,1/((HISTORIAL!$O$3:$O$582=O583)*(HISTORIAL!$F$3:$F$582&lt;&gt;"")),HISTORIAL!$K$3:$K$582),"^",IF(K583&lt;LOOKUP(2,1/((HISTORIAL!$O$3:$O$582=O583)*(HISTORIAL!$F$3:$F$582&lt;&gt;"")),HISTORIAL!$K$3:$K$582),"v","-")),"-")),"-")</f>
        <v>-</v>
      </c>
      <c r="N583" s="54" t="str">
        <f>IFERROR(VLOOKUP(A583,CONFIG!$A$10:$B$21,2,0),"")</f>
        <v>HIP</v>
      </c>
      <c r="O583" s="55" t="str">
        <f t="shared" si="19"/>
        <v>Remo|Maquina Hammer Neutro Unilateral</v>
      </c>
      <c r="P583" s="69" t="str">
        <f>MARTES!AC205</f>
        <v/>
      </c>
    </row>
    <row r="584" spans="1:16" ht="14.1" customHeight="1">
      <c r="A584" s="37">
        <v>10</v>
      </c>
      <c r="B584" s="37" t="s">
        <v>278</v>
      </c>
      <c r="C584" s="44" t="str">
        <f>MARTES!$A$206</f>
        <v>Remo</v>
      </c>
      <c r="D584" s="45" t="str">
        <f>MARTES!$B$206</f>
        <v>Maquina Prono</v>
      </c>
      <c r="E584" s="37" t="str">
        <f>MARTES!$C$206</f>
        <v>polea</v>
      </c>
      <c r="F584" s="46" t="str">
        <f>IF(P584="","",IFERROR(CHOOSE(VALUE(RIGHT(P584,1)),MARTES!F206,MARTES!I206,MARTES!L206,MARTES!O206,MARTES!R206),""))</f>
        <v/>
      </c>
      <c r="G584" s="47" t="str">
        <f>IF(P584="","",IFERROR(CHOOSE(VALUE(RIGHT(P584,1)),MARTES!G206,MARTES!J206,MARTES!M206,MARTES!P206,MARTES!S206),""))</f>
        <v/>
      </c>
      <c r="H584" s="48" t="str">
        <f>IF(P584="","",IFERROR(CHOOSE(VALUE(RIGHT(P584,1)),MARTES!H206,MARTES!K206,MARTES!N206,MARTES!Q206,MARTES!T206),""))</f>
        <v/>
      </c>
      <c r="I584" s="49" t="str">
        <f t="shared" si="18"/>
        <v/>
      </c>
      <c r="J584" s="50" t="str">
        <f>IF(P584="","",IFERROR(ROUND(CHOOSE(VALUE(RIGHT(P584,1)),IF(MARTES!C206="peso_corporal",IF(ISNUMBER(MARTES!E206),MARTES!E206,0)+MARTES!F206,MARTES!F206)*MARTES!G206,IF(MARTES!C206="peso_corporal",IF(ISNUMBER(MARTES!E206),MARTES!E206,0)+MARTES!I206,MARTES!I206)*MARTES!J206,IF(MARTES!C206="peso_corporal",IF(ISNUMBER(MARTES!E206),MARTES!E206,0)+MARTES!L206,MARTES!L206)*MARTES!M206,IF(MARTES!C206="peso_corporal",IF(ISNUMBER(MARTES!E206),MARTES!E206,0)+MARTES!O206,MARTES!O206)*MARTES!P206,IF(MARTES!C206="peso_corporal",IF(ISNUMBER(MARTES!E206),MARTES!E206,0)+MARTES!R206,MARTES!R206)*MARTES!S206),1),""))</f>
        <v/>
      </c>
      <c r="K584" s="51" t="str">
        <f>IF(P584="","",IFERROR(ROUND(CHOOSE(VALUE(RIGHT(P584,1)),(IF(MARTES!C206="peso_corporal",IF(ISNUMBER(MARTES!E206),MARTES!E206,0)+MARTES!F206,MARTES!F206))*(1+MARTES!G206/30),(IF(MARTES!C206="peso_corporal",IF(ISNUMBER(MARTES!E206),MARTES!E206,0)+MARTES!I206,MARTES!I206))*(1+MARTES!J206/30),(IF(MARTES!C206="peso_corporal",IF(ISNUMBER(MARTES!E206),MARTES!E206,0)+MARTES!L206,MARTES!L206))*(1+MARTES!M206/30),(IF(MARTES!C206="peso_corporal",IF(ISNUMBER(MARTES!E206),MARTES!E206,0)+MARTES!O206,MARTES!O206))*(1+MARTES!P206/30),(IF(MARTES!C206="peso_corporal",IF(ISNUMBER(MARTES!E206),MARTES!E206,0)+MARTES!R206,MARTES!R206))*(1+MARTES!S206/30)),1),""))</f>
        <v/>
      </c>
      <c r="L584" s="52">
        <f>IFERROR(MARTES!E206,"")</f>
        <v>80</v>
      </c>
      <c r="M584" s="53" t="str">
        <f>IFERROR(IF(K584="","-",IF(ISNUMBER(LOOKUP(2,1/((HISTORIAL!$O$3:$O$583=O584)*(HISTORIAL!$F$3:$F$583&lt;&gt;"")),HISTORIAL!$K$3:$K$583)),IF(K584&gt;LOOKUP(2,1/((HISTORIAL!$O$3:$O$583=O584)*(HISTORIAL!$F$3:$F$583&lt;&gt;"")),HISTORIAL!$K$3:$K$583),"^",IF(K584&lt;LOOKUP(2,1/((HISTORIAL!$O$3:$O$583=O584)*(HISTORIAL!$F$3:$F$583&lt;&gt;"")),HISTORIAL!$K$3:$K$583),"v","-")),"-")),"-")</f>
        <v>-</v>
      </c>
      <c r="N584" s="54" t="str">
        <f>IFERROR(VLOOKUP(A584,CONFIG!$A$10:$B$21,2,0),"")</f>
        <v>HIP</v>
      </c>
      <c r="O584" s="55" t="str">
        <f t="shared" si="19"/>
        <v>Remo|Maquina Prono</v>
      </c>
      <c r="P584" s="69" t="str">
        <f>MARTES!AC206</f>
        <v/>
      </c>
    </row>
    <row r="585" spans="1:16" ht="14.1" customHeight="1">
      <c r="A585" s="37">
        <v>10</v>
      </c>
      <c r="B585" s="37" t="s">
        <v>278</v>
      </c>
      <c r="C585" s="44" t="str">
        <f>MARTES!$A$208</f>
        <v>Curl Biceps</v>
      </c>
      <c r="D585" s="45" t="str">
        <f>MARTES!$B$208</f>
        <v>Inclinado Banco Mancuernas</v>
      </c>
      <c r="E585" s="37" t="str">
        <f>MARTES!$C$208</f>
        <v>mancuerna</v>
      </c>
      <c r="F585" s="46" t="str">
        <f>IF(P585="","",IFERROR(CHOOSE(VALUE(RIGHT(P585,1)),MARTES!F208,MARTES!I208,MARTES!L208,MARTES!O208,MARTES!R208),""))</f>
        <v/>
      </c>
      <c r="G585" s="47" t="str">
        <f>IF(P585="","",IFERROR(CHOOSE(VALUE(RIGHT(P585,1)),MARTES!G208,MARTES!J208,MARTES!M208,MARTES!P208,MARTES!S208),""))</f>
        <v/>
      </c>
      <c r="H585" s="48" t="str">
        <f>IF(P585="","",IFERROR(CHOOSE(VALUE(RIGHT(P585,1)),MARTES!H208,MARTES!K208,MARTES!N208,MARTES!Q208,MARTES!T208),""))</f>
        <v/>
      </c>
      <c r="I585" s="49" t="str">
        <f t="shared" si="18"/>
        <v/>
      </c>
      <c r="J585" s="50" t="str">
        <f>IF(P585="","",IFERROR(ROUND(CHOOSE(VALUE(RIGHT(P585,1)),IF(MARTES!C208="peso_corporal",IF(ISNUMBER(MARTES!E208),MARTES!E208,0)+MARTES!F208,MARTES!F208)*MARTES!G208,IF(MARTES!C208="peso_corporal",IF(ISNUMBER(MARTES!E208),MARTES!E208,0)+MARTES!I208,MARTES!I208)*MARTES!J208,IF(MARTES!C208="peso_corporal",IF(ISNUMBER(MARTES!E208),MARTES!E208,0)+MARTES!L208,MARTES!L208)*MARTES!M208,IF(MARTES!C208="peso_corporal",IF(ISNUMBER(MARTES!E208),MARTES!E208,0)+MARTES!O208,MARTES!O208)*MARTES!P208,IF(MARTES!C208="peso_corporal",IF(ISNUMBER(MARTES!E208),MARTES!E208,0)+MARTES!R208,MARTES!R208)*MARTES!S208),1),""))</f>
        <v/>
      </c>
      <c r="K585" s="51" t="str">
        <f>IF(P585="","",IFERROR(ROUND(CHOOSE(VALUE(RIGHT(P585,1)),(IF(MARTES!C208="peso_corporal",IF(ISNUMBER(MARTES!E208),MARTES!E208,0)+MARTES!F208,MARTES!F208))*(1+MARTES!G208/30),(IF(MARTES!C208="peso_corporal",IF(ISNUMBER(MARTES!E208),MARTES!E208,0)+MARTES!I208,MARTES!I208))*(1+MARTES!J208/30),(IF(MARTES!C208="peso_corporal",IF(ISNUMBER(MARTES!E208),MARTES!E208,0)+MARTES!L208,MARTES!L208))*(1+MARTES!M208/30),(IF(MARTES!C208="peso_corporal",IF(ISNUMBER(MARTES!E208),MARTES!E208,0)+MARTES!O208,MARTES!O208))*(1+MARTES!P208/30),(IF(MARTES!C208="peso_corporal",IF(ISNUMBER(MARTES!E208),MARTES!E208,0)+MARTES!R208,MARTES!R208))*(1+MARTES!S208/30)),1),""))</f>
        <v/>
      </c>
      <c r="L585" s="52">
        <f>IFERROR(MARTES!E208,"")</f>
        <v>80</v>
      </c>
      <c r="M585" s="53" t="str">
        <f>IFERROR(IF(K585="","-",IF(ISNUMBER(LOOKUP(2,1/((HISTORIAL!$O$3:$O$584=O585)*(HISTORIAL!$F$3:$F$584&lt;&gt;"")),HISTORIAL!$K$3:$K$584)),IF(K585&gt;LOOKUP(2,1/((HISTORIAL!$O$3:$O$584=O585)*(HISTORIAL!$F$3:$F$584&lt;&gt;"")),HISTORIAL!$K$3:$K$584),"^",IF(K585&lt;LOOKUP(2,1/((HISTORIAL!$O$3:$O$584=O585)*(HISTORIAL!$F$3:$F$584&lt;&gt;"")),HISTORIAL!$K$3:$K$584),"v","-")),"-")),"-")</f>
        <v>-</v>
      </c>
      <c r="N585" s="54" t="str">
        <f>IFERROR(VLOOKUP(A585,CONFIG!$A$10:$B$21,2,0),"")</f>
        <v>HIP</v>
      </c>
      <c r="O585" s="55" t="str">
        <f t="shared" si="19"/>
        <v>Curl Biceps|Inclinado Banco Mancuernas</v>
      </c>
      <c r="P585" s="69" t="str">
        <f>MARTES!AC208</f>
        <v/>
      </c>
    </row>
    <row r="586" spans="1:16" ht="14.1" customHeight="1">
      <c r="A586" s="37">
        <v>10</v>
      </c>
      <c r="B586" s="37" t="s">
        <v>278</v>
      </c>
      <c r="C586" s="44" t="str">
        <f>MARTES!$A$209</f>
        <v>Curl Biceps</v>
      </c>
      <c r="D586" s="45" t="str">
        <f>MARTES!$B$209</f>
        <v>Polea Baja Supino</v>
      </c>
      <c r="E586" s="37" t="str">
        <f>MARTES!$C$209</f>
        <v>polea</v>
      </c>
      <c r="F586" s="46" t="str">
        <f>IF(P586="","",IFERROR(CHOOSE(VALUE(RIGHT(P586,1)),MARTES!F209,MARTES!I209,MARTES!L209,MARTES!O209,MARTES!R209),""))</f>
        <v/>
      </c>
      <c r="G586" s="47" t="str">
        <f>IF(P586="","",IFERROR(CHOOSE(VALUE(RIGHT(P586,1)),MARTES!G209,MARTES!J209,MARTES!M209,MARTES!P209,MARTES!S209),""))</f>
        <v/>
      </c>
      <c r="H586" s="48" t="str">
        <f>IF(P586="","",IFERROR(CHOOSE(VALUE(RIGHT(P586,1)),MARTES!H209,MARTES!K209,MARTES!N209,MARTES!Q209,MARTES!T209),""))</f>
        <v/>
      </c>
      <c r="I586" s="49" t="str">
        <f t="shared" si="18"/>
        <v/>
      </c>
      <c r="J586" s="50" t="str">
        <f>IF(P586="","",IFERROR(ROUND(CHOOSE(VALUE(RIGHT(P586,1)),IF(MARTES!C209="peso_corporal",IF(ISNUMBER(MARTES!E209),MARTES!E209,0)+MARTES!F209,MARTES!F209)*MARTES!G209,IF(MARTES!C209="peso_corporal",IF(ISNUMBER(MARTES!E209),MARTES!E209,0)+MARTES!I209,MARTES!I209)*MARTES!J209,IF(MARTES!C209="peso_corporal",IF(ISNUMBER(MARTES!E209),MARTES!E209,0)+MARTES!L209,MARTES!L209)*MARTES!M209,IF(MARTES!C209="peso_corporal",IF(ISNUMBER(MARTES!E209),MARTES!E209,0)+MARTES!O209,MARTES!O209)*MARTES!P209,IF(MARTES!C209="peso_corporal",IF(ISNUMBER(MARTES!E209),MARTES!E209,0)+MARTES!R209,MARTES!R209)*MARTES!S209),1),""))</f>
        <v/>
      </c>
      <c r="K586" s="51" t="str">
        <f>IF(P586="","",IFERROR(ROUND(CHOOSE(VALUE(RIGHT(P586,1)),(IF(MARTES!C209="peso_corporal",IF(ISNUMBER(MARTES!E209),MARTES!E209,0)+MARTES!F209,MARTES!F209))*(1+MARTES!G209/30),(IF(MARTES!C209="peso_corporal",IF(ISNUMBER(MARTES!E209),MARTES!E209,0)+MARTES!I209,MARTES!I209))*(1+MARTES!J209/30),(IF(MARTES!C209="peso_corporal",IF(ISNUMBER(MARTES!E209),MARTES!E209,0)+MARTES!L209,MARTES!L209))*(1+MARTES!M209/30),(IF(MARTES!C209="peso_corporal",IF(ISNUMBER(MARTES!E209),MARTES!E209,0)+MARTES!O209,MARTES!O209))*(1+MARTES!P209/30),(IF(MARTES!C209="peso_corporal",IF(ISNUMBER(MARTES!E209),MARTES!E209,0)+MARTES!R209,MARTES!R209))*(1+MARTES!S209/30)),1),""))</f>
        <v/>
      </c>
      <c r="L586" s="52">
        <f>IFERROR(MARTES!E209,"")</f>
        <v>80</v>
      </c>
      <c r="M586" s="53" t="str">
        <f>IFERROR(IF(K586="","-",IF(ISNUMBER(LOOKUP(2,1/((HISTORIAL!$O$3:$O$585=O586)*(HISTORIAL!$F$3:$F$585&lt;&gt;"")),HISTORIAL!$K$3:$K$585)),IF(K586&gt;LOOKUP(2,1/((HISTORIAL!$O$3:$O$585=O586)*(HISTORIAL!$F$3:$F$585&lt;&gt;"")),HISTORIAL!$K$3:$K$585),"^",IF(K586&lt;LOOKUP(2,1/((HISTORIAL!$O$3:$O$585=O586)*(HISTORIAL!$F$3:$F$585&lt;&gt;"")),HISTORIAL!$K$3:$K$585),"v","-")),"-")),"-")</f>
        <v>-</v>
      </c>
      <c r="N586" s="54" t="str">
        <f>IFERROR(VLOOKUP(A586,CONFIG!$A$10:$B$21,2,0),"")</f>
        <v>HIP</v>
      </c>
      <c r="O586" s="55" t="str">
        <f t="shared" si="19"/>
        <v>Curl Biceps|Polea Baja Supino</v>
      </c>
      <c r="P586" s="69" t="str">
        <f>MARTES!AC209</f>
        <v/>
      </c>
    </row>
    <row r="587" spans="1:16" ht="14.1" customHeight="1">
      <c r="A587" s="37">
        <v>10</v>
      </c>
      <c r="B587" s="37" t="s">
        <v>278</v>
      </c>
      <c r="C587" s="44" t="str">
        <f>MARTES!$A$211</f>
        <v>Curl Muneca</v>
      </c>
      <c r="D587" s="45" t="str">
        <f>MARTES!$B$211</f>
        <v>Supinado</v>
      </c>
      <c r="E587" s="37" t="str">
        <f>MARTES!$C$211</f>
        <v>mancuerna</v>
      </c>
      <c r="F587" s="46" t="str">
        <f>IF(P587="","",IFERROR(CHOOSE(VALUE(RIGHT(P587,1)),MARTES!F211,MARTES!I211,MARTES!L211,MARTES!O211,MARTES!R211),""))</f>
        <v/>
      </c>
      <c r="G587" s="47" t="str">
        <f>IF(P587="","",IFERROR(CHOOSE(VALUE(RIGHT(P587,1)),MARTES!G211,MARTES!J211,MARTES!M211,MARTES!P211,MARTES!S211),""))</f>
        <v/>
      </c>
      <c r="H587" s="48" t="str">
        <f>IF(P587="","",IFERROR(CHOOSE(VALUE(RIGHT(P587,1)),MARTES!H211,MARTES!K211,MARTES!N211,MARTES!Q211,MARTES!T211),""))</f>
        <v/>
      </c>
      <c r="I587" s="49" t="str">
        <f t="shared" si="18"/>
        <v/>
      </c>
      <c r="J587" s="50" t="str">
        <f>IF(P587="","",IFERROR(ROUND(CHOOSE(VALUE(RIGHT(P587,1)),IF(MARTES!C211="peso_corporal",IF(ISNUMBER(MARTES!E211),MARTES!E211,0)+MARTES!F211,MARTES!F211)*MARTES!G211,IF(MARTES!C211="peso_corporal",IF(ISNUMBER(MARTES!E211),MARTES!E211,0)+MARTES!I211,MARTES!I211)*MARTES!J211,IF(MARTES!C211="peso_corporal",IF(ISNUMBER(MARTES!E211),MARTES!E211,0)+MARTES!L211,MARTES!L211)*MARTES!M211,IF(MARTES!C211="peso_corporal",IF(ISNUMBER(MARTES!E211),MARTES!E211,0)+MARTES!O211,MARTES!O211)*MARTES!P211,IF(MARTES!C211="peso_corporal",IF(ISNUMBER(MARTES!E211),MARTES!E211,0)+MARTES!R211,MARTES!R211)*MARTES!S211),1),""))</f>
        <v/>
      </c>
      <c r="K587" s="51" t="str">
        <f>IF(P587="","",IFERROR(ROUND(CHOOSE(VALUE(RIGHT(P587,1)),(IF(MARTES!C211="peso_corporal",IF(ISNUMBER(MARTES!E211),MARTES!E211,0)+MARTES!F211,MARTES!F211))*(1+MARTES!G211/30),(IF(MARTES!C211="peso_corporal",IF(ISNUMBER(MARTES!E211),MARTES!E211,0)+MARTES!I211,MARTES!I211))*(1+MARTES!J211/30),(IF(MARTES!C211="peso_corporal",IF(ISNUMBER(MARTES!E211),MARTES!E211,0)+MARTES!L211,MARTES!L211))*(1+MARTES!M211/30),(IF(MARTES!C211="peso_corporal",IF(ISNUMBER(MARTES!E211),MARTES!E211,0)+MARTES!O211,MARTES!O211))*(1+MARTES!P211/30),(IF(MARTES!C211="peso_corporal",IF(ISNUMBER(MARTES!E211),MARTES!E211,0)+MARTES!R211,MARTES!R211))*(1+MARTES!S211/30)),1),""))</f>
        <v/>
      </c>
      <c r="L587" s="52">
        <f>IFERROR(MARTES!E211,"")</f>
        <v>80</v>
      </c>
      <c r="M587" s="53" t="str">
        <f>IFERROR(IF(K587="","-",IF(ISNUMBER(LOOKUP(2,1/((HISTORIAL!$O$3:$O$586=O587)*(HISTORIAL!$F$3:$F$586&lt;&gt;"")),HISTORIAL!$K$3:$K$586)),IF(K587&gt;LOOKUP(2,1/((HISTORIAL!$O$3:$O$586=O587)*(HISTORIAL!$F$3:$F$586&lt;&gt;"")),HISTORIAL!$K$3:$K$586),"^",IF(K587&lt;LOOKUP(2,1/((HISTORIAL!$O$3:$O$586=O587)*(HISTORIAL!$F$3:$F$586&lt;&gt;"")),HISTORIAL!$K$3:$K$586),"v","-")),"-")),"-")</f>
        <v>-</v>
      </c>
      <c r="N587" s="54" t="str">
        <f>IFERROR(VLOOKUP(A587,CONFIG!$A$10:$B$21,2,0),"")</f>
        <v>HIP</v>
      </c>
      <c r="O587" s="55" t="str">
        <f t="shared" si="19"/>
        <v>Curl Muneca|Supinado</v>
      </c>
      <c r="P587" s="69" t="str">
        <f>MARTES!AC211</f>
        <v/>
      </c>
    </row>
    <row r="588" spans="1:16" ht="14.1" customHeight="1">
      <c r="A588" s="37">
        <v>10</v>
      </c>
      <c r="B588" s="37" t="s">
        <v>278</v>
      </c>
      <c r="C588" s="44" t="str">
        <f>MARTES!$A$212</f>
        <v>Curl Muneca</v>
      </c>
      <c r="D588" s="45" t="str">
        <f>MARTES!$B$212</f>
        <v>Pronado</v>
      </c>
      <c r="E588" s="37" t="str">
        <f>MARTES!$C$212</f>
        <v>mancuerna</v>
      </c>
      <c r="F588" s="46" t="str">
        <f>IF(P588="","",IFERROR(CHOOSE(VALUE(RIGHT(P588,1)),MARTES!F212,MARTES!I212,MARTES!L212,MARTES!O212,MARTES!R212),""))</f>
        <v/>
      </c>
      <c r="G588" s="47" t="str">
        <f>IF(P588="","",IFERROR(CHOOSE(VALUE(RIGHT(P588,1)),MARTES!G212,MARTES!J212,MARTES!M212,MARTES!P212,MARTES!S212),""))</f>
        <v/>
      </c>
      <c r="H588" s="48" t="str">
        <f>IF(P588="","",IFERROR(CHOOSE(VALUE(RIGHT(P588,1)),MARTES!H212,MARTES!K212,MARTES!N212,MARTES!Q212,MARTES!T212),""))</f>
        <v/>
      </c>
      <c r="I588" s="49" t="str">
        <f t="shared" si="18"/>
        <v/>
      </c>
      <c r="J588" s="50" t="str">
        <f>IF(P588="","",IFERROR(ROUND(CHOOSE(VALUE(RIGHT(P588,1)),IF(MARTES!C212="peso_corporal",IF(ISNUMBER(MARTES!E212),MARTES!E212,0)+MARTES!F212,MARTES!F212)*MARTES!G212,IF(MARTES!C212="peso_corporal",IF(ISNUMBER(MARTES!E212),MARTES!E212,0)+MARTES!I212,MARTES!I212)*MARTES!J212,IF(MARTES!C212="peso_corporal",IF(ISNUMBER(MARTES!E212),MARTES!E212,0)+MARTES!L212,MARTES!L212)*MARTES!M212,IF(MARTES!C212="peso_corporal",IF(ISNUMBER(MARTES!E212),MARTES!E212,0)+MARTES!O212,MARTES!O212)*MARTES!P212,IF(MARTES!C212="peso_corporal",IF(ISNUMBER(MARTES!E212),MARTES!E212,0)+MARTES!R212,MARTES!R212)*MARTES!S212),1),""))</f>
        <v/>
      </c>
      <c r="K588" s="51" t="str">
        <f>IF(P588="","",IFERROR(ROUND(CHOOSE(VALUE(RIGHT(P588,1)),(IF(MARTES!C212="peso_corporal",IF(ISNUMBER(MARTES!E212),MARTES!E212,0)+MARTES!F212,MARTES!F212))*(1+MARTES!G212/30),(IF(MARTES!C212="peso_corporal",IF(ISNUMBER(MARTES!E212),MARTES!E212,0)+MARTES!I212,MARTES!I212))*(1+MARTES!J212/30),(IF(MARTES!C212="peso_corporal",IF(ISNUMBER(MARTES!E212),MARTES!E212,0)+MARTES!L212,MARTES!L212))*(1+MARTES!M212/30),(IF(MARTES!C212="peso_corporal",IF(ISNUMBER(MARTES!E212),MARTES!E212,0)+MARTES!O212,MARTES!O212))*(1+MARTES!P212/30),(IF(MARTES!C212="peso_corporal",IF(ISNUMBER(MARTES!E212),MARTES!E212,0)+MARTES!R212,MARTES!R212))*(1+MARTES!S212/30)),1),""))</f>
        <v/>
      </c>
      <c r="L588" s="52">
        <f>IFERROR(MARTES!E212,"")</f>
        <v>80</v>
      </c>
      <c r="M588" s="53" t="str">
        <f>IFERROR(IF(K588="","-",IF(ISNUMBER(LOOKUP(2,1/((HISTORIAL!$O$3:$O$587=O588)*(HISTORIAL!$F$3:$F$587&lt;&gt;"")),HISTORIAL!$K$3:$K$587)),IF(K588&gt;LOOKUP(2,1/((HISTORIAL!$O$3:$O$587=O588)*(HISTORIAL!$F$3:$F$587&lt;&gt;"")),HISTORIAL!$K$3:$K$587),"^",IF(K588&lt;LOOKUP(2,1/((HISTORIAL!$O$3:$O$587=O588)*(HISTORIAL!$F$3:$F$587&lt;&gt;"")),HISTORIAL!$K$3:$K$587),"v","-")),"-")),"-")</f>
        <v>-</v>
      </c>
      <c r="N588" s="54" t="str">
        <f>IFERROR(VLOOKUP(A588,CONFIG!$A$10:$B$21,2,0),"")</f>
        <v>HIP</v>
      </c>
      <c r="O588" s="55" t="str">
        <f t="shared" si="19"/>
        <v>Curl Muneca|Pronado</v>
      </c>
      <c r="P588" s="69" t="str">
        <f>MARTES!AC212</f>
        <v/>
      </c>
    </row>
    <row r="589" spans="1:16" ht="14.1" customHeight="1">
      <c r="A589" s="37">
        <v>10</v>
      </c>
      <c r="B589" s="37" t="s">
        <v>278</v>
      </c>
      <c r="C589" s="44" t="str">
        <f>MARTES!$A$214</f>
        <v>Farmer Carry</v>
      </c>
      <c r="D589" s="45" t="str">
        <f>MARTES!$B$214</f>
        <v>Libre</v>
      </c>
      <c r="E589" s="37" t="str">
        <f>MARTES!$C$214</f>
        <v>mancuerna</v>
      </c>
      <c r="F589" s="46" t="str">
        <f>IF(P589="","",IFERROR(CHOOSE(VALUE(RIGHT(P589,1)),MARTES!F214,MARTES!I214,MARTES!L214,MARTES!O214,MARTES!R214),""))</f>
        <v/>
      </c>
      <c r="G589" s="47" t="str">
        <f>IF(P589="","",IFERROR(CHOOSE(VALUE(RIGHT(P589,1)),MARTES!G214,MARTES!J214,MARTES!M214,MARTES!P214,MARTES!S214),""))</f>
        <v/>
      </c>
      <c r="H589" s="48" t="str">
        <f>IF(P589="","",IFERROR(CHOOSE(VALUE(RIGHT(P589,1)),MARTES!H214,MARTES!K214,MARTES!N214,MARTES!Q214,MARTES!T214),""))</f>
        <v/>
      </c>
      <c r="I589" s="49" t="str">
        <f t="shared" si="18"/>
        <v/>
      </c>
      <c r="J589" s="50" t="str">
        <f>IF(P589="","",IFERROR(ROUND(CHOOSE(VALUE(RIGHT(P589,1)),IF(MARTES!C214="peso_corporal",IF(ISNUMBER(MARTES!E214),MARTES!E214,0)+MARTES!F214,MARTES!F214)*MARTES!G214,IF(MARTES!C214="peso_corporal",IF(ISNUMBER(MARTES!E214),MARTES!E214,0)+MARTES!I214,MARTES!I214)*MARTES!J214,IF(MARTES!C214="peso_corporal",IF(ISNUMBER(MARTES!E214),MARTES!E214,0)+MARTES!L214,MARTES!L214)*MARTES!M214,IF(MARTES!C214="peso_corporal",IF(ISNUMBER(MARTES!E214),MARTES!E214,0)+MARTES!O214,MARTES!O214)*MARTES!P214,IF(MARTES!C214="peso_corporal",IF(ISNUMBER(MARTES!E214),MARTES!E214,0)+MARTES!R214,MARTES!R214)*MARTES!S214),1),""))</f>
        <v/>
      </c>
      <c r="K589" s="51" t="str">
        <f>IF(P589="","",IFERROR(ROUND(CHOOSE(VALUE(RIGHT(P589,1)),(IF(MARTES!C214="peso_corporal",IF(ISNUMBER(MARTES!E214),MARTES!E214,0)+MARTES!F214,MARTES!F214))*(1+MARTES!G214/30),(IF(MARTES!C214="peso_corporal",IF(ISNUMBER(MARTES!E214),MARTES!E214,0)+MARTES!I214,MARTES!I214))*(1+MARTES!J214/30),(IF(MARTES!C214="peso_corporal",IF(ISNUMBER(MARTES!E214),MARTES!E214,0)+MARTES!L214,MARTES!L214))*(1+MARTES!M214/30),(IF(MARTES!C214="peso_corporal",IF(ISNUMBER(MARTES!E214),MARTES!E214,0)+MARTES!O214,MARTES!O214))*(1+MARTES!P214/30),(IF(MARTES!C214="peso_corporal",IF(ISNUMBER(MARTES!E214),MARTES!E214,0)+MARTES!R214,MARTES!R214))*(1+MARTES!S214/30)),1),""))</f>
        <v/>
      </c>
      <c r="L589" s="52">
        <f>IFERROR(MARTES!E214,"")</f>
        <v>80</v>
      </c>
      <c r="M589" s="53" t="str">
        <f>IFERROR(IF(K589="","-",IF(ISNUMBER(LOOKUP(2,1/((HISTORIAL!$O$3:$O$588=O589)*(HISTORIAL!$F$3:$F$588&lt;&gt;"")),HISTORIAL!$K$3:$K$588)),IF(K589&gt;LOOKUP(2,1/((HISTORIAL!$O$3:$O$588=O589)*(HISTORIAL!$F$3:$F$588&lt;&gt;"")),HISTORIAL!$K$3:$K$588),"^",IF(K589&lt;LOOKUP(2,1/((HISTORIAL!$O$3:$O$588=O589)*(HISTORIAL!$F$3:$F$588&lt;&gt;"")),HISTORIAL!$K$3:$K$588),"v","-")),"-")),"-")</f>
        <v>-</v>
      </c>
      <c r="N589" s="54" t="str">
        <f>IFERROR(VLOOKUP(A589,CONFIG!$A$10:$B$21,2,0),"")</f>
        <v>HIP</v>
      </c>
      <c r="O589" s="55" t="str">
        <f t="shared" si="19"/>
        <v>Farmer Carry|Libre</v>
      </c>
      <c r="P589" s="69" t="str">
        <f>MARTES!AC214</f>
        <v/>
      </c>
    </row>
    <row r="590" spans="1:16" ht="14.1" customHeight="1">
      <c r="A590" s="37">
        <v>10</v>
      </c>
      <c r="B590" s="37" t="s">
        <v>278</v>
      </c>
      <c r="C590" s="44" t="str">
        <f>MARTES!$A$216</f>
        <v>Skullcrusher</v>
      </c>
      <c r="D590" s="45" t="str">
        <f>MARTES!$B$216</f>
        <v>Mancuerna Tumbado</v>
      </c>
      <c r="E590" s="37" t="str">
        <f>MARTES!$C$216</f>
        <v>--</v>
      </c>
      <c r="F590" s="46" t="str">
        <f>IF(P590="","",IFERROR(CHOOSE(VALUE(RIGHT(P590,1)),MARTES!F216,MARTES!I216,MARTES!L216,MARTES!O216,MARTES!R216),""))</f>
        <v/>
      </c>
      <c r="G590" s="47" t="str">
        <f>IF(P590="","",IFERROR(CHOOSE(VALUE(RIGHT(P590,1)),MARTES!G216,MARTES!J216,MARTES!M216,MARTES!P216,MARTES!S216),""))</f>
        <v/>
      </c>
      <c r="H590" s="48" t="str">
        <f>IF(P590="","",IFERROR(CHOOSE(VALUE(RIGHT(P590,1)),MARTES!H216,MARTES!K216,MARTES!N216,MARTES!Q216,MARTES!T216),""))</f>
        <v/>
      </c>
      <c r="I590" s="49" t="str">
        <f t="shared" si="18"/>
        <v/>
      </c>
      <c r="J590" s="50" t="str">
        <f>IF(P590="","",IFERROR(ROUND(CHOOSE(VALUE(RIGHT(P590,1)),IF(MARTES!C216="peso_corporal",IF(ISNUMBER(MARTES!E216),MARTES!E216,0)+MARTES!F216,MARTES!F216)*MARTES!G216,IF(MARTES!C216="peso_corporal",IF(ISNUMBER(MARTES!E216),MARTES!E216,0)+MARTES!I216,MARTES!I216)*MARTES!J216,IF(MARTES!C216="peso_corporal",IF(ISNUMBER(MARTES!E216),MARTES!E216,0)+MARTES!L216,MARTES!L216)*MARTES!M216,IF(MARTES!C216="peso_corporal",IF(ISNUMBER(MARTES!E216),MARTES!E216,0)+MARTES!O216,MARTES!O216)*MARTES!P216,IF(MARTES!C216="peso_corporal",IF(ISNUMBER(MARTES!E216),MARTES!E216,0)+MARTES!R216,MARTES!R216)*MARTES!S216),1),""))</f>
        <v/>
      </c>
      <c r="K590" s="51" t="str">
        <f>IF(P590="","",IFERROR(ROUND(CHOOSE(VALUE(RIGHT(P590,1)),(IF(MARTES!C216="peso_corporal",IF(ISNUMBER(MARTES!E216),MARTES!E216,0)+MARTES!F216,MARTES!F216))*(1+MARTES!G216/30),(IF(MARTES!C216="peso_corporal",IF(ISNUMBER(MARTES!E216),MARTES!E216,0)+MARTES!I216,MARTES!I216))*(1+MARTES!J216/30),(IF(MARTES!C216="peso_corporal",IF(ISNUMBER(MARTES!E216),MARTES!E216,0)+MARTES!L216,MARTES!L216))*(1+MARTES!M216/30),(IF(MARTES!C216="peso_corporal",IF(ISNUMBER(MARTES!E216),MARTES!E216,0)+MARTES!O216,MARTES!O216))*(1+MARTES!P216/30),(IF(MARTES!C216="peso_corporal",IF(ISNUMBER(MARTES!E216),MARTES!E216,0)+MARTES!R216,MARTES!R216))*(1+MARTES!S216/30)),1),""))</f>
        <v/>
      </c>
      <c r="L590" s="52">
        <f>IFERROR(MARTES!E216,"")</f>
        <v>80</v>
      </c>
      <c r="M590" s="53" t="str">
        <f>IFERROR(IF(K590="","-",IF(ISNUMBER(LOOKUP(2,1/((HISTORIAL!$O$3:$O$589=O590)*(HISTORIAL!$F$3:$F$589&lt;&gt;"")),HISTORIAL!$K$3:$K$589)),IF(K590&gt;LOOKUP(2,1/((HISTORIAL!$O$3:$O$589=O590)*(HISTORIAL!$F$3:$F$589&lt;&gt;"")),HISTORIAL!$K$3:$K$589),"^",IF(K590&lt;LOOKUP(2,1/((HISTORIAL!$O$3:$O$589=O590)*(HISTORIAL!$F$3:$F$589&lt;&gt;"")),HISTORIAL!$K$3:$K$589),"v","-")),"-")),"-")</f>
        <v>-</v>
      </c>
      <c r="N590" s="54" t="str">
        <f>IFERROR(VLOOKUP(A590,CONFIG!$A$10:$B$21,2,0),"")</f>
        <v>HIP</v>
      </c>
      <c r="O590" s="55" t="str">
        <f t="shared" si="19"/>
        <v>Skullcrusher|Mancuerna Tumbado</v>
      </c>
      <c r="P590" s="69" t="str">
        <f>MARTES!AC216</f>
        <v/>
      </c>
    </row>
    <row r="591" spans="1:16" ht="14.1" customHeight="1">
      <c r="A591" s="37">
        <v>10</v>
      </c>
      <c r="B591" s="37" t="s">
        <v>278</v>
      </c>
      <c r="C591" s="44" t="str">
        <f>MARTES!$A$218</f>
        <v>Crunch</v>
      </c>
      <c r="D591" s="45" t="str">
        <f>MARTES!$B$218</f>
        <v>Polea</v>
      </c>
      <c r="E591" s="37" t="str">
        <f>MARTES!$C$218</f>
        <v>polea</v>
      </c>
      <c r="F591" s="46" t="str">
        <f>IF(P591="","",IFERROR(CHOOSE(VALUE(RIGHT(P591,1)),MARTES!F218,MARTES!I218,MARTES!L218,MARTES!O218,MARTES!R218),""))</f>
        <v/>
      </c>
      <c r="G591" s="47" t="str">
        <f>IF(P591="","",IFERROR(CHOOSE(VALUE(RIGHT(P591,1)),MARTES!G218,MARTES!J218,MARTES!M218,MARTES!P218,MARTES!S218),""))</f>
        <v/>
      </c>
      <c r="H591" s="48" t="str">
        <f>IF(P591="","",IFERROR(CHOOSE(VALUE(RIGHT(P591,1)),MARTES!H218,MARTES!K218,MARTES!N218,MARTES!Q218,MARTES!T218),""))</f>
        <v/>
      </c>
      <c r="I591" s="49" t="str">
        <f t="shared" si="18"/>
        <v/>
      </c>
      <c r="J591" s="50" t="str">
        <f>IF(P591="","",IFERROR(ROUND(CHOOSE(VALUE(RIGHT(P591,1)),IF(MARTES!C218="peso_corporal",IF(ISNUMBER(MARTES!E218),MARTES!E218,0)+MARTES!F218,MARTES!F218)*MARTES!G218,IF(MARTES!C218="peso_corporal",IF(ISNUMBER(MARTES!E218),MARTES!E218,0)+MARTES!I218,MARTES!I218)*MARTES!J218,IF(MARTES!C218="peso_corporal",IF(ISNUMBER(MARTES!E218),MARTES!E218,0)+MARTES!L218,MARTES!L218)*MARTES!M218,IF(MARTES!C218="peso_corporal",IF(ISNUMBER(MARTES!E218),MARTES!E218,0)+MARTES!O218,MARTES!O218)*MARTES!P218,IF(MARTES!C218="peso_corporal",IF(ISNUMBER(MARTES!E218),MARTES!E218,0)+MARTES!R218,MARTES!R218)*MARTES!S218),1),""))</f>
        <v/>
      </c>
      <c r="K591" s="51" t="str">
        <f>IF(P591="","",IFERROR(ROUND(CHOOSE(VALUE(RIGHT(P591,1)),(IF(MARTES!C218="peso_corporal",IF(ISNUMBER(MARTES!E218),MARTES!E218,0)+MARTES!F218,MARTES!F218))*(1+MARTES!G218/30),(IF(MARTES!C218="peso_corporal",IF(ISNUMBER(MARTES!E218),MARTES!E218,0)+MARTES!I218,MARTES!I218))*(1+MARTES!J218/30),(IF(MARTES!C218="peso_corporal",IF(ISNUMBER(MARTES!E218),MARTES!E218,0)+MARTES!L218,MARTES!L218))*(1+MARTES!M218/30),(IF(MARTES!C218="peso_corporal",IF(ISNUMBER(MARTES!E218),MARTES!E218,0)+MARTES!O218,MARTES!O218))*(1+MARTES!P218/30),(IF(MARTES!C218="peso_corporal",IF(ISNUMBER(MARTES!E218),MARTES!E218,0)+MARTES!R218,MARTES!R218))*(1+MARTES!S218/30)),1),""))</f>
        <v/>
      </c>
      <c r="L591" s="52">
        <f>IFERROR(MARTES!E218,"")</f>
        <v>80</v>
      </c>
      <c r="M591" s="53" t="str">
        <f>IFERROR(IF(K591="","-",IF(ISNUMBER(LOOKUP(2,1/((HISTORIAL!$O$3:$O$590=O591)*(HISTORIAL!$F$3:$F$590&lt;&gt;"")),HISTORIAL!$K$3:$K$590)),IF(K591&gt;LOOKUP(2,1/((HISTORIAL!$O$3:$O$590=O591)*(HISTORIAL!$F$3:$F$590&lt;&gt;"")),HISTORIAL!$K$3:$K$590),"^",IF(K591&lt;LOOKUP(2,1/((HISTORIAL!$O$3:$O$590=O591)*(HISTORIAL!$F$3:$F$590&lt;&gt;"")),HISTORIAL!$K$3:$K$590),"v","-")),"-")),"-")</f>
        <v>-</v>
      </c>
      <c r="N591" s="54" t="str">
        <f>IFERROR(VLOOKUP(A591,CONFIG!$A$10:$B$21,2,0),"")</f>
        <v>HIP</v>
      </c>
      <c r="O591" s="55" t="str">
        <f t="shared" si="19"/>
        <v>Crunch|Polea</v>
      </c>
      <c r="P591" s="69" t="str">
        <f>MARTES!AC218</f>
        <v/>
      </c>
    </row>
    <row r="592" spans="1:16" ht="14.1" customHeight="1">
      <c r="A592" s="37">
        <v>10</v>
      </c>
      <c r="B592" s="37" t="s">
        <v>279</v>
      </c>
      <c r="C592" s="44" t="str">
        <f>MIERCOLES!$A$210</f>
        <v>Curl Femoral</v>
      </c>
      <c r="D592" s="45" t="str">
        <f>MIERCOLES!$B$210</f>
        <v>Tumbado Maquina</v>
      </c>
      <c r="E592" s="37" t="str">
        <f>MIERCOLES!$C$210</f>
        <v>polea</v>
      </c>
      <c r="F592" s="46" t="str">
        <f>IF(P592="","",IFERROR(CHOOSE(VALUE(RIGHT(P592,1)),MIERCOLES!F210,MIERCOLES!I210,MIERCOLES!L210,MIERCOLES!O210,MIERCOLES!R210),""))</f>
        <v/>
      </c>
      <c r="G592" s="47" t="str">
        <f>IF(P592="","",IFERROR(CHOOSE(VALUE(RIGHT(P592,1)),MIERCOLES!G210,MIERCOLES!J210,MIERCOLES!M210,MIERCOLES!P210,MIERCOLES!S210),""))</f>
        <v/>
      </c>
      <c r="H592" s="48" t="str">
        <f>IF(P592="","",IFERROR(CHOOSE(VALUE(RIGHT(P592,1)),MIERCOLES!H210,MIERCOLES!K210,MIERCOLES!N210,MIERCOLES!Q210,MIERCOLES!T210),""))</f>
        <v/>
      </c>
      <c r="I592" s="49" t="str">
        <f t="shared" si="18"/>
        <v/>
      </c>
      <c r="J592" s="50" t="str">
        <f>IF(P592="","",IFERROR(ROUND(CHOOSE(VALUE(RIGHT(P592,1)),IF(MIERCOLES!C210="peso_corporal",IF(ISNUMBER(MIERCOLES!E210),MIERCOLES!E210,0)+MIERCOLES!F210,MIERCOLES!F210)*MIERCOLES!G210,IF(MIERCOLES!C210="peso_corporal",IF(ISNUMBER(MIERCOLES!E210),MIERCOLES!E210,0)+MIERCOLES!I210,MIERCOLES!I210)*MIERCOLES!J210,IF(MIERCOLES!C210="peso_corporal",IF(ISNUMBER(MIERCOLES!E210),MIERCOLES!E210,0)+MIERCOLES!L210,MIERCOLES!L210)*MIERCOLES!M210,IF(MIERCOLES!C210="peso_corporal",IF(ISNUMBER(MIERCOLES!E210),MIERCOLES!E210,0)+MIERCOLES!O210,MIERCOLES!O210)*MIERCOLES!P210,IF(MIERCOLES!C210="peso_corporal",IF(ISNUMBER(MIERCOLES!E210),MIERCOLES!E210,0)+MIERCOLES!R210,MIERCOLES!R210)*MIERCOLES!S210),1),""))</f>
        <v/>
      </c>
      <c r="K592" s="51" t="str">
        <f>IF(P592="","",IFERROR(ROUND(CHOOSE(VALUE(RIGHT(P592,1)),(IF(MIERCOLES!C210="peso_corporal",IF(ISNUMBER(MIERCOLES!E210),MIERCOLES!E210,0)+MIERCOLES!F210,MIERCOLES!F210))*(1+MIERCOLES!G210/30),(IF(MIERCOLES!C210="peso_corporal",IF(ISNUMBER(MIERCOLES!E210),MIERCOLES!E210,0)+MIERCOLES!I210,MIERCOLES!I210))*(1+MIERCOLES!J210/30),(IF(MIERCOLES!C210="peso_corporal",IF(ISNUMBER(MIERCOLES!E210),MIERCOLES!E210,0)+MIERCOLES!L210,MIERCOLES!L210))*(1+MIERCOLES!M210/30),(IF(MIERCOLES!C210="peso_corporal",IF(ISNUMBER(MIERCOLES!E210),MIERCOLES!E210,0)+MIERCOLES!O210,MIERCOLES!O210))*(1+MIERCOLES!P210/30),(IF(MIERCOLES!C210="peso_corporal",IF(ISNUMBER(MIERCOLES!E210),MIERCOLES!E210,0)+MIERCOLES!R210,MIERCOLES!R210))*(1+MIERCOLES!S210/30)),1),""))</f>
        <v/>
      </c>
      <c r="L592" s="52">
        <f>IFERROR(MIERCOLES!E210,"")</f>
        <v>80</v>
      </c>
      <c r="M592" s="53" t="str">
        <f>IFERROR(IF(K592="","-",IF(ISNUMBER(LOOKUP(2,1/((HISTORIAL!$O$3:$O$591=O592)*(HISTORIAL!$F$3:$F$591&lt;&gt;"")),HISTORIAL!$K$3:$K$591)),IF(K592&gt;LOOKUP(2,1/((HISTORIAL!$O$3:$O$591=O592)*(HISTORIAL!$F$3:$F$591&lt;&gt;"")),HISTORIAL!$K$3:$K$591),"^",IF(K592&lt;LOOKUP(2,1/((HISTORIAL!$O$3:$O$591=O592)*(HISTORIAL!$F$3:$F$591&lt;&gt;"")),HISTORIAL!$K$3:$K$591),"v","-")),"-")),"-")</f>
        <v>-</v>
      </c>
      <c r="N592" s="54" t="str">
        <f>IFERROR(VLOOKUP(A592,CONFIG!$A$10:$B$21,2,0),"")</f>
        <v>HIP</v>
      </c>
      <c r="O592" s="55" t="str">
        <f t="shared" si="19"/>
        <v>Curl Femoral|Tumbado Maquina</v>
      </c>
      <c r="P592" s="69" t="str">
        <f>MIERCOLES!AC210</f>
        <v/>
      </c>
    </row>
    <row r="593" spans="1:16" ht="14.1" customHeight="1">
      <c r="A593" s="37">
        <v>10</v>
      </c>
      <c r="B593" s="37" t="s">
        <v>279</v>
      </c>
      <c r="C593" s="44" t="str">
        <f>MIERCOLES!$A$211</f>
        <v>Curl Femoral</v>
      </c>
      <c r="D593" s="45" t="str">
        <f>MIERCOLES!$B$211</f>
        <v>Sentado Maquina</v>
      </c>
      <c r="E593" s="37" t="str">
        <f>MIERCOLES!$C$211</f>
        <v>polea</v>
      </c>
      <c r="F593" s="46" t="str">
        <f>IF(P593="","",IFERROR(CHOOSE(VALUE(RIGHT(P593,1)),MIERCOLES!F211,MIERCOLES!I211,MIERCOLES!L211,MIERCOLES!O211,MIERCOLES!R211),""))</f>
        <v/>
      </c>
      <c r="G593" s="47" t="str">
        <f>IF(P593="","",IFERROR(CHOOSE(VALUE(RIGHT(P593,1)),MIERCOLES!G211,MIERCOLES!J211,MIERCOLES!M211,MIERCOLES!P211,MIERCOLES!S211),""))</f>
        <v/>
      </c>
      <c r="H593" s="48" t="str">
        <f>IF(P593="","",IFERROR(CHOOSE(VALUE(RIGHT(P593,1)),MIERCOLES!H211,MIERCOLES!K211,MIERCOLES!N211,MIERCOLES!Q211,MIERCOLES!T211),""))</f>
        <v/>
      </c>
      <c r="I593" s="49" t="str">
        <f t="shared" si="18"/>
        <v/>
      </c>
      <c r="J593" s="50" t="str">
        <f>IF(P593="","",IFERROR(ROUND(CHOOSE(VALUE(RIGHT(P593,1)),IF(MIERCOLES!C211="peso_corporal",IF(ISNUMBER(MIERCOLES!E211),MIERCOLES!E211,0)+MIERCOLES!F211,MIERCOLES!F211)*MIERCOLES!G211,IF(MIERCOLES!C211="peso_corporal",IF(ISNUMBER(MIERCOLES!E211),MIERCOLES!E211,0)+MIERCOLES!I211,MIERCOLES!I211)*MIERCOLES!J211,IF(MIERCOLES!C211="peso_corporal",IF(ISNUMBER(MIERCOLES!E211),MIERCOLES!E211,0)+MIERCOLES!L211,MIERCOLES!L211)*MIERCOLES!M211,IF(MIERCOLES!C211="peso_corporal",IF(ISNUMBER(MIERCOLES!E211),MIERCOLES!E211,0)+MIERCOLES!O211,MIERCOLES!O211)*MIERCOLES!P211,IF(MIERCOLES!C211="peso_corporal",IF(ISNUMBER(MIERCOLES!E211),MIERCOLES!E211,0)+MIERCOLES!R211,MIERCOLES!R211)*MIERCOLES!S211),1),""))</f>
        <v/>
      </c>
      <c r="K593" s="51" t="str">
        <f>IF(P593="","",IFERROR(ROUND(CHOOSE(VALUE(RIGHT(P593,1)),(IF(MIERCOLES!C211="peso_corporal",IF(ISNUMBER(MIERCOLES!E211),MIERCOLES!E211,0)+MIERCOLES!F211,MIERCOLES!F211))*(1+MIERCOLES!G211/30),(IF(MIERCOLES!C211="peso_corporal",IF(ISNUMBER(MIERCOLES!E211),MIERCOLES!E211,0)+MIERCOLES!I211,MIERCOLES!I211))*(1+MIERCOLES!J211/30),(IF(MIERCOLES!C211="peso_corporal",IF(ISNUMBER(MIERCOLES!E211),MIERCOLES!E211,0)+MIERCOLES!L211,MIERCOLES!L211))*(1+MIERCOLES!M211/30),(IF(MIERCOLES!C211="peso_corporal",IF(ISNUMBER(MIERCOLES!E211),MIERCOLES!E211,0)+MIERCOLES!O211,MIERCOLES!O211))*(1+MIERCOLES!P211/30),(IF(MIERCOLES!C211="peso_corporal",IF(ISNUMBER(MIERCOLES!E211),MIERCOLES!E211,0)+MIERCOLES!R211,MIERCOLES!R211))*(1+MIERCOLES!S211/30)),1),""))</f>
        <v/>
      </c>
      <c r="L593" s="52">
        <f>IFERROR(MIERCOLES!E211,"")</f>
        <v>80</v>
      </c>
      <c r="M593" s="53" t="str">
        <f>IFERROR(IF(K593="","-",IF(ISNUMBER(LOOKUP(2,1/((HISTORIAL!$O$3:$O$592=O593)*(HISTORIAL!$F$3:$F$592&lt;&gt;"")),HISTORIAL!$K$3:$K$592)),IF(K593&gt;LOOKUP(2,1/((HISTORIAL!$O$3:$O$592=O593)*(HISTORIAL!$F$3:$F$592&lt;&gt;"")),HISTORIAL!$K$3:$K$592),"^",IF(K593&lt;LOOKUP(2,1/((HISTORIAL!$O$3:$O$592=O593)*(HISTORIAL!$F$3:$F$592&lt;&gt;"")),HISTORIAL!$K$3:$K$592),"v","-")),"-")),"-")</f>
        <v>-</v>
      </c>
      <c r="N593" s="54" t="str">
        <f>IFERROR(VLOOKUP(A593,CONFIG!$A$10:$B$21,2,0),"")</f>
        <v>HIP</v>
      </c>
      <c r="O593" s="55" t="str">
        <f t="shared" si="19"/>
        <v>Curl Femoral|Sentado Maquina</v>
      </c>
      <c r="P593" s="69" t="str">
        <f>MIERCOLES!AC211</f>
        <v/>
      </c>
    </row>
    <row r="594" spans="1:16" ht="14.1" customHeight="1">
      <c r="A594" s="37">
        <v>10</v>
      </c>
      <c r="B594" s="37" t="s">
        <v>279</v>
      </c>
      <c r="C594" s="44" t="str">
        <f>MIERCOLES!$A$212</f>
        <v>Curl Rumano</v>
      </c>
      <c r="D594" s="45" t="str">
        <f>MIERCOLES!$B$212</f>
        <v>Mancuernas</v>
      </c>
      <c r="E594" s="37" t="str">
        <f>MIERCOLES!$C$212</f>
        <v>mancuerna</v>
      </c>
      <c r="F594" s="46" t="str">
        <f>IF(P594="","",IFERROR(CHOOSE(VALUE(RIGHT(P594,1)),MIERCOLES!F212,MIERCOLES!I212,MIERCOLES!L212,MIERCOLES!O212,MIERCOLES!R212),""))</f>
        <v/>
      </c>
      <c r="G594" s="47" t="str">
        <f>IF(P594="","",IFERROR(CHOOSE(VALUE(RIGHT(P594,1)),MIERCOLES!G212,MIERCOLES!J212,MIERCOLES!M212,MIERCOLES!P212,MIERCOLES!S212),""))</f>
        <v/>
      </c>
      <c r="H594" s="48" t="str">
        <f>IF(P594="","",IFERROR(CHOOSE(VALUE(RIGHT(P594,1)),MIERCOLES!H212,MIERCOLES!K212,MIERCOLES!N212,MIERCOLES!Q212,MIERCOLES!T212),""))</f>
        <v/>
      </c>
      <c r="I594" s="49" t="str">
        <f t="shared" si="18"/>
        <v/>
      </c>
      <c r="J594" s="50" t="str">
        <f>IF(P594="","",IFERROR(ROUND(CHOOSE(VALUE(RIGHT(P594,1)),IF(MIERCOLES!C212="peso_corporal",IF(ISNUMBER(MIERCOLES!E212),MIERCOLES!E212,0)+MIERCOLES!F212,MIERCOLES!F212)*MIERCOLES!G212,IF(MIERCOLES!C212="peso_corporal",IF(ISNUMBER(MIERCOLES!E212),MIERCOLES!E212,0)+MIERCOLES!I212,MIERCOLES!I212)*MIERCOLES!J212,IF(MIERCOLES!C212="peso_corporal",IF(ISNUMBER(MIERCOLES!E212),MIERCOLES!E212,0)+MIERCOLES!L212,MIERCOLES!L212)*MIERCOLES!M212,IF(MIERCOLES!C212="peso_corporal",IF(ISNUMBER(MIERCOLES!E212),MIERCOLES!E212,0)+MIERCOLES!O212,MIERCOLES!O212)*MIERCOLES!P212,IF(MIERCOLES!C212="peso_corporal",IF(ISNUMBER(MIERCOLES!E212),MIERCOLES!E212,0)+MIERCOLES!R212,MIERCOLES!R212)*MIERCOLES!S212),1),""))</f>
        <v/>
      </c>
      <c r="K594" s="51" t="str">
        <f>IF(P594="","",IFERROR(ROUND(CHOOSE(VALUE(RIGHT(P594,1)),(IF(MIERCOLES!C212="peso_corporal",IF(ISNUMBER(MIERCOLES!E212),MIERCOLES!E212,0)+MIERCOLES!F212,MIERCOLES!F212))*(1+MIERCOLES!G212/30),(IF(MIERCOLES!C212="peso_corporal",IF(ISNUMBER(MIERCOLES!E212),MIERCOLES!E212,0)+MIERCOLES!I212,MIERCOLES!I212))*(1+MIERCOLES!J212/30),(IF(MIERCOLES!C212="peso_corporal",IF(ISNUMBER(MIERCOLES!E212),MIERCOLES!E212,0)+MIERCOLES!L212,MIERCOLES!L212))*(1+MIERCOLES!M212/30),(IF(MIERCOLES!C212="peso_corporal",IF(ISNUMBER(MIERCOLES!E212),MIERCOLES!E212,0)+MIERCOLES!O212,MIERCOLES!O212))*(1+MIERCOLES!P212/30),(IF(MIERCOLES!C212="peso_corporal",IF(ISNUMBER(MIERCOLES!E212),MIERCOLES!E212,0)+MIERCOLES!R212,MIERCOLES!R212))*(1+MIERCOLES!S212/30)),1),""))</f>
        <v/>
      </c>
      <c r="L594" s="52">
        <f>IFERROR(MIERCOLES!E212,"")</f>
        <v>80</v>
      </c>
      <c r="M594" s="53" t="str">
        <f>IFERROR(IF(K594="","-",IF(ISNUMBER(LOOKUP(2,1/((HISTORIAL!$O$3:$O$593=O594)*(HISTORIAL!$F$3:$F$593&lt;&gt;"")),HISTORIAL!$K$3:$K$593)),IF(K594&gt;LOOKUP(2,1/((HISTORIAL!$O$3:$O$593=O594)*(HISTORIAL!$F$3:$F$593&lt;&gt;"")),HISTORIAL!$K$3:$K$593),"^",IF(K594&lt;LOOKUP(2,1/((HISTORIAL!$O$3:$O$593=O594)*(HISTORIAL!$F$3:$F$593&lt;&gt;"")),HISTORIAL!$K$3:$K$593),"v","-")),"-")),"-")</f>
        <v>-</v>
      </c>
      <c r="N594" s="54" t="str">
        <f>IFERROR(VLOOKUP(A594,CONFIG!$A$10:$B$21,2,0),"")</f>
        <v>HIP</v>
      </c>
      <c r="O594" s="55" t="str">
        <f t="shared" si="19"/>
        <v>Curl Rumano|Mancuernas</v>
      </c>
      <c r="P594" s="69" t="str">
        <f>MIERCOLES!AC212</f>
        <v/>
      </c>
    </row>
    <row r="595" spans="1:16" ht="14.1" customHeight="1">
      <c r="A595" s="37">
        <v>10</v>
      </c>
      <c r="B595" s="37" t="s">
        <v>279</v>
      </c>
      <c r="C595" s="44" t="str">
        <f>MIERCOLES!$A$214</f>
        <v>Sentadilla</v>
      </c>
      <c r="D595" s="45" t="str">
        <f>MIERCOLES!$B$214</f>
        <v>Multipower Cuna Talones</v>
      </c>
      <c r="E595" s="37" t="str">
        <f>MIERCOLES!$C$214</f>
        <v>--</v>
      </c>
      <c r="F595" s="46" t="str">
        <f>IF(P595="","",IFERROR(CHOOSE(VALUE(RIGHT(P595,1)),MIERCOLES!F214,MIERCOLES!I214,MIERCOLES!L214,MIERCOLES!O214,MIERCOLES!R214),""))</f>
        <v/>
      </c>
      <c r="G595" s="47" t="str">
        <f>IF(P595="","",IFERROR(CHOOSE(VALUE(RIGHT(P595,1)),MIERCOLES!G214,MIERCOLES!J214,MIERCOLES!M214,MIERCOLES!P214,MIERCOLES!S214),""))</f>
        <v/>
      </c>
      <c r="H595" s="48" t="str">
        <f>IF(P595="","",IFERROR(CHOOSE(VALUE(RIGHT(P595,1)),MIERCOLES!H214,MIERCOLES!K214,MIERCOLES!N214,MIERCOLES!Q214,MIERCOLES!T214),""))</f>
        <v/>
      </c>
      <c r="I595" s="49" t="str">
        <f t="shared" si="18"/>
        <v/>
      </c>
      <c r="J595" s="50" t="str">
        <f>IF(P595="","",IFERROR(ROUND(CHOOSE(VALUE(RIGHT(P595,1)),IF(MIERCOLES!C214="peso_corporal",IF(ISNUMBER(MIERCOLES!E214),MIERCOLES!E214,0)+MIERCOLES!F214,MIERCOLES!F214)*MIERCOLES!G214,IF(MIERCOLES!C214="peso_corporal",IF(ISNUMBER(MIERCOLES!E214),MIERCOLES!E214,0)+MIERCOLES!I214,MIERCOLES!I214)*MIERCOLES!J214,IF(MIERCOLES!C214="peso_corporal",IF(ISNUMBER(MIERCOLES!E214),MIERCOLES!E214,0)+MIERCOLES!L214,MIERCOLES!L214)*MIERCOLES!M214,IF(MIERCOLES!C214="peso_corporal",IF(ISNUMBER(MIERCOLES!E214),MIERCOLES!E214,0)+MIERCOLES!O214,MIERCOLES!O214)*MIERCOLES!P214,IF(MIERCOLES!C214="peso_corporal",IF(ISNUMBER(MIERCOLES!E214),MIERCOLES!E214,0)+MIERCOLES!R214,MIERCOLES!R214)*MIERCOLES!S214),1),""))</f>
        <v/>
      </c>
      <c r="K595" s="51" t="str">
        <f>IF(P595="","",IFERROR(ROUND(CHOOSE(VALUE(RIGHT(P595,1)),(IF(MIERCOLES!C214="peso_corporal",IF(ISNUMBER(MIERCOLES!E214),MIERCOLES!E214,0)+MIERCOLES!F214,MIERCOLES!F214))*(1+MIERCOLES!G214/30),(IF(MIERCOLES!C214="peso_corporal",IF(ISNUMBER(MIERCOLES!E214),MIERCOLES!E214,0)+MIERCOLES!I214,MIERCOLES!I214))*(1+MIERCOLES!J214/30),(IF(MIERCOLES!C214="peso_corporal",IF(ISNUMBER(MIERCOLES!E214),MIERCOLES!E214,0)+MIERCOLES!L214,MIERCOLES!L214))*(1+MIERCOLES!M214/30),(IF(MIERCOLES!C214="peso_corporal",IF(ISNUMBER(MIERCOLES!E214),MIERCOLES!E214,0)+MIERCOLES!O214,MIERCOLES!O214))*(1+MIERCOLES!P214/30),(IF(MIERCOLES!C214="peso_corporal",IF(ISNUMBER(MIERCOLES!E214),MIERCOLES!E214,0)+MIERCOLES!R214,MIERCOLES!R214))*(1+MIERCOLES!S214/30)),1),""))</f>
        <v/>
      </c>
      <c r="L595" s="52">
        <f>IFERROR(MIERCOLES!E214,"")</f>
        <v>80</v>
      </c>
      <c r="M595" s="53" t="str">
        <f>IFERROR(IF(K595="","-",IF(ISNUMBER(LOOKUP(2,1/((HISTORIAL!$O$3:$O$594=O595)*(HISTORIAL!$F$3:$F$594&lt;&gt;"")),HISTORIAL!$K$3:$K$594)),IF(K595&gt;LOOKUP(2,1/((HISTORIAL!$O$3:$O$594=O595)*(HISTORIAL!$F$3:$F$594&lt;&gt;"")),HISTORIAL!$K$3:$K$594),"^",IF(K595&lt;LOOKUP(2,1/((HISTORIAL!$O$3:$O$594=O595)*(HISTORIAL!$F$3:$F$594&lt;&gt;"")),HISTORIAL!$K$3:$K$594),"v","-")),"-")),"-")</f>
        <v>-</v>
      </c>
      <c r="N595" s="54" t="str">
        <f>IFERROR(VLOOKUP(A595,CONFIG!$A$10:$B$21,2,0),"")</f>
        <v>HIP</v>
      </c>
      <c r="O595" s="55" t="str">
        <f t="shared" si="19"/>
        <v>Sentadilla|Multipower Cuna Talones</v>
      </c>
      <c r="P595" s="69" t="str">
        <f>MIERCOLES!AC214</f>
        <v/>
      </c>
    </row>
    <row r="596" spans="1:16" ht="14.1" customHeight="1">
      <c r="A596" s="37">
        <v>10</v>
      </c>
      <c r="B596" s="37" t="s">
        <v>279</v>
      </c>
      <c r="C596" s="44" t="str">
        <f>MIERCOLES!$A$215</f>
        <v>Prensa Pierna</v>
      </c>
      <c r="D596" s="45" t="str">
        <f>MIERCOLES!$B$215</f>
        <v>Individual Horizontal</v>
      </c>
      <c r="E596" s="37" t="str">
        <f>MIERCOLES!$C$215</f>
        <v>--</v>
      </c>
      <c r="F596" s="46" t="str">
        <f>IF(P596="","",IFERROR(CHOOSE(VALUE(RIGHT(P596,1)),MIERCOLES!F215,MIERCOLES!I215,MIERCOLES!L215,MIERCOLES!O215,MIERCOLES!R215),""))</f>
        <v/>
      </c>
      <c r="G596" s="47" t="str">
        <f>IF(P596="","",IFERROR(CHOOSE(VALUE(RIGHT(P596,1)),MIERCOLES!G215,MIERCOLES!J215,MIERCOLES!M215,MIERCOLES!P215,MIERCOLES!S215),""))</f>
        <v/>
      </c>
      <c r="H596" s="48" t="str">
        <f>IF(P596="","",IFERROR(CHOOSE(VALUE(RIGHT(P596,1)),MIERCOLES!H215,MIERCOLES!K215,MIERCOLES!N215,MIERCOLES!Q215,MIERCOLES!T215),""))</f>
        <v/>
      </c>
      <c r="I596" s="49" t="str">
        <f t="shared" si="18"/>
        <v/>
      </c>
      <c r="J596" s="50" t="str">
        <f>IF(P596="","",IFERROR(ROUND(CHOOSE(VALUE(RIGHT(P596,1)),IF(MIERCOLES!C215="peso_corporal",IF(ISNUMBER(MIERCOLES!E215),MIERCOLES!E215,0)+MIERCOLES!F215,MIERCOLES!F215)*MIERCOLES!G215,IF(MIERCOLES!C215="peso_corporal",IF(ISNUMBER(MIERCOLES!E215),MIERCOLES!E215,0)+MIERCOLES!I215,MIERCOLES!I215)*MIERCOLES!J215,IF(MIERCOLES!C215="peso_corporal",IF(ISNUMBER(MIERCOLES!E215),MIERCOLES!E215,0)+MIERCOLES!L215,MIERCOLES!L215)*MIERCOLES!M215,IF(MIERCOLES!C215="peso_corporal",IF(ISNUMBER(MIERCOLES!E215),MIERCOLES!E215,0)+MIERCOLES!O215,MIERCOLES!O215)*MIERCOLES!P215,IF(MIERCOLES!C215="peso_corporal",IF(ISNUMBER(MIERCOLES!E215),MIERCOLES!E215,0)+MIERCOLES!R215,MIERCOLES!R215)*MIERCOLES!S215),1),""))</f>
        <v/>
      </c>
      <c r="K596" s="51" t="str">
        <f>IF(P596="","",IFERROR(ROUND(CHOOSE(VALUE(RIGHT(P596,1)),(IF(MIERCOLES!C215="peso_corporal",IF(ISNUMBER(MIERCOLES!E215),MIERCOLES!E215,0)+MIERCOLES!F215,MIERCOLES!F215))*(1+MIERCOLES!G215/30),(IF(MIERCOLES!C215="peso_corporal",IF(ISNUMBER(MIERCOLES!E215),MIERCOLES!E215,0)+MIERCOLES!I215,MIERCOLES!I215))*(1+MIERCOLES!J215/30),(IF(MIERCOLES!C215="peso_corporal",IF(ISNUMBER(MIERCOLES!E215),MIERCOLES!E215,0)+MIERCOLES!L215,MIERCOLES!L215))*(1+MIERCOLES!M215/30),(IF(MIERCOLES!C215="peso_corporal",IF(ISNUMBER(MIERCOLES!E215),MIERCOLES!E215,0)+MIERCOLES!O215,MIERCOLES!O215))*(1+MIERCOLES!P215/30),(IF(MIERCOLES!C215="peso_corporal",IF(ISNUMBER(MIERCOLES!E215),MIERCOLES!E215,0)+MIERCOLES!R215,MIERCOLES!R215))*(1+MIERCOLES!S215/30)),1),""))</f>
        <v/>
      </c>
      <c r="L596" s="52">
        <f>IFERROR(MIERCOLES!E215,"")</f>
        <v>80</v>
      </c>
      <c r="M596" s="53" t="str">
        <f>IFERROR(IF(K596="","-",IF(ISNUMBER(LOOKUP(2,1/((HISTORIAL!$O$3:$O$595=O596)*(HISTORIAL!$F$3:$F$595&lt;&gt;"")),HISTORIAL!$K$3:$K$595)),IF(K596&gt;LOOKUP(2,1/((HISTORIAL!$O$3:$O$595=O596)*(HISTORIAL!$F$3:$F$595&lt;&gt;"")),HISTORIAL!$K$3:$K$595),"^",IF(K596&lt;LOOKUP(2,1/((HISTORIAL!$O$3:$O$595=O596)*(HISTORIAL!$F$3:$F$595&lt;&gt;"")),HISTORIAL!$K$3:$K$595),"v","-")),"-")),"-")</f>
        <v>-</v>
      </c>
      <c r="N596" s="54" t="str">
        <f>IFERROR(VLOOKUP(A596,CONFIG!$A$10:$B$21,2,0),"")</f>
        <v>HIP</v>
      </c>
      <c r="O596" s="55" t="str">
        <f t="shared" si="19"/>
        <v>Prensa Pierna|Individual Horizontal</v>
      </c>
      <c r="P596" s="69" t="str">
        <f>MIERCOLES!AC215</f>
        <v/>
      </c>
    </row>
    <row r="597" spans="1:16" ht="14.1" customHeight="1">
      <c r="A597" s="37">
        <v>10</v>
      </c>
      <c r="B597" s="37" t="s">
        <v>279</v>
      </c>
      <c r="C597" s="44" t="str">
        <f>MIERCOLES!$A$216</f>
        <v>Extension Cuadriceps</v>
      </c>
      <c r="D597" s="45" t="str">
        <f>MIERCOLES!$B$216</f>
        <v>Vasto Externo</v>
      </c>
      <c r="E597" s="37" t="str">
        <f>MIERCOLES!$C$216</f>
        <v>--</v>
      </c>
      <c r="F597" s="46" t="str">
        <f>IF(P597="","",IFERROR(CHOOSE(VALUE(RIGHT(P597,1)),MIERCOLES!F216,MIERCOLES!I216,MIERCOLES!L216,MIERCOLES!O216,MIERCOLES!R216),""))</f>
        <v/>
      </c>
      <c r="G597" s="47" t="str">
        <f>IF(P597="","",IFERROR(CHOOSE(VALUE(RIGHT(P597,1)),MIERCOLES!G216,MIERCOLES!J216,MIERCOLES!M216,MIERCOLES!P216,MIERCOLES!S216),""))</f>
        <v/>
      </c>
      <c r="H597" s="48" t="str">
        <f>IF(P597="","",IFERROR(CHOOSE(VALUE(RIGHT(P597,1)),MIERCOLES!H216,MIERCOLES!K216,MIERCOLES!N216,MIERCOLES!Q216,MIERCOLES!T216),""))</f>
        <v/>
      </c>
      <c r="I597" s="49" t="str">
        <f t="shared" si="18"/>
        <v/>
      </c>
      <c r="J597" s="50" t="str">
        <f>IF(P597="","",IFERROR(ROUND(CHOOSE(VALUE(RIGHT(P597,1)),IF(MIERCOLES!C216="peso_corporal",IF(ISNUMBER(MIERCOLES!E216),MIERCOLES!E216,0)+MIERCOLES!F216,MIERCOLES!F216)*MIERCOLES!G216,IF(MIERCOLES!C216="peso_corporal",IF(ISNUMBER(MIERCOLES!E216),MIERCOLES!E216,0)+MIERCOLES!I216,MIERCOLES!I216)*MIERCOLES!J216,IF(MIERCOLES!C216="peso_corporal",IF(ISNUMBER(MIERCOLES!E216),MIERCOLES!E216,0)+MIERCOLES!L216,MIERCOLES!L216)*MIERCOLES!M216,IF(MIERCOLES!C216="peso_corporal",IF(ISNUMBER(MIERCOLES!E216),MIERCOLES!E216,0)+MIERCOLES!O216,MIERCOLES!O216)*MIERCOLES!P216,IF(MIERCOLES!C216="peso_corporal",IF(ISNUMBER(MIERCOLES!E216),MIERCOLES!E216,0)+MIERCOLES!R216,MIERCOLES!R216)*MIERCOLES!S216),1),""))</f>
        <v/>
      </c>
      <c r="K597" s="51" t="str">
        <f>IF(P597="","",IFERROR(ROUND(CHOOSE(VALUE(RIGHT(P597,1)),(IF(MIERCOLES!C216="peso_corporal",IF(ISNUMBER(MIERCOLES!E216),MIERCOLES!E216,0)+MIERCOLES!F216,MIERCOLES!F216))*(1+MIERCOLES!G216/30),(IF(MIERCOLES!C216="peso_corporal",IF(ISNUMBER(MIERCOLES!E216),MIERCOLES!E216,0)+MIERCOLES!I216,MIERCOLES!I216))*(1+MIERCOLES!J216/30),(IF(MIERCOLES!C216="peso_corporal",IF(ISNUMBER(MIERCOLES!E216),MIERCOLES!E216,0)+MIERCOLES!L216,MIERCOLES!L216))*(1+MIERCOLES!M216/30),(IF(MIERCOLES!C216="peso_corporal",IF(ISNUMBER(MIERCOLES!E216),MIERCOLES!E216,0)+MIERCOLES!O216,MIERCOLES!O216))*(1+MIERCOLES!P216/30),(IF(MIERCOLES!C216="peso_corporal",IF(ISNUMBER(MIERCOLES!E216),MIERCOLES!E216,0)+MIERCOLES!R216,MIERCOLES!R216))*(1+MIERCOLES!S216/30)),1),""))</f>
        <v/>
      </c>
      <c r="L597" s="52">
        <f>IFERROR(MIERCOLES!E216,"")</f>
        <v>80</v>
      </c>
      <c r="M597" s="53" t="str">
        <f>IFERROR(IF(K597="","-",IF(ISNUMBER(LOOKUP(2,1/((HISTORIAL!$O$3:$O$596=O597)*(HISTORIAL!$F$3:$F$596&lt;&gt;"")),HISTORIAL!$K$3:$K$596)),IF(K597&gt;LOOKUP(2,1/((HISTORIAL!$O$3:$O$596=O597)*(HISTORIAL!$F$3:$F$596&lt;&gt;"")),HISTORIAL!$K$3:$K$596),"^",IF(K597&lt;LOOKUP(2,1/((HISTORIAL!$O$3:$O$596=O597)*(HISTORIAL!$F$3:$F$596&lt;&gt;"")),HISTORIAL!$K$3:$K$596),"v","-")),"-")),"-")</f>
        <v>-</v>
      </c>
      <c r="N597" s="54" t="str">
        <f>IFERROR(VLOOKUP(A597,CONFIG!$A$10:$B$21,2,0),"")</f>
        <v>HIP</v>
      </c>
      <c r="O597" s="55" t="str">
        <f t="shared" si="19"/>
        <v>Extension Cuadriceps|Vasto Externo</v>
      </c>
      <c r="P597" s="69" t="str">
        <f>MIERCOLES!AC216</f>
        <v/>
      </c>
    </row>
    <row r="598" spans="1:16" ht="14.1" customHeight="1">
      <c r="A598" s="37">
        <v>10</v>
      </c>
      <c r="B598" s="37" t="s">
        <v>279</v>
      </c>
      <c r="C598" s="44" t="str">
        <f>MIERCOLES!$A$217</f>
        <v>Extension Cuadriceps</v>
      </c>
      <c r="D598" s="45" t="str">
        <f>MIERCOLES!$B$217</f>
        <v>Vasto Interno</v>
      </c>
      <c r="E598" s="37" t="str">
        <f>MIERCOLES!$C$217</f>
        <v>--</v>
      </c>
      <c r="F598" s="46" t="str">
        <f>IF(P598="","",IFERROR(CHOOSE(VALUE(RIGHT(P598,1)),MIERCOLES!F217,MIERCOLES!I217,MIERCOLES!L217,MIERCOLES!O217,MIERCOLES!R217),""))</f>
        <v/>
      </c>
      <c r="G598" s="47" t="str">
        <f>IF(P598="","",IFERROR(CHOOSE(VALUE(RIGHT(P598,1)),MIERCOLES!G217,MIERCOLES!J217,MIERCOLES!M217,MIERCOLES!P217,MIERCOLES!S217),""))</f>
        <v/>
      </c>
      <c r="H598" s="48" t="str">
        <f>IF(P598="","",IFERROR(CHOOSE(VALUE(RIGHT(P598,1)),MIERCOLES!H217,MIERCOLES!K217,MIERCOLES!N217,MIERCOLES!Q217,MIERCOLES!T217),""))</f>
        <v/>
      </c>
      <c r="I598" s="49" t="str">
        <f t="shared" si="18"/>
        <v/>
      </c>
      <c r="J598" s="50" t="str">
        <f>IF(P598="","",IFERROR(ROUND(CHOOSE(VALUE(RIGHT(P598,1)),IF(MIERCOLES!C217="peso_corporal",IF(ISNUMBER(MIERCOLES!E217),MIERCOLES!E217,0)+MIERCOLES!F217,MIERCOLES!F217)*MIERCOLES!G217,IF(MIERCOLES!C217="peso_corporal",IF(ISNUMBER(MIERCOLES!E217),MIERCOLES!E217,0)+MIERCOLES!I217,MIERCOLES!I217)*MIERCOLES!J217,IF(MIERCOLES!C217="peso_corporal",IF(ISNUMBER(MIERCOLES!E217),MIERCOLES!E217,0)+MIERCOLES!L217,MIERCOLES!L217)*MIERCOLES!M217,IF(MIERCOLES!C217="peso_corporal",IF(ISNUMBER(MIERCOLES!E217),MIERCOLES!E217,0)+MIERCOLES!O217,MIERCOLES!O217)*MIERCOLES!P217,IF(MIERCOLES!C217="peso_corporal",IF(ISNUMBER(MIERCOLES!E217),MIERCOLES!E217,0)+MIERCOLES!R217,MIERCOLES!R217)*MIERCOLES!S217),1),""))</f>
        <v/>
      </c>
      <c r="K598" s="51" t="str">
        <f>IF(P598="","",IFERROR(ROUND(CHOOSE(VALUE(RIGHT(P598,1)),(IF(MIERCOLES!C217="peso_corporal",IF(ISNUMBER(MIERCOLES!E217),MIERCOLES!E217,0)+MIERCOLES!F217,MIERCOLES!F217))*(1+MIERCOLES!G217/30),(IF(MIERCOLES!C217="peso_corporal",IF(ISNUMBER(MIERCOLES!E217),MIERCOLES!E217,0)+MIERCOLES!I217,MIERCOLES!I217))*(1+MIERCOLES!J217/30),(IF(MIERCOLES!C217="peso_corporal",IF(ISNUMBER(MIERCOLES!E217),MIERCOLES!E217,0)+MIERCOLES!L217,MIERCOLES!L217))*(1+MIERCOLES!M217/30),(IF(MIERCOLES!C217="peso_corporal",IF(ISNUMBER(MIERCOLES!E217),MIERCOLES!E217,0)+MIERCOLES!O217,MIERCOLES!O217))*(1+MIERCOLES!P217/30),(IF(MIERCOLES!C217="peso_corporal",IF(ISNUMBER(MIERCOLES!E217),MIERCOLES!E217,0)+MIERCOLES!R217,MIERCOLES!R217))*(1+MIERCOLES!S217/30)),1),""))</f>
        <v/>
      </c>
      <c r="L598" s="52">
        <f>IFERROR(MIERCOLES!E217,"")</f>
        <v>80</v>
      </c>
      <c r="M598" s="53" t="str">
        <f>IFERROR(IF(K598="","-",IF(ISNUMBER(LOOKUP(2,1/((HISTORIAL!$O$3:$O$597=O598)*(HISTORIAL!$F$3:$F$597&lt;&gt;"")),HISTORIAL!$K$3:$K$597)),IF(K598&gt;LOOKUP(2,1/((HISTORIAL!$O$3:$O$597=O598)*(HISTORIAL!$F$3:$F$597&lt;&gt;"")),HISTORIAL!$K$3:$K$597),"^",IF(K598&lt;LOOKUP(2,1/((HISTORIAL!$O$3:$O$597=O598)*(HISTORIAL!$F$3:$F$597&lt;&gt;"")),HISTORIAL!$K$3:$K$597),"v","-")),"-")),"-")</f>
        <v>-</v>
      </c>
      <c r="N598" s="54" t="str">
        <f>IFERROR(VLOOKUP(A598,CONFIG!$A$10:$B$21,2,0),"")</f>
        <v>HIP</v>
      </c>
      <c r="O598" s="55" t="str">
        <f t="shared" si="19"/>
        <v>Extension Cuadriceps|Vasto Interno</v>
      </c>
      <c r="P598" s="69" t="str">
        <f>MIERCOLES!AC217</f>
        <v/>
      </c>
    </row>
    <row r="599" spans="1:16" ht="14.1" customHeight="1">
      <c r="A599" s="37">
        <v>10</v>
      </c>
      <c r="B599" s="37" t="s">
        <v>279</v>
      </c>
      <c r="C599" s="44" t="str">
        <f>MIERCOLES!$A$219</f>
        <v>Elevacion Gemelo</v>
      </c>
      <c r="D599" s="45" t="str">
        <f>MIERCOLES!$B$219</f>
        <v>Sentado</v>
      </c>
      <c r="E599" s="37" t="str">
        <f>MIERCOLES!$C$219</f>
        <v>disco</v>
      </c>
      <c r="F599" s="46" t="str">
        <f>IF(P599="","",IFERROR(CHOOSE(VALUE(RIGHT(P599,1)),MIERCOLES!F219,MIERCOLES!I219,MIERCOLES!L219,MIERCOLES!O219,MIERCOLES!R219),""))</f>
        <v/>
      </c>
      <c r="G599" s="47" t="str">
        <f>IF(P599="","",IFERROR(CHOOSE(VALUE(RIGHT(P599,1)),MIERCOLES!G219,MIERCOLES!J219,MIERCOLES!M219,MIERCOLES!P219,MIERCOLES!S219),""))</f>
        <v/>
      </c>
      <c r="H599" s="48" t="str">
        <f>IF(P599="","",IFERROR(CHOOSE(VALUE(RIGHT(P599,1)),MIERCOLES!H219,MIERCOLES!K219,MIERCOLES!N219,MIERCOLES!Q219,MIERCOLES!T219),""))</f>
        <v/>
      </c>
      <c r="I599" s="49" t="str">
        <f t="shared" si="18"/>
        <v/>
      </c>
      <c r="J599" s="50" t="str">
        <f>IF(P599="","",IFERROR(ROUND(CHOOSE(VALUE(RIGHT(P599,1)),IF(MIERCOLES!C219="peso_corporal",IF(ISNUMBER(MIERCOLES!E219),MIERCOLES!E219,0)+MIERCOLES!F219,MIERCOLES!F219)*MIERCOLES!G219,IF(MIERCOLES!C219="peso_corporal",IF(ISNUMBER(MIERCOLES!E219),MIERCOLES!E219,0)+MIERCOLES!I219,MIERCOLES!I219)*MIERCOLES!J219,IF(MIERCOLES!C219="peso_corporal",IF(ISNUMBER(MIERCOLES!E219),MIERCOLES!E219,0)+MIERCOLES!L219,MIERCOLES!L219)*MIERCOLES!M219,IF(MIERCOLES!C219="peso_corporal",IF(ISNUMBER(MIERCOLES!E219),MIERCOLES!E219,0)+MIERCOLES!O219,MIERCOLES!O219)*MIERCOLES!P219,IF(MIERCOLES!C219="peso_corporal",IF(ISNUMBER(MIERCOLES!E219),MIERCOLES!E219,0)+MIERCOLES!R219,MIERCOLES!R219)*MIERCOLES!S219),1),""))</f>
        <v/>
      </c>
      <c r="K599" s="51" t="str">
        <f>IF(P599="","",IFERROR(ROUND(CHOOSE(VALUE(RIGHT(P599,1)),(IF(MIERCOLES!C219="peso_corporal",IF(ISNUMBER(MIERCOLES!E219),MIERCOLES!E219,0)+MIERCOLES!F219,MIERCOLES!F219))*(1+MIERCOLES!G219/30),(IF(MIERCOLES!C219="peso_corporal",IF(ISNUMBER(MIERCOLES!E219),MIERCOLES!E219,0)+MIERCOLES!I219,MIERCOLES!I219))*(1+MIERCOLES!J219/30),(IF(MIERCOLES!C219="peso_corporal",IF(ISNUMBER(MIERCOLES!E219),MIERCOLES!E219,0)+MIERCOLES!L219,MIERCOLES!L219))*(1+MIERCOLES!M219/30),(IF(MIERCOLES!C219="peso_corporal",IF(ISNUMBER(MIERCOLES!E219),MIERCOLES!E219,0)+MIERCOLES!O219,MIERCOLES!O219))*(1+MIERCOLES!P219/30),(IF(MIERCOLES!C219="peso_corporal",IF(ISNUMBER(MIERCOLES!E219),MIERCOLES!E219,0)+MIERCOLES!R219,MIERCOLES!R219))*(1+MIERCOLES!S219/30)),1),""))</f>
        <v/>
      </c>
      <c r="L599" s="52">
        <f>IFERROR(MIERCOLES!E219,"")</f>
        <v>80</v>
      </c>
      <c r="M599" s="53" t="str">
        <f>IFERROR(IF(K599="","-",IF(ISNUMBER(LOOKUP(2,1/((HISTORIAL!$O$3:$O$598=O599)*(HISTORIAL!$F$3:$F$598&lt;&gt;"")),HISTORIAL!$K$3:$K$598)),IF(K599&gt;LOOKUP(2,1/((HISTORIAL!$O$3:$O$598=O599)*(HISTORIAL!$F$3:$F$598&lt;&gt;"")),HISTORIAL!$K$3:$K$598),"^",IF(K599&lt;LOOKUP(2,1/((HISTORIAL!$O$3:$O$598=O599)*(HISTORIAL!$F$3:$F$598&lt;&gt;"")),HISTORIAL!$K$3:$K$598),"v","-")),"-")),"-")</f>
        <v>-</v>
      </c>
      <c r="N599" s="54" t="str">
        <f>IFERROR(VLOOKUP(A599,CONFIG!$A$10:$B$21,2,0),"")</f>
        <v>HIP</v>
      </c>
      <c r="O599" s="55" t="str">
        <f t="shared" si="19"/>
        <v>Elevacion Gemelo|Sentado</v>
      </c>
      <c r="P599" s="69" t="str">
        <f>MIERCOLES!AC219</f>
        <v/>
      </c>
    </row>
    <row r="600" spans="1:16" ht="14.1" customHeight="1">
      <c r="A600" s="37">
        <v>10</v>
      </c>
      <c r="B600" s="37" t="s">
        <v>279</v>
      </c>
      <c r="C600" s="44" t="str">
        <f>MIERCOLES!$A$220</f>
        <v>Elevacion Gemelo</v>
      </c>
      <c r="D600" s="45" t="str">
        <f>MIERCOLES!$B$220</f>
        <v>De Pie</v>
      </c>
      <c r="E600" s="37" t="str">
        <f>MIERCOLES!$C$220</f>
        <v>disco</v>
      </c>
      <c r="F600" s="46" t="str">
        <f>IF(P600="","",IFERROR(CHOOSE(VALUE(RIGHT(P600,1)),MIERCOLES!F220,MIERCOLES!I220,MIERCOLES!L220,MIERCOLES!O220,MIERCOLES!R220),""))</f>
        <v/>
      </c>
      <c r="G600" s="47" t="str">
        <f>IF(P600="","",IFERROR(CHOOSE(VALUE(RIGHT(P600,1)),MIERCOLES!G220,MIERCOLES!J220,MIERCOLES!M220,MIERCOLES!P220,MIERCOLES!S220),""))</f>
        <v/>
      </c>
      <c r="H600" s="48" t="str">
        <f>IF(P600="","",IFERROR(CHOOSE(VALUE(RIGHT(P600,1)),MIERCOLES!H220,MIERCOLES!K220,MIERCOLES!N220,MIERCOLES!Q220,MIERCOLES!T220),""))</f>
        <v/>
      </c>
      <c r="I600" s="49" t="str">
        <f t="shared" si="18"/>
        <v/>
      </c>
      <c r="J600" s="50" t="str">
        <f>IF(P600="","",IFERROR(ROUND(CHOOSE(VALUE(RIGHT(P600,1)),IF(MIERCOLES!C220="peso_corporal",IF(ISNUMBER(MIERCOLES!E220),MIERCOLES!E220,0)+MIERCOLES!F220,MIERCOLES!F220)*MIERCOLES!G220,IF(MIERCOLES!C220="peso_corporal",IF(ISNUMBER(MIERCOLES!E220),MIERCOLES!E220,0)+MIERCOLES!I220,MIERCOLES!I220)*MIERCOLES!J220,IF(MIERCOLES!C220="peso_corporal",IF(ISNUMBER(MIERCOLES!E220),MIERCOLES!E220,0)+MIERCOLES!L220,MIERCOLES!L220)*MIERCOLES!M220,IF(MIERCOLES!C220="peso_corporal",IF(ISNUMBER(MIERCOLES!E220),MIERCOLES!E220,0)+MIERCOLES!O220,MIERCOLES!O220)*MIERCOLES!P220,IF(MIERCOLES!C220="peso_corporal",IF(ISNUMBER(MIERCOLES!E220),MIERCOLES!E220,0)+MIERCOLES!R220,MIERCOLES!R220)*MIERCOLES!S220),1),""))</f>
        <v/>
      </c>
      <c r="K600" s="51" t="str">
        <f>IF(P600="","",IFERROR(ROUND(CHOOSE(VALUE(RIGHT(P600,1)),(IF(MIERCOLES!C220="peso_corporal",IF(ISNUMBER(MIERCOLES!E220),MIERCOLES!E220,0)+MIERCOLES!F220,MIERCOLES!F220))*(1+MIERCOLES!G220/30),(IF(MIERCOLES!C220="peso_corporal",IF(ISNUMBER(MIERCOLES!E220),MIERCOLES!E220,0)+MIERCOLES!I220,MIERCOLES!I220))*(1+MIERCOLES!J220/30),(IF(MIERCOLES!C220="peso_corporal",IF(ISNUMBER(MIERCOLES!E220),MIERCOLES!E220,0)+MIERCOLES!L220,MIERCOLES!L220))*(1+MIERCOLES!M220/30),(IF(MIERCOLES!C220="peso_corporal",IF(ISNUMBER(MIERCOLES!E220),MIERCOLES!E220,0)+MIERCOLES!O220,MIERCOLES!O220))*(1+MIERCOLES!P220/30),(IF(MIERCOLES!C220="peso_corporal",IF(ISNUMBER(MIERCOLES!E220),MIERCOLES!E220,0)+MIERCOLES!R220,MIERCOLES!R220))*(1+MIERCOLES!S220/30)),1),""))</f>
        <v/>
      </c>
      <c r="L600" s="52">
        <f>IFERROR(MIERCOLES!E220,"")</f>
        <v>80</v>
      </c>
      <c r="M600" s="53" t="str">
        <f>IFERROR(IF(K600="","-",IF(ISNUMBER(LOOKUP(2,1/((HISTORIAL!$O$3:$O$599=O600)*(HISTORIAL!$F$3:$F$599&lt;&gt;"")),HISTORIAL!$K$3:$K$599)),IF(K600&gt;LOOKUP(2,1/((HISTORIAL!$O$3:$O$599=O600)*(HISTORIAL!$F$3:$F$599&lt;&gt;"")),HISTORIAL!$K$3:$K$599),"^",IF(K600&lt;LOOKUP(2,1/((HISTORIAL!$O$3:$O$599=O600)*(HISTORIAL!$F$3:$F$599&lt;&gt;"")),HISTORIAL!$K$3:$K$599),"v","-")),"-")),"-")</f>
        <v>-</v>
      </c>
      <c r="N600" s="54" t="str">
        <f>IFERROR(VLOOKUP(A600,CONFIG!$A$10:$B$21,2,0),"")</f>
        <v>HIP</v>
      </c>
      <c r="O600" s="55" t="str">
        <f t="shared" si="19"/>
        <v>Elevacion Gemelo|De Pie</v>
      </c>
      <c r="P600" s="69" t="str">
        <f>MIERCOLES!AC220</f>
        <v/>
      </c>
    </row>
    <row r="601" spans="1:16" ht="14.1" customHeight="1">
      <c r="A601" s="37">
        <v>10</v>
      </c>
      <c r="B601" s="37" t="s">
        <v>279</v>
      </c>
      <c r="C601" s="44" t="str">
        <f>MIERCOLES!$A$222</f>
        <v>Hiperextension</v>
      </c>
      <c r="D601" s="45" t="str">
        <f>MIERCOLES!$B$222</f>
        <v>Banco Romano</v>
      </c>
      <c r="E601" s="37" t="str">
        <f>MIERCOLES!$C$222</f>
        <v>peso_corporal</v>
      </c>
      <c r="F601" s="46" t="str">
        <f>IF(P601="","",IFERROR(CHOOSE(VALUE(RIGHT(P601,1)),MIERCOLES!F222,MIERCOLES!I222,MIERCOLES!L222,MIERCOLES!O222,MIERCOLES!R222),""))</f>
        <v/>
      </c>
      <c r="G601" s="47" t="str">
        <f>IF(P601="","",IFERROR(CHOOSE(VALUE(RIGHT(P601,1)),MIERCOLES!G222,MIERCOLES!J222,MIERCOLES!M222,MIERCOLES!P222,MIERCOLES!S222),""))</f>
        <v/>
      </c>
      <c r="H601" s="48" t="str">
        <f>IF(P601="","",IFERROR(CHOOSE(VALUE(RIGHT(P601,1)),MIERCOLES!H222,MIERCOLES!K222,MIERCOLES!N222,MIERCOLES!Q222,MIERCOLES!T222),""))</f>
        <v/>
      </c>
      <c r="I601" s="49" t="str">
        <f t="shared" si="18"/>
        <v/>
      </c>
      <c r="J601" s="50" t="str">
        <f>IF(P601="","",IFERROR(ROUND(CHOOSE(VALUE(RIGHT(P601,1)),IF(MIERCOLES!C222="peso_corporal",IF(ISNUMBER(MIERCOLES!E222),MIERCOLES!E222,0)+MIERCOLES!F222,MIERCOLES!F222)*MIERCOLES!G222,IF(MIERCOLES!C222="peso_corporal",IF(ISNUMBER(MIERCOLES!E222),MIERCOLES!E222,0)+MIERCOLES!I222,MIERCOLES!I222)*MIERCOLES!J222,IF(MIERCOLES!C222="peso_corporal",IF(ISNUMBER(MIERCOLES!E222),MIERCOLES!E222,0)+MIERCOLES!L222,MIERCOLES!L222)*MIERCOLES!M222,IF(MIERCOLES!C222="peso_corporal",IF(ISNUMBER(MIERCOLES!E222),MIERCOLES!E222,0)+MIERCOLES!O222,MIERCOLES!O222)*MIERCOLES!P222,IF(MIERCOLES!C222="peso_corporal",IF(ISNUMBER(MIERCOLES!E222),MIERCOLES!E222,0)+MIERCOLES!R222,MIERCOLES!R222)*MIERCOLES!S222),1),""))</f>
        <v/>
      </c>
      <c r="K601" s="51" t="str">
        <f>IF(P601="","",IFERROR(ROUND(CHOOSE(VALUE(RIGHT(P601,1)),(IF(MIERCOLES!C222="peso_corporal",IF(ISNUMBER(MIERCOLES!E222),MIERCOLES!E222,0)+MIERCOLES!F222,MIERCOLES!F222))*(1+MIERCOLES!G222/30),(IF(MIERCOLES!C222="peso_corporal",IF(ISNUMBER(MIERCOLES!E222),MIERCOLES!E222,0)+MIERCOLES!I222,MIERCOLES!I222))*(1+MIERCOLES!J222/30),(IF(MIERCOLES!C222="peso_corporal",IF(ISNUMBER(MIERCOLES!E222),MIERCOLES!E222,0)+MIERCOLES!L222,MIERCOLES!L222))*(1+MIERCOLES!M222/30),(IF(MIERCOLES!C222="peso_corporal",IF(ISNUMBER(MIERCOLES!E222),MIERCOLES!E222,0)+MIERCOLES!O222,MIERCOLES!O222))*(1+MIERCOLES!P222/30),(IF(MIERCOLES!C222="peso_corporal",IF(ISNUMBER(MIERCOLES!E222),MIERCOLES!E222,0)+MIERCOLES!R222,MIERCOLES!R222))*(1+MIERCOLES!S222/30)),1),""))</f>
        <v/>
      </c>
      <c r="L601" s="52">
        <f>IFERROR(MIERCOLES!E222,"")</f>
        <v>80</v>
      </c>
      <c r="M601" s="53" t="str">
        <f>IFERROR(IF(K601="","-",IF(ISNUMBER(LOOKUP(2,1/((HISTORIAL!$O$3:$O$600=O601)*(HISTORIAL!$F$3:$F$600&lt;&gt;"")),HISTORIAL!$K$3:$K$600)),IF(K601&gt;LOOKUP(2,1/((HISTORIAL!$O$3:$O$600=O601)*(HISTORIAL!$F$3:$F$600&lt;&gt;"")),HISTORIAL!$K$3:$K$600),"^",IF(K601&lt;LOOKUP(2,1/((HISTORIAL!$O$3:$O$600=O601)*(HISTORIAL!$F$3:$F$600&lt;&gt;"")),HISTORIAL!$K$3:$K$600),"v","-")),"-")),"-")</f>
        <v>-</v>
      </c>
      <c r="N601" s="54" t="str">
        <f>IFERROR(VLOOKUP(A601,CONFIG!$A$10:$B$21,2,0),"")</f>
        <v>HIP</v>
      </c>
      <c r="O601" s="55" t="str">
        <f t="shared" si="19"/>
        <v>Hiperextension|Banco Romano</v>
      </c>
      <c r="P601" s="69" t="str">
        <f>MIERCOLES!AC222</f>
        <v/>
      </c>
    </row>
    <row r="602" spans="1:16" ht="14.1" customHeight="1">
      <c r="A602" s="37">
        <v>10</v>
      </c>
      <c r="B602" s="37" t="s">
        <v>279</v>
      </c>
      <c r="C602" s="44" t="str">
        <f>MIERCOLES!$A$223</f>
        <v>Peso Muerto Parcial</v>
      </c>
      <c r="D602" s="45" t="str">
        <f>MIERCOLES!$B$223</f>
        <v>Barra</v>
      </c>
      <c r="E602" s="37" t="str">
        <f>MIERCOLES!$C$223</f>
        <v>disco</v>
      </c>
      <c r="F602" s="46" t="str">
        <f>IF(P602="","",IFERROR(CHOOSE(VALUE(RIGHT(P602,1)),MIERCOLES!F223,MIERCOLES!I223,MIERCOLES!L223,MIERCOLES!O223,MIERCOLES!R223),""))</f>
        <v/>
      </c>
      <c r="G602" s="47" t="str">
        <f>IF(P602="","",IFERROR(CHOOSE(VALUE(RIGHT(P602,1)),MIERCOLES!G223,MIERCOLES!J223,MIERCOLES!M223,MIERCOLES!P223,MIERCOLES!S223),""))</f>
        <v/>
      </c>
      <c r="H602" s="48" t="str">
        <f>IF(P602="","",IFERROR(CHOOSE(VALUE(RIGHT(P602,1)),MIERCOLES!H223,MIERCOLES!K223,MIERCOLES!N223,MIERCOLES!Q223,MIERCOLES!T223),""))</f>
        <v/>
      </c>
      <c r="I602" s="49" t="str">
        <f t="shared" si="18"/>
        <v/>
      </c>
      <c r="J602" s="50" t="str">
        <f>IF(P602="","",IFERROR(ROUND(CHOOSE(VALUE(RIGHT(P602,1)),IF(MIERCOLES!C223="peso_corporal",IF(ISNUMBER(MIERCOLES!E223),MIERCOLES!E223,0)+MIERCOLES!F223,MIERCOLES!F223)*MIERCOLES!G223,IF(MIERCOLES!C223="peso_corporal",IF(ISNUMBER(MIERCOLES!E223),MIERCOLES!E223,0)+MIERCOLES!I223,MIERCOLES!I223)*MIERCOLES!J223,IF(MIERCOLES!C223="peso_corporal",IF(ISNUMBER(MIERCOLES!E223),MIERCOLES!E223,0)+MIERCOLES!L223,MIERCOLES!L223)*MIERCOLES!M223,IF(MIERCOLES!C223="peso_corporal",IF(ISNUMBER(MIERCOLES!E223),MIERCOLES!E223,0)+MIERCOLES!O223,MIERCOLES!O223)*MIERCOLES!P223,IF(MIERCOLES!C223="peso_corporal",IF(ISNUMBER(MIERCOLES!E223),MIERCOLES!E223,0)+MIERCOLES!R223,MIERCOLES!R223)*MIERCOLES!S223),1),""))</f>
        <v/>
      </c>
      <c r="K602" s="51" t="str">
        <f>IF(P602="","",IFERROR(ROUND(CHOOSE(VALUE(RIGHT(P602,1)),(IF(MIERCOLES!C223="peso_corporal",IF(ISNUMBER(MIERCOLES!E223),MIERCOLES!E223,0)+MIERCOLES!F223,MIERCOLES!F223))*(1+MIERCOLES!G223/30),(IF(MIERCOLES!C223="peso_corporal",IF(ISNUMBER(MIERCOLES!E223),MIERCOLES!E223,0)+MIERCOLES!I223,MIERCOLES!I223))*(1+MIERCOLES!J223/30),(IF(MIERCOLES!C223="peso_corporal",IF(ISNUMBER(MIERCOLES!E223),MIERCOLES!E223,0)+MIERCOLES!L223,MIERCOLES!L223))*(1+MIERCOLES!M223/30),(IF(MIERCOLES!C223="peso_corporal",IF(ISNUMBER(MIERCOLES!E223),MIERCOLES!E223,0)+MIERCOLES!O223,MIERCOLES!O223))*(1+MIERCOLES!P223/30),(IF(MIERCOLES!C223="peso_corporal",IF(ISNUMBER(MIERCOLES!E223),MIERCOLES!E223,0)+MIERCOLES!R223,MIERCOLES!R223))*(1+MIERCOLES!S223/30)),1),""))</f>
        <v/>
      </c>
      <c r="L602" s="52">
        <f>IFERROR(MIERCOLES!E223,"")</f>
        <v>80</v>
      </c>
      <c r="M602" s="53" t="str">
        <f>IFERROR(IF(K602="","-",IF(ISNUMBER(LOOKUP(2,1/((HISTORIAL!$O$3:$O$601=O602)*(HISTORIAL!$F$3:$F$601&lt;&gt;"")),HISTORIAL!$K$3:$K$601)),IF(K602&gt;LOOKUP(2,1/((HISTORIAL!$O$3:$O$601=O602)*(HISTORIAL!$F$3:$F$601&lt;&gt;"")),HISTORIAL!$K$3:$K$601),"^",IF(K602&lt;LOOKUP(2,1/((HISTORIAL!$O$3:$O$601=O602)*(HISTORIAL!$F$3:$F$601&lt;&gt;"")),HISTORIAL!$K$3:$K$601),"v","-")),"-")),"-")</f>
        <v>-</v>
      </c>
      <c r="N602" s="54" t="str">
        <f>IFERROR(VLOOKUP(A602,CONFIG!$A$10:$B$21,2,0),"")</f>
        <v>HIP</v>
      </c>
      <c r="O602" s="55" t="str">
        <f t="shared" si="19"/>
        <v>Peso Muerto Parcial|Barra</v>
      </c>
      <c r="P602" s="69" t="str">
        <f>MIERCOLES!AC223</f>
        <v/>
      </c>
    </row>
    <row r="603" spans="1:16" ht="14.1" customHeight="1">
      <c r="A603" s="37">
        <v>10</v>
      </c>
      <c r="B603" s="37" t="s">
        <v>279</v>
      </c>
      <c r="C603" s="44" t="str">
        <f>MIERCOLES!$A$225</f>
        <v>Crunch</v>
      </c>
      <c r="D603" s="45" t="str">
        <f>MIERCOLES!$B$225</f>
        <v>Polea</v>
      </c>
      <c r="E603" s="37" t="str">
        <f>MIERCOLES!$C$225</f>
        <v>polea</v>
      </c>
      <c r="F603" s="46" t="str">
        <f>IF(P603="","",IFERROR(CHOOSE(VALUE(RIGHT(P603,1)),MIERCOLES!F225,MIERCOLES!I225,MIERCOLES!L225,MIERCOLES!O225,MIERCOLES!R225),""))</f>
        <v/>
      </c>
      <c r="G603" s="47" t="str">
        <f>IF(P603="","",IFERROR(CHOOSE(VALUE(RIGHT(P603,1)),MIERCOLES!G225,MIERCOLES!J225,MIERCOLES!M225,MIERCOLES!P225,MIERCOLES!S225),""))</f>
        <v/>
      </c>
      <c r="H603" s="48" t="str">
        <f>IF(P603="","",IFERROR(CHOOSE(VALUE(RIGHT(P603,1)),MIERCOLES!H225,MIERCOLES!K225,MIERCOLES!N225,MIERCOLES!Q225,MIERCOLES!T225),""))</f>
        <v/>
      </c>
      <c r="I603" s="49" t="str">
        <f t="shared" si="18"/>
        <v/>
      </c>
      <c r="J603" s="50" t="str">
        <f>IF(P603="","",IFERROR(ROUND(CHOOSE(VALUE(RIGHT(P603,1)),IF(MIERCOLES!C225="peso_corporal",IF(ISNUMBER(MIERCOLES!E225),MIERCOLES!E225,0)+MIERCOLES!F225,MIERCOLES!F225)*MIERCOLES!G225,IF(MIERCOLES!C225="peso_corporal",IF(ISNUMBER(MIERCOLES!E225),MIERCOLES!E225,0)+MIERCOLES!I225,MIERCOLES!I225)*MIERCOLES!J225,IF(MIERCOLES!C225="peso_corporal",IF(ISNUMBER(MIERCOLES!E225),MIERCOLES!E225,0)+MIERCOLES!L225,MIERCOLES!L225)*MIERCOLES!M225,IF(MIERCOLES!C225="peso_corporal",IF(ISNUMBER(MIERCOLES!E225),MIERCOLES!E225,0)+MIERCOLES!O225,MIERCOLES!O225)*MIERCOLES!P225,IF(MIERCOLES!C225="peso_corporal",IF(ISNUMBER(MIERCOLES!E225),MIERCOLES!E225,0)+MIERCOLES!R225,MIERCOLES!R225)*MIERCOLES!S225),1),""))</f>
        <v/>
      </c>
      <c r="K603" s="51" t="str">
        <f>IF(P603="","",IFERROR(ROUND(CHOOSE(VALUE(RIGHT(P603,1)),(IF(MIERCOLES!C225="peso_corporal",IF(ISNUMBER(MIERCOLES!E225),MIERCOLES!E225,0)+MIERCOLES!F225,MIERCOLES!F225))*(1+MIERCOLES!G225/30),(IF(MIERCOLES!C225="peso_corporal",IF(ISNUMBER(MIERCOLES!E225),MIERCOLES!E225,0)+MIERCOLES!I225,MIERCOLES!I225))*(1+MIERCOLES!J225/30),(IF(MIERCOLES!C225="peso_corporal",IF(ISNUMBER(MIERCOLES!E225),MIERCOLES!E225,0)+MIERCOLES!L225,MIERCOLES!L225))*(1+MIERCOLES!M225/30),(IF(MIERCOLES!C225="peso_corporal",IF(ISNUMBER(MIERCOLES!E225),MIERCOLES!E225,0)+MIERCOLES!O225,MIERCOLES!O225))*(1+MIERCOLES!P225/30),(IF(MIERCOLES!C225="peso_corporal",IF(ISNUMBER(MIERCOLES!E225),MIERCOLES!E225,0)+MIERCOLES!R225,MIERCOLES!R225))*(1+MIERCOLES!S225/30)),1),""))</f>
        <v/>
      </c>
      <c r="L603" s="52">
        <f>IFERROR(MIERCOLES!E225,"")</f>
        <v>80</v>
      </c>
      <c r="M603" s="53" t="str">
        <f>IFERROR(IF(K603="","-",IF(ISNUMBER(LOOKUP(2,1/((HISTORIAL!$O$3:$O$602=O603)*(HISTORIAL!$F$3:$F$602&lt;&gt;"")),HISTORIAL!$K$3:$K$602)),IF(K603&gt;LOOKUP(2,1/((HISTORIAL!$O$3:$O$602=O603)*(HISTORIAL!$F$3:$F$602&lt;&gt;"")),HISTORIAL!$K$3:$K$602),"^",IF(K603&lt;LOOKUP(2,1/((HISTORIAL!$O$3:$O$602=O603)*(HISTORIAL!$F$3:$F$602&lt;&gt;"")),HISTORIAL!$K$3:$K$602),"v","-")),"-")),"-")</f>
        <v>-</v>
      </c>
      <c r="N603" s="54" t="str">
        <f>IFERROR(VLOOKUP(A603,CONFIG!$A$10:$B$21,2,0),"")</f>
        <v>HIP</v>
      </c>
      <c r="O603" s="55" t="str">
        <f t="shared" si="19"/>
        <v>Crunch|Polea</v>
      </c>
      <c r="P603" s="69" t="str">
        <f>MIERCOLES!AC225</f>
        <v/>
      </c>
    </row>
    <row r="604" spans="1:16" ht="14.1" customHeight="1">
      <c r="A604" s="37">
        <v>10</v>
      </c>
      <c r="B604" s="37" t="s">
        <v>279</v>
      </c>
      <c r="C604" s="44" t="str">
        <f>MIERCOLES!$A$226</f>
        <v>Plancha</v>
      </c>
      <c r="D604" s="45" t="str">
        <f>MIERCOLES!$B$226</f>
        <v>Abdominal</v>
      </c>
      <c r="E604" s="37" t="str">
        <f>MIERCOLES!$C$226</f>
        <v>--</v>
      </c>
      <c r="F604" s="46" t="str">
        <f>IF(P604="","",IFERROR(CHOOSE(VALUE(RIGHT(P604,1)),MIERCOLES!F226,MIERCOLES!I226,MIERCOLES!L226,MIERCOLES!O226,MIERCOLES!R226),""))</f>
        <v/>
      </c>
      <c r="G604" s="47" t="str">
        <f>IF(P604="","",IFERROR(CHOOSE(VALUE(RIGHT(P604,1)),MIERCOLES!G226,MIERCOLES!J226,MIERCOLES!M226,MIERCOLES!P226,MIERCOLES!S226),""))</f>
        <v/>
      </c>
      <c r="H604" s="48" t="str">
        <f>IF(P604="","",IFERROR(CHOOSE(VALUE(RIGHT(P604,1)),MIERCOLES!H226,MIERCOLES!K226,MIERCOLES!N226,MIERCOLES!Q226,MIERCOLES!T226),""))</f>
        <v/>
      </c>
      <c r="I604" s="49" t="str">
        <f t="shared" si="18"/>
        <v/>
      </c>
      <c r="J604" s="50" t="str">
        <f>IF(P604="","",IFERROR(ROUND(CHOOSE(VALUE(RIGHT(P604,1)),IF(MIERCOLES!C226="peso_corporal",IF(ISNUMBER(MIERCOLES!E226),MIERCOLES!E226,0)+MIERCOLES!F226,MIERCOLES!F226)*MIERCOLES!G226,IF(MIERCOLES!C226="peso_corporal",IF(ISNUMBER(MIERCOLES!E226),MIERCOLES!E226,0)+MIERCOLES!I226,MIERCOLES!I226)*MIERCOLES!J226,IF(MIERCOLES!C226="peso_corporal",IF(ISNUMBER(MIERCOLES!E226),MIERCOLES!E226,0)+MIERCOLES!L226,MIERCOLES!L226)*MIERCOLES!M226,IF(MIERCOLES!C226="peso_corporal",IF(ISNUMBER(MIERCOLES!E226),MIERCOLES!E226,0)+MIERCOLES!O226,MIERCOLES!O226)*MIERCOLES!P226,IF(MIERCOLES!C226="peso_corporal",IF(ISNUMBER(MIERCOLES!E226),MIERCOLES!E226,0)+MIERCOLES!R226,MIERCOLES!R226)*MIERCOLES!S226),1),""))</f>
        <v/>
      </c>
      <c r="K604" s="51" t="str">
        <f>IF(P604="","",IFERROR(ROUND(CHOOSE(VALUE(RIGHT(P604,1)),(IF(MIERCOLES!C226="peso_corporal",IF(ISNUMBER(MIERCOLES!E226),MIERCOLES!E226,0)+MIERCOLES!F226,MIERCOLES!F226))*(1+MIERCOLES!G226/30),(IF(MIERCOLES!C226="peso_corporal",IF(ISNUMBER(MIERCOLES!E226),MIERCOLES!E226,0)+MIERCOLES!I226,MIERCOLES!I226))*(1+MIERCOLES!J226/30),(IF(MIERCOLES!C226="peso_corporal",IF(ISNUMBER(MIERCOLES!E226),MIERCOLES!E226,0)+MIERCOLES!L226,MIERCOLES!L226))*(1+MIERCOLES!M226/30),(IF(MIERCOLES!C226="peso_corporal",IF(ISNUMBER(MIERCOLES!E226),MIERCOLES!E226,0)+MIERCOLES!O226,MIERCOLES!O226))*(1+MIERCOLES!P226/30),(IF(MIERCOLES!C226="peso_corporal",IF(ISNUMBER(MIERCOLES!E226),MIERCOLES!E226,0)+MIERCOLES!R226,MIERCOLES!R226))*(1+MIERCOLES!S226/30)),1),""))</f>
        <v/>
      </c>
      <c r="L604" s="52">
        <f>IFERROR(MIERCOLES!E226,"")</f>
        <v>80</v>
      </c>
      <c r="M604" s="53" t="str">
        <f>IFERROR(IF(K604="","-",IF(ISNUMBER(LOOKUP(2,1/((HISTORIAL!$O$3:$O$603=O604)*(HISTORIAL!$F$3:$F$603&lt;&gt;"")),HISTORIAL!$K$3:$K$603)),IF(K604&gt;LOOKUP(2,1/((HISTORIAL!$O$3:$O$603=O604)*(HISTORIAL!$F$3:$F$603&lt;&gt;"")),HISTORIAL!$K$3:$K$603),"^",IF(K604&lt;LOOKUP(2,1/((HISTORIAL!$O$3:$O$603=O604)*(HISTORIAL!$F$3:$F$603&lt;&gt;"")),HISTORIAL!$K$3:$K$603),"v","-")),"-")),"-")</f>
        <v>-</v>
      </c>
      <c r="N604" s="54" t="str">
        <f>IFERROR(VLOOKUP(A604,CONFIG!$A$10:$B$21,2,0),"")</f>
        <v>HIP</v>
      </c>
      <c r="O604" s="55" t="str">
        <f t="shared" si="19"/>
        <v>Plancha|Abdominal</v>
      </c>
      <c r="P604" s="69" t="str">
        <f>MIERCOLES!AC226</f>
        <v/>
      </c>
    </row>
    <row r="605" spans="1:16" ht="14.1" customHeight="1">
      <c r="A605" s="37">
        <v>10</v>
      </c>
      <c r="B605" s="37" t="s">
        <v>279</v>
      </c>
      <c r="C605" s="44" t="str">
        <f>MIERCOLES!$A$227</f>
        <v>Rueda Abdominal</v>
      </c>
      <c r="D605" s="45" t="str">
        <f>MIERCOLES!$B$227</f>
        <v>Ab Wheel</v>
      </c>
      <c r="E605" s="37" t="str">
        <f>MIERCOLES!$C$227</f>
        <v>--</v>
      </c>
      <c r="F605" s="46" t="str">
        <f>IF(P605="","",IFERROR(CHOOSE(VALUE(RIGHT(P605,1)),MIERCOLES!F227,MIERCOLES!I227,MIERCOLES!L227,MIERCOLES!O227,MIERCOLES!R227),""))</f>
        <v/>
      </c>
      <c r="G605" s="47" t="str">
        <f>IF(P605="","",IFERROR(CHOOSE(VALUE(RIGHT(P605,1)),MIERCOLES!G227,MIERCOLES!J227,MIERCOLES!M227,MIERCOLES!P227,MIERCOLES!S227),""))</f>
        <v/>
      </c>
      <c r="H605" s="48" t="str">
        <f>IF(P605="","",IFERROR(CHOOSE(VALUE(RIGHT(P605,1)),MIERCOLES!H227,MIERCOLES!K227,MIERCOLES!N227,MIERCOLES!Q227,MIERCOLES!T227),""))</f>
        <v/>
      </c>
      <c r="I605" s="49" t="str">
        <f t="shared" si="18"/>
        <v/>
      </c>
      <c r="J605" s="50" t="str">
        <f>IF(P605="","",IFERROR(ROUND(CHOOSE(VALUE(RIGHT(P605,1)),IF(MIERCOLES!C227="peso_corporal",IF(ISNUMBER(MIERCOLES!E227),MIERCOLES!E227,0)+MIERCOLES!F227,MIERCOLES!F227)*MIERCOLES!G227,IF(MIERCOLES!C227="peso_corporal",IF(ISNUMBER(MIERCOLES!E227),MIERCOLES!E227,0)+MIERCOLES!I227,MIERCOLES!I227)*MIERCOLES!J227,IF(MIERCOLES!C227="peso_corporal",IF(ISNUMBER(MIERCOLES!E227),MIERCOLES!E227,0)+MIERCOLES!L227,MIERCOLES!L227)*MIERCOLES!M227,IF(MIERCOLES!C227="peso_corporal",IF(ISNUMBER(MIERCOLES!E227),MIERCOLES!E227,0)+MIERCOLES!O227,MIERCOLES!O227)*MIERCOLES!P227,IF(MIERCOLES!C227="peso_corporal",IF(ISNUMBER(MIERCOLES!E227),MIERCOLES!E227,0)+MIERCOLES!R227,MIERCOLES!R227)*MIERCOLES!S227),1),""))</f>
        <v/>
      </c>
      <c r="K605" s="51" t="str">
        <f>IF(P605="","",IFERROR(ROUND(CHOOSE(VALUE(RIGHT(P605,1)),(IF(MIERCOLES!C227="peso_corporal",IF(ISNUMBER(MIERCOLES!E227),MIERCOLES!E227,0)+MIERCOLES!F227,MIERCOLES!F227))*(1+MIERCOLES!G227/30),(IF(MIERCOLES!C227="peso_corporal",IF(ISNUMBER(MIERCOLES!E227),MIERCOLES!E227,0)+MIERCOLES!I227,MIERCOLES!I227))*(1+MIERCOLES!J227/30),(IF(MIERCOLES!C227="peso_corporal",IF(ISNUMBER(MIERCOLES!E227),MIERCOLES!E227,0)+MIERCOLES!L227,MIERCOLES!L227))*(1+MIERCOLES!M227/30),(IF(MIERCOLES!C227="peso_corporal",IF(ISNUMBER(MIERCOLES!E227),MIERCOLES!E227,0)+MIERCOLES!O227,MIERCOLES!O227))*(1+MIERCOLES!P227/30),(IF(MIERCOLES!C227="peso_corporal",IF(ISNUMBER(MIERCOLES!E227),MIERCOLES!E227,0)+MIERCOLES!R227,MIERCOLES!R227))*(1+MIERCOLES!S227/30)),1),""))</f>
        <v/>
      </c>
      <c r="L605" s="52">
        <f>IFERROR(MIERCOLES!E227,"")</f>
        <v>80</v>
      </c>
      <c r="M605" s="53" t="str">
        <f>IFERROR(IF(K605="","-",IF(ISNUMBER(LOOKUP(2,1/((HISTORIAL!$O$3:$O$604=O605)*(HISTORIAL!$F$3:$F$604&lt;&gt;"")),HISTORIAL!$K$3:$K$604)),IF(K605&gt;LOOKUP(2,1/((HISTORIAL!$O$3:$O$604=O605)*(HISTORIAL!$F$3:$F$604&lt;&gt;"")),HISTORIAL!$K$3:$K$604),"^",IF(K605&lt;LOOKUP(2,1/((HISTORIAL!$O$3:$O$604=O605)*(HISTORIAL!$F$3:$F$604&lt;&gt;"")),HISTORIAL!$K$3:$K$604),"v","-")),"-")),"-")</f>
        <v>-</v>
      </c>
      <c r="N605" s="54" t="str">
        <f>IFERROR(VLOOKUP(A605,CONFIG!$A$10:$B$21,2,0),"")</f>
        <v>HIP</v>
      </c>
      <c r="O605" s="55" t="str">
        <f t="shared" si="19"/>
        <v>Rueda Abdominal|Ab Wheel</v>
      </c>
      <c r="P605" s="69" t="str">
        <f>MIERCOLES!AC227</f>
        <v/>
      </c>
    </row>
    <row r="606" spans="1:16" ht="14.1" customHeight="1">
      <c r="A606" s="37">
        <v>10</v>
      </c>
      <c r="B606" s="37" t="s">
        <v>279</v>
      </c>
      <c r="C606" s="44" t="str">
        <f>MIERCOLES!$A$228</f>
        <v>Elevacion Piernas</v>
      </c>
      <c r="D606" s="45" t="str">
        <f>MIERCOLES!$B$228</f>
        <v>Colgado</v>
      </c>
      <c r="E606" s="37" t="str">
        <f>MIERCOLES!$C$228</f>
        <v>peso_corporal</v>
      </c>
      <c r="F606" s="46" t="str">
        <f>IF(P606="","",IFERROR(CHOOSE(VALUE(RIGHT(P606,1)),MIERCOLES!F228,MIERCOLES!I228,MIERCOLES!L228,MIERCOLES!O228,MIERCOLES!R228),""))</f>
        <v/>
      </c>
      <c r="G606" s="47" t="str">
        <f>IF(P606="","",IFERROR(CHOOSE(VALUE(RIGHT(P606,1)),MIERCOLES!G228,MIERCOLES!J228,MIERCOLES!M228,MIERCOLES!P228,MIERCOLES!S228),""))</f>
        <v/>
      </c>
      <c r="H606" s="48" t="str">
        <f>IF(P606="","",IFERROR(CHOOSE(VALUE(RIGHT(P606,1)),MIERCOLES!H228,MIERCOLES!K228,MIERCOLES!N228,MIERCOLES!Q228,MIERCOLES!T228),""))</f>
        <v/>
      </c>
      <c r="I606" s="49" t="str">
        <f t="shared" si="18"/>
        <v/>
      </c>
      <c r="J606" s="50" t="str">
        <f>IF(P606="","",IFERROR(ROUND(CHOOSE(VALUE(RIGHT(P606,1)),IF(MIERCOLES!C228="peso_corporal",IF(ISNUMBER(MIERCOLES!E228),MIERCOLES!E228,0)+MIERCOLES!F228,MIERCOLES!F228)*MIERCOLES!G228,IF(MIERCOLES!C228="peso_corporal",IF(ISNUMBER(MIERCOLES!E228),MIERCOLES!E228,0)+MIERCOLES!I228,MIERCOLES!I228)*MIERCOLES!J228,IF(MIERCOLES!C228="peso_corporal",IF(ISNUMBER(MIERCOLES!E228),MIERCOLES!E228,0)+MIERCOLES!L228,MIERCOLES!L228)*MIERCOLES!M228,IF(MIERCOLES!C228="peso_corporal",IF(ISNUMBER(MIERCOLES!E228),MIERCOLES!E228,0)+MIERCOLES!O228,MIERCOLES!O228)*MIERCOLES!P228,IF(MIERCOLES!C228="peso_corporal",IF(ISNUMBER(MIERCOLES!E228),MIERCOLES!E228,0)+MIERCOLES!R228,MIERCOLES!R228)*MIERCOLES!S228),1),""))</f>
        <v/>
      </c>
      <c r="K606" s="51" t="str">
        <f>IF(P606="","",IFERROR(ROUND(CHOOSE(VALUE(RIGHT(P606,1)),(IF(MIERCOLES!C228="peso_corporal",IF(ISNUMBER(MIERCOLES!E228),MIERCOLES!E228,0)+MIERCOLES!F228,MIERCOLES!F228))*(1+MIERCOLES!G228/30),(IF(MIERCOLES!C228="peso_corporal",IF(ISNUMBER(MIERCOLES!E228),MIERCOLES!E228,0)+MIERCOLES!I228,MIERCOLES!I228))*(1+MIERCOLES!J228/30),(IF(MIERCOLES!C228="peso_corporal",IF(ISNUMBER(MIERCOLES!E228),MIERCOLES!E228,0)+MIERCOLES!L228,MIERCOLES!L228))*(1+MIERCOLES!M228/30),(IF(MIERCOLES!C228="peso_corporal",IF(ISNUMBER(MIERCOLES!E228),MIERCOLES!E228,0)+MIERCOLES!O228,MIERCOLES!O228))*(1+MIERCOLES!P228/30),(IF(MIERCOLES!C228="peso_corporal",IF(ISNUMBER(MIERCOLES!E228),MIERCOLES!E228,0)+MIERCOLES!R228,MIERCOLES!R228))*(1+MIERCOLES!S228/30)),1),""))</f>
        <v/>
      </c>
      <c r="L606" s="52">
        <f>IFERROR(MIERCOLES!E228,"")</f>
        <v>80</v>
      </c>
      <c r="M606" s="53" t="str">
        <f>IFERROR(IF(K606="","-",IF(ISNUMBER(LOOKUP(2,1/((HISTORIAL!$O$3:$O$605=O606)*(HISTORIAL!$F$3:$F$605&lt;&gt;"")),HISTORIAL!$K$3:$K$605)),IF(K606&gt;LOOKUP(2,1/((HISTORIAL!$O$3:$O$605=O606)*(HISTORIAL!$F$3:$F$605&lt;&gt;"")),HISTORIAL!$K$3:$K$605),"^",IF(K606&lt;LOOKUP(2,1/((HISTORIAL!$O$3:$O$605=O606)*(HISTORIAL!$F$3:$F$605&lt;&gt;"")),HISTORIAL!$K$3:$K$605),"v","-")),"-")),"-")</f>
        <v>-</v>
      </c>
      <c r="N606" s="54" t="str">
        <f>IFERROR(VLOOKUP(A606,CONFIG!$A$10:$B$21,2,0),"")</f>
        <v>HIP</v>
      </c>
      <c r="O606" s="55" t="str">
        <f t="shared" si="19"/>
        <v>Elevacion Piernas|Colgado</v>
      </c>
      <c r="P606" s="69" t="str">
        <f>MIERCOLES!AC228</f>
        <v/>
      </c>
    </row>
    <row r="607" spans="1:16" ht="14.1" customHeight="1">
      <c r="A607" s="37">
        <v>10</v>
      </c>
      <c r="B607" s="37" t="s">
        <v>280</v>
      </c>
      <c r="C607" s="44" t="str">
        <f>JUEVES!$A$237</f>
        <v>Press Militar</v>
      </c>
      <c r="D607" s="45" t="str">
        <f>JUEVES!$B$237</f>
        <v>Multipower</v>
      </c>
      <c r="E607" s="37" t="str">
        <f>JUEVES!$C$237</f>
        <v>--</v>
      </c>
      <c r="F607" s="46" t="str">
        <f>IF(P607="","",IFERROR(CHOOSE(VALUE(RIGHT(P607,1)),JUEVES!F237,JUEVES!I237,JUEVES!L237,JUEVES!O237,JUEVES!R237),""))</f>
        <v/>
      </c>
      <c r="G607" s="47" t="str">
        <f>IF(P607="","",IFERROR(CHOOSE(VALUE(RIGHT(P607,1)),JUEVES!G237,JUEVES!J237,JUEVES!M237,JUEVES!P237,JUEVES!S237),""))</f>
        <v/>
      </c>
      <c r="H607" s="48" t="str">
        <f>IF(P607="","",IFERROR(CHOOSE(VALUE(RIGHT(P607,1)),JUEVES!H237,JUEVES!K237,JUEVES!N237,JUEVES!Q237,JUEVES!T237),""))</f>
        <v/>
      </c>
      <c r="I607" s="49" t="str">
        <f t="shared" si="18"/>
        <v/>
      </c>
      <c r="J607" s="50" t="str">
        <f>IF(P607="","",IFERROR(ROUND(CHOOSE(VALUE(RIGHT(P607,1)),IF(JUEVES!C237="peso_corporal",IF(ISNUMBER(JUEVES!E237),JUEVES!E237,0)+JUEVES!F237,JUEVES!F237)*JUEVES!G237,IF(JUEVES!C237="peso_corporal",IF(ISNUMBER(JUEVES!E237),JUEVES!E237,0)+JUEVES!I237,JUEVES!I237)*JUEVES!J237,IF(JUEVES!C237="peso_corporal",IF(ISNUMBER(JUEVES!E237),JUEVES!E237,0)+JUEVES!L237,JUEVES!L237)*JUEVES!M237,IF(JUEVES!C237="peso_corporal",IF(ISNUMBER(JUEVES!E237),JUEVES!E237,0)+JUEVES!O237,JUEVES!O237)*JUEVES!P237,IF(JUEVES!C237="peso_corporal",IF(ISNUMBER(JUEVES!E237),JUEVES!E237,0)+JUEVES!R237,JUEVES!R237)*JUEVES!S237),1),""))</f>
        <v/>
      </c>
      <c r="K607" s="51" t="str">
        <f>IF(P607="","",IFERROR(ROUND(CHOOSE(VALUE(RIGHT(P607,1)),(IF(JUEVES!C237="peso_corporal",IF(ISNUMBER(JUEVES!E237),JUEVES!E237,0)+JUEVES!F237,JUEVES!F237))*(1+JUEVES!G237/30),(IF(JUEVES!C237="peso_corporal",IF(ISNUMBER(JUEVES!E237),JUEVES!E237,0)+JUEVES!I237,JUEVES!I237))*(1+JUEVES!J237/30),(IF(JUEVES!C237="peso_corporal",IF(ISNUMBER(JUEVES!E237),JUEVES!E237,0)+JUEVES!L237,JUEVES!L237))*(1+JUEVES!M237/30),(IF(JUEVES!C237="peso_corporal",IF(ISNUMBER(JUEVES!E237),JUEVES!E237,0)+JUEVES!O237,JUEVES!O237))*(1+JUEVES!P237/30),(IF(JUEVES!C237="peso_corporal",IF(ISNUMBER(JUEVES!E237),JUEVES!E237,0)+JUEVES!R237,JUEVES!R237))*(1+JUEVES!S237/30)),1),""))</f>
        <v/>
      </c>
      <c r="L607" s="52">
        <f>IFERROR(JUEVES!E237,"")</f>
        <v>80</v>
      </c>
      <c r="M607" s="53" t="str">
        <f>IFERROR(IF(K607="","-",IF(ISNUMBER(LOOKUP(2,1/((HISTORIAL!$O$3:$O$606=O607)*(HISTORIAL!$F$3:$F$606&lt;&gt;"")),HISTORIAL!$K$3:$K$606)),IF(K607&gt;LOOKUP(2,1/((HISTORIAL!$O$3:$O$606=O607)*(HISTORIAL!$F$3:$F$606&lt;&gt;"")),HISTORIAL!$K$3:$K$606),"^",IF(K607&lt;LOOKUP(2,1/((HISTORIAL!$O$3:$O$606=O607)*(HISTORIAL!$F$3:$F$606&lt;&gt;"")),HISTORIAL!$K$3:$K$606),"v","-")),"-")),"-")</f>
        <v>-</v>
      </c>
      <c r="N607" s="54" t="str">
        <f>IFERROR(VLOOKUP(A607,CONFIG!$A$10:$B$21,2,0),"")</f>
        <v>HIP</v>
      </c>
      <c r="O607" s="55" t="str">
        <f t="shared" si="19"/>
        <v>Press Militar|Multipower</v>
      </c>
      <c r="P607" s="69" t="str">
        <f>JUEVES!AC237</f>
        <v/>
      </c>
    </row>
    <row r="608" spans="1:16" ht="14.1" customHeight="1">
      <c r="A608" s="37">
        <v>10</v>
      </c>
      <c r="B608" s="37" t="s">
        <v>280</v>
      </c>
      <c r="C608" s="44" t="str">
        <f>JUEVES!$A$238</f>
        <v>Elevaciones Laterales</v>
      </c>
      <c r="D608" s="45" t="str">
        <f>JUEVES!$B$238</f>
        <v>Drop Set Maquina</v>
      </c>
      <c r="E608" s="37" t="str">
        <f>JUEVES!$C$238</f>
        <v>--</v>
      </c>
      <c r="F608" s="46" t="str">
        <f>IF(P608="","",IFERROR(CHOOSE(VALUE(RIGHT(P608,1)),JUEVES!F238,JUEVES!I238,JUEVES!L238,JUEVES!O238,JUEVES!R238),""))</f>
        <v/>
      </c>
      <c r="G608" s="47" t="str">
        <f>IF(P608="","",IFERROR(CHOOSE(VALUE(RIGHT(P608,1)),JUEVES!G238,JUEVES!J238,JUEVES!M238,JUEVES!P238,JUEVES!S238),""))</f>
        <v/>
      </c>
      <c r="H608" s="48" t="str">
        <f>IF(P608="","",IFERROR(CHOOSE(VALUE(RIGHT(P608,1)),JUEVES!H238,JUEVES!K238,JUEVES!N238,JUEVES!Q238,JUEVES!T238),""))</f>
        <v/>
      </c>
      <c r="I608" s="49" t="str">
        <f t="shared" si="18"/>
        <v/>
      </c>
      <c r="J608" s="50" t="str">
        <f>IF(P608="","",IFERROR(ROUND(CHOOSE(VALUE(RIGHT(P608,1)),IF(JUEVES!C238="peso_corporal",IF(ISNUMBER(JUEVES!E238),JUEVES!E238,0)+JUEVES!F238,JUEVES!F238)*JUEVES!G238,IF(JUEVES!C238="peso_corporal",IF(ISNUMBER(JUEVES!E238),JUEVES!E238,0)+JUEVES!I238,JUEVES!I238)*JUEVES!J238,IF(JUEVES!C238="peso_corporal",IF(ISNUMBER(JUEVES!E238),JUEVES!E238,0)+JUEVES!L238,JUEVES!L238)*JUEVES!M238,IF(JUEVES!C238="peso_corporal",IF(ISNUMBER(JUEVES!E238),JUEVES!E238,0)+JUEVES!O238,JUEVES!O238)*JUEVES!P238,IF(JUEVES!C238="peso_corporal",IF(ISNUMBER(JUEVES!E238),JUEVES!E238,0)+JUEVES!R238,JUEVES!R238)*JUEVES!S238),1),""))</f>
        <v/>
      </c>
      <c r="K608" s="51" t="str">
        <f>IF(P608="","",IFERROR(ROUND(CHOOSE(VALUE(RIGHT(P608,1)),(IF(JUEVES!C238="peso_corporal",IF(ISNUMBER(JUEVES!E238),JUEVES!E238,0)+JUEVES!F238,JUEVES!F238))*(1+JUEVES!G238/30),(IF(JUEVES!C238="peso_corporal",IF(ISNUMBER(JUEVES!E238),JUEVES!E238,0)+JUEVES!I238,JUEVES!I238))*(1+JUEVES!J238/30),(IF(JUEVES!C238="peso_corporal",IF(ISNUMBER(JUEVES!E238),JUEVES!E238,0)+JUEVES!L238,JUEVES!L238))*(1+JUEVES!M238/30),(IF(JUEVES!C238="peso_corporal",IF(ISNUMBER(JUEVES!E238),JUEVES!E238,0)+JUEVES!O238,JUEVES!O238))*(1+JUEVES!P238/30),(IF(JUEVES!C238="peso_corporal",IF(ISNUMBER(JUEVES!E238),JUEVES!E238,0)+JUEVES!R238,JUEVES!R238))*(1+JUEVES!S238/30)),1),""))</f>
        <v/>
      </c>
      <c r="L608" s="52">
        <f>IFERROR(JUEVES!E238,"")</f>
        <v>80</v>
      </c>
      <c r="M608" s="53" t="str">
        <f>IFERROR(IF(K608="","-",IF(ISNUMBER(LOOKUP(2,1/((HISTORIAL!$O$3:$O$607=O608)*(HISTORIAL!$F$3:$F$607&lt;&gt;"")),HISTORIAL!$K$3:$K$607)),IF(K608&gt;LOOKUP(2,1/((HISTORIAL!$O$3:$O$607=O608)*(HISTORIAL!$F$3:$F$607&lt;&gt;"")),HISTORIAL!$K$3:$K$607),"^",IF(K608&lt;LOOKUP(2,1/((HISTORIAL!$O$3:$O$607=O608)*(HISTORIAL!$F$3:$F$607&lt;&gt;"")),HISTORIAL!$K$3:$K$607),"v","-")),"-")),"-")</f>
        <v>-</v>
      </c>
      <c r="N608" s="54" t="str">
        <f>IFERROR(VLOOKUP(A608,CONFIG!$A$10:$B$21,2,0),"")</f>
        <v>HIP</v>
      </c>
      <c r="O608" s="55" t="str">
        <f t="shared" si="19"/>
        <v>Elevaciones Laterales|Drop Set Maquina</v>
      </c>
      <c r="P608" s="69" t="str">
        <f>JUEVES!AC238</f>
        <v/>
      </c>
    </row>
    <row r="609" spans="1:16" ht="14.1" customHeight="1">
      <c r="A609" s="37">
        <v>10</v>
      </c>
      <c r="B609" s="37" t="s">
        <v>280</v>
      </c>
      <c r="C609" s="44" t="str">
        <f>JUEVES!$A$240</f>
        <v>Pajaro</v>
      </c>
      <c r="D609" s="45" t="str">
        <f>JUEVES!$B$240</f>
        <v>Elevacion Posterior</v>
      </c>
      <c r="E609" s="37" t="str">
        <f>JUEVES!$C$240</f>
        <v>mancuerna</v>
      </c>
      <c r="F609" s="46" t="str">
        <f>IF(P609="","",IFERROR(CHOOSE(VALUE(RIGHT(P609,1)),JUEVES!F240,JUEVES!I240,JUEVES!L240,JUEVES!O240,JUEVES!R240),""))</f>
        <v/>
      </c>
      <c r="G609" s="47" t="str">
        <f>IF(P609="","",IFERROR(CHOOSE(VALUE(RIGHT(P609,1)),JUEVES!G240,JUEVES!J240,JUEVES!M240,JUEVES!P240,JUEVES!S240),""))</f>
        <v/>
      </c>
      <c r="H609" s="48" t="str">
        <f>IF(P609="","",IFERROR(CHOOSE(VALUE(RIGHT(P609,1)),JUEVES!H240,JUEVES!K240,JUEVES!N240,JUEVES!Q240,JUEVES!T240),""))</f>
        <v/>
      </c>
      <c r="I609" s="49" t="str">
        <f t="shared" si="18"/>
        <v/>
      </c>
      <c r="J609" s="50" t="str">
        <f>IF(P609="","",IFERROR(ROUND(CHOOSE(VALUE(RIGHT(P609,1)),IF(JUEVES!C240="peso_corporal",IF(ISNUMBER(JUEVES!E240),JUEVES!E240,0)+JUEVES!F240,JUEVES!F240)*JUEVES!G240,IF(JUEVES!C240="peso_corporal",IF(ISNUMBER(JUEVES!E240),JUEVES!E240,0)+JUEVES!I240,JUEVES!I240)*JUEVES!J240,IF(JUEVES!C240="peso_corporal",IF(ISNUMBER(JUEVES!E240),JUEVES!E240,0)+JUEVES!L240,JUEVES!L240)*JUEVES!M240,IF(JUEVES!C240="peso_corporal",IF(ISNUMBER(JUEVES!E240),JUEVES!E240,0)+JUEVES!O240,JUEVES!O240)*JUEVES!P240,IF(JUEVES!C240="peso_corporal",IF(ISNUMBER(JUEVES!E240),JUEVES!E240,0)+JUEVES!R240,JUEVES!R240)*JUEVES!S240),1),""))</f>
        <v/>
      </c>
      <c r="K609" s="51" t="str">
        <f>IF(P609="","",IFERROR(ROUND(CHOOSE(VALUE(RIGHT(P609,1)),(IF(JUEVES!C240="peso_corporal",IF(ISNUMBER(JUEVES!E240),JUEVES!E240,0)+JUEVES!F240,JUEVES!F240))*(1+JUEVES!G240/30),(IF(JUEVES!C240="peso_corporal",IF(ISNUMBER(JUEVES!E240),JUEVES!E240,0)+JUEVES!I240,JUEVES!I240))*(1+JUEVES!J240/30),(IF(JUEVES!C240="peso_corporal",IF(ISNUMBER(JUEVES!E240),JUEVES!E240,0)+JUEVES!L240,JUEVES!L240))*(1+JUEVES!M240/30),(IF(JUEVES!C240="peso_corporal",IF(ISNUMBER(JUEVES!E240),JUEVES!E240,0)+JUEVES!O240,JUEVES!O240))*(1+JUEVES!P240/30),(IF(JUEVES!C240="peso_corporal",IF(ISNUMBER(JUEVES!E240),JUEVES!E240,0)+JUEVES!R240,JUEVES!R240))*(1+JUEVES!S240/30)),1),""))</f>
        <v/>
      </c>
      <c r="L609" s="52">
        <f>IFERROR(JUEVES!E240,"")</f>
        <v>80</v>
      </c>
      <c r="M609" s="53" t="str">
        <f>IFERROR(IF(K609="","-",IF(ISNUMBER(LOOKUP(2,1/((HISTORIAL!$O$3:$O$608=O609)*(HISTORIAL!$F$3:$F$608&lt;&gt;"")),HISTORIAL!$K$3:$K$608)),IF(K609&gt;LOOKUP(2,1/((HISTORIAL!$O$3:$O$608=O609)*(HISTORIAL!$F$3:$F$608&lt;&gt;"")),HISTORIAL!$K$3:$K$608),"^",IF(K609&lt;LOOKUP(2,1/((HISTORIAL!$O$3:$O$608=O609)*(HISTORIAL!$F$3:$F$608&lt;&gt;"")),HISTORIAL!$K$3:$K$608),"v","-")),"-")),"-")</f>
        <v>-</v>
      </c>
      <c r="N609" s="54" t="str">
        <f>IFERROR(VLOOKUP(A609,CONFIG!$A$10:$B$21,2,0),"")</f>
        <v>HIP</v>
      </c>
      <c r="O609" s="55" t="str">
        <f t="shared" si="19"/>
        <v>Pajaro|Elevacion Posterior</v>
      </c>
      <c r="P609" s="69" t="str">
        <f>JUEVES!AC240</f>
        <v/>
      </c>
    </row>
    <row r="610" spans="1:16" ht="14.1" customHeight="1">
      <c r="A610" s="37">
        <v>10</v>
      </c>
      <c r="B610" s="37" t="s">
        <v>280</v>
      </c>
      <c r="C610" s="44" t="str">
        <f>JUEVES!$A$241</f>
        <v>Peck Deck Invertida</v>
      </c>
      <c r="D610" s="45" t="str">
        <f>JUEVES!$B$241</f>
        <v>Maquina</v>
      </c>
      <c r="E610" s="37" t="str">
        <f>JUEVES!$C$241</f>
        <v>polea</v>
      </c>
      <c r="F610" s="46" t="str">
        <f>IF(P610="","",IFERROR(CHOOSE(VALUE(RIGHT(P610,1)),JUEVES!F241,JUEVES!I241,JUEVES!L241,JUEVES!O241,JUEVES!R241),""))</f>
        <v/>
      </c>
      <c r="G610" s="47" t="str">
        <f>IF(P610="","",IFERROR(CHOOSE(VALUE(RIGHT(P610,1)),JUEVES!G241,JUEVES!J241,JUEVES!M241,JUEVES!P241,JUEVES!S241),""))</f>
        <v/>
      </c>
      <c r="H610" s="48" t="str">
        <f>IF(P610="","",IFERROR(CHOOSE(VALUE(RIGHT(P610,1)),JUEVES!H241,JUEVES!K241,JUEVES!N241,JUEVES!Q241,JUEVES!T241),""))</f>
        <v/>
      </c>
      <c r="I610" s="49" t="str">
        <f t="shared" si="18"/>
        <v/>
      </c>
      <c r="J610" s="50" t="str">
        <f>IF(P610="","",IFERROR(ROUND(CHOOSE(VALUE(RIGHT(P610,1)),IF(JUEVES!C241="peso_corporal",IF(ISNUMBER(JUEVES!E241),JUEVES!E241,0)+JUEVES!F241,JUEVES!F241)*JUEVES!G241,IF(JUEVES!C241="peso_corporal",IF(ISNUMBER(JUEVES!E241),JUEVES!E241,0)+JUEVES!I241,JUEVES!I241)*JUEVES!J241,IF(JUEVES!C241="peso_corporal",IF(ISNUMBER(JUEVES!E241),JUEVES!E241,0)+JUEVES!L241,JUEVES!L241)*JUEVES!M241,IF(JUEVES!C241="peso_corporal",IF(ISNUMBER(JUEVES!E241),JUEVES!E241,0)+JUEVES!O241,JUEVES!O241)*JUEVES!P241,IF(JUEVES!C241="peso_corporal",IF(ISNUMBER(JUEVES!E241),JUEVES!E241,0)+JUEVES!R241,JUEVES!R241)*JUEVES!S241),1),""))</f>
        <v/>
      </c>
      <c r="K610" s="51" t="str">
        <f>IF(P610="","",IFERROR(ROUND(CHOOSE(VALUE(RIGHT(P610,1)),(IF(JUEVES!C241="peso_corporal",IF(ISNUMBER(JUEVES!E241),JUEVES!E241,0)+JUEVES!F241,JUEVES!F241))*(1+JUEVES!G241/30),(IF(JUEVES!C241="peso_corporal",IF(ISNUMBER(JUEVES!E241),JUEVES!E241,0)+JUEVES!I241,JUEVES!I241))*(1+JUEVES!J241/30),(IF(JUEVES!C241="peso_corporal",IF(ISNUMBER(JUEVES!E241),JUEVES!E241,0)+JUEVES!L241,JUEVES!L241))*(1+JUEVES!M241/30),(IF(JUEVES!C241="peso_corporal",IF(ISNUMBER(JUEVES!E241),JUEVES!E241,0)+JUEVES!O241,JUEVES!O241))*(1+JUEVES!P241/30),(IF(JUEVES!C241="peso_corporal",IF(ISNUMBER(JUEVES!E241),JUEVES!E241,0)+JUEVES!R241,JUEVES!R241))*(1+JUEVES!S241/30)),1),""))</f>
        <v/>
      </c>
      <c r="L610" s="52">
        <f>IFERROR(JUEVES!E241,"")</f>
        <v>80</v>
      </c>
      <c r="M610" s="53" t="str">
        <f>IFERROR(IF(K610="","-",IF(ISNUMBER(LOOKUP(2,1/((HISTORIAL!$O$3:$O$609=O610)*(HISTORIAL!$F$3:$F$609&lt;&gt;"")),HISTORIAL!$K$3:$K$609)),IF(K610&gt;LOOKUP(2,1/((HISTORIAL!$O$3:$O$609=O610)*(HISTORIAL!$F$3:$F$609&lt;&gt;"")),HISTORIAL!$K$3:$K$609),"^",IF(K610&lt;LOOKUP(2,1/((HISTORIAL!$O$3:$O$609=O610)*(HISTORIAL!$F$3:$F$609&lt;&gt;"")),HISTORIAL!$K$3:$K$609),"v","-")),"-")),"-")</f>
        <v>-</v>
      </c>
      <c r="N610" s="54" t="str">
        <f>IFERROR(VLOOKUP(A610,CONFIG!$A$10:$B$21,2,0),"")</f>
        <v>HIP</v>
      </c>
      <c r="O610" s="55" t="str">
        <f t="shared" si="19"/>
        <v>Peck Deck Invertida|Maquina</v>
      </c>
      <c r="P610" s="69" t="str">
        <f>JUEVES!AC241</f>
        <v/>
      </c>
    </row>
    <row r="611" spans="1:16" ht="14.1" customHeight="1">
      <c r="A611" s="37">
        <v>10</v>
      </c>
      <c r="B611" s="37" t="s">
        <v>280</v>
      </c>
      <c r="C611" s="44" t="str">
        <f>JUEVES!$A$242</f>
        <v>Elevaciones Posteriores</v>
      </c>
      <c r="D611" s="45" t="str">
        <f>JUEVES!$B$242</f>
        <v>Polea Individual</v>
      </c>
      <c r="E611" s="37" t="str">
        <f>JUEVES!$C$242</f>
        <v>polea</v>
      </c>
      <c r="F611" s="46" t="str">
        <f>IF(P611="","",IFERROR(CHOOSE(VALUE(RIGHT(P611,1)),JUEVES!F242,JUEVES!I242,JUEVES!L242,JUEVES!O242,JUEVES!R242),""))</f>
        <v/>
      </c>
      <c r="G611" s="47" t="str">
        <f>IF(P611="","",IFERROR(CHOOSE(VALUE(RIGHT(P611,1)),JUEVES!G242,JUEVES!J242,JUEVES!M242,JUEVES!P242,JUEVES!S242),""))</f>
        <v/>
      </c>
      <c r="H611" s="48" t="str">
        <f>IF(P611="","",IFERROR(CHOOSE(VALUE(RIGHT(P611,1)),JUEVES!H242,JUEVES!K242,JUEVES!N242,JUEVES!Q242,JUEVES!T242),""))</f>
        <v/>
      </c>
      <c r="I611" s="49" t="str">
        <f t="shared" si="18"/>
        <v/>
      </c>
      <c r="J611" s="50" t="str">
        <f>IF(P611="","",IFERROR(ROUND(CHOOSE(VALUE(RIGHT(P611,1)),IF(JUEVES!C242="peso_corporal",IF(ISNUMBER(JUEVES!E242),JUEVES!E242,0)+JUEVES!F242,JUEVES!F242)*JUEVES!G242,IF(JUEVES!C242="peso_corporal",IF(ISNUMBER(JUEVES!E242),JUEVES!E242,0)+JUEVES!I242,JUEVES!I242)*JUEVES!J242,IF(JUEVES!C242="peso_corporal",IF(ISNUMBER(JUEVES!E242),JUEVES!E242,0)+JUEVES!L242,JUEVES!L242)*JUEVES!M242,IF(JUEVES!C242="peso_corporal",IF(ISNUMBER(JUEVES!E242),JUEVES!E242,0)+JUEVES!O242,JUEVES!O242)*JUEVES!P242,IF(JUEVES!C242="peso_corporal",IF(ISNUMBER(JUEVES!E242),JUEVES!E242,0)+JUEVES!R242,JUEVES!R242)*JUEVES!S242),1),""))</f>
        <v/>
      </c>
      <c r="K611" s="51" t="str">
        <f>IF(P611="","",IFERROR(ROUND(CHOOSE(VALUE(RIGHT(P611,1)),(IF(JUEVES!C242="peso_corporal",IF(ISNUMBER(JUEVES!E242),JUEVES!E242,0)+JUEVES!F242,JUEVES!F242))*(1+JUEVES!G242/30),(IF(JUEVES!C242="peso_corporal",IF(ISNUMBER(JUEVES!E242),JUEVES!E242,0)+JUEVES!I242,JUEVES!I242))*(1+JUEVES!J242/30),(IF(JUEVES!C242="peso_corporal",IF(ISNUMBER(JUEVES!E242),JUEVES!E242,0)+JUEVES!L242,JUEVES!L242))*(1+JUEVES!M242/30),(IF(JUEVES!C242="peso_corporal",IF(ISNUMBER(JUEVES!E242),JUEVES!E242,0)+JUEVES!O242,JUEVES!O242))*(1+JUEVES!P242/30),(IF(JUEVES!C242="peso_corporal",IF(ISNUMBER(JUEVES!E242),JUEVES!E242,0)+JUEVES!R242,JUEVES!R242))*(1+JUEVES!S242/30)),1),""))</f>
        <v/>
      </c>
      <c r="L611" s="52">
        <f>IFERROR(JUEVES!E242,"")</f>
        <v>80</v>
      </c>
      <c r="M611" s="53" t="str">
        <f>IFERROR(IF(K611="","-",IF(ISNUMBER(LOOKUP(2,1/((HISTORIAL!$O$3:$O$610=O611)*(HISTORIAL!$F$3:$F$610&lt;&gt;"")),HISTORIAL!$K$3:$K$610)),IF(K611&gt;LOOKUP(2,1/((HISTORIAL!$O$3:$O$610=O611)*(HISTORIAL!$F$3:$F$610&lt;&gt;"")),HISTORIAL!$K$3:$K$610),"^",IF(K611&lt;LOOKUP(2,1/((HISTORIAL!$O$3:$O$610=O611)*(HISTORIAL!$F$3:$F$610&lt;&gt;"")),HISTORIAL!$K$3:$K$610),"v","-")),"-")),"-")</f>
        <v>-</v>
      </c>
      <c r="N611" s="54" t="str">
        <f>IFERROR(VLOOKUP(A611,CONFIG!$A$10:$B$21,2,0),"")</f>
        <v>HIP</v>
      </c>
      <c r="O611" s="55" t="str">
        <f t="shared" si="19"/>
        <v>Elevaciones Posteriores|Polea Individual</v>
      </c>
      <c r="P611" s="69" t="str">
        <f>JUEVES!AC242</f>
        <v/>
      </c>
    </row>
    <row r="612" spans="1:16" ht="14.1" customHeight="1">
      <c r="A612" s="37">
        <v>10</v>
      </c>
      <c r="B612" s="37" t="s">
        <v>280</v>
      </c>
      <c r="C612" s="44" t="str">
        <f>JUEVES!$A$245</f>
        <v>Press Plano</v>
      </c>
      <c r="D612" s="45" t="str">
        <f>JUEVES!$B$245</f>
        <v>Mancuernas</v>
      </c>
      <c r="E612" s="37" t="str">
        <f>JUEVES!$C$245</f>
        <v>mancuerna</v>
      </c>
      <c r="F612" s="46" t="str">
        <f>IF(P612="","",IFERROR(CHOOSE(VALUE(RIGHT(P612,1)),JUEVES!F245,JUEVES!I245,JUEVES!L245,JUEVES!O245,JUEVES!R245),""))</f>
        <v/>
      </c>
      <c r="G612" s="47" t="str">
        <f>IF(P612="","",IFERROR(CHOOSE(VALUE(RIGHT(P612,1)),JUEVES!G245,JUEVES!J245,JUEVES!M245,JUEVES!P245,JUEVES!S245),""))</f>
        <v/>
      </c>
      <c r="H612" s="48" t="str">
        <f>IF(P612="","",IFERROR(CHOOSE(VALUE(RIGHT(P612,1)),JUEVES!H245,JUEVES!K245,JUEVES!N245,JUEVES!Q245,JUEVES!T245),""))</f>
        <v/>
      </c>
      <c r="I612" s="49" t="str">
        <f t="shared" si="18"/>
        <v/>
      </c>
      <c r="J612" s="50" t="str">
        <f>IF(P612="","",IFERROR(ROUND(CHOOSE(VALUE(RIGHT(P612,1)),IF(JUEVES!C245="peso_corporal",IF(ISNUMBER(JUEVES!E245),JUEVES!E245,0)+JUEVES!F245,JUEVES!F245)*JUEVES!G245,IF(JUEVES!C245="peso_corporal",IF(ISNUMBER(JUEVES!E245),JUEVES!E245,0)+JUEVES!I245,JUEVES!I245)*JUEVES!J245,IF(JUEVES!C245="peso_corporal",IF(ISNUMBER(JUEVES!E245),JUEVES!E245,0)+JUEVES!L245,JUEVES!L245)*JUEVES!M245,IF(JUEVES!C245="peso_corporal",IF(ISNUMBER(JUEVES!E245),JUEVES!E245,0)+JUEVES!O245,JUEVES!O245)*JUEVES!P245,IF(JUEVES!C245="peso_corporal",IF(ISNUMBER(JUEVES!E245),JUEVES!E245,0)+JUEVES!R245,JUEVES!R245)*JUEVES!S245),1),""))</f>
        <v/>
      </c>
      <c r="K612" s="51" t="str">
        <f>IF(P612="","",IFERROR(ROUND(CHOOSE(VALUE(RIGHT(P612,1)),(IF(JUEVES!C245="peso_corporal",IF(ISNUMBER(JUEVES!E245),JUEVES!E245,0)+JUEVES!F245,JUEVES!F245))*(1+JUEVES!G245/30),(IF(JUEVES!C245="peso_corporal",IF(ISNUMBER(JUEVES!E245),JUEVES!E245,0)+JUEVES!I245,JUEVES!I245))*(1+JUEVES!J245/30),(IF(JUEVES!C245="peso_corporal",IF(ISNUMBER(JUEVES!E245),JUEVES!E245,0)+JUEVES!L245,JUEVES!L245))*(1+JUEVES!M245/30),(IF(JUEVES!C245="peso_corporal",IF(ISNUMBER(JUEVES!E245),JUEVES!E245,0)+JUEVES!O245,JUEVES!O245))*(1+JUEVES!P245/30),(IF(JUEVES!C245="peso_corporal",IF(ISNUMBER(JUEVES!E245),JUEVES!E245,0)+JUEVES!R245,JUEVES!R245))*(1+JUEVES!S245/30)),1),""))</f>
        <v/>
      </c>
      <c r="L612" s="52">
        <f>IFERROR(JUEVES!E245,"")</f>
        <v>80</v>
      </c>
      <c r="M612" s="53" t="str">
        <f>IFERROR(IF(K612="","-",IF(ISNUMBER(LOOKUP(2,1/((HISTORIAL!$O$3:$O$611=O612)*(HISTORIAL!$F$3:$F$611&lt;&gt;"")),HISTORIAL!$K$3:$K$611)),IF(K612&gt;LOOKUP(2,1/((HISTORIAL!$O$3:$O$611=O612)*(HISTORIAL!$F$3:$F$611&lt;&gt;"")),HISTORIAL!$K$3:$K$611),"^",IF(K612&lt;LOOKUP(2,1/((HISTORIAL!$O$3:$O$611=O612)*(HISTORIAL!$F$3:$F$611&lt;&gt;"")),HISTORIAL!$K$3:$K$611),"v","-")),"-")),"-")</f>
        <v>-</v>
      </c>
      <c r="N612" s="54" t="str">
        <f>IFERROR(VLOOKUP(A612,CONFIG!$A$10:$B$21,2,0),"")</f>
        <v>HIP</v>
      </c>
      <c r="O612" s="55" t="str">
        <f t="shared" si="19"/>
        <v>Press Plano|Mancuernas</v>
      </c>
      <c r="P612" s="69" t="str">
        <f>JUEVES!AC245</f>
        <v/>
      </c>
    </row>
    <row r="613" spans="1:16" ht="14.1" customHeight="1">
      <c r="A613" s="37">
        <v>10</v>
      </c>
      <c r="B613" s="37" t="s">
        <v>280</v>
      </c>
      <c r="C613" s="44" t="str">
        <f>JUEVES!$A$247</f>
        <v>Press Inclinado</v>
      </c>
      <c r="D613" s="45" t="str">
        <f>JUEVES!$B$247</f>
        <v>Multipower</v>
      </c>
      <c r="E613" s="37" t="str">
        <f>JUEVES!$C$247</f>
        <v>disco</v>
      </c>
      <c r="F613" s="46" t="str">
        <f>IF(P613="","",IFERROR(CHOOSE(VALUE(RIGHT(P613,1)),JUEVES!F247,JUEVES!I247,JUEVES!L247,JUEVES!O247,JUEVES!R247),""))</f>
        <v/>
      </c>
      <c r="G613" s="47" t="str">
        <f>IF(P613="","",IFERROR(CHOOSE(VALUE(RIGHT(P613,1)),JUEVES!G247,JUEVES!J247,JUEVES!M247,JUEVES!P247,JUEVES!S247),""))</f>
        <v/>
      </c>
      <c r="H613" s="48" t="str">
        <f>IF(P613="","",IFERROR(CHOOSE(VALUE(RIGHT(P613,1)),JUEVES!H247,JUEVES!K247,JUEVES!N247,JUEVES!Q247,JUEVES!T247),""))</f>
        <v/>
      </c>
      <c r="I613" s="49" t="str">
        <f t="shared" si="18"/>
        <v/>
      </c>
      <c r="J613" s="50" t="str">
        <f>IF(P613="","",IFERROR(ROUND(CHOOSE(VALUE(RIGHT(P613,1)),IF(JUEVES!C247="peso_corporal",IF(ISNUMBER(JUEVES!E247),JUEVES!E247,0)+JUEVES!F247,JUEVES!F247)*JUEVES!G247,IF(JUEVES!C247="peso_corporal",IF(ISNUMBER(JUEVES!E247),JUEVES!E247,0)+JUEVES!I247,JUEVES!I247)*JUEVES!J247,IF(JUEVES!C247="peso_corporal",IF(ISNUMBER(JUEVES!E247),JUEVES!E247,0)+JUEVES!L247,JUEVES!L247)*JUEVES!M247,IF(JUEVES!C247="peso_corporal",IF(ISNUMBER(JUEVES!E247),JUEVES!E247,0)+JUEVES!O247,JUEVES!O247)*JUEVES!P247,IF(JUEVES!C247="peso_corporal",IF(ISNUMBER(JUEVES!E247),JUEVES!E247,0)+JUEVES!R247,JUEVES!R247)*JUEVES!S247),1),""))</f>
        <v/>
      </c>
      <c r="K613" s="51" t="str">
        <f>IF(P613="","",IFERROR(ROUND(CHOOSE(VALUE(RIGHT(P613,1)),(IF(JUEVES!C247="peso_corporal",IF(ISNUMBER(JUEVES!E247),JUEVES!E247,0)+JUEVES!F247,JUEVES!F247))*(1+JUEVES!G247/30),(IF(JUEVES!C247="peso_corporal",IF(ISNUMBER(JUEVES!E247),JUEVES!E247,0)+JUEVES!I247,JUEVES!I247))*(1+JUEVES!J247/30),(IF(JUEVES!C247="peso_corporal",IF(ISNUMBER(JUEVES!E247),JUEVES!E247,0)+JUEVES!L247,JUEVES!L247))*(1+JUEVES!M247/30),(IF(JUEVES!C247="peso_corporal",IF(ISNUMBER(JUEVES!E247),JUEVES!E247,0)+JUEVES!O247,JUEVES!O247))*(1+JUEVES!P247/30),(IF(JUEVES!C247="peso_corporal",IF(ISNUMBER(JUEVES!E247),JUEVES!E247,0)+JUEVES!R247,JUEVES!R247))*(1+JUEVES!S247/30)),1),""))</f>
        <v/>
      </c>
      <c r="L613" s="52">
        <f>IFERROR(JUEVES!E247,"")</f>
        <v>80</v>
      </c>
      <c r="M613" s="53" t="str">
        <f>IFERROR(IF(K613="","-",IF(ISNUMBER(LOOKUP(2,1/((HISTORIAL!$O$3:$O$612=O613)*(HISTORIAL!$F$3:$F$612&lt;&gt;"")),HISTORIAL!$K$3:$K$612)),IF(K613&gt;LOOKUP(2,1/((HISTORIAL!$O$3:$O$612=O613)*(HISTORIAL!$F$3:$F$612&lt;&gt;"")),HISTORIAL!$K$3:$K$612),"^",IF(K613&lt;LOOKUP(2,1/((HISTORIAL!$O$3:$O$612=O613)*(HISTORIAL!$F$3:$F$612&lt;&gt;"")),HISTORIAL!$K$3:$K$612),"v","-")),"-")),"-")</f>
        <v>-</v>
      </c>
      <c r="N613" s="54" t="str">
        <f>IFERROR(VLOOKUP(A613,CONFIG!$A$10:$B$21,2,0),"")</f>
        <v>HIP</v>
      </c>
      <c r="O613" s="55" t="str">
        <f t="shared" si="19"/>
        <v>Press Inclinado|Multipower</v>
      </c>
      <c r="P613" s="69" t="str">
        <f>JUEVES!AC247</f>
        <v/>
      </c>
    </row>
    <row r="614" spans="1:16" ht="14.1" customHeight="1">
      <c r="A614" s="37">
        <v>10</v>
      </c>
      <c r="B614" s="37" t="s">
        <v>280</v>
      </c>
      <c r="C614" s="44" t="str">
        <f>JUEVES!$A$249</f>
        <v>Aperturas</v>
      </c>
      <c r="D614" s="45" t="str">
        <f>JUEVES!$B$249</f>
        <v>Pec Deck Maquina</v>
      </c>
      <c r="E614" s="37" t="str">
        <f>JUEVES!$C$249</f>
        <v>--</v>
      </c>
      <c r="F614" s="46" t="str">
        <f>IF(P614="","",IFERROR(CHOOSE(VALUE(RIGHT(P614,1)),JUEVES!F249,JUEVES!I249,JUEVES!L249,JUEVES!O249,JUEVES!R249),""))</f>
        <v/>
      </c>
      <c r="G614" s="47" t="str">
        <f>IF(P614="","",IFERROR(CHOOSE(VALUE(RIGHT(P614,1)),JUEVES!G249,JUEVES!J249,JUEVES!M249,JUEVES!P249,JUEVES!S249),""))</f>
        <v/>
      </c>
      <c r="H614" s="48" t="str">
        <f>IF(P614="","",IFERROR(CHOOSE(VALUE(RIGHT(P614,1)),JUEVES!H249,JUEVES!K249,JUEVES!N249,JUEVES!Q249,JUEVES!T249),""))</f>
        <v/>
      </c>
      <c r="I614" s="49" t="str">
        <f t="shared" si="18"/>
        <v/>
      </c>
      <c r="J614" s="50" t="str">
        <f>IF(P614="","",IFERROR(ROUND(CHOOSE(VALUE(RIGHT(P614,1)),IF(JUEVES!C249="peso_corporal",IF(ISNUMBER(JUEVES!E249),JUEVES!E249,0)+JUEVES!F249,JUEVES!F249)*JUEVES!G249,IF(JUEVES!C249="peso_corporal",IF(ISNUMBER(JUEVES!E249),JUEVES!E249,0)+JUEVES!I249,JUEVES!I249)*JUEVES!J249,IF(JUEVES!C249="peso_corporal",IF(ISNUMBER(JUEVES!E249),JUEVES!E249,0)+JUEVES!L249,JUEVES!L249)*JUEVES!M249,IF(JUEVES!C249="peso_corporal",IF(ISNUMBER(JUEVES!E249),JUEVES!E249,0)+JUEVES!O249,JUEVES!O249)*JUEVES!P249,IF(JUEVES!C249="peso_corporal",IF(ISNUMBER(JUEVES!E249),JUEVES!E249,0)+JUEVES!R249,JUEVES!R249)*JUEVES!S249),1),""))</f>
        <v/>
      </c>
      <c r="K614" s="51" t="str">
        <f>IF(P614="","",IFERROR(ROUND(CHOOSE(VALUE(RIGHT(P614,1)),(IF(JUEVES!C249="peso_corporal",IF(ISNUMBER(JUEVES!E249),JUEVES!E249,0)+JUEVES!F249,JUEVES!F249))*(1+JUEVES!G249/30),(IF(JUEVES!C249="peso_corporal",IF(ISNUMBER(JUEVES!E249),JUEVES!E249,0)+JUEVES!I249,JUEVES!I249))*(1+JUEVES!J249/30),(IF(JUEVES!C249="peso_corporal",IF(ISNUMBER(JUEVES!E249),JUEVES!E249,0)+JUEVES!L249,JUEVES!L249))*(1+JUEVES!M249/30),(IF(JUEVES!C249="peso_corporal",IF(ISNUMBER(JUEVES!E249),JUEVES!E249,0)+JUEVES!O249,JUEVES!O249))*(1+JUEVES!P249/30),(IF(JUEVES!C249="peso_corporal",IF(ISNUMBER(JUEVES!E249),JUEVES!E249,0)+JUEVES!R249,JUEVES!R249))*(1+JUEVES!S249/30)),1),""))</f>
        <v/>
      </c>
      <c r="L614" s="52">
        <f>IFERROR(JUEVES!E249,"")</f>
        <v>80</v>
      </c>
      <c r="M614" s="53" t="str">
        <f>IFERROR(IF(K614="","-",IF(ISNUMBER(LOOKUP(2,1/((HISTORIAL!$O$3:$O$613=O614)*(HISTORIAL!$F$3:$F$613&lt;&gt;"")),HISTORIAL!$K$3:$K$613)),IF(K614&gt;LOOKUP(2,1/((HISTORIAL!$O$3:$O$613=O614)*(HISTORIAL!$F$3:$F$613&lt;&gt;"")),HISTORIAL!$K$3:$K$613),"^",IF(K614&lt;LOOKUP(2,1/((HISTORIAL!$O$3:$O$613=O614)*(HISTORIAL!$F$3:$F$613&lt;&gt;"")),HISTORIAL!$K$3:$K$613),"v","-")),"-")),"-")</f>
        <v>-</v>
      </c>
      <c r="N614" s="54" t="str">
        <f>IFERROR(VLOOKUP(A614,CONFIG!$A$10:$B$21,2,0),"")</f>
        <v>HIP</v>
      </c>
      <c r="O614" s="55" t="str">
        <f t="shared" si="19"/>
        <v>Aperturas|Pec Deck Maquina</v>
      </c>
      <c r="P614" s="69" t="str">
        <f>JUEVES!AC249</f>
        <v/>
      </c>
    </row>
    <row r="615" spans="1:16" ht="14.1" customHeight="1">
      <c r="A615" s="37">
        <v>10</v>
      </c>
      <c r="B615" s="37" t="s">
        <v>280</v>
      </c>
      <c r="C615" s="44" t="str">
        <f>JUEVES!$A$251</f>
        <v>Press Polea</v>
      </c>
      <c r="D615" s="45" t="str">
        <f>JUEVES!$B$251</f>
        <v>Barra Recta Diagonal Arriba</v>
      </c>
      <c r="E615" s="37" t="str">
        <f>JUEVES!$C$251</f>
        <v>polea</v>
      </c>
      <c r="F615" s="46" t="str">
        <f>IF(P615="","",IFERROR(CHOOSE(VALUE(RIGHT(P615,1)),JUEVES!F251,JUEVES!I251,JUEVES!L251,JUEVES!O251,JUEVES!R251),""))</f>
        <v/>
      </c>
      <c r="G615" s="47" t="str">
        <f>IF(P615="","",IFERROR(CHOOSE(VALUE(RIGHT(P615,1)),JUEVES!G251,JUEVES!J251,JUEVES!M251,JUEVES!P251,JUEVES!S251),""))</f>
        <v/>
      </c>
      <c r="H615" s="48" t="str">
        <f>IF(P615="","",IFERROR(CHOOSE(VALUE(RIGHT(P615,1)),JUEVES!H251,JUEVES!K251,JUEVES!N251,JUEVES!Q251,JUEVES!T251),""))</f>
        <v/>
      </c>
      <c r="I615" s="49" t="str">
        <f t="shared" si="18"/>
        <v/>
      </c>
      <c r="J615" s="50" t="str">
        <f>IF(P615="","",IFERROR(ROUND(CHOOSE(VALUE(RIGHT(P615,1)),IF(JUEVES!C251="peso_corporal",IF(ISNUMBER(JUEVES!E251),JUEVES!E251,0)+JUEVES!F251,JUEVES!F251)*JUEVES!G251,IF(JUEVES!C251="peso_corporal",IF(ISNUMBER(JUEVES!E251),JUEVES!E251,0)+JUEVES!I251,JUEVES!I251)*JUEVES!J251,IF(JUEVES!C251="peso_corporal",IF(ISNUMBER(JUEVES!E251),JUEVES!E251,0)+JUEVES!L251,JUEVES!L251)*JUEVES!M251,IF(JUEVES!C251="peso_corporal",IF(ISNUMBER(JUEVES!E251),JUEVES!E251,0)+JUEVES!O251,JUEVES!O251)*JUEVES!P251,IF(JUEVES!C251="peso_corporal",IF(ISNUMBER(JUEVES!E251),JUEVES!E251,0)+JUEVES!R251,JUEVES!R251)*JUEVES!S251),1),""))</f>
        <v/>
      </c>
      <c r="K615" s="51" t="str">
        <f>IF(P615="","",IFERROR(ROUND(CHOOSE(VALUE(RIGHT(P615,1)),(IF(JUEVES!C251="peso_corporal",IF(ISNUMBER(JUEVES!E251),JUEVES!E251,0)+JUEVES!F251,JUEVES!F251))*(1+JUEVES!G251/30),(IF(JUEVES!C251="peso_corporal",IF(ISNUMBER(JUEVES!E251),JUEVES!E251,0)+JUEVES!I251,JUEVES!I251))*(1+JUEVES!J251/30),(IF(JUEVES!C251="peso_corporal",IF(ISNUMBER(JUEVES!E251),JUEVES!E251,0)+JUEVES!L251,JUEVES!L251))*(1+JUEVES!M251/30),(IF(JUEVES!C251="peso_corporal",IF(ISNUMBER(JUEVES!E251),JUEVES!E251,0)+JUEVES!O251,JUEVES!O251))*(1+JUEVES!P251/30),(IF(JUEVES!C251="peso_corporal",IF(ISNUMBER(JUEVES!E251),JUEVES!E251,0)+JUEVES!R251,JUEVES!R251))*(1+JUEVES!S251/30)),1),""))</f>
        <v/>
      </c>
      <c r="L615" s="52">
        <f>IFERROR(JUEVES!E251,"")</f>
        <v>80</v>
      </c>
      <c r="M615" s="53" t="str">
        <f>IFERROR(IF(K615="","-",IF(ISNUMBER(LOOKUP(2,1/((HISTORIAL!$O$3:$O$614=O615)*(HISTORIAL!$F$3:$F$614&lt;&gt;"")),HISTORIAL!$K$3:$K$614)),IF(K615&gt;LOOKUP(2,1/((HISTORIAL!$O$3:$O$614=O615)*(HISTORIAL!$F$3:$F$614&lt;&gt;"")),HISTORIAL!$K$3:$K$614),"^",IF(K615&lt;LOOKUP(2,1/((HISTORIAL!$O$3:$O$614=O615)*(HISTORIAL!$F$3:$F$614&lt;&gt;"")),HISTORIAL!$K$3:$K$614),"v","-")),"-")),"-")</f>
        <v>-</v>
      </c>
      <c r="N615" s="54" t="str">
        <f>IFERROR(VLOOKUP(A615,CONFIG!$A$10:$B$21,2,0),"")</f>
        <v>HIP</v>
      </c>
      <c r="O615" s="55" t="str">
        <f t="shared" si="19"/>
        <v>Press Polea|Barra Recta Diagonal Arriba</v>
      </c>
      <c r="P615" s="69" t="str">
        <f>JUEVES!AC251</f>
        <v/>
      </c>
    </row>
    <row r="616" spans="1:16" ht="14.1" customHeight="1">
      <c r="A616" s="37">
        <v>10</v>
      </c>
      <c r="B616" s="37" t="s">
        <v>280</v>
      </c>
      <c r="C616" s="44" t="str">
        <f>JUEVES!$A$252</f>
        <v>Extension Triceps</v>
      </c>
      <c r="D616" s="45" t="str">
        <f>JUEVES!$B$252</f>
        <v>Polea Sobre Cabeza</v>
      </c>
      <c r="E616" s="37" t="str">
        <f>JUEVES!$C$252</f>
        <v>--</v>
      </c>
      <c r="F616" s="46" t="str">
        <f>IF(P616="","",IFERROR(CHOOSE(VALUE(RIGHT(P616,1)),JUEVES!F252,JUEVES!I252,JUEVES!L252,JUEVES!O252,JUEVES!R252),""))</f>
        <v/>
      </c>
      <c r="G616" s="47" t="str">
        <f>IF(P616="","",IFERROR(CHOOSE(VALUE(RIGHT(P616,1)),JUEVES!G252,JUEVES!J252,JUEVES!M252,JUEVES!P252,JUEVES!S252),""))</f>
        <v/>
      </c>
      <c r="H616" s="48" t="str">
        <f>IF(P616="","",IFERROR(CHOOSE(VALUE(RIGHT(P616,1)),JUEVES!H252,JUEVES!K252,JUEVES!N252,JUEVES!Q252,JUEVES!T252),""))</f>
        <v/>
      </c>
      <c r="I616" s="49" t="str">
        <f t="shared" si="18"/>
        <v/>
      </c>
      <c r="J616" s="50" t="str">
        <f>IF(P616="","",IFERROR(ROUND(CHOOSE(VALUE(RIGHT(P616,1)),IF(JUEVES!C252="peso_corporal",IF(ISNUMBER(JUEVES!E252),JUEVES!E252,0)+JUEVES!F252,JUEVES!F252)*JUEVES!G252,IF(JUEVES!C252="peso_corporal",IF(ISNUMBER(JUEVES!E252),JUEVES!E252,0)+JUEVES!I252,JUEVES!I252)*JUEVES!J252,IF(JUEVES!C252="peso_corporal",IF(ISNUMBER(JUEVES!E252),JUEVES!E252,0)+JUEVES!L252,JUEVES!L252)*JUEVES!M252,IF(JUEVES!C252="peso_corporal",IF(ISNUMBER(JUEVES!E252),JUEVES!E252,0)+JUEVES!O252,JUEVES!O252)*JUEVES!P252,IF(JUEVES!C252="peso_corporal",IF(ISNUMBER(JUEVES!E252),JUEVES!E252,0)+JUEVES!R252,JUEVES!R252)*JUEVES!S252),1),""))</f>
        <v/>
      </c>
      <c r="K616" s="51" t="str">
        <f>IF(P616="","",IFERROR(ROUND(CHOOSE(VALUE(RIGHT(P616,1)),(IF(JUEVES!C252="peso_corporal",IF(ISNUMBER(JUEVES!E252),JUEVES!E252,0)+JUEVES!F252,JUEVES!F252))*(1+JUEVES!G252/30),(IF(JUEVES!C252="peso_corporal",IF(ISNUMBER(JUEVES!E252),JUEVES!E252,0)+JUEVES!I252,JUEVES!I252))*(1+JUEVES!J252/30),(IF(JUEVES!C252="peso_corporal",IF(ISNUMBER(JUEVES!E252),JUEVES!E252,0)+JUEVES!L252,JUEVES!L252))*(1+JUEVES!M252/30),(IF(JUEVES!C252="peso_corporal",IF(ISNUMBER(JUEVES!E252),JUEVES!E252,0)+JUEVES!O252,JUEVES!O252))*(1+JUEVES!P252/30),(IF(JUEVES!C252="peso_corporal",IF(ISNUMBER(JUEVES!E252),JUEVES!E252,0)+JUEVES!R252,JUEVES!R252))*(1+JUEVES!S252/30)),1),""))</f>
        <v/>
      </c>
      <c r="L616" s="52">
        <f>IFERROR(JUEVES!E252,"")</f>
        <v>80</v>
      </c>
      <c r="M616" s="53" t="str">
        <f>IFERROR(IF(K616="","-",IF(ISNUMBER(LOOKUP(2,1/((HISTORIAL!$O$3:$O$615=O616)*(HISTORIAL!$F$3:$F$615&lt;&gt;"")),HISTORIAL!$K$3:$K$615)),IF(K616&gt;LOOKUP(2,1/((HISTORIAL!$O$3:$O$615=O616)*(HISTORIAL!$F$3:$F$615&lt;&gt;"")),HISTORIAL!$K$3:$K$615),"^",IF(K616&lt;LOOKUP(2,1/((HISTORIAL!$O$3:$O$615=O616)*(HISTORIAL!$F$3:$F$615&lt;&gt;"")),HISTORIAL!$K$3:$K$615),"v","-")),"-")),"-")</f>
        <v>-</v>
      </c>
      <c r="N616" s="54" t="str">
        <f>IFERROR(VLOOKUP(A616,CONFIG!$A$10:$B$21,2,0),"")</f>
        <v>HIP</v>
      </c>
      <c r="O616" s="55" t="str">
        <f t="shared" si="19"/>
        <v>Extension Triceps|Polea Sobre Cabeza</v>
      </c>
      <c r="P616" s="69" t="str">
        <f>JUEVES!AC252</f>
        <v/>
      </c>
    </row>
    <row r="617" spans="1:16" ht="14.1" customHeight="1">
      <c r="A617" s="37">
        <v>10</v>
      </c>
      <c r="B617" s="37" t="s">
        <v>280</v>
      </c>
      <c r="C617" s="44" t="str">
        <f>JUEVES!$A$254</f>
        <v>Extension Cuadriceps</v>
      </c>
      <c r="D617" s="45" t="str">
        <f>JUEVES!$B$254</f>
        <v>Vasto Interno</v>
      </c>
      <c r="E617" s="37" t="str">
        <f>JUEVES!$C$254</f>
        <v>--</v>
      </c>
      <c r="F617" s="46" t="str">
        <f>IF(P617="","",IFERROR(CHOOSE(VALUE(RIGHT(P617,1)),JUEVES!F254,JUEVES!I254,JUEVES!L254,JUEVES!O254,JUEVES!R254),""))</f>
        <v/>
      </c>
      <c r="G617" s="47" t="str">
        <f>IF(P617="","",IFERROR(CHOOSE(VALUE(RIGHT(P617,1)),JUEVES!G254,JUEVES!J254,JUEVES!M254,JUEVES!P254,JUEVES!S254),""))</f>
        <v/>
      </c>
      <c r="H617" s="48" t="str">
        <f>IF(P617="","",IFERROR(CHOOSE(VALUE(RIGHT(P617,1)),JUEVES!H254,JUEVES!K254,JUEVES!N254,JUEVES!Q254,JUEVES!T254),""))</f>
        <v/>
      </c>
      <c r="I617" s="49" t="str">
        <f t="shared" si="18"/>
        <v/>
      </c>
      <c r="J617" s="50" t="str">
        <f>IF(P617="","",IFERROR(ROUND(CHOOSE(VALUE(RIGHT(P617,1)),IF(JUEVES!C254="peso_corporal",IF(ISNUMBER(JUEVES!E254),JUEVES!E254,0)+JUEVES!F254,JUEVES!F254)*JUEVES!G254,IF(JUEVES!C254="peso_corporal",IF(ISNUMBER(JUEVES!E254),JUEVES!E254,0)+JUEVES!I254,JUEVES!I254)*JUEVES!J254,IF(JUEVES!C254="peso_corporal",IF(ISNUMBER(JUEVES!E254),JUEVES!E254,0)+JUEVES!L254,JUEVES!L254)*JUEVES!M254,IF(JUEVES!C254="peso_corporal",IF(ISNUMBER(JUEVES!E254),JUEVES!E254,0)+JUEVES!O254,JUEVES!O254)*JUEVES!P254,IF(JUEVES!C254="peso_corporal",IF(ISNUMBER(JUEVES!E254),JUEVES!E254,0)+JUEVES!R254,JUEVES!R254)*JUEVES!S254),1),""))</f>
        <v/>
      </c>
      <c r="K617" s="51" t="str">
        <f>IF(P617="","",IFERROR(ROUND(CHOOSE(VALUE(RIGHT(P617,1)),(IF(JUEVES!C254="peso_corporal",IF(ISNUMBER(JUEVES!E254),JUEVES!E254,0)+JUEVES!F254,JUEVES!F254))*(1+JUEVES!G254/30),(IF(JUEVES!C254="peso_corporal",IF(ISNUMBER(JUEVES!E254),JUEVES!E254,0)+JUEVES!I254,JUEVES!I254))*(1+JUEVES!J254/30),(IF(JUEVES!C254="peso_corporal",IF(ISNUMBER(JUEVES!E254),JUEVES!E254,0)+JUEVES!L254,JUEVES!L254))*(1+JUEVES!M254/30),(IF(JUEVES!C254="peso_corporal",IF(ISNUMBER(JUEVES!E254),JUEVES!E254,0)+JUEVES!O254,JUEVES!O254))*(1+JUEVES!P254/30),(IF(JUEVES!C254="peso_corporal",IF(ISNUMBER(JUEVES!E254),JUEVES!E254,0)+JUEVES!R254,JUEVES!R254))*(1+JUEVES!S254/30)),1),""))</f>
        <v/>
      </c>
      <c r="L617" s="52">
        <f>IFERROR(JUEVES!E254,"")</f>
        <v>80</v>
      </c>
      <c r="M617" s="53" t="str">
        <f>IFERROR(IF(K617="","-",IF(ISNUMBER(LOOKUP(2,1/((HISTORIAL!$O$3:$O$616=O617)*(HISTORIAL!$F$3:$F$616&lt;&gt;"")),HISTORIAL!$K$3:$K$616)),IF(K617&gt;LOOKUP(2,1/((HISTORIAL!$O$3:$O$616=O617)*(HISTORIAL!$F$3:$F$616&lt;&gt;"")),HISTORIAL!$K$3:$K$616),"^",IF(K617&lt;LOOKUP(2,1/((HISTORIAL!$O$3:$O$616=O617)*(HISTORIAL!$F$3:$F$616&lt;&gt;"")),HISTORIAL!$K$3:$K$616),"v","-")),"-")),"-")</f>
        <v>-</v>
      </c>
      <c r="N617" s="54" t="str">
        <f>IFERROR(VLOOKUP(A617,CONFIG!$A$10:$B$21,2,0),"")</f>
        <v>HIP</v>
      </c>
      <c r="O617" s="55" t="str">
        <f t="shared" si="19"/>
        <v>Extension Cuadriceps|Vasto Interno</v>
      </c>
      <c r="P617" s="69" t="str">
        <f>JUEVES!AC254</f>
        <v/>
      </c>
    </row>
    <row r="618" spans="1:16" ht="14.1" customHeight="1">
      <c r="A618" s="37">
        <v>10</v>
      </c>
      <c r="B618" s="37" t="s">
        <v>280</v>
      </c>
      <c r="C618" s="44" t="str">
        <f>JUEVES!$A$256</f>
        <v>Curl Biceps</v>
      </c>
      <c r="D618" s="45" t="str">
        <f>JUEVES!$B$256</f>
        <v>Concentrado Maquina</v>
      </c>
      <c r="E618" s="37" t="str">
        <f>JUEVES!$C$256</f>
        <v>polea</v>
      </c>
      <c r="F618" s="46" t="str">
        <f>IF(P618="","",IFERROR(CHOOSE(VALUE(RIGHT(P618,1)),JUEVES!F256,JUEVES!I256,JUEVES!L256,JUEVES!O256,JUEVES!R256),""))</f>
        <v/>
      </c>
      <c r="G618" s="47" t="str">
        <f>IF(P618="","",IFERROR(CHOOSE(VALUE(RIGHT(P618,1)),JUEVES!G256,JUEVES!J256,JUEVES!M256,JUEVES!P256,JUEVES!S256),""))</f>
        <v/>
      </c>
      <c r="H618" s="48" t="str">
        <f>IF(P618="","",IFERROR(CHOOSE(VALUE(RIGHT(P618,1)),JUEVES!H256,JUEVES!K256,JUEVES!N256,JUEVES!Q256,JUEVES!T256),""))</f>
        <v/>
      </c>
      <c r="I618" s="49" t="str">
        <f t="shared" si="18"/>
        <v/>
      </c>
      <c r="J618" s="50" t="str">
        <f>IF(P618="","",IFERROR(ROUND(CHOOSE(VALUE(RIGHT(P618,1)),IF(JUEVES!C256="peso_corporal",IF(ISNUMBER(JUEVES!E256),JUEVES!E256,0)+JUEVES!F256,JUEVES!F256)*JUEVES!G256,IF(JUEVES!C256="peso_corporal",IF(ISNUMBER(JUEVES!E256),JUEVES!E256,0)+JUEVES!I256,JUEVES!I256)*JUEVES!J256,IF(JUEVES!C256="peso_corporal",IF(ISNUMBER(JUEVES!E256),JUEVES!E256,0)+JUEVES!L256,JUEVES!L256)*JUEVES!M256,IF(JUEVES!C256="peso_corporal",IF(ISNUMBER(JUEVES!E256),JUEVES!E256,0)+JUEVES!O256,JUEVES!O256)*JUEVES!P256,IF(JUEVES!C256="peso_corporal",IF(ISNUMBER(JUEVES!E256),JUEVES!E256,0)+JUEVES!R256,JUEVES!R256)*JUEVES!S256),1),""))</f>
        <v/>
      </c>
      <c r="K618" s="51" t="str">
        <f>IF(P618="","",IFERROR(ROUND(CHOOSE(VALUE(RIGHT(P618,1)),(IF(JUEVES!C256="peso_corporal",IF(ISNUMBER(JUEVES!E256),JUEVES!E256,0)+JUEVES!F256,JUEVES!F256))*(1+JUEVES!G256/30),(IF(JUEVES!C256="peso_corporal",IF(ISNUMBER(JUEVES!E256),JUEVES!E256,0)+JUEVES!I256,JUEVES!I256))*(1+JUEVES!J256/30),(IF(JUEVES!C256="peso_corporal",IF(ISNUMBER(JUEVES!E256),JUEVES!E256,0)+JUEVES!L256,JUEVES!L256))*(1+JUEVES!M256/30),(IF(JUEVES!C256="peso_corporal",IF(ISNUMBER(JUEVES!E256),JUEVES!E256,0)+JUEVES!O256,JUEVES!O256))*(1+JUEVES!P256/30),(IF(JUEVES!C256="peso_corporal",IF(ISNUMBER(JUEVES!E256),JUEVES!E256,0)+JUEVES!R256,JUEVES!R256))*(1+JUEVES!S256/30)),1),""))</f>
        <v/>
      </c>
      <c r="L618" s="52">
        <f>IFERROR(JUEVES!E256,"")</f>
        <v>80</v>
      </c>
      <c r="M618" s="53" t="str">
        <f>IFERROR(IF(K618="","-",IF(ISNUMBER(LOOKUP(2,1/((HISTORIAL!$O$3:$O$617=O618)*(HISTORIAL!$F$3:$F$617&lt;&gt;"")),HISTORIAL!$K$3:$K$617)),IF(K618&gt;LOOKUP(2,1/((HISTORIAL!$O$3:$O$617=O618)*(HISTORIAL!$F$3:$F$617&lt;&gt;"")),HISTORIAL!$K$3:$K$617),"^",IF(K618&lt;LOOKUP(2,1/((HISTORIAL!$O$3:$O$617=O618)*(HISTORIAL!$F$3:$F$617&lt;&gt;"")),HISTORIAL!$K$3:$K$617),"v","-")),"-")),"-")</f>
        <v>-</v>
      </c>
      <c r="N618" s="54" t="str">
        <f>IFERROR(VLOOKUP(A618,CONFIG!$A$10:$B$21,2,0),"")</f>
        <v>HIP</v>
      </c>
      <c r="O618" s="55" t="str">
        <f t="shared" si="19"/>
        <v>Curl Biceps|Concentrado Maquina</v>
      </c>
      <c r="P618" s="69" t="str">
        <f>JUEVES!AC256</f>
        <v/>
      </c>
    </row>
    <row r="619" spans="1:16" ht="14.1" customHeight="1">
      <c r="A619" s="37">
        <v>10</v>
      </c>
      <c r="B619" s="37" t="s">
        <v>280</v>
      </c>
      <c r="C619" s="44" t="str">
        <f>JUEVES!$A$258</f>
        <v>Crunch</v>
      </c>
      <c r="D619" s="45" t="str">
        <f>JUEVES!$B$258</f>
        <v>Polea</v>
      </c>
      <c r="E619" s="37" t="str">
        <f>JUEVES!$C$258</f>
        <v>polea</v>
      </c>
      <c r="F619" s="46" t="str">
        <f>IF(P619="","",IFERROR(CHOOSE(VALUE(RIGHT(P619,1)),JUEVES!F258,JUEVES!I258,JUEVES!L258,JUEVES!O258,JUEVES!R258),""))</f>
        <v/>
      </c>
      <c r="G619" s="47" t="str">
        <f>IF(P619="","",IFERROR(CHOOSE(VALUE(RIGHT(P619,1)),JUEVES!G258,JUEVES!J258,JUEVES!M258,JUEVES!P258,JUEVES!S258),""))</f>
        <v/>
      </c>
      <c r="H619" s="48" t="str">
        <f>IF(P619="","",IFERROR(CHOOSE(VALUE(RIGHT(P619,1)),JUEVES!H258,JUEVES!K258,JUEVES!N258,JUEVES!Q258,JUEVES!T258),""))</f>
        <v/>
      </c>
      <c r="I619" s="49" t="str">
        <f t="shared" si="18"/>
        <v/>
      </c>
      <c r="J619" s="50" t="str">
        <f>IF(P619="","",IFERROR(ROUND(CHOOSE(VALUE(RIGHT(P619,1)),IF(JUEVES!C258="peso_corporal",IF(ISNUMBER(JUEVES!E258),JUEVES!E258,0)+JUEVES!F258,JUEVES!F258)*JUEVES!G258,IF(JUEVES!C258="peso_corporal",IF(ISNUMBER(JUEVES!E258),JUEVES!E258,0)+JUEVES!I258,JUEVES!I258)*JUEVES!J258,IF(JUEVES!C258="peso_corporal",IF(ISNUMBER(JUEVES!E258),JUEVES!E258,0)+JUEVES!L258,JUEVES!L258)*JUEVES!M258,IF(JUEVES!C258="peso_corporal",IF(ISNUMBER(JUEVES!E258),JUEVES!E258,0)+JUEVES!O258,JUEVES!O258)*JUEVES!P258,IF(JUEVES!C258="peso_corporal",IF(ISNUMBER(JUEVES!E258),JUEVES!E258,0)+JUEVES!R258,JUEVES!R258)*JUEVES!S258),1),""))</f>
        <v/>
      </c>
      <c r="K619" s="51" t="str">
        <f>IF(P619="","",IFERROR(ROUND(CHOOSE(VALUE(RIGHT(P619,1)),(IF(JUEVES!C258="peso_corporal",IF(ISNUMBER(JUEVES!E258),JUEVES!E258,0)+JUEVES!F258,JUEVES!F258))*(1+JUEVES!G258/30),(IF(JUEVES!C258="peso_corporal",IF(ISNUMBER(JUEVES!E258),JUEVES!E258,0)+JUEVES!I258,JUEVES!I258))*(1+JUEVES!J258/30),(IF(JUEVES!C258="peso_corporal",IF(ISNUMBER(JUEVES!E258),JUEVES!E258,0)+JUEVES!L258,JUEVES!L258))*(1+JUEVES!M258/30),(IF(JUEVES!C258="peso_corporal",IF(ISNUMBER(JUEVES!E258),JUEVES!E258,0)+JUEVES!O258,JUEVES!O258))*(1+JUEVES!P258/30),(IF(JUEVES!C258="peso_corporal",IF(ISNUMBER(JUEVES!E258),JUEVES!E258,0)+JUEVES!R258,JUEVES!R258))*(1+JUEVES!S258/30)),1),""))</f>
        <v/>
      </c>
      <c r="L619" s="52">
        <f>IFERROR(JUEVES!E258,"")</f>
        <v>80</v>
      </c>
      <c r="M619" s="53" t="str">
        <f>IFERROR(IF(K619="","-",IF(ISNUMBER(LOOKUP(2,1/((HISTORIAL!$O$3:$O$618=O619)*(HISTORIAL!$F$3:$F$618&lt;&gt;"")),HISTORIAL!$K$3:$K$618)),IF(K619&gt;LOOKUP(2,1/((HISTORIAL!$O$3:$O$618=O619)*(HISTORIAL!$F$3:$F$618&lt;&gt;"")),HISTORIAL!$K$3:$K$618),"^",IF(K619&lt;LOOKUP(2,1/((HISTORIAL!$O$3:$O$618=O619)*(HISTORIAL!$F$3:$F$618&lt;&gt;"")),HISTORIAL!$K$3:$K$618),"v","-")),"-")),"-")</f>
        <v>-</v>
      </c>
      <c r="N619" s="54" t="str">
        <f>IFERROR(VLOOKUP(A619,CONFIG!$A$10:$B$21,2,0),"")</f>
        <v>HIP</v>
      </c>
      <c r="O619" s="55" t="str">
        <f t="shared" si="19"/>
        <v>Crunch|Polea</v>
      </c>
      <c r="P619" s="69" t="str">
        <f>JUEVES!AC258</f>
        <v/>
      </c>
    </row>
    <row r="620" spans="1:16" ht="14.1" customHeight="1">
      <c r="A620" s="37">
        <v>10</v>
      </c>
      <c r="B620" s="37" t="s">
        <v>281</v>
      </c>
      <c r="C620" s="44" t="str">
        <f>SABADO!$A$229</f>
        <v>Pulldown</v>
      </c>
      <c r="D620" s="45" t="str">
        <f>SABADO!$B$229</f>
        <v>Polea Alta Brazos Rectos Prono</v>
      </c>
      <c r="E620" s="37" t="str">
        <f>SABADO!$C$229</f>
        <v>polea</v>
      </c>
      <c r="F620" s="46" t="str">
        <f>IF(P620="","",IFERROR(CHOOSE(VALUE(RIGHT(P620,1)),SABADO!F229,SABADO!I229,SABADO!L229,SABADO!O229,SABADO!R229),""))</f>
        <v/>
      </c>
      <c r="G620" s="47" t="str">
        <f>IF(P620="","",IFERROR(CHOOSE(VALUE(RIGHT(P620,1)),SABADO!G229,SABADO!J229,SABADO!M229,SABADO!P229,SABADO!S229),""))</f>
        <v/>
      </c>
      <c r="H620" s="48" t="str">
        <f>IF(P620="","",IFERROR(CHOOSE(VALUE(RIGHT(P620,1)),SABADO!H229,SABADO!K229,SABADO!N229,SABADO!Q229,SABADO!T229),""))</f>
        <v/>
      </c>
      <c r="I620" s="49" t="str">
        <f t="shared" si="18"/>
        <v/>
      </c>
      <c r="J620" s="50" t="str">
        <f>IF(P620="","",IFERROR(ROUND(CHOOSE(VALUE(RIGHT(P620,1)),IF(SABADO!C229="peso_corporal",IF(ISNUMBER(SABADO!E229),SABADO!E229,0)+SABADO!F229,SABADO!F229)*SABADO!G229,IF(SABADO!C229="peso_corporal",IF(ISNUMBER(SABADO!E229),SABADO!E229,0)+SABADO!I229,SABADO!I229)*SABADO!J229,IF(SABADO!C229="peso_corporal",IF(ISNUMBER(SABADO!E229),SABADO!E229,0)+SABADO!L229,SABADO!L229)*SABADO!M229,IF(SABADO!C229="peso_corporal",IF(ISNUMBER(SABADO!E229),SABADO!E229,0)+SABADO!O229,SABADO!O229)*SABADO!P229,IF(SABADO!C229="peso_corporal",IF(ISNUMBER(SABADO!E229),SABADO!E229,0)+SABADO!R229,SABADO!R229)*SABADO!S229),1),""))</f>
        <v/>
      </c>
      <c r="K620" s="51" t="str">
        <f>IF(P620="","",IFERROR(ROUND(CHOOSE(VALUE(RIGHT(P620,1)),(IF(SABADO!C229="peso_corporal",IF(ISNUMBER(SABADO!E229),SABADO!E229,0)+SABADO!F229,SABADO!F229))*(1+SABADO!G229/30),(IF(SABADO!C229="peso_corporal",IF(ISNUMBER(SABADO!E229),SABADO!E229,0)+SABADO!I229,SABADO!I229))*(1+SABADO!J229/30),(IF(SABADO!C229="peso_corporal",IF(ISNUMBER(SABADO!E229),SABADO!E229,0)+SABADO!L229,SABADO!L229))*(1+SABADO!M229/30),(IF(SABADO!C229="peso_corporal",IF(ISNUMBER(SABADO!E229),SABADO!E229,0)+SABADO!O229,SABADO!O229))*(1+SABADO!P229/30),(IF(SABADO!C229="peso_corporal",IF(ISNUMBER(SABADO!E229),SABADO!E229,0)+SABADO!R229,SABADO!R229))*(1+SABADO!S229/30)),1),""))</f>
        <v/>
      </c>
      <c r="L620" s="52">
        <f>IFERROR(SABADO!E229,"")</f>
        <v>80</v>
      </c>
      <c r="M620" s="53" t="str">
        <f>IFERROR(IF(K620="","-",IF(ISNUMBER(LOOKUP(2,1/((HISTORIAL!$O$3:$O$619=O620)*(HISTORIAL!$F$3:$F$619&lt;&gt;"")),HISTORIAL!$K$3:$K$619)),IF(K620&gt;LOOKUP(2,1/((HISTORIAL!$O$3:$O$619=O620)*(HISTORIAL!$F$3:$F$619&lt;&gt;"")),HISTORIAL!$K$3:$K$619),"^",IF(K620&lt;LOOKUP(2,1/((HISTORIAL!$O$3:$O$619=O620)*(HISTORIAL!$F$3:$F$619&lt;&gt;"")),HISTORIAL!$K$3:$K$619),"v","-")),"-")),"-")</f>
        <v>-</v>
      </c>
      <c r="N620" s="54" t="str">
        <f>IFERROR(VLOOKUP(A620,CONFIG!$A$10:$B$21,2,0),"")</f>
        <v>HIP</v>
      </c>
      <c r="O620" s="55" t="str">
        <f t="shared" si="19"/>
        <v>Pulldown|Polea Alta Brazos Rectos Prono</v>
      </c>
      <c r="P620" s="69" t="str">
        <f>SABADO!AC229</f>
        <v/>
      </c>
    </row>
    <row r="621" spans="1:16" ht="14.1" customHeight="1">
      <c r="A621" s="37">
        <v>10</v>
      </c>
      <c r="B621" s="37" t="s">
        <v>281</v>
      </c>
      <c r="C621" s="44" t="str">
        <f>SABADO!$A$231</f>
        <v>Remo</v>
      </c>
      <c r="D621" s="45" t="str">
        <f>SABADO!$B$231</f>
        <v>Maquina Neutro Estrecho</v>
      </c>
      <c r="E621" s="37" t="str">
        <f>SABADO!$C$231</f>
        <v>polea</v>
      </c>
      <c r="F621" s="46" t="str">
        <f>IF(P621="","",IFERROR(CHOOSE(VALUE(RIGHT(P621,1)),SABADO!F231,SABADO!I231,SABADO!L231,SABADO!O231,SABADO!R231),""))</f>
        <v/>
      </c>
      <c r="G621" s="47" t="str">
        <f>IF(P621="","",IFERROR(CHOOSE(VALUE(RIGHT(P621,1)),SABADO!G231,SABADO!J231,SABADO!M231,SABADO!P231,SABADO!S231),""))</f>
        <v/>
      </c>
      <c r="H621" s="48" t="str">
        <f>IF(P621="","",IFERROR(CHOOSE(VALUE(RIGHT(P621,1)),SABADO!H231,SABADO!K231,SABADO!N231,SABADO!Q231,SABADO!T231),""))</f>
        <v/>
      </c>
      <c r="I621" s="49" t="str">
        <f t="shared" si="18"/>
        <v/>
      </c>
      <c r="J621" s="50" t="str">
        <f>IF(P621="","",IFERROR(ROUND(CHOOSE(VALUE(RIGHT(P621,1)),IF(SABADO!C231="peso_corporal",IF(ISNUMBER(SABADO!E231),SABADO!E231,0)+SABADO!F231,SABADO!F231)*SABADO!G231,IF(SABADO!C231="peso_corporal",IF(ISNUMBER(SABADO!E231),SABADO!E231,0)+SABADO!I231,SABADO!I231)*SABADO!J231,IF(SABADO!C231="peso_corporal",IF(ISNUMBER(SABADO!E231),SABADO!E231,0)+SABADO!L231,SABADO!L231)*SABADO!M231,IF(SABADO!C231="peso_corporal",IF(ISNUMBER(SABADO!E231),SABADO!E231,0)+SABADO!O231,SABADO!O231)*SABADO!P231,IF(SABADO!C231="peso_corporal",IF(ISNUMBER(SABADO!E231),SABADO!E231,0)+SABADO!R231,SABADO!R231)*SABADO!S231),1),""))</f>
        <v/>
      </c>
      <c r="K621" s="51" t="str">
        <f>IF(P621="","",IFERROR(ROUND(CHOOSE(VALUE(RIGHT(P621,1)),(IF(SABADO!C231="peso_corporal",IF(ISNUMBER(SABADO!E231),SABADO!E231,0)+SABADO!F231,SABADO!F231))*(1+SABADO!G231/30),(IF(SABADO!C231="peso_corporal",IF(ISNUMBER(SABADO!E231),SABADO!E231,0)+SABADO!I231,SABADO!I231))*(1+SABADO!J231/30),(IF(SABADO!C231="peso_corporal",IF(ISNUMBER(SABADO!E231),SABADO!E231,0)+SABADO!L231,SABADO!L231))*(1+SABADO!M231/30),(IF(SABADO!C231="peso_corporal",IF(ISNUMBER(SABADO!E231),SABADO!E231,0)+SABADO!O231,SABADO!O231))*(1+SABADO!P231/30),(IF(SABADO!C231="peso_corporal",IF(ISNUMBER(SABADO!E231),SABADO!E231,0)+SABADO!R231,SABADO!R231))*(1+SABADO!S231/30)),1),""))</f>
        <v/>
      </c>
      <c r="L621" s="52">
        <f>IFERROR(SABADO!E231,"")</f>
        <v>80</v>
      </c>
      <c r="M621" s="53" t="str">
        <f>IFERROR(IF(K621="","-",IF(ISNUMBER(LOOKUP(2,1/((HISTORIAL!$O$3:$O$620=O621)*(HISTORIAL!$F$3:$F$620&lt;&gt;"")),HISTORIAL!$K$3:$K$620)),IF(K621&gt;LOOKUP(2,1/((HISTORIAL!$O$3:$O$620=O621)*(HISTORIAL!$F$3:$F$620&lt;&gt;"")),HISTORIAL!$K$3:$K$620),"^",IF(K621&lt;LOOKUP(2,1/((HISTORIAL!$O$3:$O$620=O621)*(HISTORIAL!$F$3:$F$620&lt;&gt;"")),HISTORIAL!$K$3:$K$620),"v","-")),"-")),"-")</f>
        <v>-</v>
      </c>
      <c r="N621" s="54" t="str">
        <f>IFERROR(VLOOKUP(A621,CONFIG!$A$10:$B$21,2,0),"")</f>
        <v>HIP</v>
      </c>
      <c r="O621" s="55" t="str">
        <f t="shared" si="19"/>
        <v>Remo|Maquina Neutro Estrecho</v>
      </c>
      <c r="P621" s="69" t="str">
        <f>SABADO!AC231</f>
        <v/>
      </c>
    </row>
    <row r="622" spans="1:16" ht="14.1" customHeight="1">
      <c r="A622" s="37">
        <v>10</v>
      </c>
      <c r="B622" s="37" t="s">
        <v>281</v>
      </c>
      <c r="C622" s="44" t="str">
        <f>SABADO!$A$232</f>
        <v>Remo</v>
      </c>
      <c r="D622" s="45" t="str">
        <f>SABADO!$B$232</f>
        <v>Maquina Neutro Ancho</v>
      </c>
      <c r="E622" s="37" t="str">
        <f>SABADO!$C$232</f>
        <v>polea</v>
      </c>
      <c r="F622" s="46" t="str">
        <f>IF(P622="","",IFERROR(CHOOSE(VALUE(RIGHT(P622,1)),SABADO!F232,SABADO!I232,SABADO!L232,SABADO!O232,SABADO!R232),""))</f>
        <v/>
      </c>
      <c r="G622" s="47" t="str">
        <f>IF(P622="","",IFERROR(CHOOSE(VALUE(RIGHT(P622,1)),SABADO!G232,SABADO!J232,SABADO!M232,SABADO!P232,SABADO!S232),""))</f>
        <v/>
      </c>
      <c r="H622" s="48" t="str">
        <f>IF(P622="","",IFERROR(CHOOSE(VALUE(RIGHT(P622,1)),SABADO!H232,SABADO!K232,SABADO!N232,SABADO!Q232,SABADO!T232),""))</f>
        <v/>
      </c>
      <c r="I622" s="49" t="str">
        <f t="shared" si="18"/>
        <v/>
      </c>
      <c r="J622" s="50" t="str">
        <f>IF(P622="","",IFERROR(ROUND(CHOOSE(VALUE(RIGHT(P622,1)),IF(SABADO!C232="peso_corporal",IF(ISNUMBER(SABADO!E232),SABADO!E232,0)+SABADO!F232,SABADO!F232)*SABADO!G232,IF(SABADO!C232="peso_corporal",IF(ISNUMBER(SABADO!E232),SABADO!E232,0)+SABADO!I232,SABADO!I232)*SABADO!J232,IF(SABADO!C232="peso_corporal",IF(ISNUMBER(SABADO!E232),SABADO!E232,0)+SABADO!L232,SABADO!L232)*SABADO!M232,IF(SABADO!C232="peso_corporal",IF(ISNUMBER(SABADO!E232),SABADO!E232,0)+SABADO!O232,SABADO!O232)*SABADO!P232,IF(SABADO!C232="peso_corporal",IF(ISNUMBER(SABADO!E232),SABADO!E232,0)+SABADO!R232,SABADO!R232)*SABADO!S232),1),""))</f>
        <v/>
      </c>
      <c r="K622" s="51" t="str">
        <f>IF(P622="","",IFERROR(ROUND(CHOOSE(VALUE(RIGHT(P622,1)),(IF(SABADO!C232="peso_corporal",IF(ISNUMBER(SABADO!E232),SABADO!E232,0)+SABADO!F232,SABADO!F232))*(1+SABADO!G232/30),(IF(SABADO!C232="peso_corporal",IF(ISNUMBER(SABADO!E232),SABADO!E232,0)+SABADO!I232,SABADO!I232))*(1+SABADO!J232/30),(IF(SABADO!C232="peso_corporal",IF(ISNUMBER(SABADO!E232),SABADO!E232,0)+SABADO!L232,SABADO!L232))*(1+SABADO!M232/30),(IF(SABADO!C232="peso_corporal",IF(ISNUMBER(SABADO!E232),SABADO!E232,0)+SABADO!O232,SABADO!O232))*(1+SABADO!P232/30),(IF(SABADO!C232="peso_corporal",IF(ISNUMBER(SABADO!E232),SABADO!E232,0)+SABADO!R232,SABADO!R232))*(1+SABADO!S232/30)),1),""))</f>
        <v/>
      </c>
      <c r="L622" s="52">
        <f>IFERROR(SABADO!E232,"")</f>
        <v>80</v>
      </c>
      <c r="M622" s="53" t="str">
        <f>IFERROR(IF(K622="","-",IF(ISNUMBER(LOOKUP(2,1/((HISTORIAL!$O$3:$O$621=O622)*(HISTORIAL!$F$3:$F$621&lt;&gt;"")),HISTORIAL!$K$3:$K$621)),IF(K622&gt;LOOKUP(2,1/((HISTORIAL!$O$3:$O$621=O622)*(HISTORIAL!$F$3:$F$621&lt;&gt;"")),HISTORIAL!$K$3:$K$621),"^",IF(K622&lt;LOOKUP(2,1/((HISTORIAL!$O$3:$O$621=O622)*(HISTORIAL!$F$3:$F$621&lt;&gt;"")),HISTORIAL!$K$3:$K$621),"v","-")),"-")),"-")</f>
        <v>-</v>
      </c>
      <c r="N622" s="54" t="str">
        <f>IFERROR(VLOOKUP(A622,CONFIG!$A$10:$B$21,2,0),"")</f>
        <v>HIP</v>
      </c>
      <c r="O622" s="55" t="str">
        <f t="shared" si="19"/>
        <v>Remo|Maquina Neutro Ancho</v>
      </c>
      <c r="P622" s="69" t="str">
        <f>SABADO!AC232</f>
        <v/>
      </c>
    </row>
    <row r="623" spans="1:16" ht="14.1" customHeight="1">
      <c r="A623" s="37">
        <v>10</v>
      </c>
      <c r="B623" s="37" t="s">
        <v>281</v>
      </c>
      <c r="C623" s="44" t="str">
        <f>SABADO!$A$233</f>
        <v>Peck Deck Invertida</v>
      </c>
      <c r="D623" s="45" t="str">
        <f>SABADO!$B$233</f>
        <v>Maquina</v>
      </c>
      <c r="E623" s="37" t="str">
        <f>SABADO!$C$233</f>
        <v>polea</v>
      </c>
      <c r="F623" s="46" t="str">
        <f>IF(P623="","",IFERROR(CHOOSE(VALUE(RIGHT(P623,1)),SABADO!F233,SABADO!I233,SABADO!L233,SABADO!O233,SABADO!R233),""))</f>
        <v/>
      </c>
      <c r="G623" s="47" t="str">
        <f>IF(P623="","",IFERROR(CHOOSE(VALUE(RIGHT(P623,1)),SABADO!G233,SABADO!J233,SABADO!M233,SABADO!P233,SABADO!S233),""))</f>
        <v/>
      </c>
      <c r="H623" s="48" t="str">
        <f>IF(P623="","",IFERROR(CHOOSE(VALUE(RIGHT(P623,1)),SABADO!H233,SABADO!K233,SABADO!N233,SABADO!Q233,SABADO!T233),""))</f>
        <v/>
      </c>
      <c r="I623" s="49" t="str">
        <f t="shared" si="18"/>
        <v/>
      </c>
      <c r="J623" s="50" t="str">
        <f>IF(P623="","",IFERROR(ROUND(CHOOSE(VALUE(RIGHT(P623,1)),IF(SABADO!C233="peso_corporal",IF(ISNUMBER(SABADO!E233),SABADO!E233,0)+SABADO!F233,SABADO!F233)*SABADO!G233,IF(SABADO!C233="peso_corporal",IF(ISNUMBER(SABADO!E233),SABADO!E233,0)+SABADO!I233,SABADO!I233)*SABADO!J233,IF(SABADO!C233="peso_corporal",IF(ISNUMBER(SABADO!E233),SABADO!E233,0)+SABADO!L233,SABADO!L233)*SABADO!M233,IF(SABADO!C233="peso_corporal",IF(ISNUMBER(SABADO!E233),SABADO!E233,0)+SABADO!O233,SABADO!O233)*SABADO!P233,IF(SABADO!C233="peso_corporal",IF(ISNUMBER(SABADO!E233),SABADO!E233,0)+SABADO!R233,SABADO!R233)*SABADO!S233),1),""))</f>
        <v/>
      </c>
      <c r="K623" s="51" t="str">
        <f>IF(P623="","",IFERROR(ROUND(CHOOSE(VALUE(RIGHT(P623,1)),(IF(SABADO!C233="peso_corporal",IF(ISNUMBER(SABADO!E233),SABADO!E233,0)+SABADO!F233,SABADO!F233))*(1+SABADO!G233/30),(IF(SABADO!C233="peso_corporal",IF(ISNUMBER(SABADO!E233),SABADO!E233,0)+SABADO!I233,SABADO!I233))*(1+SABADO!J233/30),(IF(SABADO!C233="peso_corporal",IF(ISNUMBER(SABADO!E233),SABADO!E233,0)+SABADO!L233,SABADO!L233))*(1+SABADO!M233/30),(IF(SABADO!C233="peso_corporal",IF(ISNUMBER(SABADO!E233),SABADO!E233,0)+SABADO!O233,SABADO!O233))*(1+SABADO!P233/30),(IF(SABADO!C233="peso_corporal",IF(ISNUMBER(SABADO!E233),SABADO!E233,0)+SABADO!R233,SABADO!R233))*(1+SABADO!S233/30)),1),""))</f>
        <v/>
      </c>
      <c r="L623" s="52">
        <f>IFERROR(SABADO!E233,"")</f>
        <v>80</v>
      </c>
      <c r="M623" s="53" t="str">
        <f>IFERROR(IF(K623="","-",IF(ISNUMBER(LOOKUP(2,1/((HISTORIAL!$O$3:$O$622=O623)*(HISTORIAL!$F$3:$F$622&lt;&gt;"")),HISTORIAL!$K$3:$K$622)),IF(K623&gt;LOOKUP(2,1/((HISTORIAL!$O$3:$O$622=O623)*(HISTORIAL!$F$3:$F$622&lt;&gt;"")),HISTORIAL!$K$3:$K$622),"^",IF(K623&lt;LOOKUP(2,1/((HISTORIAL!$O$3:$O$622=O623)*(HISTORIAL!$F$3:$F$622&lt;&gt;"")),HISTORIAL!$K$3:$K$622),"v","-")),"-")),"-")</f>
        <v>-</v>
      </c>
      <c r="N623" s="54" t="str">
        <f>IFERROR(VLOOKUP(A623,CONFIG!$A$10:$B$21,2,0),"")</f>
        <v>HIP</v>
      </c>
      <c r="O623" s="55" t="str">
        <f t="shared" si="19"/>
        <v>Peck Deck Invertida|Maquina</v>
      </c>
      <c r="P623" s="69" t="str">
        <f>SABADO!AC233</f>
        <v/>
      </c>
    </row>
    <row r="624" spans="1:16" ht="14.1" customHeight="1">
      <c r="A624" s="37">
        <v>10</v>
      </c>
      <c r="B624" s="37" t="s">
        <v>281</v>
      </c>
      <c r="C624" s="44" t="str">
        <f>SABADO!$A$235</f>
        <v>Curl Biceps</v>
      </c>
      <c r="D624" s="45" t="str">
        <f>SABADO!$B$235</f>
        <v>Concentrado Maquina</v>
      </c>
      <c r="E624" s="37" t="str">
        <f>SABADO!$C$235</f>
        <v>polea</v>
      </c>
      <c r="F624" s="46" t="str">
        <f>IF(P624="","",IFERROR(CHOOSE(VALUE(RIGHT(P624,1)),SABADO!F235,SABADO!I235,SABADO!L235,SABADO!O235,SABADO!R235),""))</f>
        <v/>
      </c>
      <c r="G624" s="47" t="str">
        <f>IF(P624="","",IFERROR(CHOOSE(VALUE(RIGHT(P624,1)),SABADO!G235,SABADO!J235,SABADO!M235,SABADO!P235,SABADO!S235),""))</f>
        <v/>
      </c>
      <c r="H624" s="48" t="str">
        <f>IF(P624="","",IFERROR(CHOOSE(VALUE(RIGHT(P624,1)),SABADO!H235,SABADO!K235,SABADO!N235,SABADO!Q235,SABADO!T235),""))</f>
        <v/>
      </c>
      <c r="I624" s="49" t="str">
        <f t="shared" si="18"/>
        <v/>
      </c>
      <c r="J624" s="50" t="str">
        <f>IF(P624="","",IFERROR(ROUND(CHOOSE(VALUE(RIGHT(P624,1)),IF(SABADO!C235="peso_corporal",IF(ISNUMBER(SABADO!E235),SABADO!E235,0)+SABADO!F235,SABADO!F235)*SABADO!G235,IF(SABADO!C235="peso_corporal",IF(ISNUMBER(SABADO!E235),SABADO!E235,0)+SABADO!I235,SABADO!I235)*SABADO!J235,IF(SABADO!C235="peso_corporal",IF(ISNUMBER(SABADO!E235),SABADO!E235,0)+SABADO!L235,SABADO!L235)*SABADO!M235,IF(SABADO!C235="peso_corporal",IF(ISNUMBER(SABADO!E235),SABADO!E235,0)+SABADO!O235,SABADO!O235)*SABADO!P235,IF(SABADO!C235="peso_corporal",IF(ISNUMBER(SABADO!E235),SABADO!E235,0)+SABADO!R235,SABADO!R235)*SABADO!S235),1),""))</f>
        <v/>
      </c>
      <c r="K624" s="51" t="str">
        <f>IF(P624="","",IFERROR(ROUND(CHOOSE(VALUE(RIGHT(P624,1)),(IF(SABADO!C235="peso_corporal",IF(ISNUMBER(SABADO!E235),SABADO!E235,0)+SABADO!F235,SABADO!F235))*(1+SABADO!G235/30),(IF(SABADO!C235="peso_corporal",IF(ISNUMBER(SABADO!E235),SABADO!E235,0)+SABADO!I235,SABADO!I235))*(1+SABADO!J235/30),(IF(SABADO!C235="peso_corporal",IF(ISNUMBER(SABADO!E235),SABADO!E235,0)+SABADO!L235,SABADO!L235))*(1+SABADO!M235/30),(IF(SABADO!C235="peso_corporal",IF(ISNUMBER(SABADO!E235),SABADO!E235,0)+SABADO!O235,SABADO!O235))*(1+SABADO!P235/30),(IF(SABADO!C235="peso_corporal",IF(ISNUMBER(SABADO!E235),SABADO!E235,0)+SABADO!R235,SABADO!R235))*(1+SABADO!S235/30)),1),""))</f>
        <v/>
      </c>
      <c r="L624" s="52">
        <f>IFERROR(SABADO!E235,"")</f>
        <v>80</v>
      </c>
      <c r="M624" s="53" t="str">
        <f>IFERROR(IF(K624="","-",IF(ISNUMBER(LOOKUP(2,1/((HISTORIAL!$O$3:$O$623=O624)*(HISTORIAL!$F$3:$F$623&lt;&gt;"")),HISTORIAL!$K$3:$K$623)),IF(K624&gt;LOOKUP(2,1/((HISTORIAL!$O$3:$O$623=O624)*(HISTORIAL!$F$3:$F$623&lt;&gt;"")),HISTORIAL!$K$3:$K$623),"^",IF(K624&lt;LOOKUP(2,1/((HISTORIAL!$O$3:$O$623=O624)*(HISTORIAL!$F$3:$F$623&lt;&gt;"")),HISTORIAL!$K$3:$K$623),"v","-")),"-")),"-")</f>
        <v>-</v>
      </c>
      <c r="N624" s="54" t="str">
        <f>IFERROR(VLOOKUP(A624,CONFIG!$A$10:$B$21,2,0),"")</f>
        <v>HIP</v>
      </c>
      <c r="O624" s="55" t="str">
        <f t="shared" si="19"/>
        <v>Curl Biceps|Concentrado Maquina</v>
      </c>
      <c r="P624" s="69" t="str">
        <f>SABADO!AC235</f>
        <v/>
      </c>
    </row>
    <row r="625" spans="1:16" ht="14.1" customHeight="1">
      <c r="A625" s="37">
        <v>10</v>
      </c>
      <c r="B625" s="37" t="s">
        <v>281</v>
      </c>
      <c r="C625" s="44" t="str">
        <f>SABADO!$A$236</f>
        <v>Curl Martillo</v>
      </c>
      <c r="D625" s="45" t="str">
        <f>SABADO!$B$236</f>
        <v>Polea Individual</v>
      </c>
      <c r="E625" s="37" t="str">
        <f>SABADO!$C$236</f>
        <v>polea</v>
      </c>
      <c r="F625" s="46" t="str">
        <f>IF(P625="","",IFERROR(CHOOSE(VALUE(RIGHT(P625,1)),SABADO!F236,SABADO!I236,SABADO!L236,SABADO!O236,SABADO!R236),""))</f>
        <v/>
      </c>
      <c r="G625" s="47" t="str">
        <f>IF(P625="","",IFERROR(CHOOSE(VALUE(RIGHT(P625,1)),SABADO!G236,SABADO!J236,SABADO!M236,SABADO!P236,SABADO!S236),""))</f>
        <v/>
      </c>
      <c r="H625" s="48" t="str">
        <f>IF(P625="","",IFERROR(CHOOSE(VALUE(RIGHT(P625,1)),SABADO!H236,SABADO!K236,SABADO!N236,SABADO!Q236,SABADO!T236),""))</f>
        <v/>
      </c>
      <c r="I625" s="49" t="str">
        <f t="shared" si="18"/>
        <v/>
      </c>
      <c r="J625" s="50" t="str">
        <f>IF(P625="","",IFERROR(ROUND(CHOOSE(VALUE(RIGHT(P625,1)),IF(SABADO!C236="peso_corporal",IF(ISNUMBER(SABADO!E236),SABADO!E236,0)+SABADO!F236,SABADO!F236)*SABADO!G236,IF(SABADO!C236="peso_corporal",IF(ISNUMBER(SABADO!E236),SABADO!E236,0)+SABADO!I236,SABADO!I236)*SABADO!J236,IF(SABADO!C236="peso_corporal",IF(ISNUMBER(SABADO!E236),SABADO!E236,0)+SABADO!L236,SABADO!L236)*SABADO!M236,IF(SABADO!C236="peso_corporal",IF(ISNUMBER(SABADO!E236),SABADO!E236,0)+SABADO!O236,SABADO!O236)*SABADO!P236,IF(SABADO!C236="peso_corporal",IF(ISNUMBER(SABADO!E236),SABADO!E236,0)+SABADO!R236,SABADO!R236)*SABADO!S236),1),""))</f>
        <v/>
      </c>
      <c r="K625" s="51" t="str">
        <f>IF(P625="","",IFERROR(ROUND(CHOOSE(VALUE(RIGHT(P625,1)),(IF(SABADO!C236="peso_corporal",IF(ISNUMBER(SABADO!E236),SABADO!E236,0)+SABADO!F236,SABADO!F236))*(1+SABADO!G236/30),(IF(SABADO!C236="peso_corporal",IF(ISNUMBER(SABADO!E236),SABADO!E236,0)+SABADO!I236,SABADO!I236))*(1+SABADO!J236/30),(IF(SABADO!C236="peso_corporal",IF(ISNUMBER(SABADO!E236),SABADO!E236,0)+SABADO!L236,SABADO!L236))*(1+SABADO!M236/30),(IF(SABADO!C236="peso_corporal",IF(ISNUMBER(SABADO!E236),SABADO!E236,0)+SABADO!O236,SABADO!O236))*(1+SABADO!P236/30),(IF(SABADO!C236="peso_corporal",IF(ISNUMBER(SABADO!E236),SABADO!E236,0)+SABADO!R236,SABADO!R236))*(1+SABADO!S236/30)),1),""))</f>
        <v/>
      </c>
      <c r="L625" s="52">
        <f>IFERROR(SABADO!E236,"")</f>
        <v>80</v>
      </c>
      <c r="M625" s="53" t="str">
        <f>IFERROR(IF(K625="","-",IF(ISNUMBER(LOOKUP(2,1/((HISTORIAL!$O$3:$O$624=O625)*(HISTORIAL!$F$3:$F$624&lt;&gt;"")),HISTORIAL!$K$3:$K$624)),IF(K625&gt;LOOKUP(2,1/((HISTORIAL!$O$3:$O$624=O625)*(HISTORIAL!$F$3:$F$624&lt;&gt;"")),HISTORIAL!$K$3:$K$624),"^",IF(K625&lt;LOOKUP(2,1/((HISTORIAL!$O$3:$O$624=O625)*(HISTORIAL!$F$3:$F$624&lt;&gt;"")),HISTORIAL!$K$3:$K$624),"v","-")),"-")),"-")</f>
        <v>-</v>
      </c>
      <c r="N625" s="54" t="str">
        <f>IFERROR(VLOOKUP(A625,CONFIG!$A$10:$B$21,2,0),"")</f>
        <v>HIP</v>
      </c>
      <c r="O625" s="55" t="str">
        <f t="shared" si="19"/>
        <v>Curl Martillo|Polea Individual</v>
      </c>
      <c r="P625" s="69" t="str">
        <f>SABADO!AC236</f>
        <v/>
      </c>
    </row>
    <row r="626" spans="1:16" ht="14.1" customHeight="1">
      <c r="A626" s="37">
        <v>10</v>
      </c>
      <c r="B626" s="37" t="s">
        <v>281</v>
      </c>
      <c r="C626" s="44" t="str">
        <f>SABADO!$A$238</f>
        <v>Curl Muneca</v>
      </c>
      <c r="D626" s="45" t="str">
        <f>SABADO!$B$238</f>
        <v>Supinado</v>
      </c>
      <c r="E626" s="37" t="str">
        <f>SABADO!$C$238</f>
        <v>mancuerna</v>
      </c>
      <c r="F626" s="46" t="str">
        <f>IF(P626="","",IFERROR(CHOOSE(VALUE(RIGHT(P626,1)),SABADO!F238,SABADO!I238,SABADO!L238,SABADO!O238,SABADO!R238),""))</f>
        <v/>
      </c>
      <c r="G626" s="47" t="str">
        <f>IF(P626="","",IFERROR(CHOOSE(VALUE(RIGHT(P626,1)),SABADO!G238,SABADO!J238,SABADO!M238,SABADO!P238,SABADO!S238),""))</f>
        <v/>
      </c>
      <c r="H626" s="48" t="str">
        <f>IF(P626="","",IFERROR(CHOOSE(VALUE(RIGHT(P626,1)),SABADO!H238,SABADO!K238,SABADO!N238,SABADO!Q238,SABADO!T238),""))</f>
        <v/>
      </c>
      <c r="I626" s="49" t="str">
        <f t="shared" si="18"/>
        <v/>
      </c>
      <c r="J626" s="50" t="str">
        <f>IF(P626="","",IFERROR(ROUND(CHOOSE(VALUE(RIGHT(P626,1)),IF(SABADO!C238="peso_corporal",IF(ISNUMBER(SABADO!E238),SABADO!E238,0)+SABADO!F238,SABADO!F238)*SABADO!G238,IF(SABADO!C238="peso_corporal",IF(ISNUMBER(SABADO!E238),SABADO!E238,0)+SABADO!I238,SABADO!I238)*SABADO!J238,IF(SABADO!C238="peso_corporal",IF(ISNUMBER(SABADO!E238),SABADO!E238,0)+SABADO!L238,SABADO!L238)*SABADO!M238,IF(SABADO!C238="peso_corporal",IF(ISNUMBER(SABADO!E238),SABADO!E238,0)+SABADO!O238,SABADO!O238)*SABADO!P238,IF(SABADO!C238="peso_corporal",IF(ISNUMBER(SABADO!E238),SABADO!E238,0)+SABADO!R238,SABADO!R238)*SABADO!S238),1),""))</f>
        <v/>
      </c>
      <c r="K626" s="51" t="str">
        <f>IF(P626="","",IFERROR(ROUND(CHOOSE(VALUE(RIGHT(P626,1)),(IF(SABADO!C238="peso_corporal",IF(ISNUMBER(SABADO!E238),SABADO!E238,0)+SABADO!F238,SABADO!F238))*(1+SABADO!G238/30),(IF(SABADO!C238="peso_corporal",IF(ISNUMBER(SABADO!E238),SABADO!E238,0)+SABADO!I238,SABADO!I238))*(1+SABADO!J238/30),(IF(SABADO!C238="peso_corporal",IF(ISNUMBER(SABADO!E238),SABADO!E238,0)+SABADO!L238,SABADO!L238))*(1+SABADO!M238/30),(IF(SABADO!C238="peso_corporal",IF(ISNUMBER(SABADO!E238),SABADO!E238,0)+SABADO!O238,SABADO!O238))*(1+SABADO!P238/30),(IF(SABADO!C238="peso_corporal",IF(ISNUMBER(SABADO!E238),SABADO!E238,0)+SABADO!R238,SABADO!R238))*(1+SABADO!S238/30)),1),""))</f>
        <v/>
      </c>
      <c r="L626" s="52">
        <f>IFERROR(SABADO!E238,"")</f>
        <v>80</v>
      </c>
      <c r="M626" s="53" t="str">
        <f>IFERROR(IF(K626="","-",IF(ISNUMBER(LOOKUP(2,1/((HISTORIAL!$O$3:$O$625=O626)*(HISTORIAL!$F$3:$F$625&lt;&gt;"")),HISTORIAL!$K$3:$K$625)),IF(K626&gt;LOOKUP(2,1/((HISTORIAL!$O$3:$O$625=O626)*(HISTORIAL!$F$3:$F$625&lt;&gt;"")),HISTORIAL!$K$3:$K$625),"^",IF(K626&lt;LOOKUP(2,1/((HISTORIAL!$O$3:$O$625=O626)*(HISTORIAL!$F$3:$F$625&lt;&gt;"")),HISTORIAL!$K$3:$K$625),"v","-")),"-")),"-")</f>
        <v>-</v>
      </c>
      <c r="N626" s="54" t="str">
        <f>IFERROR(VLOOKUP(A626,CONFIG!$A$10:$B$21,2,0),"")</f>
        <v>HIP</v>
      </c>
      <c r="O626" s="55" t="str">
        <f t="shared" si="19"/>
        <v>Curl Muneca|Supinado</v>
      </c>
      <c r="P626" s="69" t="str">
        <f>SABADO!AC238</f>
        <v/>
      </c>
    </row>
    <row r="627" spans="1:16" ht="14.1" customHeight="1">
      <c r="A627" s="37">
        <v>10</v>
      </c>
      <c r="B627" s="37" t="s">
        <v>281</v>
      </c>
      <c r="C627" s="44" t="str">
        <f>SABADO!$A$239</f>
        <v>Curl Muneca</v>
      </c>
      <c r="D627" s="45" t="str">
        <f>SABADO!$B$239</f>
        <v>Pronado</v>
      </c>
      <c r="E627" s="37" t="str">
        <f>SABADO!$C$239</f>
        <v>mancuerna</v>
      </c>
      <c r="F627" s="46" t="str">
        <f>IF(P627="","",IFERROR(CHOOSE(VALUE(RIGHT(P627,1)),SABADO!F239,SABADO!I239,SABADO!L239,SABADO!O239,SABADO!R239),""))</f>
        <v/>
      </c>
      <c r="G627" s="47" t="str">
        <f>IF(P627="","",IFERROR(CHOOSE(VALUE(RIGHT(P627,1)),SABADO!G239,SABADO!J239,SABADO!M239,SABADO!P239,SABADO!S239),""))</f>
        <v/>
      </c>
      <c r="H627" s="48" t="str">
        <f>IF(P627="","",IFERROR(CHOOSE(VALUE(RIGHT(P627,1)),SABADO!H239,SABADO!K239,SABADO!N239,SABADO!Q239,SABADO!T239),""))</f>
        <v/>
      </c>
      <c r="I627" s="49" t="str">
        <f t="shared" si="18"/>
        <v/>
      </c>
      <c r="J627" s="50" t="str">
        <f>IF(P627="","",IFERROR(ROUND(CHOOSE(VALUE(RIGHT(P627,1)),IF(SABADO!C239="peso_corporal",IF(ISNUMBER(SABADO!E239),SABADO!E239,0)+SABADO!F239,SABADO!F239)*SABADO!G239,IF(SABADO!C239="peso_corporal",IF(ISNUMBER(SABADO!E239),SABADO!E239,0)+SABADO!I239,SABADO!I239)*SABADO!J239,IF(SABADO!C239="peso_corporal",IF(ISNUMBER(SABADO!E239),SABADO!E239,0)+SABADO!L239,SABADO!L239)*SABADO!M239,IF(SABADO!C239="peso_corporal",IF(ISNUMBER(SABADO!E239),SABADO!E239,0)+SABADO!O239,SABADO!O239)*SABADO!P239,IF(SABADO!C239="peso_corporal",IF(ISNUMBER(SABADO!E239),SABADO!E239,0)+SABADO!R239,SABADO!R239)*SABADO!S239),1),""))</f>
        <v/>
      </c>
      <c r="K627" s="51" t="str">
        <f>IF(P627="","",IFERROR(ROUND(CHOOSE(VALUE(RIGHT(P627,1)),(IF(SABADO!C239="peso_corporal",IF(ISNUMBER(SABADO!E239),SABADO!E239,0)+SABADO!F239,SABADO!F239))*(1+SABADO!G239/30),(IF(SABADO!C239="peso_corporal",IF(ISNUMBER(SABADO!E239),SABADO!E239,0)+SABADO!I239,SABADO!I239))*(1+SABADO!J239/30),(IF(SABADO!C239="peso_corporal",IF(ISNUMBER(SABADO!E239),SABADO!E239,0)+SABADO!L239,SABADO!L239))*(1+SABADO!M239/30),(IF(SABADO!C239="peso_corporal",IF(ISNUMBER(SABADO!E239),SABADO!E239,0)+SABADO!O239,SABADO!O239))*(1+SABADO!P239/30),(IF(SABADO!C239="peso_corporal",IF(ISNUMBER(SABADO!E239),SABADO!E239,0)+SABADO!R239,SABADO!R239))*(1+SABADO!S239/30)),1),""))</f>
        <v/>
      </c>
      <c r="L627" s="52">
        <f>IFERROR(SABADO!E239,"")</f>
        <v>80</v>
      </c>
      <c r="M627" s="53" t="str">
        <f>IFERROR(IF(K627="","-",IF(ISNUMBER(LOOKUP(2,1/((HISTORIAL!$O$3:$O$626=O627)*(HISTORIAL!$F$3:$F$626&lt;&gt;"")),HISTORIAL!$K$3:$K$626)),IF(K627&gt;LOOKUP(2,1/((HISTORIAL!$O$3:$O$626=O627)*(HISTORIAL!$F$3:$F$626&lt;&gt;"")),HISTORIAL!$K$3:$K$626),"^",IF(K627&lt;LOOKUP(2,1/((HISTORIAL!$O$3:$O$626=O627)*(HISTORIAL!$F$3:$F$626&lt;&gt;"")),HISTORIAL!$K$3:$K$626),"v","-")),"-")),"-")</f>
        <v>-</v>
      </c>
      <c r="N627" s="54" t="str">
        <f>IFERROR(VLOOKUP(A627,CONFIG!$A$10:$B$21,2,0),"")</f>
        <v>HIP</v>
      </c>
      <c r="O627" s="55" t="str">
        <f t="shared" si="19"/>
        <v>Curl Muneca|Pronado</v>
      </c>
      <c r="P627" s="69" t="str">
        <f>SABADO!AC239</f>
        <v/>
      </c>
    </row>
    <row r="628" spans="1:16" ht="14.1" customHeight="1">
      <c r="A628" s="37">
        <v>10</v>
      </c>
      <c r="B628" s="37" t="s">
        <v>281</v>
      </c>
      <c r="C628" s="44" t="str">
        <f>SABADO!$A$241</f>
        <v>Elevaciones Laterales</v>
      </c>
      <c r="D628" s="45" t="str">
        <f>SABADO!$B$241</f>
        <v>Cable Polea Individual</v>
      </c>
      <c r="E628" s="37" t="str">
        <f>SABADO!$C$241</f>
        <v>polea</v>
      </c>
      <c r="F628" s="46" t="str">
        <f>IF(P628="","",IFERROR(CHOOSE(VALUE(RIGHT(P628,1)),SABADO!F241,SABADO!I241,SABADO!L241,SABADO!O241,SABADO!R241),""))</f>
        <v/>
      </c>
      <c r="G628" s="47" t="str">
        <f>IF(P628="","",IFERROR(CHOOSE(VALUE(RIGHT(P628,1)),SABADO!G241,SABADO!J241,SABADO!M241,SABADO!P241,SABADO!S241),""))</f>
        <v/>
      </c>
      <c r="H628" s="48" t="str">
        <f>IF(P628="","",IFERROR(CHOOSE(VALUE(RIGHT(P628,1)),SABADO!H241,SABADO!K241,SABADO!N241,SABADO!Q241,SABADO!T241),""))</f>
        <v/>
      </c>
      <c r="I628" s="49" t="str">
        <f t="shared" si="18"/>
        <v/>
      </c>
      <c r="J628" s="50" t="str">
        <f>IF(P628="","",IFERROR(ROUND(CHOOSE(VALUE(RIGHT(P628,1)),IF(SABADO!C241="peso_corporal",IF(ISNUMBER(SABADO!E241),SABADO!E241,0)+SABADO!F241,SABADO!F241)*SABADO!G241,IF(SABADO!C241="peso_corporal",IF(ISNUMBER(SABADO!E241),SABADO!E241,0)+SABADO!I241,SABADO!I241)*SABADO!J241,IF(SABADO!C241="peso_corporal",IF(ISNUMBER(SABADO!E241),SABADO!E241,0)+SABADO!L241,SABADO!L241)*SABADO!M241,IF(SABADO!C241="peso_corporal",IF(ISNUMBER(SABADO!E241),SABADO!E241,0)+SABADO!O241,SABADO!O241)*SABADO!P241,IF(SABADO!C241="peso_corporal",IF(ISNUMBER(SABADO!E241),SABADO!E241,0)+SABADO!R241,SABADO!R241)*SABADO!S241),1),""))</f>
        <v/>
      </c>
      <c r="K628" s="51" t="str">
        <f>IF(P628="","",IFERROR(ROUND(CHOOSE(VALUE(RIGHT(P628,1)),(IF(SABADO!C241="peso_corporal",IF(ISNUMBER(SABADO!E241),SABADO!E241,0)+SABADO!F241,SABADO!F241))*(1+SABADO!G241/30),(IF(SABADO!C241="peso_corporal",IF(ISNUMBER(SABADO!E241),SABADO!E241,0)+SABADO!I241,SABADO!I241))*(1+SABADO!J241/30),(IF(SABADO!C241="peso_corporal",IF(ISNUMBER(SABADO!E241),SABADO!E241,0)+SABADO!L241,SABADO!L241))*(1+SABADO!M241/30),(IF(SABADO!C241="peso_corporal",IF(ISNUMBER(SABADO!E241),SABADO!E241,0)+SABADO!O241,SABADO!O241))*(1+SABADO!P241/30),(IF(SABADO!C241="peso_corporal",IF(ISNUMBER(SABADO!E241),SABADO!E241,0)+SABADO!R241,SABADO!R241))*(1+SABADO!S241/30)),1),""))</f>
        <v/>
      </c>
      <c r="L628" s="52">
        <f>IFERROR(SABADO!E241,"")</f>
        <v>80</v>
      </c>
      <c r="M628" s="53" t="str">
        <f>IFERROR(IF(K628="","-",IF(ISNUMBER(LOOKUP(2,1/((HISTORIAL!$O$3:$O$627=O628)*(HISTORIAL!$F$3:$F$627&lt;&gt;"")),HISTORIAL!$K$3:$K$627)),IF(K628&gt;LOOKUP(2,1/((HISTORIAL!$O$3:$O$627=O628)*(HISTORIAL!$F$3:$F$627&lt;&gt;"")),HISTORIAL!$K$3:$K$627),"^",IF(K628&lt;LOOKUP(2,1/((HISTORIAL!$O$3:$O$627=O628)*(HISTORIAL!$F$3:$F$627&lt;&gt;"")),HISTORIAL!$K$3:$K$627),"v","-")),"-")),"-")</f>
        <v>-</v>
      </c>
      <c r="N628" s="54" t="str">
        <f>IFERROR(VLOOKUP(A628,CONFIG!$A$10:$B$21,2,0),"")</f>
        <v>HIP</v>
      </c>
      <c r="O628" s="55" t="str">
        <f t="shared" si="19"/>
        <v>Elevaciones Laterales|Cable Polea Individual</v>
      </c>
      <c r="P628" s="69" t="str">
        <f>SABADO!AC241</f>
        <v/>
      </c>
    </row>
    <row r="629" spans="1:16" ht="14.1" customHeight="1">
      <c r="A629" s="37">
        <v>10</v>
      </c>
      <c r="B629" s="37" t="s">
        <v>281</v>
      </c>
      <c r="C629" s="44" t="str">
        <f>SABADO!$A$243</f>
        <v>Encogimientos</v>
      </c>
      <c r="D629" s="45" t="str">
        <f>SABADO!$B$243</f>
        <v>Mancuernas Trapecio</v>
      </c>
      <c r="E629" s="37" t="str">
        <f>SABADO!$C$243</f>
        <v>mancuerna</v>
      </c>
      <c r="F629" s="46" t="str">
        <f>IF(P629="","",IFERROR(CHOOSE(VALUE(RIGHT(P629,1)),SABADO!F243,SABADO!I243,SABADO!L243,SABADO!O243,SABADO!R243),""))</f>
        <v/>
      </c>
      <c r="G629" s="47" t="str">
        <f>IF(P629="","",IFERROR(CHOOSE(VALUE(RIGHT(P629,1)),SABADO!G243,SABADO!J243,SABADO!M243,SABADO!P243,SABADO!S243),""))</f>
        <v/>
      </c>
      <c r="H629" s="48" t="str">
        <f>IF(P629="","",IFERROR(CHOOSE(VALUE(RIGHT(P629,1)),SABADO!H243,SABADO!K243,SABADO!N243,SABADO!Q243,SABADO!T243),""))</f>
        <v/>
      </c>
      <c r="I629" s="49" t="str">
        <f t="shared" si="18"/>
        <v/>
      </c>
      <c r="J629" s="50" t="str">
        <f>IF(P629="","",IFERROR(ROUND(CHOOSE(VALUE(RIGHT(P629,1)),IF(SABADO!C243="peso_corporal",IF(ISNUMBER(SABADO!E243),SABADO!E243,0)+SABADO!F243,SABADO!F243)*SABADO!G243,IF(SABADO!C243="peso_corporal",IF(ISNUMBER(SABADO!E243),SABADO!E243,0)+SABADO!I243,SABADO!I243)*SABADO!J243,IF(SABADO!C243="peso_corporal",IF(ISNUMBER(SABADO!E243),SABADO!E243,0)+SABADO!L243,SABADO!L243)*SABADO!M243,IF(SABADO!C243="peso_corporal",IF(ISNUMBER(SABADO!E243),SABADO!E243,0)+SABADO!O243,SABADO!O243)*SABADO!P243,IF(SABADO!C243="peso_corporal",IF(ISNUMBER(SABADO!E243),SABADO!E243,0)+SABADO!R243,SABADO!R243)*SABADO!S243),1),""))</f>
        <v/>
      </c>
      <c r="K629" s="51" t="str">
        <f>IF(P629="","",IFERROR(ROUND(CHOOSE(VALUE(RIGHT(P629,1)),(IF(SABADO!C243="peso_corporal",IF(ISNUMBER(SABADO!E243),SABADO!E243,0)+SABADO!F243,SABADO!F243))*(1+SABADO!G243/30),(IF(SABADO!C243="peso_corporal",IF(ISNUMBER(SABADO!E243),SABADO!E243,0)+SABADO!I243,SABADO!I243))*(1+SABADO!J243/30),(IF(SABADO!C243="peso_corporal",IF(ISNUMBER(SABADO!E243),SABADO!E243,0)+SABADO!L243,SABADO!L243))*(1+SABADO!M243/30),(IF(SABADO!C243="peso_corporal",IF(ISNUMBER(SABADO!E243),SABADO!E243,0)+SABADO!O243,SABADO!O243))*(1+SABADO!P243/30),(IF(SABADO!C243="peso_corporal",IF(ISNUMBER(SABADO!E243),SABADO!E243,0)+SABADO!R243,SABADO!R243))*(1+SABADO!S243/30)),1),""))</f>
        <v/>
      </c>
      <c r="L629" s="52">
        <f>IFERROR(SABADO!E243,"")</f>
        <v>80</v>
      </c>
      <c r="M629" s="53" t="str">
        <f>IFERROR(IF(K629="","-",IF(ISNUMBER(LOOKUP(2,1/((HISTORIAL!$O$3:$O$628=O629)*(HISTORIAL!$F$3:$F$628&lt;&gt;"")),HISTORIAL!$K$3:$K$628)),IF(K629&gt;LOOKUP(2,1/((HISTORIAL!$O$3:$O$628=O629)*(HISTORIAL!$F$3:$F$628&lt;&gt;"")),HISTORIAL!$K$3:$K$628),"^",IF(K629&lt;LOOKUP(2,1/((HISTORIAL!$O$3:$O$628=O629)*(HISTORIAL!$F$3:$F$628&lt;&gt;"")),HISTORIAL!$K$3:$K$628),"v","-")),"-")),"-")</f>
        <v>-</v>
      </c>
      <c r="N629" s="54" t="str">
        <f>IFERROR(VLOOKUP(A629,CONFIG!$A$10:$B$21,2,0),"")</f>
        <v>HIP</v>
      </c>
      <c r="O629" s="55" t="str">
        <f t="shared" si="19"/>
        <v>Encogimientos|Mancuernas Trapecio</v>
      </c>
      <c r="P629" s="69" t="str">
        <f>SABADO!AC243</f>
        <v/>
      </c>
    </row>
    <row r="630" spans="1:16" ht="14.1" customHeight="1">
      <c r="A630" s="37">
        <v>10</v>
      </c>
      <c r="B630" s="37" t="s">
        <v>281</v>
      </c>
      <c r="C630" s="44" t="str">
        <f>SABADO!$A$244</f>
        <v>Face Pull</v>
      </c>
      <c r="D630" s="45" t="str">
        <f>SABADO!$B$244</f>
        <v>Polea Alta Cuerda</v>
      </c>
      <c r="E630" s="37" t="str">
        <f>SABADO!$C$244</f>
        <v>polea</v>
      </c>
      <c r="F630" s="46" t="str">
        <f>IF(P630="","",IFERROR(CHOOSE(VALUE(RIGHT(P630,1)),SABADO!F244,SABADO!I244,SABADO!L244,SABADO!O244,SABADO!R244),""))</f>
        <v/>
      </c>
      <c r="G630" s="47" t="str">
        <f>IF(P630="","",IFERROR(CHOOSE(VALUE(RIGHT(P630,1)),SABADO!G244,SABADO!J244,SABADO!M244,SABADO!P244,SABADO!S244),""))</f>
        <v/>
      </c>
      <c r="H630" s="48" t="str">
        <f>IF(P630="","",IFERROR(CHOOSE(VALUE(RIGHT(P630,1)),SABADO!H244,SABADO!K244,SABADO!N244,SABADO!Q244,SABADO!T244),""))</f>
        <v/>
      </c>
      <c r="I630" s="49" t="str">
        <f t="shared" si="18"/>
        <v/>
      </c>
      <c r="J630" s="50" t="str">
        <f>IF(P630="","",IFERROR(ROUND(CHOOSE(VALUE(RIGHT(P630,1)),IF(SABADO!C244="peso_corporal",IF(ISNUMBER(SABADO!E244),SABADO!E244,0)+SABADO!F244,SABADO!F244)*SABADO!G244,IF(SABADO!C244="peso_corporal",IF(ISNUMBER(SABADO!E244),SABADO!E244,0)+SABADO!I244,SABADO!I244)*SABADO!J244,IF(SABADO!C244="peso_corporal",IF(ISNUMBER(SABADO!E244),SABADO!E244,0)+SABADO!L244,SABADO!L244)*SABADO!M244,IF(SABADO!C244="peso_corporal",IF(ISNUMBER(SABADO!E244),SABADO!E244,0)+SABADO!O244,SABADO!O244)*SABADO!P244,IF(SABADO!C244="peso_corporal",IF(ISNUMBER(SABADO!E244),SABADO!E244,0)+SABADO!R244,SABADO!R244)*SABADO!S244),1),""))</f>
        <v/>
      </c>
      <c r="K630" s="51" t="str">
        <f>IF(P630="","",IFERROR(ROUND(CHOOSE(VALUE(RIGHT(P630,1)),(IF(SABADO!C244="peso_corporal",IF(ISNUMBER(SABADO!E244),SABADO!E244,0)+SABADO!F244,SABADO!F244))*(1+SABADO!G244/30),(IF(SABADO!C244="peso_corporal",IF(ISNUMBER(SABADO!E244),SABADO!E244,0)+SABADO!I244,SABADO!I244))*(1+SABADO!J244/30),(IF(SABADO!C244="peso_corporal",IF(ISNUMBER(SABADO!E244),SABADO!E244,0)+SABADO!L244,SABADO!L244))*(1+SABADO!M244/30),(IF(SABADO!C244="peso_corporal",IF(ISNUMBER(SABADO!E244),SABADO!E244,0)+SABADO!O244,SABADO!O244))*(1+SABADO!P244/30),(IF(SABADO!C244="peso_corporal",IF(ISNUMBER(SABADO!E244),SABADO!E244,0)+SABADO!R244,SABADO!R244))*(1+SABADO!S244/30)),1),""))</f>
        <v/>
      </c>
      <c r="L630" s="52">
        <f>IFERROR(SABADO!E244,"")</f>
        <v>80</v>
      </c>
      <c r="M630" s="53" t="str">
        <f>IFERROR(IF(K630="","-",IF(ISNUMBER(LOOKUP(2,1/((HISTORIAL!$O$3:$O$629=O630)*(HISTORIAL!$F$3:$F$629&lt;&gt;"")),HISTORIAL!$K$3:$K$629)),IF(K630&gt;LOOKUP(2,1/((HISTORIAL!$O$3:$O$629=O630)*(HISTORIAL!$F$3:$F$629&lt;&gt;"")),HISTORIAL!$K$3:$K$629),"^",IF(K630&lt;LOOKUP(2,1/((HISTORIAL!$O$3:$O$629=O630)*(HISTORIAL!$F$3:$F$629&lt;&gt;"")),HISTORIAL!$K$3:$K$629),"v","-")),"-")),"-")</f>
        <v>-</v>
      </c>
      <c r="N630" s="54" t="str">
        <f>IFERROR(VLOOKUP(A630,CONFIG!$A$10:$B$21,2,0),"")</f>
        <v>HIP</v>
      </c>
      <c r="O630" s="55" t="str">
        <f t="shared" si="19"/>
        <v>Face Pull|Polea Alta Cuerda</v>
      </c>
      <c r="P630" s="69" t="str">
        <f>SABADO!AC244</f>
        <v/>
      </c>
    </row>
    <row r="631" spans="1:16" ht="14.1" customHeight="1">
      <c r="A631" s="37">
        <v>10</v>
      </c>
      <c r="B631" s="37" t="s">
        <v>281</v>
      </c>
      <c r="C631" s="44" t="str">
        <f>SABADO!$A$246</f>
        <v>Hiperextension</v>
      </c>
      <c r="D631" s="45" t="str">
        <f>SABADO!$B$246</f>
        <v>Banco Romano</v>
      </c>
      <c r="E631" s="37" t="str">
        <f>SABADO!$C$246</f>
        <v>peso_corporal</v>
      </c>
      <c r="F631" s="46" t="str">
        <f>IF(P631="","",IFERROR(CHOOSE(VALUE(RIGHT(P631,1)),SABADO!F246,SABADO!I246,SABADO!L246,SABADO!O246,SABADO!R246),""))</f>
        <v/>
      </c>
      <c r="G631" s="47" t="str">
        <f>IF(P631="","",IFERROR(CHOOSE(VALUE(RIGHT(P631,1)),SABADO!G246,SABADO!J246,SABADO!M246,SABADO!P246,SABADO!S246),""))</f>
        <v/>
      </c>
      <c r="H631" s="48" t="str">
        <f>IF(P631="","",IFERROR(CHOOSE(VALUE(RIGHT(P631,1)),SABADO!H246,SABADO!K246,SABADO!N246,SABADO!Q246,SABADO!T246),""))</f>
        <v/>
      </c>
      <c r="I631" s="49" t="str">
        <f t="shared" si="18"/>
        <v/>
      </c>
      <c r="J631" s="50" t="str">
        <f>IF(P631="","",IFERROR(ROUND(CHOOSE(VALUE(RIGHT(P631,1)),IF(SABADO!C246="peso_corporal",IF(ISNUMBER(SABADO!E246),SABADO!E246,0)+SABADO!F246,SABADO!F246)*SABADO!G246,IF(SABADO!C246="peso_corporal",IF(ISNUMBER(SABADO!E246),SABADO!E246,0)+SABADO!I246,SABADO!I246)*SABADO!J246,IF(SABADO!C246="peso_corporal",IF(ISNUMBER(SABADO!E246),SABADO!E246,0)+SABADO!L246,SABADO!L246)*SABADO!M246,IF(SABADO!C246="peso_corporal",IF(ISNUMBER(SABADO!E246),SABADO!E246,0)+SABADO!O246,SABADO!O246)*SABADO!P246,IF(SABADO!C246="peso_corporal",IF(ISNUMBER(SABADO!E246),SABADO!E246,0)+SABADO!R246,SABADO!R246)*SABADO!S246),1),""))</f>
        <v/>
      </c>
      <c r="K631" s="51" t="str">
        <f>IF(P631="","",IFERROR(ROUND(CHOOSE(VALUE(RIGHT(P631,1)),(IF(SABADO!C246="peso_corporal",IF(ISNUMBER(SABADO!E246),SABADO!E246,0)+SABADO!F246,SABADO!F246))*(1+SABADO!G246/30),(IF(SABADO!C246="peso_corporal",IF(ISNUMBER(SABADO!E246),SABADO!E246,0)+SABADO!I246,SABADO!I246))*(1+SABADO!J246/30),(IF(SABADO!C246="peso_corporal",IF(ISNUMBER(SABADO!E246),SABADO!E246,0)+SABADO!L246,SABADO!L246))*(1+SABADO!M246/30),(IF(SABADO!C246="peso_corporal",IF(ISNUMBER(SABADO!E246),SABADO!E246,0)+SABADO!O246,SABADO!O246))*(1+SABADO!P246/30),(IF(SABADO!C246="peso_corporal",IF(ISNUMBER(SABADO!E246),SABADO!E246,0)+SABADO!R246,SABADO!R246))*(1+SABADO!S246/30)),1),""))</f>
        <v/>
      </c>
      <c r="L631" s="52">
        <f>IFERROR(SABADO!E246,"")</f>
        <v>80</v>
      </c>
      <c r="M631" s="53" t="str">
        <f>IFERROR(IF(K631="","-",IF(ISNUMBER(LOOKUP(2,1/((HISTORIAL!$O$3:$O$630=O631)*(HISTORIAL!$F$3:$F$630&lt;&gt;"")),HISTORIAL!$K$3:$K$630)),IF(K631&gt;LOOKUP(2,1/((HISTORIAL!$O$3:$O$630=O631)*(HISTORIAL!$F$3:$F$630&lt;&gt;"")),HISTORIAL!$K$3:$K$630),"^",IF(K631&lt;LOOKUP(2,1/((HISTORIAL!$O$3:$O$630=O631)*(HISTORIAL!$F$3:$F$630&lt;&gt;"")),HISTORIAL!$K$3:$K$630),"v","-")),"-")),"-")</f>
        <v>-</v>
      </c>
      <c r="N631" s="54" t="str">
        <f>IFERROR(VLOOKUP(A631,CONFIG!$A$10:$B$21,2,0),"")</f>
        <v>HIP</v>
      </c>
      <c r="O631" s="55" t="str">
        <f t="shared" si="19"/>
        <v>Hiperextension|Banco Romano</v>
      </c>
      <c r="P631" s="69" t="str">
        <f>SABADO!AC246</f>
        <v/>
      </c>
    </row>
    <row r="632" spans="1:16" ht="14.1" customHeight="1">
      <c r="A632" s="37">
        <v>10</v>
      </c>
      <c r="B632" s="37" t="s">
        <v>281</v>
      </c>
      <c r="C632" s="44" t="str">
        <f>SABADO!$A$248</f>
        <v>Crunch</v>
      </c>
      <c r="D632" s="45" t="str">
        <f>SABADO!$B$248</f>
        <v>Polea</v>
      </c>
      <c r="E632" s="37" t="str">
        <f>SABADO!$C$248</f>
        <v>polea</v>
      </c>
      <c r="F632" s="46" t="str">
        <f>IF(P632="","",IFERROR(CHOOSE(VALUE(RIGHT(P632,1)),SABADO!F248,SABADO!I248,SABADO!L248,SABADO!O248,SABADO!R248),""))</f>
        <v/>
      </c>
      <c r="G632" s="47" t="str">
        <f>IF(P632="","",IFERROR(CHOOSE(VALUE(RIGHT(P632,1)),SABADO!G248,SABADO!J248,SABADO!M248,SABADO!P248,SABADO!S248),""))</f>
        <v/>
      </c>
      <c r="H632" s="48" t="str">
        <f>IF(P632="","",IFERROR(CHOOSE(VALUE(RIGHT(P632,1)),SABADO!H248,SABADO!K248,SABADO!N248,SABADO!Q248,SABADO!T248),""))</f>
        <v/>
      </c>
      <c r="I632" s="49" t="str">
        <f t="shared" si="18"/>
        <v/>
      </c>
      <c r="J632" s="50" t="str">
        <f>IF(P632="","",IFERROR(ROUND(CHOOSE(VALUE(RIGHT(P632,1)),IF(SABADO!C248="peso_corporal",IF(ISNUMBER(SABADO!E248),SABADO!E248,0)+SABADO!F248,SABADO!F248)*SABADO!G248,IF(SABADO!C248="peso_corporal",IF(ISNUMBER(SABADO!E248),SABADO!E248,0)+SABADO!I248,SABADO!I248)*SABADO!J248,IF(SABADO!C248="peso_corporal",IF(ISNUMBER(SABADO!E248),SABADO!E248,0)+SABADO!L248,SABADO!L248)*SABADO!M248,IF(SABADO!C248="peso_corporal",IF(ISNUMBER(SABADO!E248),SABADO!E248,0)+SABADO!O248,SABADO!O248)*SABADO!P248,IF(SABADO!C248="peso_corporal",IF(ISNUMBER(SABADO!E248),SABADO!E248,0)+SABADO!R248,SABADO!R248)*SABADO!S248),1),""))</f>
        <v/>
      </c>
      <c r="K632" s="51" t="str">
        <f>IF(P632="","",IFERROR(ROUND(CHOOSE(VALUE(RIGHT(P632,1)),(IF(SABADO!C248="peso_corporal",IF(ISNUMBER(SABADO!E248),SABADO!E248,0)+SABADO!F248,SABADO!F248))*(1+SABADO!G248/30),(IF(SABADO!C248="peso_corporal",IF(ISNUMBER(SABADO!E248),SABADO!E248,0)+SABADO!I248,SABADO!I248))*(1+SABADO!J248/30),(IF(SABADO!C248="peso_corporal",IF(ISNUMBER(SABADO!E248),SABADO!E248,0)+SABADO!L248,SABADO!L248))*(1+SABADO!M248/30),(IF(SABADO!C248="peso_corporal",IF(ISNUMBER(SABADO!E248),SABADO!E248,0)+SABADO!O248,SABADO!O248))*(1+SABADO!P248/30),(IF(SABADO!C248="peso_corporal",IF(ISNUMBER(SABADO!E248),SABADO!E248,0)+SABADO!R248,SABADO!R248))*(1+SABADO!S248/30)),1),""))</f>
        <v/>
      </c>
      <c r="L632" s="52">
        <f>IFERROR(SABADO!E248,"")</f>
        <v>80</v>
      </c>
      <c r="M632" s="53" t="str">
        <f>IFERROR(IF(K632="","-",IF(ISNUMBER(LOOKUP(2,1/((HISTORIAL!$O$3:$O$631=O632)*(HISTORIAL!$F$3:$F$631&lt;&gt;"")),HISTORIAL!$K$3:$K$631)),IF(K632&gt;LOOKUP(2,1/((HISTORIAL!$O$3:$O$631=O632)*(HISTORIAL!$F$3:$F$631&lt;&gt;"")),HISTORIAL!$K$3:$K$631),"^",IF(K632&lt;LOOKUP(2,1/((HISTORIAL!$O$3:$O$631=O632)*(HISTORIAL!$F$3:$F$631&lt;&gt;"")),HISTORIAL!$K$3:$K$631),"v","-")),"-")),"-")</f>
        <v>-</v>
      </c>
      <c r="N632" s="54" t="str">
        <f>IFERROR(VLOOKUP(A632,CONFIG!$A$10:$B$21,2,0),"")</f>
        <v>HIP</v>
      </c>
      <c r="O632" s="55" t="str">
        <f t="shared" si="19"/>
        <v>Crunch|Polea</v>
      </c>
      <c r="P632" s="69" t="str">
        <f>SABADO!AC248</f>
        <v/>
      </c>
    </row>
    <row r="633" spans="1:16" ht="14.1" customHeight="1">
      <c r="A633" s="37">
        <v>11</v>
      </c>
      <c r="B633" s="37" t="s">
        <v>277</v>
      </c>
      <c r="C633" s="44" t="str">
        <f>LUNES!$A$233</f>
        <v>Press Plano</v>
      </c>
      <c r="D633" s="45" t="str">
        <f>LUNES!$B$233</f>
        <v>Barra</v>
      </c>
      <c r="E633" s="37" t="str">
        <f>LUNES!$C$233</f>
        <v>disco</v>
      </c>
      <c r="F633" s="46" t="str">
        <f>IF(P633="","",IFERROR(CHOOSE(VALUE(RIGHT(P633,1)),LUNES!F233,LUNES!I233,LUNES!L233,LUNES!O233,LUNES!R233),""))</f>
        <v/>
      </c>
      <c r="G633" s="47" t="str">
        <f>IF(P633="","",IFERROR(CHOOSE(VALUE(RIGHT(P633,1)),LUNES!G233,LUNES!J233,LUNES!M233,LUNES!P233,LUNES!S233),""))</f>
        <v/>
      </c>
      <c r="H633" s="48" t="str">
        <f>IF(P633="","",IFERROR(CHOOSE(VALUE(RIGHT(P633,1)),LUNES!H233,LUNES!K233,LUNES!N233,LUNES!Q233,LUNES!T233),""))</f>
        <v/>
      </c>
      <c r="I633" s="49" t="str">
        <f t="shared" si="18"/>
        <v/>
      </c>
      <c r="J633" s="50" t="str">
        <f>IF(P633="","",IFERROR(ROUND(CHOOSE(VALUE(RIGHT(P633,1)),IF(LUNES!C233="peso_corporal",IF(ISNUMBER(LUNES!E233),LUNES!E233,0)+LUNES!F233,LUNES!F233)*LUNES!G233,IF(LUNES!C233="peso_corporal",IF(ISNUMBER(LUNES!E233),LUNES!E233,0)+LUNES!I233,LUNES!I233)*LUNES!J233,IF(LUNES!C233="peso_corporal",IF(ISNUMBER(LUNES!E233),LUNES!E233,0)+LUNES!L233,LUNES!L233)*LUNES!M233,IF(LUNES!C233="peso_corporal",IF(ISNUMBER(LUNES!E233),LUNES!E233,0)+LUNES!O233,LUNES!O233)*LUNES!P233,IF(LUNES!C233="peso_corporal",IF(ISNUMBER(LUNES!E233),LUNES!E233,0)+LUNES!R233,LUNES!R233)*LUNES!S233),1),""))</f>
        <v/>
      </c>
      <c r="K633" s="51" t="str">
        <f>IF(P633="","",IFERROR(ROUND(CHOOSE(VALUE(RIGHT(P633,1)),(IF(LUNES!C233="peso_corporal",IF(ISNUMBER(LUNES!E233),LUNES!E233,0)+LUNES!F233,LUNES!F233))*(1+LUNES!G233/30),(IF(LUNES!C233="peso_corporal",IF(ISNUMBER(LUNES!E233),LUNES!E233,0)+LUNES!I233,LUNES!I233))*(1+LUNES!J233/30),(IF(LUNES!C233="peso_corporal",IF(ISNUMBER(LUNES!E233),LUNES!E233,0)+LUNES!L233,LUNES!L233))*(1+LUNES!M233/30),(IF(LUNES!C233="peso_corporal",IF(ISNUMBER(LUNES!E233),LUNES!E233,0)+LUNES!O233,LUNES!O233))*(1+LUNES!P233/30),(IF(LUNES!C233="peso_corporal",IF(ISNUMBER(LUNES!E233),LUNES!E233,0)+LUNES!R233,LUNES!R233))*(1+LUNES!S233/30)),1),""))</f>
        <v/>
      </c>
      <c r="L633" s="52">
        <f>IFERROR(LUNES!E233,"")</f>
        <v>80</v>
      </c>
      <c r="M633" s="53" t="str">
        <f>IFERROR(IF(K633="","-",IF(ISNUMBER(LOOKUP(2,1/((HISTORIAL!$O$3:$O$632=O633)*(HISTORIAL!$F$3:$F$632&lt;&gt;"")),HISTORIAL!$K$3:$K$632)),IF(K633&gt;LOOKUP(2,1/((HISTORIAL!$O$3:$O$632=O633)*(HISTORIAL!$F$3:$F$632&lt;&gt;"")),HISTORIAL!$K$3:$K$632),"^",IF(K633&lt;LOOKUP(2,1/((HISTORIAL!$O$3:$O$632=O633)*(HISTORIAL!$F$3:$F$632&lt;&gt;"")),HISTORIAL!$K$3:$K$632),"v","-")),"-")),"-")</f>
        <v>-</v>
      </c>
      <c r="N633" s="54" t="str">
        <f>IFERROR(VLOOKUP(A633,CONFIG!$A$10:$B$21,2,0),"")</f>
        <v>FUE</v>
      </c>
      <c r="O633" s="55" t="str">
        <f t="shared" si="19"/>
        <v>Press Plano|Barra</v>
      </c>
      <c r="P633" s="69" t="str">
        <f>LUNES!AC233</f>
        <v/>
      </c>
    </row>
    <row r="634" spans="1:16" ht="14.1" customHeight="1">
      <c r="A634" s="37">
        <v>11</v>
      </c>
      <c r="B634" s="37" t="s">
        <v>277</v>
      </c>
      <c r="C634" s="44" t="str">
        <f>LUNES!$A$235</f>
        <v>Press Inclinado</v>
      </c>
      <c r="D634" s="45" t="str">
        <f>LUNES!$B$235</f>
        <v>Mancuernas</v>
      </c>
      <c r="E634" s="37" t="str">
        <f>LUNES!$C$235</f>
        <v>mancuerna</v>
      </c>
      <c r="F634" s="46" t="str">
        <f>IF(P634="","",IFERROR(CHOOSE(VALUE(RIGHT(P634,1)),LUNES!F235,LUNES!I235,LUNES!L235,LUNES!O235,LUNES!R235),""))</f>
        <v/>
      </c>
      <c r="G634" s="47" t="str">
        <f>IF(P634="","",IFERROR(CHOOSE(VALUE(RIGHT(P634,1)),LUNES!G235,LUNES!J235,LUNES!M235,LUNES!P235,LUNES!S235),""))</f>
        <v/>
      </c>
      <c r="H634" s="48" t="str">
        <f>IF(P634="","",IFERROR(CHOOSE(VALUE(RIGHT(P634,1)),LUNES!H235,LUNES!K235,LUNES!N235,LUNES!Q235,LUNES!T235),""))</f>
        <v/>
      </c>
      <c r="I634" s="49" t="str">
        <f t="shared" si="18"/>
        <v/>
      </c>
      <c r="J634" s="50" t="str">
        <f>IF(P634="","",IFERROR(ROUND(CHOOSE(VALUE(RIGHT(P634,1)),IF(LUNES!C235="peso_corporal",IF(ISNUMBER(LUNES!E235),LUNES!E235,0)+LUNES!F235,LUNES!F235)*LUNES!G235,IF(LUNES!C235="peso_corporal",IF(ISNUMBER(LUNES!E235),LUNES!E235,0)+LUNES!I235,LUNES!I235)*LUNES!J235,IF(LUNES!C235="peso_corporal",IF(ISNUMBER(LUNES!E235),LUNES!E235,0)+LUNES!L235,LUNES!L235)*LUNES!M235,IF(LUNES!C235="peso_corporal",IF(ISNUMBER(LUNES!E235),LUNES!E235,0)+LUNES!O235,LUNES!O235)*LUNES!P235,IF(LUNES!C235="peso_corporal",IF(ISNUMBER(LUNES!E235),LUNES!E235,0)+LUNES!R235,LUNES!R235)*LUNES!S235),1),""))</f>
        <v/>
      </c>
      <c r="K634" s="51" t="str">
        <f>IF(P634="","",IFERROR(ROUND(CHOOSE(VALUE(RIGHT(P634,1)),(IF(LUNES!C235="peso_corporal",IF(ISNUMBER(LUNES!E235),LUNES!E235,0)+LUNES!F235,LUNES!F235))*(1+LUNES!G235/30),(IF(LUNES!C235="peso_corporal",IF(ISNUMBER(LUNES!E235),LUNES!E235,0)+LUNES!I235,LUNES!I235))*(1+LUNES!J235/30),(IF(LUNES!C235="peso_corporal",IF(ISNUMBER(LUNES!E235),LUNES!E235,0)+LUNES!L235,LUNES!L235))*(1+LUNES!M235/30),(IF(LUNES!C235="peso_corporal",IF(ISNUMBER(LUNES!E235),LUNES!E235,0)+LUNES!O235,LUNES!O235))*(1+LUNES!P235/30),(IF(LUNES!C235="peso_corporal",IF(ISNUMBER(LUNES!E235),LUNES!E235,0)+LUNES!R235,LUNES!R235))*(1+LUNES!S235/30)),1),""))</f>
        <v/>
      </c>
      <c r="L634" s="52">
        <f>IFERROR(LUNES!E235,"")</f>
        <v>80</v>
      </c>
      <c r="M634" s="53" t="str">
        <f>IFERROR(IF(K634="","-",IF(ISNUMBER(LOOKUP(2,1/((HISTORIAL!$O$3:$O$633=O634)*(HISTORIAL!$F$3:$F$633&lt;&gt;"")),HISTORIAL!$K$3:$K$633)),IF(K634&gt;LOOKUP(2,1/((HISTORIAL!$O$3:$O$633=O634)*(HISTORIAL!$F$3:$F$633&lt;&gt;"")),HISTORIAL!$K$3:$K$633),"^",IF(K634&lt;LOOKUP(2,1/((HISTORIAL!$O$3:$O$633=O634)*(HISTORIAL!$F$3:$F$633&lt;&gt;"")),HISTORIAL!$K$3:$K$633),"v","-")),"-")),"-")</f>
        <v>-</v>
      </c>
      <c r="N634" s="54" t="str">
        <f>IFERROR(VLOOKUP(A634,CONFIG!$A$10:$B$21,2,0),"")</f>
        <v>FUE</v>
      </c>
      <c r="O634" s="55" t="str">
        <f t="shared" si="19"/>
        <v>Press Inclinado|Mancuernas</v>
      </c>
      <c r="P634" s="69" t="str">
        <f>LUNES!AC235</f>
        <v/>
      </c>
    </row>
    <row r="635" spans="1:16" ht="14.1" customHeight="1">
      <c r="A635" s="37">
        <v>11</v>
      </c>
      <c r="B635" s="37" t="s">
        <v>277</v>
      </c>
      <c r="C635" s="44" t="str">
        <f>LUNES!$A$237</f>
        <v>Fondos</v>
      </c>
      <c r="D635" s="45" t="str">
        <f>LUNES!$B$237</f>
        <v>Paralelas</v>
      </c>
      <c r="E635" s="37" t="str">
        <f>LUNES!$C$237</f>
        <v>peso_corporal</v>
      </c>
      <c r="F635" s="46" t="str">
        <f>IF(P635="","",IFERROR(CHOOSE(VALUE(RIGHT(P635,1)),LUNES!F237,LUNES!I237,LUNES!L237,LUNES!O237,LUNES!R237),""))</f>
        <v/>
      </c>
      <c r="G635" s="47" t="str">
        <f>IF(P635="","",IFERROR(CHOOSE(VALUE(RIGHT(P635,1)),LUNES!G237,LUNES!J237,LUNES!M237,LUNES!P237,LUNES!S237),""))</f>
        <v/>
      </c>
      <c r="H635" s="48" t="str">
        <f>IF(P635="","",IFERROR(CHOOSE(VALUE(RIGHT(P635,1)),LUNES!H237,LUNES!K237,LUNES!N237,LUNES!Q237,LUNES!T237),""))</f>
        <v/>
      </c>
      <c r="I635" s="49" t="str">
        <f t="shared" si="18"/>
        <v/>
      </c>
      <c r="J635" s="50" t="str">
        <f>IF(P635="","",IFERROR(ROUND(CHOOSE(VALUE(RIGHT(P635,1)),IF(LUNES!C237="peso_corporal",IF(ISNUMBER(LUNES!E237),LUNES!E237,0)+LUNES!F237,LUNES!F237)*LUNES!G237,IF(LUNES!C237="peso_corporal",IF(ISNUMBER(LUNES!E237),LUNES!E237,0)+LUNES!I237,LUNES!I237)*LUNES!J237,IF(LUNES!C237="peso_corporal",IF(ISNUMBER(LUNES!E237),LUNES!E237,0)+LUNES!L237,LUNES!L237)*LUNES!M237,IF(LUNES!C237="peso_corporal",IF(ISNUMBER(LUNES!E237),LUNES!E237,0)+LUNES!O237,LUNES!O237)*LUNES!P237,IF(LUNES!C237="peso_corporal",IF(ISNUMBER(LUNES!E237),LUNES!E237,0)+LUNES!R237,LUNES!R237)*LUNES!S237),1),""))</f>
        <v/>
      </c>
      <c r="K635" s="51" t="str">
        <f>IF(P635="","",IFERROR(ROUND(CHOOSE(VALUE(RIGHT(P635,1)),(IF(LUNES!C237="peso_corporal",IF(ISNUMBER(LUNES!E237),LUNES!E237,0)+LUNES!F237,LUNES!F237))*(1+LUNES!G237/30),(IF(LUNES!C237="peso_corporal",IF(ISNUMBER(LUNES!E237),LUNES!E237,0)+LUNES!I237,LUNES!I237))*(1+LUNES!J237/30),(IF(LUNES!C237="peso_corporal",IF(ISNUMBER(LUNES!E237),LUNES!E237,0)+LUNES!L237,LUNES!L237))*(1+LUNES!M237/30),(IF(LUNES!C237="peso_corporal",IF(ISNUMBER(LUNES!E237),LUNES!E237,0)+LUNES!O237,LUNES!O237))*(1+LUNES!P237/30),(IF(LUNES!C237="peso_corporal",IF(ISNUMBER(LUNES!E237),LUNES!E237,0)+LUNES!R237,LUNES!R237))*(1+LUNES!S237/30)),1),""))</f>
        <v/>
      </c>
      <c r="L635" s="52">
        <f>IFERROR(LUNES!E237,"")</f>
        <v>80</v>
      </c>
      <c r="M635" s="53" t="str">
        <f>IFERROR(IF(K635="","-",IF(ISNUMBER(LOOKUP(2,1/((HISTORIAL!$O$3:$O$634=O635)*(HISTORIAL!$F$3:$F$634&lt;&gt;"")),HISTORIAL!$K$3:$K$634)),IF(K635&gt;LOOKUP(2,1/((HISTORIAL!$O$3:$O$634=O635)*(HISTORIAL!$F$3:$F$634&lt;&gt;"")),HISTORIAL!$K$3:$K$634),"^",IF(K635&lt;LOOKUP(2,1/((HISTORIAL!$O$3:$O$634=O635)*(HISTORIAL!$F$3:$F$634&lt;&gt;"")),HISTORIAL!$K$3:$K$634),"v","-")),"-")),"-")</f>
        <v>-</v>
      </c>
      <c r="N635" s="54" t="str">
        <f>IFERROR(VLOOKUP(A635,CONFIG!$A$10:$B$21,2,0),"")</f>
        <v>FUE</v>
      </c>
      <c r="O635" s="55" t="str">
        <f t="shared" si="19"/>
        <v>Fondos|Paralelas</v>
      </c>
      <c r="P635" s="69" t="str">
        <f>LUNES!AC237</f>
        <v/>
      </c>
    </row>
    <row r="636" spans="1:16" ht="14.1" customHeight="1">
      <c r="A636" s="37">
        <v>11</v>
      </c>
      <c r="B636" s="37" t="s">
        <v>277</v>
      </c>
      <c r="C636" s="44" t="str">
        <f>LUNES!$A$238</f>
        <v>Aperturas</v>
      </c>
      <c r="D636" s="45" t="str">
        <f>LUNES!$B$238</f>
        <v>Polea Baja Crossover</v>
      </c>
      <c r="E636" s="37" t="str">
        <f>LUNES!$C$238</f>
        <v>--</v>
      </c>
      <c r="F636" s="46" t="str">
        <f>IF(P636="","",IFERROR(CHOOSE(VALUE(RIGHT(P636,1)),LUNES!F238,LUNES!I238,LUNES!L238,LUNES!O238,LUNES!R238),""))</f>
        <v/>
      </c>
      <c r="G636" s="47" t="str">
        <f>IF(P636="","",IFERROR(CHOOSE(VALUE(RIGHT(P636,1)),LUNES!G238,LUNES!J238,LUNES!M238,LUNES!P238,LUNES!S238),""))</f>
        <v/>
      </c>
      <c r="H636" s="48" t="str">
        <f>IF(P636="","",IFERROR(CHOOSE(VALUE(RIGHT(P636,1)),LUNES!H238,LUNES!K238,LUNES!N238,LUNES!Q238,LUNES!T238),""))</f>
        <v/>
      </c>
      <c r="I636" s="49" t="str">
        <f t="shared" si="18"/>
        <v/>
      </c>
      <c r="J636" s="50" t="str">
        <f>IF(P636="","",IFERROR(ROUND(CHOOSE(VALUE(RIGHT(P636,1)),IF(LUNES!C238="peso_corporal",IF(ISNUMBER(LUNES!E238),LUNES!E238,0)+LUNES!F238,LUNES!F238)*LUNES!G238,IF(LUNES!C238="peso_corporal",IF(ISNUMBER(LUNES!E238),LUNES!E238,0)+LUNES!I238,LUNES!I238)*LUNES!J238,IF(LUNES!C238="peso_corporal",IF(ISNUMBER(LUNES!E238),LUNES!E238,0)+LUNES!L238,LUNES!L238)*LUNES!M238,IF(LUNES!C238="peso_corporal",IF(ISNUMBER(LUNES!E238),LUNES!E238,0)+LUNES!O238,LUNES!O238)*LUNES!P238,IF(LUNES!C238="peso_corporal",IF(ISNUMBER(LUNES!E238),LUNES!E238,0)+LUNES!R238,LUNES!R238)*LUNES!S238),1),""))</f>
        <v/>
      </c>
      <c r="K636" s="51" t="str">
        <f>IF(P636="","",IFERROR(ROUND(CHOOSE(VALUE(RIGHT(P636,1)),(IF(LUNES!C238="peso_corporal",IF(ISNUMBER(LUNES!E238),LUNES!E238,0)+LUNES!F238,LUNES!F238))*(1+LUNES!G238/30),(IF(LUNES!C238="peso_corporal",IF(ISNUMBER(LUNES!E238),LUNES!E238,0)+LUNES!I238,LUNES!I238))*(1+LUNES!J238/30),(IF(LUNES!C238="peso_corporal",IF(ISNUMBER(LUNES!E238),LUNES!E238,0)+LUNES!L238,LUNES!L238))*(1+LUNES!M238/30),(IF(LUNES!C238="peso_corporal",IF(ISNUMBER(LUNES!E238),LUNES!E238,0)+LUNES!O238,LUNES!O238))*(1+LUNES!P238/30),(IF(LUNES!C238="peso_corporal",IF(ISNUMBER(LUNES!E238),LUNES!E238,0)+LUNES!R238,LUNES!R238))*(1+LUNES!S238/30)),1),""))</f>
        <v/>
      </c>
      <c r="L636" s="52">
        <f>IFERROR(LUNES!E238,"")</f>
        <v>80</v>
      </c>
      <c r="M636" s="53" t="str">
        <f>IFERROR(IF(K636="","-",IF(ISNUMBER(LOOKUP(2,1/((HISTORIAL!$O$3:$O$635=O636)*(HISTORIAL!$F$3:$F$635&lt;&gt;"")),HISTORIAL!$K$3:$K$635)),IF(K636&gt;LOOKUP(2,1/((HISTORIAL!$O$3:$O$635=O636)*(HISTORIAL!$F$3:$F$635&lt;&gt;"")),HISTORIAL!$K$3:$K$635),"^",IF(K636&lt;LOOKUP(2,1/((HISTORIAL!$O$3:$O$635=O636)*(HISTORIAL!$F$3:$F$635&lt;&gt;"")),HISTORIAL!$K$3:$K$635),"v","-")),"-")),"-")</f>
        <v>-</v>
      </c>
      <c r="N636" s="54" t="str">
        <f>IFERROR(VLOOKUP(A636,CONFIG!$A$10:$B$21,2,0),"")</f>
        <v>FUE</v>
      </c>
      <c r="O636" s="55" t="str">
        <f t="shared" si="19"/>
        <v>Aperturas|Polea Baja Crossover</v>
      </c>
      <c r="P636" s="69" t="str">
        <f>LUNES!AC238</f>
        <v/>
      </c>
    </row>
    <row r="637" spans="1:16" ht="14.1" customHeight="1">
      <c r="A637" s="37">
        <v>11</v>
      </c>
      <c r="B637" s="37" t="s">
        <v>277</v>
      </c>
      <c r="C637" s="44" t="str">
        <f>LUNES!$A$239</f>
        <v>Aperturas</v>
      </c>
      <c r="D637" s="45" t="str">
        <f>LUNES!$B$239</f>
        <v>Pec Deck Maquina</v>
      </c>
      <c r="E637" s="37" t="str">
        <f>LUNES!$C$239</f>
        <v>--</v>
      </c>
      <c r="F637" s="46" t="str">
        <f>IF(P637="","",IFERROR(CHOOSE(VALUE(RIGHT(P637,1)),LUNES!F239,LUNES!I239,LUNES!L239,LUNES!O239,LUNES!R239),""))</f>
        <v/>
      </c>
      <c r="G637" s="47" t="str">
        <f>IF(P637="","",IFERROR(CHOOSE(VALUE(RIGHT(P637,1)),LUNES!G239,LUNES!J239,LUNES!M239,LUNES!P239,LUNES!S239),""))</f>
        <v/>
      </c>
      <c r="H637" s="48" t="str">
        <f>IF(P637="","",IFERROR(CHOOSE(VALUE(RIGHT(P637,1)),LUNES!H239,LUNES!K239,LUNES!N239,LUNES!Q239,LUNES!T239),""))</f>
        <v/>
      </c>
      <c r="I637" s="49" t="str">
        <f t="shared" si="18"/>
        <v/>
      </c>
      <c r="J637" s="50" t="str">
        <f>IF(P637="","",IFERROR(ROUND(CHOOSE(VALUE(RIGHT(P637,1)),IF(LUNES!C239="peso_corporal",IF(ISNUMBER(LUNES!E239),LUNES!E239,0)+LUNES!F239,LUNES!F239)*LUNES!G239,IF(LUNES!C239="peso_corporal",IF(ISNUMBER(LUNES!E239),LUNES!E239,0)+LUNES!I239,LUNES!I239)*LUNES!J239,IF(LUNES!C239="peso_corporal",IF(ISNUMBER(LUNES!E239),LUNES!E239,0)+LUNES!L239,LUNES!L239)*LUNES!M239,IF(LUNES!C239="peso_corporal",IF(ISNUMBER(LUNES!E239),LUNES!E239,0)+LUNES!O239,LUNES!O239)*LUNES!P239,IF(LUNES!C239="peso_corporal",IF(ISNUMBER(LUNES!E239),LUNES!E239,0)+LUNES!R239,LUNES!R239)*LUNES!S239),1),""))</f>
        <v/>
      </c>
      <c r="K637" s="51" t="str">
        <f>IF(P637="","",IFERROR(ROUND(CHOOSE(VALUE(RIGHT(P637,1)),(IF(LUNES!C239="peso_corporal",IF(ISNUMBER(LUNES!E239),LUNES!E239,0)+LUNES!F239,LUNES!F239))*(1+LUNES!G239/30),(IF(LUNES!C239="peso_corporal",IF(ISNUMBER(LUNES!E239),LUNES!E239,0)+LUNES!I239,LUNES!I239))*(1+LUNES!J239/30),(IF(LUNES!C239="peso_corporal",IF(ISNUMBER(LUNES!E239),LUNES!E239,0)+LUNES!L239,LUNES!L239))*(1+LUNES!M239/30),(IF(LUNES!C239="peso_corporal",IF(ISNUMBER(LUNES!E239),LUNES!E239,0)+LUNES!O239,LUNES!O239))*(1+LUNES!P239/30),(IF(LUNES!C239="peso_corporal",IF(ISNUMBER(LUNES!E239),LUNES!E239,0)+LUNES!R239,LUNES!R239))*(1+LUNES!S239/30)),1),""))</f>
        <v/>
      </c>
      <c r="L637" s="52">
        <f>IFERROR(LUNES!E239,"")</f>
        <v>80</v>
      </c>
      <c r="M637" s="53" t="str">
        <f>IFERROR(IF(K637="","-",IF(ISNUMBER(LOOKUP(2,1/((HISTORIAL!$O$3:$O$636=O637)*(HISTORIAL!$F$3:$F$636&lt;&gt;"")),HISTORIAL!$K$3:$K$636)),IF(K637&gt;LOOKUP(2,1/((HISTORIAL!$O$3:$O$636=O637)*(HISTORIAL!$F$3:$F$636&lt;&gt;"")),HISTORIAL!$K$3:$K$636),"^",IF(K637&lt;LOOKUP(2,1/((HISTORIAL!$O$3:$O$636=O637)*(HISTORIAL!$F$3:$F$636&lt;&gt;"")),HISTORIAL!$K$3:$K$636),"v","-")),"-")),"-")</f>
        <v>-</v>
      </c>
      <c r="N637" s="54" t="str">
        <f>IFERROR(VLOOKUP(A637,CONFIG!$A$10:$B$21,2,0),"")</f>
        <v>FUE</v>
      </c>
      <c r="O637" s="55" t="str">
        <f t="shared" si="19"/>
        <v>Aperturas|Pec Deck Maquina</v>
      </c>
      <c r="P637" s="69" t="str">
        <f>LUNES!AC239</f>
        <v/>
      </c>
    </row>
    <row r="638" spans="1:16" ht="14.1" customHeight="1">
      <c r="A638" s="37">
        <v>11</v>
      </c>
      <c r="B638" s="37" t="s">
        <v>277</v>
      </c>
      <c r="C638" s="44" t="str">
        <f>LUNES!$A$241</f>
        <v>Elevaciones Laterales</v>
      </c>
      <c r="D638" s="45" t="str">
        <f>LUNES!$B$241</f>
        <v>Cable Polea Individual</v>
      </c>
      <c r="E638" s="37" t="str">
        <f>LUNES!$C$241</f>
        <v>polea</v>
      </c>
      <c r="F638" s="46" t="str">
        <f>IF(P638="","",IFERROR(CHOOSE(VALUE(RIGHT(P638,1)),LUNES!F241,LUNES!I241,LUNES!L241,LUNES!O241,LUNES!R241),""))</f>
        <v/>
      </c>
      <c r="G638" s="47" t="str">
        <f>IF(P638="","",IFERROR(CHOOSE(VALUE(RIGHT(P638,1)),LUNES!G241,LUNES!J241,LUNES!M241,LUNES!P241,LUNES!S241),""))</f>
        <v/>
      </c>
      <c r="H638" s="48" t="str">
        <f>IF(P638="","",IFERROR(CHOOSE(VALUE(RIGHT(P638,1)),LUNES!H241,LUNES!K241,LUNES!N241,LUNES!Q241,LUNES!T241),""))</f>
        <v/>
      </c>
      <c r="I638" s="49" t="str">
        <f t="shared" si="18"/>
        <v/>
      </c>
      <c r="J638" s="50" t="str">
        <f>IF(P638="","",IFERROR(ROUND(CHOOSE(VALUE(RIGHT(P638,1)),IF(LUNES!C241="peso_corporal",IF(ISNUMBER(LUNES!E241),LUNES!E241,0)+LUNES!F241,LUNES!F241)*LUNES!G241,IF(LUNES!C241="peso_corporal",IF(ISNUMBER(LUNES!E241),LUNES!E241,0)+LUNES!I241,LUNES!I241)*LUNES!J241,IF(LUNES!C241="peso_corporal",IF(ISNUMBER(LUNES!E241),LUNES!E241,0)+LUNES!L241,LUNES!L241)*LUNES!M241,IF(LUNES!C241="peso_corporal",IF(ISNUMBER(LUNES!E241),LUNES!E241,0)+LUNES!O241,LUNES!O241)*LUNES!P241,IF(LUNES!C241="peso_corporal",IF(ISNUMBER(LUNES!E241),LUNES!E241,0)+LUNES!R241,LUNES!R241)*LUNES!S241),1),""))</f>
        <v/>
      </c>
      <c r="K638" s="51" t="str">
        <f>IF(P638="","",IFERROR(ROUND(CHOOSE(VALUE(RIGHT(P638,1)),(IF(LUNES!C241="peso_corporal",IF(ISNUMBER(LUNES!E241),LUNES!E241,0)+LUNES!F241,LUNES!F241))*(1+LUNES!G241/30),(IF(LUNES!C241="peso_corporal",IF(ISNUMBER(LUNES!E241),LUNES!E241,0)+LUNES!I241,LUNES!I241))*(1+LUNES!J241/30),(IF(LUNES!C241="peso_corporal",IF(ISNUMBER(LUNES!E241),LUNES!E241,0)+LUNES!L241,LUNES!L241))*(1+LUNES!M241/30),(IF(LUNES!C241="peso_corporal",IF(ISNUMBER(LUNES!E241),LUNES!E241,0)+LUNES!O241,LUNES!O241))*(1+LUNES!P241/30),(IF(LUNES!C241="peso_corporal",IF(ISNUMBER(LUNES!E241),LUNES!E241,0)+LUNES!R241,LUNES!R241))*(1+LUNES!S241/30)),1),""))</f>
        <v/>
      </c>
      <c r="L638" s="52">
        <f>IFERROR(LUNES!E241,"")</f>
        <v>80</v>
      </c>
      <c r="M638" s="53" t="str">
        <f>IFERROR(IF(K638="","-",IF(ISNUMBER(LOOKUP(2,1/((HISTORIAL!$O$3:$O$637=O638)*(HISTORIAL!$F$3:$F$637&lt;&gt;"")),HISTORIAL!$K$3:$K$637)),IF(K638&gt;LOOKUP(2,1/((HISTORIAL!$O$3:$O$637=O638)*(HISTORIAL!$F$3:$F$637&lt;&gt;"")),HISTORIAL!$K$3:$K$637),"^",IF(K638&lt;LOOKUP(2,1/((HISTORIAL!$O$3:$O$637=O638)*(HISTORIAL!$F$3:$F$637&lt;&gt;"")),HISTORIAL!$K$3:$K$637),"v","-")),"-")),"-")</f>
        <v>-</v>
      </c>
      <c r="N638" s="54" t="str">
        <f>IFERROR(VLOOKUP(A638,CONFIG!$A$10:$B$21,2,0),"")</f>
        <v>FUE</v>
      </c>
      <c r="O638" s="55" t="str">
        <f t="shared" si="19"/>
        <v>Elevaciones Laterales|Cable Polea Individual</v>
      </c>
      <c r="P638" s="69" t="str">
        <f>LUNES!AC241</f>
        <v/>
      </c>
    </row>
    <row r="639" spans="1:16" ht="14.1" customHeight="1">
      <c r="A639" s="37">
        <v>11</v>
      </c>
      <c r="B639" s="37" t="s">
        <v>277</v>
      </c>
      <c r="C639" s="44" t="str">
        <f>LUNES!$A$242</f>
        <v>Press Militar</v>
      </c>
      <c r="D639" s="45" t="str">
        <f>LUNES!$B$242</f>
        <v>Mancuernas Sentado</v>
      </c>
      <c r="E639" s="37" t="str">
        <f>LUNES!$C$242</f>
        <v>mancuerna</v>
      </c>
      <c r="F639" s="46" t="str">
        <f>IF(P639="","",IFERROR(CHOOSE(VALUE(RIGHT(P639,1)),LUNES!F242,LUNES!I242,LUNES!L242,LUNES!O242,LUNES!R242),""))</f>
        <v/>
      </c>
      <c r="G639" s="47" t="str">
        <f>IF(P639="","",IFERROR(CHOOSE(VALUE(RIGHT(P639,1)),LUNES!G242,LUNES!J242,LUNES!M242,LUNES!P242,LUNES!S242),""))</f>
        <v/>
      </c>
      <c r="H639" s="48" t="str">
        <f>IF(P639="","",IFERROR(CHOOSE(VALUE(RIGHT(P639,1)),LUNES!H242,LUNES!K242,LUNES!N242,LUNES!Q242,LUNES!T242),""))</f>
        <v/>
      </c>
      <c r="I639" s="49" t="str">
        <f t="shared" si="18"/>
        <v/>
      </c>
      <c r="J639" s="50" t="str">
        <f>IF(P639="","",IFERROR(ROUND(CHOOSE(VALUE(RIGHT(P639,1)),IF(LUNES!C242="peso_corporal",IF(ISNUMBER(LUNES!E242),LUNES!E242,0)+LUNES!F242,LUNES!F242)*LUNES!G242,IF(LUNES!C242="peso_corporal",IF(ISNUMBER(LUNES!E242),LUNES!E242,0)+LUNES!I242,LUNES!I242)*LUNES!J242,IF(LUNES!C242="peso_corporal",IF(ISNUMBER(LUNES!E242),LUNES!E242,0)+LUNES!L242,LUNES!L242)*LUNES!M242,IF(LUNES!C242="peso_corporal",IF(ISNUMBER(LUNES!E242),LUNES!E242,0)+LUNES!O242,LUNES!O242)*LUNES!P242,IF(LUNES!C242="peso_corporal",IF(ISNUMBER(LUNES!E242),LUNES!E242,0)+LUNES!R242,LUNES!R242)*LUNES!S242),1),""))</f>
        <v/>
      </c>
      <c r="K639" s="51" t="str">
        <f>IF(P639="","",IFERROR(ROUND(CHOOSE(VALUE(RIGHT(P639,1)),(IF(LUNES!C242="peso_corporal",IF(ISNUMBER(LUNES!E242),LUNES!E242,0)+LUNES!F242,LUNES!F242))*(1+LUNES!G242/30),(IF(LUNES!C242="peso_corporal",IF(ISNUMBER(LUNES!E242),LUNES!E242,0)+LUNES!I242,LUNES!I242))*(1+LUNES!J242/30),(IF(LUNES!C242="peso_corporal",IF(ISNUMBER(LUNES!E242),LUNES!E242,0)+LUNES!L242,LUNES!L242))*(1+LUNES!M242/30),(IF(LUNES!C242="peso_corporal",IF(ISNUMBER(LUNES!E242),LUNES!E242,0)+LUNES!O242,LUNES!O242))*(1+LUNES!P242/30),(IF(LUNES!C242="peso_corporal",IF(ISNUMBER(LUNES!E242),LUNES!E242,0)+LUNES!R242,LUNES!R242))*(1+LUNES!S242/30)),1),""))</f>
        <v/>
      </c>
      <c r="L639" s="52">
        <f>IFERROR(LUNES!E242,"")</f>
        <v>80</v>
      </c>
      <c r="M639" s="53" t="str">
        <f>IFERROR(IF(K639="","-",IF(ISNUMBER(LOOKUP(2,1/((HISTORIAL!$O$3:$O$638=O639)*(HISTORIAL!$F$3:$F$638&lt;&gt;"")),HISTORIAL!$K$3:$K$638)),IF(K639&gt;LOOKUP(2,1/((HISTORIAL!$O$3:$O$638=O639)*(HISTORIAL!$F$3:$F$638&lt;&gt;"")),HISTORIAL!$K$3:$K$638),"^",IF(K639&lt;LOOKUP(2,1/((HISTORIAL!$O$3:$O$638=O639)*(HISTORIAL!$F$3:$F$638&lt;&gt;"")),HISTORIAL!$K$3:$K$638),"v","-")),"-")),"-")</f>
        <v>-</v>
      </c>
      <c r="N639" s="54" t="str">
        <f>IFERROR(VLOOKUP(A639,CONFIG!$A$10:$B$21,2,0),"")</f>
        <v>FUE</v>
      </c>
      <c r="O639" s="55" t="str">
        <f t="shared" si="19"/>
        <v>Press Militar|Mancuernas Sentado</v>
      </c>
      <c r="P639" s="69" t="str">
        <f>LUNES!AC242</f>
        <v/>
      </c>
    </row>
    <row r="640" spans="1:16" ht="14.1" customHeight="1">
      <c r="A640" s="37">
        <v>11</v>
      </c>
      <c r="B640" s="37" t="s">
        <v>277</v>
      </c>
      <c r="C640" s="44" t="str">
        <f>LUNES!$A$244</f>
        <v>Extension Triceps</v>
      </c>
      <c r="D640" s="45" t="str">
        <f>LUNES!$B$244</f>
        <v>Press Neutro Polea Individual</v>
      </c>
      <c r="E640" s="37" t="str">
        <f>LUNES!$C$244</f>
        <v>--</v>
      </c>
      <c r="F640" s="46" t="str">
        <f>IF(P640="","",IFERROR(CHOOSE(VALUE(RIGHT(P640,1)),LUNES!F244,LUNES!I244,LUNES!L244,LUNES!O244,LUNES!R244),""))</f>
        <v/>
      </c>
      <c r="G640" s="47" t="str">
        <f>IF(P640="","",IFERROR(CHOOSE(VALUE(RIGHT(P640,1)),LUNES!G244,LUNES!J244,LUNES!M244,LUNES!P244,LUNES!S244),""))</f>
        <v/>
      </c>
      <c r="H640" s="48" t="str">
        <f>IF(P640="","",IFERROR(CHOOSE(VALUE(RIGHT(P640,1)),LUNES!H244,LUNES!K244,LUNES!N244,LUNES!Q244,LUNES!T244),""))</f>
        <v/>
      </c>
      <c r="I640" s="49" t="str">
        <f t="shared" si="18"/>
        <v/>
      </c>
      <c r="J640" s="50" t="str">
        <f>IF(P640="","",IFERROR(ROUND(CHOOSE(VALUE(RIGHT(P640,1)),IF(LUNES!C244="peso_corporal",IF(ISNUMBER(LUNES!E244),LUNES!E244,0)+LUNES!F244,LUNES!F244)*LUNES!G244,IF(LUNES!C244="peso_corporal",IF(ISNUMBER(LUNES!E244),LUNES!E244,0)+LUNES!I244,LUNES!I244)*LUNES!J244,IF(LUNES!C244="peso_corporal",IF(ISNUMBER(LUNES!E244),LUNES!E244,0)+LUNES!L244,LUNES!L244)*LUNES!M244,IF(LUNES!C244="peso_corporal",IF(ISNUMBER(LUNES!E244),LUNES!E244,0)+LUNES!O244,LUNES!O244)*LUNES!P244,IF(LUNES!C244="peso_corporal",IF(ISNUMBER(LUNES!E244),LUNES!E244,0)+LUNES!R244,LUNES!R244)*LUNES!S244),1),""))</f>
        <v/>
      </c>
      <c r="K640" s="51" t="str">
        <f>IF(P640="","",IFERROR(ROUND(CHOOSE(VALUE(RIGHT(P640,1)),(IF(LUNES!C244="peso_corporal",IF(ISNUMBER(LUNES!E244),LUNES!E244,0)+LUNES!F244,LUNES!F244))*(1+LUNES!G244/30),(IF(LUNES!C244="peso_corporal",IF(ISNUMBER(LUNES!E244),LUNES!E244,0)+LUNES!I244,LUNES!I244))*(1+LUNES!J244/30),(IF(LUNES!C244="peso_corporal",IF(ISNUMBER(LUNES!E244),LUNES!E244,0)+LUNES!L244,LUNES!L244))*(1+LUNES!M244/30),(IF(LUNES!C244="peso_corporal",IF(ISNUMBER(LUNES!E244),LUNES!E244,0)+LUNES!O244,LUNES!O244))*(1+LUNES!P244/30),(IF(LUNES!C244="peso_corporal",IF(ISNUMBER(LUNES!E244),LUNES!E244,0)+LUNES!R244,LUNES!R244))*(1+LUNES!S244/30)),1),""))</f>
        <v/>
      </c>
      <c r="L640" s="52">
        <f>IFERROR(LUNES!E244,"")</f>
        <v>80</v>
      </c>
      <c r="M640" s="53" t="str">
        <f>IFERROR(IF(K640="","-",IF(ISNUMBER(LOOKUP(2,1/((HISTORIAL!$O$3:$O$639=O640)*(HISTORIAL!$F$3:$F$639&lt;&gt;"")),HISTORIAL!$K$3:$K$639)),IF(K640&gt;LOOKUP(2,1/((HISTORIAL!$O$3:$O$639=O640)*(HISTORIAL!$F$3:$F$639&lt;&gt;"")),HISTORIAL!$K$3:$K$639),"^",IF(K640&lt;LOOKUP(2,1/((HISTORIAL!$O$3:$O$639=O640)*(HISTORIAL!$F$3:$F$639&lt;&gt;"")),HISTORIAL!$K$3:$K$639),"v","-")),"-")),"-")</f>
        <v>-</v>
      </c>
      <c r="N640" s="54" t="str">
        <f>IFERROR(VLOOKUP(A640,CONFIG!$A$10:$B$21,2,0),"")</f>
        <v>FUE</v>
      </c>
      <c r="O640" s="55" t="str">
        <f t="shared" si="19"/>
        <v>Extension Triceps|Press Neutro Polea Individual</v>
      </c>
      <c r="P640" s="69" t="str">
        <f>LUNES!AC244</f>
        <v/>
      </c>
    </row>
    <row r="641" spans="1:16" ht="14.1" customHeight="1">
      <c r="A641" s="37">
        <v>11</v>
      </c>
      <c r="B641" s="37" t="s">
        <v>277</v>
      </c>
      <c r="C641" s="44" t="str">
        <f>LUNES!$A$246</f>
        <v>Extension Cuadriceps</v>
      </c>
      <c r="D641" s="45" t="str">
        <f>LUNES!$B$246</f>
        <v>Vasto Externo</v>
      </c>
      <c r="E641" s="37" t="str">
        <f>LUNES!$C$246</f>
        <v>--</v>
      </c>
      <c r="F641" s="46" t="str">
        <f>IF(P641="","",IFERROR(CHOOSE(VALUE(RIGHT(P641,1)),LUNES!F246,LUNES!I246,LUNES!L246,LUNES!O246,LUNES!R246),""))</f>
        <v/>
      </c>
      <c r="G641" s="47" t="str">
        <f>IF(P641="","",IFERROR(CHOOSE(VALUE(RIGHT(P641,1)),LUNES!G246,LUNES!J246,LUNES!M246,LUNES!P246,LUNES!S246),""))</f>
        <v/>
      </c>
      <c r="H641" s="48" t="str">
        <f>IF(P641="","",IFERROR(CHOOSE(VALUE(RIGHT(P641,1)),LUNES!H246,LUNES!K246,LUNES!N246,LUNES!Q246,LUNES!T246),""))</f>
        <v/>
      </c>
      <c r="I641" s="49" t="str">
        <f t="shared" si="18"/>
        <v/>
      </c>
      <c r="J641" s="50" t="str">
        <f>IF(P641="","",IFERROR(ROUND(CHOOSE(VALUE(RIGHT(P641,1)),IF(LUNES!C246="peso_corporal",IF(ISNUMBER(LUNES!E246),LUNES!E246,0)+LUNES!F246,LUNES!F246)*LUNES!G246,IF(LUNES!C246="peso_corporal",IF(ISNUMBER(LUNES!E246),LUNES!E246,0)+LUNES!I246,LUNES!I246)*LUNES!J246,IF(LUNES!C246="peso_corporal",IF(ISNUMBER(LUNES!E246),LUNES!E246,0)+LUNES!L246,LUNES!L246)*LUNES!M246,IF(LUNES!C246="peso_corporal",IF(ISNUMBER(LUNES!E246),LUNES!E246,0)+LUNES!O246,LUNES!O246)*LUNES!P246,IF(LUNES!C246="peso_corporal",IF(ISNUMBER(LUNES!E246),LUNES!E246,0)+LUNES!R246,LUNES!R246)*LUNES!S246),1),""))</f>
        <v/>
      </c>
      <c r="K641" s="51" t="str">
        <f>IF(P641="","",IFERROR(ROUND(CHOOSE(VALUE(RIGHT(P641,1)),(IF(LUNES!C246="peso_corporal",IF(ISNUMBER(LUNES!E246),LUNES!E246,0)+LUNES!F246,LUNES!F246))*(1+LUNES!G246/30),(IF(LUNES!C246="peso_corporal",IF(ISNUMBER(LUNES!E246),LUNES!E246,0)+LUNES!I246,LUNES!I246))*(1+LUNES!J246/30),(IF(LUNES!C246="peso_corporal",IF(ISNUMBER(LUNES!E246),LUNES!E246,0)+LUNES!L246,LUNES!L246))*(1+LUNES!M246/30),(IF(LUNES!C246="peso_corporal",IF(ISNUMBER(LUNES!E246),LUNES!E246,0)+LUNES!O246,LUNES!O246))*(1+LUNES!P246/30),(IF(LUNES!C246="peso_corporal",IF(ISNUMBER(LUNES!E246),LUNES!E246,0)+LUNES!R246,LUNES!R246))*(1+LUNES!S246/30)),1),""))</f>
        <v/>
      </c>
      <c r="L641" s="52">
        <f>IFERROR(LUNES!E246,"")</f>
        <v>80</v>
      </c>
      <c r="M641" s="53" t="str">
        <f>IFERROR(IF(K641="","-",IF(ISNUMBER(LOOKUP(2,1/((HISTORIAL!$O$3:$O$640=O641)*(HISTORIAL!$F$3:$F$640&lt;&gt;"")),HISTORIAL!$K$3:$K$640)),IF(K641&gt;LOOKUP(2,1/((HISTORIAL!$O$3:$O$640=O641)*(HISTORIAL!$F$3:$F$640&lt;&gt;"")),HISTORIAL!$K$3:$K$640),"^",IF(K641&lt;LOOKUP(2,1/((HISTORIAL!$O$3:$O$640=O641)*(HISTORIAL!$F$3:$F$640&lt;&gt;"")),HISTORIAL!$K$3:$K$640),"v","-")),"-")),"-")</f>
        <v>-</v>
      </c>
      <c r="N641" s="54" t="str">
        <f>IFERROR(VLOOKUP(A641,CONFIG!$A$10:$B$21,2,0),"")</f>
        <v>FUE</v>
      </c>
      <c r="O641" s="55" t="str">
        <f t="shared" si="19"/>
        <v>Extension Cuadriceps|Vasto Externo</v>
      </c>
      <c r="P641" s="69" t="str">
        <f>LUNES!AC246</f>
        <v/>
      </c>
    </row>
    <row r="642" spans="1:16" ht="14.1" customHeight="1">
      <c r="A642" s="37">
        <v>11</v>
      </c>
      <c r="B642" s="37" t="s">
        <v>277</v>
      </c>
      <c r="C642" s="44" t="str">
        <f>LUNES!$A$248</f>
        <v>Curl Biceps</v>
      </c>
      <c r="D642" s="45" t="str">
        <f>LUNES!$B$248</f>
        <v>Inclinado Banco Mancuernas</v>
      </c>
      <c r="E642" s="37" t="str">
        <f>LUNES!$C$248</f>
        <v>mancuerna</v>
      </c>
      <c r="F642" s="46" t="str">
        <f>IF(P642="","",IFERROR(CHOOSE(VALUE(RIGHT(P642,1)),LUNES!F248,LUNES!I248,LUNES!L248,LUNES!O248,LUNES!R248),""))</f>
        <v/>
      </c>
      <c r="G642" s="47" t="str">
        <f>IF(P642="","",IFERROR(CHOOSE(VALUE(RIGHT(P642,1)),LUNES!G248,LUNES!J248,LUNES!M248,LUNES!P248,LUNES!S248),""))</f>
        <v/>
      </c>
      <c r="H642" s="48" t="str">
        <f>IF(P642="","",IFERROR(CHOOSE(VALUE(RIGHT(P642,1)),LUNES!H248,LUNES!K248,LUNES!N248,LUNES!Q248,LUNES!T248),""))</f>
        <v/>
      </c>
      <c r="I642" s="49" t="str">
        <f t="shared" si="18"/>
        <v/>
      </c>
      <c r="J642" s="50" t="str">
        <f>IF(P642="","",IFERROR(ROUND(CHOOSE(VALUE(RIGHT(P642,1)),IF(LUNES!C248="peso_corporal",IF(ISNUMBER(LUNES!E248),LUNES!E248,0)+LUNES!F248,LUNES!F248)*LUNES!G248,IF(LUNES!C248="peso_corporal",IF(ISNUMBER(LUNES!E248),LUNES!E248,0)+LUNES!I248,LUNES!I248)*LUNES!J248,IF(LUNES!C248="peso_corporal",IF(ISNUMBER(LUNES!E248),LUNES!E248,0)+LUNES!L248,LUNES!L248)*LUNES!M248,IF(LUNES!C248="peso_corporal",IF(ISNUMBER(LUNES!E248),LUNES!E248,0)+LUNES!O248,LUNES!O248)*LUNES!P248,IF(LUNES!C248="peso_corporal",IF(ISNUMBER(LUNES!E248),LUNES!E248,0)+LUNES!R248,LUNES!R248)*LUNES!S248),1),""))</f>
        <v/>
      </c>
      <c r="K642" s="51" t="str">
        <f>IF(P642="","",IFERROR(ROUND(CHOOSE(VALUE(RIGHT(P642,1)),(IF(LUNES!C248="peso_corporal",IF(ISNUMBER(LUNES!E248),LUNES!E248,0)+LUNES!F248,LUNES!F248))*(1+LUNES!G248/30),(IF(LUNES!C248="peso_corporal",IF(ISNUMBER(LUNES!E248),LUNES!E248,0)+LUNES!I248,LUNES!I248))*(1+LUNES!J248/30),(IF(LUNES!C248="peso_corporal",IF(ISNUMBER(LUNES!E248),LUNES!E248,0)+LUNES!L248,LUNES!L248))*(1+LUNES!M248/30),(IF(LUNES!C248="peso_corporal",IF(ISNUMBER(LUNES!E248),LUNES!E248,0)+LUNES!O248,LUNES!O248))*(1+LUNES!P248/30),(IF(LUNES!C248="peso_corporal",IF(ISNUMBER(LUNES!E248),LUNES!E248,0)+LUNES!R248,LUNES!R248))*(1+LUNES!S248/30)),1),""))</f>
        <v/>
      </c>
      <c r="L642" s="52">
        <f>IFERROR(LUNES!E248,"")</f>
        <v>80</v>
      </c>
      <c r="M642" s="53" t="str">
        <f>IFERROR(IF(K642="","-",IF(ISNUMBER(LOOKUP(2,1/((HISTORIAL!$O$3:$O$641=O642)*(HISTORIAL!$F$3:$F$641&lt;&gt;"")),HISTORIAL!$K$3:$K$641)),IF(K642&gt;LOOKUP(2,1/((HISTORIAL!$O$3:$O$641=O642)*(HISTORIAL!$F$3:$F$641&lt;&gt;"")),HISTORIAL!$K$3:$K$641),"^",IF(K642&lt;LOOKUP(2,1/((HISTORIAL!$O$3:$O$641=O642)*(HISTORIAL!$F$3:$F$641&lt;&gt;"")),HISTORIAL!$K$3:$K$641),"v","-")),"-")),"-")</f>
        <v>-</v>
      </c>
      <c r="N642" s="54" t="str">
        <f>IFERROR(VLOOKUP(A642,CONFIG!$A$10:$B$21,2,0),"")</f>
        <v>FUE</v>
      </c>
      <c r="O642" s="55" t="str">
        <f t="shared" si="19"/>
        <v>Curl Biceps|Inclinado Banco Mancuernas</v>
      </c>
      <c r="P642" s="69" t="str">
        <f>LUNES!AC248</f>
        <v/>
      </c>
    </row>
    <row r="643" spans="1:16" ht="14.1" customHeight="1">
      <c r="A643" s="37">
        <v>11</v>
      </c>
      <c r="B643" s="37" t="s">
        <v>277</v>
      </c>
      <c r="C643" s="44" t="str">
        <f>LUNES!$A$250</f>
        <v>Crunch</v>
      </c>
      <c r="D643" s="45" t="str">
        <f>LUNES!$B$250</f>
        <v>Polea</v>
      </c>
      <c r="E643" s="37" t="str">
        <f>LUNES!$C$250</f>
        <v>polea</v>
      </c>
      <c r="F643" s="46" t="str">
        <f>IF(P643="","",IFERROR(CHOOSE(VALUE(RIGHT(P643,1)),LUNES!F250,LUNES!I250,LUNES!L250,LUNES!O250,LUNES!R250),""))</f>
        <v/>
      </c>
      <c r="G643" s="47" t="str">
        <f>IF(P643="","",IFERROR(CHOOSE(VALUE(RIGHT(P643,1)),LUNES!G250,LUNES!J250,LUNES!M250,LUNES!P250,LUNES!S250),""))</f>
        <v/>
      </c>
      <c r="H643" s="48" t="str">
        <f>IF(P643="","",IFERROR(CHOOSE(VALUE(RIGHT(P643,1)),LUNES!H250,LUNES!K250,LUNES!N250,LUNES!Q250,LUNES!T250),""))</f>
        <v/>
      </c>
      <c r="I643" s="49" t="str">
        <f t="shared" ref="I643:I706" si="20">IF(P643="","",LEFT(P643,1))</f>
        <v/>
      </c>
      <c r="J643" s="50" t="str">
        <f>IF(P643="","",IFERROR(ROUND(CHOOSE(VALUE(RIGHT(P643,1)),IF(LUNES!C250="peso_corporal",IF(ISNUMBER(LUNES!E250),LUNES!E250,0)+LUNES!F250,LUNES!F250)*LUNES!G250,IF(LUNES!C250="peso_corporal",IF(ISNUMBER(LUNES!E250),LUNES!E250,0)+LUNES!I250,LUNES!I250)*LUNES!J250,IF(LUNES!C250="peso_corporal",IF(ISNUMBER(LUNES!E250),LUNES!E250,0)+LUNES!L250,LUNES!L250)*LUNES!M250,IF(LUNES!C250="peso_corporal",IF(ISNUMBER(LUNES!E250),LUNES!E250,0)+LUNES!O250,LUNES!O250)*LUNES!P250,IF(LUNES!C250="peso_corporal",IF(ISNUMBER(LUNES!E250),LUNES!E250,0)+LUNES!R250,LUNES!R250)*LUNES!S250),1),""))</f>
        <v/>
      </c>
      <c r="K643" s="51" t="str">
        <f>IF(P643="","",IFERROR(ROUND(CHOOSE(VALUE(RIGHT(P643,1)),(IF(LUNES!C250="peso_corporal",IF(ISNUMBER(LUNES!E250),LUNES!E250,0)+LUNES!F250,LUNES!F250))*(1+LUNES!G250/30),(IF(LUNES!C250="peso_corporal",IF(ISNUMBER(LUNES!E250),LUNES!E250,0)+LUNES!I250,LUNES!I250))*(1+LUNES!J250/30),(IF(LUNES!C250="peso_corporal",IF(ISNUMBER(LUNES!E250),LUNES!E250,0)+LUNES!L250,LUNES!L250))*(1+LUNES!M250/30),(IF(LUNES!C250="peso_corporal",IF(ISNUMBER(LUNES!E250),LUNES!E250,0)+LUNES!O250,LUNES!O250))*(1+LUNES!P250/30),(IF(LUNES!C250="peso_corporal",IF(ISNUMBER(LUNES!E250),LUNES!E250,0)+LUNES!R250,LUNES!R250))*(1+LUNES!S250/30)),1),""))</f>
        <v/>
      </c>
      <c r="L643" s="52">
        <f>IFERROR(LUNES!E250,"")</f>
        <v>80</v>
      </c>
      <c r="M643" s="53" t="str">
        <f>IFERROR(IF(K643="","-",IF(ISNUMBER(LOOKUP(2,1/((HISTORIAL!$O$3:$O$642=O643)*(HISTORIAL!$F$3:$F$642&lt;&gt;"")),HISTORIAL!$K$3:$K$642)),IF(K643&gt;LOOKUP(2,1/((HISTORIAL!$O$3:$O$642=O643)*(HISTORIAL!$F$3:$F$642&lt;&gt;"")),HISTORIAL!$K$3:$K$642),"^",IF(K643&lt;LOOKUP(2,1/((HISTORIAL!$O$3:$O$642=O643)*(HISTORIAL!$F$3:$F$642&lt;&gt;"")),HISTORIAL!$K$3:$K$642),"v","-")),"-")),"-")</f>
        <v>-</v>
      </c>
      <c r="N643" s="54" t="str">
        <f>IFERROR(VLOOKUP(A643,CONFIG!$A$10:$B$21,2,0),"")</f>
        <v>FUE</v>
      </c>
      <c r="O643" s="55" t="str">
        <f t="shared" ref="O643:O706" si="21">C643&amp;"|"&amp;D643</f>
        <v>Crunch|Polea</v>
      </c>
      <c r="P643" s="69" t="str">
        <f>LUNES!AC250</f>
        <v/>
      </c>
    </row>
    <row r="644" spans="1:16" ht="14.1" customHeight="1">
      <c r="A644" s="37">
        <v>11</v>
      </c>
      <c r="B644" s="37" t="s">
        <v>278</v>
      </c>
      <c r="C644" s="44" t="str">
        <f>MARTES!$A$223</f>
        <v>Dominadas</v>
      </c>
      <c r="D644" s="45" t="str">
        <f>MARTES!$B$223</f>
        <v>Polea Alta Prono Ancho</v>
      </c>
      <c r="E644" s="37" t="str">
        <f>MARTES!$C$223</f>
        <v>peso_corporal</v>
      </c>
      <c r="F644" s="46" t="str">
        <f>IF(P644="","",IFERROR(CHOOSE(VALUE(RIGHT(P644,1)),MARTES!F223,MARTES!I223,MARTES!L223,MARTES!O223,MARTES!R223),""))</f>
        <v/>
      </c>
      <c r="G644" s="47" t="str">
        <f>IF(P644="","",IFERROR(CHOOSE(VALUE(RIGHT(P644,1)),MARTES!G223,MARTES!J223,MARTES!M223,MARTES!P223,MARTES!S223),""))</f>
        <v/>
      </c>
      <c r="H644" s="48" t="str">
        <f>IF(P644="","",IFERROR(CHOOSE(VALUE(RIGHT(P644,1)),MARTES!H223,MARTES!K223,MARTES!N223,MARTES!Q223,MARTES!T223),""))</f>
        <v/>
      </c>
      <c r="I644" s="49" t="str">
        <f t="shared" si="20"/>
        <v/>
      </c>
      <c r="J644" s="50" t="str">
        <f>IF(P644="","",IFERROR(ROUND(CHOOSE(VALUE(RIGHT(P644,1)),IF(MARTES!C223="peso_corporal",IF(ISNUMBER(MARTES!E223),MARTES!E223,0)+MARTES!F223,MARTES!F223)*MARTES!G223,IF(MARTES!C223="peso_corporal",IF(ISNUMBER(MARTES!E223),MARTES!E223,0)+MARTES!I223,MARTES!I223)*MARTES!J223,IF(MARTES!C223="peso_corporal",IF(ISNUMBER(MARTES!E223),MARTES!E223,0)+MARTES!L223,MARTES!L223)*MARTES!M223,IF(MARTES!C223="peso_corporal",IF(ISNUMBER(MARTES!E223),MARTES!E223,0)+MARTES!O223,MARTES!O223)*MARTES!P223,IF(MARTES!C223="peso_corporal",IF(ISNUMBER(MARTES!E223),MARTES!E223,0)+MARTES!R223,MARTES!R223)*MARTES!S223),1),""))</f>
        <v/>
      </c>
      <c r="K644" s="51" t="str">
        <f>IF(P644="","",IFERROR(ROUND(CHOOSE(VALUE(RIGHT(P644,1)),(IF(MARTES!C223="peso_corporal",IF(ISNUMBER(MARTES!E223),MARTES!E223,0)+MARTES!F223,MARTES!F223))*(1+MARTES!G223/30),(IF(MARTES!C223="peso_corporal",IF(ISNUMBER(MARTES!E223),MARTES!E223,0)+MARTES!I223,MARTES!I223))*(1+MARTES!J223/30),(IF(MARTES!C223="peso_corporal",IF(ISNUMBER(MARTES!E223),MARTES!E223,0)+MARTES!L223,MARTES!L223))*(1+MARTES!M223/30),(IF(MARTES!C223="peso_corporal",IF(ISNUMBER(MARTES!E223),MARTES!E223,0)+MARTES!O223,MARTES!O223))*(1+MARTES!P223/30),(IF(MARTES!C223="peso_corporal",IF(ISNUMBER(MARTES!E223),MARTES!E223,0)+MARTES!R223,MARTES!R223))*(1+MARTES!S223/30)),1),""))</f>
        <v/>
      </c>
      <c r="L644" s="52">
        <f>IFERROR(MARTES!E223,"")</f>
        <v>80</v>
      </c>
      <c r="M644" s="53" t="str">
        <f>IFERROR(IF(K644="","-",IF(ISNUMBER(LOOKUP(2,1/((HISTORIAL!$O$3:$O$643=O644)*(HISTORIAL!$F$3:$F$643&lt;&gt;"")),HISTORIAL!$K$3:$K$643)),IF(K644&gt;LOOKUP(2,1/((HISTORIAL!$O$3:$O$643=O644)*(HISTORIAL!$F$3:$F$643&lt;&gt;"")),HISTORIAL!$K$3:$K$643),"^",IF(K644&lt;LOOKUP(2,1/((HISTORIAL!$O$3:$O$643=O644)*(HISTORIAL!$F$3:$F$643&lt;&gt;"")),HISTORIAL!$K$3:$K$643),"v","-")),"-")),"-")</f>
        <v>-</v>
      </c>
      <c r="N644" s="54" t="str">
        <f>IFERROR(VLOOKUP(A644,CONFIG!$A$10:$B$21,2,0),"")</f>
        <v>FUE</v>
      </c>
      <c r="O644" s="55" t="str">
        <f t="shared" si="21"/>
        <v>Dominadas|Polea Alta Prono Ancho</v>
      </c>
      <c r="P644" s="69" t="str">
        <f>MARTES!AC223</f>
        <v/>
      </c>
    </row>
    <row r="645" spans="1:16" ht="14.1" customHeight="1">
      <c r="A645" s="37">
        <v>11</v>
      </c>
      <c r="B645" s="37" t="s">
        <v>278</v>
      </c>
      <c r="C645" s="44" t="str">
        <f>MARTES!$A$224</f>
        <v>Pulldown</v>
      </c>
      <c r="D645" s="45" t="str">
        <f>MARTES!$B$224</f>
        <v>Polea Alta Brazos Rectos Prono</v>
      </c>
      <c r="E645" s="37" t="str">
        <f>MARTES!$C$224</f>
        <v>polea</v>
      </c>
      <c r="F645" s="46" t="str">
        <f>IF(P645="","",IFERROR(CHOOSE(VALUE(RIGHT(P645,1)),MARTES!F224,MARTES!I224,MARTES!L224,MARTES!O224,MARTES!R224),""))</f>
        <v/>
      </c>
      <c r="G645" s="47" t="str">
        <f>IF(P645="","",IFERROR(CHOOSE(VALUE(RIGHT(P645,1)),MARTES!G224,MARTES!J224,MARTES!M224,MARTES!P224,MARTES!S224),""))</f>
        <v/>
      </c>
      <c r="H645" s="48" t="str">
        <f>IF(P645="","",IFERROR(CHOOSE(VALUE(RIGHT(P645,1)),MARTES!H224,MARTES!K224,MARTES!N224,MARTES!Q224,MARTES!T224),""))</f>
        <v/>
      </c>
      <c r="I645" s="49" t="str">
        <f t="shared" si="20"/>
        <v/>
      </c>
      <c r="J645" s="50" t="str">
        <f>IF(P645="","",IFERROR(ROUND(CHOOSE(VALUE(RIGHT(P645,1)),IF(MARTES!C224="peso_corporal",IF(ISNUMBER(MARTES!E224),MARTES!E224,0)+MARTES!F224,MARTES!F224)*MARTES!G224,IF(MARTES!C224="peso_corporal",IF(ISNUMBER(MARTES!E224),MARTES!E224,0)+MARTES!I224,MARTES!I224)*MARTES!J224,IF(MARTES!C224="peso_corporal",IF(ISNUMBER(MARTES!E224),MARTES!E224,0)+MARTES!L224,MARTES!L224)*MARTES!M224,IF(MARTES!C224="peso_corporal",IF(ISNUMBER(MARTES!E224),MARTES!E224,0)+MARTES!O224,MARTES!O224)*MARTES!P224,IF(MARTES!C224="peso_corporal",IF(ISNUMBER(MARTES!E224),MARTES!E224,0)+MARTES!R224,MARTES!R224)*MARTES!S224),1),""))</f>
        <v/>
      </c>
      <c r="K645" s="51" t="str">
        <f>IF(P645="","",IFERROR(ROUND(CHOOSE(VALUE(RIGHT(P645,1)),(IF(MARTES!C224="peso_corporal",IF(ISNUMBER(MARTES!E224),MARTES!E224,0)+MARTES!F224,MARTES!F224))*(1+MARTES!G224/30),(IF(MARTES!C224="peso_corporal",IF(ISNUMBER(MARTES!E224),MARTES!E224,0)+MARTES!I224,MARTES!I224))*(1+MARTES!J224/30),(IF(MARTES!C224="peso_corporal",IF(ISNUMBER(MARTES!E224),MARTES!E224,0)+MARTES!L224,MARTES!L224))*(1+MARTES!M224/30),(IF(MARTES!C224="peso_corporal",IF(ISNUMBER(MARTES!E224),MARTES!E224,0)+MARTES!O224,MARTES!O224))*(1+MARTES!P224/30),(IF(MARTES!C224="peso_corporal",IF(ISNUMBER(MARTES!E224),MARTES!E224,0)+MARTES!R224,MARTES!R224))*(1+MARTES!S224/30)),1),""))</f>
        <v/>
      </c>
      <c r="L645" s="52">
        <f>IFERROR(MARTES!E224,"")</f>
        <v>80</v>
      </c>
      <c r="M645" s="53" t="str">
        <f>IFERROR(IF(K645="","-",IF(ISNUMBER(LOOKUP(2,1/((HISTORIAL!$O$3:$O$644=O645)*(HISTORIAL!$F$3:$F$644&lt;&gt;"")),HISTORIAL!$K$3:$K$644)),IF(K645&gt;LOOKUP(2,1/((HISTORIAL!$O$3:$O$644=O645)*(HISTORIAL!$F$3:$F$644&lt;&gt;"")),HISTORIAL!$K$3:$K$644),"^",IF(K645&lt;LOOKUP(2,1/((HISTORIAL!$O$3:$O$644=O645)*(HISTORIAL!$F$3:$F$644&lt;&gt;"")),HISTORIAL!$K$3:$K$644),"v","-")),"-")),"-")</f>
        <v>-</v>
      </c>
      <c r="N645" s="54" t="str">
        <f>IFERROR(VLOOKUP(A645,CONFIG!$A$10:$B$21,2,0),"")</f>
        <v>FUE</v>
      </c>
      <c r="O645" s="55" t="str">
        <f t="shared" si="21"/>
        <v>Pulldown|Polea Alta Brazos Rectos Prono</v>
      </c>
      <c r="P645" s="69" t="str">
        <f>MARTES!AC224</f>
        <v/>
      </c>
    </row>
    <row r="646" spans="1:16" ht="14.1" customHeight="1">
      <c r="A646" s="37">
        <v>11</v>
      </c>
      <c r="B646" s="37" t="s">
        <v>278</v>
      </c>
      <c r="C646" s="44" t="str">
        <f>MARTES!$A$226</f>
        <v>Remo</v>
      </c>
      <c r="D646" s="45" t="str">
        <f>MARTES!$B$226</f>
        <v>Maquina Hammer Neutro Unilateral</v>
      </c>
      <c r="E646" s="37" t="str">
        <f>MARTES!$C$226</f>
        <v>polea</v>
      </c>
      <c r="F646" s="46" t="str">
        <f>IF(P646="","",IFERROR(CHOOSE(VALUE(RIGHT(P646,1)),MARTES!F226,MARTES!I226,MARTES!L226,MARTES!O226,MARTES!R226),""))</f>
        <v/>
      </c>
      <c r="G646" s="47" t="str">
        <f>IF(P646="","",IFERROR(CHOOSE(VALUE(RIGHT(P646,1)),MARTES!G226,MARTES!J226,MARTES!M226,MARTES!P226,MARTES!S226),""))</f>
        <v/>
      </c>
      <c r="H646" s="48" t="str">
        <f>IF(P646="","",IFERROR(CHOOSE(VALUE(RIGHT(P646,1)),MARTES!H226,MARTES!K226,MARTES!N226,MARTES!Q226,MARTES!T226),""))</f>
        <v/>
      </c>
      <c r="I646" s="49" t="str">
        <f t="shared" si="20"/>
        <v/>
      </c>
      <c r="J646" s="50" t="str">
        <f>IF(P646="","",IFERROR(ROUND(CHOOSE(VALUE(RIGHT(P646,1)),IF(MARTES!C226="peso_corporal",IF(ISNUMBER(MARTES!E226),MARTES!E226,0)+MARTES!F226,MARTES!F226)*MARTES!G226,IF(MARTES!C226="peso_corporal",IF(ISNUMBER(MARTES!E226),MARTES!E226,0)+MARTES!I226,MARTES!I226)*MARTES!J226,IF(MARTES!C226="peso_corporal",IF(ISNUMBER(MARTES!E226),MARTES!E226,0)+MARTES!L226,MARTES!L226)*MARTES!M226,IF(MARTES!C226="peso_corporal",IF(ISNUMBER(MARTES!E226),MARTES!E226,0)+MARTES!O226,MARTES!O226)*MARTES!P226,IF(MARTES!C226="peso_corporal",IF(ISNUMBER(MARTES!E226),MARTES!E226,0)+MARTES!R226,MARTES!R226)*MARTES!S226),1),""))</f>
        <v/>
      </c>
      <c r="K646" s="51" t="str">
        <f>IF(P646="","",IFERROR(ROUND(CHOOSE(VALUE(RIGHT(P646,1)),(IF(MARTES!C226="peso_corporal",IF(ISNUMBER(MARTES!E226),MARTES!E226,0)+MARTES!F226,MARTES!F226))*(1+MARTES!G226/30),(IF(MARTES!C226="peso_corporal",IF(ISNUMBER(MARTES!E226),MARTES!E226,0)+MARTES!I226,MARTES!I226))*(1+MARTES!J226/30),(IF(MARTES!C226="peso_corporal",IF(ISNUMBER(MARTES!E226),MARTES!E226,0)+MARTES!L226,MARTES!L226))*(1+MARTES!M226/30),(IF(MARTES!C226="peso_corporal",IF(ISNUMBER(MARTES!E226),MARTES!E226,0)+MARTES!O226,MARTES!O226))*(1+MARTES!P226/30),(IF(MARTES!C226="peso_corporal",IF(ISNUMBER(MARTES!E226),MARTES!E226,0)+MARTES!R226,MARTES!R226))*(1+MARTES!S226/30)),1),""))</f>
        <v/>
      </c>
      <c r="L646" s="52">
        <f>IFERROR(MARTES!E226,"")</f>
        <v>80</v>
      </c>
      <c r="M646" s="53" t="str">
        <f>IFERROR(IF(K646="","-",IF(ISNUMBER(LOOKUP(2,1/((HISTORIAL!$O$3:$O$645=O646)*(HISTORIAL!$F$3:$F$645&lt;&gt;"")),HISTORIAL!$K$3:$K$645)),IF(K646&gt;LOOKUP(2,1/((HISTORIAL!$O$3:$O$645=O646)*(HISTORIAL!$F$3:$F$645&lt;&gt;"")),HISTORIAL!$K$3:$K$645),"^",IF(K646&lt;LOOKUP(2,1/((HISTORIAL!$O$3:$O$645=O646)*(HISTORIAL!$F$3:$F$645&lt;&gt;"")),HISTORIAL!$K$3:$K$645),"v","-")),"-")),"-")</f>
        <v>-</v>
      </c>
      <c r="N646" s="54" t="str">
        <f>IFERROR(VLOOKUP(A646,CONFIG!$A$10:$B$21,2,0),"")</f>
        <v>FUE</v>
      </c>
      <c r="O646" s="55" t="str">
        <f t="shared" si="21"/>
        <v>Remo|Maquina Hammer Neutro Unilateral</v>
      </c>
      <c r="P646" s="69" t="str">
        <f>MARTES!AC226</f>
        <v/>
      </c>
    </row>
    <row r="647" spans="1:16" ht="14.1" customHeight="1">
      <c r="A647" s="37">
        <v>11</v>
      </c>
      <c r="B647" s="37" t="s">
        <v>278</v>
      </c>
      <c r="C647" s="44" t="str">
        <f>MARTES!$A$227</f>
        <v>Remo</v>
      </c>
      <c r="D647" s="45" t="str">
        <f>MARTES!$B$227</f>
        <v>Maquina Prono</v>
      </c>
      <c r="E647" s="37" t="str">
        <f>MARTES!$C$227</f>
        <v>polea</v>
      </c>
      <c r="F647" s="46" t="str">
        <f>IF(P647="","",IFERROR(CHOOSE(VALUE(RIGHT(P647,1)),MARTES!F227,MARTES!I227,MARTES!L227,MARTES!O227,MARTES!R227),""))</f>
        <v/>
      </c>
      <c r="G647" s="47" t="str">
        <f>IF(P647="","",IFERROR(CHOOSE(VALUE(RIGHT(P647,1)),MARTES!G227,MARTES!J227,MARTES!M227,MARTES!P227,MARTES!S227),""))</f>
        <v/>
      </c>
      <c r="H647" s="48" t="str">
        <f>IF(P647="","",IFERROR(CHOOSE(VALUE(RIGHT(P647,1)),MARTES!H227,MARTES!K227,MARTES!N227,MARTES!Q227,MARTES!T227),""))</f>
        <v/>
      </c>
      <c r="I647" s="49" t="str">
        <f t="shared" si="20"/>
        <v/>
      </c>
      <c r="J647" s="50" t="str">
        <f>IF(P647="","",IFERROR(ROUND(CHOOSE(VALUE(RIGHT(P647,1)),IF(MARTES!C227="peso_corporal",IF(ISNUMBER(MARTES!E227),MARTES!E227,0)+MARTES!F227,MARTES!F227)*MARTES!G227,IF(MARTES!C227="peso_corporal",IF(ISNUMBER(MARTES!E227),MARTES!E227,0)+MARTES!I227,MARTES!I227)*MARTES!J227,IF(MARTES!C227="peso_corporal",IF(ISNUMBER(MARTES!E227),MARTES!E227,0)+MARTES!L227,MARTES!L227)*MARTES!M227,IF(MARTES!C227="peso_corporal",IF(ISNUMBER(MARTES!E227),MARTES!E227,0)+MARTES!O227,MARTES!O227)*MARTES!P227,IF(MARTES!C227="peso_corporal",IF(ISNUMBER(MARTES!E227),MARTES!E227,0)+MARTES!R227,MARTES!R227)*MARTES!S227),1),""))</f>
        <v/>
      </c>
      <c r="K647" s="51" t="str">
        <f>IF(P647="","",IFERROR(ROUND(CHOOSE(VALUE(RIGHT(P647,1)),(IF(MARTES!C227="peso_corporal",IF(ISNUMBER(MARTES!E227),MARTES!E227,0)+MARTES!F227,MARTES!F227))*(1+MARTES!G227/30),(IF(MARTES!C227="peso_corporal",IF(ISNUMBER(MARTES!E227),MARTES!E227,0)+MARTES!I227,MARTES!I227))*(1+MARTES!J227/30),(IF(MARTES!C227="peso_corporal",IF(ISNUMBER(MARTES!E227),MARTES!E227,0)+MARTES!L227,MARTES!L227))*(1+MARTES!M227/30),(IF(MARTES!C227="peso_corporal",IF(ISNUMBER(MARTES!E227),MARTES!E227,0)+MARTES!O227,MARTES!O227))*(1+MARTES!P227/30),(IF(MARTES!C227="peso_corporal",IF(ISNUMBER(MARTES!E227),MARTES!E227,0)+MARTES!R227,MARTES!R227))*(1+MARTES!S227/30)),1),""))</f>
        <v/>
      </c>
      <c r="L647" s="52">
        <f>IFERROR(MARTES!E227,"")</f>
        <v>80</v>
      </c>
      <c r="M647" s="53" t="str">
        <f>IFERROR(IF(K647="","-",IF(ISNUMBER(LOOKUP(2,1/((HISTORIAL!$O$3:$O$646=O647)*(HISTORIAL!$F$3:$F$646&lt;&gt;"")),HISTORIAL!$K$3:$K$646)),IF(K647&gt;LOOKUP(2,1/((HISTORIAL!$O$3:$O$646=O647)*(HISTORIAL!$F$3:$F$646&lt;&gt;"")),HISTORIAL!$K$3:$K$646),"^",IF(K647&lt;LOOKUP(2,1/((HISTORIAL!$O$3:$O$646=O647)*(HISTORIAL!$F$3:$F$646&lt;&gt;"")),HISTORIAL!$K$3:$K$646),"v","-")),"-")),"-")</f>
        <v>-</v>
      </c>
      <c r="N647" s="54" t="str">
        <f>IFERROR(VLOOKUP(A647,CONFIG!$A$10:$B$21,2,0),"")</f>
        <v>FUE</v>
      </c>
      <c r="O647" s="55" t="str">
        <f t="shared" si="21"/>
        <v>Remo|Maquina Prono</v>
      </c>
      <c r="P647" s="69" t="str">
        <f>MARTES!AC227</f>
        <v/>
      </c>
    </row>
    <row r="648" spans="1:16" ht="14.1" customHeight="1">
      <c r="A648" s="37">
        <v>11</v>
      </c>
      <c r="B648" s="37" t="s">
        <v>278</v>
      </c>
      <c r="C648" s="44" t="str">
        <f>MARTES!$A$229</f>
        <v>Curl Biceps</v>
      </c>
      <c r="D648" s="45" t="str">
        <f>MARTES!$B$229</f>
        <v>Inclinado Banco Mancuernas</v>
      </c>
      <c r="E648" s="37" t="str">
        <f>MARTES!$C$229</f>
        <v>mancuerna</v>
      </c>
      <c r="F648" s="46" t="str">
        <f>IF(P648="","",IFERROR(CHOOSE(VALUE(RIGHT(P648,1)),MARTES!F229,MARTES!I229,MARTES!L229,MARTES!O229,MARTES!R229),""))</f>
        <v/>
      </c>
      <c r="G648" s="47" t="str">
        <f>IF(P648="","",IFERROR(CHOOSE(VALUE(RIGHT(P648,1)),MARTES!G229,MARTES!J229,MARTES!M229,MARTES!P229,MARTES!S229),""))</f>
        <v/>
      </c>
      <c r="H648" s="48" t="str">
        <f>IF(P648="","",IFERROR(CHOOSE(VALUE(RIGHT(P648,1)),MARTES!H229,MARTES!K229,MARTES!N229,MARTES!Q229,MARTES!T229),""))</f>
        <v/>
      </c>
      <c r="I648" s="49" t="str">
        <f t="shared" si="20"/>
        <v/>
      </c>
      <c r="J648" s="50" t="str">
        <f>IF(P648="","",IFERROR(ROUND(CHOOSE(VALUE(RIGHT(P648,1)),IF(MARTES!C229="peso_corporal",IF(ISNUMBER(MARTES!E229),MARTES!E229,0)+MARTES!F229,MARTES!F229)*MARTES!G229,IF(MARTES!C229="peso_corporal",IF(ISNUMBER(MARTES!E229),MARTES!E229,0)+MARTES!I229,MARTES!I229)*MARTES!J229,IF(MARTES!C229="peso_corporal",IF(ISNUMBER(MARTES!E229),MARTES!E229,0)+MARTES!L229,MARTES!L229)*MARTES!M229,IF(MARTES!C229="peso_corporal",IF(ISNUMBER(MARTES!E229),MARTES!E229,0)+MARTES!O229,MARTES!O229)*MARTES!P229,IF(MARTES!C229="peso_corporal",IF(ISNUMBER(MARTES!E229),MARTES!E229,0)+MARTES!R229,MARTES!R229)*MARTES!S229),1),""))</f>
        <v/>
      </c>
      <c r="K648" s="51" t="str">
        <f>IF(P648="","",IFERROR(ROUND(CHOOSE(VALUE(RIGHT(P648,1)),(IF(MARTES!C229="peso_corporal",IF(ISNUMBER(MARTES!E229),MARTES!E229,0)+MARTES!F229,MARTES!F229))*(1+MARTES!G229/30),(IF(MARTES!C229="peso_corporal",IF(ISNUMBER(MARTES!E229),MARTES!E229,0)+MARTES!I229,MARTES!I229))*(1+MARTES!J229/30),(IF(MARTES!C229="peso_corporal",IF(ISNUMBER(MARTES!E229),MARTES!E229,0)+MARTES!L229,MARTES!L229))*(1+MARTES!M229/30),(IF(MARTES!C229="peso_corporal",IF(ISNUMBER(MARTES!E229),MARTES!E229,0)+MARTES!O229,MARTES!O229))*(1+MARTES!P229/30),(IF(MARTES!C229="peso_corporal",IF(ISNUMBER(MARTES!E229),MARTES!E229,0)+MARTES!R229,MARTES!R229))*(1+MARTES!S229/30)),1),""))</f>
        <v/>
      </c>
      <c r="L648" s="52">
        <f>IFERROR(MARTES!E229,"")</f>
        <v>80</v>
      </c>
      <c r="M648" s="53" t="str">
        <f>IFERROR(IF(K648="","-",IF(ISNUMBER(LOOKUP(2,1/((HISTORIAL!$O$3:$O$647=O648)*(HISTORIAL!$F$3:$F$647&lt;&gt;"")),HISTORIAL!$K$3:$K$647)),IF(K648&gt;LOOKUP(2,1/((HISTORIAL!$O$3:$O$647=O648)*(HISTORIAL!$F$3:$F$647&lt;&gt;"")),HISTORIAL!$K$3:$K$647),"^",IF(K648&lt;LOOKUP(2,1/((HISTORIAL!$O$3:$O$647=O648)*(HISTORIAL!$F$3:$F$647&lt;&gt;"")),HISTORIAL!$K$3:$K$647),"v","-")),"-")),"-")</f>
        <v>-</v>
      </c>
      <c r="N648" s="54" t="str">
        <f>IFERROR(VLOOKUP(A648,CONFIG!$A$10:$B$21,2,0),"")</f>
        <v>FUE</v>
      </c>
      <c r="O648" s="55" t="str">
        <f t="shared" si="21"/>
        <v>Curl Biceps|Inclinado Banco Mancuernas</v>
      </c>
      <c r="P648" s="69" t="str">
        <f>MARTES!AC229</f>
        <v/>
      </c>
    </row>
    <row r="649" spans="1:16" ht="14.1" customHeight="1">
      <c r="A649" s="37">
        <v>11</v>
      </c>
      <c r="B649" s="37" t="s">
        <v>278</v>
      </c>
      <c r="C649" s="44" t="str">
        <f>MARTES!$A$230</f>
        <v>Curl Biceps</v>
      </c>
      <c r="D649" s="45" t="str">
        <f>MARTES!$B$230</f>
        <v>Polea Baja Supino</v>
      </c>
      <c r="E649" s="37" t="str">
        <f>MARTES!$C$230</f>
        <v>polea</v>
      </c>
      <c r="F649" s="46" t="str">
        <f>IF(P649="","",IFERROR(CHOOSE(VALUE(RIGHT(P649,1)),MARTES!F230,MARTES!I230,MARTES!L230,MARTES!O230,MARTES!R230),""))</f>
        <v/>
      </c>
      <c r="G649" s="47" t="str">
        <f>IF(P649="","",IFERROR(CHOOSE(VALUE(RIGHT(P649,1)),MARTES!G230,MARTES!J230,MARTES!M230,MARTES!P230,MARTES!S230),""))</f>
        <v/>
      </c>
      <c r="H649" s="48" t="str">
        <f>IF(P649="","",IFERROR(CHOOSE(VALUE(RIGHT(P649,1)),MARTES!H230,MARTES!K230,MARTES!N230,MARTES!Q230,MARTES!T230),""))</f>
        <v/>
      </c>
      <c r="I649" s="49" t="str">
        <f t="shared" si="20"/>
        <v/>
      </c>
      <c r="J649" s="50" t="str">
        <f>IF(P649="","",IFERROR(ROUND(CHOOSE(VALUE(RIGHT(P649,1)),IF(MARTES!C230="peso_corporal",IF(ISNUMBER(MARTES!E230),MARTES!E230,0)+MARTES!F230,MARTES!F230)*MARTES!G230,IF(MARTES!C230="peso_corporal",IF(ISNUMBER(MARTES!E230),MARTES!E230,0)+MARTES!I230,MARTES!I230)*MARTES!J230,IF(MARTES!C230="peso_corporal",IF(ISNUMBER(MARTES!E230),MARTES!E230,0)+MARTES!L230,MARTES!L230)*MARTES!M230,IF(MARTES!C230="peso_corporal",IF(ISNUMBER(MARTES!E230),MARTES!E230,0)+MARTES!O230,MARTES!O230)*MARTES!P230,IF(MARTES!C230="peso_corporal",IF(ISNUMBER(MARTES!E230),MARTES!E230,0)+MARTES!R230,MARTES!R230)*MARTES!S230),1),""))</f>
        <v/>
      </c>
      <c r="K649" s="51" t="str">
        <f>IF(P649="","",IFERROR(ROUND(CHOOSE(VALUE(RIGHT(P649,1)),(IF(MARTES!C230="peso_corporal",IF(ISNUMBER(MARTES!E230),MARTES!E230,0)+MARTES!F230,MARTES!F230))*(1+MARTES!G230/30),(IF(MARTES!C230="peso_corporal",IF(ISNUMBER(MARTES!E230),MARTES!E230,0)+MARTES!I230,MARTES!I230))*(1+MARTES!J230/30),(IF(MARTES!C230="peso_corporal",IF(ISNUMBER(MARTES!E230),MARTES!E230,0)+MARTES!L230,MARTES!L230))*(1+MARTES!M230/30),(IF(MARTES!C230="peso_corporal",IF(ISNUMBER(MARTES!E230),MARTES!E230,0)+MARTES!O230,MARTES!O230))*(1+MARTES!P230/30),(IF(MARTES!C230="peso_corporal",IF(ISNUMBER(MARTES!E230),MARTES!E230,0)+MARTES!R230,MARTES!R230))*(1+MARTES!S230/30)),1),""))</f>
        <v/>
      </c>
      <c r="L649" s="52">
        <f>IFERROR(MARTES!E230,"")</f>
        <v>80</v>
      </c>
      <c r="M649" s="53" t="str">
        <f>IFERROR(IF(K649="","-",IF(ISNUMBER(LOOKUP(2,1/((HISTORIAL!$O$3:$O$648=O649)*(HISTORIAL!$F$3:$F$648&lt;&gt;"")),HISTORIAL!$K$3:$K$648)),IF(K649&gt;LOOKUP(2,1/((HISTORIAL!$O$3:$O$648=O649)*(HISTORIAL!$F$3:$F$648&lt;&gt;"")),HISTORIAL!$K$3:$K$648),"^",IF(K649&lt;LOOKUP(2,1/((HISTORIAL!$O$3:$O$648=O649)*(HISTORIAL!$F$3:$F$648&lt;&gt;"")),HISTORIAL!$K$3:$K$648),"v","-")),"-")),"-")</f>
        <v>-</v>
      </c>
      <c r="N649" s="54" t="str">
        <f>IFERROR(VLOOKUP(A649,CONFIG!$A$10:$B$21,2,0),"")</f>
        <v>FUE</v>
      </c>
      <c r="O649" s="55" t="str">
        <f t="shared" si="21"/>
        <v>Curl Biceps|Polea Baja Supino</v>
      </c>
      <c r="P649" s="69" t="str">
        <f>MARTES!AC230</f>
        <v/>
      </c>
    </row>
    <row r="650" spans="1:16" ht="14.1" customHeight="1">
      <c r="A650" s="37">
        <v>11</v>
      </c>
      <c r="B650" s="37" t="s">
        <v>278</v>
      </c>
      <c r="C650" s="44" t="str">
        <f>MARTES!$A$232</f>
        <v>Curl Muneca</v>
      </c>
      <c r="D650" s="45" t="str">
        <f>MARTES!$B$232</f>
        <v>Supinado</v>
      </c>
      <c r="E650" s="37" t="str">
        <f>MARTES!$C$232</f>
        <v>mancuerna</v>
      </c>
      <c r="F650" s="46" t="str">
        <f>IF(P650="","",IFERROR(CHOOSE(VALUE(RIGHT(P650,1)),MARTES!F232,MARTES!I232,MARTES!L232,MARTES!O232,MARTES!R232),""))</f>
        <v/>
      </c>
      <c r="G650" s="47" t="str">
        <f>IF(P650="","",IFERROR(CHOOSE(VALUE(RIGHT(P650,1)),MARTES!G232,MARTES!J232,MARTES!M232,MARTES!P232,MARTES!S232),""))</f>
        <v/>
      </c>
      <c r="H650" s="48" t="str">
        <f>IF(P650="","",IFERROR(CHOOSE(VALUE(RIGHT(P650,1)),MARTES!H232,MARTES!K232,MARTES!N232,MARTES!Q232,MARTES!T232),""))</f>
        <v/>
      </c>
      <c r="I650" s="49" t="str">
        <f t="shared" si="20"/>
        <v/>
      </c>
      <c r="J650" s="50" t="str">
        <f>IF(P650="","",IFERROR(ROUND(CHOOSE(VALUE(RIGHT(P650,1)),IF(MARTES!C232="peso_corporal",IF(ISNUMBER(MARTES!E232),MARTES!E232,0)+MARTES!F232,MARTES!F232)*MARTES!G232,IF(MARTES!C232="peso_corporal",IF(ISNUMBER(MARTES!E232),MARTES!E232,0)+MARTES!I232,MARTES!I232)*MARTES!J232,IF(MARTES!C232="peso_corporal",IF(ISNUMBER(MARTES!E232),MARTES!E232,0)+MARTES!L232,MARTES!L232)*MARTES!M232,IF(MARTES!C232="peso_corporal",IF(ISNUMBER(MARTES!E232),MARTES!E232,0)+MARTES!O232,MARTES!O232)*MARTES!P232,IF(MARTES!C232="peso_corporal",IF(ISNUMBER(MARTES!E232),MARTES!E232,0)+MARTES!R232,MARTES!R232)*MARTES!S232),1),""))</f>
        <v/>
      </c>
      <c r="K650" s="51" t="str">
        <f>IF(P650="","",IFERROR(ROUND(CHOOSE(VALUE(RIGHT(P650,1)),(IF(MARTES!C232="peso_corporal",IF(ISNUMBER(MARTES!E232),MARTES!E232,0)+MARTES!F232,MARTES!F232))*(1+MARTES!G232/30),(IF(MARTES!C232="peso_corporal",IF(ISNUMBER(MARTES!E232),MARTES!E232,0)+MARTES!I232,MARTES!I232))*(1+MARTES!J232/30),(IF(MARTES!C232="peso_corporal",IF(ISNUMBER(MARTES!E232),MARTES!E232,0)+MARTES!L232,MARTES!L232))*(1+MARTES!M232/30),(IF(MARTES!C232="peso_corporal",IF(ISNUMBER(MARTES!E232),MARTES!E232,0)+MARTES!O232,MARTES!O232))*(1+MARTES!P232/30),(IF(MARTES!C232="peso_corporal",IF(ISNUMBER(MARTES!E232),MARTES!E232,0)+MARTES!R232,MARTES!R232))*(1+MARTES!S232/30)),1),""))</f>
        <v/>
      </c>
      <c r="L650" s="52">
        <f>IFERROR(MARTES!E232,"")</f>
        <v>80</v>
      </c>
      <c r="M650" s="53" t="str">
        <f>IFERROR(IF(K650="","-",IF(ISNUMBER(LOOKUP(2,1/((HISTORIAL!$O$3:$O$649=O650)*(HISTORIAL!$F$3:$F$649&lt;&gt;"")),HISTORIAL!$K$3:$K$649)),IF(K650&gt;LOOKUP(2,1/((HISTORIAL!$O$3:$O$649=O650)*(HISTORIAL!$F$3:$F$649&lt;&gt;"")),HISTORIAL!$K$3:$K$649),"^",IF(K650&lt;LOOKUP(2,1/((HISTORIAL!$O$3:$O$649=O650)*(HISTORIAL!$F$3:$F$649&lt;&gt;"")),HISTORIAL!$K$3:$K$649),"v","-")),"-")),"-")</f>
        <v>-</v>
      </c>
      <c r="N650" s="54" t="str">
        <f>IFERROR(VLOOKUP(A650,CONFIG!$A$10:$B$21,2,0),"")</f>
        <v>FUE</v>
      </c>
      <c r="O650" s="55" t="str">
        <f t="shared" si="21"/>
        <v>Curl Muneca|Supinado</v>
      </c>
      <c r="P650" s="69" t="str">
        <f>MARTES!AC232</f>
        <v/>
      </c>
    </row>
    <row r="651" spans="1:16" ht="14.1" customHeight="1">
      <c r="A651" s="37">
        <v>11</v>
      </c>
      <c r="B651" s="37" t="s">
        <v>278</v>
      </c>
      <c r="C651" s="44" t="str">
        <f>MARTES!$A$233</f>
        <v>Curl Muneca</v>
      </c>
      <c r="D651" s="45" t="str">
        <f>MARTES!$B$233</f>
        <v>Pronado</v>
      </c>
      <c r="E651" s="37" t="str">
        <f>MARTES!$C$233</f>
        <v>mancuerna</v>
      </c>
      <c r="F651" s="46" t="str">
        <f>IF(P651="","",IFERROR(CHOOSE(VALUE(RIGHT(P651,1)),MARTES!F233,MARTES!I233,MARTES!L233,MARTES!O233,MARTES!R233),""))</f>
        <v/>
      </c>
      <c r="G651" s="47" t="str">
        <f>IF(P651="","",IFERROR(CHOOSE(VALUE(RIGHT(P651,1)),MARTES!G233,MARTES!J233,MARTES!M233,MARTES!P233,MARTES!S233),""))</f>
        <v/>
      </c>
      <c r="H651" s="48" t="str">
        <f>IF(P651="","",IFERROR(CHOOSE(VALUE(RIGHT(P651,1)),MARTES!H233,MARTES!K233,MARTES!N233,MARTES!Q233,MARTES!T233),""))</f>
        <v/>
      </c>
      <c r="I651" s="49" t="str">
        <f t="shared" si="20"/>
        <v/>
      </c>
      <c r="J651" s="50" t="str">
        <f>IF(P651="","",IFERROR(ROUND(CHOOSE(VALUE(RIGHT(P651,1)),IF(MARTES!C233="peso_corporal",IF(ISNUMBER(MARTES!E233),MARTES!E233,0)+MARTES!F233,MARTES!F233)*MARTES!G233,IF(MARTES!C233="peso_corporal",IF(ISNUMBER(MARTES!E233),MARTES!E233,0)+MARTES!I233,MARTES!I233)*MARTES!J233,IF(MARTES!C233="peso_corporal",IF(ISNUMBER(MARTES!E233),MARTES!E233,0)+MARTES!L233,MARTES!L233)*MARTES!M233,IF(MARTES!C233="peso_corporal",IF(ISNUMBER(MARTES!E233),MARTES!E233,0)+MARTES!O233,MARTES!O233)*MARTES!P233,IF(MARTES!C233="peso_corporal",IF(ISNUMBER(MARTES!E233),MARTES!E233,0)+MARTES!R233,MARTES!R233)*MARTES!S233),1),""))</f>
        <v/>
      </c>
      <c r="K651" s="51" t="str">
        <f>IF(P651="","",IFERROR(ROUND(CHOOSE(VALUE(RIGHT(P651,1)),(IF(MARTES!C233="peso_corporal",IF(ISNUMBER(MARTES!E233),MARTES!E233,0)+MARTES!F233,MARTES!F233))*(1+MARTES!G233/30),(IF(MARTES!C233="peso_corporal",IF(ISNUMBER(MARTES!E233),MARTES!E233,0)+MARTES!I233,MARTES!I233))*(1+MARTES!J233/30),(IF(MARTES!C233="peso_corporal",IF(ISNUMBER(MARTES!E233),MARTES!E233,0)+MARTES!L233,MARTES!L233))*(1+MARTES!M233/30),(IF(MARTES!C233="peso_corporal",IF(ISNUMBER(MARTES!E233),MARTES!E233,0)+MARTES!O233,MARTES!O233))*(1+MARTES!P233/30),(IF(MARTES!C233="peso_corporal",IF(ISNUMBER(MARTES!E233),MARTES!E233,0)+MARTES!R233,MARTES!R233))*(1+MARTES!S233/30)),1),""))</f>
        <v/>
      </c>
      <c r="L651" s="52">
        <f>IFERROR(MARTES!E233,"")</f>
        <v>80</v>
      </c>
      <c r="M651" s="53" t="str">
        <f>IFERROR(IF(K651="","-",IF(ISNUMBER(LOOKUP(2,1/((HISTORIAL!$O$3:$O$650=O651)*(HISTORIAL!$F$3:$F$650&lt;&gt;"")),HISTORIAL!$K$3:$K$650)),IF(K651&gt;LOOKUP(2,1/((HISTORIAL!$O$3:$O$650=O651)*(HISTORIAL!$F$3:$F$650&lt;&gt;"")),HISTORIAL!$K$3:$K$650),"^",IF(K651&lt;LOOKUP(2,1/((HISTORIAL!$O$3:$O$650=O651)*(HISTORIAL!$F$3:$F$650&lt;&gt;"")),HISTORIAL!$K$3:$K$650),"v","-")),"-")),"-")</f>
        <v>-</v>
      </c>
      <c r="N651" s="54" t="str">
        <f>IFERROR(VLOOKUP(A651,CONFIG!$A$10:$B$21,2,0),"")</f>
        <v>FUE</v>
      </c>
      <c r="O651" s="55" t="str">
        <f t="shared" si="21"/>
        <v>Curl Muneca|Pronado</v>
      </c>
      <c r="P651" s="69" t="str">
        <f>MARTES!AC233</f>
        <v/>
      </c>
    </row>
    <row r="652" spans="1:16" ht="14.1" customHeight="1">
      <c r="A652" s="37">
        <v>11</v>
      </c>
      <c r="B652" s="37" t="s">
        <v>278</v>
      </c>
      <c r="C652" s="44" t="str">
        <f>MARTES!$A$235</f>
        <v>Farmer Carry</v>
      </c>
      <c r="D652" s="45" t="str">
        <f>MARTES!$B$235</f>
        <v>Libre</v>
      </c>
      <c r="E652" s="37" t="str">
        <f>MARTES!$C$235</f>
        <v>mancuerna</v>
      </c>
      <c r="F652" s="46" t="str">
        <f>IF(P652="","",IFERROR(CHOOSE(VALUE(RIGHT(P652,1)),MARTES!F235,MARTES!I235,MARTES!L235,MARTES!O235,MARTES!R235),""))</f>
        <v/>
      </c>
      <c r="G652" s="47" t="str">
        <f>IF(P652="","",IFERROR(CHOOSE(VALUE(RIGHT(P652,1)),MARTES!G235,MARTES!J235,MARTES!M235,MARTES!P235,MARTES!S235),""))</f>
        <v/>
      </c>
      <c r="H652" s="48" t="str">
        <f>IF(P652="","",IFERROR(CHOOSE(VALUE(RIGHT(P652,1)),MARTES!H235,MARTES!K235,MARTES!N235,MARTES!Q235,MARTES!T235),""))</f>
        <v/>
      </c>
      <c r="I652" s="49" t="str">
        <f t="shared" si="20"/>
        <v/>
      </c>
      <c r="J652" s="50" t="str">
        <f>IF(P652="","",IFERROR(ROUND(CHOOSE(VALUE(RIGHT(P652,1)),IF(MARTES!C235="peso_corporal",IF(ISNUMBER(MARTES!E235),MARTES!E235,0)+MARTES!F235,MARTES!F235)*MARTES!G235,IF(MARTES!C235="peso_corporal",IF(ISNUMBER(MARTES!E235),MARTES!E235,0)+MARTES!I235,MARTES!I235)*MARTES!J235,IF(MARTES!C235="peso_corporal",IF(ISNUMBER(MARTES!E235),MARTES!E235,0)+MARTES!L235,MARTES!L235)*MARTES!M235,IF(MARTES!C235="peso_corporal",IF(ISNUMBER(MARTES!E235),MARTES!E235,0)+MARTES!O235,MARTES!O235)*MARTES!P235,IF(MARTES!C235="peso_corporal",IF(ISNUMBER(MARTES!E235),MARTES!E235,0)+MARTES!R235,MARTES!R235)*MARTES!S235),1),""))</f>
        <v/>
      </c>
      <c r="K652" s="51" t="str">
        <f>IF(P652="","",IFERROR(ROUND(CHOOSE(VALUE(RIGHT(P652,1)),(IF(MARTES!C235="peso_corporal",IF(ISNUMBER(MARTES!E235),MARTES!E235,0)+MARTES!F235,MARTES!F235))*(1+MARTES!G235/30),(IF(MARTES!C235="peso_corporal",IF(ISNUMBER(MARTES!E235),MARTES!E235,0)+MARTES!I235,MARTES!I235))*(1+MARTES!J235/30),(IF(MARTES!C235="peso_corporal",IF(ISNUMBER(MARTES!E235),MARTES!E235,0)+MARTES!L235,MARTES!L235))*(1+MARTES!M235/30),(IF(MARTES!C235="peso_corporal",IF(ISNUMBER(MARTES!E235),MARTES!E235,0)+MARTES!O235,MARTES!O235))*(1+MARTES!P235/30),(IF(MARTES!C235="peso_corporal",IF(ISNUMBER(MARTES!E235),MARTES!E235,0)+MARTES!R235,MARTES!R235))*(1+MARTES!S235/30)),1),""))</f>
        <v/>
      </c>
      <c r="L652" s="52">
        <f>IFERROR(MARTES!E235,"")</f>
        <v>80</v>
      </c>
      <c r="M652" s="53" t="str">
        <f>IFERROR(IF(K652="","-",IF(ISNUMBER(LOOKUP(2,1/((HISTORIAL!$O$3:$O$651=O652)*(HISTORIAL!$F$3:$F$651&lt;&gt;"")),HISTORIAL!$K$3:$K$651)),IF(K652&gt;LOOKUP(2,1/((HISTORIAL!$O$3:$O$651=O652)*(HISTORIAL!$F$3:$F$651&lt;&gt;"")),HISTORIAL!$K$3:$K$651),"^",IF(K652&lt;LOOKUP(2,1/((HISTORIAL!$O$3:$O$651=O652)*(HISTORIAL!$F$3:$F$651&lt;&gt;"")),HISTORIAL!$K$3:$K$651),"v","-")),"-")),"-")</f>
        <v>-</v>
      </c>
      <c r="N652" s="54" t="str">
        <f>IFERROR(VLOOKUP(A652,CONFIG!$A$10:$B$21,2,0),"")</f>
        <v>FUE</v>
      </c>
      <c r="O652" s="55" t="str">
        <f t="shared" si="21"/>
        <v>Farmer Carry|Libre</v>
      </c>
      <c r="P652" s="69" t="str">
        <f>MARTES!AC235</f>
        <v/>
      </c>
    </row>
    <row r="653" spans="1:16" ht="14.1" customHeight="1">
      <c r="A653" s="37">
        <v>11</v>
      </c>
      <c r="B653" s="37" t="s">
        <v>278</v>
      </c>
      <c r="C653" s="44" t="str">
        <f>MARTES!$A$237</f>
        <v>Skullcrusher</v>
      </c>
      <c r="D653" s="45" t="str">
        <f>MARTES!$B$237</f>
        <v>Mancuerna Tumbado</v>
      </c>
      <c r="E653" s="37" t="str">
        <f>MARTES!$C$237</f>
        <v>--</v>
      </c>
      <c r="F653" s="46" t="str">
        <f>IF(P653="","",IFERROR(CHOOSE(VALUE(RIGHT(P653,1)),MARTES!F237,MARTES!I237,MARTES!L237,MARTES!O237,MARTES!R237),""))</f>
        <v/>
      </c>
      <c r="G653" s="47" t="str">
        <f>IF(P653="","",IFERROR(CHOOSE(VALUE(RIGHT(P653,1)),MARTES!G237,MARTES!J237,MARTES!M237,MARTES!P237,MARTES!S237),""))</f>
        <v/>
      </c>
      <c r="H653" s="48" t="str">
        <f>IF(P653="","",IFERROR(CHOOSE(VALUE(RIGHT(P653,1)),MARTES!H237,MARTES!K237,MARTES!N237,MARTES!Q237,MARTES!T237),""))</f>
        <v/>
      </c>
      <c r="I653" s="49" t="str">
        <f t="shared" si="20"/>
        <v/>
      </c>
      <c r="J653" s="50" t="str">
        <f>IF(P653="","",IFERROR(ROUND(CHOOSE(VALUE(RIGHT(P653,1)),IF(MARTES!C237="peso_corporal",IF(ISNUMBER(MARTES!E237),MARTES!E237,0)+MARTES!F237,MARTES!F237)*MARTES!G237,IF(MARTES!C237="peso_corporal",IF(ISNUMBER(MARTES!E237),MARTES!E237,0)+MARTES!I237,MARTES!I237)*MARTES!J237,IF(MARTES!C237="peso_corporal",IF(ISNUMBER(MARTES!E237),MARTES!E237,0)+MARTES!L237,MARTES!L237)*MARTES!M237,IF(MARTES!C237="peso_corporal",IF(ISNUMBER(MARTES!E237),MARTES!E237,0)+MARTES!O237,MARTES!O237)*MARTES!P237,IF(MARTES!C237="peso_corporal",IF(ISNUMBER(MARTES!E237),MARTES!E237,0)+MARTES!R237,MARTES!R237)*MARTES!S237),1),""))</f>
        <v/>
      </c>
      <c r="K653" s="51" t="str">
        <f>IF(P653="","",IFERROR(ROUND(CHOOSE(VALUE(RIGHT(P653,1)),(IF(MARTES!C237="peso_corporal",IF(ISNUMBER(MARTES!E237),MARTES!E237,0)+MARTES!F237,MARTES!F237))*(1+MARTES!G237/30),(IF(MARTES!C237="peso_corporal",IF(ISNUMBER(MARTES!E237),MARTES!E237,0)+MARTES!I237,MARTES!I237))*(1+MARTES!J237/30),(IF(MARTES!C237="peso_corporal",IF(ISNUMBER(MARTES!E237),MARTES!E237,0)+MARTES!L237,MARTES!L237))*(1+MARTES!M237/30),(IF(MARTES!C237="peso_corporal",IF(ISNUMBER(MARTES!E237),MARTES!E237,0)+MARTES!O237,MARTES!O237))*(1+MARTES!P237/30),(IF(MARTES!C237="peso_corporal",IF(ISNUMBER(MARTES!E237),MARTES!E237,0)+MARTES!R237,MARTES!R237))*(1+MARTES!S237/30)),1),""))</f>
        <v/>
      </c>
      <c r="L653" s="52">
        <f>IFERROR(MARTES!E237,"")</f>
        <v>80</v>
      </c>
      <c r="M653" s="53" t="str">
        <f>IFERROR(IF(K653="","-",IF(ISNUMBER(LOOKUP(2,1/((HISTORIAL!$O$3:$O$652=O653)*(HISTORIAL!$F$3:$F$652&lt;&gt;"")),HISTORIAL!$K$3:$K$652)),IF(K653&gt;LOOKUP(2,1/((HISTORIAL!$O$3:$O$652=O653)*(HISTORIAL!$F$3:$F$652&lt;&gt;"")),HISTORIAL!$K$3:$K$652),"^",IF(K653&lt;LOOKUP(2,1/((HISTORIAL!$O$3:$O$652=O653)*(HISTORIAL!$F$3:$F$652&lt;&gt;"")),HISTORIAL!$K$3:$K$652),"v","-")),"-")),"-")</f>
        <v>-</v>
      </c>
      <c r="N653" s="54" t="str">
        <f>IFERROR(VLOOKUP(A653,CONFIG!$A$10:$B$21,2,0),"")</f>
        <v>FUE</v>
      </c>
      <c r="O653" s="55" t="str">
        <f t="shared" si="21"/>
        <v>Skullcrusher|Mancuerna Tumbado</v>
      </c>
      <c r="P653" s="69" t="str">
        <f>MARTES!AC237</f>
        <v/>
      </c>
    </row>
    <row r="654" spans="1:16" ht="14.1" customHeight="1">
      <c r="A654" s="37">
        <v>11</v>
      </c>
      <c r="B654" s="37" t="s">
        <v>278</v>
      </c>
      <c r="C654" s="44" t="str">
        <f>MARTES!$A$239</f>
        <v>Crunch</v>
      </c>
      <c r="D654" s="45" t="str">
        <f>MARTES!$B$239</f>
        <v>Polea</v>
      </c>
      <c r="E654" s="37" t="str">
        <f>MARTES!$C$239</f>
        <v>polea</v>
      </c>
      <c r="F654" s="46" t="str">
        <f>IF(P654="","",IFERROR(CHOOSE(VALUE(RIGHT(P654,1)),MARTES!F239,MARTES!I239,MARTES!L239,MARTES!O239,MARTES!R239),""))</f>
        <v/>
      </c>
      <c r="G654" s="47" t="str">
        <f>IF(P654="","",IFERROR(CHOOSE(VALUE(RIGHT(P654,1)),MARTES!G239,MARTES!J239,MARTES!M239,MARTES!P239,MARTES!S239),""))</f>
        <v/>
      </c>
      <c r="H654" s="48" t="str">
        <f>IF(P654="","",IFERROR(CHOOSE(VALUE(RIGHT(P654,1)),MARTES!H239,MARTES!K239,MARTES!N239,MARTES!Q239,MARTES!T239),""))</f>
        <v/>
      </c>
      <c r="I654" s="49" t="str">
        <f t="shared" si="20"/>
        <v/>
      </c>
      <c r="J654" s="50" t="str">
        <f>IF(P654="","",IFERROR(ROUND(CHOOSE(VALUE(RIGHT(P654,1)),IF(MARTES!C239="peso_corporal",IF(ISNUMBER(MARTES!E239),MARTES!E239,0)+MARTES!F239,MARTES!F239)*MARTES!G239,IF(MARTES!C239="peso_corporal",IF(ISNUMBER(MARTES!E239),MARTES!E239,0)+MARTES!I239,MARTES!I239)*MARTES!J239,IF(MARTES!C239="peso_corporal",IF(ISNUMBER(MARTES!E239),MARTES!E239,0)+MARTES!L239,MARTES!L239)*MARTES!M239,IF(MARTES!C239="peso_corporal",IF(ISNUMBER(MARTES!E239),MARTES!E239,0)+MARTES!O239,MARTES!O239)*MARTES!P239,IF(MARTES!C239="peso_corporal",IF(ISNUMBER(MARTES!E239),MARTES!E239,0)+MARTES!R239,MARTES!R239)*MARTES!S239),1),""))</f>
        <v/>
      </c>
      <c r="K654" s="51" t="str">
        <f>IF(P654="","",IFERROR(ROUND(CHOOSE(VALUE(RIGHT(P654,1)),(IF(MARTES!C239="peso_corporal",IF(ISNUMBER(MARTES!E239),MARTES!E239,0)+MARTES!F239,MARTES!F239))*(1+MARTES!G239/30),(IF(MARTES!C239="peso_corporal",IF(ISNUMBER(MARTES!E239),MARTES!E239,0)+MARTES!I239,MARTES!I239))*(1+MARTES!J239/30),(IF(MARTES!C239="peso_corporal",IF(ISNUMBER(MARTES!E239),MARTES!E239,0)+MARTES!L239,MARTES!L239))*(1+MARTES!M239/30),(IF(MARTES!C239="peso_corporal",IF(ISNUMBER(MARTES!E239),MARTES!E239,0)+MARTES!O239,MARTES!O239))*(1+MARTES!P239/30),(IF(MARTES!C239="peso_corporal",IF(ISNUMBER(MARTES!E239),MARTES!E239,0)+MARTES!R239,MARTES!R239))*(1+MARTES!S239/30)),1),""))</f>
        <v/>
      </c>
      <c r="L654" s="52">
        <f>IFERROR(MARTES!E239,"")</f>
        <v>80</v>
      </c>
      <c r="M654" s="53" t="str">
        <f>IFERROR(IF(K654="","-",IF(ISNUMBER(LOOKUP(2,1/((HISTORIAL!$O$3:$O$653=O654)*(HISTORIAL!$F$3:$F$653&lt;&gt;"")),HISTORIAL!$K$3:$K$653)),IF(K654&gt;LOOKUP(2,1/((HISTORIAL!$O$3:$O$653=O654)*(HISTORIAL!$F$3:$F$653&lt;&gt;"")),HISTORIAL!$K$3:$K$653),"^",IF(K654&lt;LOOKUP(2,1/((HISTORIAL!$O$3:$O$653=O654)*(HISTORIAL!$F$3:$F$653&lt;&gt;"")),HISTORIAL!$K$3:$K$653),"v","-")),"-")),"-")</f>
        <v>-</v>
      </c>
      <c r="N654" s="54" t="str">
        <f>IFERROR(VLOOKUP(A654,CONFIG!$A$10:$B$21,2,0),"")</f>
        <v>FUE</v>
      </c>
      <c r="O654" s="55" t="str">
        <f t="shared" si="21"/>
        <v>Crunch|Polea</v>
      </c>
      <c r="P654" s="69" t="str">
        <f>MARTES!AC239</f>
        <v/>
      </c>
    </row>
    <row r="655" spans="1:16" ht="14.1" customHeight="1">
      <c r="A655" s="37">
        <v>11</v>
      </c>
      <c r="B655" s="37" t="s">
        <v>279</v>
      </c>
      <c r="C655" s="44" t="str">
        <f>MIERCOLES!$A$232</f>
        <v>Curl Femoral</v>
      </c>
      <c r="D655" s="45" t="str">
        <f>MIERCOLES!$B$232</f>
        <v>Tumbado Maquina</v>
      </c>
      <c r="E655" s="37" t="str">
        <f>MIERCOLES!$C$232</f>
        <v>polea</v>
      </c>
      <c r="F655" s="46" t="str">
        <f>IF(P655="","",IFERROR(CHOOSE(VALUE(RIGHT(P655,1)),MIERCOLES!F232,MIERCOLES!I232,MIERCOLES!L232,MIERCOLES!O232,MIERCOLES!R232),""))</f>
        <v/>
      </c>
      <c r="G655" s="47" t="str">
        <f>IF(P655="","",IFERROR(CHOOSE(VALUE(RIGHT(P655,1)),MIERCOLES!G232,MIERCOLES!J232,MIERCOLES!M232,MIERCOLES!P232,MIERCOLES!S232),""))</f>
        <v/>
      </c>
      <c r="H655" s="48" t="str">
        <f>IF(P655="","",IFERROR(CHOOSE(VALUE(RIGHT(P655,1)),MIERCOLES!H232,MIERCOLES!K232,MIERCOLES!N232,MIERCOLES!Q232,MIERCOLES!T232),""))</f>
        <v/>
      </c>
      <c r="I655" s="49" t="str">
        <f t="shared" si="20"/>
        <v/>
      </c>
      <c r="J655" s="50" t="str">
        <f>IF(P655="","",IFERROR(ROUND(CHOOSE(VALUE(RIGHT(P655,1)),IF(MIERCOLES!C232="peso_corporal",IF(ISNUMBER(MIERCOLES!E232),MIERCOLES!E232,0)+MIERCOLES!F232,MIERCOLES!F232)*MIERCOLES!G232,IF(MIERCOLES!C232="peso_corporal",IF(ISNUMBER(MIERCOLES!E232),MIERCOLES!E232,0)+MIERCOLES!I232,MIERCOLES!I232)*MIERCOLES!J232,IF(MIERCOLES!C232="peso_corporal",IF(ISNUMBER(MIERCOLES!E232),MIERCOLES!E232,0)+MIERCOLES!L232,MIERCOLES!L232)*MIERCOLES!M232,IF(MIERCOLES!C232="peso_corporal",IF(ISNUMBER(MIERCOLES!E232),MIERCOLES!E232,0)+MIERCOLES!O232,MIERCOLES!O232)*MIERCOLES!P232,IF(MIERCOLES!C232="peso_corporal",IF(ISNUMBER(MIERCOLES!E232),MIERCOLES!E232,0)+MIERCOLES!R232,MIERCOLES!R232)*MIERCOLES!S232),1),""))</f>
        <v/>
      </c>
      <c r="K655" s="51" t="str">
        <f>IF(P655="","",IFERROR(ROUND(CHOOSE(VALUE(RIGHT(P655,1)),(IF(MIERCOLES!C232="peso_corporal",IF(ISNUMBER(MIERCOLES!E232),MIERCOLES!E232,0)+MIERCOLES!F232,MIERCOLES!F232))*(1+MIERCOLES!G232/30),(IF(MIERCOLES!C232="peso_corporal",IF(ISNUMBER(MIERCOLES!E232),MIERCOLES!E232,0)+MIERCOLES!I232,MIERCOLES!I232))*(1+MIERCOLES!J232/30),(IF(MIERCOLES!C232="peso_corporal",IF(ISNUMBER(MIERCOLES!E232),MIERCOLES!E232,0)+MIERCOLES!L232,MIERCOLES!L232))*(1+MIERCOLES!M232/30),(IF(MIERCOLES!C232="peso_corporal",IF(ISNUMBER(MIERCOLES!E232),MIERCOLES!E232,0)+MIERCOLES!O232,MIERCOLES!O232))*(1+MIERCOLES!P232/30),(IF(MIERCOLES!C232="peso_corporal",IF(ISNUMBER(MIERCOLES!E232),MIERCOLES!E232,0)+MIERCOLES!R232,MIERCOLES!R232))*(1+MIERCOLES!S232/30)),1),""))</f>
        <v/>
      </c>
      <c r="L655" s="52">
        <f>IFERROR(MIERCOLES!E232,"")</f>
        <v>80</v>
      </c>
      <c r="M655" s="53" t="str">
        <f>IFERROR(IF(K655="","-",IF(ISNUMBER(LOOKUP(2,1/((HISTORIAL!$O$3:$O$654=O655)*(HISTORIAL!$F$3:$F$654&lt;&gt;"")),HISTORIAL!$K$3:$K$654)),IF(K655&gt;LOOKUP(2,1/((HISTORIAL!$O$3:$O$654=O655)*(HISTORIAL!$F$3:$F$654&lt;&gt;"")),HISTORIAL!$K$3:$K$654),"^",IF(K655&lt;LOOKUP(2,1/((HISTORIAL!$O$3:$O$654=O655)*(HISTORIAL!$F$3:$F$654&lt;&gt;"")),HISTORIAL!$K$3:$K$654),"v","-")),"-")),"-")</f>
        <v>-</v>
      </c>
      <c r="N655" s="54" t="str">
        <f>IFERROR(VLOOKUP(A655,CONFIG!$A$10:$B$21,2,0),"")</f>
        <v>FUE</v>
      </c>
      <c r="O655" s="55" t="str">
        <f t="shared" si="21"/>
        <v>Curl Femoral|Tumbado Maquina</v>
      </c>
      <c r="P655" s="69" t="str">
        <f>MIERCOLES!AC232</f>
        <v/>
      </c>
    </row>
    <row r="656" spans="1:16" ht="14.1" customHeight="1">
      <c r="A656" s="37">
        <v>11</v>
      </c>
      <c r="B656" s="37" t="s">
        <v>279</v>
      </c>
      <c r="C656" s="44" t="str">
        <f>MIERCOLES!$A$233</f>
        <v>Curl Femoral</v>
      </c>
      <c r="D656" s="45" t="str">
        <f>MIERCOLES!$B$233</f>
        <v>Sentado Maquina</v>
      </c>
      <c r="E656" s="37" t="str">
        <f>MIERCOLES!$C$233</f>
        <v>polea</v>
      </c>
      <c r="F656" s="46" t="str">
        <f>IF(P656="","",IFERROR(CHOOSE(VALUE(RIGHT(P656,1)),MIERCOLES!F233,MIERCOLES!I233,MIERCOLES!L233,MIERCOLES!O233,MIERCOLES!R233),""))</f>
        <v/>
      </c>
      <c r="G656" s="47" t="str">
        <f>IF(P656="","",IFERROR(CHOOSE(VALUE(RIGHT(P656,1)),MIERCOLES!G233,MIERCOLES!J233,MIERCOLES!M233,MIERCOLES!P233,MIERCOLES!S233),""))</f>
        <v/>
      </c>
      <c r="H656" s="48" t="str">
        <f>IF(P656="","",IFERROR(CHOOSE(VALUE(RIGHT(P656,1)),MIERCOLES!H233,MIERCOLES!K233,MIERCOLES!N233,MIERCOLES!Q233,MIERCOLES!T233),""))</f>
        <v/>
      </c>
      <c r="I656" s="49" t="str">
        <f t="shared" si="20"/>
        <v/>
      </c>
      <c r="J656" s="50" t="str">
        <f>IF(P656="","",IFERROR(ROUND(CHOOSE(VALUE(RIGHT(P656,1)),IF(MIERCOLES!C233="peso_corporal",IF(ISNUMBER(MIERCOLES!E233),MIERCOLES!E233,0)+MIERCOLES!F233,MIERCOLES!F233)*MIERCOLES!G233,IF(MIERCOLES!C233="peso_corporal",IF(ISNUMBER(MIERCOLES!E233),MIERCOLES!E233,0)+MIERCOLES!I233,MIERCOLES!I233)*MIERCOLES!J233,IF(MIERCOLES!C233="peso_corporal",IF(ISNUMBER(MIERCOLES!E233),MIERCOLES!E233,0)+MIERCOLES!L233,MIERCOLES!L233)*MIERCOLES!M233,IF(MIERCOLES!C233="peso_corporal",IF(ISNUMBER(MIERCOLES!E233),MIERCOLES!E233,0)+MIERCOLES!O233,MIERCOLES!O233)*MIERCOLES!P233,IF(MIERCOLES!C233="peso_corporal",IF(ISNUMBER(MIERCOLES!E233),MIERCOLES!E233,0)+MIERCOLES!R233,MIERCOLES!R233)*MIERCOLES!S233),1),""))</f>
        <v/>
      </c>
      <c r="K656" s="51" t="str">
        <f>IF(P656="","",IFERROR(ROUND(CHOOSE(VALUE(RIGHT(P656,1)),(IF(MIERCOLES!C233="peso_corporal",IF(ISNUMBER(MIERCOLES!E233),MIERCOLES!E233,0)+MIERCOLES!F233,MIERCOLES!F233))*(1+MIERCOLES!G233/30),(IF(MIERCOLES!C233="peso_corporal",IF(ISNUMBER(MIERCOLES!E233),MIERCOLES!E233,0)+MIERCOLES!I233,MIERCOLES!I233))*(1+MIERCOLES!J233/30),(IF(MIERCOLES!C233="peso_corporal",IF(ISNUMBER(MIERCOLES!E233),MIERCOLES!E233,0)+MIERCOLES!L233,MIERCOLES!L233))*(1+MIERCOLES!M233/30),(IF(MIERCOLES!C233="peso_corporal",IF(ISNUMBER(MIERCOLES!E233),MIERCOLES!E233,0)+MIERCOLES!O233,MIERCOLES!O233))*(1+MIERCOLES!P233/30),(IF(MIERCOLES!C233="peso_corporal",IF(ISNUMBER(MIERCOLES!E233),MIERCOLES!E233,0)+MIERCOLES!R233,MIERCOLES!R233))*(1+MIERCOLES!S233/30)),1),""))</f>
        <v/>
      </c>
      <c r="L656" s="52">
        <f>IFERROR(MIERCOLES!E233,"")</f>
        <v>80</v>
      </c>
      <c r="M656" s="53" t="str">
        <f>IFERROR(IF(K656="","-",IF(ISNUMBER(LOOKUP(2,1/((HISTORIAL!$O$3:$O$655=O656)*(HISTORIAL!$F$3:$F$655&lt;&gt;"")),HISTORIAL!$K$3:$K$655)),IF(K656&gt;LOOKUP(2,1/((HISTORIAL!$O$3:$O$655=O656)*(HISTORIAL!$F$3:$F$655&lt;&gt;"")),HISTORIAL!$K$3:$K$655),"^",IF(K656&lt;LOOKUP(2,1/((HISTORIAL!$O$3:$O$655=O656)*(HISTORIAL!$F$3:$F$655&lt;&gt;"")),HISTORIAL!$K$3:$K$655),"v","-")),"-")),"-")</f>
        <v>-</v>
      </c>
      <c r="N656" s="54" t="str">
        <f>IFERROR(VLOOKUP(A656,CONFIG!$A$10:$B$21,2,0),"")</f>
        <v>FUE</v>
      </c>
      <c r="O656" s="55" t="str">
        <f t="shared" si="21"/>
        <v>Curl Femoral|Sentado Maquina</v>
      </c>
      <c r="P656" s="69" t="str">
        <f>MIERCOLES!AC233</f>
        <v/>
      </c>
    </row>
    <row r="657" spans="1:16" ht="14.1" customHeight="1">
      <c r="A657" s="37">
        <v>11</v>
      </c>
      <c r="B657" s="37" t="s">
        <v>279</v>
      </c>
      <c r="C657" s="44" t="str">
        <f>MIERCOLES!$A$234</f>
        <v>Curl Rumano</v>
      </c>
      <c r="D657" s="45" t="str">
        <f>MIERCOLES!$B$234</f>
        <v>Mancuernas</v>
      </c>
      <c r="E657" s="37" t="str">
        <f>MIERCOLES!$C$234</f>
        <v>mancuerna</v>
      </c>
      <c r="F657" s="46" t="str">
        <f>IF(P657="","",IFERROR(CHOOSE(VALUE(RIGHT(P657,1)),MIERCOLES!F234,MIERCOLES!I234,MIERCOLES!L234,MIERCOLES!O234,MIERCOLES!R234),""))</f>
        <v/>
      </c>
      <c r="G657" s="47" t="str">
        <f>IF(P657="","",IFERROR(CHOOSE(VALUE(RIGHT(P657,1)),MIERCOLES!G234,MIERCOLES!J234,MIERCOLES!M234,MIERCOLES!P234,MIERCOLES!S234),""))</f>
        <v/>
      </c>
      <c r="H657" s="48" t="str">
        <f>IF(P657="","",IFERROR(CHOOSE(VALUE(RIGHT(P657,1)),MIERCOLES!H234,MIERCOLES!K234,MIERCOLES!N234,MIERCOLES!Q234,MIERCOLES!T234),""))</f>
        <v/>
      </c>
      <c r="I657" s="49" t="str">
        <f t="shared" si="20"/>
        <v/>
      </c>
      <c r="J657" s="50" t="str">
        <f>IF(P657="","",IFERROR(ROUND(CHOOSE(VALUE(RIGHT(P657,1)),IF(MIERCOLES!C234="peso_corporal",IF(ISNUMBER(MIERCOLES!E234),MIERCOLES!E234,0)+MIERCOLES!F234,MIERCOLES!F234)*MIERCOLES!G234,IF(MIERCOLES!C234="peso_corporal",IF(ISNUMBER(MIERCOLES!E234),MIERCOLES!E234,0)+MIERCOLES!I234,MIERCOLES!I234)*MIERCOLES!J234,IF(MIERCOLES!C234="peso_corporal",IF(ISNUMBER(MIERCOLES!E234),MIERCOLES!E234,0)+MIERCOLES!L234,MIERCOLES!L234)*MIERCOLES!M234,IF(MIERCOLES!C234="peso_corporal",IF(ISNUMBER(MIERCOLES!E234),MIERCOLES!E234,0)+MIERCOLES!O234,MIERCOLES!O234)*MIERCOLES!P234,IF(MIERCOLES!C234="peso_corporal",IF(ISNUMBER(MIERCOLES!E234),MIERCOLES!E234,0)+MIERCOLES!R234,MIERCOLES!R234)*MIERCOLES!S234),1),""))</f>
        <v/>
      </c>
      <c r="K657" s="51" t="str">
        <f>IF(P657="","",IFERROR(ROUND(CHOOSE(VALUE(RIGHT(P657,1)),(IF(MIERCOLES!C234="peso_corporal",IF(ISNUMBER(MIERCOLES!E234),MIERCOLES!E234,0)+MIERCOLES!F234,MIERCOLES!F234))*(1+MIERCOLES!G234/30),(IF(MIERCOLES!C234="peso_corporal",IF(ISNUMBER(MIERCOLES!E234),MIERCOLES!E234,0)+MIERCOLES!I234,MIERCOLES!I234))*(1+MIERCOLES!J234/30),(IF(MIERCOLES!C234="peso_corporal",IF(ISNUMBER(MIERCOLES!E234),MIERCOLES!E234,0)+MIERCOLES!L234,MIERCOLES!L234))*(1+MIERCOLES!M234/30),(IF(MIERCOLES!C234="peso_corporal",IF(ISNUMBER(MIERCOLES!E234),MIERCOLES!E234,0)+MIERCOLES!O234,MIERCOLES!O234))*(1+MIERCOLES!P234/30),(IF(MIERCOLES!C234="peso_corporal",IF(ISNUMBER(MIERCOLES!E234),MIERCOLES!E234,0)+MIERCOLES!R234,MIERCOLES!R234))*(1+MIERCOLES!S234/30)),1),""))</f>
        <v/>
      </c>
      <c r="L657" s="52">
        <f>IFERROR(MIERCOLES!E234,"")</f>
        <v>80</v>
      </c>
      <c r="M657" s="53" t="str">
        <f>IFERROR(IF(K657="","-",IF(ISNUMBER(LOOKUP(2,1/((HISTORIAL!$O$3:$O$656=O657)*(HISTORIAL!$F$3:$F$656&lt;&gt;"")),HISTORIAL!$K$3:$K$656)),IF(K657&gt;LOOKUP(2,1/((HISTORIAL!$O$3:$O$656=O657)*(HISTORIAL!$F$3:$F$656&lt;&gt;"")),HISTORIAL!$K$3:$K$656),"^",IF(K657&lt;LOOKUP(2,1/((HISTORIAL!$O$3:$O$656=O657)*(HISTORIAL!$F$3:$F$656&lt;&gt;"")),HISTORIAL!$K$3:$K$656),"v","-")),"-")),"-")</f>
        <v>-</v>
      </c>
      <c r="N657" s="54" t="str">
        <f>IFERROR(VLOOKUP(A657,CONFIG!$A$10:$B$21,2,0),"")</f>
        <v>FUE</v>
      </c>
      <c r="O657" s="55" t="str">
        <f t="shared" si="21"/>
        <v>Curl Rumano|Mancuernas</v>
      </c>
      <c r="P657" s="69" t="str">
        <f>MIERCOLES!AC234</f>
        <v/>
      </c>
    </row>
    <row r="658" spans="1:16" ht="14.1" customHeight="1">
      <c r="A658" s="37">
        <v>11</v>
      </c>
      <c r="B658" s="37" t="s">
        <v>279</v>
      </c>
      <c r="C658" s="44" t="str">
        <f>MIERCOLES!$A$236</f>
        <v>Sentadilla</v>
      </c>
      <c r="D658" s="45" t="str">
        <f>MIERCOLES!$B$236</f>
        <v>Multipower Cuna Talones</v>
      </c>
      <c r="E658" s="37" t="str">
        <f>MIERCOLES!$C$236</f>
        <v>--</v>
      </c>
      <c r="F658" s="46" t="str">
        <f>IF(P658="","",IFERROR(CHOOSE(VALUE(RIGHT(P658,1)),MIERCOLES!F236,MIERCOLES!I236,MIERCOLES!L236,MIERCOLES!O236,MIERCOLES!R236),""))</f>
        <v/>
      </c>
      <c r="G658" s="47" t="str">
        <f>IF(P658="","",IFERROR(CHOOSE(VALUE(RIGHT(P658,1)),MIERCOLES!G236,MIERCOLES!J236,MIERCOLES!M236,MIERCOLES!P236,MIERCOLES!S236),""))</f>
        <v/>
      </c>
      <c r="H658" s="48" t="str">
        <f>IF(P658="","",IFERROR(CHOOSE(VALUE(RIGHT(P658,1)),MIERCOLES!H236,MIERCOLES!K236,MIERCOLES!N236,MIERCOLES!Q236,MIERCOLES!T236),""))</f>
        <v/>
      </c>
      <c r="I658" s="49" t="str">
        <f t="shared" si="20"/>
        <v/>
      </c>
      <c r="J658" s="50" t="str">
        <f>IF(P658="","",IFERROR(ROUND(CHOOSE(VALUE(RIGHT(P658,1)),IF(MIERCOLES!C236="peso_corporal",IF(ISNUMBER(MIERCOLES!E236),MIERCOLES!E236,0)+MIERCOLES!F236,MIERCOLES!F236)*MIERCOLES!G236,IF(MIERCOLES!C236="peso_corporal",IF(ISNUMBER(MIERCOLES!E236),MIERCOLES!E236,0)+MIERCOLES!I236,MIERCOLES!I236)*MIERCOLES!J236,IF(MIERCOLES!C236="peso_corporal",IF(ISNUMBER(MIERCOLES!E236),MIERCOLES!E236,0)+MIERCOLES!L236,MIERCOLES!L236)*MIERCOLES!M236,IF(MIERCOLES!C236="peso_corporal",IF(ISNUMBER(MIERCOLES!E236),MIERCOLES!E236,0)+MIERCOLES!O236,MIERCOLES!O236)*MIERCOLES!P236,IF(MIERCOLES!C236="peso_corporal",IF(ISNUMBER(MIERCOLES!E236),MIERCOLES!E236,0)+MIERCOLES!R236,MIERCOLES!R236)*MIERCOLES!S236),1),""))</f>
        <v/>
      </c>
      <c r="K658" s="51" t="str">
        <f>IF(P658="","",IFERROR(ROUND(CHOOSE(VALUE(RIGHT(P658,1)),(IF(MIERCOLES!C236="peso_corporal",IF(ISNUMBER(MIERCOLES!E236),MIERCOLES!E236,0)+MIERCOLES!F236,MIERCOLES!F236))*(1+MIERCOLES!G236/30),(IF(MIERCOLES!C236="peso_corporal",IF(ISNUMBER(MIERCOLES!E236),MIERCOLES!E236,0)+MIERCOLES!I236,MIERCOLES!I236))*(1+MIERCOLES!J236/30),(IF(MIERCOLES!C236="peso_corporal",IF(ISNUMBER(MIERCOLES!E236),MIERCOLES!E236,0)+MIERCOLES!L236,MIERCOLES!L236))*(1+MIERCOLES!M236/30),(IF(MIERCOLES!C236="peso_corporal",IF(ISNUMBER(MIERCOLES!E236),MIERCOLES!E236,0)+MIERCOLES!O236,MIERCOLES!O236))*(1+MIERCOLES!P236/30),(IF(MIERCOLES!C236="peso_corporal",IF(ISNUMBER(MIERCOLES!E236),MIERCOLES!E236,0)+MIERCOLES!R236,MIERCOLES!R236))*(1+MIERCOLES!S236/30)),1),""))</f>
        <v/>
      </c>
      <c r="L658" s="52">
        <f>IFERROR(MIERCOLES!E236,"")</f>
        <v>80</v>
      </c>
      <c r="M658" s="53" t="str">
        <f>IFERROR(IF(K658="","-",IF(ISNUMBER(LOOKUP(2,1/((HISTORIAL!$O$3:$O$657=O658)*(HISTORIAL!$F$3:$F$657&lt;&gt;"")),HISTORIAL!$K$3:$K$657)),IF(K658&gt;LOOKUP(2,1/((HISTORIAL!$O$3:$O$657=O658)*(HISTORIAL!$F$3:$F$657&lt;&gt;"")),HISTORIAL!$K$3:$K$657),"^",IF(K658&lt;LOOKUP(2,1/((HISTORIAL!$O$3:$O$657=O658)*(HISTORIAL!$F$3:$F$657&lt;&gt;"")),HISTORIAL!$K$3:$K$657),"v","-")),"-")),"-")</f>
        <v>-</v>
      </c>
      <c r="N658" s="54" t="str">
        <f>IFERROR(VLOOKUP(A658,CONFIG!$A$10:$B$21,2,0),"")</f>
        <v>FUE</v>
      </c>
      <c r="O658" s="55" t="str">
        <f t="shared" si="21"/>
        <v>Sentadilla|Multipower Cuna Talones</v>
      </c>
      <c r="P658" s="69" t="str">
        <f>MIERCOLES!AC236</f>
        <v/>
      </c>
    </row>
    <row r="659" spans="1:16" ht="14.1" customHeight="1">
      <c r="A659" s="37">
        <v>11</v>
      </c>
      <c r="B659" s="37" t="s">
        <v>279</v>
      </c>
      <c r="C659" s="44" t="str">
        <f>MIERCOLES!$A$237</f>
        <v>Prensa Pierna</v>
      </c>
      <c r="D659" s="45" t="str">
        <f>MIERCOLES!$B$237</f>
        <v>Individual Horizontal</v>
      </c>
      <c r="E659" s="37" t="str">
        <f>MIERCOLES!$C$237</f>
        <v>--</v>
      </c>
      <c r="F659" s="46" t="str">
        <f>IF(P659="","",IFERROR(CHOOSE(VALUE(RIGHT(P659,1)),MIERCOLES!F237,MIERCOLES!I237,MIERCOLES!L237,MIERCOLES!O237,MIERCOLES!R237),""))</f>
        <v/>
      </c>
      <c r="G659" s="47" t="str">
        <f>IF(P659="","",IFERROR(CHOOSE(VALUE(RIGHT(P659,1)),MIERCOLES!G237,MIERCOLES!J237,MIERCOLES!M237,MIERCOLES!P237,MIERCOLES!S237),""))</f>
        <v/>
      </c>
      <c r="H659" s="48" t="str">
        <f>IF(P659="","",IFERROR(CHOOSE(VALUE(RIGHT(P659,1)),MIERCOLES!H237,MIERCOLES!K237,MIERCOLES!N237,MIERCOLES!Q237,MIERCOLES!T237),""))</f>
        <v/>
      </c>
      <c r="I659" s="49" t="str">
        <f t="shared" si="20"/>
        <v/>
      </c>
      <c r="J659" s="50" t="str">
        <f>IF(P659="","",IFERROR(ROUND(CHOOSE(VALUE(RIGHT(P659,1)),IF(MIERCOLES!C237="peso_corporal",IF(ISNUMBER(MIERCOLES!E237),MIERCOLES!E237,0)+MIERCOLES!F237,MIERCOLES!F237)*MIERCOLES!G237,IF(MIERCOLES!C237="peso_corporal",IF(ISNUMBER(MIERCOLES!E237),MIERCOLES!E237,0)+MIERCOLES!I237,MIERCOLES!I237)*MIERCOLES!J237,IF(MIERCOLES!C237="peso_corporal",IF(ISNUMBER(MIERCOLES!E237),MIERCOLES!E237,0)+MIERCOLES!L237,MIERCOLES!L237)*MIERCOLES!M237,IF(MIERCOLES!C237="peso_corporal",IF(ISNUMBER(MIERCOLES!E237),MIERCOLES!E237,0)+MIERCOLES!O237,MIERCOLES!O237)*MIERCOLES!P237,IF(MIERCOLES!C237="peso_corporal",IF(ISNUMBER(MIERCOLES!E237),MIERCOLES!E237,0)+MIERCOLES!R237,MIERCOLES!R237)*MIERCOLES!S237),1),""))</f>
        <v/>
      </c>
      <c r="K659" s="51" t="str">
        <f>IF(P659="","",IFERROR(ROUND(CHOOSE(VALUE(RIGHT(P659,1)),(IF(MIERCOLES!C237="peso_corporal",IF(ISNUMBER(MIERCOLES!E237),MIERCOLES!E237,0)+MIERCOLES!F237,MIERCOLES!F237))*(1+MIERCOLES!G237/30),(IF(MIERCOLES!C237="peso_corporal",IF(ISNUMBER(MIERCOLES!E237),MIERCOLES!E237,0)+MIERCOLES!I237,MIERCOLES!I237))*(1+MIERCOLES!J237/30),(IF(MIERCOLES!C237="peso_corporal",IF(ISNUMBER(MIERCOLES!E237),MIERCOLES!E237,0)+MIERCOLES!L237,MIERCOLES!L237))*(1+MIERCOLES!M237/30),(IF(MIERCOLES!C237="peso_corporal",IF(ISNUMBER(MIERCOLES!E237),MIERCOLES!E237,0)+MIERCOLES!O237,MIERCOLES!O237))*(1+MIERCOLES!P237/30),(IF(MIERCOLES!C237="peso_corporal",IF(ISNUMBER(MIERCOLES!E237),MIERCOLES!E237,0)+MIERCOLES!R237,MIERCOLES!R237))*(1+MIERCOLES!S237/30)),1),""))</f>
        <v/>
      </c>
      <c r="L659" s="52">
        <f>IFERROR(MIERCOLES!E237,"")</f>
        <v>80</v>
      </c>
      <c r="M659" s="53" t="str">
        <f>IFERROR(IF(K659="","-",IF(ISNUMBER(LOOKUP(2,1/((HISTORIAL!$O$3:$O$658=O659)*(HISTORIAL!$F$3:$F$658&lt;&gt;"")),HISTORIAL!$K$3:$K$658)),IF(K659&gt;LOOKUP(2,1/((HISTORIAL!$O$3:$O$658=O659)*(HISTORIAL!$F$3:$F$658&lt;&gt;"")),HISTORIAL!$K$3:$K$658),"^",IF(K659&lt;LOOKUP(2,1/((HISTORIAL!$O$3:$O$658=O659)*(HISTORIAL!$F$3:$F$658&lt;&gt;"")),HISTORIAL!$K$3:$K$658),"v","-")),"-")),"-")</f>
        <v>-</v>
      </c>
      <c r="N659" s="54" t="str">
        <f>IFERROR(VLOOKUP(A659,CONFIG!$A$10:$B$21,2,0),"")</f>
        <v>FUE</v>
      </c>
      <c r="O659" s="55" t="str">
        <f t="shared" si="21"/>
        <v>Prensa Pierna|Individual Horizontal</v>
      </c>
      <c r="P659" s="69" t="str">
        <f>MIERCOLES!AC237</f>
        <v/>
      </c>
    </row>
    <row r="660" spans="1:16" ht="14.1" customHeight="1">
      <c r="A660" s="37">
        <v>11</v>
      </c>
      <c r="B660" s="37" t="s">
        <v>279</v>
      </c>
      <c r="C660" s="44" t="str">
        <f>MIERCOLES!$A$238</f>
        <v>Extension Cuadriceps</v>
      </c>
      <c r="D660" s="45" t="str">
        <f>MIERCOLES!$B$238</f>
        <v>Vasto Externo</v>
      </c>
      <c r="E660" s="37" t="str">
        <f>MIERCOLES!$C$238</f>
        <v>--</v>
      </c>
      <c r="F660" s="46" t="str">
        <f>IF(P660="","",IFERROR(CHOOSE(VALUE(RIGHT(P660,1)),MIERCOLES!F238,MIERCOLES!I238,MIERCOLES!L238,MIERCOLES!O238,MIERCOLES!R238),""))</f>
        <v/>
      </c>
      <c r="G660" s="47" t="str">
        <f>IF(P660="","",IFERROR(CHOOSE(VALUE(RIGHT(P660,1)),MIERCOLES!G238,MIERCOLES!J238,MIERCOLES!M238,MIERCOLES!P238,MIERCOLES!S238),""))</f>
        <v/>
      </c>
      <c r="H660" s="48" t="str">
        <f>IF(P660="","",IFERROR(CHOOSE(VALUE(RIGHT(P660,1)),MIERCOLES!H238,MIERCOLES!K238,MIERCOLES!N238,MIERCOLES!Q238,MIERCOLES!T238),""))</f>
        <v/>
      </c>
      <c r="I660" s="49" t="str">
        <f t="shared" si="20"/>
        <v/>
      </c>
      <c r="J660" s="50" t="str">
        <f>IF(P660="","",IFERROR(ROUND(CHOOSE(VALUE(RIGHT(P660,1)),IF(MIERCOLES!C238="peso_corporal",IF(ISNUMBER(MIERCOLES!E238),MIERCOLES!E238,0)+MIERCOLES!F238,MIERCOLES!F238)*MIERCOLES!G238,IF(MIERCOLES!C238="peso_corporal",IF(ISNUMBER(MIERCOLES!E238),MIERCOLES!E238,0)+MIERCOLES!I238,MIERCOLES!I238)*MIERCOLES!J238,IF(MIERCOLES!C238="peso_corporal",IF(ISNUMBER(MIERCOLES!E238),MIERCOLES!E238,0)+MIERCOLES!L238,MIERCOLES!L238)*MIERCOLES!M238,IF(MIERCOLES!C238="peso_corporal",IF(ISNUMBER(MIERCOLES!E238),MIERCOLES!E238,0)+MIERCOLES!O238,MIERCOLES!O238)*MIERCOLES!P238,IF(MIERCOLES!C238="peso_corporal",IF(ISNUMBER(MIERCOLES!E238),MIERCOLES!E238,0)+MIERCOLES!R238,MIERCOLES!R238)*MIERCOLES!S238),1),""))</f>
        <v/>
      </c>
      <c r="K660" s="51" t="str">
        <f>IF(P660="","",IFERROR(ROUND(CHOOSE(VALUE(RIGHT(P660,1)),(IF(MIERCOLES!C238="peso_corporal",IF(ISNUMBER(MIERCOLES!E238),MIERCOLES!E238,0)+MIERCOLES!F238,MIERCOLES!F238))*(1+MIERCOLES!G238/30),(IF(MIERCOLES!C238="peso_corporal",IF(ISNUMBER(MIERCOLES!E238),MIERCOLES!E238,0)+MIERCOLES!I238,MIERCOLES!I238))*(1+MIERCOLES!J238/30),(IF(MIERCOLES!C238="peso_corporal",IF(ISNUMBER(MIERCOLES!E238),MIERCOLES!E238,0)+MIERCOLES!L238,MIERCOLES!L238))*(1+MIERCOLES!M238/30),(IF(MIERCOLES!C238="peso_corporal",IF(ISNUMBER(MIERCOLES!E238),MIERCOLES!E238,0)+MIERCOLES!O238,MIERCOLES!O238))*(1+MIERCOLES!P238/30),(IF(MIERCOLES!C238="peso_corporal",IF(ISNUMBER(MIERCOLES!E238),MIERCOLES!E238,0)+MIERCOLES!R238,MIERCOLES!R238))*(1+MIERCOLES!S238/30)),1),""))</f>
        <v/>
      </c>
      <c r="L660" s="52">
        <f>IFERROR(MIERCOLES!E238,"")</f>
        <v>80</v>
      </c>
      <c r="M660" s="53" t="str">
        <f>IFERROR(IF(K660="","-",IF(ISNUMBER(LOOKUP(2,1/((HISTORIAL!$O$3:$O$659=O660)*(HISTORIAL!$F$3:$F$659&lt;&gt;"")),HISTORIAL!$K$3:$K$659)),IF(K660&gt;LOOKUP(2,1/((HISTORIAL!$O$3:$O$659=O660)*(HISTORIAL!$F$3:$F$659&lt;&gt;"")),HISTORIAL!$K$3:$K$659),"^",IF(K660&lt;LOOKUP(2,1/((HISTORIAL!$O$3:$O$659=O660)*(HISTORIAL!$F$3:$F$659&lt;&gt;"")),HISTORIAL!$K$3:$K$659),"v","-")),"-")),"-")</f>
        <v>-</v>
      </c>
      <c r="N660" s="54" t="str">
        <f>IFERROR(VLOOKUP(A660,CONFIG!$A$10:$B$21,2,0),"")</f>
        <v>FUE</v>
      </c>
      <c r="O660" s="55" t="str">
        <f t="shared" si="21"/>
        <v>Extension Cuadriceps|Vasto Externo</v>
      </c>
      <c r="P660" s="69" t="str">
        <f>MIERCOLES!AC238</f>
        <v/>
      </c>
    </row>
    <row r="661" spans="1:16" ht="14.1" customHeight="1">
      <c r="A661" s="37">
        <v>11</v>
      </c>
      <c r="B661" s="37" t="s">
        <v>279</v>
      </c>
      <c r="C661" s="44" t="str">
        <f>MIERCOLES!$A$239</f>
        <v>Extension Cuadriceps</v>
      </c>
      <c r="D661" s="45" t="str">
        <f>MIERCOLES!$B$239</f>
        <v>Vasto Interno</v>
      </c>
      <c r="E661" s="37" t="str">
        <f>MIERCOLES!$C$239</f>
        <v>--</v>
      </c>
      <c r="F661" s="46" t="str">
        <f>IF(P661="","",IFERROR(CHOOSE(VALUE(RIGHT(P661,1)),MIERCOLES!F239,MIERCOLES!I239,MIERCOLES!L239,MIERCOLES!O239,MIERCOLES!R239),""))</f>
        <v/>
      </c>
      <c r="G661" s="47" t="str">
        <f>IF(P661="","",IFERROR(CHOOSE(VALUE(RIGHT(P661,1)),MIERCOLES!G239,MIERCOLES!J239,MIERCOLES!M239,MIERCOLES!P239,MIERCOLES!S239),""))</f>
        <v/>
      </c>
      <c r="H661" s="48" t="str">
        <f>IF(P661="","",IFERROR(CHOOSE(VALUE(RIGHT(P661,1)),MIERCOLES!H239,MIERCOLES!K239,MIERCOLES!N239,MIERCOLES!Q239,MIERCOLES!T239),""))</f>
        <v/>
      </c>
      <c r="I661" s="49" t="str">
        <f t="shared" si="20"/>
        <v/>
      </c>
      <c r="J661" s="50" t="str">
        <f>IF(P661="","",IFERROR(ROUND(CHOOSE(VALUE(RIGHT(P661,1)),IF(MIERCOLES!C239="peso_corporal",IF(ISNUMBER(MIERCOLES!E239),MIERCOLES!E239,0)+MIERCOLES!F239,MIERCOLES!F239)*MIERCOLES!G239,IF(MIERCOLES!C239="peso_corporal",IF(ISNUMBER(MIERCOLES!E239),MIERCOLES!E239,0)+MIERCOLES!I239,MIERCOLES!I239)*MIERCOLES!J239,IF(MIERCOLES!C239="peso_corporal",IF(ISNUMBER(MIERCOLES!E239),MIERCOLES!E239,0)+MIERCOLES!L239,MIERCOLES!L239)*MIERCOLES!M239,IF(MIERCOLES!C239="peso_corporal",IF(ISNUMBER(MIERCOLES!E239),MIERCOLES!E239,0)+MIERCOLES!O239,MIERCOLES!O239)*MIERCOLES!P239,IF(MIERCOLES!C239="peso_corporal",IF(ISNUMBER(MIERCOLES!E239),MIERCOLES!E239,0)+MIERCOLES!R239,MIERCOLES!R239)*MIERCOLES!S239),1),""))</f>
        <v/>
      </c>
      <c r="K661" s="51" t="str">
        <f>IF(P661="","",IFERROR(ROUND(CHOOSE(VALUE(RIGHT(P661,1)),(IF(MIERCOLES!C239="peso_corporal",IF(ISNUMBER(MIERCOLES!E239),MIERCOLES!E239,0)+MIERCOLES!F239,MIERCOLES!F239))*(1+MIERCOLES!G239/30),(IF(MIERCOLES!C239="peso_corporal",IF(ISNUMBER(MIERCOLES!E239),MIERCOLES!E239,0)+MIERCOLES!I239,MIERCOLES!I239))*(1+MIERCOLES!J239/30),(IF(MIERCOLES!C239="peso_corporal",IF(ISNUMBER(MIERCOLES!E239),MIERCOLES!E239,0)+MIERCOLES!L239,MIERCOLES!L239))*(1+MIERCOLES!M239/30),(IF(MIERCOLES!C239="peso_corporal",IF(ISNUMBER(MIERCOLES!E239),MIERCOLES!E239,0)+MIERCOLES!O239,MIERCOLES!O239))*(1+MIERCOLES!P239/30),(IF(MIERCOLES!C239="peso_corporal",IF(ISNUMBER(MIERCOLES!E239),MIERCOLES!E239,0)+MIERCOLES!R239,MIERCOLES!R239))*(1+MIERCOLES!S239/30)),1),""))</f>
        <v/>
      </c>
      <c r="L661" s="52">
        <f>IFERROR(MIERCOLES!E239,"")</f>
        <v>80</v>
      </c>
      <c r="M661" s="53" t="str">
        <f>IFERROR(IF(K661="","-",IF(ISNUMBER(LOOKUP(2,1/((HISTORIAL!$O$3:$O$660=O661)*(HISTORIAL!$F$3:$F$660&lt;&gt;"")),HISTORIAL!$K$3:$K$660)),IF(K661&gt;LOOKUP(2,1/((HISTORIAL!$O$3:$O$660=O661)*(HISTORIAL!$F$3:$F$660&lt;&gt;"")),HISTORIAL!$K$3:$K$660),"^",IF(K661&lt;LOOKUP(2,1/((HISTORIAL!$O$3:$O$660=O661)*(HISTORIAL!$F$3:$F$660&lt;&gt;"")),HISTORIAL!$K$3:$K$660),"v","-")),"-")),"-")</f>
        <v>-</v>
      </c>
      <c r="N661" s="54" t="str">
        <f>IFERROR(VLOOKUP(A661,CONFIG!$A$10:$B$21,2,0),"")</f>
        <v>FUE</v>
      </c>
      <c r="O661" s="55" t="str">
        <f t="shared" si="21"/>
        <v>Extension Cuadriceps|Vasto Interno</v>
      </c>
      <c r="P661" s="69" t="str">
        <f>MIERCOLES!AC239</f>
        <v/>
      </c>
    </row>
    <row r="662" spans="1:16" ht="14.1" customHeight="1">
      <c r="A662" s="37">
        <v>11</v>
      </c>
      <c r="B662" s="37" t="s">
        <v>279</v>
      </c>
      <c r="C662" s="44" t="str">
        <f>MIERCOLES!$A$241</f>
        <v>Elevacion Gemelo</v>
      </c>
      <c r="D662" s="45" t="str">
        <f>MIERCOLES!$B$241</f>
        <v>Sentado</v>
      </c>
      <c r="E662" s="37" t="str">
        <f>MIERCOLES!$C$241</f>
        <v>disco</v>
      </c>
      <c r="F662" s="46" t="str">
        <f>IF(P662="","",IFERROR(CHOOSE(VALUE(RIGHT(P662,1)),MIERCOLES!F241,MIERCOLES!I241,MIERCOLES!L241,MIERCOLES!O241,MIERCOLES!R241),""))</f>
        <v/>
      </c>
      <c r="G662" s="47" t="str">
        <f>IF(P662="","",IFERROR(CHOOSE(VALUE(RIGHT(P662,1)),MIERCOLES!G241,MIERCOLES!J241,MIERCOLES!M241,MIERCOLES!P241,MIERCOLES!S241),""))</f>
        <v/>
      </c>
      <c r="H662" s="48" t="str">
        <f>IF(P662="","",IFERROR(CHOOSE(VALUE(RIGHT(P662,1)),MIERCOLES!H241,MIERCOLES!K241,MIERCOLES!N241,MIERCOLES!Q241,MIERCOLES!T241),""))</f>
        <v/>
      </c>
      <c r="I662" s="49" t="str">
        <f t="shared" si="20"/>
        <v/>
      </c>
      <c r="J662" s="50" t="str">
        <f>IF(P662="","",IFERROR(ROUND(CHOOSE(VALUE(RIGHT(P662,1)),IF(MIERCOLES!C241="peso_corporal",IF(ISNUMBER(MIERCOLES!E241),MIERCOLES!E241,0)+MIERCOLES!F241,MIERCOLES!F241)*MIERCOLES!G241,IF(MIERCOLES!C241="peso_corporal",IF(ISNUMBER(MIERCOLES!E241),MIERCOLES!E241,0)+MIERCOLES!I241,MIERCOLES!I241)*MIERCOLES!J241,IF(MIERCOLES!C241="peso_corporal",IF(ISNUMBER(MIERCOLES!E241),MIERCOLES!E241,0)+MIERCOLES!L241,MIERCOLES!L241)*MIERCOLES!M241,IF(MIERCOLES!C241="peso_corporal",IF(ISNUMBER(MIERCOLES!E241),MIERCOLES!E241,0)+MIERCOLES!O241,MIERCOLES!O241)*MIERCOLES!P241,IF(MIERCOLES!C241="peso_corporal",IF(ISNUMBER(MIERCOLES!E241),MIERCOLES!E241,0)+MIERCOLES!R241,MIERCOLES!R241)*MIERCOLES!S241),1),""))</f>
        <v/>
      </c>
      <c r="K662" s="51" t="str">
        <f>IF(P662="","",IFERROR(ROUND(CHOOSE(VALUE(RIGHT(P662,1)),(IF(MIERCOLES!C241="peso_corporal",IF(ISNUMBER(MIERCOLES!E241),MIERCOLES!E241,0)+MIERCOLES!F241,MIERCOLES!F241))*(1+MIERCOLES!G241/30),(IF(MIERCOLES!C241="peso_corporal",IF(ISNUMBER(MIERCOLES!E241),MIERCOLES!E241,0)+MIERCOLES!I241,MIERCOLES!I241))*(1+MIERCOLES!J241/30),(IF(MIERCOLES!C241="peso_corporal",IF(ISNUMBER(MIERCOLES!E241),MIERCOLES!E241,0)+MIERCOLES!L241,MIERCOLES!L241))*(1+MIERCOLES!M241/30),(IF(MIERCOLES!C241="peso_corporal",IF(ISNUMBER(MIERCOLES!E241),MIERCOLES!E241,0)+MIERCOLES!O241,MIERCOLES!O241))*(1+MIERCOLES!P241/30),(IF(MIERCOLES!C241="peso_corporal",IF(ISNUMBER(MIERCOLES!E241),MIERCOLES!E241,0)+MIERCOLES!R241,MIERCOLES!R241))*(1+MIERCOLES!S241/30)),1),""))</f>
        <v/>
      </c>
      <c r="L662" s="52">
        <f>IFERROR(MIERCOLES!E241,"")</f>
        <v>80</v>
      </c>
      <c r="M662" s="53" t="str">
        <f>IFERROR(IF(K662="","-",IF(ISNUMBER(LOOKUP(2,1/((HISTORIAL!$O$3:$O$661=O662)*(HISTORIAL!$F$3:$F$661&lt;&gt;"")),HISTORIAL!$K$3:$K$661)),IF(K662&gt;LOOKUP(2,1/((HISTORIAL!$O$3:$O$661=O662)*(HISTORIAL!$F$3:$F$661&lt;&gt;"")),HISTORIAL!$K$3:$K$661),"^",IF(K662&lt;LOOKUP(2,1/((HISTORIAL!$O$3:$O$661=O662)*(HISTORIAL!$F$3:$F$661&lt;&gt;"")),HISTORIAL!$K$3:$K$661),"v","-")),"-")),"-")</f>
        <v>-</v>
      </c>
      <c r="N662" s="54" t="str">
        <f>IFERROR(VLOOKUP(A662,CONFIG!$A$10:$B$21,2,0),"")</f>
        <v>FUE</v>
      </c>
      <c r="O662" s="55" t="str">
        <f t="shared" si="21"/>
        <v>Elevacion Gemelo|Sentado</v>
      </c>
      <c r="P662" s="69" t="str">
        <f>MIERCOLES!AC241</f>
        <v/>
      </c>
    </row>
    <row r="663" spans="1:16" ht="14.1" customHeight="1">
      <c r="A663" s="37">
        <v>11</v>
      </c>
      <c r="B663" s="37" t="s">
        <v>279</v>
      </c>
      <c r="C663" s="44" t="str">
        <f>MIERCOLES!$A$242</f>
        <v>Elevacion Gemelo</v>
      </c>
      <c r="D663" s="45" t="str">
        <f>MIERCOLES!$B$242</f>
        <v>De Pie</v>
      </c>
      <c r="E663" s="37" t="str">
        <f>MIERCOLES!$C$242</f>
        <v>disco</v>
      </c>
      <c r="F663" s="46" t="str">
        <f>IF(P663="","",IFERROR(CHOOSE(VALUE(RIGHT(P663,1)),MIERCOLES!F242,MIERCOLES!I242,MIERCOLES!L242,MIERCOLES!O242,MIERCOLES!R242),""))</f>
        <v/>
      </c>
      <c r="G663" s="47" t="str">
        <f>IF(P663="","",IFERROR(CHOOSE(VALUE(RIGHT(P663,1)),MIERCOLES!G242,MIERCOLES!J242,MIERCOLES!M242,MIERCOLES!P242,MIERCOLES!S242),""))</f>
        <v/>
      </c>
      <c r="H663" s="48" t="str">
        <f>IF(P663="","",IFERROR(CHOOSE(VALUE(RIGHT(P663,1)),MIERCOLES!H242,MIERCOLES!K242,MIERCOLES!N242,MIERCOLES!Q242,MIERCOLES!T242),""))</f>
        <v/>
      </c>
      <c r="I663" s="49" t="str">
        <f t="shared" si="20"/>
        <v/>
      </c>
      <c r="J663" s="50" t="str">
        <f>IF(P663="","",IFERROR(ROUND(CHOOSE(VALUE(RIGHT(P663,1)),IF(MIERCOLES!C242="peso_corporal",IF(ISNUMBER(MIERCOLES!E242),MIERCOLES!E242,0)+MIERCOLES!F242,MIERCOLES!F242)*MIERCOLES!G242,IF(MIERCOLES!C242="peso_corporal",IF(ISNUMBER(MIERCOLES!E242),MIERCOLES!E242,0)+MIERCOLES!I242,MIERCOLES!I242)*MIERCOLES!J242,IF(MIERCOLES!C242="peso_corporal",IF(ISNUMBER(MIERCOLES!E242),MIERCOLES!E242,0)+MIERCOLES!L242,MIERCOLES!L242)*MIERCOLES!M242,IF(MIERCOLES!C242="peso_corporal",IF(ISNUMBER(MIERCOLES!E242),MIERCOLES!E242,0)+MIERCOLES!O242,MIERCOLES!O242)*MIERCOLES!P242,IF(MIERCOLES!C242="peso_corporal",IF(ISNUMBER(MIERCOLES!E242),MIERCOLES!E242,0)+MIERCOLES!R242,MIERCOLES!R242)*MIERCOLES!S242),1),""))</f>
        <v/>
      </c>
      <c r="K663" s="51" t="str">
        <f>IF(P663="","",IFERROR(ROUND(CHOOSE(VALUE(RIGHT(P663,1)),(IF(MIERCOLES!C242="peso_corporal",IF(ISNUMBER(MIERCOLES!E242),MIERCOLES!E242,0)+MIERCOLES!F242,MIERCOLES!F242))*(1+MIERCOLES!G242/30),(IF(MIERCOLES!C242="peso_corporal",IF(ISNUMBER(MIERCOLES!E242),MIERCOLES!E242,0)+MIERCOLES!I242,MIERCOLES!I242))*(1+MIERCOLES!J242/30),(IF(MIERCOLES!C242="peso_corporal",IF(ISNUMBER(MIERCOLES!E242),MIERCOLES!E242,0)+MIERCOLES!L242,MIERCOLES!L242))*(1+MIERCOLES!M242/30),(IF(MIERCOLES!C242="peso_corporal",IF(ISNUMBER(MIERCOLES!E242),MIERCOLES!E242,0)+MIERCOLES!O242,MIERCOLES!O242))*(1+MIERCOLES!P242/30),(IF(MIERCOLES!C242="peso_corporal",IF(ISNUMBER(MIERCOLES!E242),MIERCOLES!E242,0)+MIERCOLES!R242,MIERCOLES!R242))*(1+MIERCOLES!S242/30)),1),""))</f>
        <v/>
      </c>
      <c r="L663" s="52">
        <f>IFERROR(MIERCOLES!E242,"")</f>
        <v>80</v>
      </c>
      <c r="M663" s="53" t="str">
        <f>IFERROR(IF(K663="","-",IF(ISNUMBER(LOOKUP(2,1/((HISTORIAL!$O$3:$O$662=O663)*(HISTORIAL!$F$3:$F$662&lt;&gt;"")),HISTORIAL!$K$3:$K$662)),IF(K663&gt;LOOKUP(2,1/((HISTORIAL!$O$3:$O$662=O663)*(HISTORIAL!$F$3:$F$662&lt;&gt;"")),HISTORIAL!$K$3:$K$662),"^",IF(K663&lt;LOOKUP(2,1/((HISTORIAL!$O$3:$O$662=O663)*(HISTORIAL!$F$3:$F$662&lt;&gt;"")),HISTORIAL!$K$3:$K$662),"v","-")),"-")),"-")</f>
        <v>-</v>
      </c>
      <c r="N663" s="54" t="str">
        <f>IFERROR(VLOOKUP(A663,CONFIG!$A$10:$B$21,2,0),"")</f>
        <v>FUE</v>
      </c>
      <c r="O663" s="55" t="str">
        <f t="shared" si="21"/>
        <v>Elevacion Gemelo|De Pie</v>
      </c>
      <c r="P663" s="69" t="str">
        <f>MIERCOLES!AC242</f>
        <v/>
      </c>
    </row>
    <row r="664" spans="1:16" ht="14.1" customHeight="1">
      <c r="A664" s="37">
        <v>11</v>
      </c>
      <c r="B664" s="37" t="s">
        <v>279</v>
      </c>
      <c r="C664" s="44" t="str">
        <f>MIERCOLES!$A$244</f>
        <v>Hiperextension</v>
      </c>
      <c r="D664" s="45" t="str">
        <f>MIERCOLES!$B$244</f>
        <v>Banco Romano</v>
      </c>
      <c r="E664" s="37" t="str">
        <f>MIERCOLES!$C$244</f>
        <v>peso_corporal</v>
      </c>
      <c r="F664" s="46" t="str">
        <f>IF(P664="","",IFERROR(CHOOSE(VALUE(RIGHT(P664,1)),MIERCOLES!F244,MIERCOLES!I244,MIERCOLES!L244,MIERCOLES!O244,MIERCOLES!R244),""))</f>
        <v/>
      </c>
      <c r="G664" s="47" t="str">
        <f>IF(P664="","",IFERROR(CHOOSE(VALUE(RIGHT(P664,1)),MIERCOLES!G244,MIERCOLES!J244,MIERCOLES!M244,MIERCOLES!P244,MIERCOLES!S244),""))</f>
        <v/>
      </c>
      <c r="H664" s="48" t="str">
        <f>IF(P664="","",IFERROR(CHOOSE(VALUE(RIGHT(P664,1)),MIERCOLES!H244,MIERCOLES!K244,MIERCOLES!N244,MIERCOLES!Q244,MIERCOLES!T244),""))</f>
        <v/>
      </c>
      <c r="I664" s="49" t="str">
        <f t="shared" si="20"/>
        <v/>
      </c>
      <c r="J664" s="50" t="str">
        <f>IF(P664="","",IFERROR(ROUND(CHOOSE(VALUE(RIGHT(P664,1)),IF(MIERCOLES!C244="peso_corporal",IF(ISNUMBER(MIERCOLES!E244),MIERCOLES!E244,0)+MIERCOLES!F244,MIERCOLES!F244)*MIERCOLES!G244,IF(MIERCOLES!C244="peso_corporal",IF(ISNUMBER(MIERCOLES!E244),MIERCOLES!E244,0)+MIERCOLES!I244,MIERCOLES!I244)*MIERCOLES!J244,IF(MIERCOLES!C244="peso_corporal",IF(ISNUMBER(MIERCOLES!E244),MIERCOLES!E244,0)+MIERCOLES!L244,MIERCOLES!L244)*MIERCOLES!M244,IF(MIERCOLES!C244="peso_corporal",IF(ISNUMBER(MIERCOLES!E244),MIERCOLES!E244,0)+MIERCOLES!O244,MIERCOLES!O244)*MIERCOLES!P244,IF(MIERCOLES!C244="peso_corporal",IF(ISNUMBER(MIERCOLES!E244),MIERCOLES!E244,0)+MIERCOLES!R244,MIERCOLES!R244)*MIERCOLES!S244),1),""))</f>
        <v/>
      </c>
      <c r="K664" s="51" t="str">
        <f>IF(P664="","",IFERROR(ROUND(CHOOSE(VALUE(RIGHT(P664,1)),(IF(MIERCOLES!C244="peso_corporal",IF(ISNUMBER(MIERCOLES!E244),MIERCOLES!E244,0)+MIERCOLES!F244,MIERCOLES!F244))*(1+MIERCOLES!G244/30),(IF(MIERCOLES!C244="peso_corporal",IF(ISNUMBER(MIERCOLES!E244),MIERCOLES!E244,0)+MIERCOLES!I244,MIERCOLES!I244))*(1+MIERCOLES!J244/30),(IF(MIERCOLES!C244="peso_corporal",IF(ISNUMBER(MIERCOLES!E244),MIERCOLES!E244,0)+MIERCOLES!L244,MIERCOLES!L244))*(1+MIERCOLES!M244/30),(IF(MIERCOLES!C244="peso_corporal",IF(ISNUMBER(MIERCOLES!E244),MIERCOLES!E244,0)+MIERCOLES!O244,MIERCOLES!O244))*(1+MIERCOLES!P244/30),(IF(MIERCOLES!C244="peso_corporal",IF(ISNUMBER(MIERCOLES!E244),MIERCOLES!E244,0)+MIERCOLES!R244,MIERCOLES!R244))*(1+MIERCOLES!S244/30)),1),""))</f>
        <v/>
      </c>
      <c r="L664" s="52">
        <f>IFERROR(MIERCOLES!E244,"")</f>
        <v>80</v>
      </c>
      <c r="M664" s="53" t="str">
        <f>IFERROR(IF(K664="","-",IF(ISNUMBER(LOOKUP(2,1/((HISTORIAL!$O$3:$O$663=O664)*(HISTORIAL!$F$3:$F$663&lt;&gt;"")),HISTORIAL!$K$3:$K$663)),IF(K664&gt;LOOKUP(2,1/((HISTORIAL!$O$3:$O$663=O664)*(HISTORIAL!$F$3:$F$663&lt;&gt;"")),HISTORIAL!$K$3:$K$663),"^",IF(K664&lt;LOOKUP(2,1/((HISTORIAL!$O$3:$O$663=O664)*(HISTORIAL!$F$3:$F$663&lt;&gt;"")),HISTORIAL!$K$3:$K$663),"v","-")),"-")),"-")</f>
        <v>-</v>
      </c>
      <c r="N664" s="54" t="str">
        <f>IFERROR(VLOOKUP(A664,CONFIG!$A$10:$B$21,2,0),"")</f>
        <v>FUE</v>
      </c>
      <c r="O664" s="55" t="str">
        <f t="shared" si="21"/>
        <v>Hiperextension|Banco Romano</v>
      </c>
      <c r="P664" s="69" t="str">
        <f>MIERCOLES!AC244</f>
        <v/>
      </c>
    </row>
    <row r="665" spans="1:16" ht="14.1" customHeight="1">
      <c r="A665" s="37">
        <v>11</v>
      </c>
      <c r="B665" s="37" t="s">
        <v>279</v>
      </c>
      <c r="C665" s="44" t="str">
        <f>MIERCOLES!$A$245</f>
        <v>Peso Muerto Parcial</v>
      </c>
      <c r="D665" s="45" t="str">
        <f>MIERCOLES!$B$245</f>
        <v>Barra</v>
      </c>
      <c r="E665" s="37" t="str">
        <f>MIERCOLES!$C$245</f>
        <v>disco</v>
      </c>
      <c r="F665" s="46" t="str">
        <f>IF(P665="","",IFERROR(CHOOSE(VALUE(RIGHT(P665,1)),MIERCOLES!F245,MIERCOLES!I245,MIERCOLES!L245,MIERCOLES!O245,MIERCOLES!R245),""))</f>
        <v/>
      </c>
      <c r="G665" s="47" t="str">
        <f>IF(P665="","",IFERROR(CHOOSE(VALUE(RIGHT(P665,1)),MIERCOLES!G245,MIERCOLES!J245,MIERCOLES!M245,MIERCOLES!P245,MIERCOLES!S245),""))</f>
        <v/>
      </c>
      <c r="H665" s="48" t="str">
        <f>IF(P665="","",IFERROR(CHOOSE(VALUE(RIGHT(P665,1)),MIERCOLES!H245,MIERCOLES!K245,MIERCOLES!N245,MIERCOLES!Q245,MIERCOLES!T245),""))</f>
        <v/>
      </c>
      <c r="I665" s="49" t="str">
        <f t="shared" si="20"/>
        <v/>
      </c>
      <c r="J665" s="50" t="str">
        <f>IF(P665="","",IFERROR(ROUND(CHOOSE(VALUE(RIGHT(P665,1)),IF(MIERCOLES!C245="peso_corporal",IF(ISNUMBER(MIERCOLES!E245),MIERCOLES!E245,0)+MIERCOLES!F245,MIERCOLES!F245)*MIERCOLES!G245,IF(MIERCOLES!C245="peso_corporal",IF(ISNUMBER(MIERCOLES!E245),MIERCOLES!E245,0)+MIERCOLES!I245,MIERCOLES!I245)*MIERCOLES!J245,IF(MIERCOLES!C245="peso_corporal",IF(ISNUMBER(MIERCOLES!E245),MIERCOLES!E245,0)+MIERCOLES!L245,MIERCOLES!L245)*MIERCOLES!M245,IF(MIERCOLES!C245="peso_corporal",IF(ISNUMBER(MIERCOLES!E245),MIERCOLES!E245,0)+MIERCOLES!O245,MIERCOLES!O245)*MIERCOLES!P245,IF(MIERCOLES!C245="peso_corporal",IF(ISNUMBER(MIERCOLES!E245),MIERCOLES!E245,0)+MIERCOLES!R245,MIERCOLES!R245)*MIERCOLES!S245),1),""))</f>
        <v/>
      </c>
      <c r="K665" s="51" t="str">
        <f>IF(P665="","",IFERROR(ROUND(CHOOSE(VALUE(RIGHT(P665,1)),(IF(MIERCOLES!C245="peso_corporal",IF(ISNUMBER(MIERCOLES!E245),MIERCOLES!E245,0)+MIERCOLES!F245,MIERCOLES!F245))*(1+MIERCOLES!G245/30),(IF(MIERCOLES!C245="peso_corporal",IF(ISNUMBER(MIERCOLES!E245),MIERCOLES!E245,0)+MIERCOLES!I245,MIERCOLES!I245))*(1+MIERCOLES!J245/30),(IF(MIERCOLES!C245="peso_corporal",IF(ISNUMBER(MIERCOLES!E245),MIERCOLES!E245,0)+MIERCOLES!L245,MIERCOLES!L245))*(1+MIERCOLES!M245/30),(IF(MIERCOLES!C245="peso_corporal",IF(ISNUMBER(MIERCOLES!E245),MIERCOLES!E245,0)+MIERCOLES!O245,MIERCOLES!O245))*(1+MIERCOLES!P245/30),(IF(MIERCOLES!C245="peso_corporal",IF(ISNUMBER(MIERCOLES!E245),MIERCOLES!E245,0)+MIERCOLES!R245,MIERCOLES!R245))*(1+MIERCOLES!S245/30)),1),""))</f>
        <v/>
      </c>
      <c r="L665" s="52">
        <f>IFERROR(MIERCOLES!E245,"")</f>
        <v>80</v>
      </c>
      <c r="M665" s="53" t="str">
        <f>IFERROR(IF(K665="","-",IF(ISNUMBER(LOOKUP(2,1/((HISTORIAL!$O$3:$O$664=O665)*(HISTORIAL!$F$3:$F$664&lt;&gt;"")),HISTORIAL!$K$3:$K$664)),IF(K665&gt;LOOKUP(2,1/((HISTORIAL!$O$3:$O$664=O665)*(HISTORIAL!$F$3:$F$664&lt;&gt;"")),HISTORIAL!$K$3:$K$664),"^",IF(K665&lt;LOOKUP(2,1/((HISTORIAL!$O$3:$O$664=O665)*(HISTORIAL!$F$3:$F$664&lt;&gt;"")),HISTORIAL!$K$3:$K$664),"v","-")),"-")),"-")</f>
        <v>-</v>
      </c>
      <c r="N665" s="54" t="str">
        <f>IFERROR(VLOOKUP(A665,CONFIG!$A$10:$B$21,2,0),"")</f>
        <v>FUE</v>
      </c>
      <c r="O665" s="55" t="str">
        <f t="shared" si="21"/>
        <v>Peso Muerto Parcial|Barra</v>
      </c>
      <c r="P665" s="69" t="str">
        <f>MIERCOLES!AC245</f>
        <v/>
      </c>
    </row>
    <row r="666" spans="1:16" ht="14.1" customHeight="1">
      <c r="A666" s="37">
        <v>11</v>
      </c>
      <c r="B666" s="37" t="s">
        <v>279</v>
      </c>
      <c r="C666" s="44" t="str">
        <f>MIERCOLES!$A$247</f>
        <v>Crunch</v>
      </c>
      <c r="D666" s="45" t="str">
        <f>MIERCOLES!$B$247</f>
        <v>Polea</v>
      </c>
      <c r="E666" s="37" t="str">
        <f>MIERCOLES!$C$247</f>
        <v>polea</v>
      </c>
      <c r="F666" s="46" t="str">
        <f>IF(P666="","",IFERROR(CHOOSE(VALUE(RIGHT(P666,1)),MIERCOLES!F247,MIERCOLES!I247,MIERCOLES!L247,MIERCOLES!O247,MIERCOLES!R247),""))</f>
        <v/>
      </c>
      <c r="G666" s="47" t="str">
        <f>IF(P666="","",IFERROR(CHOOSE(VALUE(RIGHT(P666,1)),MIERCOLES!G247,MIERCOLES!J247,MIERCOLES!M247,MIERCOLES!P247,MIERCOLES!S247),""))</f>
        <v/>
      </c>
      <c r="H666" s="48" t="str">
        <f>IF(P666="","",IFERROR(CHOOSE(VALUE(RIGHT(P666,1)),MIERCOLES!H247,MIERCOLES!K247,MIERCOLES!N247,MIERCOLES!Q247,MIERCOLES!T247),""))</f>
        <v/>
      </c>
      <c r="I666" s="49" t="str">
        <f t="shared" si="20"/>
        <v/>
      </c>
      <c r="J666" s="50" t="str">
        <f>IF(P666="","",IFERROR(ROUND(CHOOSE(VALUE(RIGHT(P666,1)),IF(MIERCOLES!C247="peso_corporal",IF(ISNUMBER(MIERCOLES!E247),MIERCOLES!E247,0)+MIERCOLES!F247,MIERCOLES!F247)*MIERCOLES!G247,IF(MIERCOLES!C247="peso_corporal",IF(ISNUMBER(MIERCOLES!E247),MIERCOLES!E247,0)+MIERCOLES!I247,MIERCOLES!I247)*MIERCOLES!J247,IF(MIERCOLES!C247="peso_corporal",IF(ISNUMBER(MIERCOLES!E247),MIERCOLES!E247,0)+MIERCOLES!L247,MIERCOLES!L247)*MIERCOLES!M247,IF(MIERCOLES!C247="peso_corporal",IF(ISNUMBER(MIERCOLES!E247),MIERCOLES!E247,0)+MIERCOLES!O247,MIERCOLES!O247)*MIERCOLES!P247,IF(MIERCOLES!C247="peso_corporal",IF(ISNUMBER(MIERCOLES!E247),MIERCOLES!E247,0)+MIERCOLES!R247,MIERCOLES!R247)*MIERCOLES!S247),1),""))</f>
        <v/>
      </c>
      <c r="K666" s="51" t="str">
        <f>IF(P666="","",IFERROR(ROUND(CHOOSE(VALUE(RIGHT(P666,1)),(IF(MIERCOLES!C247="peso_corporal",IF(ISNUMBER(MIERCOLES!E247),MIERCOLES!E247,0)+MIERCOLES!F247,MIERCOLES!F247))*(1+MIERCOLES!G247/30),(IF(MIERCOLES!C247="peso_corporal",IF(ISNUMBER(MIERCOLES!E247),MIERCOLES!E247,0)+MIERCOLES!I247,MIERCOLES!I247))*(1+MIERCOLES!J247/30),(IF(MIERCOLES!C247="peso_corporal",IF(ISNUMBER(MIERCOLES!E247),MIERCOLES!E247,0)+MIERCOLES!L247,MIERCOLES!L247))*(1+MIERCOLES!M247/30),(IF(MIERCOLES!C247="peso_corporal",IF(ISNUMBER(MIERCOLES!E247),MIERCOLES!E247,0)+MIERCOLES!O247,MIERCOLES!O247))*(1+MIERCOLES!P247/30),(IF(MIERCOLES!C247="peso_corporal",IF(ISNUMBER(MIERCOLES!E247),MIERCOLES!E247,0)+MIERCOLES!R247,MIERCOLES!R247))*(1+MIERCOLES!S247/30)),1),""))</f>
        <v/>
      </c>
      <c r="L666" s="52">
        <f>IFERROR(MIERCOLES!E247,"")</f>
        <v>80</v>
      </c>
      <c r="M666" s="53" t="str">
        <f>IFERROR(IF(K666="","-",IF(ISNUMBER(LOOKUP(2,1/((HISTORIAL!$O$3:$O$665=O666)*(HISTORIAL!$F$3:$F$665&lt;&gt;"")),HISTORIAL!$K$3:$K$665)),IF(K666&gt;LOOKUP(2,1/((HISTORIAL!$O$3:$O$665=O666)*(HISTORIAL!$F$3:$F$665&lt;&gt;"")),HISTORIAL!$K$3:$K$665),"^",IF(K666&lt;LOOKUP(2,1/((HISTORIAL!$O$3:$O$665=O666)*(HISTORIAL!$F$3:$F$665&lt;&gt;"")),HISTORIAL!$K$3:$K$665),"v","-")),"-")),"-")</f>
        <v>-</v>
      </c>
      <c r="N666" s="54" t="str">
        <f>IFERROR(VLOOKUP(A666,CONFIG!$A$10:$B$21,2,0),"")</f>
        <v>FUE</v>
      </c>
      <c r="O666" s="55" t="str">
        <f t="shared" si="21"/>
        <v>Crunch|Polea</v>
      </c>
      <c r="P666" s="69" t="str">
        <f>MIERCOLES!AC247</f>
        <v/>
      </c>
    </row>
    <row r="667" spans="1:16" ht="14.1" customHeight="1">
      <c r="A667" s="37">
        <v>11</v>
      </c>
      <c r="B667" s="37" t="s">
        <v>279</v>
      </c>
      <c r="C667" s="44" t="str">
        <f>MIERCOLES!$A$248</f>
        <v>Plancha</v>
      </c>
      <c r="D667" s="45" t="str">
        <f>MIERCOLES!$B$248</f>
        <v>Abdominal</v>
      </c>
      <c r="E667" s="37" t="str">
        <f>MIERCOLES!$C$248</f>
        <v>--</v>
      </c>
      <c r="F667" s="46" t="str">
        <f>IF(P667="","",IFERROR(CHOOSE(VALUE(RIGHT(P667,1)),MIERCOLES!F248,MIERCOLES!I248,MIERCOLES!L248,MIERCOLES!O248,MIERCOLES!R248),""))</f>
        <v/>
      </c>
      <c r="G667" s="47" t="str">
        <f>IF(P667="","",IFERROR(CHOOSE(VALUE(RIGHT(P667,1)),MIERCOLES!G248,MIERCOLES!J248,MIERCOLES!M248,MIERCOLES!P248,MIERCOLES!S248),""))</f>
        <v/>
      </c>
      <c r="H667" s="48" t="str">
        <f>IF(P667="","",IFERROR(CHOOSE(VALUE(RIGHT(P667,1)),MIERCOLES!H248,MIERCOLES!K248,MIERCOLES!N248,MIERCOLES!Q248,MIERCOLES!T248),""))</f>
        <v/>
      </c>
      <c r="I667" s="49" t="str">
        <f t="shared" si="20"/>
        <v/>
      </c>
      <c r="J667" s="50" t="str">
        <f>IF(P667="","",IFERROR(ROUND(CHOOSE(VALUE(RIGHT(P667,1)),IF(MIERCOLES!C248="peso_corporal",IF(ISNUMBER(MIERCOLES!E248),MIERCOLES!E248,0)+MIERCOLES!F248,MIERCOLES!F248)*MIERCOLES!G248,IF(MIERCOLES!C248="peso_corporal",IF(ISNUMBER(MIERCOLES!E248),MIERCOLES!E248,0)+MIERCOLES!I248,MIERCOLES!I248)*MIERCOLES!J248,IF(MIERCOLES!C248="peso_corporal",IF(ISNUMBER(MIERCOLES!E248),MIERCOLES!E248,0)+MIERCOLES!L248,MIERCOLES!L248)*MIERCOLES!M248,IF(MIERCOLES!C248="peso_corporal",IF(ISNUMBER(MIERCOLES!E248),MIERCOLES!E248,0)+MIERCOLES!O248,MIERCOLES!O248)*MIERCOLES!P248,IF(MIERCOLES!C248="peso_corporal",IF(ISNUMBER(MIERCOLES!E248),MIERCOLES!E248,0)+MIERCOLES!R248,MIERCOLES!R248)*MIERCOLES!S248),1),""))</f>
        <v/>
      </c>
      <c r="K667" s="51" t="str">
        <f>IF(P667="","",IFERROR(ROUND(CHOOSE(VALUE(RIGHT(P667,1)),(IF(MIERCOLES!C248="peso_corporal",IF(ISNUMBER(MIERCOLES!E248),MIERCOLES!E248,0)+MIERCOLES!F248,MIERCOLES!F248))*(1+MIERCOLES!G248/30),(IF(MIERCOLES!C248="peso_corporal",IF(ISNUMBER(MIERCOLES!E248),MIERCOLES!E248,0)+MIERCOLES!I248,MIERCOLES!I248))*(1+MIERCOLES!J248/30),(IF(MIERCOLES!C248="peso_corporal",IF(ISNUMBER(MIERCOLES!E248),MIERCOLES!E248,0)+MIERCOLES!L248,MIERCOLES!L248))*(1+MIERCOLES!M248/30),(IF(MIERCOLES!C248="peso_corporal",IF(ISNUMBER(MIERCOLES!E248),MIERCOLES!E248,0)+MIERCOLES!O248,MIERCOLES!O248))*(1+MIERCOLES!P248/30),(IF(MIERCOLES!C248="peso_corporal",IF(ISNUMBER(MIERCOLES!E248),MIERCOLES!E248,0)+MIERCOLES!R248,MIERCOLES!R248))*(1+MIERCOLES!S248/30)),1),""))</f>
        <v/>
      </c>
      <c r="L667" s="52">
        <f>IFERROR(MIERCOLES!E248,"")</f>
        <v>80</v>
      </c>
      <c r="M667" s="53" t="str">
        <f>IFERROR(IF(K667="","-",IF(ISNUMBER(LOOKUP(2,1/((HISTORIAL!$O$3:$O$666=O667)*(HISTORIAL!$F$3:$F$666&lt;&gt;"")),HISTORIAL!$K$3:$K$666)),IF(K667&gt;LOOKUP(2,1/((HISTORIAL!$O$3:$O$666=O667)*(HISTORIAL!$F$3:$F$666&lt;&gt;"")),HISTORIAL!$K$3:$K$666),"^",IF(K667&lt;LOOKUP(2,1/((HISTORIAL!$O$3:$O$666=O667)*(HISTORIAL!$F$3:$F$666&lt;&gt;"")),HISTORIAL!$K$3:$K$666),"v","-")),"-")),"-")</f>
        <v>-</v>
      </c>
      <c r="N667" s="54" t="str">
        <f>IFERROR(VLOOKUP(A667,CONFIG!$A$10:$B$21,2,0),"")</f>
        <v>FUE</v>
      </c>
      <c r="O667" s="55" t="str">
        <f t="shared" si="21"/>
        <v>Plancha|Abdominal</v>
      </c>
      <c r="P667" s="69" t="str">
        <f>MIERCOLES!AC248</f>
        <v/>
      </c>
    </row>
    <row r="668" spans="1:16" ht="14.1" customHeight="1">
      <c r="A668" s="37">
        <v>11</v>
      </c>
      <c r="B668" s="37" t="s">
        <v>279</v>
      </c>
      <c r="C668" s="44" t="str">
        <f>MIERCOLES!$A$249</f>
        <v>Rueda Abdominal</v>
      </c>
      <c r="D668" s="45" t="str">
        <f>MIERCOLES!$B$249</f>
        <v>Ab Wheel</v>
      </c>
      <c r="E668" s="37" t="str">
        <f>MIERCOLES!$C$249</f>
        <v>--</v>
      </c>
      <c r="F668" s="46" t="str">
        <f>IF(P668="","",IFERROR(CHOOSE(VALUE(RIGHT(P668,1)),MIERCOLES!F249,MIERCOLES!I249,MIERCOLES!L249,MIERCOLES!O249,MIERCOLES!R249),""))</f>
        <v/>
      </c>
      <c r="G668" s="47" t="str">
        <f>IF(P668="","",IFERROR(CHOOSE(VALUE(RIGHT(P668,1)),MIERCOLES!G249,MIERCOLES!J249,MIERCOLES!M249,MIERCOLES!P249,MIERCOLES!S249),""))</f>
        <v/>
      </c>
      <c r="H668" s="48" t="str">
        <f>IF(P668="","",IFERROR(CHOOSE(VALUE(RIGHT(P668,1)),MIERCOLES!H249,MIERCOLES!K249,MIERCOLES!N249,MIERCOLES!Q249,MIERCOLES!T249),""))</f>
        <v/>
      </c>
      <c r="I668" s="49" t="str">
        <f t="shared" si="20"/>
        <v/>
      </c>
      <c r="J668" s="50" t="str">
        <f>IF(P668="","",IFERROR(ROUND(CHOOSE(VALUE(RIGHT(P668,1)),IF(MIERCOLES!C249="peso_corporal",IF(ISNUMBER(MIERCOLES!E249),MIERCOLES!E249,0)+MIERCOLES!F249,MIERCOLES!F249)*MIERCOLES!G249,IF(MIERCOLES!C249="peso_corporal",IF(ISNUMBER(MIERCOLES!E249),MIERCOLES!E249,0)+MIERCOLES!I249,MIERCOLES!I249)*MIERCOLES!J249,IF(MIERCOLES!C249="peso_corporal",IF(ISNUMBER(MIERCOLES!E249),MIERCOLES!E249,0)+MIERCOLES!L249,MIERCOLES!L249)*MIERCOLES!M249,IF(MIERCOLES!C249="peso_corporal",IF(ISNUMBER(MIERCOLES!E249),MIERCOLES!E249,0)+MIERCOLES!O249,MIERCOLES!O249)*MIERCOLES!P249,IF(MIERCOLES!C249="peso_corporal",IF(ISNUMBER(MIERCOLES!E249),MIERCOLES!E249,0)+MIERCOLES!R249,MIERCOLES!R249)*MIERCOLES!S249),1),""))</f>
        <v/>
      </c>
      <c r="K668" s="51" t="str">
        <f>IF(P668="","",IFERROR(ROUND(CHOOSE(VALUE(RIGHT(P668,1)),(IF(MIERCOLES!C249="peso_corporal",IF(ISNUMBER(MIERCOLES!E249),MIERCOLES!E249,0)+MIERCOLES!F249,MIERCOLES!F249))*(1+MIERCOLES!G249/30),(IF(MIERCOLES!C249="peso_corporal",IF(ISNUMBER(MIERCOLES!E249),MIERCOLES!E249,0)+MIERCOLES!I249,MIERCOLES!I249))*(1+MIERCOLES!J249/30),(IF(MIERCOLES!C249="peso_corporal",IF(ISNUMBER(MIERCOLES!E249),MIERCOLES!E249,0)+MIERCOLES!L249,MIERCOLES!L249))*(1+MIERCOLES!M249/30),(IF(MIERCOLES!C249="peso_corporal",IF(ISNUMBER(MIERCOLES!E249),MIERCOLES!E249,0)+MIERCOLES!O249,MIERCOLES!O249))*(1+MIERCOLES!P249/30),(IF(MIERCOLES!C249="peso_corporal",IF(ISNUMBER(MIERCOLES!E249),MIERCOLES!E249,0)+MIERCOLES!R249,MIERCOLES!R249))*(1+MIERCOLES!S249/30)),1),""))</f>
        <v/>
      </c>
      <c r="L668" s="52">
        <f>IFERROR(MIERCOLES!E249,"")</f>
        <v>80</v>
      </c>
      <c r="M668" s="53" t="str">
        <f>IFERROR(IF(K668="","-",IF(ISNUMBER(LOOKUP(2,1/((HISTORIAL!$O$3:$O$667=O668)*(HISTORIAL!$F$3:$F$667&lt;&gt;"")),HISTORIAL!$K$3:$K$667)),IF(K668&gt;LOOKUP(2,1/((HISTORIAL!$O$3:$O$667=O668)*(HISTORIAL!$F$3:$F$667&lt;&gt;"")),HISTORIAL!$K$3:$K$667),"^",IF(K668&lt;LOOKUP(2,1/((HISTORIAL!$O$3:$O$667=O668)*(HISTORIAL!$F$3:$F$667&lt;&gt;"")),HISTORIAL!$K$3:$K$667),"v","-")),"-")),"-")</f>
        <v>-</v>
      </c>
      <c r="N668" s="54" t="str">
        <f>IFERROR(VLOOKUP(A668,CONFIG!$A$10:$B$21,2,0),"")</f>
        <v>FUE</v>
      </c>
      <c r="O668" s="55" t="str">
        <f t="shared" si="21"/>
        <v>Rueda Abdominal|Ab Wheel</v>
      </c>
      <c r="P668" s="69" t="str">
        <f>MIERCOLES!AC249</f>
        <v/>
      </c>
    </row>
    <row r="669" spans="1:16" ht="14.1" customHeight="1">
      <c r="A669" s="37">
        <v>11</v>
      </c>
      <c r="B669" s="37" t="s">
        <v>279</v>
      </c>
      <c r="C669" s="44" t="str">
        <f>MIERCOLES!$A$250</f>
        <v>Elevacion Piernas</v>
      </c>
      <c r="D669" s="45" t="str">
        <f>MIERCOLES!$B$250</f>
        <v>Colgado</v>
      </c>
      <c r="E669" s="37" t="str">
        <f>MIERCOLES!$C$250</f>
        <v>peso_corporal</v>
      </c>
      <c r="F669" s="46" t="str">
        <f>IF(P669="","",IFERROR(CHOOSE(VALUE(RIGHT(P669,1)),MIERCOLES!F250,MIERCOLES!I250,MIERCOLES!L250,MIERCOLES!O250,MIERCOLES!R250),""))</f>
        <v/>
      </c>
      <c r="G669" s="47" t="str">
        <f>IF(P669="","",IFERROR(CHOOSE(VALUE(RIGHT(P669,1)),MIERCOLES!G250,MIERCOLES!J250,MIERCOLES!M250,MIERCOLES!P250,MIERCOLES!S250),""))</f>
        <v/>
      </c>
      <c r="H669" s="48" t="str">
        <f>IF(P669="","",IFERROR(CHOOSE(VALUE(RIGHT(P669,1)),MIERCOLES!H250,MIERCOLES!K250,MIERCOLES!N250,MIERCOLES!Q250,MIERCOLES!T250),""))</f>
        <v/>
      </c>
      <c r="I669" s="49" t="str">
        <f t="shared" si="20"/>
        <v/>
      </c>
      <c r="J669" s="50" t="str">
        <f>IF(P669="","",IFERROR(ROUND(CHOOSE(VALUE(RIGHT(P669,1)),IF(MIERCOLES!C250="peso_corporal",IF(ISNUMBER(MIERCOLES!E250),MIERCOLES!E250,0)+MIERCOLES!F250,MIERCOLES!F250)*MIERCOLES!G250,IF(MIERCOLES!C250="peso_corporal",IF(ISNUMBER(MIERCOLES!E250),MIERCOLES!E250,0)+MIERCOLES!I250,MIERCOLES!I250)*MIERCOLES!J250,IF(MIERCOLES!C250="peso_corporal",IF(ISNUMBER(MIERCOLES!E250),MIERCOLES!E250,0)+MIERCOLES!L250,MIERCOLES!L250)*MIERCOLES!M250,IF(MIERCOLES!C250="peso_corporal",IF(ISNUMBER(MIERCOLES!E250),MIERCOLES!E250,0)+MIERCOLES!O250,MIERCOLES!O250)*MIERCOLES!P250,IF(MIERCOLES!C250="peso_corporal",IF(ISNUMBER(MIERCOLES!E250),MIERCOLES!E250,0)+MIERCOLES!R250,MIERCOLES!R250)*MIERCOLES!S250),1),""))</f>
        <v/>
      </c>
      <c r="K669" s="51" t="str">
        <f>IF(P669="","",IFERROR(ROUND(CHOOSE(VALUE(RIGHT(P669,1)),(IF(MIERCOLES!C250="peso_corporal",IF(ISNUMBER(MIERCOLES!E250),MIERCOLES!E250,0)+MIERCOLES!F250,MIERCOLES!F250))*(1+MIERCOLES!G250/30),(IF(MIERCOLES!C250="peso_corporal",IF(ISNUMBER(MIERCOLES!E250),MIERCOLES!E250,0)+MIERCOLES!I250,MIERCOLES!I250))*(1+MIERCOLES!J250/30),(IF(MIERCOLES!C250="peso_corporal",IF(ISNUMBER(MIERCOLES!E250),MIERCOLES!E250,0)+MIERCOLES!L250,MIERCOLES!L250))*(1+MIERCOLES!M250/30),(IF(MIERCOLES!C250="peso_corporal",IF(ISNUMBER(MIERCOLES!E250),MIERCOLES!E250,0)+MIERCOLES!O250,MIERCOLES!O250))*(1+MIERCOLES!P250/30),(IF(MIERCOLES!C250="peso_corporal",IF(ISNUMBER(MIERCOLES!E250),MIERCOLES!E250,0)+MIERCOLES!R250,MIERCOLES!R250))*(1+MIERCOLES!S250/30)),1),""))</f>
        <v/>
      </c>
      <c r="L669" s="52">
        <f>IFERROR(MIERCOLES!E250,"")</f>
        <v>80</v>
      </c>
      <c r="M669" s="53" t="str">
        <f>IFERROR(IF(K669="","-",IF(ISNUMBER(LOOKUP(2,1/((HISTORIAL!$O$3:$O$668=O669)*(HISTORIAL!$F$3:$F$668&lt;&gt;"")),HISTORIAL!$K$3:$K$668)),IF(K669&gt;LOOKUP(2,1/((HISTORIAL!$O$3:$O$668=O669)*(HISTORIAL!$F$3:$F$668&lt;&gt;"")),HISTORIAL!$K$3:$K$668),"^",IF(K669&lt;LOOKUP(2,1/((HISTORIAL!$O$3:$O$668=O669)*(HISTORIAL!$F$3:$F$668&lt;&gt;"")),HISTORIAL!$K$3:$K$668),"v","-")),"-")),"-")</f>
        <v>-</v>
      </c>
      <c r="N669" s="54" t="str">
        <f>IFERROR(VLOOKUP(A669,CONFIG!$A$10:$B$21,2,0),"")</f>
        <v>FUE</v>
      </c>
      <c r="O669" s="55" t="str">
        <f t="shared" si="21"/>
        <v>Elevacion Piernas|Colgado</v>
      </c>
      <c r="P669" s="69" t="str">
        <f>MIERCOLES!AC250</f>
        <v/>
      </c>
    </row>
    <row r="670" spans="1:16" ht="14.1" customHeight="1">
      <c r="A670" s="37">
        <v>11</v>
      </c>
      <c r="B670" s="37" t="s">
        <v>280</v>
      </c>
      <c r="C670" s="44" t="str">
        <f>JUEVES!$A$262</f>
        <v>Press Militar</v>
      </c>
      <c r="D670" s="45" t="str">
        <f>JUEVES!$B$262</f>
        <v>Multipower</v>
      </c>
      <c r="E670" s="37" t="str">
        <f>JUEVES!$C$262</f>
        <v>--</v>
      </c>
      <c r="F670" s="46" t="str">
        <f>IF(P670="","",IFERROR(CHOOSE(VALUE(RIGHT(P670,1)),JUEVES!F262,JUEVES!I262,JUEVES!L262,JUEVES!O262,JUEVES!R262),""))</f>
        <v/>
      </c>
      <c r="G670" s="47" t="str">
        <f>IF(P670="","",IFERROR(CHOOSE(VALUE(RIGHT(P670,1)),JUEVES!G262,JUEVES!J262,JUEVES!M262,JUEVES!P262,JUEVES!S262),""))</f>
        <v/>
      </c>
      <c r="H670" s="48" t="str">
        <f>IF(P670="","",IFERROR(CHOOSE(VALUE(RIGHT(P670,1)),JUEVES!H262,JUEVES!K262,JUEVES!N262,JUEVES!Q262,JUEVES!T262),""))</f>
        <v/>
      </c>
      <c r="I670" s="49" t="str">
        <f t="shared" si="20"/>
        <v/>
      </c>
      <c r="J670" s="50" t="str">
        <f>IF(P670="","",IFERROR(ROUND(CHOOSE(VALUE(RIGHT(P670,1)),IF(JUEVES!C262="peso_corporal",IF(ISNUMBER(JUEVES!E262),JUEVES!E262,0)+JUEVES!F262,JUEVES!F262)*JUEVES!G262,IF(JUEVES!C262="peso_corporal",IF(ISNUMBER(JUEVES!E262),JUEVES!E262,0)+JUEVES!I262,JUEVES!I262)*JUEVES!J262,IF(JUEVES!C262="peso_corporal",IF(ISNUMBER(JUEVES!E262),JUEVES!E262,0)+JUEVES!L262,JUEVES!L262)*JUEVES!M262,IF(JUEVES!C262="peso_corporal",IF(ISNUMBER(JUEVES!E262),JUEVES!E262,0)+JUEVES!O262,JUEVES!O262)*JUEVES!P262,IF(JUEVES!C262="peso_corporal",IF(ISNUMBER(JUEVES!E262),JUEVES!E262,0)+JUEVES!R262,JUEVES!R262)*JUEVES!S262),1),""))</f>
        <v/>
      </c>
      <c r="K670" s="51" t="str">
        <f>IF(P670="","",IFERROR(ROUND(CHOOSE(VALUE(RIGHT(P670,1)),(IF(JUEVES!C262="peso_corporal",IF(ISNUMBER(JUEVES!E262),JUEVES!E262,0)+JUEVES!F262,JUEVES!F262))*(1+JUEVES!G262/30),(IF(JUEVES!C262="peso_corporal",IF(ISNUMBER(JUEVES!E262),JUEVES!E262,0)+JUEVES!I262,JUEVES!I262))*(1+JUEVES!J262/30),(IF(JUEVES!C262="peso_corporal",IF(ISNUMBER(JUEVES!E262),JUEVES!E262,0)+JUEVES!L262,JUEVES!L262))*(1+JUEVES!M262/30),(IF(JUEVES!C262="peso_corporal",IF(ISNUMBER(JUEVES!E262),JUEVES!E262,0)+JUEVES!O262,JUEVES!O262))*(1+JUEVES!P262/30),(IF(JUEVES!C262="peso_corporal",IF(ISNUMBER(JUEVES!E262),JUEVES!E262,0)+JUEVES!R262,JUEVES!R262))*(1+JUEVES!S262/30)),1),""))</f>
        <v/>
      </c>
      <c r="L670" s="52">
        <f>IFERROR(JUEVES!E262,"")</f>
        <v>80</v>
      </c>
      <c r="M670" s="53" t="str">
        <f>IFERROR(IF(K670="","-",IF(ISNUMBER(LOOKUP(2,1/((HISTORIAL!$O$3:$O$669=O670)*(HISTORIAL!$F$3:$F$669&lt;&gt;"")),HISTORIAL!$K$3:$K$669)),IF(K670&gt;LOOKUP(2,1/((HISTORIAL!$O$3:$O$669=O670)*(HISTORIAL!$F$3:$F$669&lt;&gt;"")),HISTORIAL!$K$3:$K$669),"^",IF(K670&lt;LOOKUP(2,1/((HISTORIAL!$O$3:$O$669=O670)*(HISTORIAL!$F$3:$F$669&lt;&gt;"")),HISTORIAL!$K$3:$K$669),"v","-")),"-")),"-")</f>
        <v>-</v>
      </c>
      <c r="N670" s="54" t="str">
        <f>IFERROR(VLOOKUP(A670,CONFIG!$A$10:$B$21,2,0),"")</f>
        <v>FUE</v>
      </c>
      <c r="O670" s="55" t="str">
        <f t="shared" si="21"/>
        <v>Press Militar|Multipower</v>
      </c>
      <c r="P670" s="69" t="str">
        <f>JUEVES!AC262</f>
        <v/>
      </c>
    </row>
    <row r="671" spans="1:16" ht="14.1" customHeight="1">
      <c r="A671" s="37">
        <v>11</v>
      </c>
      <c r="B671" s="37" t="s">
        <v>280</v>
      </c>
      <c r="C671" s="44" t="str">
        <f>JUEVES!$A$263</f>
        <v>Elevaciones Laterales</v>
      </c>
      <c r="D671" s="45" t="str">
        <f>JUEVES!$B$263</f>
        <v>Drop Set Maquina</v>
      </c>
      <c r="E671" s="37" t="str">
        <f>JUEVES!$C$263</f>
        <v>--</v>
      </c>
      <c r="F671" s="46" t="str">
        <f>IF(P671="","",IFERROR(CHOOSE(VALUE(RIGHT(P671,1)),JUEVES!F263,JUEVES!I263,JUEVES!L263,JUEVES!O263,JUEVES!R263),""))</f>
        <v/>
      </c>
      <c r="G671" s="47" t="str">
        <f>IF(P671="","",IFERROR(CHOOSE(VALUE(RIGHT(P671,1)),JUEVES!G263,JUEVES!J263,JUEVES!M263,JUEVES!P263,JUEVES!S263),""))</f>
        <v/>
      </c>
      <c r="H671" s="48" t="str">
        <f>IF(P671="","",IFERROR(CHOOSE(VALUE(RIGHT(P671,1)),JUEVES!H263,JUEVES!K263,JUEVES!N263,JUEVES!Q263,JUEVES!T263),""))</f>
        <v/>
      </c>
      <c r="I671" s="49" t="str">
        <f t="shared" si="20"/>
        <v/>
      </c>
      <c r="J671" s="50" t="str">
        <f>IF(P671="","",IFERROR(ROUND(CHOOSE(VALUE(RIGHT(P671,1)),IF(JUEVES!C263="peso_corporal",IF(ISNUMBER(JUEVES!E263),JUEVES!E263,0)+JUEVES!F263,JUEVES!F263)*JUEVES!G263,IF(JUEVES!C263="peso_corporal",IF(ISNUMBER(JUEVES!E263),JUEVES!E263,0)+JUEVES!I263,JUEVES!I263)*JUEVES!J263,IF(JUEVES!C263="peso_corporal",IF(ISNUMBER(JUEVES!E263),JUEVES!E263,0)+JUEVES!L263,JUEVES!L263)*JUEVES!M263,IF(JUEVES!C263="peso_corporal",IF(ISNUMBER(JUEVES!E263),JUEVES!E263,0)+JUEVES!O263,JUEVES!O263)*JUEVES!P263,IF(JUEVES!C263="peso_corporal",IF(ISNUMBER(JUEVES!E263),JUEVES!E263,0)+JUEVES!R263,JUEVES!R263)*JUEVES!S263),1),""))</f>
        <v/>
      </c>
      <c r="K671" s="51" t="str">
        <f>IF(P671="","",IFERROR(ROUND(CHOOSE(VALUE(RIGHT(P671,1)),(IF(JUEVES!C263="peso_corporal",IF(ISNUMBER(JUEVES!E263),JUEVES!E263,0)+JUEVES!F263,JUEVES!F263))*(1+JUEVES!G263/30),(IF(JUEVES!C263="peso_corporal",IF(ISNUMBER(JUEVES!E263),JUEVES!E263,0)+JUEVES!I263,JUEVES!I263))*(1+JUEVES!J263/30),(IF(JUEVES!C263="peso_corporal",IF(ISNUMBER(JUEVES!E263),JUEVES!E263,0)+JUEVES!L263,JUEVES!L263))*(1+JUEVES!M263/30),(IF(JUEVES!C263="peso_corporal",IF(ISNUMBER(JUEVES!E263),JUEVES!E263,0)+JUEVES!O263,JUEVES!O263))*(1+JUEVES!P263/30),(IF(JUEVES!C263="peso_corporal",IF(ISNUMBER(JUEVES!E263),JUEVES!E263,0)+JUEVES!R263,JUEVES!R263))*(1+JUEVES!S263/30)),1),""))</f>
        <v/>
      </c>
      <c r="L671" s="52">
        <f>IFERROR(JUEVES!E263,"")</f>
        <v>80</v>
      </c>
      <c r="M671" s="53" t="str">
        <f>IFERROR(IF(K671="","-",IF(ISNUMBER(LOOKUP(2,1/((HISTORIAL!$O$3:$O$670=O671)*(HISTORIAL!$F$3:$F$670&lt;&gt;"")),HISTORIAL!$K$3:$K$670)),IF(K671&gt;LOOKUP(2,1/((HISTORIAL!$O$3:$O$670=O671)*(HISTORIAL!$F$3:$F$670&lt;&gt;"")),HISTORIAL!$K$3:$K$670),"^",IF(K671&lt;LOOKUP(2,1/((HISTORIAL!$O$3:$O$670=O671)*(HISTORIAL!$F$3:$F$670&lt;&gt;"")),HISTORIAL!$K$3:$K$670),"v","-")),"-")),"-")</f>
        <v>-</v>
      </c>
      <c r="N671" s="54" t="str">
        <f>IFERROR(VLOOKUP(A671,CONFIG!$A$10:$B$21,2,0),"")</f>
        <v>FUE</v>
      </c>
      <c r="O671" s="55" t="str">
        <f t="shared" si="21"/>
        <v>Elevaciones Laterales|Drop Set Maquina</v>
      </c>
      <c r="P671" s="69" t="str">
        <f>JUEVES!AC263</f>
        <v/>
      </c>
    </row>
    <row r="672" spans="1:16" ht="14.1" customHeight="1">
      <c r="A672" s="37">
        <v>11</v>
      </c>
      <c r="B672" s="37" t="s">
        <v>280</v>
      </c>
      <c r="C672" s="44" t="str">
        <f>JUEVES!$A$265</f>
        <v>Pajaro</v>
      </c>
      <c r="D672" s="45" t="str">
        <f>JUEVES!$B$265</f>
        <v>Elevacion Posterior</v>
      </c>
      <c r="E672" s="37" t="str">
        <f>JUEVES!$C$265</f>
        <v>mancuerna</v>
      </c>
      <c r="F672" s="46" t="str">
        <f>IF(P672="","",IFERROR(CHOOSE(VALUE(RIGHT(P672,1)),JUEVES!F265,JUEVES!I265,JUEVES!L265,JUEVES!O265,JUEVES!R265),""))</f>
        <v/>
      </c>
      <c r="G672" s="47" t="str">
        <f>IF(P672="","",IFERROR(CHOOSE(VALUE(RIGHT(P672,1)),JUEVES!G265,JUEVES!J265,JUEVES!M265,JUEVES!P265,JUEVES!S265),""))</f>
        <v/>
      </c>
      <c r="H672" s="48" t="str">
        <f>IF(P672="","",IFERROR(CHOOSE(VALUE(RIGHT(P672,1)),JUEVES!H265,JUEVES!K265,JUEVES!N265,JUEVES!Q265,JUEVES!T265),""))</f>
        <v/>
      </c>
      <c r="I672" s="49" t="str">
        <f t="shared" si="20"/>
        <v/>
      </c>
      <c r="J672" s="50" t="str">
        <f>IF(P672="","",IFERROR(ROUND(CHOOSE(VALUE(RIGHT(P672,1)),IF(JUEVES!C265="peso_corporal",IF(ISNUMBER(JUEVES!E265),JUEVES!E265,0)+JUEVES!F265,JUEVES!F265)*JUEVES!G265,IF(JUEVES!C265="peso_corporal",IF(ISNUMBER(JUEVES!E265),JUEVES!E265,0)+JUEVES!I265,JUEVES!I265)*JUEVES!J265,IF(JUEVES!C265="peso_corporal",IF(ISNUMBER(JUEVES!E265),JUEVES!E265,0)+JUEVES!L265,JUEVES!L265)*JUEVES!M265,IF(JUEVES!C265="peso_corporal",IF(ISNUMBER(JUEVES!E265),JUEVES!E265,0)+JUEVES!O265,JUEVES!O265)*JUEVES!P265,IF(JUEVES!C265="peso_corporal",IF(ISNUMBER(JUEVES!E265),JUEVES!E265,0)+JUEVES!R265,JUEVES!R265)*JUEVES!S265),1),""))</f>
        <v/>
      </c>
      <c r="K672" s="51" t="str">
        <f>IF(P672="","",IFERROR(ROUND(CHOOSE(VALUE(RIGHT(P672,1)),(IF(JUEVES!C265="peso_corporal",IF(ISNUMBER(JUEVES!E265),JUEVES!E265,0)+JUEVES!F265,JUEVES!F265))*(1+JUEVES!G265/30),(IF(JUEVES!C265="peso_corporal",IF(ISNUMBER(JUEVES!E265),JUEVES!E265,0)+JUEVES!I265,JUEVES!I265))*(1+JUEVES!J265/30),(IF(JUEVES!C265="peso_corporal",IF(ISNUMBER(JUEVES!E265),JUEVES!E265,0)+JUEVES!L265,JUEVES!L265))*(1+JUEVES!M265/30),(IF(JUEVES!C265="peso_corporal",IF(ISNUMBER(JUEVES!E265),JUEVES!E265,0)+JUEVES!O265,JUEVES!O265))*(1+JUEVES!P265/30),(IF(JUEVES!C265="peso_corporal",IF(ISNUMBER(JUEVES!E265),JUEVES!E265,0)+JUEVES!R265,JUEVES!R265))*(1+JUEVES!S265/30)),1),""))</f>
        <v/>
      </c>
      <c r="L672" s="52">
        <f>IFERROR(JUEVES!E265,"")</f>
        <v>80</v>
      </c>
      <c r="M672" s="53" t="str">
        <f>IFERROR(IF(K672="","-",IF(ISNUMBER(LOOKUP(2,1/((HISTORIAL!$O$3:$O$671=O672)*(HISTORIAL!$F$3:$F$671&lt;&gt;"")),HISTORIAL!$K$3:$K$671)),IF(K672&gt;LOOKUP(2,1/((HISTORIAL!$O$3:$O$671=O672)*(HISTORIAL!$F$3:$F$671&lt;&gt;"")),HISTORIAL!$K$3:$K$671),"^",IF(K672&lt;LOOKUP(2,1/((HISTORIAL!$O$3:$O$671=O672)*(HISTORIAL!$F$3:$F$671&lt;&gt;"")),HISTORIAL!$K$3:$K$671),"v","-")),"-")),"-")</f>
        <v>-</v>
      </c>
      <c r="N672" s="54" t="str">
        <f>IFERROR(VLOOKUP(A672,CONFIG!$A$10:$B$21,2,0),"")</f>
        <v>FUE</v>
      </c>
      <c r="O672" s="55" t="str">
        <f t="shared" si="21"/>
        <v>Pajaro|Elevacion Posterior</v>
      </c>
      <c r="P672" s="69" t="str">
        <f>JUEVES!AC265</f>
        <v/>
      </c>
    </row>
    <row r="673" spans="1:16" ht="14.1" customHeight="1">
      <c r="A673" s="37">
        <v>11</v>
      </c>
      <c r="B673" s="37" t="s">
        <v>280</v>
      </c>
      <c r="C673" s="44" t="str">
        <f>JUEVES!$A$266</f>
        <v>Peck Deck Invertida</v>
      </c>
      <c r="D673" s="45" t="str">
        <f>JUEVES!$B$266</f>
        <v>Maquina</v>
      </c>
      <c r="E673" s="37" t="str">
        <f>JUEVES!$C$266</f>
        <v>polea</v>
      </c>
      <c r="F673" s="46" t="str">
        <f>IF(P673="","",IFERROR(CHOOSE(VALUE(RIGHT(P673,1)),JUEVES!F266,JUEVES!I266,JUEVES!L266,JUEVES!O266,JUEVES!R266),""))</f>
        <v/>
      </c>
      <c r="G673" s="47" t="str">
        <f>IF(P673="","",IFERROR(CHOOSE(VALUE(RIGHT(P673,1)),JUEVES!G266,JUEVES!J266,JUEVES!M266,JUEVES!P266,JUEVES!S266),""))</f>
        <v/>
      </c>
      <c r="H673" s="48" t="str">
        <f>IF(P673="","",IFERROR(CHOOSE(VALUE(RIGHT(P673,1)),JUEVES!H266,JUEVES!K266,JUEVES!N266,JUEVES!Q266,JUEVES!T266),""))</f>
        <v/>
      </c>
      <c r="I673" s="49" t="str">
        <f t="shared" si="20"/>
        <v/>
      </c>
      <c r="J673" s="50" t="str">
        <f>IF(P673="","",IFERROR(ROUND(CHOOSE(VALUE(RIGHT(P673,1)),IF(JUEVES!C266="peso_corporal",IF(ISNUMBER(JUEVES!E266),JUEVES!E266,0)+JUEVES!F266,JUEVES!F266)*JUEVES!G266,IF(JUEVES!C266="peso_corporal",IF(ISNUMBER(JUEVES!E266),JUEVES!E266,0)+JUEVES!I266,JUEVES!I266)*JUEVES!J266,IF(JUEVES!C266="peso_corporal",IF(ISNUMBER(JUEVES!E266),JUEVES!E266,0)+JUEVES!L266,JUEVES!L266)*JUEVES!M266,IF(JUEVES!C266="peso_corporal",IF(ISNUMBER(JUEVES!E266),JUEVES!E266,0)+JUEVES!O266,JUEVES!O266)*JUEVES!P266,IF(JUEVES!C266="peso_corporal",IF(ISNUMBER(JUEVES!E266),JUEVES!E266,0)+JUEVES!R266,JUEVES!R266)*JUEVES!S266),1),""))</f>
        <v/>
      </c>
      <c r="K673" s="51" t="str">
        <f>IF(P673="","",IFERROR(ROUND(CHOOSE(VALUE(RIGHT(P673,1)),(IF(JUEVES!C266="peso_corporal",IF(ISNUMBER(JUEVES!E266),JUEVES!E266,0)+JUEVES!F266,JUEVES!F266))*(1+JUEVES!G266/30),(IF(JUEVES!C266="peso_corporal",IF(ISNUMBER(JUEVES!E266),JUEVES!E266,0)+JUEVES!I266,JUEVES!I266))*(1+JUEVES!J266/30),(IF(JUEVES!C266="peso_corporal",IF(ISNUMBER(JUEVES!E266),JUEVES!E266,0)+JUEVES!L266,JUEVES!L266))*(1+JUEVES!M266/30),(IF(JUEVES!C266="peso_corporal",IF(ISNUMBER(JUEVES!E266),JUEVES!E266,0)+JUEVES!O266,JUEVES!O266))*(1+JUEVES!P266/30),(IF(JUEVES!C266="peso_corporal",IF(ISNUMBER(JUEVES!E266),JUEVES!E266,0)+JUEVES!R266,JUEVES!R266))*(1+JUEVES!S266/30)),1),""))</f>
        <v/>
      </c>
      <c r="L673" s="52">
        <f>IFERROR(JUEVES!E266,"")</f>
        <v>80</v>
      </c>
      <c r="M673" s="53" t="str">
        <f>IFERROR(IF(K673="","-",IF(ISNUMBER(LOOKUP(2,1/((HISTORIAL!$O$3:$O$672=O673)*(HISTORIAL!$F$3:$F$672&lt;&gt;"")),HISTORIAL!$K$3:$K$672)),IF(K673&gt;LOOKUP(2,1/((HISTORIAL!$O$3:$O$672=O673)*(HISTORIAL!$F$3:$F$672&lt;&gt;"")),HISTORIAL!$K$3:$K$672),"^",IF(K673&lt;LOOKUP(2,1/((HISTORIAL!$O$3:$O$672=O673)*(HISTORIAL!$F$3:$F$672&lt;&gt;"")),HISTORIAL!$K$3:$K$672),"v","-")),"-")),"-")</f>
        <v>-</v>
      </c>
      <c r="N673" s="54" t="str">
        <f>IFERROR(VLOOKUP(A673,CONFIG!$A$10:$B$21,2,0),"")</f>
        <v>FUE</v>
      </c>
      <c r="O673" s="55" t="str">
        <f t="shared" si="21"/>
        <v>Peck Deck Invertida|Maquina</v>
      </c>
      <c r="P673" s="69" t="str">
        <f>JUEVES!AC266</f>
        <v/>
      </c>
    </row>
    <row r="674" spans="1:16" ht="14.1" customHeight="1">
      <c r="A674" s="37">
        <v>11</v>
      </c>
      <c r="B674" s="37" t="s">
        <v>280</v>
      </c>
      <c r="C674" s="44" t="str">
        <f>JUEVES!$A$267</f>
        <v>Elevaciones Posteriores</v>
      </c>
      <c r="D674" s="45" t="str">
        <f>JUEVES!$B$267</f>
        <v>Polea Individual</v>
      </c>
      <c r="E674" s="37" t="str">
        <f>JUEVES!$C$267</f>
        <v>polea</v>
      </c>
      <c r="F674" s="46" t="str">
        <f>IF(P674="","",IFERROR(CHOOSE(VALUE(RIGHT(P674,1)),JUEVES!F267,JUEVES!I267,JUEVES!L267,JUEVES!O267,JUEVES!R267),""))</f>
        <v/>
      </c>
      <c r="G674" s="47" t="str">
        <f>IF(P674="","",IFERROR(CHOOSE(VALUE(RIGHT(P674,1)),JUEVES!G267,JUEVES!J267,JUEVES!M267,JUEVES!P267,JUEVES!S267),""))</f>
        <v/>
      </c>
      <c r="H674" s="48" t="str">
        <f>IF(P674="","",IFERROR(CHOOSE(VALUE(RIGHT(P674,1)),JUEVES!H267,JUEVES!K267,JUEVES!N267,JUEVES!Q267,JUEVES!T267),""))</f>
        <v/>
      </c>
      <c r="I674" s="49" t="str">
        <f t="shared" si="20"/>
        <v/>
      </c>
      <c r="J674" s="50" t="str">
        <f>IF(P674="","",IFERROR(ROUND(CHOOSE(VALUE(RIGHT(P674,1)),IF(JUEVES!C267="peso_corporal",IF(ISNUMBER(JUEVES!E267),JUEVES!E267,0)+JUEVES!F267,JUEVES!F267)*JUEVES!G267,IF(JUEVES!C267="peso_corporal",IF(ISNUMBER(JUEVES!E267),JUEVES!E267,0)+JUEVES!I267,JUEVES!I267)*JUEVES!J267,IF(JUEVES!C267="peso_corporal",IF(ISNUMBER(JUEVES!E267),JUEVES!E267,0)+JUEVES!L267,JUEVES!L267)*JUEVES!M267,IF(JUEVES!C267="peso_corporal",IF(ISNUMBER(JUEVES!E267),JUEVES!E267,0)+JUEVES!O267,JUEVES!O267)*JUEVES!P267,IF(JUEVES!C267="peso_corporal",IF(ISNUMBER(JUEVES!E267),JUEVES!E267,0)+JUEVES!R267,JUEVES!R267)*JUEVES!S267),1),""))</f>
        <v/>
      </c>
      <c r="K674" s="51" t="str">
        <f>IF(P674="","",IFERROR(ROUND(CHOOSE(VALUE(RIGHT(P674,1)),(IF(JUEVES!C267="peso_corporal",IF(ISNUMBER(JUEVES!E267),JUEVES!E267,0)+JUEVES!F267,JUEVES!F267))*(1+JUEVES!G267/30),(IF(JUEVES!C267="peso_corporal",IF(ISNUMBER(JUEVES!E267),JUEVES!E267,0)+JUEVES!I267,JUEVES!I267))*(1+JUEVES!J267/30),(IF(JUEVES!C267="peso_corporal",IF(ISNUMBER(JUEVES!E267),JUEVES!E267,0)+JUEVES!L267,JUEVES!L267))*(1+JUEVES!M267/30),(IF(JUEVES!C267="peso_corporal",IF(ISNUMBER(JUEVES!E267),JUEVES!E267,0)+JUEVES!O267,JUEVES!O267))*(1+JUEVES!P267/30),(IF(JUEVES!C267="peso_corporal",IF(ISNUMBER(JUEVES!E267),JUEVES!E267,0)+JUEVES!R267,JUEVES!R267))*(1+JUEVES!S267/30)),1),""))</f>
        <v/>
      </c>
      <c r="L674" s="52">
        <f>IFERROR(JUEVES!E267,"")</f>
        <v>80</v>
      </c>
      <c r="M674" s="53" t="str">
        <f>IFERROR(IF(K674="","-",IF(ISNUMBER(LOOKUP(2,1/((HISTORIAL!$O$3:$O$673=O674)*(HISTORIAL!$F$3:$F$673&lt;&gt;"")),HISTORIAL!$K$3:$K$673)),IF(K674&gt;LOOKUP(2,1/((HISTORIAL!$O$3:$O$673=O674)*(HISTORIAL!$F$3:$F$673&lt;&gt;"")),HISTORIAL!$K$3:$K$673),"^",IF(K674&lt;LOOKUP(2,1/((HISTORIAL!$O$3:$O$673=O674)*(HISTORIAL!$F$3:$F$673&lt;&gt;"")),HISTORIAL!$K$3:$K$673),"v","-")),"-")),"-")</f>
        <v>-</v>
      </c>
      <c r="N674" s="54" t="str">
        <f>IFERROR(VLOOKUP(A674,CONFIG!$A$10:$B$21,2,0),"")</f>
        <v>FUE</v>
      </c>
      <c r="O674" s="55" t="str">
        <f t="shared" si="21"/>
        <v>Elevaciones Posteriores|Polea Individual</v>
      </c>
      <c r="P674" s="69" t="str">
        <f>JUEVES!AC267</f>
        <v/>
      </c>
    </row>
    <row r="675" spans="1:16" ht="14.1" customHeight="1">
      <c r="A675" s="37">
        <v>11</v>
      </c>
      <c r="B675" s="37" t="s">
        <v>280</v>
      </c>
      <c r="C675" s="44" t="str">
        <f>JUEVES!$A$270</f>
        <v>Press Plano</v>
      </c>
      <c r="D675" s="45" t="str">
        <f>JUEVES!$B$270</f>
        <v>Mancuernas</v>
      </c>
      <c r="E675" s="37" t="str">
        <f>JUEVES!$C$270</f>
        <v>mancuerna</v>
      </c>
      <c r="F675" s="46" t="str">
        <f>IF(P675="","",IFERROR(CHOOSE(VALUE(RIGHT(P675,1)),JUEVES!F270,JUEVES!I270,JUEVES!L270,JUEVES!O270,JUEVES!R270),""))</f>
        <v/>
      </c>
      <c r="G675" s="47" t="str">
        <f>IF(P675="","",IFERROR(CHOOSE(VALUE(RIGHT(P675,1)),JUEVES!G270,JUEVES!J270,JUEVES!M270,JUEVES!P270,JUEVES!S270),""))</f>
        <v/>
      </c>
      <c r="H675" s="48" t="str">
        <f>IF(P675="","",IFERROR(CHOOSE(VALUE(RIGHT(P675,1)),JUEVES!H270,JUEVES!K270,JUEVES!N270,JUEVES!Q270,JUEVES!T270),""))</f>
        <v/>
      </c>
      <c r="I675" s="49" t="str">
        <f t="shared" si="20"/>
        <v/>
      </c>
      <c r="J675" s="50" t="str">
        <f>IF(P675="","",IFERROR(ROUND(CHOOSE(VALUE(RIGHT(P675,1)),IF(JUEVES!C270="peso_corporal",IF(ISNUMBER(JUEVES!E270),JUEVES!E270,0)+JUEVES!F270,JUEVES!F270)*JUEVES!G270,IF(JUEVES!C270="peso_corporal",IF(ISNUMBER(JUEVES!E270),JUEVES!E270,0)+JUEVES!I270,JUEVES!I270)*JUEVES!J270,IF(JUEVES!C270="peso_corporal",IF(ISNUMBER(JUEVES!E270),JUEVES!E270,0)+JUEVES!L270,JUEVES!L270)*JUEVES!M270,IF(JUEVES!C270="peso_corporal",IF(ISNUMBER(JUEVES!E270),JUEVES!E270,0)+JUEVES!O270,JUEVES!O270)*JUEVES!P270,IF(JUEVES!C270="peso_corporal",IF(ISNUMBER(JUEVES!E270),JUEVES!E270,0)+JUEVES!R270,JUEVES!R270)*JUEVES!S270),1),""))</f>
        <v/>
      </c>
      <c r="K675" s="51" t="str">
        <f>IF(P675="","",IFERROR(ROUND(CHOOSE(VALUE(RIGHT(P675,1)),(IF(JUEVES!C270="peso_corporal",IF(ISNUMBER(JUEVES!E270),JUEVES!E270,0)+JUEVES!F270,JUEVES!F270))*(1+JUEVES!G270/30),(IF(JUEVES!C270="peso_corporal",IF(ISNUMBER(JUEVES!E270),JUEVES!E270,0)+JUEVES!I270,JUEVES!I270))*(1+JUEVES!J270/30),(IF(JUEVES!C270="peso_corporal",IF(ISNUMBER(JUEVES!E270),JUEVES!E270,0)+JUEVES!L270,JUEVES!L270))*(1+JUEVES!M270/30),(IF(JUEVES!C270="peso_corporal",IF(ISNUMBER(JUEVES!E270),JUEVES!E270,0)+JUEVES!O270,JUEVES!O270))*(1+JUEVES!P270/30),(IF(JUEVES!C270="peso_corporal",IF(ISNUMBER(JUEVES!E270),JUEVES!E270,0)+JUEVES!R270,JUEVES!R270))*(1+JUEVES!S270/30)),1),""))</f>
        <v/>
      </c>
      <c r="L675" s="52">
        <f>IFERROR(JUEVES!E270,"")</f>
        <v>80</v>
      </c>
      <c r="M675" s="53" t="str">
        <f>IFERROR(IF(K675="","-",IF(ISNUMBER(LOOKUP(2,1/((HISTORIAL!$O$3:$O$674=O675)*(HISTORIAL!$F$3:$F$674&lt;&gt;"")),HISTORIAL!$K$3:$K$674)),IF(K675&gt;LOOKUP(2,1/((HISTORIAL!$O$3:$O$674=O675)*(HISTORIAL!$F$3:$F$674&lt;&gt;"")),HISTORIAL!$K$3:$K$674),"^",IF(K675&lt;LOOKUP(2,1/((HISTORIAL!$O$3:$O$674=O675)*(HISTORIAL!$F$3:$F$674&lt;&gt;"")),HISTORIAL!$K$3:$K$674),"v","-")),"-")),"-")</f>
        <v>-</v>
      </c>
      <c r="N675" s="54" t="str">
        <f>IFERROR(VLOOKUP(A675,CONFIG!$A$10:$B$21,2,0),"")</f>
        <v>FUE</v>
      </c>
      <c r="O675" s="55" t="str">
        <f t="shared" si="21"/>
        <v>Press Plano|Mancuernas</v>
      </c>
      <c r="P675" s="69" t="str">
        <f>JUEVES!AC270</f>
        <v/>
      </c>
    </row>
    <row r="676" spans="1:16" ht="14.1" customHeight="1">
      <c r="A676" s="37">
        <v>11</v>
      </c>
      <c r="B676" s="37" t="s">
        <v>280</v>
      </c>
      <c r="C676" s="44" t="str">
        <f>JUEVES!$A$272</f>
        <v>Press Inclinado</v>
      </c>
      <c r="D676" s="45" t="str">
        <f>JUEVES!$B$272</f>
        <v>Multipower</v>
      </c>
      <c r="E676" s="37" t="str">
        <f>JUEVES!$C$272</f>
        <v>disco</v>
      </c>
      <c r="F676" s="46" t="str">
        <f>IF(P676="","",IFERROR(CHOOSE(VALUE(RIGHT(P676,1)),JUEVES!F272,JUEVES!I272,JUEVES!L272,JUEVES!O272,JUEVES!R272),""))</f>
        <v/>
      </c>
      <c r="G676" s="47" t="str">
        <f>IF(P676="","",IFERROR(CHOOSE(VALUE(RIGHT(P676,1)),JUEVES!G272,JUEVES!J272,JUEVES!M272,JUEVES!P272,JUEVES!S272),""))</f>
        <v/>
      </c>
      <c r="H676" s="48" t="str">
        <f>IF(P676="","",IFERROR(CHOOSE(VALUE(RIGHT(P676,1)),JUEVES!H272,JUEVES!K272,JUEVES!N272,JUEVES!Q272,JUEVES!T272),""))</f>
        <v/>
      </c>
      <c r="I676" s="49" t="str">
        <f t="shared" si="20"/>
        <v/>
      </c>
      <c r="J676" s="50" t="str">
        <f>IF(P676="","",IFERROR(ROUND(CHOOSE(VALUE(RIGHT(P676,1)),IF(JUEVES!C272="peso_corporal",IF(ISNUMBER(JUEVES!E272),JUEVES!E272,0)+JUEVES!F272,JUEVES!F272)*JUEVES!G272,IF(JUEVES!C272="peso_corporal",IF(ISNUMBER(JUEVES!E272),JUEVES!E272,0)+JUEVES!I272,JUEVES!I272)*JUEVES!J272,IF(JUEVES!C272="peso_corporal",IF(ISNUMBER(JUEVES!E272),JUEVES!E272,0)+JUEVES!L272,JUEVES!L272)*JUEVES!M272,IF(JUEVES!C272="peso_corporal",IF(ISNUMBER(JUEVES!E272),JUEVES!E272,0)+JUEVES!O272,JUEVES!O272)*JUEVES!P272,IF(JUEVES!C272="peso_corporal",IF(ISNUMBER(JUEVES!E272),JUEVES!E272,0)+JUEVES!R272,JUEVES!R272)*JUEVES!S272),1),""))</f>
        <v/>
      </c>
      <c r="K676" s="51" t="str">
        <f>IF(P676="","",IFERROR(ROUND(CHOOSE(VALUE(RIGHT(P676,1)),(IF(JUEVES!C272="peso_corporal",IF(ISNUMBER(JUEVES!E272),JUEVES!E272,0)+JUEVES!F272,JUEVES!F272))*(1+JUEVES!G272/30),(IF(JUEVES!C272="peso_corporal",IF(ISNUMBER(JUEVES!E272),JUEVES!E272,0)+JUEVES!I272,JUEVES!I272))*(1+JUEVES!J272/30),(IF(JUEVES!C272="peso_corporal",IF(ISNUMBER(JUEVES!E272),JUEVES!E272,0)+JUEVES!L272,JUEVES!L272))*(1+JUEVES!M272/30),(IF(JUEVES!C272="peso_corporal",IF(ISNUMBER(JUEVES!E272),JUEVES!E272,0)+JUEVES!O272,JUEVES!O272))*(1+JUEVES!P272/30),(IF(JUEVES!C272="peso_corporal",IF(ISNUMBER(JUEVES!E272),JUEVES!E272,0)+JUEVES!R272,JUEVES!R272))*(1+JUEVES!S272/30)),1),""))</f>
        <v/>
      </c>
      <c r="L676" s="52">
        <f>IFERROR(JUEVES!E272,"")</f>
        <v>80</v>
      </c>
      <c r="M676" s="53" t="str">
        <f>IFERROR(IF(K676="","-",IF(ISNUMBER(LOOKUP(2,1/((HISTORIAL!$O$3:$O$675=O676)*(HISTORIAL!$F$3:$F$675&lt;&gt;"")),HISTORIAL!$K$3:$K$675)),IF(K676&gt;LOOKUP(2,1/((HISTORIAL!$O$3:$O$675=O676)*(HISTORIAL!$F$3:$F$675&lt;&gt;"")),HISTORIAL!$K$3:$K$675),"^",IF(K676&lt;LOOKUP(2,1/((HISTORIAL!$O$3:$O$675=O676)*(HISTORIAL!$F$3:$F$675&lt;&gt;"")),HISTORIAL!$K$3:$K$675),"v","-")),"-")),"-")</f>
        <v>-</v>
      </c>
      <c r="N676" s="54" t="str">
        <f>IFERROR(VLOOKUP(A676,CONFIG!$A$10:$B$21,2,0),"")</f>
        <v>FUE</v>
      </c>
      <c r="O676" s="55" t="str">
        <f t="shared" si="21"/>
        <v>Press Inclinado|Multipower</v>
      </c>
      <c r="P676" s="69" t="str">
        <f>JUEVES!AC272</f>
        <v/>
      </c>
    </row>
    <row r="677" spans="1:16" ht="14.1" customHeight="1">
      <c r="A677" s="37">
        <v>11</v>
      </c>
      <c r="B677" s="37" t="s">
        <v>280</v>
      </c>
      <c r="C677" s="44" t="str">
        <f>JUEVES!$A$274</f>
        <v>Aperturas</v>
      </c>
      <c r="D677" s="45" t="str">
        <f>JUEVES!$B$274</f>
        <v>Pec Deck Maquina</v>
      </c>
      <c r="E677" s="37" t="str">
        <f>JUEVES!$C$274</f>
        <v>--</v>
      </c>
      <c r="F677" s="46" t="str">
        <f>IF(P677="","",IFERROR(CHOOSE(VALUE(RIGHT(P677,1)),JUEVES!F274,JUEVES!I274,JUEVES!L274,JUEVES!O274,JUEVES!R274),""))</f>
        <v/>
      </c>
      <c r="G677" s="47" t="str">
        <f>IF(P677="","",IFERROR(CHOOSE(VALUE(RIGHT(P677,1)),JUEVES!G274,JUEVES!J274,JUEVES!M274,JUEVES!P274,JUEVES!S274),""))</f>
        <v/>
      </c>
      <c r="H677" s="48" t="str">
        <f>IF(P677="","",IFERROR(CHOOSE(VALUE(RIGHT(P677,1)),JUEVES!H274,JUEVES!K274,JUEVES!N274,JUEVES!Q274,JUEVES!T274),""))</f>
        <v/>
      </c>
      <c r="I677" s="49" t="str">
        <f t="shared" si="20"/>
        <v/>
      </c>
      <c r="J677" s="50" t="str">
        <f>IF(P677="","",IFERROR(ROUND(CHOOSE(VALUE(RIGHT(P677,1)),IF(JUEVES!C274="peso_corporal",IF(ISNUMBER(JUEVES!E274),JUEVES!E274,0)+JUEVES!F274,JUEVES!F274)*JUEVES!G274,IF(JUEVES!C274="peso_corporal",IF(ISNUMBER(JUEVES!E274),JUEVES!E274,0)+JUEVES!I274,JUEVES!I274)*JUEVES!J274,IF(JUEVES!C274="peso_corporal",IF(ISNUMBER(JUEVES!E274),JUEVES!E274,0)+JUEVES!L274,JUEVES!L274)*JUEVES!M274,IF(JUEVES!C274="peso_corporal",IF(ISNUMBER(JUEVES!E274),JUEVES!E274,0)+JUEVES!O274,JUEVES!O274)*JUEVES!P274,IF(JUEVES!C274="peso_corporal",IF(ISNUMBER(JUEVES!E274),JUEVES!E274,0)+JUEVES!R274,JUEVES!R274)*JUEVES!S274),1),""))</f>
        <v/>
      </c>
      <c r="K677" s="51" t="str">
        <f>IF(P677="","",IFERROR(ROUND(CHOOSE(VALUE(RIGHT(P677,1)),(IF(JUEVES!C274="peso_corporal",IF(ISNUMBER(JUEVES!E274),JUEVES!E274,0)+JUEVES!F274,JUEVES!F274))*(1+JUEVES!G274/30),(IF(JUEVES!C274="peso_corporal",IF(ISNUMBER(JUEVES!E274),JUEVES!E274,0)+JUEVES!I274,JUEVES!I274))*(1+JUEVES!J274/30),(IF(JUEVES!C274="peso_corporal",IF(ISNUMBER(JUEVES!E274),JUEVES!E274,0)+JUEVES!L274,JUEVES!L274))*(1+JUEVES!M274/30),(IF(JUEVES!C274="peso_corporal",IF(ISNUMBER(JUEVES!E274),JUEVES!E274,0)+JUEVES!O274,JUEVES!O274))*(1+JUEVES!P274/30),(IF(JUEVES!C274="peso_corporal",IF(ISNUMBER(JUEVES!E274),JUEVES!E274,0)+JUEVES!R274,JUEVES!R274))*(1+JUEVES!S274/30)),1),""))</f>
        <v/>
      </c>
      <c r="L677" s="52">
        <f>IFERROR(JUEVES!E274,"")</f>
        <v>80</v>
      </c>
      <c r="M677" s="53" t="str">
        <f>IFERROR(IF(K677="","-",IF(ISNUMBER(LOOKUP(2,1/((HISTORIAL!$O$3:$O$676=O677)*(HISTORIAL!$F$3:$F$676&lt;&gt;"")),HISTORIAL!$K$3:$K$676)),IF(K677&gt;LOOKUP(2,1/((HISTORIAL!$O$3:$O$676=O677)*(HISTORIAL!$F$3:$F$676&lt;&gt;"")),HISTORIAL!$K$3:$K$676),"^",IF(K677&lt;LOOKUP(2,1/((HISTORIAL!$O$3:$O$676=O677)*(HISTORIAL!$F$3:$F$676&lt;&gt;"")),HISTORIAL!$K$3:$K$676),"v","-")),"-")),"-")</f>
        <v>-</v>
      </c>
      <c r="N677" s="54" t="str">
        <f>IFERROR(VLOOKUP(A677,CONFIG!$A$10:$B$21,2,0),"")</f>
        <v>FUE</v>
      </c>
      <c r="O677" s="55" t="str">
        <f t="shared" si="21"/>
        <v>Aperturas|Pec Deck Maquina</v>
      </c>
      <c r="P677" s="69" t="str">
        <f>JUEVES!AC274</f>
        <v/>
      </c>
    </row>
    <row r="678" spans="1:16" ht="14.1" customHeight="1">
      <c r="A678" s="37">
        <v>11</v>
      </c>
      <c r="B678" s="37" t="s">
        <v>280</v>
      </c>
      <c r="C678" s="44" t="str">
        <f>JUEVES!$A$276</f>
        <v>Press Polea</v>
      </c>
      <c r="D678" s="45" t="str">
        <f>JUEVES!$B$276</f>
        <v>Barra Recta Diagonal Arriba</v>
      </c>
      <c r="E678" s="37" t="str">
        <f>JUEVES!$C$276</f>
        <v>polea</v>
      </c>
      <c r="F678" s="46" t="str">
        <f>IF(P678="","",IFERROR(CHOOSE(VALUE(RIGHT(P678,1)),JUEVES!F276,JUEVES!I276,JUEVES!L276,JUEVES!O276,JUEVES!R276),""))</f>
        <v/>
      </c>
      <c r="G678" s="47" t="str">
        <f>IF(P678="","",IFERROR(CHOOSE(VALUE(RIGHT(P678,1)),JUEVES!G276,JUEVES!J276,JUEVES!M276,JUEVES!P276,JUEVES!S276),""))</f>
        <v/>
      </c>
      <c r="H678" s="48" t="str">
        <f>IF(P678="","",IFERROR(CHOOSE(VALUE(RIGHT(P678,1)),JUEVES!H276,JUEVES!K276,JUEVES!N276,JUEVES!Q276,JUEVES!T276),""))</f>
        <v/>
      </c>
      <c r="I678" s="49" t="str">
        <f t="shared" si="20"/>
        <v/>
      </c>
      <c r="J678" s="50" t="str">
        <f>IF(P678="","",IFERROR(ROUND(CHOOSE(VALUE(RIGHT(P678,1)),IF(JUEVES!C276="peso_corporal",IF(ISNUMBER(JUEVES!E276),JUEVES!E276,0)+JUEVES!F276,JUEVES!F276)*JUEVES!G276,IF(JUEVES!C276="peso_corporal",IF(ISNUMBER(JUEVES!E276),JUEVES!E276,0)+JUEVES!I276,JUEVES!I276)*JUEVES!J276,IF(JUEVES!C276="peso_corporal",IF(ISNUMBER(JUEVES!E276),JUEVES!E276,0)+JUEVES!L276,JUEVES!L276)*JUEVES!M276,IF(JUEVES!C276="peso_corporal",IF(ISNUMBER(JUEVES!E276),JUEVES!E276,0)+JUEVES!O276,JUEVES!O276)*JUEVES!P276,IF(JUEVES!C276="peso_corporal",IF(ISNUMBER(JUEVES!E276),JUEVES!E276,0)+JUEVES!R276,JUEVES!R276)*JUEVES!S276),1),""))</f>
        <v/>
      </c>
      <c r="K678" s="51" t="str">
        <f>IF(P678="","",IFERROR(ROUND(CHOOSE(VALUE(RIGHT(P678,1)),(IF(JUEVES!C276="peso_corporal",IF(ISNUMBER(JUEVES!E276),JUEVES!E276,0)+JUEVES!F276,JUEVES!F276))*(1+JUEVES!G276/30),(IF(JUEVES!C276="peso_corporal",IF(ISNUMBER(JUEVES!E276),JUEVES!E276,0)+JUEVES!I276,JUEVES!I276))*(1+JUEVES!J276/30),(IF(JUEVES!C276="peso_corporal",IF(ISNUMBER(JUEVES!E276),JUEVES!E276,0)+JUEVES!L276,JUEVES!L276))*(1+JUEVES!M276/30),(IF(JUEVES!C276="peso_corporal",IF(ISNUMBER(JUEVES!E276),JUEVES!E276,0)+JUEVES!O276,JUEVES!O276))*(1+JUEVES!P276/30),(IF(JUEVES!C276="peso_corporal",IF(ISNUMBER(JUEVES!E276),JUEVES!E276,0)+JUEVES!R276,JUEVES!R276))*(1+JUEVES!S276/30)),1),""))</f>
        <v/>
      </c>
      <c r="L678" s="52">
        <f>IFERROR(JUEVES!E276,"")</f>
        <v>80</v>
      </c>
      <c r="M678" s="53" t="str">
        <f>IFERROR(IF(K678="","-",IF(ISNUMBER(LOOKUP(2,1/((HISTORIAL!$O$3:$O$677=O678)*(HISTORIAL!$F$3:$F$677&lt;&gt;"")),HISTORIAL!$K$3:$K$677)),IF(K678&gt;LOOKUP(2,1/((HISTORIAL!$O$3:$O$677=O678)*(HISTORIAL!$F$3:$F$677&lt;&gt;"")),HISTORIAL!$K$3:$K$677),"^",IF(K678&lt;LOOKUP(2,1/((HISTORIAL!$O$3:$O$677=O678)*(HISTORIAL!$F$3:$F$677&lt;&gt;"")),HISTORIAL!$K$3:$K$677),"v","-")),"-")),"-")</f>
        <v>-</v>
      </c>
      <c r="N678" s="54" t="str">
        <f>IFERROR(VLOOKUP(A678,CONFIG!$A$10:$B$21,2,0),"")</f>
        <v>FUE</v>
      </c>
      <c r="O678" s="55" t="str">
        <f t="shared" si="21"/>
        <v>Press Polea|Barra Recta Diagonal Arriba</v>
      </c>
      <c r="P678" s="69" t="str">
        <f>JUEVES!AC276</f>
        <v/>
      </c>
    </row>
    <row r="679" spans="1:16" ht="14.1" customHeight="1">
      <c r="A679" s="37">
        <v>11</v>
      </c>
      <c r="B679" s="37" t="s">
        <v>280</v>
      </c>
      <c r="C679" s="44" t="str">
        <f>JUEVES!$A$277</f>
        <v>Extension Triceps</v>
      </c>
      <c r="D679" s="45" t="str">
        <f>JUEVES!$B$277</f>
        <v>Polea Sobre Cabeza</v>
      </c>
      <c r="E679" s="37" t="str">
        <f>JUEVES!$C$277</f>
        <v>--</v>
      </c>
      <c r="F679" s="46" t="str">
        <f>IF(P679="","",IFERROR(CHOOSE(VALUE(RIGHT(P679,1)),JUEVES!F277,JUEVES!I277,JUEVES!L277,JUEVES!O277,JUEVES!R277),""))</f>
        <v/>
      </c>
      <c r="G679" s="47" t="str">
        <f>IF(P679="","",IFERROR(CHOOSE(VALUE(RIGHT(P679,1)),JUEVES!G277,JUEVES!J277,JUEVES!M277,JUEVES!P277,JUEVES!S277),""))</f>
        <v/>
      </c>
      <c r="H679" s="48" t="str">
        <f>IF(P679="","",IFERROR(CHOOSE(VALUE(RIGHT(P679,1)),JUEVES!H277,JUEVES!K277,JUEVES!N277,JUEVES!Q277,JUEVES!T277),""))</f>
        <v/>
      </c>
      <c r="I679" s="49" t="str">
        <f t="shared" si="20"/>
        <v/>
      </c>
      <c r="J679" s="50" t="str">
        <f>IF(P679="","",IFERROR(ROUND(CHOOSE(VALUE(RIGHT(P679,1)),IF(JUEVES!C277="peso_corporal",IF(ISNUMBER(JUEVES!E277),JUEVES!E277,0)+JUEVES!F277,JUEVES!F277)*JUEVES!G277,IF(JUEVES!C277="peso_corporal",IF(ISNUMBER(JUEVES!E277),JUEVES!E277,0)+JUEVES!I277,JUEVES!I277)*JUEVES!J277,IF(JUEVES!C277="peso_corporal",IF(ISNUMBER(JUEVES!E277),JUEVES!E277,0)+JUEVES!L277,JUEVES!L277)*JUEVES!M277,IF(JUEVES!C277="peso_corporal",IF(ISNUMBER(JUEVES!E277),JUEVES!E277,0)+JUEVES!O277,JUEVES!O277)*JUEVES!P277,IF(JUEVES!C277="peso_corporal",IF(ISNUMBER(JUEVES!E277),JUEVES!E277,0)+JUEVES!R277,JUEVES!R277)*JUEVES!S277),1),""))</f>
        <v/>
      </c>
      <c r="K679" s="51" t="str">
        <f>IF(P679="","",IFERROR(ROUND(CHOOSE(VALUE(RIGHT(P679,1)),(IF(JUEVES!C277="peso_corporal",IF(ISNUMBER(JUEVES!E277),JUEVES!E277,0)+JUEVES!F277,JUEVES!F277))*(1+JUEVES!G277/30),(IF(JUEVES!C277="peso_corporal",IF(ISNUMBER(JUEVES!E277),JUEVES!E277,0)+JUEVES!I277,JUEVES!I277))*(1+JUEVES!J277/30),(IF(JUEVES!C277="peso_corporal",IF(ISNUMBER(JUEVES!E277),JUEVES!E277,0)+JUEVES!L277,JUEVES!L277))*(1+JUEVES!M277/30),(IF(JUEVES!C277="peso_corporal",IF(ISNUMBER(JUEVES!E277),JUEVES!E277,0)+JUEVES!O277,JUEVES!O277))*(1+JUEVES!P277/30),(IF(JUEVES!C277="peso_corporal",IF(ISNUMBER(JUEVES!E277),JUEVES!E277,0)+JUEVES!R277,JUEVES!R277))*(1+JUEVES!S277/30)),1),""))</f>
        <v/>
      </c>
      <c r="L679" s="52">
        <f>IFERROR(JUEVES!E277,"")</f>
        <v>80</v>
      </c>
      <c r="M679" s="53" t="str">
        <f>IFERROR(IF(K679="","-",IF(ISNUMBER(LOOKUP(2,1/((HISTORIAL!$O$3:$O$678=O679)*(HISTORIAL!$F$3:$F$678&lt;&gt;"")),HISTORIAL!$K$3:$K$678)),IF(K679&gt;LOOKUP(2,1/((HISTORIAL!$O$3:$O$678=O679)*(HISTORIAL!$F$3:$F$678&lt;&gt;"")),HISTORIAL!$K$3:$K$678),"^",IF(K679&lt;LOOKUP(2,1/((HISTORIAL!$O$3:$O$678=O679)*(HISTORIAL!$F$3:$F$678&lt;&gt;"")),HISTORIAL!$K$3:$K$678),"v","-")),"-")),"-")</f>
        <v>-</v>
      </c>
      <c r="N679" s="54" t="str">
        <f>IFERROR(VLOOKUP(A679,CONFIG!$A$10:$B$21,2,0),"")</f>
        <v>FUE</v>
      </c>
      <c r="O679" s="55" t="str">
        <f t="shared" si="21"/>
        <v>Extension Triceps|Polea Sobre Cabeza</v>
      </c>
      <c r="P679" s="69" t="str">
        <f>JUEVES!AC277</f>
        <v/>
      </c>
    </row>
    <row r="680" spans="1:16" ht="14.1" customHeight="1">
      <c r="A680" s="37">
        <v>11</v>
      </c>
      <c r="B680" s="37" t="s">
        <v>280</v>
      </c>
      <c r="C680" s="44" t="str">
        <f>JUEVES!$A$279</f>
        <v>Extension Cuadriceps</v>
      </c>
      <c r="D680" s="45" t="str">
        <f>JUEVES!$B$279</f>
        <v>Vasto Interno</v>
      </c>
      <c r="E680" s="37" t="str">
        <f>JUEVES!$C$279</f>
        <v>--</v>
      </c>
      <c r="F680" s="46" t="str">
        <f>IF(P680="","",IFERROR(CHOOSE(VALUE(RIGHT(P680,1)),JUEVES!F279,JUEVES!I279,JUEVES!L279,JUEVES!O279,JUEVES!R279),""))</f>
        <v/>
      </c>
      <c r="G680" s="47" t="str">
        <f>IF(P680="","",IFERROR(CHOOSE(VALUE(RIGHT(P680,1)),JUEVES!G279,JUEVES!J279,JUEVES!M279,JUEVES!P279,JUEVES!S279),""))</f>
        <v/>
      </c>
      <c r="H680" s="48" t="str">
        <f>IF(P680="","",IFERROR(CHOOSE(VALUE(RIGHT(P680,1)),JUEVES!H279,JUEVES!K279,JUEVES!N279,JUEVES!Q279,JUEVES!T279),""))</f>
        <v/>
      </c>
      <c r="I680" s="49" t="str">
        <f t="shared" si="20"/>
        <v/>
      </c>
      <c r="J680" s="50" t="str">
        <f>IF(P680="","",IFERROR(ROUND(CHOOSE(VALUE(RIGHT(P680,1)),IF(JUEVES!C279="peso_corporal",IF(ISNUMBER(JUEVES!E279),JUEVES!E279,0)+JUEVES!F279,JUEVES!F279)*JUEVES!G279,IF(JUEVES!C279="peso_corporal",IF(ISNUMBER(JUEVES!E279),JUEVES!E279,0)+JUEVES!I279,JUEVES!I279)*JUEVES!J279,IF(JUEVES!C279="peso_corporal",IF(ISNUMBER(JUEVES!E279),JUEVES!E279,0)+JUEVES!L279,JUEVES!L279)*JUEVES!M279,IF(JUEVES!C279="peso_corporal",IF(ISNUMBER(JUEVES!E279),JUEVES!E279,0)+JUEVES!O279,JUEVES!O279)*JUEVES!P279,IF(JUEVES!C279="peso_corporal",IF(ISNUMBER(JUEVES!E279),JUEVES!E279,0)+JUEVES!R279,JUEVES!R279)*JUEVES!S279),1),""))</f>
        <v/>
      </c>
      <c r="K680" s="51" t="str">
        <f>IF(P680="","",IFERROR(ROUND(CHOOSE(VALUE(RIGHT(P680,1)),(IF(JUEVES!C279="peso_corporal",IF(ISNUMBER(JUEVES!E279),JUEVES!E279,0)+JUEVES!F279,JUEVES!F279))*(1+JUEVES!G279/30),(IF(JUEVES!C279="peso_corporal",IF(ISNUMBER(JUEVES!E279),JUEVES!E279,0)+JUEVES!I279,JUEVES!I279))*(1+JUEVES!J279/30),(IF(JUEVES!C279="peso_corporal",IF(ISNUMBER(JUEVES!E279),JUEVES!E279,0)+JUEVES!L279,JUEVES!L279))*(1+JUEVES!M279/30),(IF(JUEVES!C279="peso_corporal",IF(ISNUMBER(JUEVES!E279),JUEVES!E279,0)+JUEVES!O279,JUEVES!O279))*(1+JUEVES!P279/30),(IF(JUEVES!C279="peso_corporal",IF(ISNUMBER(JUEVES!E279),JUEVES!E279,0)+JUEVES!R279,JUEVES!R279))*(1+JUEVES!S279/30)),1),""))</f>
        <v/>
      </c>
      <c r="L680" s="52">
        <f>IFERROR(JUEVES!E279,"")</f>
        <v>80</v>
      </c>
      <c r="M680" s="53" t="str">
        <f>IFERROR(IF(K680="","-",IF(ISNUMBER(LOOKUP(2,1/((HISTORIAL!$O$3:$O$679=O680)*(HISTORIAL!$F$3:$F$679&lt;&gt;"")),HISTORIAL!$K$3:$K$679)),IF(K680&gt;LOOKUP(2,1/((HISTORIAL!$O$3:$O$679=O680)*(HISTORIAL!$F$3:$F$679&lt;&gt;"")),HISTORIAL!$K$3:$K$679),"^",IF(K680&lt;LOOKUP(2,1/((HISTORIAL!$O$3:$O$679=O680)*(HISTORIAL!$F$3:$F$679&lt;&gt;"")),HISTORIAL!$K$3:$K$679),"v","-")),"-")),"-")</f>
        <v>-</v>
      </c>
      <c r="N680" s="54" t="str">
        <f>IFERROR(VLOOKUP(A680,CONFIG!$A$10:$B$21,2,0),"")</f>
        <v>FUE</v>
      </c>
      <c r="O680" s="55" t="str">
        <f t="shared" si="21"/>
        <v>Extension Cuadriceps|Vasto Interno</v>
      </c>
      <c r="P680" s="69" t="str">
        <f>JUEVES!AC279</f>
        <v/>
      </c>
    </row>
    <row r="681" spans="1:16" ht="14.1" customHeight="1">
      <c r="A681" s="37">
        <v>11</v>
      </c>
      <c r="B681" s="37" t="s">
        <v>280</v>
      </c>
      <c r="C681" s="44" t="str">
        <f>JUEVES!$A$281</f>
        <v>Curl Biceps</v>
      </c>
      <c r="D681" s="45" t="str">
        <f>JUEVES!$B$281</f>
        <v>Concentrado Maquina</v>
      </c>
      <c r="E681" s="37" t="str">
        <f>JUEVES!$C$281</f>
        <v>polea</v>
      </c>
      <c r="F681" s="46" t="str">
        <f>IF(P681="","",IFERROR(CHOOSE(VALUE(RIGHT(P681,1)),JUEVES!F281,JUEVES!I281,JUEVES!L281,JUEVES!O281,JUEVES!R281),""))</f>
        <v/>
      </c>
      <c r="G681" s="47" t="str">
        <f>IF(P681="","",IFERROR(CHOOSE(VALUE(RIGHT(P681,1)),JUEVES!G281,JUEVES!J281,JUEVES!M281,JUEVES!P281,JUEVES!S281),""))</f>
        <v/>
      </c>
      <c r="H681" s="48" t="str">
        <f>IF(P681="","",IFERROR(CHOOSE(VALUE(RIGHT(P681,1)),JUEVES!H281,JUEVES!K281,JUEVES!N281,JUEVES!Q281,JUEVES!T281),""))</f>
        <v/>
      </c>
      <c r="I681" s="49" t="str">
        <f t="shared" si="20"/>
        <v/>
      </c>
      <c r="J681" s="50" t="str">
        <f>IF(P681="","",IFERROR(ROUND(CHOOSE(VALUE(RIGHT(P681,1)),IF(JUEVES!C281="peso_corporal",IF(ISNUMBER(JUEVES!E281),JUEVES!E281,0)+JUEVES!F281,JUEVES!F281)*JUEVES!G281,IF(JUEVES!C281="peso_corporal",IF(ISNUMBER(JUEVES!E281),JUEVES!E281,0)+JUEVES!I281,JUEVES!I281)*JUEVES!J281,IF(JUEVES!C281="peso_corporal",IF(ISNUMBER(JUEVES!E281),JUEVES!E281,0)+JUEVES!L281,JUEVES!L281)*JUEVES!M281,IF(JUEVES!C281="peso_corporal",IF(ISNUMBER(JUEVES!E281),JUEVES!E281,0)+JUEVES!O281,JUEVES!O281)*JUEVES!P281,IF(JUEVES!C281="peso_corporal",IF(ISNUMBER(JUEVES!E281),JUEVES!E281,0)+JUEVES!R281,JUEVES!R281)*JUEVES!S281),1),""))</f>
        <v/>
      </c>
      <c r="K681" s="51" t="str">
        <f>IF(P681="","",IFERROR(ROUND(CHOOSE(VALUE(RIGHT(P681,1)),(IF(JUEVES!C281="peso_corporal",IF(ISNUMBER(JUEVES!E281),JUEVES!E281,0)+JUEVES!F281,JUEVES!F281))*(1+JUEVES!G281/30),(IF(JUEVES!C281="peso_corporal",IF(ISNUMBER(JUEVES!E281),JUEVES!E281,0)+JUEVES!I281,JUEVES!I281))*(1+JUEVES!J281/30),(IF(JUEVES!C281="peso_corporal",IF(ISNUMBER(JUEVES!E281),JUEVES!E281,0)+JUEVES!L281,JUEVES!L281))*(1+JUEVES!M281/30),(IF(JUEVES!C281="peso_corporal",IF(ISNUMBER(JUEVES!E281),JUEVES!E281,0)+JUEVES!O281,JUEVES!O281))*(1+JUEVES!P281/30),(IF(JUEVES!C281="peso_corporal",IF(ISNUMBER(JUEVES!E281),JUEVES!E281,0)+JUEVES!R281,JUEVES!R281))*(1+JUEVES!S281/30)),1),""))</f>
        <v/>
      </c>
      <c r="L681" s="52">
        <f>IFERROR(JUEVES!E281,"")</f>
        <v>80</v>
      </c>
      <c r="M681" s="53" t="str">
        <f>IFERROR(IF(K681="","-",IF(ISNUMBER(LOOKUP(2,1/((HISTORIAL!$O$3:$O$680=O681)*(HISTORIAL!$F$3:$F$680&lt;&gt;"")),HISTORIAL!$K$3:$K$680)),IF(K681&gt;LOOKUP(2,1/((HISTORIAL!$O$3:$O$680=O681)*(HISTORIAL!$F$3:$F$680&lt;&gt;"")),HISTORIAL!$K$3:$K$680),"^",IF(K681&lt;LOOKUP(2,1/((HISTORIAL!$O$3:$O$680=O681)*(HISTORIAL!$F$3:$F$680&lt;&gt;"")),HISTORIAL!$K$3:$K$680),"v","-")),"-")),"-")</f>
        <v>-</v>
      </c>
      <c r="N681" s="54" t="str">
        <f>IFERROR(VLOOKUP(A681,CONFIG!$A$10:$B$21,2,0),"")</f>
        <v>FUE</v>
      </c>
      <c r="O681" s="55" t="str">
        <f t="shared" si="21"/>
        <v>Curl Biceps|Concentrado Maquina</v>
      </c>
      <c r="P681" s="69" t="str">
        <f>JUEVES!AC281</f>
        <v/>
      </c>
    </row>
    <row r="682" spans="1:16" ht="14.1" customHeight="1">
      <c r="A682" s="37">
        <v>11</v>
      </c>
      <c r="B682" s="37" t="s">
        <v>280</v>
      </c>
      <c r="C682" s="44" t="str">
        <f>JUEVES!$A$283</f>
        <v>Crunch</v>
      </c>
      <c r="D682" s="45" t="str">
        <f>JUEVES!$B$283</f>
        <v>Polea</v>
      </c>
      <c r="E682" s="37" t="str">
        <f>JUEVES!$C$283</f>
        <v>polea</v>
      </c>
      <c r="F682" s="46" t="str">
        <f>IF(P682="","",IFERROR(CHOOSE(VALUE(RIGHT(P682,1)),JUEVES!F283,JUEVES!I283,JUEVES!L283,JUEVES!O283,JUEVES!R283),""))</f>
        <v/>
      </c>
      <c r="G682" s="47" t="str">
        <f>IF(P682="","",IFERROR(CHOOSE(VALUE(RIGHT(P682,1)),JUEVES!G283,JUEVES!J283,JUEVES!M283,JUEVES!P283,JUEVES!S283),""))</f>
        <v/>
      </c>
      <c r="H682" s="48" t="str">
        <f>IF(P682="","",IFERROR(CHOOSE(VALUE(RIGHT(P682,1)),JUEVES!H283,JUEVES!K283,JUEVES!N283,JUEVES!Q283,JUEVES!T283),""))</f>
        <v/>
      </c>
      <c r="I682" s="49" t="str">
        <f t="shared" si="20"/>
        <v/>
      </c>
      <c r="J682" s="50" t="str">
        <f>IF(P682="","",IFERROR(ROUND(CHOOSE(VALUE(RIGHT(P682,1)),IF(JUEVES!C283="peso_corporal",IF(ISNUMBER(JUEVES!E283),JUEVES!E283,0)+JUEVES!F283,JUEVES!F283)*JUEVES!G283,IF(JUEVES!C283="peso_corporal",IF(ISNUMBER(JUEVES!E283),JUEVES!E283,0)+JUEVES!I283,JUEVES!I283)*JUEVES!J283,IF(JUEVES!C283="peso_corporal",IF(ISNUMBER(JUEVES!E283),JUEVES!E283,0)+JUEVES!L283,JUEVES!L283)*JUEVES!M283,IF(JUEVES!C283="peso_corporal",IF(ISNUMBER(JUEVES!E283),JUEVES!E283,0)+JUEVES!O283,JUEVES!O283)*JUEVES!P283,IF(JUEVES!C283="peso_corporal",IF(ISNUMBER(JUEVES!E283),JUEVES!E283,0)+JUEVES!R283,JUEVES!R283)*JUEVES!S283),1),""))</f>
        <v/>
      </c>
      <c r="K682" s="51" t="str">
        <f>IF(P682="","",IFERROR(ROUND(CHOOSE(VALUE(RIGHT(P682,1)),(IF(JUEVES!C283="peso_corporal",IF(ISNUMBER(JUEVES!E283),JUEVES!E283,0)+JUEVES!F283,JUEVES!F283))*(1+JUEVES!G283/30),(IF(JUEVES!C283="peso_corporal",IF(ISNUMBER(JUEVES!E283),JUEVES!E283,0)+JUEVES!I283,JUEVES!I283))*(1+JUEVES!J283/30),(IF(JUEVES!C283="peso_corporal",IF(ISNUMBER(JUEVES!E283),JUEVES!E283,0)+JUEVES!L283,JUEVES!L283))*(1+JUEVES!M283/30),(IF(JUEVES!C283="peso_corporal",IF(ISNUMBER(JUEVES!E283),JUEVES!E283,0)+JUEVES!O283,JUEVES!O283))*(1+JUEVES!P283/30),(IF(JUEVES!C283="peso_corporal",IF(ISNUMBER(JUEVES!E283),JUEVES!E283,0)+JUEVES!R283,JUEVES!R283))*(1+JUEVES!S283/30)),1),""))</f>
        <v/>
      </c>
      <c r="L682" s="52">
        <f>IFERROR(JUEVES!E283,"")</f>
        <v>80</v>
      </c>
      <c r="M682" s="53" t="str">
        <f>IFERROR(IF(K682="","-",IF(ISNUMBER(LOOKUP(2,1/((HISTORIAL!$O$3:$O$681=O682)*(HISTORIAL!$F$3:$F$681&lt;&gt;"")),HISTORIAL!$K$3:$K$681)),IF(K682&gt;LOOKUP(2,1/((HISTORIAL!$O$3:$O$681=O682)*(HISTORIAL!$F$3:$F$681&lt;&gt;"")),HISTORIAL!$K$3:$K$681),"^",IF(K682&lt;LOOKUP(2,1/((HISTORIAL!$O$3:$O$681=O682)*(HISTORIAL!$F$3:$F$681&lt;&gt;"")),HISTORIAL!$K$3:$K$681),"v","-")),"-")),"-")</f>
        <v>-</v>
      </c>
      <c r="N682" s="54" t="str">
        <f>IFERROR(VLOOKUP(A682,CONFIG!$A$10:$B$21,2,0),"")</f>
        <v>FUE</v>
      </c>
      <c r="O682" s="55" t="str">
        <f t="shared" si="21"/>
        <v>Crunch|Polea</v>
      </c>
      <c r="P682" s="69" t="str">
        <f>JUEVES!AC283</f>
        <v/>
      </c>
    </row>
    <row r="683" spans="1:16" ht="14.1" customHeight="1">
      <c r="A683" s="37">
        <v>11</v>
      </c>
      <c r="B683" s="37" t="s">
        <v>281</v>
      </c>
      <c r="C683" s="44" t="str">
        <f>SABADO!$A$253</f>
        <v>Pulldown</v>
      </c>
      <c r="D683" s="45" t="str">
        <f>SABADO!$B$253</f>
        <v>Polea Alta Brazos Rectos Prono</v>
      </c>
      <c r="E683" s="37" t="str">
        <f>SABADO!$C$253</f>
        <v>polea</v>
      </c>
      <c r="F683" s="46" t="str">
        <f>IF(P683="","",IFERROR(CHOOSE(VALUE(RIGHT(P683,1)),SABADO!F253,SABADO!I253,SABADO!L253,SABADO!O253,SABADO!R253),""))</f>
        <v/>
      </c>
      <c r="G683" s="47" t="str">
        <f>IF(P683="","",IFERROR(CHOOSE(VALUE(RIGHT(P683,1)),SABADO!G253,SABADO!J253,SABADO!M253,SABADO!P253,SABADO!S253),""))</f>
        <v/>
      </c>
      <c r="H683" s="48" t="str">
        <f>IF(P683="","",IFERROR(CHOOSE(VALUE(RIGHT(P683,1)),SABADO!H253,SABADO!K253,SABADO!N253,SABADO!Q253,SABADO!T253),""))</f>
        <v/>
      </c>
      <c r="I683" s="49" t="str">
        <f t="shared" si="20"/>
        <v/>
      </c>
      <c r="J683" s="50" t="str">
        <f>IF(P683="","",IFERROR(ROUND(CHOOSE(VALUE(RIGHT(P683,1)),IF(SABADO!C253="peso_corporal",IF(ISNUMBER(SABADO!E253),SABADO!E253,0)+SABADO!F253,SABADO!F253)*SABADO!G253,IF(SABADO!C253="peso_corporal",IF(ISNUMBER(SABADO!E253),SABADO!E253,0)+SABADO!I253,SABADO!I253)*SABADO!J253,IF(SABADO!C253="peso_corporal",IF(ISNUMBER(SABADO!E253),SABADO!E253,0)+SABADO!L253,SABADO!L253)*SABADO!M253,IF(SABADO!C253="peso_corporal",IF(ISNUMBER(SABADO!E253),SABADO!E253,0)+SABADO!O253,SABADO!O253)*SABADO!P253,IF(SABADO!C253="peso_corporal",IF(ISNUMBER(SABADO!E253),SABADO!E253,0)+SABADO!R253,SABADO!R253)*SABADO!S253),1),""))</f>
        <v/>
      </c>
      <c r="K683" s="51" t="str">
        <f>IF(P683="","",IFERROR(ROUND(CHOOSE(VALUE(RIGHT(P683,1)),(IF(SABADO!C253="peso_corporal",IF(ISNUMBER(SABADO!E253),SABADO!E253,0)+SABADO!F253,SABADO!F253))*(1+SABADO!G253/30),(IF(SABADO!C253="peso_corporal",IF(ISNUMBER(SABADO!E253),SABADO!E253,0)+SABADO!I253,SABADO!I253))*(1+SABADO!J253/30),(IF(SABADO!C253="peso_corporal",IF(ISNUMBER(SABADO!E253),SABADO!E253,0)+SABADO!L253,SABADO!L253))*(1+SABADO!M253/30),(IF(SABADO!C253="peso_corporal",IF(ISNUMBER(SABADO!E253),SABADO!E253,0)+SABADO!O253,SABADO!O253))*(1+SABADO!P253/30),(IF(SABADO!C253="peso_corporal",IF(ISNUMBER(SABADO!E253),SABADO!E253,0)+SABADO!R253,SABADO!R253))*(1+SABADO!S253/30)),1),""))</f>
        <v/>
      </c>
      <c r="L683" s="52">
        <f>IFERROR(SABADO!E253,"")</f>
        <v>80</v>
      </c>
      <c r="M683" s="53" t="str">
        <f>IFERROR(IF(K683="","-",IF(ISNUMBER(LOOKUP(2,1/((HISTORIAL!$O$3:$O$682=O683)*(HISTORIAL!$F$3:$F$682&lt;&gt;"")),HISTORIAL!$K$3:$K$682)),IF(K683&gt;LOOKUP(2,1/((HISTORIAL!$O$3:$O$682=O683)*(HISTORIAL!$F$3:$F$682&lt;&gt;"")),HISTORIAL!$K$3:$K$682),"^",IF(K683&lt;LOOKUP(2,1/((HISTORIAL!$O$3:$O$682=O683)*(HISTORIAL!$F$3:$F$682&lt;&gt;"")),HISTORIAL!$K$3:$K$682),"v","-")),"-")),"-")</f>
        <v>-</v>
      </c>
      <c r="N683" s="54" t="str">
        <f>IFERROR(VLOOKUP(A683,CONFIG!$A$10:$B$21,2,0),"")</f>
        <v>FUE</v>
      </c>
      <c r="O683" s="55" t="str">
        <f t="shared" si="21"/>
        <v>Pulldown|Polea Alta Brazos Rectos Prono</v>
      </c>
      <c r="P683" s="69" t="str">
        <f>SABADO!AC253</f>
        <v/>
      </c>
    </row>
    <row r="684" spans="1:16" ht="14.1" customHeight="1">
      <c r="A684" s="37">
        <v>11</v>
      </c>
      <c r="B684" s="37" t="s">
        <v>281</v>
      </c>
      <c r="C684" s="44" t="str">
        <f>SABADO!$A$255</f>
        <v>Remo</v>
      </c>
      <c r="D684" s="45" t="str">
        <f>SABADO!$B$255</f>
        <v>Maquina Neutro Estrecho</v>
      </c>
      <c r="E684" s="37" t="str">
        <f>SABADO!$C$255</f>
        <v>polea</v>
      </c>
      <c r="F684" s="46" t="str">
        <f>IF(P684="","",IFERROR(CHOOSE(VALUE(RIGHT(P684,1)),SABADO!F255,SABADO!I255,SABADO!L255,SABADO!O255,SABADO!R255),""))</f>
        <v/>
      </c>
      <c r="G684" s="47" t="str">
        <f>IF(P684="","",IFERROR(CHOOSE(VALUE(RIGHT(P684,1)),SABADO!G255,SABADO!J255,SABADO!M255,SABADO!P255,SABADO!S255),""))</f>
        <v/>
      </c>
      <c r="H684" s="48" t="str">
        <f>IF(P684="","",IFERROR(CHOOSE(VALUE(RIGHT(P684,1)),SABADO!H255,SABADO!K255,SABADO!N255,SABADO!Q255,SABADO!T255),""))</f>
        <v/>
      </c>
      <c r="I684" s="49" t="str">
        <f t="shared" si="20"/>
        <v/>
      </c>
      <c r="J684" s="50" t="str">
        <f>IF(P684="","",IFERROR(ROUND(CHOOSE(VALUE(RIGHT(P684,1)),IF(SABADO!C255="peso_corporal",IF(ISNUMBER(SABADO!E255),SABADO!E255,0)+SABADO!F255,SABADO!F255)*SABADO!G255,IF(SABADO!C255="peso_corporal",IF(ISNUMBER(SABADO!E255),SABADO!E255,0)+SABADO!I255,SABADO!I255)*SABADO!J255,IF(SABADO!C255="peso_corporal",IF(ISNUMBER(SABADO!E255),SABADO!E255,0)+SABADO!L255,SABADO!L255)*SABADO!M255,IF(SABADO!C255="peso_corporal",IF(ISNUMBER(SABADO!E255),SABADO!E255,0)+SABADO!O255,SABADO!O255)*SABADO!P255,IF(SABADO!C255="peso_corporal",IF(ISNUMBER(SABADO!E255),SABADO!E255,0)+SABADO!R255,SABADO!R255)*SABADO!S255),1),""))</f>
        <v/>
      </c>
      <c r="K684" s="51" t="str">
        <f>IF(P684="","",IFERROR(ROUND(CHOOSE(VALUE(RIGHT(P684,1)),(IF(SABADO!C255="peso_corporal",IF(ISNUMBER(SABADO!E255),SABADO!E255,0)+SABADO!F255,SABADO!F255))*(1+SABADO!G255/30),(IF(SABADO!C255="peso_corporal",IF(ISNUMBER(SABADO!E255),SABADO!E255,0)+SABADO!I255,SABADO!I255))*(1+SABADO!J255/30),(IF(SABADO!C255="peso_corporal",IF(ISNUMBER(SABADO!E255),SABADO!E255,0)+SABADO!L255,SABADO!L255))*(1+SABADO!M255/30),(IF(SABADO!C255="peso_corporal",IF(ISNUMBER(SABADO!E255),SABADO!E255,0)+SABADO!O255,SABADO!O255))*(1+SABADO!P255/30),(IF(SABADO!C255="peso_corporal",IF(ISNUMBER(SABADO!E255),SABADO!E255,0)+SABADO!R255,SABADO!R255))*(1+SABADO!S255/30)),1),""))</f>
        <v/>
      </c>
      <c r="L684" s="52">
        <f>IFERROR(SABADO!E255,"")</f>
        <v>80</v>
      </c>
      <c r="M684" s="53" t="str">
        <f>IFERROR(IF(K684="","-",IF(ISNUMBER(LOOKUP(2,1/((HISTORIAL!$O$3:$O$683=O684)*(HISTORIAL!$F$3:$F$683&lt;&gt;"")),HISTORIAL!$K$3:$K$683)),IF(K684&gt;LOOKUP(2,1/((HISTORIAL!$O$3:$O$683=O684)*(HISTORIAL!$F$3:$F$683&lt;&gt;"")),HISTORIAL!$K$3:$K$683),"^",IF(K684&lt;LOOKUP(2,1/((HISTORIAL!$O$3:$O$683=O684)*(HISTORIAL!$F$3:$F$683&lt;&gt;"")),HISTORIAL!$K$3:$K$683),"v","-")),"-")),"-")</f>
        <v>-</v>
      </c>
      <c r="N684" s="54" t="str">
        <f>IFERROR(VLOOKUP(A684,CONFIG!$A$10:$B$21,2,0),"")</f>
        <v>FUE</v>
      </c>
      <c r="O684" s="55" t="str">
        <f t="shared" si="21"/>
        <v>Remo|Maquina Neutro Estrecho</v>
      </c>
      <c r="P684" s="69" t="str">
        <f>SABADO!AC255</f>
        <v/>
      </c>
    </row>
    <row r="685" spans="1:16" ht="14.1" customHeight="1">
      <c r="A685" s="37">
        <v>11</v>
      </c>
      <c r="B685" s="37" t="s">
        <v>281</v>
      </c>
      <c r="C685" s="44" t="str">
        <f>SABADO!$A$256</f>
        <v>Remo</v>
      </c>
      <c r="D685" s="45" t="str">
        <f>SABADO!$B$256</f>
        <v>Maquina Neutro Ancho</v>
      </c>
      <c r="E685" s="37" t="str">
        <f>SABADO!$C$256</f>
        <v>polea</v>
      </c>
      <c r="F685" s="46" t="str">
        <f>IF(P685="","",IFERROR(CHOOSE(VALUE(RIGHT(P685,1)),SABADO!F256,SABADO!I256,SABADO!L256,SABADO!O256,SABADO!R256),""))</f>
        <v/>
      </c>
      <c r="G685" s="47" t="str">
        <f>IF(P685="","",IFERROR(CHOOSE(VALUE(RIGHT(P685,1)),SABADO!G256,SABADO!J256,SABADO!M256,SABADO!P256,SABADO!S256),""))</f>
        <v/>
      </c>
      <c r="H685" s="48" t="str">
        <f>IF(P685="","",IFERROR(CHOOSE(VALUE(RIGHT(P685,1)),SABADO!H256,SABADO!K256,SABADO!N256,SABADO!Q256,SABADO!T256),""))</f>
        <v/>
      </c>
      <c r="I685" s="49" t="str">
        <f t="shared" si="20"/>
        <v/>
      </c>
      <c r="J685" s="50" t="str">
        <f>IF(P685="","",IFERROR(ROUND(CHOOSE(VALUE(RIGHT(P685,1)),IF(SABADO!C256="peso_corporal",IF(ISNUMBER(SABADO!E256),SABADO!E256,0)+SABADO!F256,SABADO!F256)*SABADO!G256,IF(SABADO!C256="peso_corporal",IF(ISNUMBER(SABADO!E256),SABADO!E256,0)+SABADO!I256,SABADO!I256)*SABADO!J256,IF(SABADO!C256="peso_corporal",IF(ISNUMBER(SABADO!E256),SABADO!E256,0)+SABADO!L256,SABADO!L256)*SABADO!M256,IF(SABADO!C256="peso_corporal",IF(ISNUMBER(SABADO!E256),SABADO!E256,0)+SABADO!O256,SABADO!O256)*SABADO!P256,IF(SABADO!C256="peso_corporal",IF(ISNUMBER(SABADO!E256),SABADO!E256,0)+SABADO!R256,SABADO!R256)*SABADO!S256),1),""))</f>
        <v/>
      </c>
      <c r="K685" s="51" t="str">
        <f>IF(P685="","",IFERROR(ROUND(CHOOSE(VALUE(RIGHT(P685,1)),(IF(SABADO!C256="peso_corporal",IF(ISNUMBER(SABADO!E256),SABADO!E256,0)+SABADO!F256,SABADO!F256))*(1+SABADO!G256/30),(IF(SABADO!C256="peso_corporal",IF(ISNUMBER(SABADO!E256),SABADO!E256,0)+SABADO!I256,SABADO!I256))*(1+SABADO!J256/30),(IF(SABADO!C256="peso_corporal",IF(ISNUMBER(SABADO!E256),SABADO!E256,0)+SABADO!L256,SABADO!L256))*(1+SABADO!M256/30),(IF(SABADO!C256="peso_corporal",IF(ISNUMBER(SABADO!E256),SABADO!E256,0)+SABADO!O256,SABADO!O256))*(1+SABADO!P256/30),(IF(SABADO!C256="peso_corporal",IF(ISNUMBER(SABADO!E256),SABADO!E256,0)+SABADO!R256,SABADO!R256))*(1+SABADO!S256/30)),1),""))</f>
        <v/>
      </c>
      <c r="L685" s="52">
        <f>IFERROR(SABADO!E256,"")</f>
        <v>80</v>
      </c>
      <c r="M685" s="53" t="str">
        <f>IFERROR(IF(K685="","-",IF(ISNUMBER(LOOKUP(2,1/((HISTORIAL!$O$3:$O$684=O685)*(HISTORIAL!$F$3:$F$684&lt;&gt;"")),HISTORIAL!$K$3:$K$684)),IF(K685&gt;LOOKUP(2,1/((HISTORIAL!$O$3:$O$684=O685)*(HISTORIAL!$F$3:$F$684&lt;&gt;"")),HISTORIAL!$K$3:$K$684),"^",IF(K685&lt;LOOKUP(2,1/((HISTORIAL!$O$3:$O$684=O685)*(HISTORIAL!$F$3:$F$684&lt;&gt;"")),HISTORIAL!$K$3:$K$684),"v","-")),"-")),"-")</f>
        <v>-</v>
      </c>
      <c r="N685" s="54" t="str">
        <f>IFERROR(VLOOKUP(A685,CONFIG!$A$10:$B$21,2,0),"")</f>
        <v>FUE</v>
      </c>
      <c r="O685" s="55" t="str">
        <f t="shared" si="21"/>
        <v>Remo|Maquina Neutro Ancho</v>
      </c>
      <c r="P685" s="69" t="str">
        <f>SABADO!AC256</f>
        <v/>
      </c>
    </row>
    <row r="686" spans="1:16" ht="14.1" customHeight="1">
      <c r="A686" s="37">
        <v>11</v>
      </c>
      <c r="B686" s="37" t="s">
        <v>281</v>
      </c>
      <c r="C686" s="44" t="str">
        <f>SABADO!$A$257</f>
        <v>Peck Deck Invertida</v>
      </c>
      <c r="D686" s="45" t="str">
        <f>SABADO!$B$257</f>
        <v>Maquina</v>
      </c>
      <c r="E686" s="37" t="str">
        <f>SABADO!$C$257</f>
        <v>polea</v>
      </c>
      <c r="F686" s="46" t="str">
        <f>IF(P686="","",IFERROR(CHOOSE(VALUE(RIGHT(P686,1)),SABADO!F257,SABADO!I257,SABADO!L257,SABADO!O257,SABADO!R257),""))</f>
        <v/>
      </c>
      <c r="G686" s="47" t="str">
        <f>IF(P686="","",IFERROR(CHOOSE(VALUE(RIGHT(P686,1)),SABADO!G257,SABADO!J257,SABADO!M257,SABADO!P257,SABADO!S257),""))</f>
        <v/>
      </c>
      <c r="H686" s="48" t="str">
        <f>IF(P686="","",IFERROR(CHOOSE(VALUE(RIGHT(P686,1)),SABADO!H257,SABADO!K257,SABADO!N257,SABADO!Q257,SABADO!T257),""))</f>
        <v/>
      </c>
      <c r="I686" s="49" t="str">
        <f t="shared" si="20"/>
        <v/>
      </c>
      <c r="J686" s="50" t="str">
        <f>IF(P686="","",IFERROR(ROUND(CHOOSE(VALUE(RIGHT(P686,1)),IF(SABADO!C257="peso_corporal",IF(ISNUMBER(SABADO!E257),SABADO!E257,0)+SABADO!F257,SABADO!F257)*SABADO!G257,IF(SABADO!C257="peso_corporal",IF(ISNUMBER(SABADO!E257),SABADO!E257,0)+SABADO!I257,SABADO!I257)*SABADO!J257,IF(SABADO!C257="peso_corporal",IF(ISNUMBER(SABADO!E257),SABADO!E257,0)+SABADO!L257,SABADO!L257)*SABADO!M257,IF(SABADO!C257="peso_corporal",IF(ISNUMBER(SABADO!E257),SABADO!E257,0)+SABADO!O257,SABADO!O257)*SABADO!P257,IF(SABADO!C257="peso_corporal",IF(ISNUMBER(SABADO!E257),SABADO!E257,0)+SABADO!R257,SABADO!R257)*SABADO!S257),1),""))</f>
        <v/>
      </c>
      <c r="K686" s="51" t="str">
        <f>IF(P686="","",IFERROR(ROUND(CHOOSE(VALUE(RIGHT(P686,1)),(IF(SABADO!C257="peso_corporal",IF(ISNUMBER(SABADO!E257),SABADO!E257,0)+SABADO!F257,SABADO!F257))*(1+SABADO!G257/30),(IF(SABADO!C257="peso_corporal",IF(ISNUMBER(SABADO!E257),SABADO!E257,0)+SABADO!I257,SABADO!I257))*(1+SABADO!J257/30),(IF(SABADO!C257="peso_corporal",IF(ISNUMBER(SABADO!E257),SABADO!E257,0)+SABADO!L257,SABADO!L257))*(1+SABADO!M257/30),(IF(SABADO!C257="peso_corporal",IF(ISNUMBER(SABADO!E257),SABADO!E257,0)+SABADO!O257,SABADO!O257))*(1+SABADO!P257/30),(IF(SABADO!C257="peso_corporal",IF(ISNUMBER(SABADO!E257),SABADO!E257,0)+SABADO!R257,SABADO!R257))*(1+SABADO!S257/30)),1),""))</f>
        <v/>
      </c>
      <c r="L686" s="52">
        <f>IFERROR(SABADO!E257,"")</f>
        <v>80</v>
      </c>
      <c r="M686" s="53" t="str">
        <f>IFERROR(IF(K686="","-",IF(ISNUMBER(LOOKUP(2,1/((HISTORIAL!$O$3:$O$685=O686)*(HISTORIAL!$F$3:$F$685&lt;&gt;"")),HISTORIAL!$K$3:$K$685)),IF(K686&gt;LOOKUP(2,1/((HISTORIAL!$O$3:$O$685=O686)*(HISTORIAL!$F$3:$F$685&lt;&gt;"")),HISTORIAL!$K$3:$K$685),"^",IF(K686&lt;LOOKUP(2,1/((HISTORIAL!$O$3:$O$685=O686)*(HISTORIAL!$F$3:$F$685&lt;&gt;"")),HISTORIAL!$K$3:$K$685),"v","-")),"-")),"-")</f>
        <v>-</v>
      </c>
      <c r="N686" s="54" t="str">
        <f>IFERROR(VLOOKUP(A686,CONFIG!$A$10:$B$21,2,0),"")</f>
        <v>FUE</v>
      </c>
      <c r="O686" s="55" t="str">
        <f t="shared" si="21"/>
        <v>Peck Deck Invertida|Maquina</v>
      </c>
      <c r="P686" s="69" t="str">
        <f>SABADO!AC257</f>
        <v/>
      </c>
    </row>
    <row r="687" spans="1:16" ht="14.1" customHeight="1">
      <c r="A687" s="37">
        <v>11</v>
      </c>
      <c r="B687" s="37" t="s">
        <v>281</v>
      </c>
      <c r="C687" s="44" t="str">
        <f>SABADO!$A$259</f>
        <v>Curl Biceps</v>
      </c>
      <c r="D687" s="45" t="str">
        <f>SABADO!$B$259</f>
        <v>Concentrado Maquina</v>
      </c>
      <c r="E687" s="37" t="str">
        <f>SABADO!$C$259</f>
        <v>polea</v>
      </c>
      <c r="F687" s="46" t="str">
        <f>IF(P687="","",IFERROR(CHOOSE(VALUE(RIGHT(P687,1)),SABADO!F259,SABADO!I259,SABADO!L259,SABADO!O259,SABADO!R259),""))</f>
        <v/>
      </c>
      <c r="G687" s="47" t="str">
        <f>IF(P687="","",IFERROR(CHOOSE(VALUE(RIGHT(P687,1)),SABADO!G259,SABADO!J259,SABADO!M259,SABADO!P259,SABADO!S259),""))</f>
        <v/>
      </c>
      <c r="H687" s="48" t="str">
        <f>IF(P687="","",IFERROR(CHOOSE(VALUE(RIGHT(P687,1)),SABADO!H259,SABADO!K259,SABADO!N259,SABADO!Q259,SABADO!T259),""))</f>
        <v/>
      </c>
      <c r="I687" s="49" t="str">
        <f t="shared" si="20"/>
        <v/>
      </c>
      <c r="J687" s="50" t="str">
        <f>IF(P687="","",IFERROR(ROUND(CHOOSE(VALUE(RIGHT(P687,1)),IF(SABADO!C259="peso_corporal",IF(ISNUMBER(SABADO!E259),SABADO!E259,0)+SABADO!F259,SABADO!F259)*SABADO!G259,IF(SABADO!C259="peso_corporal",IF(ISNUMBER(SABADO!E259),SABADO!E259,0)+SABADO!I259,SABADO!I259)*SABADO!J259,IF(SABADO!C259="peso_corporal",IF(ISNUMBER(SABADO!E259),SABADO!E259,0)+SABADO!L259,SABADO!L259)*SABADO!M259,IF(SABADO!C259="peso_corporal",IF(ISNUMBER(SABADO!E259),SABADO!E259,0)+SABADO!O259,SABADO!O259)*SABADO!P259,IF(SABADO!C259="peso_corporal",IF(ISNUMBER(SABADO!E259),SABADO!E259,0)+SABADO!R259,SABADO!R259)*SABADO!S259),1),""))</f>
        <v/>
      </c>
      <c r="K687" s="51" t="str">
        <f>IF(P687="","",IFERROR(ROUND(CHOOSE(VALUE(RIGHT(P687,1)),(IF(SABADO!C259="peso_corporal",IF(ISNUMBER(SABADO!E259),SABADO!E259,0)+SABADO!F259,SABADO!F259))*(1+SABADO!G259/30),(IF(SABADO!C259="peso_corporal",IF(ISNUMBER(SABADO!E259),SABADO!E259,0)+SABADO!I259,SABADO!I259))*(1+SABADO!J259/30),(IF(SABADO!C259="peso_corporal",IF(ISNUMBER(SABADO!E259),SABADO!E259,0)+SABADO!L259,SABADO!L259))*(1+SABADO!M259/30),(IF(SABADO!C259="peso_corporal",IF(ISNUMBER(SABADO!E259),SABADO!E259,0)+SABADO!O259,SABADO!O259))*(1+SABADO!P259/30),(IF(SABADO!C259="peso_corporal",IF(ISNUMBER(SABADO!E259),SABADO!E259,0)+SABADO!R259,SABADO!R259))*(1+SABADO!S259/30)),1),""))</f>
        <v/>
      </c>
      <c r="L687" s="52">
        <f>IFERROR(SABADO!E259,"")</f>
        <v>80</v>
      </c>
      <c r="M687" s="53" t="str">
        <f>IFERROR(IF(K687="","-",IF(ISNUMBER(LOOKUP(2,1/((HISTORIAL!$O$3:$O$686=O687)*(HISTORIAL!$F$3:$F$686&lt;&gt;"")),HISTORIAL!$K$3:$K$686)),IF(K687&gt;LOOKUP(2,1/((HISTORIAL!$O$3:$O$686=O687)*(HISTORIAL!$F$3:$F$686&lt;&gt;"")),HISTORIAL!$K$3:$K$686),"^",IF(K687&lt;LOOKUP(2,1/((HISTORIAL!$O$3:$O$686=O687)*(HISTORIAL!$F$3:$F$686&lt;&gt;"")),HISTORIAL!$K$3:$K$686),"v","-")),"-")),"-")</f>
        <v>-</v>
      </c>
      <c r="N687" s="54" t="str">
        <f>IFERROR(VLOOKUP(A687,CONFIG!$A$10:$B$21,2,0),"")</f>
        <v>FUE</v>
      </c>
      <c r="O687" s="55" t="str">
        <f t="shared" si="21"/>
        <v>Curl Biceps|Concentrado Maquina</v>
      </c>
      <c r="P687" s="69" t="str">
        <f>SABADO!AC259</f>
        <v/>
      </c>
    </row>
    <row r="688" spans="1:16" ht="14.1" customHeight="1">
      <c r="A688" s="37">
        <v>11</v>
      </c>
      <c r="B688" s="37" t="s">
        <v>281</v>
      </c>
      <c r="C688" s="44" t="str">
        <f>SABADO!$A$260</f>
        <v>Curl Martillo</v>
      </c>
      <c r="D688" s="45" t="str">
        <f>SABADO!$B$260</f>
        <v>Polea Individual</v>
      </c>
      <c r="E688" s="37" t="str">
        <f>SABADO!$C$260</f>
        <v>polea</v>
      </c>
      <c r="F688" s="46" t="str">
        <f>IF(P688="","",IFERROR(CHOOSE(VALUE(RIGHT(P688,1)),SABADO!F260,SABADO!I260,SABADO!L260,SABADO!O260,SABADO!R260),""))</f>
        <v/>
      </c>
      <c r="G688" s="47" t="str">
        <f>IF(P688="","",IFERROR(CHOOSE(VALUE(RIGHT(P688,1)),SABADO!G260,SABADO!J260,SABADO!M260,SABADO!P260,SABADO!S260),""))</f>
        <v/>
      </c>
      <c r="H688" s="48" t="str">
        <f>IF(P688="","",IFERROR(CHOOSE(VALUE(RIGHT(P688,1)),SABADO!H260,SABADO!K260,SABADO!N260,SABADO!Q260,SABADO!T260),""))</f>
        <v/>
      </c>
      <c r="I688" s="49" t="str">
        <f t="shared" si="20"/>
        <v/>
      </c>
      <c r="J688" s="50" t="str">
        <f>IF(P688="","",IFERROR(ROUND(CHOOSE(VALUE(RIGHT(P688,1)),IF(SABADO!C260="peso_corporal",IF(ISNUMBER(SABADO!E260),SABADO!E260,0)+SABADO!F260,SABADO!F260)*SABADO!G260,IF(SABADO!C260="peso_corporal",IF(ISNUMBER(SABADO!E260),SABADO!E260,0)+SABADO!I260,SABADO!I260)*SABADO!J260,IF(SABADO!C260="peso_corporal",IF(ISNUMBER(SABADO!E260),SABADO!E260,0)+SABADO!L260,SABADO!L260)*SABADO!M260,IF(SABADO!C260="peso_corporal",IF(ISNUMBER(SABADO!E260),SABADO!E260,0)+SABADO!O260,SABADO!O260)*SABADO!P260,IF(SABADO!C260="peso_corporal",IF(ISNUMBER(SABADO!E260),SABADO!E260,0)+SABADO!R260,SABADO!R260)*SABADO!S260),1),""))</f>
        <v/>
      </c>
      <c r="K688" s="51" t="str">
        <f>IF(P688="","",IFERROR(ROUND(CHOOSE(VALUE(RIGHT(P688,1)),(IF(SABADO!C260="peso_corporal",IF(ISNUMBER(SABADO!E260),SABADO!E260,0)+SABADO!F260,SABADO!F260))*(1+SABADO!G260/30),(IF(SABADO!C260="peso_corporal",IF(ISNUMBER(SABADO!E260),SABADO!E260,0)+SABADO!I260,SABADO!I260))*(1+SABADO!J260/30),(IF(SABADO!C260="peso_corporal",IF(ISNUMBER(SABADO!E260),SABADO!E260,0)+SABADO!L260,SABADO!L260))*(1+SABADO!M260/30),(IF(SABADO!C260="peso_corporal",IF(ISNUMBER(SABADO!E260),SABADO!E260,0)+SABADO!O260,SABADO!O260))*(1+SABADO!P260/30),(IF(SABADO!C260="peso_corporal",IF(ISNUMBER(SABADO!E260),SABADO!E260,0)+SABADO!R260,SABADO!R260))*(1+SABADO!S260/30)),1),""))</f>
        <v/>
      </c>
      <c r="L688" s="52">
        <f>IFERROR(SABADO!E260,"")</f>
        <v>80</v>
      </c>
      <c r="M688" s="53" t="str">
        <f>IFERROR(IF(K688="","-",IF(ISNUMBER(LOOKUP(2,1/((HISTORIAL!$O$3:$O$687=O688)*(HISTORIAL!$F$3:$F$687&lt;&gt;"")),HISTORIAL!$K$3:$K$687)),IF(K688&gt;LOOKUP(2,1/((HISTORIAL!$O$3:$O$687=O688)*(HISTORIAL!$F$3:$F$687&lt;&gt;"")),HISTORIAL!$K$3:$K$687),"^",IF(K688&lt;LOOKUP(2,1/((HISTORIAL!$O$3:$O$687=O688)*(HISTORIAL!$F$3:$F$687&lt;&gt;"")),HISTORIAL!$K$3:$K$687),"v","-")),"-")),"-")</f>
        <v>-</v>
      </c>
      <c r="N688" s="54" t="str">
        <f>IFERROR(VLOOKUP(A688,CONFIG!$A$10:$B$21,2,0),"")</f>
        <v>FUE</v>
      </c>
      <c r="O688" s="55" t="str">
        <f t="shared" si="21"/>
        <v>Curl Martillo|Polea Individual</v>
      </c>
      <c r="P688" s="69" t="str">
        <f>SABADO!AC260</f>
        <v/>
      </c>
    </row>
    <row r="689" spans="1:16" ht="14.1" customHeight="1">
      <c r="A689" s="37">
        <v>11</v>
      </c>
      <c r="B689" s="37" t="s">
        <v>281</v>
      </c>
      <c r="C689" s="44" t="str">
        <f>SABADO!$A$262</f>
        <v>Curl Muneca</v>
      </c>
      <c r="D689" s="45" t="str">
        <f>SABADO!$B$262</f>
        <v>Supinado</v>
      </c>
      <c r="E689" s="37" t="str">
        <f>SABADO!$C$262</f>
        <v>mancuerna</v>
      </c>
      <c r="F689" s="46" t="str">
        <f>IF(P689="","",IFERROR(CHOOSE(VALUE(RIGHT(P689,1)),SABADO!F262,SABADO!I262,SABADO!L262,SABADO!O262,SABADO!R262),""))</f>
        <v/>
      </c>
      <c r="G689" s="47" t="str">
        <f>IF(P689="","",IFERROR(CHOOSE(VALUE(RIGHT(P689,1)),SABADO!G262,SABADO!J262,SABADO!M262,SABADO!P262,SABADO!S262),""))</f>
        <v/>
      </c>
      <c r="H689" s="48" t="str">
        <f>IF(P689="","",IFERROR(CHOOSE(VALUE(RIGHT(P689,1)),SABADO!H262,SABADO!K262,SABADO!N262,SABADO!Q262,SABADO!T262),""))</f>
        <v/>
      </c>
      <c r="I689" s="49" t="str">
        <f t="shared" si="20"/>
        <v/>
      </c>
      <c r="J689" s="50" t="str">
        <f>IF(P689="","",IFERROR(ROUND(CHOOSE(VALUE(RIGHT(P689,1)),IF(SABADO!C262="peso_corporal",IF(ISNUMBER(SABADO!E262),SABADO!E262,0)+SABADO!F262,SABADO!F262)*SABADO!G262,IF(SABADO!C262="peso_corporal",IF(ISNUMBER(SABADO!E262),SABADO!E262,0)+SABADO!I262,SABADO!I262)*SABADO!J262,IF(SABADO!C262="peso_corporal",IF(ISNUMBER(SABADO!E262),SABADO!E262,0)+SABADO!L262,SABADO!L262)*SABADO!M262,IF(SABADO!C262="peso_corporal",IF(ISNUMBER(SABADO!E262),SABADO!E262,0)+SABADO!O262,SABADO!O262)*SABADO!P262,IF(SABADO!C262="peso_corporal",IF(ISNUMBER(SABADO!E262),SABADO!E262,0)+SABADO!R262,SABADO!R262)*SABADO!S262),1),""))</f>
        <v/>
      </c>
      <c r="K689" s="51" t="str">
        <f>IF(P689="","",IFERROR(ROUND(CHOOSE(VALUE(RIGHT(P689,1)),(IF(SABADO!C262="peso_corporal",IF(ISNUMBER(SABADO!E262),SABADO!E262,0)+SABADO!F262,SABADO!F262))*(1+SABADO!G262/30),(IF(SABADO!C262="peso_corporal",IF(ISNUMBER(SABADO!E262),SABADO!E262,0)+SABADO!I262,SABADO!I262))*(1+SABADO!J262/30),(IF(SABADO!C262="peso_corporal",IF(ISNUMBER(SABADO!E262),SABADO!E262,0)+SABADO!L262,SABADO!L262))*(1+SABADO!M262/30),(IF(SABADO!C262="peso_corporal",IF(ISNUMBER(SABADO!E262),SABADO!E262,0)+SABADO!O262,SABADO!O262))*(1+SABADO!P262/30),(IF(SABADO!C262="peso_corporal",IF(ISNUMBER(SABADO!E262),SABADO!E262,0)+SABADO!R262,SABADO!R262))*(1+SABADO!S262/30)),1),""))</f>
        <v/>
      </c>
      <c r="L689" s="52">
        <f>IFERROR(SABADO!E262,"")</f>
        <v>80</v>
      </c>
      <c r="M689" s="53" t="str">
        <f>IFERROR(IF(K689="","-",IF(ISNUMBER(LOOKUP(2,1/((HISTORIAL!$O$3:$O$688=O689)*(HISTORIAL!$F$3:$F$688&lt;&gt;"")),HISTORIAL!$K$3:$K$688)),IF(K689&gt;LOOKUP(2,1/((HISTORIAL!$O$3:$O$688=O689)*(HISTORIAL!$F$3:$F$688&lt;&gt;"")),HISTORIAL!$K$3:$K$688),"^",IF(K689&lt;LOOKUP(2,1/((HISTORIAL!$O$3:$O$688=O689)*(HISTORIAL!$F$3:$F$688&lt;&gt;"")),HISTORIAL!$K$3:$K$688),"v","-")),"-")),"-")</f>
        <v>-</v>
      </c>
      <c r="N689" s="54" t="str">
        <f>IFERROR(VLOOKUP(A689,CONFIG!$A$10:$B$21,2,0),"")</f>
        <v>FUE</v>
      </c>
      <c r="O689" s="55" t="str">
        <f t="shared" si="21"/>
        <v>Curl Muneca|Supinado</v>
      </c>
      <c r="P689" s="69" t="str">
        <f>SABADO!AC262</f>
        <v/>
      </c>
    </row>
    <row r="690" spans="1:16" ht="14.1" customHeight="1">
      <c r="A690" s="37">
        <v>11</v>
      </c>
      <c r="B690" s="37" t="s">
        <v>281</v>
      </c>
      <c r="C690" s="44" t="str">
        <f>SABADO!$A$263</f>
        <v>Curl Muneca</v>
      </c>
      <c r="D690" s="45" t="str">
        <f>SABADO!$B$263</f>
        <v>Pronado</v>
      </c>
      <c r="E690" s="37" t="str">
        <f>SABADO!$C$263</f>
        <v>mancuerna</v>
      </c>
      <c r="F690" s="46" t="str">
        <f>IF(P690="","",IFERROR(CHOOSE(VALUE(RIGHT(P690,1)),SABADO!F263,SABADO!I263,SABADO!L263,SABADO!O263,SABADO!R263),""))</f>
        <v/>
      </c>
      <c r="G690" s="47" t="str">
        <f>IF(P690="","",IFERROR(CHOOSE(VALUE(RIGHT(P690,1)),SABADO!G263,SABADO!J263,SABADO!M263,SABADO!P263,SABADO!S263),""))</f>
        <v/>
      </c>
      <c r="H690" s="48" t="str">
        <f>IF(P690="","",IFERROR(CHOOSE(VALUE(RIGHT(P690,1)),SABADO!H263,SABADO!K263,SABADO!N263,SABADO!Q263,SABADO!T263),""))</f>
        <v/>
      </c>
      <c r="I690" s="49" t="str">
        <f t="shared" si="20"/>
        <v/>
      </c>
      <c r="J690" s="50" t="str">
        <f>IF(P690="","",IFERROR(ROUND(CHOOSE(VALUE(RIGHT(P690,1)),IF(SABADO!C263="peso_corporal",IF(ISNUMBER(SABADO!E263),SABADO!E263,0)+SABADO!F263,SABADO!F263)*SABADO!G263,IF(SABADO!C263="peso_corporal",IF(ISNUMBER(SABADO!E263),SABADO!E263,0)+SABADO!I263,SABADO!I263)*SABADO!J263,IF(SABADO!C263="peso_corporal",IF(ISNUMBER(SABADO!E263),SABADO!E263,0)+SABADO!L263,SABADO!L263)*SABADO!M263,IF(SABADO!C263="peso_corporal",IF(ISNUMBER(SABADO!E263),SABADO!E263,0)+SABADO!O263,SABADO!O263)*SABADO!P263,IF(SABADO!C263="peso_corporal",IF(ISNUMBER(SABADO!E263),SABADO!E263,0)+SABADO!R263,SABADO!R263)*SABADO!S263),1),""))</f>
        <v/>
      </c>
      <c r="K690" s="51" t="str">
        <f>IF(P690="","",IFERROR(ROUND(CHOOSE(VALUE(RIGHT(P690,1)),(IF(SABADO!C263="peso_corporal",IF(ISNUMBER(SABADO!E263),SABADO!E263,0)+SABADO!F263,SABADO!F263))*(1+SABADO!G263/30),(IF(SABADO!C263="peso_corporal",IF(ISNUMBER(SABADO!E263),SABADO!E263,0)+SABADO!I263,SABADO!I263))*(1+SABADO!J263/30),(IF(SABADO!C263="peso_corporal",IF(ISNUMBER(SABADO!E263),SABADO!E263,0)+SABADO!L263,SABADO!L263))*(1+SABADO!M263/30),(IF(SABADO!C263="peso_corporal",IF(ISNUMBER(SABADO!E263),SABADO!E263,0)+SABADO!O263,SABADO!O263))*(1+SABADO!P263/30),(IF(SABADO!C263="peso_corporal",IF(ISNUMBER(SABADO!E263),SABADO!E263,0)+SABADO!R263,SABADO!R263))*(1+SABADO!S263/30)),1),""))</f>
        <v/>
      </c>
      <c r="L690" s="52">
        <f>IFERROR(SABADO!E263,"")</f>
        <v>80</v>
      </c>
      <c r="M690" s="53" t="str">
        <f>IFERROR(IF(K690="","-",IF(ISNUMBER(LOOKUP(2,1/((HISTORIAL!$O$3:$O$689=O690)*(HISTORIAL!$F$3:$F$689&lt;&gt;"")),HISTORIAL!$K$3:$K$689)),IF(K690&gt;LOOKUP(2,1/((HISTORIAL!$O$3:$O$689=O690)*(HISTORIAL!$F$3:$F$689&lt;&gt;"")),HISTORIAL!$K$3:$K$689),"^",IF(K690&lt;LOOKUP(2,1/((HISTORIAL!$O$3:$O$689=O690)*(HISTORIAL!$F$3:$F$689&lt;&gt;"")),HISTORIAL!$K$3:$K$689),"v","-")),"-")),"-")</f>
        <v>-</v>
      </c>
      <c r="N690" s="54" t="str">
        <f>IFERROR(VLOOKUP(A690,CONFIG!$A$10:$B$21,2,0),"")</f>
        <v>FUE</v>
      </c>
      <c r="O690" s="55" t="str">
        <f t="shared" si="21"/>
        <v>Curl Muneca|Pronado</v>
      </c>
      <c r="P690" s="69" t="str">
        <f>SABADO!AC263</f>
        <v/>
      </c>
    </row>
    <row r="691" spans="1:16" ht="14.1" customHeight="1">
      <c r="A691" s="37">
        <v>11</v>
      </c>
      <c r="B691" s="37" t="s">
        <v>281</v>
      </c>
      <c r="C691" s="44" t="str">
        <f>SABADO!$A$265</f>
        <v>Elevaciones Laterales</v>
      </c>
      <c r="D691" s="45" t="str">
        <f>SABADO!$B$265</f>
        <v>Cable Polea Individual</v>
      </c>
      <c r="E691" s="37" t="str">
        <f>SABADO!$C$265</f>
        <v>polea</v>
      </c>
      <c r="F691" s="46" t="str">
        <f>IF(P691="","",IFERROR(CHOOSE(VALUE(RIGHT(P691,1)),SABADO!F265,SABADO!I265,SABADO!L265,SABADO!O265,SABADO!R265),""))</f>
        <v/>
      </c>
      <c r="G691" s="47" t="str">
        <f>IF(P691="","",IFERROR(CHOOSE(VALUE(RIGHT(P691,1)),SABADO!G265,SABADO!J265,SABADO!M265,SABADO!P265,SABADO!S265),""))</f>
        <v/>
      </c>
      <c r="H691" s="48" t="str">
        <f>IF(P691="","",IFERROR(CHOOSE(VALUE(RIGHT(P691,1)),SABADO!H265,SABADO!K265,SABADO!N265,SABADO!Q265,SABADO!T265),""))</f>
        <v/>
      </c>
      <c r="I691" s="49" t="str">
        <f t="shared" si="20"/>
        <v/>
      </c>
      <c r="J691" s="50" t="str">
        <f>IF(P691="","",IFERROR(ROUND(CHOOSE(VALUE(RIGHT(P691,1)),IF(SABADO!C265="peso_corporal",IF(ISNUMBER(SABADO!E265),SABADO!E265,0)+SABADO!F265,SABADO!F265)*SABADO!G265,IF(SABADO!C265="peso_corporal",IF(ISNUMBER(SABADO!E265),SABADO!E265,0)+SABADO!I265,SABADO!I265)*SABADO!J265,IF(SABADO!C265="peso_corporal",IF(ISNUMBER(SABADO!E265),SABADO!E265,0)+SABADO!L265,SABADO!L265)*SABADO!M265,IF(SABADO!C265="peso_corporal",IF(ISNUMBER(SABADO!E265),SABADO!E265,0)+SABADO!O265,SABADO!O265)*SABADO!P265,IF(SABADO!C265="peso_corporal",IF(ISNUMBER(SABADO!E265),SABADO!E265,0)+SABADO!R265,SABADO!R265)*SABADO!S265),1),""))</f>
        <v/>
      </c>
      <c r="K691" s="51" t="str">
        <f>IF(P691="","",IFERROR(ROUND(CHOOSE(VALUE(RIGHT(P691,1)),(IF(SABADO!C265="peso_corporal",IF(ISNUMBER(SABADO!E265),SABADO!E265,0)+SABADO!F265,SABADO!F265))*(1+SABADO!G265/30),(IF(SABADO!C265="peso_corporal",IF(ISNUMBER(SABADO!E265),SABADO!E265,0)+SABADO!I265,SABADO!I265))*(1+SABADO!J265/30),(IF(SABADO!C265="peso_corporal",IF(ISNUMBER(SABADO!E265),SABADO!E265,0)+SABADO!L265,SABADO!L265))*(1+SABADO!M265/30),(IF(SABADO!C265="peso_corporal",IF(ISNUMBER(SABADO!E265),SABADO!E265,0)+SABADO!O265,SABADO!O265))*(1+SABADO!P265/30),(IF(SABADO!C265="peso_corporal",IF(ISNUMBER(SABADO!E265),SABADO!E265,0)+SABADO!R265,SABADO!R265))*(1+SABADO!S265/30)),1),""))</f>
        <v/>
      </c>
      <c r="L691" s="52">
        <f>IFERROR(SABADO!E265,"")</f>
        <v>80</v>
      </c>
      <c r="M691" s="53" t="str">
        <f>IFERROR(IF(K691="","-",IF(ISNUMBER(LOOKUP(2,1/((HISTORIAL!$O$3:$O$690=O691)*(HISTORIAL!$F$3:$F$690&lt;&gt;"")),HISTORIAL!$K$3:$K$690)),IF(K691&gt;LOOKUP(2,1/((HISTORIAL!$O$3:$O$690=O691)*(HISTORIAL!$F$3:$F$690&lt;&gt;"")),HISTORIAL!$K$3:$K$690),"^",IF(K691&lt;LOOKUP(2,1/((HISTORIAL!$O$3:$O$690=O691)*(HISTORIAL!$F$3:$F$690&lt;&gt;"")),HISTORIAL!$K$3:$K$690),"v","-")),"-")),"-")</f>
        <v>-</v>
      </c>
      <c r="N691" s="54" t="str">
        <f>IFERROR(VLOOKUP(A691,CONFIG!$A$10:$B$21,2,0),"")</f>
        <v>FUE</v>
      </c>
      <c r="O691" s="55" t="str">
        <f t="shared" si="21"/>
        <v>Elevaciones Laterales|Cable Polea Individual</v>
      </c>
      <c r="P691" s="69" t="str">
        <f>SABADO!AC265</f>
        <v/>
      </c>
    </row>
    <row r="692" spans="1:16" ht="14.1" customHeight="1">
      <c r="A692" s="37">
        <v>11</v>
      </c>
      <c r="B692" s="37" t="s">
        <v>281</v>
      </c>
      <c r="C692" s="44" t="str">
        <f>SABADO!$A$267</f>
        <v>Encogimientos</v>
      </c>
      <c r="D692" s="45" t="str">
        <f>SABADO!$B$267</f>
        <v>Mancuernas Trapecio</v>
      </c>
      <c r="E692" s="37" t="str">
        <f>SABADO!$C$267</f>
        <v>mancuerna</v>
      </c>
      <c r="F692" s="46" t="str">
        <f>IF(P692="","",IFERROR(CHOOSE(VALUE(RIGHT(P692,1)),SABADO!F267,SABADO!I267,SABADO!L267,SABADO!O267,SABADO!R267),""))</f>
        <v/>
      </c>
      <c r="G692" s="47" t="str">
        <f>IF(P692="","",IFERROR(CHOOSE(VALUE(RIGHT(P692,1)),SABADO!G267,SABADO!J267,SABADO!M267,SABADO!P267,SABADO!S267),""))</f>
        <v/>
      </c>
      <c r="H692" s="48" t="str">
        <f>IF(P692="","",IFERROR(CHOOSE(VALUE(RIGHT(P692,1)),SABADO!H267,SABADO!K267,SABADO!N267,SABADO!Q267,SABADO!T267),""))</f>
        <v/>
      </c>
      <c r="I692" s="49" t="str">
        <f t="shared" si="20"/>
        <v/>
      </c>
      <c r="J692" s="50" t="str">
        <f>IF(P692="","",IFERROR(ROUND(CHOOSE(VALUE(RIGHT(P692,1)),IF(SABADO!C267="peso_corporal",IF(ISNUMBER(SABADO!E267),SABADO!E267,0)+SABADO!F267,SABADO!F267)*SABADO!G267,IF(SABADO!C267="peso_corporal",IF(ISNUMBER(SABADO!E267),SABADO!E267,0)+SABADO!I267,SABADO!I267)*SABADO!J267,IF(SABADO!C267="peso_corporal",IF(ISNUMBER(SABADO!E267),SABADO!E267,0)+SABADO!L267,SABADO!L267)*SABADO!M267,IF(SABADO!C267="peso_corporal",IF(ISNUMBER(SABADO!E267),SABADO!E267,0)+SABADO!O267,SABADO!O267)*SABADO!P267,IF(SABADO!C267="peso_corporal",IF(ISNUMBER(SABADO!E267),SABADO!E267,0)+SABADO!R267,SABADO!R267)*SABADO!S267),1),""))</f>
        <v/>
      </c>
      <c r="K692" s="51" t="str">
        <f>IF(P692="","",IFERROR(ROUND(CHOOSE(VALUE(RIGHT(P692,1)),(IF(SABADO!C267="peso_corporal",IF(ISNUMBER(SABADO!E267),SABADO!E267,0)+SABADO!F267,SABADO!F267))*(1+SABADO!G267/30),(IF(SABADO!C267="peso_corporal",IF(ISNUMBER(SABADO!E267),SABADO!E267,0)+SABADO!I267,SABADO!I267))*(1+SABADO!J267/30),(IF(SABADO!C267="peso_corporal",IF(ISNUMBER(SABADO!E267),SABADO!E267,0)+SABADO!L267,SABADO!L267))*(1+SABADO!M267/30),(IF(SABADO!C267="peso_corporal",IF(ISNUMBER(SABADO!E267),SABADO!E267,0)+SABADO!O267,SABADO!O267))*(1+SABADO!P267/30),(IF(SABADO!C267="peso_corporal",IF(ISNUMBER(SABADO!E267),SABADO!E267,0)+SABADO!R267,SABADO!R267))*(1+SABADO!S267/30)),1),""))</f>
        <v/>
      </c>
      <c r="L692" s="52">
        <f>IFERROR(SABADO!E267,"")</f>
        <v>80</v>
      </c>
      <c r="M692" s="53" t="str">
        <f>IFERROR(IF(K692="","-",IF(ISNUMBER(LOOKUP(2,1/((HISTORIAL!$O$3:$O$691=O692)*(HISTORIAL!$F$3:$F$691&lt;&gt;"")),HISTORIAL!$K$3:$K$691)),IF(K692&gt;LOOKUP(2,1/((HISTORIAL!$O$3:$O$691=O692)*(HISTORIAL!$F$3:$F$691&lt;&gt;"")),HISTORIAL!$K$3:$K$691),"^",IF(K692&lt;LOOKUP(2,1/((HISTORIAL!$O$3:$O$691=O692)*(HISTORIAL!$F$3:$F$691&lt;&gt;"")),HISTORIAL!$K$3:$K$691),"v","-")),"-")),"-")</f>
        <v>-</v>
      </c>
      <c r="N692" s="54" t="str">
        <f>IFERROR(VLOOKUP(A692,CONFIG!$A$10:$B$21,2,0),"")</f>
        <v>FUE</v>
      </c>
      <c r="O692" s="55" t="str">
        <f t="shared" si="21"/>
        <v>Encogimientos|Mancuernas Trapecio</v>
      </c>
      <c r="P692" s="69" t="str">
        <f>SABADO!AC267</f>
        <v/>
      </c>
    </row>
    <row r="693" spans="1:16" ht="14.1" customHeight="1">
      <c r="A693" s="37">
        <v>11</v>
      </c>
      <c r="B693" s="37" t="s">
        <v>281</v>
      </c>
      <c r="C693" s="44" t="str">
        <f>SABADO!$A$268</f>
        <v>Face Pull</v>
      </c>
      <c r="D693" s="45" t="str">
        <f>SABADO!$B$268</f>
        <v>Polea Alta Cuerda</v>
      </c>
      <c r="E693" s="37" t="str">
        <f>SABADO!$C$268</f>
        <v>polea</v>
      </c>
      <c r="F693" s="46" t="str">
        <f>IF(P693="","",IFERROR(CHOOSE(VALUE(RIGHT(P693,1)),SABADO!F268,SABADO!I268,SABADO!L268,SABADO!O268,SABADO!R268),""))</f>
        <v/>
      </c>
      <c r="G693" s="47" t="str">
        <f>IF(P693="","",IFERROR(CHOOSE(VALUE(RIGHT(P693,1)),SABADO!G268,SABADO!J268,SABADO!M268,SABADO!P268,SABADO!S268),""))</f>
        <v/>
      </c>
      <c r="H693" s="48" t="str">
        <f>IF(P693="","",IFERROR(CHOOSE(VALUE(RIGHT(P693,1)),SABADO!H268,SABADO!K268,SABADO!N268,SABADO!Q268,SABADO!T268),""))</f>
        <v/>
      </c>
      <c r="I693" s="49" t="str">
        <f t="shared" si="20"/>
        <v/>
      </c>
      <c r="J693" s="50" t="str">
        <f>IF(P693="","",IFERROR(ROUND(CHOOSE(VALUE(RIGHT(P693,1)),IF(SABADO!C268="peso_corporal",IF(ISNUMBER(SABADO!E268),SABADO!E268,0)+SABADO!F268,SABADO!F268)*SABADO!G268,IF(SABADO!C268="peso_corporal",IF(ISNUMBER(SABADO!E268),SABADO!E268,0)+SABADO!I268,SABADO!I268)*SABADO!J268,IF(SABADO!C268="peso_corporal",IF(ISNUMBER(SABADO!E268),SABADO!E268,0)+SABADO!L268,SABADO!L268)*SABADO!M268,IF(SABADO!C268="peso_corporal",IF(ISNUMBER(SABADO!E268),SABADO!E268,0)+SABADO!O268,SABADO!O268)*SABADO!P268,IF(SABADO!C268="peso_corporal",IF(ISNUMBER(SABADO!E268),SABADO!E268,0)+SABADO!R268,SABADO!R268)*SABADO!S268),1),""))</f>
        <v/>
      </c>
      <c r="K693" s="51" t="str">
        <f>IF(P693="","",IFERROR(ROUND(CHOOSE(VALUE(RIGHT(P693,1)),(IF(SABADO!C268="peso_corporal",IF(ISNUMBER(SABADO!E268),SABADO!E268,0)+SABADO!F268,SABADO!F268))*(1+SABADO!G268/30),(IF(SABADO!C268="peso_corporal",IF(ISNUMBER(SABADO!E268),SABADO!E268,0)+SABADO!I268,SABADO!I268))*(1+SABADO!J268/30),(IF(SABADO!C268="peso_corporal",IF(ISNUMBER(SABADO!E268),SABADO!E268,0)+SABADO!L268,SABADO!L268))*(1+SABADO!M268/30),(IF(SABADO!C268="peso_corporal",IF(ISNUMBER(SABADO!E268),SABADO!E268,0)+SABADO!O268,SABADO!O268))*(1+SABADO!P268/30),(IF(SABADO!C268="peso_corporal",IF(ISNUMBER(SABADO!E268),SABADO!E268,0)+SABADO!R268,SABADO!R268))*(1+SABADO!S268/30)),1),""))</f>
        <v/>
      </c>
      <c r="L693" s="52">
        <f>IFERROR(SABADO!E268,"")</f>
        <v>80</v>
      </c>
      <c r="M693" s="53" t="str">
        <f>IFERROR(IF(K693="","-",IF(ISNUMBER(LOOKUP(2,1/((HISTORIAL!$O$3:$O$692=O693)*(HISTORIAL!$F$3:$F$692&lt;&gt;"")),HISTORIAL!$K$3:$K$692)),IF(K693&gt;LOOKUP(2,1/((HISTORIAL!$O$3:$O$692=O693)*(HISTORIAL!$F$3:$F$692&lt;&gt;"")),HISTORIAL!$K$3:$K$692),"^",IF(K693&lt;LOOKUP(2,1/((HISTORIAL!$O$3:$O$692=O693)*(HISTORIAL!$F$3:$F$692&lt;&gt;"")),HISTORIAL!$K$3:$K$692),"v","-")),"-")),"-")</f>
        <v>-</v>
      </c>
      <c r="N693" s="54" t="str">
        <f>IFERROR(VLOOKUP(A693,CONFIG!$A$10:$B$21,2,0),"")</f>
        <v>FUE</v>
      </c>
      <c r="O693" s="55" t="str">
        <f t="shared" si="21"/>
        <v>Face Pull|Polea Alta Cuerda</v>
      </c>
      <c r="P693" s="69" t="str">
        <f>SABADO!AC268</f>
        <v/>
      </c>
    </row>
    <row r="694" spans="1:16" ht="14.1" customHeight="1">
      <c r="A694" s="37">
        <v>11</v>
      </c>
      <c r="B694" s="37" t="s">
        <v>281</v>
      </c>
      <c r="C694" s="44" t="str">
        <f>SABADO!$A$270</f>
        <v>Hiperextension</v>
      </c>
      <c r="D694" s="45" t="str">
        <f>SABADO!$B$270</f>
        <v>Banco Romano</v>
      </c>
      <c r="E694" s="37" t="str">
        <f>SABADO!$C$270</f>
        <v>peso_corporal</v>
      </c>
      <c r="F694" s="46" t="str">
        <f>IF(P694="","",IFERROR(CHOOSE(VALUE(RIGHT(P694,1)),SABADO!F270,SABADO!I270,SABADO!L270,SABADO!O270,SABADO!R270),""))</f>
        <v/>
      </c>
      <c r="G694" s="47" t="str">
        <f>IF(P694="","",IFERROR(CHOOSE(VALUE(RIGHT(P694,1)),SABADO!G270,SABADO!J270,SABADO!M270,SABADO!P270,SABADO!S270),""))</f>
        <v/>
      </c>
      <c r="H694" s="48" t="str">
        <f>IF(P694="","",IFERROR(CHOOSE(VALUE(RIGHT(P694,1)),SABADO!H270,SABADO!K270,SABADO!N270,SABADO!Q270,SABADO!T270),""))</f>
        <v/>
      </c>
      <c r="I694" s="49" t="str">
        <f t="shared" si="20"/>
        <v/>
      </c>
      <c r="J694" s="50" t="str">
        <f>IF(P694="","",IFERROR(ROUND(CHOOSE(VALUE(RIGHT(P694,1)),IF(SABADO!C270="peso_corporal",IF(ISNUMBER(SABADO!E270),SABADO!E270,0)+SABADO!F270,SABADO!F270)*SABADO!G270,IF(SABADO!C270="peso_corporal",IF(ISNUMBER(SABADO!E270),SABADO!E270,0)+SABADO!I270,SABADO!I270)*SABADO!J270,IF(SABADO!C270="peso_corporal",IF(ISNUMBER(SABADO!E270),SABADO!E270,0)+SABADO!L270,SABADO!L270)*SABADO!M270,IF(SABADO!C270="peso_corporal",IF(ISNUMBER(SABADO!E270),SABADO!E270,0)+SABADO!O270,SABADO!O270)*SABADO!P270,IF(SABADO!C270="peso_corporal",IF(ISNUMBER(SABADO!E270),SABADO!E270,0)+SABADO!R270,SABADO!R270)*SABADO!S270),1),""))</f>
        <v/>
      </c>
      <c r="K694" s="51" t="str">
        <f>IF(P694="","",IFERROR(ROUND(CHOOSE(VALUE(RIGHT(P694,1)),(IF(SABADO!C270="peso_corporal",IF(ISNUMBER(SABADO!E270),SABADO!E270,0)+SABADO!F270,SABADO!F270))*(1+SABADO!G270/30),(IF(SABADO!C270="peso_corporal",IF(ISNUMBER(SABADO!E270),SABADO!E270,0)+SABADO!I270,SABADO!I270))*(1+SABADO!J270/30),(IF(SABADO!C270="peso_corporal",IF(ISNUMBER(SABADO!E270),SABADO!E270,0)+SABADO!L270,SABADO!L270))*(1+SABADO!M270/30),(IF(SABADO!C270="peso_corporal",IF(ISNUMBER(SABADO!E270),SABADO!E270,0)+SABADO!O270,SABADO!O270))*(1+SABADO!P270/30),(IF(SABADO!C270="peso_corporal",IF(ISNUMBER(SABADO!E270),SABADO!E270,0)+SABADO!R270,SABADO!R270))*(1+SABADO!S270/30)),1),""))</f>
        <v/>
      </c>
      <c r="L694" s="52">
        <f>IFERROR(SABADO!E270,"")</f>
        <v>80</v>
      </c>
      <c r="M694" s="53" t="str">
        <f>IFERROR(IF(K694="","-",IF(ISNUMBER(LOOKUP(2,1/((HISTORIAL!$O$3:$O$693=O694)*(HISTORIAL!$F$3:$F$693&lt;&gt;"")),HISTORIAL!$K$3:$K$693)),IF(K694&gt;LOOKUP(2,1/((HISTORIAL!$O$3:$O$693=O694)*(HISTORIAL!$F$3:$F$693&lt;&gt;"")),HISTORIAL!$K$3:$K$693),"^",IF(K694&lt;LOOKUP(2,1/((HISTORIAL!$O$3:$O$693=O694)*(HISTORIAL!$F$3:$F$693&lt;&gt;"")),HISTORIAL!$K$3:$K$693),"v","-")),"-")),"-")</f>
        <v>-</v>
      </c>
      <c r="N694" s="54" t="str">
        <f>IFERROR(VLOOKUP(A694,CONFIG!$A$10:$B$21,2,0),"")</f>
        <v>FUE</v>
      </c>
      <c r="O694" s="55" t="str">
        <f t="shared" si="21"/>
        <v>Hiperextension|Banco Romano</v>
      </c>
      <c r="P694" s="69" t="str">
        <f>SABADO!AC270</f>
        <v/>
      </c>
    </row>
    <row r="695" spans="1:16" ht="14.1" customHeight="1">
      <c r="A695" s="37">
        <v>11</v>
      </c>
      <c r="B695" s="37" t="s">
        <v>281</v>
      </c>
      <c r="C695" s="44" t="str">
        <f>SABADO!$A$272</f>
        <v>Crunch</v>
      </c>
      <c r="D695" s="45" t="str">
        <f>SABADO!$B$272</f>
        <v>Polea</v>
      </c>
      <c r="E695" s="37" t="str">
        <f>SABADO!$C$272</f>
        <v>polea</v>
      </c>
      <c r="F695" s="46" t="str">
        <f>IF(P695="","",IFERROR(CHOOSE(VALUE(RIGHT(P695,1)),SABADO!F272,SABADO!I272,SABADO!L272,SABADO!O272,SABADO!R272),""))</f>
        <v/>
      </c>
      <c r="G695" s="47" t="str">
        <f>IF(P695="","",IFERROR(CHOOSE(VALUE(RIGHT(P695,1)),SABADO!G272,SABADO!J272,SABADO!M272,SABADO!P272,SABADO!S272),""))</f>
        <v/>
      </c>
      <c r="H695" s="48" t="str">
        <f>IF(P695="","",IFERROR(CHOOSE(VALUE(RIGHT(P695,1)),SABADO!H272,SABADO!K272,SABADO!N272,SABADO!Q272,SABADO!T272),""))</f>
        <v/>
      </c>
      <c r="I695" s="49" t="str">
        <f t="shared" si="20"/>
        <v/>
      </c>
      <c r="J695" s="50" t="str">
        <f>IF(P695="","",IFERROR(ROUND(CHOOSE(VALUE(RIGHT(P695,1)),IF(SABADO!C272="peso_corporal",IF(ISNUMBER(SABADO!E272),SABADO!E272,0)+SABADO!F272,SABADO!F272)*SABADO!G272,IF(SABADO!C272="peso_corporal",IF(ISNUMBER(SABADO!E272),SABADO!E272,0)+SABADO!I272,SABADO!I272)*SABADO!J272,IF(SABADO!C272="peso_corporal",IF(ISNUMBER(SABADO!E272),SABADO!E272,0)+SABADO!L272,SABADO!L272)*SABADO!M272,IF(SABADO!C272="peso_corporal",IF(ISNUMBER(SABADO!E272),SABADO!E272,0)+SABADO!O272,SABADO!O272)*SABADO!P272,IF(SABADO!C272="peso_corporal",IF(ISNUMBER(SABADO!E272),SABADO!E272,0)+SABADO!R272,SABADO!R272)*SABADO!S272),1),""))</f>
        <v/>
      </c>
      <c r="K695" s="51" t="str">
        <f>IF(P695="","",IFERROR(ROUND(CHOOSE(VALUE(RIGHT(P695,1)),(IF(SABADO!C272="peso_corporal",IF(ISNUMBER(SABADO!E272),SABADO!E272,0)+SABADO!F272,SABADO!F272))*(1+SABADO!G272/30),(IF(SABADO!C272="peso_corporal",IF(ISNUMBER(SABADO!E272),SABADO!E272,0)+SABADO!I272,SABADO!I272))*(1+SABADO!J272/30),(IF(SABADO!C272="peso_corporal",IF(ISNUMBER(SABADO!E272),SABADO!E272,0)+SABADO!L272,SABADO!L272))*(1+SABADO!M272/30),(IF(SABADO!C272="peso_corporal",IF(ISNUMBER(SABADO!E272),SABADO!E272,0)+SABADO!O272,SABADO!O272))*(1+SABADO!P272/30),(IF(SABADO!C272="peso_corporal",IF(ISNUMBER(SABADO!E272),SABADO!E272,0)+SABADO!R272,SABADO!R272))*(1+SABADO!S272/30)),1),""))</f>
        <v/>
      </c>
      <c r="L695" s="52">
        <f>IFERROR(SABADO!E272,"")</f>
        <v>80</v>
      </c>
      <c r="M695" s="53" t="str">
        <f>IFERROR(IF(K695="","-",IF(ISNUMBER(LOOKUP(2,1/((HISTORIAL!$O$3:$O$694=O695)*(HISTORIAL!$F$3:$F$694&lt;&gt;"")),HISTORIAL!$K$3:$K$694)),IF(K695&gt;LOOKUP(2,1/((HISTORIAL!$O$3:$O$694=O695)*(HISTORIAL!$F$3:$F$694&lt;&gt;"")),HISTORIAL!$K$3:$K$694),"^",IF(K695&lt;LOOKUP(2,1/((HISTORIAL!$O$3:$O$694=O695)*(HISTORIAL!$F$3:$F$694&lt;&gt;"")),HISTORIAL!$K$3:$K$694),"v","-")),"-")),"-")</f>
        <v>-</v>
      </c>
      <c r="N695" s="54" t="str">
        <f>IFERROR(VLOOKUP(A695,CONFIG!$A$10:$B$21,2,0),"")</f>
        <v>FUE</v>
      </c>
      <c r="O695" s="55" t="str">
        <f t="shared" si="21"/>
        <v>Crunch|Polea</v>
      </c>
      <c r="P695" s="69" t="str">
        <f>SABADO!AC272</f>
        <v/>
      </c>
    </row>
    <row r="696" spans="1:16" ht="14.1" customHeight="1">
      <c r="A696" s="37">
        <v>12</v>
      </c>
      <c r="B696" s="37" t="s">
        <v>277</v>
      </c>
      <c r="C696" s="44" t="str">
        <f>LUNES!$A$255</f>
        <v>Press Plano</v>
      </c>
      <c r="D696" s="45" t="str">
        <f>LUNES!$B$255</f>
        <v>Barra</v>
      </c>
      <c r="E696" s="37" t="str">
        <f>LUNES!$C$255</f>
        <v>disco</v>
      </c>
      <c r="F696" s="46" t="str">
        <f>IF(P696="","",IFERROR(CHOOSE(VALUE(RIGHT(P696,1)),LUNES!F255,LUNES!I255,LUNES!L255,LUNES!O255,LUNES!R255),""))</f>
        <v/>
      </c>
      <c r="G696" s="47" t="str">
        <f>IF(P696="","",IFERROR(CHOOSE(VALUE(RIGHT(P696,1)),LUNES!G255,LUNES!J255,LUNES!M255,LUNES!P255,LUNES!S255),""))</f>
        <v/>
      </c>
      <c r="H696" s="48" t="str">
        <f>IF(P696="","",IFERROR(CHOOSE(VALUE(RIGHT(P696,1)),LUNES!H255,LUNES!K255,LUNES!N255,LUNES!Q255,LUNES!T255),""))</f>
        <v/>
      </c>
      <c r="I696" s="49" t="str">
        <f t="shared" si="20"/>
        <v/>
      </c>
      <c r="J696" s="50" t="str">
        <f>IF(P696="","",IFERROR(ROUND(CHOOSE(VALUE(RIGHT(P696,1)),IF(LUNES!C255="peso_corporal",IF(ISNUMBER(LUNES!E255),LUNES!E255,0)+LUNES!F255,LUNES!F255)*LUNES!G255,IF(LUNES!C255="peso_corporal",IF(ISNUMBER(LUNES!E255),LUNES!E255,0)+LUNES!I255,LUNES!I255)*LUNES!J255,IF(LUNES!C255="peso_corporal",IF(ISNUMBER(LUNES!E255),LUNES!E255,0)+LUNES!L255,LUNES!L255)*LUNES!M255,IF(LUNES!C255="peso_corporal",IF(ISNUMBER(LUNES!E255),LUNES!E255,0)+LUNES!O255,LUNES!O255)*LUNES!P255,IF(LUNES!C255="peso_corporal",IF(ISNUMBER(LUNES!E255),LUNES!E255,0)+LUNES!R255,LUNES!R255)*LUNES!S255),1),""))</f>
        <v/>
      </c>
      <c r="K696" s="51" t="str">
        <f>IF(P696="","",IFERROR(ROUND(CHOOSE(VALUE(RIGHT(P696,1)),(IF(LUNES!C255="peso_corporal",IF(ISNUMBER(LUNES!E255),LUNES!E255,0)+LUNES!F255,LUNES!F255))*(1+LUNES!G255/30),(IF(LUNES!C255="peso_corporal",IF(ISNUMBER(LUNES!E255),LUNES!E255,0)+LUNES!I255,LUNES!I255))*(1+LUNES!J255/30),(IF(LUNES!C255="peso_corporal",IF(ISNUMBER(LUNES!E255),LUNES!E255,0)+LUNES!L255,LUNES!L255))*(1+LUNES!M255/30),(IF(LUNES!C255="peso_corporal",IF(ISNUMBER(LUNES!E255),LUNES!E255,0)+LUNES!O255,LUNES!O255))*(1+LUNES!P255/30),(IF(LUNES!C255="peso_corporal",IF(ISNUMBER(LUNES!E255),LUNES!E255,0)+LUNES!R255,LUNES!R255))*(1+LUNES!S255/30)),1),""))</f>
        <v/>
      </c>
      <c r="L696" s="52">
        <f>IFERROR(LUNES!E255,"")</f>
        <v>80</v>
      </c>
      <c r="M696" s="53" t="str">
        <f>IFERROR(IF(K696="","-",IF(ISNUMBER(LOOKUP(2,1/((HISTORIAL!$O$3:$O$695=O696)*(HISTORIAL!$F$3:$F$695&lt;&gt;"")),HISTORIAL!$K$3:$K$695)),IF(K696&gt;LOOKUP(2,1/((HISTORIAL!$O$3:$O$695=O696)*(HISTORIAL!$F$3:$F$695&lt;&gt;"")),HISTORIAL!$K$3:$K$695),"^",IF(K696&lt;LOOKUP(2,1/((HISTORIAL!$O$3:$O$695=O696)*(HISTORIAL!$F$3:$F$695&lt;&gt;"")),HISTORIAL!$K$3:$K$695),"v","-")),"-")),"-")</f>
        <v>-</v>
      </c>
      <c r="N696" s="54" t="str">
        <f>IFERROR(VLOOKUP(A696,CONFIG!$A$10:$B$21,2,0),"")</f>
        <v>DEL</v>
      </c>
      <c r="O696" s="55" t="str">
        <f t="shared" si="21"/>
        <v>Press Plano|Barra</v>
      </c>
      <c r="P696" s="69" t="str">
        <f>LUNES!AC255</f>
        <v/>
      </c>
    </row>
    <row r="697" spans="1:16" ht="14.1" customHeight="1">
      <c r="A697" s="37">
        <v>12</v>
      </c>
      <c r="B697" s="37" t="s">
        <v>277</v>
      </c>
      <c r="C697" s="44" t="str">
        <f>LUNES!$A$257</f>
        <v>Press Inclinado</v>
      </c>
      <c r="D697" s="45" t="str">
        <f>LUNES!$B$257</f>
        <v>Mancuernas</v>
      </c>
      <c r="E697" s="37" t="str">
        <f>LUNES!$C$257</f>
        <v>mancuerna</v>
      </c>
      <c r="F697" s="46" t="str">
        <f>IF(P697="","",IFERROR(CHOOSE(VALUE(RIGHT(P697,1)),LUNES!F257,LUNES!I257,LUNES!L257,LUNES!O257,LUNES!R257),""))</f>
        <v/>
      </c>
      <c r="G697" s="47" t="str">
        <f>IF(P697="","",IFERROR(CHOOSE(VALUE(RIGHT(P697,1)),LUNES!G257,LUNES!J257,LUNES!M257,LUNES!P257,LUNES!S257),""))</f>
        <v/>
      </c>
      <c r="H697" s="48" t="str">
        <f>IF(P697="","",IFERROR(CHOOSE(VALUE(RIGHT(P697,1)),LUNES!H257,LUNES!K257,LUNES!N257,LUNES!Q257,LUNES!T257),""))</f>
        <v/>
      </c>
      <c r="I697" s="49" t="str">
        <f t="shared" si="20"/>
        <v/>
      </c>
      <c r="J697" s="50" t="str">
        <f>IF(P697="","",IFERROR(ROUND(CHOOSE(VALUE(RIGHT(P697,1)),IF(LUNES!C257="peso_corporal",IF(ISNUMBER(LUNES!E257),LUNES!E257,0)+LUNES!F257,LUNES!F257)*LUNES!G257,IF(LUNES!C257="peso_corporal",IF(ISNUMBER(LUNES!E257),LUNES!E257,0)+LUNES!I257,LUNES!I257)*LUNES!J257,IF(LUNES!C257="peso_corporal",IF(ISNUMBER(LUNES!E257),LUNES!E257,0)+LUNES!L257,LUNES!L257)*LUNES!M257,IF(LUNES!C257="peso_corporal",IF(ISNUMBER(LUNES!E257),LUNES!E257,0)+LUNES!O257,LUNES!O257)*LUNES!P257,IF(LUNES!C257="peso_corporal",IF(ISNUMBER(LUNES!E257),LUNES!E257,0)+LUNES!R257,LUNES!R257)*LUNES!S257),1),""))</f>
        <v/>
      </c>
      <c r="K697" s="51" t="str">
        <f>IF(P697="","",IFERROR(ROUND(CHOOSE(VALUE(RIGHT(P697,1)),(IF(LUNES!C257="peso_corporal",IF(ISNUMBER(LUNES!E257),LUNES!E257,0)+LUNES!F257,LUNES!F257))*(1+LUNES!G257/30),(IF(LUNES!C257="peso_corporal",IF(ISNUMBER(LUNES!E257),LUNES!E257,0)+LUNES!I257,LUNES!I257))*(1+LUNES!J257/30),(IF(LUNES!C257="peso_corporal",IF(ISNUMBER(LUNES!E257),LUNES!E257,0)+LUNES!L257,LUNES!L257))*(1+LUNES!M257/30),(IF(LUNES!C257="peso_corporal",IF(ISNUMBER(LUNES!E257),LUNES!E257,0)+LUNES!O257,LUNES!O257))*(1+LUNES!P257/30),(IF(LUNES!C257="peso_corporal",IF(ISNUMBER(LUNES!E257),LUNES!E257,0)+LUNES!R257,LUNES!R257))*(1+LUNES!S257/30)),1),""))</f>
        <v/>
      </c>
      <c r="L697" s="52">
        <f>IFERROR(LUNES!E257,"")</f>
        <v>80</v>
      </c>
      <c r="M697" s="53" t="str">
        <f>IFERROR(IF(K697="","-",IF(ISNUMBER(LOOKUP(2,1/((HISTORIAL!$O$3:$O$696=O697)*(HISTORIAL!$F$3:$F$696&lt;&gt;"")),HISTORIAL!$K$3:$K$696)),IF(K697&gt;LOOKUP(2,1/((HISTORIAL!$O$3:$O$696=O697)*(HISTORIAL!$F$3:$F$696&lt;&gt;"")),HISTORIAL!$K$3:$K$696),"^",IF(K697&lt;LOOKUP(2,1/((HISTORIAL!$O$3:$O$696=O697)*(HISTORIAL!$F$3:$F$696&lt;&gt;"")),HISTORIAL!$K$3:$K$696),"v","-")),"-")),"-")</f>
        <v>-</v>
      </c>
      <c r="N697" s="54" t="str">
        <f>IFERROR(VLOOKUP(A697,CONFIG!$A$10:$B$21,2,0),"")</f>
        <v>DEL</v>
      </c>
      <c r="O697" s="55" t="str">
        <f t="shared" si="21"/>
        <v>Press Inclinado|Mancuernas</v>
      </c>
      <c r="P697" s="69" t="str">
        <f>LUNES!AC257</f>
        <v/>
      </c>
    </row>
    <row r="698" spans="1:16" ht="14.1" customHeight="1">
      <c r="A698" s="37">
        <v>12</v>
      </c>
      <c r="B698" s="37" t="s">
        <v>277</v>
      </c>
      <c r="C698" s="44" t="str">
        <f>LUNES!$A$259</f>
        <v>Fondos</v>
      </c>
      <c r="D698" s="45" t="str">
        <f>LUNES!$B$259</f>
        <v>Paralelas</v>
      </c>
      <c r="E698" s="37" t="str">
        <f>LUNES!$C$259</f>
        <v>peso_corporal</v>
      </c>
      <c r="F698" s="46" t="str">
        <f>IF(P698="","",IFERROR(CHOOSE(VALUE(RIGHT(P698,1)),LUNES!F259,LUNES!I259,LUNES!L259,LUNES!O259,LUNES!R259),""))</f>
        <v/>
      </c>
      <c r="G698" s="47" t="str">
        <f>IF(P698="","",IFERROR(CHOOSE(VALUE(RIGHT(P698,1)),LUNES!G259,LUNES!J259,LUNES!M259,LUNES!P259,LUNES!S259),""))</f>
        <v/>
      </c>
      <c r="H698" s="48" t="str">
        <f>IF(P698="","",IFERROR(CHOOSE(VALUE(RIGHT(P698,1)),LUNES!H259,LUNES!K259,LUNES!N259,LUNES!Q259,LUNES!T259),""))</f>
        <v/>
      </c>
      <c r="I698" s="49" t="str">
        <f t="shared" si="20"/>
        <v/>
      </c>
      <c r="J698" s="50" t="str">
        <f>IF(P698="","",IFERROR(ROUND(CHOOSE(VALUE(RIGHT(P698,1)),IF(LUNES!C259="peso_corporal",IF(ISNUMBER(LUNES!E259),LUNES!E259,0)+LUNES!F259,LUNES!F259)*LUNES!G259,IF(LUNES!C259="peso_corporal",IF(ISNUMBER(LUNES!E259),LUNES!E259,0)+LUNES!I259,LUNES!I259)*LUNES!J259,IF(LUNES!C259="peso_corporal",IF(ISNUMBER(LUNES!E259),LUNES!E259,0)+LUNES!L259,LUNES!L259)*LUNES!M259,IF(LUNES!C259="peso_corporal",IF(ISNUMBER(LUNES!E259),LUNES!E259,0)+LUNES!O259,LUNES!O259)*LUNES!P259,IF(LUNES!C259="peso_corporal",IF(ISNUMBER(LUNES!E259),LUNES!E259,0)+LUNES!R259,LUNES!R259)*LUNES!S259),1),""))</f>
        <v/>
      </c>
      <c r="K698" s="51" t="str">
        <f>IF(P698="","",IFERROR(ROUND(CHOOSE(VALUE(RIGHT(P698,1)),(IF(LUNES!C259="peso_corporal",IF(ISNUMBER(LUNES!E259),LUNES!E259,0)+LUNES!F259,LUNES!F259))*(1+LUNES!G259/30),(IF(LUNES!C259="peso_corporal",IF(ISNUMBER(LUNES!E259),LUNES!E259,0)+LUNES!I259,LUNES!I259))*(1+LUNES!J259/30),(IF(LUNES!C259="peso_corporal",IF(ISNUMBER(LUNES!E259),LUNES!E259,0)+LUNES!L259,LUNES!L259))*(1+LUNES!M259/30),(IF(LUNES!C259="peso_corporal",IF(ISNUMBER(LUNES!E259),LUNES!E259,0)+LUNES!O259,LUNES!O259))*(1+LUNES!P259/30),(IF(LUNES!C259="peso_corporal",IF(ISNUMBER(LUNES!E259),LUNES!E259,0)+LUNES!R259,LUNES!R259))*(1+LUNES!S259/30)),1),""))</f>
        <v/>
      </c>
      <c r="L698" s="52">
        <f>IFERROR(LUNES!E259,"")</f>
        <v>80</v>
      </c>
      <c r="M698" s="53" t="str">
        <f>IFERROR(IF(K698="","-",IF(ISNUMBER(LOOKUP(2,1/((HISTORIAL!$O$3:$O$697=O698)*(HISTORIAL!$F$3:$F$697&lt;&gt;"")),HISTORIAL!$K$3:$K$697)),IF(K698&gt;LOOKUP(2,1/((HISTORIAL!$O$3:$O$697=O698)*(HISTORIAL!$F$3:$F$697&lt;&gt;"")),HISTORIAL!$K$3:$K$697),"^",IF(K698&lt;LOOKUP(2,1/((HISTORIAL!$O$3:$O$697=O698)*(HISTORIAL!$F$3:$F$697&lt;&gt;"")),HISTORIAL!$K$3:$K$697),"v","-")),"-")),"-")</f>
        <v>-</v>
      </c>
      <c r="N698" s="54" t="str">
        <f>IFERROR(VLOOKUP(A698,CONFIG!$A$10:$B$21,2,0),"")</f>
        <v>DEL</v>
      </c>
      <c r="O698" s="55" t="str">
        <f t="shared" si="21"/>
        <v>Fondos|Paralelas</v>
      </c>
      <c r="P698" s="69" t="str">
        <f>LUNES!AC259</f>
        <v/>
      </c>
    </row>
    <row r="699" spans="1:16" ht="14.1" customHeight="1">
      <c r="A699" s="37">
        <v>12</v>
      </c>
      <c r="B699" s="37" t="s">
        <v>277</v>
      </c>
      <c r="C699" s="44" t="str">
        <f>LUNES!$A$260</f>
        <v>Aperturas</v>
      </c>
      <c r="D699" s="45" t="str">
        <f>LUNES!$B$260</f>
        <v>Polea Baja Crossover</v>
      </c>
      <c r="E699" s="37" t="str">
        <f>LUNES!$C$260</f>
        <v>--</v>
      </c>
      <c r="F699" s="46" t="str">
        <f>IF(P699="","",IFERROR(CHOOSE(VALUE(RIGHT(P699,1)),LUNES!F260,LUNES!I260,LUNES!L260,LUNES!O260,LUNES!R260),""))</f>
        <v/>
      </c>
      <c r="G699" s="47" t="str">
        <f>IF(P699="","",IFERROR(CHOOSE(VALUE(RIGHT(P699,1)),LUNES!G260,LUNES!J260,LUNES!M260,LUNES!P260,LUNES!S260),""))</f>
        <v/>
      </c>
      <c r="H699" s="48" t="str">
        <f>IF(P699="","",IFERROR(CHOOSE(VALUE(RIGHT(P699,1)),LUNES!H260,LUNES!K260,LUNES!N260,LUNES!Q260,LUNES!T260),""))</f>
        <v/>
      </c>
      <c r="I699" s="49" t="str">
        <f t="shared" si="20"/>
        <v/>
      </c>
      <c r="J699" s="50" t="str">
        <f>IF(P699="","",IFERROR(ROUND(CHOOSE(VALUE(RIGHT(P699,1)),IF(LUNES!C260="peso_corporal",IF(ISNUMBER(LUNES!E260),LUNES!E260,0)+LUNES!F260,LUNES!F260)*LUNES!G260,IF(LUNES!C260="peso_corporal",IF(ISNUMBER(LUNES!E260),LUNES!E260,0)+LUNES!I260,LUNES!I260)*LUNES!J260,IF(LUNES!C260="peso_corporal",IF(ISNUMBER(LUNES!E260),LUNES!E260,0)+LUNES!L260,LUNES!L260)*LUNES!M260,IF(LUNES!C260="peso_corporal",IF(ISNUMBER(LUNES!E260),LUNES!E260,0)+LUNES!O260,LUNES!O260)*LUNES!P260,IF(LUNES!C260="peso_corporal",IF(ISNUMBER(LUNES!E260),LUNES!E260,0)+LUNES!R260,LUNES!R260)*LUNES!S260),1),""))</f>
        <v/>
      </c>
      <c r="K699" s="51" t="str">
        <f>IF(P699="","",IFERROR(ROUND(CHOOSE(VALUE(RIGHT(P699,1)),(IF(LUNES!C260="peso_corporal",IF(ISNUMBER(LUNES!E260),LUNES!E260,0)+LUNES!F260,LUNES!F260))*(1+LUNES!G260/30),(IF(LUNES!C260="peso_corporal",IF(ISNUMBER(LUNES!E260),LUNES!E260,0)+LUNES!I260,LUNES!I260))*(1+LUNES!J260/30),(IF(LUNES!C260="peso_corporal",IF(ISNUMBER(LUNES!E260),LUNES!E260,0)+LUNES!L260,LUNES!L260))*(1+LUNES!M260/30),(IF(LUNES!C260="peso_corporal",IF(ISNUMBER(LUNES!E260),LUNES!E260,0)+LUNES!O260,LUNES!O260))*(1+LUNES!P260/30),(IF(LUNES!C260="peso_corporal",IF(ISNUMBER(LUNES!E260),LUNES!E260,0)+LUNES!R260,LUNES!R260))*(1+LUNES!S260/30)),1),""))</f>
        <v/>
      </c>
      <c r="L699" s="52">
        <f>IFERROR(LUNES!E260,"")</f>
        <v>80</v>
      </c>
      <c r="M699" s="53" t="str">
        <f>IFERROR(IF(K699="","-",IF(ISNUMBER(LOOKUP(2,1/((HISTORIAL!$O$3:$O$698=O699)*(HISTORIAL!$F$3:$F$698&lt;&gt;"")),HISTORIAL!$K$3:$K$698)),IF(K699&gt;LOOKUP(2,1/((HISTORIAL!$O$3:$O$698=O699)*(HISTORIAL!$F$3:$F$698&lt;&gt;"")),HISTORIAL!$K$3:$K$698),"^",IF(K699&lt;LOOKUP(2,1/((HISTORIAL!$O$3:$O$698=O699)*(HISTORIAL!$F$3:$F$698&lt;&gt;"")),HISTORIAL!$K$3:$K$698),"v","-")),"-")),"-")</f>
        <v>-</v>
      </c>
      <c r="N699" s="54" t="str">
        <f>IFERROR(VLOOKUP(A699,CONFIG!$A$10:$B$21,2,0),"")</f>
        <v>DEL</v>
      </c>
      <c r="O699" s="55" t="str">
        <f t="shared" si="21"/>
        <v>Aperturas|Polea Baja Crossover</v>
      </c>
      <c r="P699" s="69" t="str">
        <f>LUNES!AC260</f>
        <v/>
      </c>
    </row>
    <row r="700" spans="1:16" ht="14.1" customHeight="1">
      <c r="A700" s="37">
        <v>12</v>
      </c>
      <c r="B700" s="37" t="s">
        <v>277</v>
      </c>
      <c r="C700" s="44" t="str">
        <f>LUNES!$A$261</f>
        <v>Aperturas</v>
      </c>
      <c r="D700" s="45" t="str">
        <f>LUNES!$B$261</f>
        <v>Pec Deck Maquina</v>
      </c>
      <c r="E700" s="37" t="str">
        <f>LUNES!$C$261</f>
        <v>--</v>
      </c>
      <c r="F700" s="46" t="str">
        <f>IF(P700="","",IFERROR(CHOOSE(VALUE(RIGHT(P700,1)),LUNES!F261,LUNES!I261,LUNES!L261,LUNES!O261,LUNES!R261),""))</f>
        <v/>
      </c>
      <c r="G700" s="47" t="str">
        <f>IF(P700="","",IFERROR(CHOOSE(VALUE(RIGHT(P700,1)),LUNES!G261,LUNES!J261,LUNES!M261,LUNES!P261,LUNES!S261),""))</f>
        <v/>
      </c>
      <c r="H700" s="48" t="str">
        <f>IF(P700="","",IFERROR(CHOOSE(VALUE(RIGHT(P700,1)),LUNES!H261,LUNES!K261,LUNES!N261,LUNES!Q261,LUNES!T261),""))</f>
        <v/>
      </c>
      <c r="I700" s="49" t="str">
        <f t="shared" si="20"/>
        <v/>
      </c>
      <c r="J700" s="50" t="str">
        <f>IF(P700="","",IFERROR(ROUND(CHOOSE(VALUE(RIGHT(P700,1)),IF(LUNES!C261="peso_corporal",IF(ISNUMBER(LUNES!E261),LUNES!E261,0)+LUNES!F261,LUNES!F261)*LUNES!G261,IF(LUNES!C261="peso_corporal",IF(ISNUMBER(LUNES!E261),LUNES!E261,0)+LUNES!I261,LUNES!I261)*LUNES!J261,IF(LUNES!C261="peso_corporal",IF(ISNUMBER(LUNES!E261),LUNES!E261,0)+LUNES!L261,LUNES!L261)*LUNES!M261,IF(LUNES!C261="peso_corporal",IF(ISNUMBER(LUNES!E261),LUNES!E261,0)+LUNES!O261,LUNES!O261)*LUNES!P261,IF(LUNES!C261="peso_corporal",IF(ISNUMBER(LUNES!E261),LUNES!E261,0)+LUNES!R261,LUNES!R261)*LUNES!S261),1),""))</f>
        <v/>
      </c>
      <c r="K700" s="51" t="str">
        <f>IF(P700="","",IFERROR(ROUND(CHOOSE(VALUE(RIGHT(P700,1)),(IF(LUNES!C261="peso_corporal",IF(ISNUMBER(LUNES!E261),LUNES!E261,0)+LUNES!F261,LUNES!F261))*(1+LUNES!G261/30),(IF(LUNES!C261="peso_corporal",IF(ISNUMBER(LUNES!E261),LUNES!E261,0)+LUNES!I261,LUNES!I261))*(1+LUNES!J261/30),(IF(LUNES!C261="peso_corporal",IF(ISNUMBER(LUNES!E261),LUNES!E261,0)+LUNES!L261,LUNES!L261))*(1+LUNES!M261/30),(IF(LUNES!C261="peso_corporal",IF(ISNUMBER(LUNES!E261),LUNES!E261,0)+LUNES!O261,LUNES!O261))*(1+LUNES!P261/30),(IF(LUNES!C261="peso_corporal",IF(ISNUMBER(LUNES!E261),LUNES!E261,0)+LUNES!R261,LUNES!R261))*(1+LUNES!S261/30)),1),""))</f>
        <v/>
      </c>
      <c r="L700" s="52">
        <f>IFERROR(LUNES!E261,"")</f>
        <v>80</v>
      </c>
      <c r="M700" s="53" t="str">
        <f>IFERROR(IF(K700="","-",IF(ISNUMBER(LOOKUP(2,1/((HISTORIAL!$O$3:$O$699=O700)*(HISTORIAL!$F$3:$F$699&lt;&gt;"")),HISTORIAL!$K$3:$K$699)),IF(K700&gt;LOOKUP(2,1/((HISTORIAL!$O$3:$O$699=O700)*(HISTORIAL!$F$3:$F$699&lt;&gt;"")),HISTORIAL!$K$3:$K$699),"^",IF(K700&lt;LOOKUP(2,1/((HISTORIAL!$O$3:$O$699=O700)*(HISTORIAL!$F$3:$F$699&lt;&gt;"")),HISTORIAL!$K$3:$K$699),"v","-")),"-")),"-")</f>
        <v>-</v>
      </c>
      <c r="N700" s="54" t="str">
        <f>IFERROR(VLOOKUP(A700,CONFIG!$A$10:$B$21,2,0),"")</f>
        <v>DEL</v>
      </c>
      <c r="O700" s="55" t="str">
        <f t="shared" si="21"/>
        <v>Aperturas|Pec Deck Maquina</v>
      </c>
      <c r="P700" s="69" t="str">
        <f>LUNES!AC261</f>
        <v/>
      </c>
    </row>
    <row r="701" spans="1:16" ht="14.1" customHeight="1">
      <c r="A701" s="37">
        <v>12</v>
      </c>
      <c r="B701" s="37" t="s">
        <v>277</v>
      </c>
      <c r="C701" s="44" t="str">
        <f>LUNES!$A$263</f>
        <v>Elevaciones Laterales</v>
      </c>
      <c r="D701" s="45" t="str">
        <f>LUNES!$B$263</f>
        <v>Cable Polea Individual</v>
      </c>
      <c r="E701" s="37" t="str">
        <f>LUNES!$C$263</f>
        <v>polea</v>
      </c>
      <c r="F701" s="46" t="str">
        <f>IF(P701="","",IFERROR(CHOOSE(VALUE(RIGHT(P701,1)),LUNES!F263,LUNES!I263,LUNES!L263,LUNES!O263,LUNES!R263),""))</f>
        <v/>
      </c>
      <c r="G701" s="47" t="str">
        <f>IF(P701="","",IFERROR(CHOOSE(VALUE(RIGHT(P701,1)),LUNES!G263,LUNES!J263,LUNES!M263,LUNES!P263,LUNES!S263),""))</f>
        <v/>
      </c>
      <c r="H701" s="48" t="str">
        <f>IF(P701="","",IFERROR(CHOOSE(VALUE(RIGHT(P701,1)),LUNES!H263,LUNES!K263,LUNES!N263,LUNES!Q263,LUNES!T263),""))</f>
        <v/>
      </c>
      <c r="I701" s="49" t="str">
        <f t="shared" si="20"/>
        <v/>
      </c>
      <c r="J701" s="50" t="str">
        <f>IF(P701="","",IFERROR(ROUND(CHOOSE(VALUE(RIGHT(P701,1)),IF(LUNES!C263="peso_corporal",IF(ISNUMBER(LUNES!E263),LUNES!E263,0)+LUNES!F263,LUNES!F263)*LUNES!G263,IF(LUNES!C263="peso_corporal",IF(ISNUMBER(LUNES!E263),LUNES!E263,0)+LUNES!I263,LUNES!I263)*LUNES!J263,IF(LUNES!C263="peso_corporal",IF(ISNUMBER(LUNES!E263),LUNES!E263,0)+LUNES!L263,LUNES!L263)*LUNES!M263,IF(LUNES!C263="peso_corporal",IF(ISNUMBER(LUNES!E263),LUNES!E263,0)+LUNES!O263,LUNES!O263)*LUNES!P263,IF(LUNES!C263="peso_corporal",IF(ISNUMBER(LUNES!E263),LUNES!E263,0)+LUNES!R263,LUNES!R263)*LUNES!S263),1),""))</f>
        <v/>
      </c>
      <c r="K701" s="51" t="str">
        <f>IF(P701="","",IFERROR(ROUND(CHOOSE(VALUE(RIGHT(P701,1)),(IF(LUNES!C263="peso_corporal",IF(ISNUMBER(LUNES!E263),LUNES!E263,0)+LUNES!F263,LUNES!F263))*(1+LUNES!G263/30),(IF(LUNES!C263="peso_corporal",IF(ISNUMBER(LUNES!E263),LUNES!E263,0)+LUNES!I263,LUNES!I263))*(1+LUNES!J263/30),(IF(LUNES!C263="peso_corporal",IF(ISNUMBER(LUNES!E263),LUNES!E263,0)+LUNES!L263,LUNES!L263))*(1+LUNES!M263/30),(IF(LUNES!C263="peso_corporal",IF(ISNUMBER(LUNES!E263),LUNES!E263,0)+LUNES!O263,LUNES!O263))*(1+LUNES!P263/30),(IF(LUNES!C263="peso_corporal",IF(ISNUMBER(LUNES!E263),LUNES!E263,0)+LUNES!R263,LUNES!R263))*(1+LUNES!S263/30)),1),""))</f>
        <v/>
      </c>
      <c r="L701" s="52">
        <f>IFERROR(LUNES!E263,"")</f>
        <v>80</v>
      </c>
      <c r="M701" s="53" t="str">
        <f>IFERROR(IF(K701="","-",IF(ISNUMBER(LOOKUP(2,1/((HISTORIAL!$O$3:$O$700=O701)*(HISTORIAL!$F$3:$F$700&lt;&gt;"")),HISTORIAL!$K$3:$K$700)),IF(K701&gt;LOOKUP(2,1/((HISTORIAL!$O$3:$O$700=O701)*(HISTORIAL!$F$3:$F$700&lt;&gt;"")),HISTORIAL!$K$3:$K$700),"^",IF(K701&lt;LOOKUP(2,1/((HISTORIAL!$O$3:$O$700=O701)*(HISTORIAL!$F$3:$F$700&lt;&gt;"")),HISTORIAL!$K$3:$K$700),"v","-")),"-")),"-")</f>
        <v>-</v>
      </c>
      <c r="N701" s="54" t="str">
        <f>IFERROR(VLOOKUP(A701,CONFIG!$A$10:$B$21,2,0),"")</f>
        <v>DEL</v>
      </c>
      <c r="O701" s="55" t="str">
        <f t="shared" si="21"/>
        <v>Elevaciones Laterales|Cable Polea Individual</v>
      </c>
      <c r="P701" s="69" t="str">
        <f>LUNES!AC263</f>
        <v/>
      </c>
    </row>
    <row r="702" spans="1:16" ht="14.1" customHeight="1">
      <c r="A702" s="37">
        <v>12</v>
      </c>
      <c r="B702" s="37" t="s">
        <v>277</v>
      </c>
      <c r="C702" s="44" t="str">
        <f>LUNES!$A$264</f>
        <v>Press Militar</v>
      </c>
      <c r="D702" s="45" t="str">
        <f>LUNES!$B$264</f>
        <v>Mancuernas Sentado</v>
      </c>
      <c r="E702" s="37" t="str">
        <f>LUNES!$C$264</f>
        <v>mancuerna</v>
      </c>
      <c r="F702" s="46" t="str">
        <f>IF(P702="","",IFERROR(CHOOSE(VALUE(RIGHT(P702,1)),LUNES!F264,LUNES!I264,LUNES!L264,LUNES!O264,LUNES!R264),""))</f>
        <v/>
      </c>
      <c r="G702" s="47" t="str">
        <f>IF(P702="","",IFERROR(CHOOSE(VALUE(RIGHT(P702,1)),LUNES!G264,LUNES!J264,LUNES!M264,LUNES!P264,LUNES!S264),""))</f>
        <v/>
      </c>
      <c r="H702" s="48" t="str">
        <f>IF(P702="","",IFERROR(CHOOSE(VALUE(RIGHT(P702,1)),LUNES!H264,LUNES!K264,LUNES!N264,LUNES!Q264,LUNES!T264),""))</f>
        <v/>
      </c>
      <c r="I702" s="49" t="str">
        <f t="shared" si="20"/>
        <v/>
      </c>
      <c r="J702" s="50" t="str">
        <f>IF(P702="","",IFERROR(ROUND(CHOOSE(VALUE(RIGHT(P702,1)),IF(LUNES!C264="peso_corporal",IF(ISNUMBER(LUNES!E264),LUNES!E264,0)+LUNES!F264,LUNES!F264)*LUNES!G264,IF(LUNES!C264="peso_corporal",IF(ISNUMBER(LUNES!E264),LUNES!E264,0)+LUNES!I264,LUNES!I264)*LUNES!J264,IF(LUNES!C264="peso_corporal",IF(ISNUMBER(LUNES!E264),LUNES!E264,0)+LUNES!L264,LUNES!L264)*LUNES!M264,IF(LUNES!C264="peso_corporal",IF(ISNUMBER(LUNES!E264),LUNES!E264,0)+LUNES!O264,LUNES!O264)*LUNES!P264,IF(LUNES!C264="peso_corporal",IF(ISNUMBER(LUNES!E264),LUNES!E264,0)+LUNES!R264,LUNES!R264)*LUNES!S264),1),""))</f>
        <v/>
      </c>
      <c r="K702" s="51" t="str">
        <f>IF(P702="","",IFERROR(ROUND(CHOOSE(VALUE(RIGHT(P702,1)),(IF(LUNES!C264="peso_corporal",IF(ISNUMBER(LUNES!E264),LUNES!E264,0)+LUNES!F264,LUNES!F264))*(1+LUNES!G264/30),(IF(LUNES!C264="peso_corporal",IF(ISNUMBER(LUNES!E264),LUNES!E264,0)+LUNES!I264,LUNES!I264))*(1+LUNES!J264/30),(IF(LUNES!C264="peso_corporal",IF(ISNUMBER(LUNES!E264),LUNES!E264,0)+LUNES!L264,LUNES!L264))*(1+LUNES!M264/30),(IF(LUNES!C264="peso_corporal",IF(ISNUMBER(LUNES!E264),LUNES!E264,0)+LUNES!O264,LUNES!O264))*(1+LUNES!P264/30),(IF(LUNES!C264="peso_corporal",IF(ISNUMBER(LUNES!E264),LUNES!E264,0)+LUNES!R264,LUNES!R264))*(1+LUNES!S264/30)),1),""))</f>
        <v/>
      </c>
      <c r="L702" s="52">
        <f>IFERROR(LUNES!E264,"")</f>
        <v>80</v>
      </c>
      <c r="M702" s="53" t="str">
        <f>IFERROR(IF(K702="","-",IF(ISNUMBER(LOOKUP(2,1/((HISTORIAL!$O$3:$O$701=O702)*(HISTORIAL!$F$3:$F$701&lt;&gt;"")),HISTORIAL!$K$3:$K$701)),IF(K702&gt;LOOKUP(2,1/((HISTORIAL!$O$3:$O$701=O702)*(HISTORIAL!$F$3:$F$701&lt;&gt;"")),HISTORIAL!$K$3:$K$701),"^",IF(K702&lt;LOOKUP(2,1/((HISTORIAL!$O$3:$O$701=O702)*(HISTORIAL!$F$3:$F$701&lt;&gt;"")),HISTORIAL!$K$3:$K$701),"v","-")),"-")),"-")</f>
        <v>-</v>
      </c>
      <c r="N702" s="54" t="str">
        <f>IFERROR(VLOOKUP(A702,CONFIG!$A$10:$B$21,2,0),"")</f>
        <v>DEL</v>
      </c>
      <c r="O702" s="55" t="str">
        <f t="shared" si="21"/>
        <v>Press Militar|Mancuernas Sentado</v>
      </c>
      <c r="P702" s="69" t="str">
        <f>LUNES!AC264</f>
        <v/>
      </c>
    </row>
    <row r="703" spans="1:16" ht="14.1" customHeight="1">
      <c r="A703" s="37">
        <v>12</v>
      </c>
      <c r="B703" s="37" t="s">
        <v>277</v>
      </c>
      <c r="C703" s="44" t="str">
        <f>LUNES!$A$266</f>
        <v>Extension Triceps</v>
      </c>
      <c r="D703" s="45" t="str">
        <f>LUNES!$B$266</f>
        <v>Press Neutro Polea Individual</v>
      </c>
      <c r="E703" s="37" t="str">
        <f>LUNES!$C$266</f>
        <v>--</v>
      </c>
      <c r="F703" s="46" t="str">
        <f>IF(P703="","",IFERROR(CHOOSE(VALUE(RIGHT(P703,1)),LUNES!F266,LUNES!I266,LUNES!L266,LUNES!O266,LUNES!R266),""))</f>
        <v/>
      </c>
      <c r="G703" s="47" t="str">
        <f>IF(P703="","",IFERROR(CHOOSE(VALUE(RIGHT(P703,1)),LUNES!G266,LUNES!J266,LUNES!M266,LUNES!P266,LUNES!S266),""))</f>
        <v/>
      </c>
      <c r="H703" s="48" t="str">
        <f>IF(P703="","",IFERROR(CHOOSE(VALUE(RIGHT(P703,1)),LUNES!H266,LUNES!K266,LUNES!N266,LUNES!Q266,LUNES!T266),""))</f>
        <v/>
      </c>
      <c r="I703" s="49" t="str">
        <f t="shared" si="20"/>
        <v/>
      </c>
      <c r="J703" s="50" t="str">
        <f>IF(P703="","",IFERROR(ROUND(CHOOSE(VALUE(RIGHT(P703,1)),IF(LUNES!C266="peso_corporal",IF(ISNUMBER(LUNES!E266),LUNES!E266,0)+LUNES!F266,LUNES!F266)*LUNES!G266,IF(LUNES!C266="peso_corporal",IF(ISNUMBER(LUNES!E266),LUNES!E266,0)+LUNES!I266,LUNES!I266)*LUNES!J266,IF(LUNES!C266="peso_corporal",IF(ISNUMBER(LUNES!E266),LUNES!E266,0)+LUNES!L266,LUNES!L266)*LUNES!M266,IF(LUNES!C266="peso_corporal",IF(ISNUMBER(LUNES!E266),LUNES!E266,0)+LUNES!O266,LUNES!O266)*LUNES!P266,IF(LUNES!C266="peso_corporal",IF(ISNUMBER(LUNES!E266),LUNES!E266,0)+LUNES!R266,LUNES!R266)*LUNES!S266),1),""))</f>
        <v/>
      </c>
      <c r="K703" s="51" t="str">
        <f>IF(P703="","",IFERROR(ROUND(CHOOSE(VALUE(RIGHT(P703,1)),(IF(LUNES!C266="peso_corporal",IF(ISNUMBER(LUNES!E266),LUNES!E266,0)+LUNES!F266,LUNES!F266))*(1+LUNES!G266/30),(IF(LUNES!C266="peso_corporal",IF(ISNUMBER(LUNES!E266),LUNES!E266,0)+LUNES!I266,LUNES!I266))*(1+LUNES!J266/30),(IF(LUNES!C266="peso_corporal",IF(ISNUMBER(LUNES!E266),LUNES!E266,0)+LUNES!L266,LUNES!L266))*(1+LUNES!M266/30),(IF(LUNES!C266="peso_corporal",IF(ISNUMBER(LUNES!E266),LUNES!E266,0)+LUNES!O266,LUNES!O266))*(1+LUNES!P266/30),(IF(LUNES!C266="peso_corporal",IF(ISNUMBER(LUNES!E266),LUNES!E266,0)+LUNES!R266,LUNES!R266))*(1+LUNES!S266/30)),1),""))</f>
        <v/>
      </c>
      <c r="L703" s="52">
        <f>IFERROR(LUNES!E266,"")</f>
        <v>80</v>
      </c>
      <c r="M703" s="53" t="str">
        <f>IFERROR(IF(K703="","-",IF(ISNUMBER(LOOKUP(2,1/((HISTORIAL!$O$3:$O$702=O703)*(HISTORIAL!$F$3:$F$702&lt;&gt;"")),HISTORIAL!$K$3:$K$702)),IF(K703&gt;LOOKUP(2,1/((HISTORIAL!$O$3:$O$702=O703)*(HISTORIAL!$F$3:$F$702&lt;&gt;"")),HISTORIAL!$K$3:$K$702),"^",IF(K703&lt;LOOKUP(2,1/((HISTORIAL!$O$3:$O$702=O703)*(HISTORIAL!$F$3:$F$702&lt;&gt;"")),HISTORIAL!$K$3:$K$702),"v","-")),"-")),"-")</f>
        <v>-</v>
      </c>
      <c r="N703" s="54" t="str">
        <f>IFERROR(VLOOKUP(A703,CONFIG!$A$10:$B$21,2,0),"")</f>
        <v>DEL</v>
      </c>
      <c r="O703" s="55" t="str">
        <f t="shared" si="21"/>
        <v>Extension Triceps|Press Neutro Polea Individual</v>
      </c>
      <c r="P703" s="69" t="str">
        <f>LUNES!AC266</f>
        <v/>
      </c>
    </row>
    <row r="704" spans="1:16" ht="14.1" customHeight="1">
      <c r="A704" s="37">
        <v>12</v>
      </c>
      <c r="B704" s="37" t="s">
        <v>277</v>
      </c>
      <c r="C704" s="44" t="str">
        <f>LUNES!$A$268</f>
        <v>Extension Cuadriceps</v>
      </c>
      <c r="D704" s="45" t="str">
        <f>LUNES!$B$268</f>
        <v>Vasto Externo</v>
      </c>
      <c r="E704" s="37" t="str">
        <f>LUNES!$C$268</f>
        <v>--</v>
      </c>
      <c r="F704" s="46" t="str">
        <f>IF(P704="","",IFERROR(CHOOSE(VALUE(RIGHT(P704,1)),LUNES!F268,LUNES!I268,LUNES!L268,LUNES!O268,LUNES!R268),""))</f>
        <v/>
      </c>
      <c r="G704" s="47" t="str">
        <f>IF(P704="","",IFERROR(CHOOSE(VALUE(RIGHT(P704,1)),LUNES!G268,LUNES!J268,LUNES!M268,LUNES!P268,LUNES!S268),""))</f>
        <v/>
      </c>
      <c r="H704" s="48" t="str">
        <f>IF(P704="","",IFERROR(CHOOSE(VALUE(RIGHT(P704,1)),LUNES!H268,LUNES!K268,LUNES!N268,LUNES!Q268,LUNES!T268),""))</f>
        <v/>
      </c>
      <c r="I704" s="49" t="str">
        <f t="shared" si="20"/>
        <v/>
      </c>
      <c r="J704" s="50" t="str">
        <f>IF(P704="","",IFERROR(ROUND(CHOOSE(VALUE(RIGHT(P704,1)),IF(LUNES!C268="peso_corporal",IF(ISNUMBER(LUNES!E268),LUNES!E268,0)+LUNES!F268,LUNES!F268)*LUNES!G268,IF(LUNES!C268="peso_corporal",IF(ISNUMBER(LUNES!E268),LUNES!E268,0)+LUNES!I268,LUNES!I268)*LUNES!J268,IF(LUNES!C268="peso_corporal",IF(ISNUMBER(LUNES!E268),LUNES!E268,0)+LUNES!L268,LUNES!L268)*LUNES!M268,IF(LUNES!C268="peso_corporal",IF(ISNUMBER(LUNES!E268),LUNES!E268,0)+LUNES!O268,LUNES!O268)*LUNES!P268,IF(LUNES!C268="peso_corporal",IF(ISNUMBER(LUNES!E268),LUNES!E268,0)+LUNES!R268,LUNES!R268)*LUNES!S268),1),""))</f>
        <v/>
      </c>
      <c r="K704" s="51" t="str">
        <f>IF(P704="","",IFERROR(ROUND(CHOOSE(VALUE(RIGHT(P704,1)),(IF(LUNES!C268="peso_corporal",IF(ISNUMBER(LUNES!E268),LUNES!E268,0)+LUNES!F268,LUNES!F268))*(1+LUNES!G268/30),(IF(LUNES!C268="peso_corporal",IF(ISNUMBER(LUNES!E268),LUNES!E268,0)+LUNES!I268,LUNES!I268))*(1+LUNES!J268/30),(IF(LUNES!C268="peso_corporal",IF(ISNUMBER(LUNES!E268),LUNES!E268,0)+LUNES!L268,LUNES!L268))*(1+LUNES!M268/30),(IF(LUNES!C268="peso_corporal",IF(ISNUMBER(LUNES!E268),LUNES!E268,0)+LUNES!O268,LUNES!O268))*(1+LUNES!P268/30),(IF(LUNES!C268="peso_corporal",IF(ISNUMBER(LUNES!E268),LUNES!E268,0)+LUNES!R268,LUNES!R268))*(1+LUNES!S268/30)),1),""))</f>
        <v/>
      </c>
      <c r="L704" s="52">
        <f>IFERROR(LUNES!E268,"")</f>
        <v>80</v>
      </c>
      <c r="M704" s="53" t="str">
        <f>IFERROR(IF(K704="","-",IF(ISNUMBER(LOOKUP(2,1/((HISTORIAL!$O$3:$O$703=O704)*(HISTORIAL!$F$3:$F$703&lt;&gt;"")),HISTORIAL!$K$3:$K$703)),IF(K704&gt;LOOKUP(2,1/((HISTORIAL!$O$3:$O$703=O704)*(HISTORIAL!$F$3:$F$703&lt;&gt;"")),HISTORIAL!$K$3:$K$703),"^",IF(K704&lt;LOOKUP(2,1/((HISTORIAL!$O$3:$O$703=O704)*(HISTORIAL!$F$3:$F$703&lt;&gt;"")),HISTORIAL!$K$3:$K$703),"v","-")),"-")),"-")</f>
        <v>-</v>
      </c>
      <c r="N704" s="54" t="str">
        <f>IFERROR(VLOOKUP(A704,CONFIG!$A$10:$B$21,2,0),"")</f>
        <v>DEL</v>
      </c>
      <c r="O704" s="55" t="str">
        <f t="shared" si="21"/>
        <v>Extension Cuadriceps|Vasto Externo</v>
      </c>
      <c r="P704" s="69" t="str">
        <f>LUNES!AC268</f>
        <v/>
      </c>
    </row>
    <row r="705" spans="1:16" ht="14.1" customHeight="1">
      <c r="A705" s="37">
        <v>12</v>
      </c>
      <c r="B705" s="37" t="s">
        <v>277</v>
      </c>
      <c r="C705" s="44" t="str">
        <f>LUNES!$A$270</f>
        <v>Curl Biceps</v>
      </c>
      <c r="D705" s="45" t="str">
        <f>LUNES!$B$270</f>
        <v>Inclinado Banco Mancuernas</v>
      </c>
      <c r="E705" s="37" t="str">
        <f>LUNES!$C$270</f>
        <v>mancuerna</v>
      </c>
      <c r="F705" s="46" t="str">
        <f>IF(P705="","",IFERROR(CHOOSE(VALUE(RIGHT(P705,1)),LUNES!F270,LUNES!I270,LUNES!L270,LUNES!O270,LUNES!R270),""))</f>
        <v/>
      </c>
      <c r="G705" s="47" t="str">
        <f>IF(P705="","",IFERROR(CHOOSE(VALUE(RIGHT(P705,1)),LUNES!G270,LUNES!J270,LUNES!M270,LUNES!P270,LUNES!S270),""))</f>
        <v/>
      </c>
      <c r="H705" s="48" t="str">
        <f>IF(P705="","",IFERROR(CHOOSE(VALUE(RIGHT(P705,1)),LUNES!H270,LUNES!K270,LUNES!N270,LUNES!Q270,LUNES!T270),""))</f>
        <v/>
      </c>
      <c r="I705" s="49" t="str">
        <f t="shared" si="20"/>
        <v/>
      </c>
      <c r="J705" s="50" t="str">
        <f>IF(P705="","",IFERROR(ROUND(CHOOSE(VALUE(RIGHT(P705,1)),IF(LUNES!C270="peso_corporal",IF(ISNUMBER(LUNES!E270),LUNES!E270,0)+LUNES!F270,LUNES!F270)*LUNES!G270,IF(LUNES!C270="peso_corporal",IF(ISNUMBER(LUNES!E270),LUNES!E270,0)+LUNES!I270,LUNES!I270)*LUNES!J270,IF(LUNES!C270="peso_corporal",IF(ISNUMBER(LUNES!E270),LUNES!E270,0)+LUNES!L270,LUNES!L270)*LUNES!M270,IF(LUNES!C270="peso_corporal",IF(ISNUMBER(LUNES!E270),LUNES!E270,0)+LUNES!O270,LUNES!O270)*LUNES!P270,IF(LUNES!C270="peso_corporal",IF(ISNUMBER(LUNES!E270),LUNES!E270,0)+LUNES!R270,LUNES!R270)*LUNES!S270),1),""))</f>
        <v/>
      </c>
      <c r="K705" s="51" t="str">
        <f>IF(P705="","",IFERROR(ROUND(CHOOSE(VALUE(RIGHT(P705,1)),(IF(LUNES!C270="peso_corporal",IF(ISNUMBER(LUNES!E270),LUNES!E270,0)+LUNES!F270,LUNES!F270))*(1+LUNES!G270/30),(IF(LUNES!C270="peso_corporal",IF(ISNUMBER(LUNES!E270),LUNES!E270,0)+LUNES!I270,LUNES!I270))*(1+LUNES!J270/30),(IF(LUNES!C270="peso_corporal",IF(ISNUMBER(LUNES!E270),LUNES!E270,0)+LUNES!L270,LUNES!L270))*(1+LUNES!M270/30),(IF(LUNES!C270="peso_corporal",IF(ISNUMBER(LUNES!E270),LUNES!E270,0)+LUNES!O270,LUNES!O270))*(1+LUNES!P270/30),(IF(LUNES!C270="peso_corporal",IF(ISNUMBER(LUNES!E270),LUNES!E270,0)+LUNES!R270,LUNES!R270))*(1+LUNES!S270/30)),1),""))</f>
        <v/>
      </c>
      <c r="L705" s="52">
        <f>IFERROR(LUNES!E270,"")</f>
        <v>80</v>
      </c>
      <c r="M705" s="53" t="str">
        <f>IFERROR(IF(K705="","-",IF(ISNUMBER(LOOKUP(2,1/((HISTORIAL!$O$3:$O$704=O705)*(HISTORIAL!$F$3:$F$704&lt;&gt;"")),HISTORIAL!$K$3:$K$704)),IF(K705&gt;LOOKUP(2,1/((HISTORIAL!$O$3:$O$704=O705)*(HISTORIAL!$F$3:$F$704&lt;&gt;"")),HISTORIAL!$K$3:$K$704),"^",IF(K705&lt;LOOKUP(2,1/((HISTORIAL!$O$3:$O$704=O705)*(HISTORIAL!$F$3:$F$704&lt;&gt;"")),HISTORIAL!$K$3:$K$704),"v","-")),"-")),"-")</f>
        <v>-</v>
      </c>
      <c r="N705" s="54" t="str">
        <f>IFERROR(VLOOKUP(A705,CONFIG!$A$10:$B$21,2,0),"")</f>
        <v>DEL</v>
      </c>
      <c r="O705" s="55" t="str">
        <f t="shared" si="21"/>
        <v>Curl Biceps|Inclinado Banco Mancuernas</v>
      </c>
      <c r="P705" s="69" t="str">
        <f>LUNES!AC270</f>
        <v/>
      </c>
    </row>
    <row r="706" spans="1:16" ht="14.1" customHeight="1">
      <c r="A706" s="37">
        <v>12</v>
      </c>
      <c r="B706" s="37" t="s">
        <v>277</v>
      </c>
      <c r="C706" s="44" t="str">
        <f>LUNES!$A$272</f>
        <v>Crunch</v>
      </c>
      <c r="D706" s="45" t="str">
        <f>LUNES!$B$272</f>
        <v>Polea</v>
      </c>
      <c r="E706" s="37" t="str">
        <f>LUNES!$C$272</f>
        <v>polea</v>
      </c>
      <c r="F706" s="46" t="str">
        <f>IF(P706="","",IFERROR(CHOOSE(VALUE(RIGHT(P706,1)),LUNES!F272,LUNES!I272,LUNES!L272,LUNES!O272,LUNES!R272),""))</f>
        <v/>
      </c>
      <c r="G706" s="47" t="str">
        <f>IF(P706="","",IFERROR(CHOOSE(VALUE(RIGHT(P706,1)),LUNES!G272,LUNES!J272,LUNES!M272,LUNES!P272,LUNES!S272),""))</f>
        <v/>
      </c>
      <c r="H706" s="48" t="str">
        <f>IF(P706="","",IFERROR(CHOOSE(VALUE(RIGHT(P706,1)),LUNES!H272,LUNES!K272,LUNES!N272,LUNES!Q272,LUNES!T272),""))</f>
        <v/>
      </c>
      <c r="I706" s="49" t="str">
        <f t="shared" si="20"/>
        <v/>
      </c>
      <c r="J706" s="50" t="str">
        <f>IF(P706="","",IFERROR(ROUND(CHOOSE(VALUE(RIGHT(P706,1)),IF(LUNES!C272="peso_corporal",IF(ISNUMBER(LUNES!E272),LUNES!E272,0)+LUNES!F272,LUNES!F272)*LUNES!G272,IF(LUNES!C272="peso_corporal",IF(ISNUMBER(LUNES!E272),LUNES!E272,0)+LUNES!I272,LUNES!I272)*LUNES!J272,IF(LUNES!C272="peso_corporal",IF(ISNUMBER(LUNES!E272),LUNES!E272,0)+LUNES!L272,LUNES!L272)*LUNES!M272,IF(LUNES!C272="peso_corporal",IF(ISNUMBER(LUNES!E272),LUNES!E272,0)+LUNES!O272,LUNES!O272)*LUNES!P272,IF(LUNES!C272="peso_corporal",IF(ISNUMBER(LUNES!E272),LUNES!E272,0)+LUNES!R272,LUNES!R272)*LUNES!S272),1),""))</f>
        <v/>
      </c>
      <c r="K706" s="51" t="str">
        <f>IF(P706="","",IFERROR(ROUND(CHOOSE(VALUE(RIGHT(P706,1)),(IF(LUNES!C272="peso_corporal",IF(ISNUMBER(LUNES!E272),LUNES!E272,0)+LUNES!F272,LUNES!F272))*(1+LUNES!G272/30),(IF(LUNES!C272="peso_corporal",IF(ISNUMBER(LUNES!E272),LUNES!E272,0)+LUNES!I272,LUNES!I272))*(1+LUNES!J272/30),(IF(LUNES!C272="peso_corporal",IF(ISNUMBER(LUNES!E272),LUNES!E272,0)+LUNES!L272,LUNES!L272))*(1+LUNES!M272/30),(IF(LUNES!C272="peso_corporal",IF(ISNUMBER(LUNES!E272),LUNES!E272,0)+LUNES!O272,LUNES!O272))*(1+LUNES!P272/30),(IF(LUNES!C272="peso_corporal",IF(ISNUMBER(LUNES!E272),LUNES!E272,0)+LUNES!R272,LUNES!R272))*(1+LUNES!S272/30)),1),""))</f>
        <v/>
      </c>
      <c r="L706" s="52">
        <f>IFERROR(LUNES!E272,"")</f>
        <v>80</v>
      </c>
      <c r="M706" s="53" t="str">
        <f>IFERROR(IF(K706="","-",IF(ISNUMBER(LOOKUP(2,1/((HISTORIAL!$O$3:$O$705=O706)*(HISTORIAL!$F$3:$F$705&lt;&gt;"")),HISTORIAL!$K$3:$K$705)),IF(K706&gt;LOOKUP(2,1/((HISTORIAL!$O$3:$O$705=O706)*(HISTORIAL!$F$3:$F$705&lt;&gt;"")),HISTORIAL!$K$3:$K$705),"^",IF(K706&lt;LOOKUP(2,1/((HISTORIAL!$O$3:$O$705=O706)*(HISTORIAL!$F$3:$F$705&lt;&gt;"")),HISTORIAL!$K$3:$K$705),"v","-")),"-")),"-")</f>
        <v>-</v>
      </c>
      <c r="N706" s="54" t="str">
        <f>IFERROR(VLOOKUP(A706,CONFIG!$A$10:$B$21,2,0),"")</f>
        <v>DEL</v>
      </c>
      <c r="O706" s="55" t="str">
        <f t="shared" si="21"/>
        <v>Crunch|Polea</v>
      </c>
      <c r="P706" s="69" t="str">
        <f>LUNES!AC272</f>
        <v/>
      </c>
    </row>
    <row r="707" spans="1:16" ht="14.1" customHeight="1">
      <c r="A707" s="37">
        <v>12</v>
      </c>
      <c r="B707" s="37" t="s">
        <v>278</v>
      </c>
      <c r="C707" s="44" t="str">
        <f>MARTES!$A$244</f>
        <v>Dominadas</v>
      </c>
      <c r="D707" s="45" t="str">
        <f>MARTES!$B$244</f>
        <v>Polea Alta Prono Ancho</v>
      </c>
      <c r="E707" s="37" t="str">
        <f>MARTES!$C$244</f>
        <v>peso_corporal</v>
      </c>
      <c r="F707" s="46" t="str">
        <f>IF(P707="","",IFERROR(CHOOSE(VALUE(RIGHT(P707,1)),MARTES!F244,MARTES!I244,MARTES!L244,MARTES!O244,MARTES!R244),""))</f>
        <v/>
      </c>
      <c r="G707" s="47" t="str">
        <f>IF(P707="","",IFERROR(CHOOSE(VALUE(RIGHT(P707,1)),MARTES!G244,MARTES!J244,MARTES!M244,MARTES!P244,MARTES!S244),""))</f>
        <v/>
      </c>
      <c r="H707" s="48" t="str">
        <f>IF(P707="","",IFERROR(CHOOSE(VALUE(RIGHT(P707,1)),MARTES!H244,MARTES!K244,MARTES!N244,MARTES!Q244,MARTES!T244),""))</f>
        <v/>
      </c>
      <c r="I707" s="49" t="str">
        <f t="shared" ref="I707:I758" si="22">IF(P707="","",LEFT(P707,1))</f>
        <v/>
      </c>
      <c r="J707" s="50" t="str">
        <f>IF(P707="","",IFERROR(ROUND(CHOOSE(VALUE(RIGHT(P707,1)),IF(MARTES!C244="peso_corporal",IF(ISNUMBER(MARTES!E244),MARTES!E244,0)+MARTES!F244,MARTES!F244)*MARTES!G244,IF(MARTES!C244="peso_corporal",IF(ISNUMBER(MARTES!E244),MARTES!E244,0)+MARTES!I244,MARTES!I244)*MARTES!J244,IF(MARTES!C244="peso_corporal",IF(ISNUMBER(MARTES!E244),MARTES!E244,0)+MARTES!L244,MARTES!L244)*MARTES!M244,IF(MARTES!C244="peso_corporal",IF(ISNUMBER(MARTES!E244),MARTES!E244,0)+MARTES!O244,MARTES!O244)*MARTES!P244,IF(MARTES!C244="peso_corporal",IF(ISNUMBER(MARTES!E244),MARTES!E244,0)+MARTES!R244,MARTES!R244)*MARTES!S244),1),""))</f>
        <v/>
      </c>
      <c r="K707" s="51" t="str">
        <f>IF(P707="","",IFERROR(ROUND(CHOOSE(VALUE(RIGHT(P707,1)),(IF(MARTES!C244="peso_corporal",IF(ISNUMBER(MARTES!E244),MARTES!E244,0)+MARTES!F244,MARTES!F244))*(1+MARTES!G244/30),(IF(MARTES!C244="peso_corporal",IF(ISNUMBER(MARTES!E244),MARTES!E244,0)+MARTES!I244,MARTES!I244))*(1+MARTES!J244/30),(IF(MARTES!C244="peso_corporal",IF(ISNUMBER(MARTES!E244),MARTES!E244,0)+MARTES!L244,MARTES!L244))*(1+MARTES!M244/30),(IF(MARTES!C244="peso_corporal",IF(ISNUMBER(MARTES!E244),MARTES!E244,0)+MARTES!O244,MARTES!O244))*(1+MARTES!P244/30),(IF(MARTES!C244="peso_corporal",IF(ISNUMBER(MARTES!E244),MARTES!E244,0)+MARTES!R244,MARTES!R244))*(1+MARTES!S244/30)),1),""))</f>
        <v/>
      </c>
      <c r="L707" s="52">
        <f>IFERROR(MARTES!E244,"")</f>
        <v>80</v>
      </c>
      <c r="M707" s="53" t="str">
        <f>IFERROR(IF(K707="","-",IF(ISNUMBER(LOOKUP(2,1/((HISTORIAL!$O$3:$O$706=O707)*(HISTORIAL!$F$3:$F$706&lt;&gt;"")),HISTORIAL!$K$3:$K$706)),IF(K707&gt;LOOKUP(2,1/((HISTORIAL!$O$3:$O$706=O707)*(HISTORIAL!$F$3:$F$706&lt;&gt;"")),HISTORIAL!$K$3:$K$706),"^",IF(K707&lt;LOOKUP(2,1/((HISTORIAL!$O$3:$O$706=O707)*(HISTORIAL!$F$3:$F$706&lt;&gt;"")),HISTORIAL!$K$3:$K$706),"v","-")),"-")),"-")</f>
        <v>-</v>
      </c>
      <c r="N707" s="54" t="str">
        <f>IFERROR(VLOOKUP(A707,CONFIG!$A$10:$B$21,2,0),"")</f>
        <v>DEL</v>
      </c>
      <c r="O707" s="55" t="str">
        <f t="shared" ref="O707:O758" si="23">C707&amp;"|"&amp;D707</f>
        <v>Dominadas|Polea Alta Prono Ancho</v>
      </c>
      <c r="P707" s="69" t="str">
        <f>MARTES!AC244</f>
        <v/>
      </c>
    </row>
    <row r="708" spans="1:16" ht="14.1" customHeight="1">
      <c r="A708" s="37">
        <v>12</v>
      </c>
      <c r="B708" s="37" t="s">
        <v>278</v>
      </c>
      <c r="C708" s="44" t="str">
        <f>MARTES!$A$245</f>
        <v>Pulldown</v>
      </c>
      <c r="D708" s="45" t="str">
        <f>MARTES!$B$245</f>
        <v>Polea Alta Brazos Rectos Prono</v>
      </c>
      <c r="E708" s="37" t="str">
        <f>MARTES!$C$245</f>
        <v>polea</v>
      </c>
      <c r="F708" s="46" t="str">
        <f>IF(P708="","",IFERROR(CHOOSE(VALUE(RIGHT(P708,1)),MARTES!F245,MARTES!I245,MARTES!L245,MARTES!O245,MARTES!R245),""))</f>
        <v/>
      </c>
      <c r="G708" s="47" t="str">
        <f>IF(P708="","",IFERROR(CHOOSE(VALUE(RIGHT(P708,1)),MARTES!G245,MARTES!J245,MARTES!M245,MARTES!P245,MARTES!S245),""))</f>
        <v/>
      </c>
      <c r="H708" s="48" t="str">
        <f>IF(P708="","",IFERROR(CHOOSE(VALUE(RIGHT(P708,1)),MARTES!H245,MARTES!K245,MARTES!N245,MARTES!Q245,MARTES!T245),""))</f>
        <v/>
      </c>
      <c r="I708" s="49" t="str">
        <f t="shared" si="22"/>
        <v/>
      </c>
      <c r="J708" s="50" t="str">
        <f>IF(P708="","",IFERROR(ROUND(CHOOSE(VALUE(RIGHT(P708,1)),IF(MARTES!C245="peso_corporal",IF(ISNUMBER(MARTES!E245),MARTES!E245,0)+MARTES!F245,MARTES!F245)*MARTES!G245,IF(MARTES!C245="peso_corporal",IF(ISNUMBER(MARTES!E245),MARTES!E245,0)+MARTES!I245,MARTES!I245)*MARTES!J245,IF(MARTES!C245="peso_corporal",IF(ISNUMBER(MARTES!E245),MARTES!E245,0)+MARTES!L245,MARTES!L245)*MARTES!M245,IF(MARTES!C245="peso_corporal",IF(ISNUMBER(MARTES!E245),MARTES!E245,0)+MARTES!O245,MARTES!O245)*MARTES!P245,IF(MARTES!C245="peso_corporal",IF(ISNUMBER(MARTES!E245),MARTES!E245,0)+MARTES!R245,MARTES!R245)*MARTES!S245),1),""))</f>
        <v/>
      </c>
      <c r="K708" s="51" t="str">
        <f>IF(P708="","",IFERROR(ROUND(CHOOSE(VALUE(RIGHT(P708,1)),(IF(MARTES!C245="peso_corporal",IF(ISNUMBER(MARTES!E245),MARTES!E245,0)+MARTES!F245,MARTES!F245))*(1+MARTES!G245/30),(IF(MARTES!C245="peso_corporal",IF(ISNUMBER(MARTES!E245),MARTES!E245,0)+MARTES!I245,MARTES!I245))*(1+MARTES!J245/30),(IF(MARTES!C245="peso_corporal",IF(ISNUMBER(MARTES!E245),MARTES!E245,0)+MARTES!L245,MARTES!L245))*(1+MARTES!M245/30),(IF(MARTES!C245="peso_corporal",IF(ISNUMBER(MARTES!E245),MARTES!E245,0)+MARTES!O245,MARTES!O245))*(1+MARTES!P245/30),(IF(MARTES!C245="peso_corporal",IF(ISNUMBER(MARTES!E245),MARTES!E245,0)+MARTES!R245,MARTES!R245))*(1+MARTES!S245/30)),1),""))</f>
        <v/>
      </c>
      <c r="L708" s="52">
        <f>IFERROR(MARTES!E245,"")</f>
        <v>80</v>
      </c>
      <c r="M708" s="53" t="str">
        <f>IFERROR(IF(K708="","-",IF(ISNUMBER(LOOKUP(2,1/((HISTORIAL!$O$3:$O$707=O708)*(HISTORIAL!$F$3:$F$707&lt;&gt;"")),HISTORIAL!$K$3:$K$707)),IF(K708&gt;LOOKUP(2,1/((HISTORIAL!$O$3:$O$707=O708)*(HISTORIAL!$F$3:$F$707&lt;&gt;"")),HISTORIAL!$K$3:$K$707),"^",IF(K708&lt;LOOKUP(2,1/((HISTORIAL!$O$3:$O$707=O708)*(HISTORIAL!$F$3:$F$707&lt;&gt;"")),HISTORIAL!$K$3:$K$707),"v","-")),"-")),"-")</f>
        <v>-</v>
      </c>
      <c r="N708" s="54" t="str">
        <f>IFERROR(VLOOKUP(A708,CONFIG!$A$10:$B$21,2,0),"")</f>
        <v>DEL</v>
      </c>
      <c r="O708" s="55" t="str">
        <f t="shared" si="23"/>
        <v>Pulldown|Polea Alta Brazos Rectos Prono</v>
      </c>
      <c r="P708" s="69" t="str">
        <f>MARTES!AC245</f>
        <v/>
      </c>
    </row>
    <row r="709" spans="1:16" ht="14.1" customHeight="1">
      <c r="A709" s="37">
        <v>12</v>
      </c>
      <c r="B709" s="37" t="s">
        <v>278</v>
      </c>
      <c r="C709" s="44" t="str">
        <f>MARTES!$A$247</f>
        <v>Remo</v>
      </c>
      <c r="D709" s="45" t="str">
        <f>MARTES!$B$247</f>
        <v>Maquina Hammer Neutro Unilateral</v>
      </c>
      <c r="E709" s="37" t="str">
        <f>MARTES!$C$247</f>
        <v>polea</v>
      </c>
      <c r="F709" s="46" t="str">
        <f>IF(P709="","",IFERROR(CHOOSE(VALUE(RIGHT(P709,1)),MARTES!F247,MARTES!I247,MARTES!L247,MARTES!O247,MARTES!R247),""))</f>
        <v/>
      </c>
      <c r="G709" s="47" t="str">
        <f>IF(P709="","",IFERROR(CHOOSE(VALUE(RIGHT(P709,1)),MARTES!G247,MARTES!J247,MARTES!M247,MARTES!P247,MARTES!S247),""))</f>
        <v/>
      </c>
      <c r="H709" s="48" t="str">
        <f>IF(P709="","",IFERROR(CHOOSE(VALUE(RIGHT(P709,1)),MARTES!H247,MARTES!K247,MARTES!N247,MARTES!Q247,MARTES!T247),""))</f>
        <v/>
      </c>
      <c r="I709" s="49" t="str">
        <f t="shared" si="22"/>
        <v/>
      </c>
      <c r="J709" s="50" t="str">
        <f>IF(P709="","",IFERROR(ROUND(CHOOSE(VALUE(RIGHT(P709,1)),IF(MARTES!C247="peso_corporal",IF(ISNUMBER(MARTES!E247),MARTES!E247,0)+MARTES!F247,MARTES!F247)*MARTES!G247,IF(MARTES!C247="peso_corporal",IF(ISNUMBER(MARTES!E247),MARTES!E247,0)+MARTES!I247,MARTES!I247)*MARTES!J247,IF(MARTES!C247="peso_corporal",IF(ISNUMBER(MARTES!E247),MARTES!E247,0)+MARTES!L247,MARTES!L247)*MARTES!M247,IF(MARTES!C247="peso_corporal",IF(ISNUMBER(MARTES!E247),MARTES!E247,0)+MARTES!O247,MARTES!O247)*MARTES!P247,IF(MARTES!C247="peso_corporal",IF(ISNUMBER(MARTES!E247),MARTES!E247,0)+MARTES!R247,MARTES!R247)*MARTES!S247),1),""))</f>
        <v/>
      </c>
      <c r="K709" s="51" t="str">
        <f>IF(P709="","",IFERROR(ROUND(CHOOSE(VALUE(RIGHT(P709,1)),(IF(MARTES!C247="peso_corporal",IF(ISNUMBER(MARTES!E247),MARTES!E247,0)+MARTES!F247,MARTES!F247))*(1+MARTES!G247/30),(IF(MARTES!C247="peso_corporal",IF(ISNUMBER(MARTES!E247),MARTES!E247,0)+MARTES!I247,MARTES!I247))*(1+MARTES!J247/30),(IF(MARTES!C247="peso_corporal",IF(ISNUMBER(MARTES!E247),MARTES!E247,0)+MARTES!L247,MARTES!L247))*(1+MARTES!M247/30),(IF(MARTES!C247="peso_corporal",IF(ISNUMBER(MARTES!E247),MARTES!E247,0)+MARTES!O247,MARTES!O247))*(1+MARTES!P247/30),(IF(MARTES!C247="peso_corporal",IF(ISNUMBER(MARTES!E247),MARTES!E247,0)+MARTES!R247,MARTES!R247))*(1+MARTES!S247/30)),1),""))</f>
        <v/>
      </c>
      <c r="L709" s="52">
        <f>IFERROR(MARTES!E247,"")</f>
        <v>80</v>
      </c>
      <c r="M709" s="53" t="str">
        <f>IFERROR(IF(K709="","-",IF(ISNUMBER(LOOKUP(2,1/((HISTORIAL!$O$3:$O$708=O709)*(HISTORIAL!$F$3:$F$708&lt;&gt;"")),HISTORIAL!$K$3:$K$708)),IF(K709&gt;LOOKUP(2,1/((HISTORIAL!$O$3:$O$708=O709)*(HISTORIAL!$F$3:$F$708&lt;&gt;"")),HISTORIAL!$K$3:$K$708),"^",IF(K709&lt;LOOKUP(2,1/((HISTORIAL!$O$3:$O$708=O709)*(HISTORIAL!$F$3:$F$708&lt;&gt;"")),HISTORIAL!$K$3:$K$708),"v","-")),"-")),"-")</f>
        <v>-</v>
      </c>
      <c r="N709" s="54" t="str">
        <f>IFERROR(VLOOKUP(A709,CONFIG!$A$10:$B$21,2,0),"")</f>
        <v>DEL</v>
      </c>
      <c r="O709" s="55" t="str">
        <f t="shared" si="23"/>
        <v>Remo|Maquina Hammer Neutro Unilateral</v>
      </c>
      <c r="P709" s="69" t="str">
        <f>MARTES!AC247</f>
        <v/>
      </c>
    </row>
    <row r="710" spans="1:16" ht="14.1" customHeight="1">
      <c r="A710" s="37">
        <v>12</v>
      </c>
      <c r="B710" s="37" t="s">
        <v>278</v>
      </c>
      <c r="C710" s="44" t="str">
        <f>MARTES!$A$248</f>
        <v>Remo</v>
      </c>
      <c r="D710" s="45" t="str">
        <f>MARTES!$B$248</f>
        <v>Maquina Prono</v>
      </c>
      <c r="E710" s="37" t="str">
        <f>MARTES!$C$248</f>
        <v>polea</v>
      </c>
      <c r="F710" s="46" t="str">
        <f>IF(P710="","",IFERROR(CHOOSE(VALUE(RIGHT(P710,1)),MARTES!F248,MARTES!I248,MARTES!L248,MARTES!O248,MARTES!R248),""))</f>
        <v/>
      </c>
      <c r="G710" s="47" t="str">
        <f>IF(P710="","",IFERROR(CHOOSE(VALUE(RIGHT(P710,1)),MARTES!G248,MARTES!J248,MARTES!M248,MARTES!P248,MARTES!S248),""))</f>
        <v/>
      </c>
      <c r="H710" s="48" t="str">
        <f>IF(P710="","",IFERROR(CHOOSE(VALUE(RIGHT(P710,1)),MARTES!H248,MARTES!K248,MARTES!N248,MARTES!Q248,MARTES!T248),""))</f>
        <v/>
      </c>
      <c r="I710" s="49" t="str">
        <f t="shared" si="22"/>
        <v/>
      </c>
      <c r="J710" s="50" t="str">
        <f>IF(P710="","",IFERROR(ROUND(CHOOSE(VALUE(RIGHT(P710,1)),IF(MARTES!C248="peso_corporal",IF(ISNUMBER(MARTES!E248),MARTES!E248,0)+MARTES!F248,MARTES!F248)*MARTES!G248,IF(MARTES!C248="peso_corporal",IF(ISNUMBER(MARTES!E248),MARTES!E248,0)+MARTES!I248,MARTES!I248)*MARTES!J248,IF(MARTES!C248="peso_corporal",IF(ISNUMBER(MARTES!E248),MARTES!E248,0)+MARTES!L248,MARTES!L248)*MARTES!M248,IF(MARTES!C248="peso_corporal",IF(ISNUMBER(MARTES!E248),MARTES!E248,0)+MARTES!O248,MARTES!O248)*MARTES!P248,IF(MARTES!C248="peso_corporal",IF(ISNUMBER(MARTES!E248),MARTES!E248,0)+MARTES!R248,MARTES!R248)*MARTES!S248),1),""))</f>
        <v/>
      </c>
      <c r="K710" s="51" t="str">
        <f>IF(P710="","",IFERROR(ROUND(CHOOSE(VALUE(RIGHT(P710,1)),(IF(MARTES!C248="peso_corporal",IF(ISNUMBER(MARTES!E248),MARTES!E248,0)+MARTES!F248,MARTES!F248))*(1+MARTES!G248/30),(IF(MARTES!C248="peso_corporal",IF(ISNUMBER(MARTES!E248),MARTES!E248,0)+MARTES!I248,MARTES!I248))*(1+MARTES!J248/30),(IF(MARTES!C248="peso_corporal",IF(ISNUMBER(MARTES!E248),MARTES!E248,0)+MARTES!L248,MARTES!L248))*(1+MARTES!M248/30),(IF(MARTES!C248="peso_corporal",IF(ISNUMBER(MARTES!E248),MARTES!E248,0)+MARTES!O248,MARTES!O248))*(1+MARTES!P248/30),(IF(MARTES!C248="peso_corporal",IF(ISNUMBER(MARTES!E248),MARTES!E248,0)+MARTES!R248,MARTES!R248))*(1+MARTES!S248/30)),1),""))</f>
        <v/>
      </c>
      <c r="L710" s="52">
        <f>IFERROR(MARTES!E248,"")</f>
        <v>80</v>
      </c>
      <c r="M710" s="53" t="str">
        <f>IFERROR(IF(K710="","-",IF(ISNUMBER(LOOKUP(2,1/((HISTORIAL!$O$3:$O$709=O710)*(HISTORIAL!$F$3:$F$709&lt;&gt;"")),HISTORIAL!$K$3:$K$709)),IF(K710&gt;LOOKUP(2,1/((HISTORIAL!$O$3:$O$709=O710)*(HISTORIAL!$F$3:$F$709&lt;&gt;"")),HISTORIAL!$K$3:$K$709),"^",IF(K710&lt;LOOKUP(2,1/((HISTORIAL!$O$3:$O$709=O710)*(HISTORIAL!$F$3:$F$709&lt;&gt;"")),HISTORIAL!$K$3:$K$709),"v","-")),"-")),"-")</f>
        <v>-</v>
      </c>
      <c r="N710" s="54" t="str">
        <f>IFERROR(VLOOKUP(A710,CONFIG!$A$10:$B$21,2,0),"")</f>
        <v>DEL</v>
      </c>
      <c r="O710" s="55" t="str">
        <f t="shared" si="23"/>
        <v>Remo|Maquina Prono</v>
      </c>
      <c r="P710" s="69" t="str">
        <f>MARTES!AC248</f>
        <v/>
      </c>
    </row>
    <row r="711" spans="1:16" ht="14.1" customHeight="1">
      <c r="A711" s="37">
        <v>12</v>
      </c>
      <c r="B711" s="37" t="s">
        <v>278</v>
      </c>
      <c r="C711" s="44" t="str">
        <f>MARTES!$A$250</f>
        <v>Curl Biceps</v>
      </c>
      <c r="D711" s="45" t="str">
        <f>MARTES!$B$250</f>
        <v>Inclinado Banco Mancuernas</v>
      </c>
      <c r="E711" s="37" t="str">
        <f>MARTES!$C$250</f>
        <v>mancuerna</v>
      </c>
      <c r="F711" s="46" t="str">
        <f>IF(P711="","",IFERROR(CHOOSE(VALUE(RIGHT(P711,1)),MARTES!F250,MARTES!I250,MARTES!L250,MARTES!O250,MARTES!R250),""))</f>
        <v/>
      </c>
      <c r="G711" s="47" t="str">
        <f>IF(P711="","",IFERROR(CHOOSE(VALUE(RIGHT(P711,1)),MARTES!G250,MARTES!J250,MARTES!M250,MARTES!P250,MARTES!S250),""))</f>
        <v/>
      </c>
      <c r="H711" s="48" t="str">
        <f>IF(P711="","",IFERROR(CHOOSE(VALUE(RIGHT(P711,1)),MARTES!H250,MARTES!K250,MARTES!N250,MARTES!Q250,MARTES!T250),""))</f>
        <v/>
      </c>
      <c r="I711" s="49" t="str">
        <f t="shared" si="22"/>
        <v/>
      </c>
      <c r="J711" s="50" t="str">
        <f>IF(P711="","",IFERROR(ROUND(CHOOSE(VALUE(RIGHT(P711,1)),IF(MARTES!C250="peso_corporal",IF(ISNUMBER(MARTES!E250),MARTES!E250,0)+MARTES!F250,MARTES!F250)*MARTES!G250,IF(MARTES!C250="peso_corporal",IF(ISNUMBER(MARTES!E250),MARTES!E250,0)+MARTES!I250,MARTES!I250)*MARTES!J250,IF(MARTES!C250="peso_corporal",IF(ISNUMBER(MARTES!E250),MARTES!E250,0)+MARTES!L250,MARTES!L250)*MARTES!M250,IF(MARTES!C250="peso_corporal",IF(ISNUMBER(MARTES!E250),MARTES!E250,0)+MARTES!O250,MARTES!O250)*MARTES!P250,IF(MARTES!C250="peso_corporal",IF(ISNUMBER(MARTES!E250),MARTES!E250,0)+MARTES!R250,MARTES!R250)*MARTES!S250),1),""))</f>
        <v/>
      </c>
      <c r="K711" s="51" t="str">
        <f>IF(P711="","",IFERROR(ROUND(CHOOSE(VALUE(RIGHT(P711,1)),(IF(MARTES!C250="peso_corporal",IF(ISNUMBER(MARTES!E250),MARTES!E250,0)+MARTES!F250,MARTES!F250))*(1+MARTES!G250/30),(IF(MARTES!C250="peso_corporal",IF(ISNUMBER(MARTES!E250),MARTES!E250,0)+MARTES!I250,MARTES!I250))*(1+MARTES!J250/30),(IF(MARTES!C250="peso_corporal",IF(ISNUMBER(MARTES!E250),MARTES!E250,0)+MARTES!L250,MARTES!L250))*(1+MARTES!M250/30),(IF(MARTES!C250="peso_corporal",IF(ISNUMBER(MARTES!E250),MARTES!E250,0)+MARTES!O250,MARTES!O250))*(1+MARTES!P250/30),(IF(MARTES!C250="peso_corporal",IF(ISNUMBER(MARTES!E250),MARTES!E250,0)+MARTES!R250,MARTES!R250))*(1+MARTES!S250/30)),1),""))</f>
        <v/>
      </c>
      <c r="L711" s="52">
        <f>IFERROR(MARTES!E250,"")</f>
        <v>80</v>
      </c>
      <c r="M711" s="53" t="str">
        <f>IFERROR(IF(K711="","-",IF(ISNUMBER(LOOKUP(2,1/((HISTORIAL!$O$3:$O$710=O711)*(HISTORIAL!$F$3:$F$710&lt;&gt;"")),HISTORIAL!$K$3:$K$710)),IF(K711&gt;LOOKUP(2,1/((HISTORIAL!$O$3:$O$710=O711)*(HISTORIAL!$F$3:$F$710&lt;&gt;"")),HISTORIAL!$K$3:$K$710),"^",IF(K711&lt;LOOKUP(2,1/((HISTORIAL!$O$3:$O$710=O711)*(HISTORIAL!$F$3:$F$710&lt;&gt;"")),HISTORIAL!$K$3:$K$710),"v","-")),"-")),"-")</f>
        <v>-</v>
      </c>
      <c r="N711" s="54" t="str">
        <f>IFERROR(VLOOKUP(A711,CONFIG!$A$10:$B$21,2,0),"")</f>
        <v>DEL</v>
      </c>
      <c r="O711" s="55" t="str">
        <f t="shared" si="23"/>
        <v>Curl Biceps|Inclinado Banco Mancuernas</v>
      </c>
      <c r="P711" s="69" t="str">
        <f>MARTES!AC250</f>
        <v/>
      </c>
    </row>
    <row r="712" spans="1:16" ht="14.1" customHeight="1">
      <c r="A712" s="37">
        <v>12</v>
      </c>
      <c r="B712" s="37" t="s">
        <v>278</v>
      </c>
      <c r="C712" s="44" t="str">
        <f>MARTES!$A$251</f>
        <v>Curl Biceps</v>
      </c>
      <c r="D712" s="45" t="str">
        <f>MARTES!$B$251</f>
        <v>Polea Baja Supino</v>
      </c>
      <c r="E712" s="37" t="str">
        <f>MARTES!$C$251</f>
        <v>polea</v>
      </c>
      <c r="F712" s="46" t="str">
        <f>IF(P712="","",IFERROR(CHOOSE(VALUE(RIGHT(P712,1)),MARTES!F251,MARTES!I251,MARTES!L251,MARTES!O251,MARTES!R251),""))</f>
        <v/>
      </c>
      <c r="G712" s="47" t="str">
        <f>IF(P712="","",IFERROR(CHOOSE(VALUE(RIGHT(P712,1)),MARTES!G251,MARTES!J251,MARTES!M251,MARTES!P251,MARTES!S251),""))</f>
        <v/>
      </c>
      <c r="H712" s="48" t="str">
        <f>IF(P712="","",IFERROR(CHOOSE(VALUE(RIGHT(P712,1)),MARTES!H251,MARTES!K251,MARTES!N251,MARTES!Q251,MARTES!T251),""))</f>
        <v/>
      </c>
      <c r="I712" s="49" t="str">
        <f t="shared" si="22"/>
        <v/>
      </c>
      <c r="J712" s="50" t="str">
        <f>IF(P712="","",IFERROR(ROUND(CHOOSE(VALUE(RIGHT(P712,1)),IF(MARTES!C251="peso_corporal",IF(ISNUMBER(MARTES!E251),MARTES!E251,0)+MARTES!F251,MARTES!F251)*MARTES!G251,IF(MARTES!C251="peso_corporal",IF(ISNUMBER(MARTES!E251),MARTES!E251,0)+MARTES!I251,MARTES!I251)*MARTES!J251,IF(MARTES!C251="peso_corporal",IF(ISNUMBER(MARTES!E251),MARTES!E251,0)+MARTES!L251,MARTES!L251)*MARTES!M251,IF(MARTES!C251="peso_corporal",IF(ISNUMBER(MARTES!E251),MARTES!E251,0)+MARTES!O251,MARTES!O251)*MARTES!P251,IF(MARTES!C251="peso_corporal",IF(ISNUMBER(MARTES!E251),MARTES!E251,0)+MARTES!R251,MARTES!R251)*MARTES!S251),1),""))</f>
        <v/>
      </c>
      <c r="K712" s="51" t="str">
        <f>IF(P712="","",IFERROR(ROUND(CHOOSE(VALUE(RIGHT(P712,1)),(IF(MARTES!C251="peso_corporal",IF(ISNUMBER(MARTES!E251),MARTES!E251,0)+MARTES!F251,MARTES!F251))*(1+MARTES!G251/30),(IF(MARTES!C251="peso_corporal",IF(ISNUMBER(MARTES!E251),MARTES!E251,0)+MARTES!I251,MARTES!I251))*(1+MARTES!J251/30),(IF(MARTES!C251="peso_corporal",IF(ISNUMBER(MARTES!E251),MARTES!E251,0)+MARTES!L251,MARTES!L251))*(1+MARTES!M251/30),(IF(MARTES!C251="peso_corporal",IF(ISNUMBER(MARTES!E251),MARTES!E251,0)+MARTES!O251,MARTES!O251))*(1+MARTES!P251/30),(IF(MARTES!C251="peso_corporal",IF(ISNUMBER(MARTES!E251),MARTES!E251,0)+MARTES!R251,MARTES!R251))*(1+MARTES!S251/30)),1),""))</f>
        <v/>
      </c>
      <c r="L712" s="52">
        <f>IFERROR(MARTES!E251,"")</f>
        <v>80</v>
      </c>
      <c r="M712" s="53" t="str">
        <f>IFERROR(IF(K712="","-",IF(ISNUMBER(LOOKUP(2,1/((HISTORIAL!$O$3:$O$711=O712)*(HISTORIAL!$F$3:$F$711&lt;&gt;"")),HISTORIAL!$K$3:$K$711)),IF(K712&gt;LOOKUP(2,1/((HISTORIAL!$O$3:$O$711=O712)*(HISTORIAL!$F$3:$F$711&lt;&gt;"")),HISTORIAL!$K$3:$K$711),"^",IF(K712&lt;LOOKUP(2,1/((HISTORIAL!$O$3:$O$711=O712)*(HISTORIAL!$F$3:$F$711&lt;&gt;"")),HISTORIAL!$K$3:$K$711),"v","-")),"-")),"-")</f>
        <v>-</v>
      </c>
      <c r="N712" s="54" t="str">
        <f>IFERROR(VLOOKUP(A712,CONFIG!$A$10:$B$21,2,0),"")</f>
        <v>DEL</v>
      </c>
      <c r="O712" s="55" t="str">
        <f t="shared" si="23"/>
        <v>Curl Biceps|Polea Baja Supino</v>
      </c>
      <c r="P712" s="69" t="str">
        <f>MARTES!AC251</f>
        <v/>
      </c>
    </row>
    <row r="713" spans="1:16" ht="14.1" customHeight="1">
      <c r="A713" s="37">
        <v>12</v>
      </c>
      <c r="B713" s="37" t="s">
        <v>278</v>
      </c>
      <c r="C713" s="44" t="str">
        <f>MARTES!$A$253</f>
        <v>Curl Muneca</v>
      </c>
      <c r="D713" s="45" t="str">
        <f>MARTES!$B$253</f>
        <v>Supinado</v>
      </c>
      <c r="E713" s="37" t="str">
        <f>MARTES!$C$253</f>
        <v>mancuerna</v>
      </c>
      <c r="F713" s="46" t="str">
        <f>IF(P713="","",IFERROR(CHOOSE(VALUE(RIGHT(P713,1)),MARTES!F253,MARTES!I253,MARTES!L253,MARTES!O253,MARTES!R253),""))</f>
        <v/>
      </c>
      <c r="G713" s="47" t="str">
        <f>IF(P713="","",IFERROR(CHOOSE(VALUE(RIGHT(P713,1)),MARTES!G253,MARTES!J253,MARTES!M253,MARTES!P253,MARTES!S253),""))</f>
        <v/>
      </c>
      <c r="H713" s="48" t="str">
        <f>IF(P713="","",IFERROR(CHOOSE(VALUE(RIGHT(P713,1)),MARTES!H253,MARTES!K253,MARTES!N253,MARTES!Q253,MARTES!T253),""))</f>
        <v/>
      </c>
      <c r="I713" s="49" t="str">
        <f t="shared" si="22"/>
        <v/>
      </c>
      <c r="J713" s="50" t="str">
        <f>IF(P713="","",IFERROR(ROUND(CHOOSE(VALUE(RIGHT(P713,1)),IF(MARTES!C253="peso_corporal",IF(ISNUMBER(MARTES!E253),MARTES!E253,0)+MARTES!F253,MARTES!F253)*MARTES!G253,IF(MARTES!C253="peso_corporal",IF(ISNUMBER(MARTES!E253),MARTES!E253,0)+MARTES!I253,MARTES!I253)*MARTES!J253,IF(MARTES!C253="peso_corporal",IF(ISNUMBER(MARTES!E253),MARTES!E253,0)+MARTES!L253,MARTES!L253)*MARTES!M253,IF(MARTES!C253="peso_corporal",IF(ISNUMBER(MARTES!E253),MARTES!E253,0)+MARTES!O253,MARTES!O253)*MARTES!P253,IF(MARTES!C253="peso_corporal",IF(ISNUMBER(MARTES!E253),MARTES!E253,0)+MARTES!R253,MARTES!R253)*MARTES!S253),1),""))</f>
        <v/>
      </c>
      <c r="K713" s="51" t="str">
        <f>IF(P713="","",IFERROR(ROUND(CHOOSE(VALUE(RIGHT(P713,1)),(IF(MARTES!C253="peso_corporal",IF(ISNUMBER(MARTES!E253),MARTES!E253,0)+MARTES!F253,MARTES!F253))*(1+MARTES!G253/30),(IF(MARTES!C253="peso_corporal",IF(ISNUMBER(MARTES!E253),MARTES!E253,0)+MARTES!I253,MARTES!I253))*(1+MARTES!J253/30),(IF(MARTES!C253="peso_corporal",IF(ISNUMBER(MARTES!E253),MARTES!E253,0)+MARTES!L253,MARTES!L253))*(1+MARTES!M253/30),(IF(MARTES!C253="peso_corporal",IF(ISNUMBER(MARTES!E253),MARTES!E253,0)+MARTES!O253,MARTES!O253))*(1+MARTES!P253/30),(IF(MARTES!C253="peso_corporal",IF(ISNUMBER(MARTES!E253),MARTES!E253,0)+MARTES!R253,MARTES!R253))*(1+MARTES!S253/30)),1),""))</f>
        <v/>
      </c>
      <c r="L713" s="52">
        <f>IFERROR(MARTES!E253,"")</f>
        <v>80</v>
      </c>
      <c r="M713" s="53" t="str">
        <f>IFERROR(IF(K713="","-",IF(ISNUMBER(LOOKUP(2,1/((HISTORIAL!$O$3:$O$712=O713)*(HISTORIAL!$F$3:$F$712&lt;&gt;"")),HISTORIAL!$K$3:$K$712)),IF(K713&gt;LOOKUP(2,1/((HISTORIAL!$O$3:$O$712=O713)*(HISTORIAL!$F$3:$F$712&lt;&gt;"")),HISTORIAL!$K$3:$K$712),"^",IF(K713&lt;LOOKUP(2,1/((HISTORIAL!$O$3:$O$712=O713)*(HISTORIAL!$F$3:$F$712&lt;&gt;"")),HISTORIAL!$K$3:$K$712),"v","-")),"-")),"-")</f>
        <v>-</v>
      </c>
      <c r="N713" s="54" t="str">
        <f>IFERROR(VLOOKUP(A713,CONFIG!$A$10:$B$21,2,0),"")</f>
        <v>DEL</v>
      </c>
      <c r="O713" s="55" t="str">
        <f t="shared" si="23"/>
        <v>Curl Muneca|Supinado</v>
      </c>
      <c r="P713" s="69" t="str">
        <f>MARTES!AC253</f>
        <v/>
      </c>
    </row>
    <row r="714" spans="1:16" ht="14.1" customHeight="1">
      <c r="A714" s="37">
        <v>12</v>
      </c>
      <c r="B714" s="37" t="s">
        <v>278</v>
      </c>
      <c r="C714" s="44" t="str">
        <f>MARTES!$A$254</f>
        <v>Curl Muneca</v>
      </c>
      <c r="D714" s="45" t="str">
        <f>MARTES!$B$254</f>
        <v>Pronado</v>
      </c>
      <c r="E714" s="37" t="str">
        <f>MARTES!$C$254</f>
        <v>mancuerna</v>
      </c>
      <c r="F714" s="46" t="str">
        <f>IF(P714="","",IFERROR(CHOOSE(VALUE(RIGHT(P714,1)),MARTES!F254,MARTES!I254,MARTES!L254,MARTES!O254,MARTES!R254),""))</f>
        <v/>
      </c>
      <c r="G714" s="47" t="str">
        <f>IF(P714="","",IFERROR(CHOOSE(VALUE(RIGHT(P714,1)),MARTES!G254,MARTES!J254,MARTES!M254,MARTES!P254,MARTES!S254),""))</f>
        <v/>
      </c>
      <c r="H714" s="48" t="str">
        <f>IF(P714="","",IFERROR(CHOOSE(VALUE(RIGHT(P714,1)),MARTES!H254,MARTES!K254,MARTES!N254,MARTES!Q254,MARTES!T254),""))</f>
        <v/>
      </c>
      <c r="I714" s="49" t="str">
        <f t="shared" si="22"/>
        <v/>
      </c>
      <c r="J714" s="50" t="str">
        <f>IF(P714="","",IFERROR(ROUND(CHOOSE(VALUE(RIGHT(P714,1)),IF(MARTES!C254="peso_corporal",IF(ISNUMBER(MARTES!E254),MARTES!E254,0)+MARTES!F254,MARTES!F254)*MARTES!G254,IF(MARTES!C254="peso_corporal",IF(ISNUMBER(MARTES!E254),MARTES!E254,0)+MARTES!I254,MARTES!I254)*MARTES!J254,IF(MARTES!C254="peso_corporal",IF(ISNUMBER(MARTES!E254),MARTES!E254,0)+MARTES!L254,MARTES!L254)*MARTES!M254,IF(MARTES!C254="peso_corporal",IF(ISNUMBER(MARTES!E254),MARTES!E254,0)+MARTES!O254,MARTES!O254)*MARTES!P254,IF(MARTES!C254="peso_corporal",IF(ISNUMBER(MARTES!E254),MARTES!E254,0)+MARTES!R254,MARTES!R254)*MARTES!S254),1),""))</f>
        <v/>
      </c>
      <c r="K714" s="51" t="str">
        <f>IF(P714="","",IFERROR(ROUND(CHOOSE(VALUE(RIGHT(P714,1)),(IF(MARTES!C254="peso_corporal",IF(ISNUMBER(MARTES!E254),MARTES!E254,0)+MARTES!F254,MARTES!F254))*(1+MARTES!G254/30),(IF(MARTES!C254="peso_corporal",IF(ISNUMBER(MARTES!E254),MARTES!E254,0)+MARTES!I254,MARTES!I254))*(1+MARTES!J254/30),(IF(MARTES!C254="peso_corporal",IF(ISNUMBER(MARTES!E254),MARTES!E254,0)+MARTES!L254,MARTES!L254))*(1+MARTES!M254/30),(IF(MARTES!C254="peso_corporal",IF(ISNUMBER(MARTES!E254),MARTES!E254,0)+MARTES!O254,MARTES!O254))*(1+MARTES!P254/30),(IF(MARTES!C254="peso_corporal",IF(ISNUMBER(MARTES!E254),MARTES!E254,0)+MARTES!R254,MARTES!R254))*(1+MARTES!S254/30)),1),""))</f>
        <v/>
      </c>
      <c r="L714" s="52">
        <f>IFERROR(MARTES!E254,"")</f>
        <v>80</v>
      </c>
      <c r="M714" s="53" t="str">
        <f>IFERROR(IF(K714="","-",IF(ISNUMBER(LOOKUP(2,1/((HISTORIAL!$O$3:$O$713=O714)*(HISTORIAL!$F$3:$F$713&lt;&gt;"")),HISTORIAL!$K$3:$K$713)),IF(K714&gt;LOOKUP(2,1/((HISTORIAL!$O$3:$O$713=O714)*(HISTORIAL!$F$3:$F$713&lt;&gt;"")),HISTORIAL!$K$3:$K$713),"^",IF(K714&lt;LOOKUP(2,1/((HISTORIAL!$O$3:$O$713=O714)*(HISTORIAL!$F$3:$F$713&lt;&gt;"")),HISTORIAL!$K$3:$K$713),"v","-")),"-")),"-")</f>
        <v>-</v>
      </c>
      <c r="N714" s="54" t="str">
        <f>IFERROR(VLOOKUP(A714,CONFIG!$A$10:$B$21,2,0),"")</f>
        <v>DEL</v>
      </c>
      <c r="O714" s="55" t="str">
        <f t="shared" si="23"/>
        <v>Curl Muneca|Pronado</v>
      </c>
      <c r="P714" s="69" t="str">
        <f>MARTES!AC254</f>
        <v/>
      </c>
    </row>
    <row r="715" spans="1:16" ht="14.1" customHeight="1">
      <c r="A715" s="37">
        <v>12</v>
      </c>
      <c r="B715" s="37" t="s">
        <v>278</v>
      </c>
      <c r="C715" s="44" t="str">
        <f>MARTES!$A$256</f>
        <v>Farmer Carry</v>
      </c>
      <c r="D715" s="45" t="str">
        <f>MARTES!$B$256</f>
        <v>Libre</v>
      </c>
      <c r="E715" s="37" t="str">
        <f>MARTES!$C$256</f>
        <v>mancuerna</v>
      </c>
      <c r="F715" s="46" t="str">
        <f>IF(P715="","",IFERROR(CHOOSE(VALUE(RIGHT(P715,1)),MARTES!F256,MARTES!I256,MARTES!L256,MARTES!O256,MARTES!R256),""))</f>
        <v/>
      </c>
      <c r="G715" s="47" t="str">
        <f>IF(P715="","",IFERROR(CHOOSE(VALUE(RIGHT(P715,1)),MARTES!G256,MARTES!J256,MARTES!M256,MARTES!P256,MARTES!S256),""))</f>
        <v/>
      </c>
      <c r="H715" s="48" t="str">
        <f>IF(P715="","",IFERROR(CHOOSE(VALUE(RIGHT(P715,1)),MARTES!H256,MARTES!K256,MARTES!N256,MARTES!Q256,MARTES!T256),""))</f>
        <v/>
      </c>
      <c r="I715" s="49" t="str">
        <f t="shared" si="22"/>
        <v/>
      </c>
      <c r="J715" s="50" t="str">
        <f>IF(P715="","",IFERROR(ROUND(CHOOSE(VALUE(RIGHT(P715,1)),IF(MARTES!C256="peso_corporal",IF(ISNUMBER(MARTES!E256),MARTES!E256,0)+MARTES!F256,MARTES!F256)*MARTES!G256,IF(MARTES!C256="peso_corporal",IF(ISNUMBER(MARTES!E256),MARTES!E256,0)+MARTES!I256,MARTES!I256)*MARTES!J256,IF(MARTES!C256="peso_corporal",IF(ISNUMBER(MARTES!E256),MARTES!E256,0)+MARTES!L256,MARTES!L256)*MARTES!M256,IF(MARTES!C256="peso_corporal",IF(ISNUMBER(MARTES!E256),MARTES!E256,0)+MARTES!O256,MARTES!O256)*MARTES!P256,IF(MARTES!C256="peso_corporal",IF(ISNUMBER(MARTES!E256),MARTES!E256,0)+MARTES!R256,MARTES!R256)*MARTES!S256),1),""))</f>
        <v/>
      </c>
      <c r="K715" s="51" t="str">
        <f>IF(P715="","",IFERROR(ROUND(CHOOSE(VALUE(RIGHT(P715,1)),(IF(MARTES!C256="peso_corporal",IF(ISNUMBER(MARTES!E256),MARTES!E256,0)+MARTES!F256,MARTES!F256))*(1+MARTES!G256/30),(IF(MARTES!C256="peso_corporal",IF(ISNUMBER(MARTES!E256),MARTES!E256,0)+MARTES!I256,MARTES!I256))*(1+MARTES!J256/30),(IF(MARTES!C256="peso_corporal",IF(ISNUMBER(MARTES!E256),MARTES!E256,0)+MARTES!L256,MARTES!L256))*(1+MARTES!M256/30),(IF(MARTES!C256="peso_corporal",IF(ISNUMBER(MARTES!E256),MARTES!E256,0)+MARTES!O256,MARTES!O256))*(1+MARTES!P256/30),(IF(MARTES!C256="peso_corporal",IF(ISNUMBER(MARTES!E256),MARTES!E256,0)+MARTES!R256,MARTES!R256))*(1+MARTES!S256/30)),1),""))</f>
        <v/>
      </c>
      <c r="L715" s="52">
        <f>IFERROR(MARTES!E256,"")</f>
        <v>80</v>
      </c>
      <c r="M715" s="53" t="str">
        <f>IFERROR(IF(K715="","-",IF(ISNUMBER(LOOKUP(2,1/((HISTORIAL!$O$3:$O$714=O715)*(HISTORIAL!$F$3:$F$714&lt;&gt;"")),HISTORIAL!$K$3:$K$714)),IF(K715&gt;LOOKUP(2,1/((HISTORIAL!$O$3:$O$714=O715)*(HISTORIAL!$F$3:$F$714&lt;&gt;"")),HISTORIAL!$K$3:$K$714),"^",IF(K715&lt;LOOKUP(2,1/((HISTORIAL!$O$3:$O$714=O715)*(HISTORIAL!$F$3:$F$714&lt;&gt;"")),HISTORIAL!$K$3:$K$714),"v","-")),"-")),"-")</f>
        <v>-</v>
      </c>
      <c r="N715" s="54" t="str">
        <f>IFERROR(VLOOKUP(A715,CONFIG!$A$10:$B$21,2,0),"")</f>
        <v>DEL</v>
      </c>
      <c r="O715" s="55" t="str">
        <f t="shared" si="23"/>
        <v>Farmer Carry|Libre</v>
      </c>
      <c r="P715" s="69" t="str">
        <f>MARTES!AC256</f>
        <v/>
      </c>
    </row>
    <row r="716" spans="1:16" ht="14.1" customHeight="1">
      <c r="A716" s="37">
        <v>12</v>
      </c>
      <c r="B716" s="37" t="s">
        <v>278</v>
      </c>
      <c r="C716" s="44" t="str">
        <f>MARTES!$A$258</f>
        <v>Skullcrusher</v>
      </c>
      <c r="D716" s="45" t="str">
        <f>MARTES!$B$258</f>
        <v>Mancuerna Tumbado</v>
      </c>
      <c r="E716" s="37" t="str">
        <f>MARTES!$C$258</f>
        <v>--</v>
      </c>
      <c r="F716" s="46" t="str">
        <f>IF(P716="","",IFERROR(CHOOSE(VALUE(RIGHT(P716,1)),MARTES!F258,MARTES!I258,MARTES!L258,MARTES!O258,MARTES!R258),""))</f>
        <v/>
      </c>
      <c r="G716" s="47" t="str">
        <f>IF(P716="","",IFERROR(CHOOSE(VALUE(RIGHT(P716,1)),MARTES!G258,MARTES!J258,MARTES!M258,MARTES!P258,MARTES!S258),""))</f>
        <v/>
      </c>
      <c r="H716" s="48" t="str">
        <f>IF(P716="","",IFERROR(CHOOSE(VALUE(RIGHT(P716,1)),MARTES!H258,MARTES!K258,MARTES!N258,MARTES!Q258,MARTES!T258),""))</f>
        <v/>
      </c>
      <c r="I716" s="49" t="str">
        <f t="shared" si="22"/>
        <v/>
      </c>
      <c r="J716" s="50" t="str">
        <f>IF(P716="","",IFERROR(ROUND(CHOOSE(VALUE(RIGHT(P716,1)),IF(MARTES!C258="peso_corporal",IF(ISNUMBER(MARTES!E258),MARTES!E258,0)+MARTES!F258,MARTES!F258)*MARTES!G258,IF(MARTES!C258="peso_corporal",IF(ISNUMBER(MARTES!E258),MARTES!E258,0)+MARTES!I258,MARTES!I258)*MARTES!J258,IF(MARTES!C258="peso_corporal",IF(ISNUMBER(MARTES!E258),MARTES!E258,0)+MARTES!L258,MARTES!L258)*MARTES!M258,IF(MARTES!C258="peso_corporal",IF(ISNUMBER(MARTES!E258),MARTES!E258,0)+MARTES!O258,MARTES!O258)*MARTES!P258,IF(MARTES!C258="peso_corporal",IF(ISNUMBER(MARTES!E258),MARTES!E258,0)+MARTES!R258,MARTES!R258)*MARTES!S258),1),""))</f>
        <v/>
      </c>
      <c r="K716" s="51" t="str">
        <f>IF(P716="","",IFERROR(ROUND(CHOOSE(VALUE(RIGHT(P716,1)),(IF(MARTES!C258="peso_corporal",IF(ISNUMBER(MARTES!E258),MARTES!E258,0)+MARTES!F258,MARTES!F258))*(1+MARTES!G258/30),(IF(MARTES!C258="peso_corporal",IF(ISNUMBER(MARTES!E258),MARTES!E258,0)+MARTES!I258,MARTES!I258))*(1+MARTES!J258/30),(IF(MARTES!C258="peso_corporal",IF(ISNUMBER(MARTES!E258),MARTES!E258,0)+MARTES!L258,MARTES!L258))*(1+MARTES!M258/30),(IF(MARTES!C258="peso_corporal",IF(ISNUMBER(MARTES!E258),MARTES!E258,0)+MARTES!O258,MARTES!O258))*(1+MARTES!P258/30),(IF(MARTES!C258="peso_corporal",IF(ISNUMBER(MARTES!E258),MARTES!E258,0)+MARTES!R258,MARTES!R258))*(1+MARTES!S258/30)),1),""))</f>
        <v/>
      </c>
      <c r="L716" s="52">
        <f>IFERROR(MARTES!E258,"")</f>
        <v>80</v>
      </c>
      <c r="M716" s="53" t="str">
        <f>IFERROR(IF(K716="","-",IF(ISNUMBER(LOOKUP(2,1/((HISTORIAL!$O$3:$O$715=O716)*(HISTORIAL!$F$3:$F$715&lt;&gt;"")),HISTORIAL!$K$3:$K$715)),IF(K716&gt;LOOKUP(2,1/((HISTORIAL!$O$3:$O$715=O716)*(HISTORIAL!$F$3:$F$715&lt;&gt;"")),HISTORIAL!$K$3:$K$715),"^",IF(K716&lt;LOOKUP(2,1/((HISTORIAL!$O$3:$O$715=O716)*(HISTORIAL!$F$3:$F$715&lt;&gt;"")),HISTORIAL!$K$3:$K$715),"v","-")),"-")),"-")</f>
        <v>-</v>
      </c>
      <c r="N716" s="54" t="str">
        <f>IFERROR(VLOOKUP(A716,CONFIG!$A$10:$B$21,2,0),"")</f>
        <v>DEL</v>
      </c>
      <c r="O716" s="55" t="str">
        <f t="shared" si="23"/>
        <v>Skullcrusher|Mancuerna Tumbado</v>
      </c>
      <c r="P716" s="69" t="str">
        <f>MARTES!AC258</f>
        <v/>
      </c>
    </row>
    <row r="717" spans="1:16" ht="14.1" customHeight="1">
      <c r="A717" s="37">
        <v>12</v>
      </c>
      <c r="B717" s="37" t="s">
        <v>278</v>
      </c>
      <c r="C717" s="44" t="str">
        <f>MARTES!$A$260</f>
        <v>Crunch</v>
      </c>
      <c r="D717" s="45" t="str">
        <f>MARTES!$B$260</f>
        <v>Polea</v>
      </c>
      <c r="E717" s="37" t="str">
        <f>MARTES!$C$260</f>
        <v>polea</v>
      </c>
      <c r="F717" s="46" t="str">
        <f>IF(P717="","",IFERROR(CHOOSE(VALUE(RIGHT(P717,1)),MARTES!F260,MARTES!I260,MARTES!L260,MARTES!O260,MARTES!R260),""))</f>
        <v/>
      </c>
      <c r="G717" s="47" t="str">
        <f>IF(P717="","",IFERROR(CHOOSE(VALUE(RIGHT(P717,1)),MARTES!G260,MARTES!J260,MARTES!M260,MARTES!P260,MARTES!S260),""))</f>
        <v/>
      </c>
      <c r="H717" s="48" t="str">
        <f>IF(P717="","",IFERROR(CHOOSE(VALUE(RIGHT(P717,1)),MARTES!H260,MARTES!K260,MARTES!N260,MARTES!Q260,MARTES!T260),""))</f>
        <v/>
      </c>
      <c r="I717" s="49" t="str">
        <f t="shared" si="22"/>
        <v/>
      </c>
      <c r="J717" s="50" t="str">
        <f>IF(P717="","",IFERROR(ROUND(CHOOSE(VALUE(RIGHT(P717,1)),IF(MARTES!C260="peso_corporal",IF(ISNUMBER(MARTES!E260),MARTES!E260,0)+MARTES!F260,MARTES!F260)*MARTES!G260,IF(MARTES!C260="peso_corporal",IF(ISNUMBER(MARTES!E260),MARTES!E260,0)+MARTES!I260,MARTES!I260)*MARTES!J260,IF(MARTES!C260="peso_corporal",IF(ISNUMBER(MARTES!E260),MARTES!E260,0)+MARTES!L260,MARTES!L260)*MARTES!M260,IF(MARTES!C260="peso_corporal",IF(ISNUMBER(MARTES!E260),MARTES!E260,0)+MARTES!O260,MARTES!O260)*MARTES!P260,IF(MARTES!C260="peso_corporal",IF(ISNUMBER(MARTES!E260),MARTES!E260,0)+MARTES!R260,MARTES!R260)*MARTES!S260),1),""))</f>
        <v/>
      </c>
      <c r="K717" s="51" t="str">
        <f>IF(P717="","",IFERROR(ROUND(CHOOSE(VALUE(RIGHT(P717,1)),(IF(MARTES!C260="peso_corporal",IF(ISNUMBER(MARTES!E260),MARTES!E260,0)+MARTES!F260,MARTES!F260))*(1+MARTES!G260/30),(IF(MARTES!C260="peso_corporal",IF(ISNUMBER(MARTES!E260),MARTES!E260,0)+MARTES!I260,MARTES!I260))*(1+MARTES!J260/30),(IF(MARTES!C260="peso_corporal",IF(ISNUMBER(MARTES!E260),MARTES!E260,0)+MARTES!L260,MARTES!L260))*(1+MARTES!M260/30),(IF(MARTES!C260="peso_corporal",IF(ISNUMBER(MARTES!E260),MARTES!E260,0)+MARTES!O260,MARTES!O260))*(1+MARTES!P260/30),(IF(MARTES!C260="peso_corporal",IF(ISNUMBER(MARTES!E260),MARTES!E260,0)+MARTES!R260,MARTES!R260))*(1+MARTES!S260/30)),1),""))</f>
        <v/>
      </c>
      <c r="L717" s="52">
        <f>IFERROR(MARTES!E260,"")</f>
        <v>80</v>
      </c>
      <c r="M717" s="53" t="str">
        <f>IFERROR(IF(K717="","-",IF(ISNUMBER(LOOKUP(2,1/((HISTORIAL!$O$3:$O$716=O717)*(HISTORIAL!$F$3:$F$716&lt;&gt;"")),HISTORIAL!$K$3:$K$716)),IF(K717&gt;LOOKUP(2,1/((HISTORIAL!$O$3:$O$716=O717)*(HISTORIAL!$F$3:$F$716&lt;&gt;"")),HISTORIAL!$K$3:$K$716),"^",IF(K717&lt;LOOKUP(2,1/((HISTORIAL!$O$3:$O$716=O717)*(HISTORIAL!$F$3:$F$716&lt;&gt;"")),HISTORIAL!$K$3:$K$716),"v","-")),"-")),"-")</f>
        <v>-</v>
      </c>
      <c r="N717" s="54" t="str">
        <f>IFERROR(VLOOKUP(A717,CONFIG!$A$10:$B$21,2,0),"")</f>
        <v>DEL</v>
      </c>
      <c r="O717" s="55" t="str">
        <f t="shared" si="23"/>
        <v>Crunch|Polea</v>
      </c>
      <c r="P717" s="69" t="str">
        <f>MARTES!AC260</f>
        <v/>
      </c>
    </row>
    <row r="718" spans="1:16" ht="14.1" customHeight="1">
      <c r="A718" s="37">
        <v>12</v>
      </c>
      <c r="B718" s="37" t="s">
        <v>279</v>
      </c>
      <c r="C718" s="44" t="str">
        <f>MIERCOLES!$A$254</f>
        <v>Curl Femoral</v>
      </c>
      <c r="D718" s="45" t="str">
        <f>MIERCOLES!$B$254</f>
        <v>Tumbado Maquina</v>
      </c>
      <c r="E718" s="37" t="str">
        <f>MIERCOLES!$C$254</f>
        <v>polea</v>
      </c>
      <c r="F718" s="46" t="str">
        <f>IF(P718="","",IFERROR(CHOOSE(VALUE(RIGHT(P718,1)),MIERCOLES!F254,MIERCOLES!I254,MIERCOLES!L254,MIERCOLES!O254,MIERCOLES!R254),""))</f>
        <v/>
      </c>
      <c r="G718" s="47" t="str">
        <f>IF(P718="","",IFERROR(CHOOSE(VALUE(RIGHT(P718,1)),MIERCOLES!G254,MIERCOLES!J254,MIERCOLES!M254,MIERCOLES!P254,MIERCOLES!S254),""))</f>
        <v/>
      </c>
      <c r="H718" s="48" t="str">
        <f>IF(P718="","",IFERROR(CHOOSE(VALUE(RIGHT(P718,1)),MIERCOLES!H254,MIERCOLES!K254,MIERCOLES!N254,MIERCOLES!Q254,MIERCOLES!T254),""))</f>
        <v/>
      </c>
      <c r="I718" s="49" t="str">
        <f t="shared" si="22"/>
        <v/>
      </c>
      <c r="J718" s="50" t="str">
        <f>IF(P718="","",IFERROR(ROUND(CHOOSE(VALUE(RIGHT(P718,1)),IF(MIERCOLES!C254="peso_corporal",IF(ISNUMBER(MIERCOLES!E254),MIERCOLES!E254,0)+MIERCOLES!F254,MIERCOLES!F254)*MIERCOLES!G254,IF(MIERCOLES!C254="peso_corporal",IF(ISNUMBER(MIERCOLES!E254),MIERCOLES!E254,0)+MIERCOLES!I254,MIERCOLES!I254)*MIERCOLES!J254,IF(MIERCOLES!C254="peso_corporal",IF(ISNUMBER(MIERCOLES!E254),MIERCOLES!E254,0)+MIERCOLES!L254,MIERCOLES!L254)*MIERCOLES!M254,IF(MIERCOLES!C254="peso_corporal",IF(ISNUMBER(MIERCOLES!E254),MIERCOLES!E254,0)+MIERCOLES!O254,MIERCOLES!O254)*MIERCOLES!P254,IF(MIERCOLES!C254="peso_corporal",IF(ISNUMBER(MIERCOLES!E254),MIERCOLES!E254,0)+MIERCOLES!R254,MIERCOLES!R254)*MIERCOLES!S254),1),""))</f>
        <v/>
      </c>
      <c r="K718" s="51" t="str">
        <f>IF(P718="","",IFERROR(ROUND(CHOOSE(VALUE(RIGHT(P718,1)),(IF(MIERCOLES!C254="peso_corporal",IF(ISNUMBER(MIERCOLES!E254),MIERCOLES!E254,0)+MIERCOLES!F254,MIERCOLES!F254))*(1+MIERCOLES!G254/30),(IF(MIERCOLES!C254="peso_corporal",IF(ISNUMBER(MIERCOLES!E254),MIERCOLES!E254,0)+MIERCOLES!I254,MIERCOLES!I254))*(1+MIERCOLES!J254/30),(IF(MIERCOLES!C254="peso_corporal",IF(ISNUMBER(MIERCOLES!E254),MIERCOLES!E254,0)+MIERCOLES!L254,MIERCOLES!L254))*(1+MIERCOLES!M254/30),(IF(MIERCOLES!C254="peso_corporal",IF(ISNUMBER(MIERCOLES!E254),MIERCOLES!E254,0)+MIERCOLES!O254,MIERCOLES!O254))*(1+MIERCOLES!P254/30),(IF(MIERCOLES!C254="peso_corporal",IF(ISNUMBER(MIERCOLES!E254),MIERCOLES!E254,0)+MIERCOLES!R254,MIERCOLES!R254))*(1+MIERCOLES!S254/30)),1),""))</f>
        <v/>
      </c>
      <c r="L718" s="52">
        <f>IFERROR(MIERCOLES!E254,"")</f>
        <v>80</v>
      </c>
      <c r="M718" s="53" t="str">
        <f>IFERROR(IF(K718="","-",IF(ISNUMBER(LOOKUP(2,1/((HISTORIAL!$O$3:$O$717=O718)*(HISTORIAL!$F$3:$F$717&lt;&gt;"")),HISTORIAL!$K$3:$K$717)),IF(K718&gt;LOOKUP(2,1/((HISTORIAL!$O$3:$O$717=O718)*(HISTORIAL!$F$3:$F$717&lt;&gt;"")),HISTORIAL!$K$3:$K$717),"^",IF(K718&lt;LOOKUP(2,1/((HISTORIAL!$O$3:$O$717=O718)*(HISTORIAL!$F$3:$F$717&lt;&gt;"")),HISTORIAL!$K$3:$K$717),"v","-")),"-")),"-")</f>
        <v>-</v>
      </c>
      <c r="N718" s="54" t="str">
        <f>IFERROR(VLOOKUP(A718,CONFIG!$A$10:$B$21,2,0),"")</f>
        <v>DEL</v>
      </c>
      <c r="O718" s="55" t="str">
        <f t="shared" si="23"/>
        <v>Curl Femoral|Tumbado Maquina</v>
      </c>
      <c r="P718" s="69" t="str">
        <f>MIERCOLES!AC254</f>
        <v/>
      </c>
    </row>
    <row r="719" spans="1:16" ht="14.1" customHeight="1">
      <c r="A719" s="37">
        <v>12</v>
      </c>
      <c r="B719" s="37" t="s">
        <v>279</v>
      </c>
      <c r="C719" s="44" t="str">
        <f>MIERCOLES!$A$255</f>
        <v>Curl Femoral</v>
      </c>
      <c r="D719" s="45" t="str">
        <f>MIERCOLES!$B$255</f>
        <v>Sentado Maquina</v>
      </c>
      <c r="E719" s="37" t="str">
        <f>MIERCOLES!$C$255</f>
        <v>polea</v>
      </c>
      <c r="F719" s="46" t="str">
        <f>IF(P719="","",IFERROR(CHOOSE(VALUE(RIGHT(P719,1)),MIERCOLES!F255,MIERCOLES!I255,MIERCOLES!L255,MIERCOLES!O255,MIERCOLES!R255),""))</f>
        <v/>
      </c>
      <c r="G719" s="47" t="str">
        <f>IF(P719="","",IFERROR(CHOOSE(VALUE(RIGHT(P719,1)),MIERCOLES!G255,MIERCOLES!J255,MIERCOLES!M255,MIERCOLES!P255,MIERCOLES!S255),""))</f>
        <v/>
      </c>
      <c r="H719" s="48" t="str">
        <f>IF(P719="","",IFERROR(CHOOSE(VALUE(RIGHT(P719,1)),MIERCOLES!H255,MIERCOLES!K255,MIERCOLES!N255,MIERCOLES!Q255,MIERCOLES!T255),""))</f>
        <v/>
      </c>
      <c r="I719" s="49" t="str">
        <f t="shared" si="22"/>
        <v/>
      </c>
      <c r="J719" s="50" t="str">
        <f>IF(P719="","",IFERROR(ROUND(CHOOSE(VALUE(RIGHT(P719,1)),IF(MIERCOLES!C255="peso_corporal",IF(ISNUMBER(MIERCOLES!E255),MIERCOLES!E255,0)+MIERCOLES!F255,MIERCOLES!F255)*MIERCOLES!G255,IF(MIERCOLES!C255="peso_corporal",IF(ISNUMBER(MIERCOLES!E255),MIERCOLES!E255,0)+MIERCOLES!I255,MIERCOLES!I255)*MIERCOLES!J255,IF(MIERCOLES!C255="peso_corporal",IF(ISNUMBER(MIERCOLES!E255),MIERCOLES!E255,0)+MIERCOLES!L255,MIERCOLES!L255)*MIERCOLES!M255,IF(MIERCOLES!C255="peso_corporal",IF(ISNUMBER(MIERCOLES!E255),MIERCOLES!E255,0)+MIERCOLES!O255,MIERCOLES!O255)*MIERCOLES!P255,IF(MIERCOLES!C255="peso_corporal",IF(ISNUMBER(MIERCOLES!E255),MIERCOLES!E255,0)+MIERCOLES!R255,MIERCOLES!R255)*MIERCOLES!S255),1),""))</f>
        <v/>
      </c>
      <c r="K719" s="51" t="str">
        <f>IF(P719="","",IFERROR(ROUND(CHOOSE(VALUE(RIGHT(P719,1)),(IF(MIERCOLES!C255="peso_corporal",IF(ISNUMBER(MIERCOLES!E255),MIERCOLES!E255,0)+MIERCOLES!F255,MIERCOLES!F255))*(1+MIERCOLES!G255/30),(IF(MIERCOLES!C255="peso_corporal",IF(ISNUMBER(MIERCOLES!E255),MIERCOLES!E255,0)+MIERCOLES!I255,MIERCOLES!I255))*(1+MIERCOLES!J255/30),(IF(MIERCOLES!C255="peso_corporal",IF(ISNUMBER(MIERCOLES!E255),MIERCOLES!E255,0)+MIERCOLES!L255,MIERCOLES!L255))*(1+MIERCOLES!M255/30),(IF(MIERCOLES!C255="peso_corporal",IF(ISNUMBER(MIERCOLES!E255),MIERCOLES!E255,0)+MIERCOLES!O255,MIERCOLES!O255))*(1+MIERCOLES!P255/30),(IF(MIERCOLES!C255="peso_corporal",IF(ISNUMBER(MIERCOLES!E255),MIERCOLES!E255,0)+MIERCOLES!R255,MIERCOLES!R255))*(1+MIERCOLES!S255/30)),1),""))</f>
        <v/>
      </c>
      <c r="L719" s="52">
        <f>IFERROR(MIERCOLES!E255,"")</f>
        <v>80</v>
      </c>
      <c r="M719" s="53" t="str">
        <f>IFERROR(IF(K719="","-",IF(ISNUMBER(LOOKUP(2,1/((HISTORIAL!$O$3:$O$718=O719)*(HISTORIAL!$F$3:$F$718&lt;&gt;"")),HISTORIAL!$K$3:$K$718)),IF(K719&gt;LOOKUP(2,1/((HISTORIAL!$O$3:$O$718=O719)*(HISTORIAL!$F$3:$F$718&lt;&gt;"")),HISTORIAL!$K$3:$K$718),"^",IF(K719&lt;LOOKUP(2,1/((HISTORIAL!$O$3:$O$718=O719)*(HISTORIAL!$F$3:$F$718&lt;&gt;"")),HISTORIAL!$K$3:$K$718),"v","-")),"-")),"-")</f>
        <v>-</v>
      </c>
      <c r="N719" s="54" t="str">
        <f>IFERROR(VLOOKUP(A719,CONFIG!$A$10:$B$21,2,0),"")</f>
        <v>DEL</v>
      </c>
      <c r="O719" s="55" t="str">
        <f t="shared" si="23"/>
        <v>Curl Femoral|Sentado Maquina</v>
      </c>
      <c r="P719" s="69" t="str">
        <f>MIERCOLES!AC255</f>
        <v/>
      </c>
    </row>
    <row r="720" spans="1:16" ht="14.1" customHeight="1">
      <c r="A720" s="37">
        <v>12</v>
      </c>
      <c r="B720" s="37" t="s">
        <v>279</v>
      </c>
      <c r="C720" s="44" t="str">
        <f>MIERCOLES!$A$256</f>
        <v>Curl Rumano</v>
      </c>
      <c r="D720" s="45" t="str">
        <f>MIERCOLES!$B$256</f>
        <v>Mancuernas</v>
      </c>
      <c r="E720" s="37" t="str">
        <f>MIERCOLES!$C$256</f>
        <v>mancuerna</v>
      </c>
      <c r="F720" s="46" t="str">
        <f>IF(P720="","",IFERROR(CHOOSE(VALUE(RIGHT(P720,1)),MIERCOLES!F256,MIERCOLES!I256,MIERCOLES!L256,MIERCOLES!O256,MIERCOLES!R256),""))</f>
        <v/>
      </c>
      <c r="G720" s="47" t="str">
        <f>IF(P720="","",IFERROR(CHOOSE(VALUE(RIGHT(P720,1)),MIERCOLES!G256,MIERCOLES!J256,MIERCOLES!M256,MIERCOLES!P256,MIERCOLES!S256),""))</f>
        <v/>
      </c>
      <c r="H720" s="48" t="str">
        <f>IF(P720="","",IFERROR(CHOOSE(VALUE(RIGHT(P720,1)),MIERCOLES!H256,MIERCOLES!K256,MIERCOLES!N256,MIERCOLES!Q256,MIERCOLES!T256),""))</f>
        <v/>
      </c>
      <c r="I720" s="49" t="str">
        <f t="shared" si="22"/>
        <v/>
      </c>
      <c r="J720" s="50" t="str">
        <f>IF(P720="","",IFERROR(ROUND(CHOOSE(VALUE(RIGHT(P720,1)),IF(MIERCOLES!C256="peso_corporal",IF(ISNUMBER(MIERCOLES!E256),MIERCOLES!E256,0)+MIERCOLES!F256,MIERCOLES!F256)*MIERCOLES!G256,IF(MIERCOLES!C256="peso_corporal",IF(ISNUMBER(MIERCOLES!E256),MIERCOLES!E256,0)+MIERCOLES!I256,MIERCOLES!I256)*MIERCOLES!J256,IF(MIERCOLES!C256="peso_corporal",IF(ISNUMBER(MIERCOLES!E256),MIERCOLES!E256,0)+MIERCOLES!L256,MIERCOLES!L256)*MIERCOLES!M256,IF(MIERCOLES!C256="peso_corporal",IF(ISNUMBER(MIERCOLES!E256),MIERCOLES!E256,0)+MIERCOLES!O256,MIERCOLES!O256)*MIERCOLES!P256,IF(MIERCOLES!C256="peso_corporal",IF(ISNUMBER(MIERCOLES!E256),MIERCOLES!E256,0)+MIERCOLES!R256,MIERCOLES!R256)*MIERCOLES!S256),1),""))</f>
        <v/>
      </c>
      <c r="K720" s="51" t="str">
        <f>IF(P720="","",IFERROR(ROUND(CHOOSE(VALUE(RIGHT(P720,1)),(IF(MIERCOLES!C256="peso_corporal",IF(ISNUMBER(MIERCOLES!E256),MIERCOLES!E256,0)+MIERCOLES!F256,MIERCOLES!F256))*(1+MIERCOLES!G256/30),(IF(MIERCOLES!C256="peso_corporal",IF(ISNUMBER(MIERCOLES!E256),MIERCOLES!E256,0)+MIERCOLES!I256,MIERCOLES!I256))*(1+MIERCOLES!J256/30),(IF(MIERCOLES!C256="peso_corporal",IF(ISNUMBER(MIERCOLES!E256),MIERCOLES!E256,0)+MIERCOLES!L256,MIERCOLES!L256))*(1+MIERCOLES!M256/30),(IF(MIERCOLES!C256="peso_corporal",IF(ISNUMBER(MIERCOLES!E256),MIERCOLES!E256,0)+MIERCOLES!O256,MIERCOLES!O256))*(1+MIERCOLES!P256/30),(IF(MIERCOLES!C256="peso_corporal",IF(ISNUMBER(MIERCOLES!E256),MIERCOLES!E256,0)+MIERCOLES!R256,MIERCOLES!R256))*(1+MIERCOLES!S256/30)),1),""))</f>
        <v/>
      </c>
      <c r="L720" s="52">
        <f>IFERROR(MIERCOLES!E256,"")</f>
        <v>80</v>
      </c>
      <c r="M720" s="53" t="str">
        <f>IFERROR(IF(K720="","-",IF(ISNUMBER(LOOKUP(2,1/((HISTORIAL!$O$3:$O$719=O720)*(HISTORIAL!$F$3:$F$719&lt;&gt;"")),HISTORIAL!$K$3:$K$719)),IF(K720&gt;LOOKUP(2,1/((HISTORIAL!$O$3:$O$719=O720)*(HISTORIAL!$F$3:$F$719&lt;&gt;"")),HISTORIAL!$K$3:$K$719),"^",IF(K720&lt;LOOKUP(2,1/((HISTORIAL!$O$3:$O$719=O720)*(HISTORIAL!$F$3:$F$719&lt;&gt;"")),HISTORIAL!$K$3:$K$719),"v","-")),"-")),"-")</f>
        <v>-</v>
      </c>
      <c r="N720" s="54" t="str">
        <f>IFERROR(VLOOKUP(A720,CONFIG!$A$10:$B$21,2,0),"")</f>
        <v>DEL</v>
      </c>
      <c r="O720" s="55" t="str">
        <f t="shared" si="23"/>
        <v>Curl Rumano|Mancuernas</v>
      </c>
      <c r="P720" s="69" t="str">
        <f>MIERCOLES!AC256</f>
        <v/>
      </c>
    </row>
    <row r="721" spans="1:16" ht="14.1" customHeight="1">
      <c r="A721" s="37">
        <v>12</v>
      </c>
      <c r="B721" s="37" t="s">
        <v>279</v>
      </c>
      <c r="C721" s="44" t="str">
        <f>MIERCOLES!$A$258</f>
        <v>Sentadilla</v>
      </c>
      <c r="D721" s="45" t="str">
        <f>MIERCOLES!$B$258</f>
        <v>Multipower Cuna Talones</v>
      </c>
      <c r="E721" s="37" t="str">
        <f>MIERCOLES!$C$258</f>
        <v>--</v>
      </c>
      <c r="F721" s="46" t="str">
        <f>IF(P721="","",IFERROR(CHOOSE(VALUE(RIGHT(P721,1)),MIERCOLES!F258,MIERCOLES!I258,MIERCOLES!L258,MIERCOLES!O258,MIERCOLES!R258),""))</f>
        <v/>
      </c>
      <c r="G721" s="47" t="str">
        <f>IF(P721="","",IFERROR(CHOOSE(VALUE(RIGHT(P721,1)),MIERCOLES!G258,MIERCOLES!J258,MIERCOLES!M258,MIERCOLES!P258,MIERCOLES!S258),""))</f>
        <v/>
      </c>
      <c r="H721" s="48" t="str">
        <f>IF(P721="","",IFERROR(CHOOSE(VALUE(RIGHT(P721,1)),MIERCOLES!H258,MIERCOLES!K258,MIERCOLES!N258,MIERCOLES!Q258,MIERCOLES!T258),""))</f>
        <v/>
      </c>
      <c r="I721" s="49" t="str">
        <f t="shared" si="22"/>
        <v/>
      </c>
      <c r="J721" s="50" t="str">
        <f>IF(P721="","",IFERROR(ROUND(CHOOSE(VALUE(RIGHT(P721,1)),IF(MIERCOLES!C258="peso_corporal",IF(ISNUMBER(MIERCOLES!E258),MIERCOLES!E258,0)+MIERCOLES!F258,MIERCOLES!F258)*MIERCOLES!G258,IF(MIERCOLES!C258="peso_corporal",IF(ISNUMBER(MIERCOLES!E258),MIERCOLES!E258,0)+MIERCOLES!I258,MIERCOLES!I258)*MIERCOLES!J258,IF(MIERCOLES!C258="peso_corporal",IF(ISNUMBER(MIERCOLES!E258),MIERCOLES!E258,0)+MIERCOLES!L258,MIERCOLES!L258)*MIERCOLES!M258,IF(MIERCOLES!C258="peso_corporal",IF(ISNUMBER(MIERCOLES!E258),MIERCOLES!E258,0)+MIERCOLES!O258,MIERCOLES!O258)*MIERCOLES!P258,IF(MIERCOLES!C258="peso_corporal",IF(ISNUMBER(MIERCOLES!E258),MIERCOLES!E258,0)+MIERCOLES!R258,MIERCOLES!R258)*MIERCOLES!S258),1),""))</f>
        <v/>
      </c>
      <c r="K721" s="51" t="str">
        <f>IF(P721="","",IFERROR(ROUND(CHOOSE(VALUE(RIGHT(P721,1)),(IF(MIERCOLES!C258="peso_corporal",IF(ISNUMBER(MIERCOLES!E258),MIERCOLES!E258,0)+MIERCOLES!F258,MIERCOLES!F258))*(1+MIERCOLES!G258/30),(IF(MIERCOLES!C258="peso_corporal",IF(ISNUMBER(MIERCOLES!E258),MIERCOLES!E258,0)+MIERCOLES!I258,MIERCOLES!I258))*(1+MIERCOLES!J258/30),(IF(MIERCOLES!C258="peso_corporal",IF(ISNUMBER(MIERCOLES!E258),MIERCOLES!E258,0)+MIERCOLES!L258,MIERCOLES!L258))*(1+MIERCOLES!M258/30),(IF(MIERCOLES!C258="peso_corporal",IF(ISNUMBER(MIERCOLES!E258),MIERCOLES!E258,0)+MIERCOLES!O258,MIERCOLES!O258))*(1+MIERCOLES!P258/30),(IF(MIERCOLES!C258="peso_corporal",IF(ISNUMBER(MIERCOLES!E258),MIERCOLES!E258,0)+MIERCOLES!R258,MIERCOLES!R258))*(1+MIERCOLES!S258/30)),1),""))</f>
        <v/>
      </c>
      <c r="L721" s="52">
        <f>IFERROR(MIERCOLES!E258,"")</f>
        <v>80</v>
      </c>
      <c r="M721" s="53" t="str">
        <f>IFERROR(IF(K721="","-",IF(ISNUMBER(LOOKUP(2,1/((HISTORIAL!$O$3:$O$720=O721)*(HISTORIAL!$F$3:$F$720&lt;&gt;"")),HISTORIAL!$K$3:$K$720)),IF(K721&gt;LOOKUP(2,1/((HISTORIAL!$O$3:$O$720=O721)*(HISTORIAL!$F$3:$F$720&lt;&gt;"")),HISTORIAL!$K$3:$K$720),"^",IF(K721&lt;LOOKUP(2,1/((HISTORIAL!$O$3:$O$720=O721)*(HISTORIAL!$F$3:$F$720&lt;&gt;"")),HISTORIAL!$K$3:$K$720),"v","-")),"-")),"-")</f>
        <v>-</v>
      </c>
      <c r="N721" s="54" t="str">
        <f>IFERROR(VLOOKUP(A721,CONFIG!$A$10:$B$21,2,0),"")</f>
        <v>DEL</v>
      </c>
      <c r="O721" s="55" t="str">
        <f t="shared" si="23"/>
        <v>Sentadilla|Multipower Cuna Talones</v>
      </c>
      <c r="P721" s="69" t="str">
        <f>MIERCOLES!AC258</f>
        <v/>
      </c>
    </row>
    <row r="722" spans="1:16" ht="14.1" customHeight="1">
      <c r="A722" s="37">
        <v>12</v>
      </c>
      <c r="B722" s="37" t="s">
        <v>279</v>
      </c>
      <c r="C722" s="44" t="str">
        <f>MIERCOLES!$A$259</f>
        <v>Prensa Pierna</v>
      </c>
      <c r="D722" s="45" t="str">
        <f>MIERCOLES!$B$259</f>
        <v>Individual Horizontal</v>
      </c>
      <c r="E722" s="37" t="str">
        <f>MIERCOLES!$C$259</f>
        <v>--</v>
      </c>
      <c r="F722" s="46" t="str">
        <f>IF(P722="","",IFERROR(CHOOSE(VALUE(RIGHT(P722,1)),MIERCOLES!F259,MIERCOLES!I259,MIERCOLES!L259,MIERCOLES!O259,MIERCOLES!R259),""))</f>
        <v/>
      </c>
      <c r="G722" s="47" t="str">
        <f>IF(P722="","",IFERROR(CHOOSE(VALUE(RIGHT(P722,1)),MIERCOLES!G259,MIERCOLES!J259,MIERCOLES!M259,MIERCOLES!P259,MIERCOLES!S259),""))</f>
        <v/>
      </c>
      <c r="H722" s="48" t="str">
        <f>IF(P722="","",IFERROR(CHOOSE(VALUE(RIGHT(P722,1)),MIERCOLES!H259,MIERCOLES!K259,MIERCOLES!N259,MIERCOLES!Q259,MIERCOLES!T259),""))</f>
        <v/>
      </c>
      <c r="I722" s="49" t="str">
        <f t="shared" si="22"/>
        <v/>
      </c>
      <c r="J722" s="50" t="str">
        <f>IF(P722="","",IFERROR(ROUND(CHOOSE(VALUE(RIGHT(P722,1)),IF(MIERCOLES!C259="peso_corporal",IF(ISNUMBER(MIERCOLES!E259),MIERCOLES!E259,0)+MIERCOLES!F259,MIERCOLES!F259)*MIERCOLES!G259,IF(MIERCOLES!C259="peso_corporal",IF(ISNUMBER(MIERCOLES!E259),MIERCOLES!E259,0)+MIERCOLES!I259,MIERCOLES!I259)*MIERCOLES!J259,IF(MIERCOLES!C259="peso_corporal",IF(ISNUMBER(MIERCOLES!E259),MIERCOLES!E259,0)+MIERCOLES!L259,MIERCOLES!L259)*MIERCOLES!M259,IF(MIERCOLES!C259="peso_corporal",IF(ISNUMBER(MIERCOLES!E259),MIERCOLES!E259,0)+MIERCOLES!O259,MIERCOLES!O259)*MIERCOLES!P259,IF(MIERCOLES!C259="peso_corporal",IF(ISNUMBER(MIERCOLES!E259),MIERCOLES!E259,0)+MIERCOLES!R259,MIERCOLES!R259)*MIERCOLES!S259),1),""))</f>
        <v/>
      </c>
      <c r="K722" s="51" t="str">
        <f>IF(P722="","",IFERROR(ROUND(CHOOSE(VALUE(RIGHT(P722,1)),(IF(MIERCOLES!C259="peso_corporal",IF(ISNUMBER(MIERCOLES!E259),MIERCOLES!E259,0)+MIERCOLES!F259,MIERCOLES!F259))*(1+MIERCOLES!G259/30),(IF(MIERCOLES!C259="peso_corporal",IF(ISNUMBER(MIERCOLES!E259),MIERCOLES!E259,0)+MIERCOLES!I259,MIERCOLES!I259))*(1+MIERCOLES!J259/30),(IF(MIERCOLES!C259="peso_corporal",IF(ISNUMBER(MIERCOLES!E259),MIERCOLES!E259,0)+MIERCOLES!L259,MIERCOLES!L259))*(1+MIERCOLES!M259/30),(IF(MIERCOLES!C259="peso_corporal",IF(ISNUMBER(MIERCOLES!E259),MIERCOLES!E259,0)+MIERCOLES!O259,MIERCOLES!O259))*(1+MIERCOLES!P259/30),(IF(MIERCOLES!C259="peso_corporal",IF(ISNUMBER(MIERCOLES!E259),MIERCOLES!E259,0)+MIERCOLES!R259,MIERCOLES!R259))*(1+MIERCOLES!S259/30)),1),""))</f>
        <v/>
      </c>
      <c r="L722" s="52">
        <f>IFERROR(MIERCOLES!E259,"")</f>
        <v>80</v>
      </c>
      <c r="M722" s="53" t="str">
        <f>IFERROR(IF(K722="","-",IF(ISNUMBER(LOOKUP(2,1/((HISTORIAL!$O$3:$O$721=O722)*(HISTORIAL!$F$3:$F$721&lt;&gt;"")),HISTORIAL!$K$3:$K$721)),IF(K722&gt;LOOKUP(2,1/((HISTORIAL!$O$3:$O$721=O722)*(HISTORIAL!$F$3:$F$721&lt;&gt;"")),HISTORIAL!$K$3:$K$721),"^",IF(K722&lt;LOOKUP(2,1/((HISTORIAL!$O$3:$O$721=O722)*(HISTORIAL!$F$3:$F$721&lt;&gt;"")),HISTORIAL!$K$3:$K$721),"v","-")),"-")),"-")</f>
        <v>-</v>
      </c>
      <c r="N722" s="54" t="str">
        <f>IFERROR(VLOOKUP(A722,CONFIG!$A$10:$B$21,2,0),"")</f>
        <v>DEL</v>
      </c>
      <c r="O722" s="55" t="str">
        <f t="shared" si="23"/>
        <v>Prensa Pierna|Individual Horizontal</v>
      </c>
      <c r="P722" s="69" t="str">
        <f>MIERCOLES!AC259</f>
        <v/>
      </c>
    </row>
    <row r="723" spans="1:16" ht="14.1" customHeight="1">
      <c r="A723" s="37">
        <v>12</v>
      </c>
      <c r="B723" s="37" t="s">
        <v>279</v>
      </c>
      <c r="C723" s="44" t="str">
        <f>MIERCOLES!$A$260</f>
        <v>Extension Cuadriceps</v>
      </c>
      <c r="D723" s="45" t="str">
        <f>MIERCOLES!$B$260</f>
        <v>Vasto Externo</v>
      </c>
      <c r="E723" s="37" t="str">
        <f>MIERCOLES!$C$260</f>
        <v>--</v>
      </c>
      <c r="F723" s="46" t="str">
        <f>IF(P723="","",IFERROR(CHOOSE(VALUE(RIGHT(P723,1)),MIERCOLES!F260,MIERCOLES!I260,MIERCOLES!L260,MIERCOLES!O260,MIERCOLES!R260),""))</f>
        <v/>
      </c>
      <c r="G723" s="47" t="str">
        <f>IF(P723="","",IFERROR(CHOOSE(VALUE(RIGHT(P723,1)),MIERCOLES!G260,MIERCOLES!J260,MIERCOLES!M260,MIERCOLES!P260,MIERCOLES!S260),""))</f>
        <v/>
      </c>
      <c r="H723" s="48" t="str">
        <f>IF(P723="","",IFERROR(CHOOSE(VALUE(RIGHT(P723,1)),MIERCOLES!H260,MIERCOLES!K260,MIERCOLES!N260,MIERCOLES!Q260,MIERCOLES!T260),""))</f>
        <v/>
      </c>
      <c r="I723" s="49" t="str">
        <f t="shared" si="22"/>
        <v/>
      </c>
      <c r="J723" s="50" t="str">
        <f>IF(P723="","",IFERROR(ROUND(CHOOSE(VALUE(RIGHT(P723,1)),IF(MIERCOLES!C260="peso_corporal",IF(ISNUMBER(MIERCOLES!E260),MIERCOLES!E260,0)+MIERCOLES!F260,MIERCOLES!F260)*MIERCOLES!G260,IF(MIERCOLES!C260="peso_corporal",IF(ISNUMBER(MIERCOLES!E260),MIERCOLES!E260,0)+MIERCOLES!I260,MIERCOLES!I260)*MIERCOLES!J260,IF(MIERCOLES!C260="peso_corporal",IF(ISNUMBER(MIERCOLES!E260),MIERCOLES!E260,0)+MIERCOLES!L260,MIERCOLES!L260)*MIERCOLES!M260,IF(MIERCOLES!C260="peso_corporal",IF(ISNUMBER(MIERCOLES!E260),MIERCOLES!E260,0)+MIERCOLES!O260,MIERCOLES!O260)*MIERCOLES!P260,IF(MIERCOLES!C260="peso_corporal",IF(ISNUMBER(MIERCOLES!E260),MIERCOLES!E260,0)+MIERCOLES!R260,MIERCOLES!R260)*MIERCOLES!S260),1),""))</f>
        <v/>
      </c>
      <c r="K723" s="51" t="str">
        <f>IF(P723="","",IFERROR(ROUND(CHOOSE(VALUE(RIGHT(P723,1)),(IF(MIERCOLES!C260="peso_corporal",IF(ISNUMBER(MIERCOLES!E260),MIERCOLES!E260,0)+MIERCOLES!F260,MIERCOLES!F260))*(1+MIERCOLES!G260/30),(IF(MIERCOLES!C260="peso_corporal",IF(ISNUMBER(MIERCOLES!E260),MIERCOLES!E260,0)+MIERCOLES!I260,MIERCOLES!I260))*(1+MIERCOLES!J260/30),(IF(MIERCOLES!C260="peso_corporal",IF(ISNUMBER(MIERCOLES!E260),MIERCOLES!E260,0)+MIERCOLES!L260,MIERCOLES!L260))*(1+MIERCOLES!M260/30),(IF(MIERCOLES!C260="peso_corporal",IF(ISNUMBER(MIERCOLES!E260),MIERCOLES!E260,0)+MIERCOLES!O260,MIERCOLES!O260))*(1+MIERCOLES!P260/30),(IF(MIERCOLES!C260="peso_corporal",IF(ISNUMBER(MIERCOLES!E260),MIERCOLES!E260,0)+MIERCOLES!R260,MIERCOLES!R260))*(1+MIERCOLES!S260/30)),1),""))</f>
        <v/>
      </c>
      <c r="L723" s="52">
        <f>IFERROR(MIERCOLES!E260,"")</f>
        <v>80</v>
      </c>
      <c r="M723" s="53" t="str">
        <f>IFERROR(IF(K723="","-",IF(ISNUMBER(LOOKUP(2,1/((HISTORIAL!$O$3:$O$722=O723)*(HISTORIAL!$F$3:$F$722&lt;&gt;"")),HISTORIAL!$K$3:$K$722)),IF(K723&gt;LOOKUP(2,1/((HISTORIAL!$O$3:$O$722=O723)*(HISTORIAL!$F$3:$F$722&lt;&gt;"")),HISTORIAL!$K$3:$K$722),"^",IF(K723&lt;LOOKUP(2,1/((HISTORIAL!$O$3:$O$722=O723)*(HISTORIAL!$F$3:$F$722&lt;&gt;"")),HISTORIAL!$K$3:$K$722),"v","-")),"-")),"-")</f>
        <v>-</v>
      </c>
      <c r="N723" s="54" t="str">
        <f>IFERROR(VLOOKUP(A723,CONFIG!$A$10:$B$21,2,0),"")</f>
        <v>DEL</v>
      </c>
      <c r="O723" s="55" t="str">
        <f t="shared" si="23"/>
        <v>Extension Cuadriceps|Vasto Externo</v>
      </c>
      <c r="P723" s="69" t="str">
        <f>MIERCOLES!AC260</f>
        <v/>
      </c>
    </row>
    <row r="724" spans="1:16" ht="14.1" customHeight="1">
      <c r="A724" s="37">
        <v>12</v>
      </c>
      <c r="B724" s="37" t="s">
        <v>279</v>
      </c>
      <c r="C724" s="44" t="str">
        <f>MIERCOLES!$A$261</f>
        <v>Extension Cuadriceps</v>
      </c>
      <c r="D724" s="45" t="str">
        <f>MIERCOLES!$B$261</f>
        <v>Vasto Interno</v>
      </c>
      <c r="E724" s="37" t="str">
        <f>MIERCOLES!$C$261</f>
        <v>--</v>
      </c>
      <c r="F724" s="46" t="str">
        <f>IF(P724="","",IFERROR(CHOOSE(VALUE(RIGHT(P724,1)),MIERCOLES!F261,MIERCOLES!I261,MIERCOLES!L261,MIERCOLES!O261,MIERCOLES!R261),""))</f>
        <v/>
      </c>
      <c r="G724" s="47" t="str">
        <f>IF(P724="","",IFERROR(CHOOSE(VALUE(RIGHT(P724,1)),MIERCOLES!G261,MIERCOLES!J261,MIERCOLES!M261,MIERCOLES!P261,MIERCOLES!S261),""))</f>
        <v/>
      </c>
      <c r="H724" s="48" t="str">
        <f>IF(P724="","",IFERROR(CHOOSE(VALUE(RIGHT(P724,1)),MIERCOLES!H261,MIERCOLES!K261,MIERCOLES!N261,MIERCOLES!Q261,MIERCOLES!T261),""))</f>
        <v/>
      </c>
      <c r="I724" s="49" t="str">
        <f t="shared" si="22"/>
        <v/>
      </c>
      <c r="J724" s="50" t="str">
        <f>IF(P724="","",IFERROR(ROUND(CHOOSE(VALUE(RIGHT(P724,1)),IF(MIERCOLES!C261="peso_corporal",IF(ISNUMBER(MIERCOLES!E261),MIERCOLES!E261,0)+MIERCOLES!F261,MIERCOLES!F261)*MIERCOLES!G261,IF(MIERCOLES!C261="peso_corporal",IF(ISNUMBER(MIERCOLES!E261),MIERCOLES!E261,0)+MIERCOLES!I261,MIERCOLES!I261)*MIERCOLES!J261,IF(MIERCOLES!C261="peso_corporal",IF(ISNUMBER(MIERCOLES!E261),MIERCOLES!E261,0)+MIERCOLES!L261,MIERCOLES!L261)*MIERCOLES!M261,IF(MIERCOLES!C261="peso_corporal",IF(ISNUMBER(MIERCOLES!E261),MIERCOLES!E261,0)+MIERCOLES!O261,MIERCOLES!O261)*MIERCOLES!P261,IF(MIERCOLES!C261="peso_corporal",IF(ISNUMBER(MIERCOLES!E261),MIERCOLES!E261,0)+MIERCOLES!R261,MIERCOLES!R261)*MIERCOLES!S261),1),""))</f>
        <v/>
      </c>
      <c r="K724" s="51" t="str">
        <f>IF(P724="","",IFERROR(ROUND(CHOOSE(VALUE(RIGHT(P724,1)),(IF(MIERCOLES!C261="peso_corporal",IF(ISNUMBER(MIERCOLES!E261),MIERCOLES!E261,0)+MIERCOLES!F261,MIERCOLES!F261))*(1+MIERCOLES!G261/30),(IF(MIERCOLES!C261="peso_corporal",IF(ISNUMBER(MIERCOLES!E261),MIERCOLES!E261,0)+MIERCOLES!I261,MIERCOLES!I261))*(1+MIERCOLES!J261/30),(IF(MIERCOLES!C261="peso_corporal",IF(ISNUMBER(MIERCOLES!E261),MIERCOLES!E261,0)+MIERCOLES!L261,MIERCOLES!L261))*(1+MIERCOLES!M261/30),(IF(MIERCOLES!C261="peso_corporal",IF(ISNUMBER(MIERCOLES!E261),MIERCOLES!E261,0)+MIERCOLES!O261,MIERCOLES!O261))*(1+MIERCOLES!P261/30),(IF(MIERCOLES!C261="peso_corporal",IF(ISNUMBER(MIERCOLES!E261),MIERCOLES!E261,0)+MIERCOLES!R261,MIERCOLES!R261))*(1+MIERCOLES!S261/30)),1),""))</f>
        <v/>
      </c>
      <c r="L724" s="52">
        <f>IFERROR(MIERCOLES!E261,"")</f>
        <v>80</v>
      </c>
      <c r="M724" s="53" t="str">
        <f>IFERROR(IF(K724="","-",IF(ISNUMBER(LOOKUP(2,1/((HISTORIAL!$O$3:$O$723=O724)*(HISTORIAL!$F$3:$F$723&lt;&gt;"")),HISTORIAL!$K$3:$K$723)),IF(K724&gt;LOOKUP(2,1/((HISTORIAL!$O$3:$O$723=O724)*(HISTORIAL!$F$3:$F$723&lt;&gt;"")),HISTORIAL!$K$3:$K$723),"^",IF(K724&lt;LOOKUP(2,1/((HISTORIAL!$O$3:$O$723=O724)*(HISTORIAL!$F$3:$F$723&lt;&gt;"")),HISTORIAL!$K$3:$K$723),"v","-")),"-")),"-")</f>
        <v>-</v>
      </c>
      <c r="N724" s="54" t="str">
        <f>IFERROR(VLOOKUP(A724,CONFIG!$A$10:$B$21,2,0),"")</f>
        <v>DEL</v>
      </c>
      <c r="O724" s="55" t="str">
        <f t="shared" si="23"/>
        <v>Extension Cuadriceps|Vasto Interno</v>
      </c>
      <c r="P724" s="69" t="str">
        <f>MIERCOLES!AC261</f>
        <v/>
      </c>
    </row>
    <row r="725" spans="1:16" ht="14.1" customHeight="1">
      <c r="A725" s="37">
        <v>12</v>
      </c>
      <c r="B725" s="37" t="s">
        <v>279</v>
      </c>
      <c r="C725" s="44" t="str">
        <f>MIERCOLES!$A$263</f>
        <v>Elevacion Gemelo</v>
      </c>
      <c r="D725" s="45" t="str">
        <f>MIERCOLES!$B$263</f>
        <v>Sentado</v>
      </c>
      <c r="E725" s="37" t="str">
        <f>MIERCOLES!$C$263</f>
        <v>disco</v>
      </c>
      <c r="F725" s="46" t="str">
        <f>IF(P725="","",IFERROR(CHOOSE(VALUE(RIGHT(P725,1)),MIERCOLES!F263,MIERCOLES!I263,MIERCOLES!L263,MIERCOLES!O263,MIERCOLES!R263),""))</f>
        <v/>
      </c>
      <c r="G725" s="47" t="str">
        <f>IF(P725="","",IFERROR(CHOOSE(VALUE(RIGHT(P725,1)),MIERCOLES!G263,MIERCOLES!J263,MIERCOLES!M263,MIERCOLES!P263,MIERCOLES!S263),""))</f>
        <v/>
      </c>
      <c r="H725" s="48" t="str">
        <f>IF(P725="","",IFERROR(CHOOSE(VALUE(RIGHT(P725,1)),MIERCOLES!H263,MIERCOLES!K263,MIERCOLES!N263,MIERCOLES!Q263,MIERCOLES!T263),""))</f>
        <v/>
      </c>
      <c r="I725" s="49" t="str">
        <f t="shared" si="22"/>
        <v/>
      </c>
      <c r="J725" s="50" t="str">
        <f>IF(P725="","",IFERROR(ROUND(CHOOSE(VALUE(RIGHT(P725,1)),IF(MIERCOLES!C263="peso_corporal",IF(ISNUMBER(MIERCOLES!E263),MIERCOLES!E263,0)+MIERCOLES!F263,MIERCOLES!F263)*MIERCOLES!G263,IF(MIERCOLES!C263="peso_corporal",IF(ISNUMBER(MIERCOLES!E263),MIERCOLES!E263,0)+MIERCOLES!I263,MIERCOLES!I263)*MIERCOLES!J263,IF(MIERCOLES!C263="peso_corporal",IF(ISNUMBER(MIERCOLES!E263),MIERCOLES!E263,0)+MIERCOLES!L263,MIERCOLES!L263)*MIERCOLES!M263,IF(MIERCOLES!C263="peso_corporal",IF(ISNUMBER(MIERCOLES!E263),MIERCOLES!E263,0)+MIERCOLES!O263,MIERCOLES!O263)*MIERCOLES!P263,IF(MIERCOLES!C263="peso_corporal",IF(ISNUMBER(MIERCOLES!E263),MIERCOLES!E263,0)+MIERCOLES!R263,MIERCOLES!R263)*MIERCOLES!S263),1),""))</f>
        <v/>
      </c>
      <c r="K725" s="51" t="str">
        <f>IF(P725="","",IFERROR(ROUND(CHOOSE(VALUE(RIGHT(P725,1)),(IF(MIERCOLES!C263="peso_corporal",IF(ISNUMBER(MIERCOLES!E263),MIERCOLES!E263,0)+MIERCOLES!F263,MIERCOLES!F263))*(1+MIERCOLES!G263/30),(IF(MIERCOLES!C263="peso_corporal",IF(ISNUMBER(MIERCOLES!E263),MIERCOLES!E263,0)+MIERCOLES!I263,MIERCOLES!I263))*(1+MIERCOLES!J263/30),(IF(MIERCOLES!C263="peso_corporal",IF(ISNUMBER(MIERCOLES!E263),MIERCOLES!E263,0)+MIERCOLES!L263,MIERCOLES!L263))*(1+MIERCOLES!M263/30),(IF(MIERCOLES!C263="peso_corporal",IF(ISNUMBER(MIERCOLES!E263),MIERCOLES!E263,0)+MIERCOLES!O263,MIERCOLES!O263))*(1+MIERCOLES!P263/30),(IF(MIERCOLES!C263="peso_corporal",IF(ISNUMBER(MIERCOLES!E263),MIERCOLES!E263,0)+MIERCOLES!R263,MIERCOLES!R263))*(1+MIERCOLES!S263/30)),1),""))</f>
        <v/>
      </c>
      <c r="L725" s="52">
        <f>IFERROR(MIERCOLES!E263,"")</f>
        <v>80</v>
      </c>
      <c r="M725" s="53" t="str">
        <f>IFERROR(IF(K725="","-",IF(ISNUMBER(LOOKUP(2,1/((HISTORIAL!$O$3:$O$724=O725)*(HISTORIAL!$F$3:$F$724&lt;&gt;"")),HISTORIAL!$K$3:$K$724)),IF(K725&gt;LOOKUP(2,1/((HISTORIAL!$O$3:$O$724=O725)*(HISTORIAL!$F$3:$F$724&lt;&gt;"")),HISTORIAL!$K$3:$K$724),"^",IF(K725&lt;LOOKUP(2,1/((HISTORIAL!$O$3:$O$724=O725)*(HISTORIAL!$F$3:$F$724&lt;&gt;"")),HISTORIAL!$K$3:$K$724),"v","-")),"-")),"-")</f>
        <v>-</v>
      </c>
      <c r="N725" s="54" t="str">
        <f>IFERROR(VLOOKUP(A725,CONFIG!$A$10:$B$21,2,0),"")</f>
        <v>DEL</v>
      </c>
      <c r="O725" s="55" t="str">
        <f t="shared" si="23"/>
        <v>Elevacion Gemelo|Sentado</v>
      </c>
      <c r="P725" s="69" t="str">
        <f>MIERCOLES!AC263</f>
        <v/>
      </c>
    </row>
    <row r="726" spans="1:16" ht="14.1" customHeight="1">
      <c r="A726" s="37">
        <v>12</v>
      </c>
      <c r="B726" s="37" t="s">
        <v>279</v>
      </c>
      <c r="C726" s="44" t="str">
        <f>MIERCOLES!$A$264</f>
        <v>Elevacion Gemelo</v>
      </c>
      <c r="D726" s="45" t="str">
        <f>MIERCOLES!$B$264</f>
        <v>De Pie</v>
      </c>
      <c r="E726" s="37" t="str">
        <f>MIERCOLES!$C$264</f>
        <v>disco</v>
      </c>
      <c r="F726" s="46" t="str">
        <f>IF(P726="","",IFERROR(CHOOSE(VALUE(RIGHT(P726,1)),MIERCOLES!F264,MIERCOLES!I264,MIERCOLES!L264,MIERCOLES!O264,MIERCOLES!R264),""))</f>
        <v/>
      </c>
      <c r="G726" s="47" t="str">
        <f>IF(P726="","",IFERROR(CHOOSE(VALUE(RIGHT(P726,1)),MIERCOLES!G264,MIERCOLES!J264,MIERCOLES!M264,MIERCOLES!P264,MIERCOLES!S264),""))</f>
        <v/>
      </c>
      <c r="H726" s="48" t="str">
        <f>IF(P726="","",IFERROR(CHOOSE(VALUE(RIGHT(P726,1)),MIERCOLES!H264,MIERCOLES!K264,MIERCOLES!N264,MIERCOLES!Q264,MIERCOLES!T264),""))</f>
        <v/>
      </c>
      <c r="I726" s="49" t="str">
        <f t="shared" si="22"/>
        <v/>
      </c>
      <c r="J726" s="50" t="str">
        <f>IF(P726="","",IFERROR(ROUND(CHOOSE(VALUE(RIGHT(P726,1)),IF(MIERCOLES!C264="peso_corporal",IF(ISNUMBER(MIERCOLES!E264),MIERCOLES!E264,0)+MIERCOLES!F264,MIERCOLES!F264)*MIERCOLES!G264,IF(MIERCOLES!C264="peso_corporal",IF(ISNUMBER(MIERCOLES!E264),MIERCOLES!E264,0)+MIERCOLES!I264,MIERCOLES!I264)*MIERCOLES!J264,IF(MIERCOLES!C264="peso_corporal",IF(ISNUMBER(MIERCOLES!E264),MIERCOLES!E264,0)+MIERCOLES!L264,MIERCOLES!L264)*MIERCOLES!M264,IF(MIERCOLES!C264="peso_corporal",IF(ISNUMBER(MIERCOLES!E264),MIERCOLES!E264,0)+MIERCOLES!O264,MIERCOLES!O264)*MIERCOLES!P264,IF(MIERCOLES!C264="peso_corporal",IF(ISNUMBER(MIERCOLES!E264),MIERCOLES!E264,0)+MIERCOLES!R264,MIERCOLES!R264)*MIERCOLES!S264),1),""))</f>
        <v/>
      </c>
      <c r="K726" s="51" t="str">
        <f>IF(P726="","",IFERROR(ROUND(CHOOSE(VALUE(RIGHT(P726,1)),(IF(MIERCOLES!C264="peso_corporal",IF(ISNUMBER(MIERCOLES!E264),MIERCOLES!E264,0)+MIERCOLES!F264,MIERCOLES!F264))*(1+MIERCOLES!G264/30),(IF(MIERCOLES!C264="peso_corporal",IF(ISNUMBER(MIERCOLES!E264),MIERCOLES!E264,0)+MIERCOLES!I264,MIERCOLES!I264))*(1+MIERCOLES!J264/30),(IF(MIERCOLES!C264="peso_corporal",IF(ISNUMBER(MIERCOLES!E264),MIERCOLES!E264,0)+MIERCOLES!L264,MIERCOLES!L264))*(1+MIERCOLES!M264/30),(IF(MIERCOLES!C264="peso_corporal",IF(ISNUMBER(MIERCOLES!E264),MIERCOLES!E264,0)+MIERCOLES!O264,MIERCOLES!O264))*(1+MIERCOLES!P264/30),(IF(MIERCOLES!C264="peso_corporal",IF(ISNUMBER(MIERCOLES!E264),MIERCOLES!E264,0)+MIERCOLES!R264,MIERCOLES!R264))*(1+MIERCOLES!S264/30)),1),""))</f>
        <v/>
      </c>
      <c r="L726" s="52">
        <f>IFERROR(MIERCOLES!E264,"")</f>
        <v>80</v>
      </c>
      <c r="M726" s="53" t="str">
        <f>IFERROR(IF(K726="","-",IF(ISNUMBER(LOOKUP(2,1/((HISTORIAL!$O$3:$O$725=O726)*(HISTORIAL!$F$3:$F$725&lt;&gt;"")),HISTORIAL!$K$3:$K$725)),IF(K726&gt;LOOKUP(2,1/((HISTORIAL!$O$3:$O$725=O726)*(HISTORIAL!$F$3:$F$725&lt;&gt;"")),HISTORIAL!$K$3:$K$725),"^",IF(K726&lt;LOOKUP(2,1/((HISTORIAL!$O$3:$O$725=O726)*(HISTORIAL!$F$3:$F$725&lt;&gt;"")),HISTORIAL!$K$3:$K$725),"v","-")),"-")),"-")</f>
        <v>-</v>
      </c>
      <c r="N726" s="54" t="str">
        <f>IFERROR(VLOOKUP(A726,CONFIG!$A$10:$B$21,2,0),"")</f>
        <v>DEL</v>
      </c>
      <c r="O726" s="55" t="str">
        <f t="shared" si="23"/>
        <v>Elevacion Gemelo|De Pie</v>
      </c>
      <c r="P726" s="69" t="str">
        <f>MIERCOLES!AC264</f>
        <v/>
      </c>
    </row>
    <row r="727" spans="1:16" ht="14.1" customHeight="1">
      <c r="A727" s="37">
        <v>12</v>
      </c>
      <c r="B727" s="37" t="s">
        <v>279</v>
      </c>
      <c r="C727" s="44" t="str">
        <f>MIERCOLES!$A$266</f>
        <v>Hiperextension</v>
      </c>
      <c r="D727" s="45" t="str">
        <f>MIERCOLES!$B$266</f>
        <v>Banco Romano</v>
      </c>
      <c r="E727" s="37" t="str">
        <f>MIERCOLES!$C$266</f>
        <v>peso_corporal</v>
      </c>
      <c r="F727" s="46" t="str">
        <f>IF(P727="","",IFERROR(CHOOSE(VALUE(RIGHT(P727,1)),MIERCOLES!F266,MIERCOLES!I266,MIERCOLES!L266,MIERCOLES!O266,MIERCOLES!R266),""))</f>
        <v/>
      </c>
      <c r="G727" s="47" t="str">
        <f>IF(P727="","",IFERROR(CHOOSE(VALUE(RIGHT(P727,1)),MIERCOLES!G266,MIERCOLES!J266,MIERCOLES!M266,MIERCOLES!P266,MIERCOLES!S266),""))</f>
        <v/>
      </c>
      <c r="H727" s="48" t="str">
        <f>IF(P727="","",IFERROR(CHOOSE(VALUE(RIGHT(P727,1)),MIERCOLES!H266,MIERCOLES!K266,MIERCOLES!N266,MIERCOLES!Q266,MIERCOLES!T266),""))</f>
        <v/>
      </c>
      <c r="I727" s="49" t="str">
        <f t="shared" si="22"/>
        <v/>
      </c>
      <c r="J727" s="50" t="str">
        <f>IF(P727="","",IFERROR(ROUND(CHOOSE(VALUE(RIGHT(P727,1)),IF(MIERCOLES!C266="peso_corporal",IF(ISNUMBER(MIERCOLES!E266),MIERCOLES!E266,0)+MIERCOLES!F266,MIERCOLES!F266)*MIERCOLES!G266,IF(MIERCOLES!C266="peso_corporal",IF(ISNUMBER(MIERCOLES!E266),MIERCOLES!E266,0)+MIERCOLES!I266,MIERCOLES!I266)*MIERCOLES!J266,IF(MIERCOLES!C266="peso_corporal",IF(ISNUMBER(MIERCOLES!E266),MIERCOLES!E266,0)+MIERCOLES!L266,MIERCOLES!L266)*MIERCOLES!M266,IF(MIERCOLES!C266="peso_corporal",IF(ISNUMBER(MIERCOLES!E266),MIERCOLES!E266,0)+MIERCOLES!O266,MIERCOLES!O266)*MIERCOLES!P266,IF(MIERCOLES!C266="peso_corporal",IF(ISNUMBER(MIERCOLES!E266),MIERCOLES!E266,0)+MIERCOLES!R266,MIERCOLES!R266)*MIERCOLES!S266),1),""))</f>
        <v/>
      </c>
      <c r="K727" s="51" t="str">
        <f>IF(P727="","",IFERROR(ROUND(CHOOSE(VALUE(RIGHT(P727,1)),(IF(MIERCOLES!C266="peso_corporal",IF(ISNUMBER(MIERCOLES!E266),MIERCOLES!E266,0)+MIERCOLES!F266,MIERCOLES!F266))*(1+MIERCOLES!G266/30),(IF(MIERCOLES!C266="peso_corporal",IF(ISNUMBER(MIERCOLES!E266),MIERCOLES!E266,0)+MIERCOLES!I266,MIERCOLES!I266))*(1+MIERCOLES!J266/30),(IF(MIERCOLES!C266="peso_corporal",IF(ISNUMBER(MIERCOLES!E266),MIERCOLES!E266,0)+MIERCOLES!L266,MIERCOLES!L266))*(1+MIERCOLES!M266/30),(IF(MIERCOLES!C266="peso_corporal",IF(ISNUMBER(MIERCOLES!E266),MIERCOLES!E266,0)+MIERCOLES!O266,MIERCOLES!O266))*(1+MIERCOLES!P266/30),(IF(MIERCOLES!C266="peso_corporal",IF(ISNUMBER(MIERCOLES!E266),MIERCOLES!E266,0)+MIERCOLES!R266,MIERCOLES!R266))*(1+MIERCOLES!S266/30)),1),""))</f>
        <v/>
      </c>
      <c r="L727" s="52">
        <f>IFERROR(MIERCOLES!E266,"")</f>
        <v>80</v>
      </c>
      <c r="M727" s="53" t="str">
        <f>IFERROR(IF(K727="","-",IF(ISNUMBER(LOOKUP(2,1/((HISTORIAL!$O$3:$O$726=O727)*(HISTORIAL!$F$3:$F$726&lt;&gt;"")),HISTORIAL!$K$3:$K$726)),IF(K727&gt;LOOKUP(2,1/((HISTORIAL!$O$3:$O$726=O727)*(HISTORIAL!$F$3:$F$726&lt;&gt;"")),HISTORIAL!$K$3:$K$726),"^",IF(K727&lt;LOOKUP(2,1/((HISTORIAL!$O$3:$O$726=O727)*(HISTORIAL!$F$3:$F$726&lt;&gt;"")),HISTORIAL!$K$3:$K$726),"v","-")),"-")),"-")</f>
        <v>-</v>
      </c>
      <c r="N727" s="54" t="str">
        <f>IFERROR(VLOOKUP(A727,CONFIG!$A$10:$B$21,2,0),"")</f>
        <v>DEL</v>
      </c>
      <c r="O727" s="55" t="str">
        <f t="shared" si="23"/>
        <v>Hiperextension|Banco Romano</v>
      </c>
      <c r="P727" s="69" t="str">
        <f>MIERCOLES!AC266</f>
        <v/>
      </c>
    </row>
    <row r="728" spans="1:16" ht="14.1" customHeight="1">
      <c r="A728" s="37">
        <v>12</v>
      </c>
      <c r="B728" s="37" t="s">
        <v>279</v>
      </c>
      <c r="C728" s="44" t="str">
        <f>MIERCOLES!$A$267</f>
        <v>Peso Muerto Parcial</v>
      </c>
      <c r="D728" s="45" t="str">
        <f>MIERCOLES!$B$267</f>
        <v>Barra</v>
      </c>
      <c r="E728" s="37" t="str">
        <f>MIERCOLES!$C$267</f>
        <v>disco</v>
      </c>
      <c r="F728" s="46" t="str">
        <f>IF(P728="","",IFERROR(CHOOSE(VALUE(RIGHT(P728,1)),MIERCOLES!F267,MIERCOLES!I267,MIERCOLES!L267,MIERCOLES!O267,MIERCOLES!R267),""))</f>
        <v/>
      </c>
      <c r="G728" s="47" t="str">
        <f>IF(P728="","",IFERROR(CHOOSE(VALUE(RIGHT(P728,1)),MIERCOLES!G267,MIERCOLES!J267,MIERCOLES!M267,MIERCOLES!P267,MIERCOLES!S267),""))</f>
        <v/>
      </c>
      <c r="H728" s="48" t="str">
        <f>IF(P728="","",IFERROR(CHOOSE(VALUE(RIGHT(P728,1)),MIERCOLES!H267,MIERCOLES!K267,MIERCOLES!N267,MIERCOLES!Q267,MIERCOLES!T267),""))</f>
        <v/>
      </c>
      <c r="I728" s="49" t="str">
        <f t="shared" si="22"/>
        <v/>
      </c>
      <c r="J728" s="50" t="str">
        <f>IF(P728="","",IFERROR(ROUND(CHOOSE(VALUE(RIGHT(P728,1)),IF(MIERCOLES!C267="peso_corporal",IF(ISNUMBER(MIERCOLES!E267),MIERCOLES!E267,0)+MIERCOLES!F267,MIERCOLES!F267)*MIERCOLES!G267,IF(MIERCOLES!C267="peso_corporal",IF(ISNUMBER(MIERCOLES!E267),MIERCOLES!E267,0)+MIERCOLES!I267,MIERCOLES!I267)*MIERCOLES!J267,IF(MIERCOLES!C267="peso_corporal",IF(ISNUMBER(MIERCOLES!E267),MIERCOLES!E267,0)+MIERCOLES!L267,MIERCOLES!L267)*MIERCOLES!M267,IF(MIERCOLES!C267="peso_corporal",IF(ISNUMBER(MIERCOLES!E267),MIERCOLES!E267,0)+MIERCOLES!O267,MIERCOLES!O267)*MIERCOLES!P267,IF(MIERCOLES!C267="peso_corporal",IF(ISNUMBER(MIERCOLES!E267),MIERCOLES!E267,0)+MIERCOLES!R267,MIERCOLES!R267)*MIERCOLES!S267),1),""))</f>
        <v/>
      </c>
      <c r="K728" s="51" t="str">
        <f>IF(P728="","",IFERROR(ROUND(CHOOSE(VALUE(RIGHT(P728,1)),(IF(MIERCOLES!C267="peso_corporal",IF(ISNUMBER(MIERCOLES!E267),MIERCOLES!E267,0)+MIERCOLES!F267,MIERCOLES!F267))*(1+MIERCOLES!G267/30),(IF(MIERCOLES!C267="peso_corporal",IF(ISNUMBER(MIERCOLES!E267),MIERCOLES!E267,0)+MIERCOLES!I267,MIERCOLES!I267))*(1+MIERCOLES!J267/30),(IF(MIERCOLES!C267="peso_corporal",IF(ISNUMBER(MIERCOLES!E267),MIERCOLES!E267,0)+MIERCOLES!L267,MIERCOLES!L267))*(1+MIERCOLES!M267/30),(IF(MIERCOLES!C267="peso_corporal",IF(ISNUMBER(MIERCOLES!E267),MIERCOLES!E267,0)+MIERCOLES!O267,MIERCOLES!O267))*(1+MIERCOLES!P267/30),(IF(MIERCOLES!C267="peso_corporal",IF(ISNUMBER(MIERCOLES!E267),MIERCOLES!E267,0)+MIERCOLES!R267,MIERCOLES!R267))*(1+MIERCOLES!S267/30)),1),""))</f>
        <v/>
      </c>
      <c r="L728" s="52">
        <f>IFERROR(MIERCOLES!E267,"")</f>
        <v>80</v>
      </c>
      <c r="M728" s="53" t="str">
        <f>IFERROR(IF(K728="","-",IF(ISNUMBER(LOOKUP(2,1/((HISTORIAL!$O$3:$O$727=O728)*(HISTORIAL!$F$3:$F$727&lt;&gt;"")),HISTORIAL!$K$3:$K$727)),IF(K728&gt;LOOKUP(2,1/((HISTORIAL!$O$3:$O$727=O728)*(HISTORIAL!$F$3:$F$727&lt;&gt;"")),HISTORIAL!$K$3:$K$727),"^",IF(K728&lt;LOOKUP(2,1/((HISTORIAL!$O$3:$O$727=O728)*(HISTORIAL!$F$3:$F$727&lt;&gt;"")),HISTORIAL!$K$3:$K$727),"v","-")),"-")),"-")</f>
        <v>-</v>
      </c>
      <c r="N728" s="54" t="str">
        <f>IFERROR(VLOOKUP(A728,CONFIG!$A$10:$B$21,2,0),"")</f>
        <v>DEL</v>
      </c>
      <c r="O728" s="55" t="str">
        <f t="shared" si="23"/>
        <v>Peso Muerto Parcial|Barra</v>
      </c>
      <c r="P728" s="69" t="str">
        <f>MIERCOLES!AC267</f>
        <v/>
      </c>
    </row>
    <row r="729" spans="1:16" ht="14.1" customHeight="1">
      <c r="A729" s="37">
        <v>12</v>
      </c>
      <c r="B729" s="37" t="s">
        <v>279</v>
      </c>
      <c r="C729" s="44" t="str">
        <f>MIERCOLES!$A$269</f>
        <v>Crunch</v>
      </c>
      <c r="D729" s="45" t="str">
        <f>MIERCOLES!$B$269</f>
        <v>Polea</v>
      </c>
      <c r="E729" s="37" t="str">
        <f>MIERCOLES!$C$269</f>
        <v>polea</v>
      </c>
      <c r="F729" s="46" t="str">
        <f>IF(P729="","",IFERROR(CHOOSE(VALUE(RIGHT(P729,1)),MIERCOLES!F269,MIERCOLES!I269,MIERCOLES!L269,MIERCOLES!O269,MIERCOLES!R269),""))</f>
        <v/>
      </c>
      <c r="G729" s="47" t="str">
        <f>IF(P729="","",IFERROR(CHOOSE(VALUE(RIGHT(P729,1)),MIERCOLES!G269,MIERCOLES!J269,MIERCOLES!M269,MIERCOLES!P269,MIERCOLES!S269),""))</f>
        <v/>
      </c>
      <c r="H729" s="48" t="str">
        <f>IF(P729="","",IFERROR(CHOOSE(VALUE(RIGHT(P729,1)),MIERCOLES!H269,MIERCOLES!K269,MIERCOLES!N269,MIERCOLES!Q269,MIERCOLES!T269),""))</f>
        <v/>
      </c>
      <c r="I729" s="49" t="str">
        <f t="shared" si="22"/>
        <v/>
      </c>
      <c r="J729" s="50" t="str">
        <f>IF(P729="","",IFERROR(ROUND(CHOOSE(VALUE(RIGHT(P729,1)),IF(MIERCOLES!C269="peso_corporal",IF(ISNUMBER(MIERCOLES!E269),MIERCOLES!E269,0)+MIERCOLES!F269,MIERCOLES!F269)*MIERCOLES!G269,IF(MIERCOLES!C269="peso_corporal",IF(ISNUMBER(MIERCOLES!E269),MIERCOLES!E269,0)+MIERCOLES!I269,MIERCOLES!I269)*MIERCOLES!J269,IF(MIERCOLES!C269="peso_corporal",IF(ISNUMBER(MIERCOLES!E269),MIERCOLES!E269,0)+MIERCOLES!L269,MIERCOLES!L269)*MIERCOLES!M269,IF(MIERCOLES!C269="peso_corporal",IF(ISNUMBER(MIERCOLES!E269),MIERCOLES!E269,0)+MIERCOLES!O269,MIERCOLES!O269)*MIERCOLES!P269,IF(MIERCOLES!C269="peso_corporal",IF(ISNUMBER(MIERCOLES!E269),MIERCOLES!E269,0)+MIERCOLES!R269,MIERCOLES!R269)*MIERCOLES!S269),1),""))</f>
        <v/>
      </c>
      <c r="K729" s="51" t="str">
        <f>IF(P729="","",IFERROR(ROUND(CHOOSE(VALUE(RIGHT(P729,1)),(IF(MIERCOLES!C269="peso_corporal",IF(ISNUMBER(MIERCOLES!E269),MIERCOLES!E269,0)+MIERCOLES!F269,MIERCOLES!F269))*(1+MIERCOLES!G269/30),(IF(MIERCOLES!C269="peso_corporal",IF(ISNUMBER(MIERCOLES!E269),MIERCOLES!E269,0)+MIERCOLES!I269,MIERCOLES!I269))*(1+MIERCOLES!J269/30),(IF(MIERCOLES!C269="peso_corporal",IF(ISNUMBER(MIERCOLES!E269),MIERCOLES!E269,0)+MIERCOLES!L269,MIERCOLES!L269))*(1+MIERCOLES!M269/30),(IF(MIERCOLES!C269="peso_corporal",IF(ISNUMBER(MIERCOLES!E269),MIERCOLES!E269,0)+MIERCOLES!O269,MIERCOLES!O269))*(1+MIERCOLES!P269/30),(IF(MIERCOLES!C269="peso_corporal",IF(ISNUMBER(MIERCOLES!E269),MIERCOLES!E269,0)+MIERCOLES!R269,MIERCOLES!R269))*(1+MIERCOLES!S269/30)),1),""))</f>
        <v/>
      </c>
      <c r="L729" s="52">
        <f>IFERROR(MIERCOLES!E269,"")</f>
        <v>80</v>
      </c>
      <c r="M729" s="53" t="str">
        <f>IFERROR(IF(K729="","-",IF(ISNUMBER(LOOKUP(2,1/((HISTORIAL!$O$3:$O$728=O729)*(HISTORIAL!$F$3:$F$728&lt;&gt;"")),HISTORIAL!$K$3:$K$728)),IF(K729&gt;LOOKUP(2,1/((HISTORIAL!$O$3:$O$728=O729)*(HISTORIAL!$F$3:$F$728&lt;&gt;"")),HISTORIAL!$K$3:$K$728),"^",IF(K729&lt;LOOKUP(2,1/((HISTORIAL!$O$3:$O$728=O729)*(HISTORIAL!$F$3:$F$728&lt;&gt;"")),HISTORIAL!$K$3:$K$728),"v","-")),"-")),"-")</f>
        <v>-</v>
      </c>
      <c r="N729" s="54" t="str">
        <f>IFERROR(VLOOKUP(A729,CONFIG!$A$10:$B$21,2,0),"")</f>
        <v>DEL</v>
      </c>
      <c r="O729" s="55" t="str">
        <f t="shared" si="23"/>
        <v>Crunch|Polea</v>
      </c>
      <c r="P729" s="69" t="str">
        <f>MIERCOLES!AC269</f>
        <v/>
      </c>
    </row>
    <row r="730" spans="1:16" ht="14.1" customHeight="1">
      <c r="A730" s="37">
        <v>12</v>
      </c>
      <c r="B730" s="37" t="s">
        <v>279</v>
      </c>
      <c r="C730" s="44" t="str">
        <f>MIERCOLES!$A$270</f>
        <v>Plancha</v>
      </c>
      <c r="D730" s="45" t="str">
        <f>MIERCOLES!$B$270</f>
        <v>Abdominal</v>
      </c>
      <c r="E730" s="37" t="str">
        <f>MIERCOLES!$C$270</f>
        <v>--</v>
      </c>
      <c r="F730" s="46" t="str">
        <f>IF(P730="","",IFERROR(CHOOSE(VALUE(RIGHT(P730,1)),MIERCOLES!F270,MIERCOLES!I270,MIERCOLES!L270,MIERCOLES!O270,MIERCOLES!R270),""))</f>
        <v/>
      </c>
      <c r="G730" s="47" t="str">
        <f>IF(P730="","",IFERROR(CHOOSE(VALUE(RIGHT(P730,1)),MIERCOLES!G270,MIERCOLES!J270,MIERCOLES!M270,MIERCOLES!P270,MIERCOLES!S270),""))</f>
        <v/>
      </c>
      <c r="H730" s="48" t="str">
        <f>IF(P730="","",IFERROR(CHOOSE(VALUE(RIGHT(P730,1)),MIERCOLES!H270,MIERCOLES!K270,MIERCOLES!N270,MIERCOLES!Q270,MIERCOLES!T270),""))</f>
        <v/>
      </c>
      <c r="I730" s="49" t="str">
        <f t="shared" si="22"/>
        <v/>
      </c>
      <c r="J730" s="50" t="str">
        <f>IF(P730="","",IFERROR(ROUND(CHOOSE(VALUE(RIGHT(P730,1)),IF(MIERCOLES!C270="peso_corporal",IF(ISNUMBER(MIERCOLES!E270),MIERCOLES!E270,0)+MIERCOLES!F270,MIERCOLES!F270)*MIERCOLES!G270,IF(MIERCOLES!C270="peso_corporal",IF(ISNUMBER(MIERCOLES!E270),MIERCOLES!E270,0)+MIERCOLES!I270,MIERCOLES!I270)*MIERCOLES!J270,IF(MIERCOLES!C270="peso_corporal",IF(ISNUMBER(MIERCOLES!E270),MIERCOLES!E270,0)+MIERCOLES!L270,MIERCOLES!L270)*MIERCOLES!M270,IF(MIERCOLES!C270="peso_corporal",IF(ISNUMBER(MIERCOLES!E270),MIERCOLES!E270,0)+MIERCOLES!O270,MIERCOLES!O270)*MIERCOLES!P270,IF(MIERCOLES!C270="peso_corporal",IF(ISNUMBER(MIERCOLES!E270),MIERCOLES!E270,0)+MIERCOLES!R270,MIERCOLES!R270)*MIERCOLES!S270),1),""))</f>
        <v/>
      </c>
      <c r="K730" s="51" t="str">
        <f>IF(P730="","",IFERROR(ROUND(CHOOSE(VALUE(RIGHT(P730,1)),(IF(MIERCOLES!C270="peso_corporal",IF(ISNUMBER(MIERCOLES!E270),MIERCOLES!E270,0)+MIERCOLES!F270,MIERCOLES!F270))*(1+MIERCOLES!G270/30),(IF(MIERCOLES!C270="peso_corporal",IF(ISNUMBER(MIERCOLES!E270),MIERCOLES!E270,0)+MIERCOLES!I270,MIERCOLES!I270))*(1+MIERCOLES!J270/30),(IF(MIERCOLES!C270="peso_corporal",IF(ISNUMBER(MIERCOLES!E270),MIERCOLES!E270,0)+MIERCOLES!L270,MIERCOLES!L270))*(1+MIERCOLES!M270/30),(IF(MIERCOLES!C270="peso_corporal",IF(ISNUMBER(MIERCOLES!E270),MIERCOLES!E270,0)+MIERCOLES!O270,MIERCOLES!O270))*(1+MIERCOLES!P270/30),(IF(MIERCOLES!C270="peso_corporal",IF(ISNUMBER(MIERCOLES!E270),MIERCOLES!E270,0)+MIERCOLES!R270,MIERCOLES!R270))*(1+MIERCOLES!S270/30)),1),""))</f>
        <v/>
      </c>
      <c r="L730" s="52">
        <f>IFERROR(MIERCOLES!E270,"")</f>
        <v>80</v>
      </c>
      <c r="M730" s="53" t="str">
        <f>IFERROR(IF(K730="","-",IF(ISNUMBER(LOOKUP(2,1/((HISTORIAL!$O$3:$O$729=O730)*(HISTORIAL!$F$3:$F$729&lt;&gt;"")),HISTORIAL!$K$3:$K$729)),IF(K730&gt;LOOKUP(2,1/((HISTORIAL!$O$3:$O$729=O730)*(HISTORIAL!$F$3:$F$729&lt;&gt;"")),HISTORIAL!$K$3:$K$729),"^",IF(K730&lt;LOOKUP(2,1/((HISTORIAL!$O$3:$O$729=O730)*(HISTORIAL!$F$3:$F$729&lt;&gt;"")),HISTORIAL!$K$3:$K$729),"v","-")),"-")),"-")</f>
        <v>-</v>
      </c>
      <c r="N730" s="54" t="str">
        <f>IFERROR(VLOOKUP(A730,CONFIG!$A$10:$B$21,2,0),"")</f>
        <v>DEL</v>
      </c>
      <c r="O730" s="55" t="str">
        <f t="shared" si="23"/>
        <v>Plancha|Abdominal</v>
      </c>
      <c r="P730" s="69" t="str">
        <f>MIERCOLES!AC270</f>
        <v/>
      </c>
    </row>
    <row r="731" spans="1:16" ht="14.1" customHeight="1">
      <c r="A731" s="37">
        <v>12</v>
      </c>
      <c r="B731" s="37" t="s">
        <v>279</v>
      </c>
      <c r="C731" s="44" t="str">
        <f>MIERCOLES!$A$271</f>
        <v>Rueda Abdominal</v>
      </c>
      <c r="D731" s="45" t="str">
        <f>MIERCOLES!$B$271</f>
        <v>Ab Wheel</v>
      </c>
      <c r="E731" s="37" t="str">
        <f>MIERCOLES!$C$271</f>
        <v>--</v>
      </c>
      <c r="F731" s="46" t="str">
        <f>IF(P731="","",IFERROR(CHOOSE(VALUE(RIGHT(P731,1)),MIERCOLES!F271,MIERCOLES!I271,MIERCOLES!L271,MIERCOLES!O271,MIERCOLES!R271),""))</f>
        <v/>
      </c>
      <c r="G731" s="47" t="str">
        <f>IF(P731="","",IFERROR(CHOOSE(VALUE(RIGHT(P731,1)),MIERCOLES!G271,MIERCOLES!J271,MIERCOLES!M271,MIERCOLES!P271,MIERCOLES!S271),""))</f>
        <v/>
      </c>
      <c r="H731" s="48" t="str">
        <f>IF(P731="","",IFERROR(CHOOSE(VALUE(RIGHT(P731,1)),MIERCOLES!H271,MIERCOLES!K271,MIERCOLES!N271,MIERCOLES!Q271,MIERCOLES!T271),""))</f>
        <v/>
      </c>
      <c r="I731" s="49" t="str">
        <f t="shared" si="22"/>
        <v/>
      </c>
      <c r="J731" s="50" t="str">
        <f>IF(P731="","",IFERROR(ROUND(CHOOSE(VALUE(RIGHT(P731,1)),IF(MIERCOLES!C271="peso_corporal",IF(ISNUMBER(MIERCOLES!E271),MIERCOLES!E271,0)+MIERCOLES!F271,MIERCOLES!F271)*MIERCOLES!G271,IF(MIERCOLES!C271="peso_corporal",IF(ISNUMBER(MIERCOLES!E271),MIERCOLES!E271,0)+MIERCOLES!I271,MIERCOLES!I271)*MIERCOLES!J271,IF(MIERCOLES!C271="peso_corporal",IF(ISNUMBER(MIERCOLES!E271),MIERCOLES!E271,0)+MIERCOLES!L271,MIERCOLES!L271)*MIERCOLES!M271,IF(MIERCOLES!C271="peso_corporal",IF(ISNUMBER(MIERCOLES!E271),MIERCOLES!E271,0)+MIERCOLES!O271,MIERCOLES!O271)*MIERCOLES!P271,IF(MIERCOLES!C271="peso_corporal",IF(ISNUMBER(MIERCOLES!E271),MIERCOLES!E271,0)+MIERCOLES!R271,MIERCOLES!R271)*MIERCOLES!S271),1),""))</f>
        <v/>
      </c>
      <c r="K731" s="51" t="str">
        <f>IF(P731="","",IFERROR(ROUND(CHOOSE(VALUE(RIGHT(P731,1)),(IF(MIERCOLES!C271="peso_corporal",IF(ISNUMBER(MIERCOLES!E271),MIERCOLES!E271,0)+MIERCOLES!F271,MIERCOLES!F271))*(1+MIERCOLES!G271/30),(IF(MIERCOLES!C271="peso_corporal",IF(ISNUMBER(MIERCOLES!E271),MIERCOLES!E271,0)+MIERCOLES!I271,MIERCOLES!I271))*(1+MIERCOLES!J271/30),(IF(MIERCOLES!C271="peso_corporal",IF(ISNUMBER(MIERCOLES!E271),MIERCOLES!E271,0)+MIERCOLES!L271,MIERCOLES!L271))*(1+MIERCOLES!M271/30),(IF(MIERCOLES!C271="peso_corporal",IF(ISNUMBER(MIERCOLES!E271),MIERCOLES!E271,0)+MIERCOLES!O271,MIERCOLES!O271))*(1+MIERCOLES!P271/30),(IF(MIERCOLES!C271="peso_corporal",IF(ISNUMBER(MIERCOLES!E271),MIERCOLES!E271,0)+MIERCOLES!R271,MIERCOLES!R271))*(1+MIERCOLES!S271/30)),1),""))</f>
        <v/>
      </c>
      <c r="L731" s="52">
        <f>IFERROR(MIERCOLES!E271,"")</f>
        <v>80</v>
      </c>
      <c r="M731" s="53" t="str">
        <f>IFERROR(IF(K731="","-",IF(ISNUMBER(LOOKUP(2,1/((HISTORIAL!$O$3:$O$730=O731)*(HISTORIAL!$F$3:$F$730&lt;&gt;"")),HISTORIAL!$K$3:$K$730)),IF(K731&gt;LOOKUP(2,1/((HISTORIAL!$O$3:$O$730=O731)*(HISTORIAL!$F$3:$F$730&lt;&gt;"")),HISTORIAL!$K$3:$K$730),"^",IF(K731&lt;LOOKUP(2,1/((HISTORIAL!$O$3:$O$730=O731)*(HISTORIAL!$F$3:$F$730&lt;&gt;"")),HISTORIAL!$K$3:$K$730),"v","-")),"-")),"-")</f>
        <v>-</v>
      </c>
      <c r="N731" s="54" t="str">
        <f>IFERROR(VLOOKUP(A731,CONFIG!$A$10:$B$21,2,0),"")</f>
        <v>DEL</v>
      </c>
      <c r="O731" s="55" t="str">
        <f t="shared" si="23"/>
        <v>Rueda Abdominal|Ab Wheel</v>
      </c>
      <c r="P731" s="69" t="str">
        <f>MIERCOLES!AC271</f>
        <v/>
      </c>
    </row>
    <row r="732" spans="1:16" ht="14.1" customHeight="1">
      <c r="A732" s="37">
        <v>12</v>
      </c>
      <c r="B732" s="37" t="s">
        <v>279</v>
      </c>
      <c r="C732" s="44" t="str">
        <f>MIERCOLES!$A$272</f>
        <v>Elevacion Piernas</v>
      </c>
      <c r="D732" s="45" t="str">
        <f>MIERCOLES!$B$272</f>
        <v>Colgado</v>
      </c>
      <c r="E732" s="37" t="str">
        <f>MIERCOLES!$C$272</f>
        <v>peso_corporal</v>
      </c>
      <c r="F732" s="46" t="str">
        <f>IF(P732="","",IFERROR(CHOOSE(VALUE(RIGHT(P732,1)),MIERCOLES!F272,MIERCOLES!I272,MIERCOLES!L272,MIERCOLES!O272,MIERCOLES!R272),""))</f>
        <v/>
      </c>
      <c r="G732" s="47" t="str">
        <f>IF(P732="","",IFERROR(CHOOSE(VALUE(RIGHT(P732,1)),MIERCOLES!G272,MIERCOLES!J272,MIERCOLES!M272,MIERCOLES!P272,MIERCOLES!S272),""))</f>
        <v/>
      </c>
      <c r="H732" s="48" t="str">
        <f>IF(P732="","",IFERROR(CHOOSE(VALUE(RIGHT(P732,1)),MIERCOLES!H272,MIERCOLES!K272,MIERCOLES!N272,MIERCOLES!Q272,MIERCOLES!T272),""))</f>
        <v/>
      </c>
      <c r="I732" s="49" t="str">
        <f t="shared" si="22"/>
        <v/>
      </c>
      <c r="J732" s="50" t="str">
        <f>IF(P732="","",IFERROR(ROUND(CHOOSE(VALUE(RIGHT(P732,1)),IF(MIERCOLES!C272="peso_corporal",IF(ISNUMBER(MIERCOLES!E272),MIERCOLES!E272,0)+MIERCOLES!F272,MIERCOLES!F272)*MIERCOLES!G272,IF(MIERCOLES!C272="peso_corporal",IF(ISNUMBER(MIERCOLES!E272),MIERCOLES!E272,0)+MIERCOLES!I272,MIERCOLES!I272)*MIERCOLES!J272,IF(MIERCOLES!C272="peso_corporal",IF(ISNUMBER(MIERCOLES!E272),MIERCOLES!E272,0)+MIERCOLES!L272,MIERCOLES!L272)*MIERCOLES!M272,IF(MIERCOLES!C272="peso_corporal",IF(ISNUMBER(MIERCOLES!E272),MIERCOLES!E272,0)+MIERCOLES!O272,MIERCOLES!O272)*MIERCOLES!P272,IF(MIERCOLES!C272="peso_corporal",IF(ISNUMBER(MIERCOLES!E272),MIERCOLES!E272,0)+MIERCOLES!R272,MIERCOLES!R272)*MIERCOLES!S272),1),""))</f>
        <v/>
      </c>
      <c r="K732" s="51" t="str">
        <f>IF(P732="","",IFERROR(ROUND(CHOOSE(VALUE(RIGHT(P732,1)),(IF(MIERCOLES!C272="peso_corporal",IF(ISNUMBER(MIERCOLES!E272),MIERCOLES!E272,0)+MIERCOLES!F272,MIERCOLES!F272))*(1+MIERCOLES!G272/30),(IF(MIERCOLES!C272="peso_corporal",IF(ISNUMBER(MIERCOLES!E272),MIERCOLES!E272,0)+MIERCOLES!I272,MIERCOLES!I272))*(1+MIERCOLES!J272/30),(IF(MIERCOLES!C272="peso_corporal",IF(ISNUMBER(MIERCOLES!E272),MIERCOLES!E272,0)+MIERCOLES!L272,MIERCOLES!L272))*(1+MIERCOLES!M272/30),(IF(MIERCOLES!C272="peso_corporal",IF(ISNUMBER(MIERCOLES!E272),MIERCOLES!E272,0)+MIERCOLES!O272,MIERCOLES!O272))*(1+MIERCOLES!P272/30),(IF(MIERCOLES!C272="peso_corporal",IF(ISNUMBER(MIERCOLES!E272),MIERCOLES!E272,0)+MIERCOLES!R272,MIERCOLES!R272))*(1+MIERCOLES!S272/30)),1),""))</f>
        <v/>
      </c>
      <c r="L732" s="52">
        <f>IFERROR(MIERCOLES!E272,"")</f>
        <v>80</v>
      </c>
      <c r="M732" s="53" t="str">
        <f>IFERROR(IF(K732="","-",IF(ISNUMBER(LOOKUP(2,1/((HISTORIAL!$O$3:$O$731=O732)*(HISTORIAL!$F$3:$F$731&lt;&gt;"")),HISTORIAL!$K$3:$K$731)),IF(K732&gt;LOOKUP(2,1/((HISTORIAL!$O$3:$O$731=O732)*(HISTORIAL!$F$3:$F$731&lt;&gt;"")),HISTORIAL!$K$3:$K$731),"^",IF(K732&lt;LOOKUP(2,1/((HISTORIAL!$O$3:$O$731=O732)*(HISTORIAL!$F$3:$F$731&lt;&gt;"")),HISTORIAL!$K$3:$K$731),"v","-")),"-")),"-")</f>
        <v>-</v>
      </c>
      <c r="N732" s="54" t="str">
        <f>IFERROR(VLOOKUP(A732,CONFIG!$A$10:$B$21,2,0),"")</f>
        <v>DEL</v>
      </c>
      <c r="O732" s="55" t="str">
        <f t="shared" si="23"/>
        <v>Elevacion Piernas|Colgado</v>
      </c>
      <c r="P732" s="69" t="str">
        <f>MIERCOLES!AC272</f>
        <v/>
      </c>
    </row>
    <row r="733" spans="1:16" ht="14.1" customHeight="1">
      <c r="A733" s="37">
        <v>12</v>
      </c>
      <c r="B733" s="37" t="s">
        <v>280</v>
      </c>
      <c r="C733" s="44" t="str">
        <f>JUEVES!$A$287</f>
        <v>Press Militar</v>
      </c>
      <c r="D733" s="45" t="str">
        <f>JUEVES!$B$287</f>
        <v>Multipower</v>
      </c>
      <c r="E733" s="37" t="str">
        <f>JUEVES!$C$287</f>
        <v>--</v>
      </c>
      <c r="F733" s="46" t="str">
        <f>IF(P733="","",IFERROR(CHOOSE(VALUE(RIGHT(P733,1)),JUEVES!F287,JUEVES!I287,JUEVES!L287,JUEVES!O287,JUEVES!R287),""))</f>
        <v/>
      </c>
      <c r="G733" s="47" t="str">
        <f>IF(P733="","",IFERROR(CHOOSE(VALUE(RIGHT(P733,1)),JUEVES!G287,JUEVES!J287,JUEVES!M287,JUEVES!P287,JUEVES!S287),""))</f>
        <v/>
      </c>
      <c r="H733" s="48" t="str">
        <f>IF(P733="","",IFERROR(CHOOSE(VALUE(RIGHT(P733,1)),JUEVES!H287,JUEVES!K287,JUEVES!N287,JUEVES!Q287,JUEVES!T287),""))</f>
        <v/>
      </c>
      <c r="I733" s="49" t="str">
        <f t="shared" si="22"/>
        <v/>
      </c>
      <c r="J733" s="50" t="str">
        <f>IF(P733="","",IFERROR(ROUND(CHOOSE(VALUE(RIGHT(P733,1)),IF(JUEVES!C287="peso_corporal",IF(ISNUMBER(JUEVES!E287),JUEVES!E287,0)+JUEVES!F287,JUEVES!F287)*JUEVES!G287,IF(JUEVES!C287="peso_corporal",IF(ISNUMBER(JUEVES!E287),JUEVES!E287,0)+JUEVES!I287,JUEVES!I287)*JUEVES!J287,IF(JUEVES!C287="peso_corporal",IF(ISNUMBER(JUEVES!E287),JUEVES!E287,0)+JUEVES!L287,JUEVES!L287)*JUEVES!M287,IF(JUEVES!C287="peso_corporal",IF(ISNUMBER(JUEVES!E287),JUEVES!E287,0)+JUEVES!O287,JUEVES!O287)*JUEVES!P287,IF(JUEVES!C287="peso_corporal",IF(ISNUMBER(JUEVES!E287),JUEVES!E287,0)+JUEVES!R287,JUEVES!R287)*JUEVES!S287),1),""))</f>
        <v/>
      </c>
      <c r="K733" s="51" t="str">
        <f>IF(P733="","",IFERROR(ROUND(CHOOSE(VALUE(RIGHT(P733,1)),(IF(JUEVES!C287="peso_corporal",IF(ISNUMBER(JUEVES!E287),JUEVES!E287,0)+JUEVES!F287,JUEVES!F287))*(1+JUEVES!G287/30),(IF(JUEVES!C287="peso_corporal",IF(ISNUMBER(JUEVES!E287),JUEVES!E287,0)+JUEVES!I287,JUEVES!I287))*(1+JUEVES!J287/30),(IF(JUEVES!C287="peso_corporal",IF(ISNUMBER(JUEVES!E287),JUEVES!E287,0)+JUEVES!L287,JUEVES!L287))*(1+JUEVES!M287/30),(IF(JUEVES!C287="peso_corporal",IF(ISNUMBER(JUEVES!E287),JUEVES!E287,0)+JUEVES!O287,JUEVES!O287))*(1+JUEVES!P287/30),(IF(JUEVES!C287="peso_corporal",IF(ISNUMBER(JUEVES!E287),JUEVES!E287,0)+JUEVES!R287,JUEVES!R287))*(1+JUEVES!S287/30)),1),""))</f>
        <v/>
      </c>
      <c r="L733" s="52">
        <f>IFERROR(JUEVES!E287,"")</f>
        <v>80</v>
      </c>
      <c r="M733" s="53" t="str">
        <f>IFERROR(IF(K733="","-",IF(ISNUMBER(LOOKUP(2,1/((HISTORIAL!$O$3:$O$732=O733)*(HISTORIAL!$F$3:$F$732&lt;&gt;"")),HISTORIAL!$K$3:$K$732)),IF(K733&gt;LOOKUP(2,1/((HISTORIAL!$O$3:$O$732=O733)*(HISTORIAL!$F$3:$F$732&lt;&gt;"")),HISTORIAL!$K$3:$K$732),"^",IF(K733&lt;LOOKUP(2,1/((HISTORIAL!$O$3:$O$732=O733)*(HISTORIAL!$F$3:$F$732&lt;&gt;"")),HISTORIAL!$K$3:$K$732),"v","-")),"-")),"-")</f>
        <v>-</v>
      </c>
      <c r="N733" s="54" t="str">
        <f>IFERROR(VLOOKUP(A733,CONFIG!$A$10:$B$21,2,0),"")</f>
        <v>DEL</v>
      </c>
      <c r="O733" s="55" t="str">
        <f t="shared" si="23"/>
        <v>Press Militar|Multipower</v>
      </c>
      <c r="P733" s="69" t="str">
        <f>JUEVES!AC287</f>
        <v/>
      </c>
    </row>
    <row r="734" spans="1:16" ht="14.1" customHeight="1">
      <c r="A734" s="37">
        <v>12</v>
      </c>
      <c r="B734" s="37" t="s">
        <v>280</v>
      </c>
      <c r="C734" s="44" t="str">
        <f>JUEVES!$A$288</f>
        <v>Elevaciones Laterales</v>
      </c>
      <c r="D734" s="45" t="str">
        <f>JUEVES!$B$288</f>
        <v>Drop Set Maquina</v>
      </c>
      <c r="E734" s="37" t="str">
        <f>JUEVES!$C$288</f>
        <v>--</v>
      </c>
      <c r="F734" s="46" t="str">
        <f>IF(P734="","",IFERROR(CHOOSE(VALUE(RIGHT(P734,1)),JUEVES!F288,JUEVES!I288,JUEVES!L288,JUEVES!O288,JUEVES!R288),""))</f>
        <v/>
      </c>
      <c r="G734" s="47" t="str">
        <f>IF(P734="","",IFERROR(CHOOSE(VALUE(RIGHT(P734,1)),JUEVES!G288,JUEVES!J288,JUEVES!M288,JUEVES!P288,JUEVES!S288),""))</f>
        <v/>
      </c>
      <c r="H734" s="48" t="str">
        <f>IF(P734="","",IFERROR(CHOOSE(VALUE(RIGHT(P734,1)),JUEVES!H288,JUEVES!K288,JUEVES!N288,JUEVES!Q288,JUEVES!T288),""))</f>
        <v/>
      </c>
      <c r="I734" s="49" t="str">
        <f t="shared" si="22"/>
        <v/>
      </c>
      <c r="J734" s="50" t="str">
        <f>IF(P734="","",IFERROR(ROUND(CHOOSE(VALUE(RIGHT(P734,1)),IF(JUEVES!C288="peso_corporal",IF(ISNUMBER(JUEVES!E288),JUEVES!E288,0)+JUEVES!F288,JUEVES!F288)*JUEVES!G288,IF(JUEVES!C288="peso_corporal",IF(ISNUMBER(JUEVES!E288),JUEVES!E288,0)+JUEVES!I288,JUEVES!I288)*JUEVES!J288,IF(JUEVES!C288="peso_corporal",IF(ISNUMBER(JUEVES!E288),JUEVES!E288,0)+JUEVES!L288,JUEVES!L288)*JUEVES!M288,IF(JUEVES!C288="peso_corporal",IF(ISNUMBER(JUEVES!E288),JUEVES!E288,0)+JUEVES!O288,JUEVES!O288)*JUEVES!P288,IF(JUEVES!C288="peso_corporal",IF(ISNUMBER(JUEVES!E288),JUEVES!E288,0)+JUEVES!R288,JUEVES!R288)*JUEVES!S288),1),""))</f>
        <v/>
      </c>
      <c r="K734" s="51" t="str">
        <f>IF(P734="","",IFERROR(ROUND(CHOOSE(VALUE(RIGHT(P734,1)),(IF(JUEVES!C288="peso_corporal",IF(ISNUMBER(JUEVES!E288),JUEVES!E288,0)+JUEVES!F288,JUEVES!F288))*(1+JUEVES!G288/30),(IF(JUEVES!C288="peso_corporal",IF(ISNUMBER(JUEVES!E288),JUEVES!E288,0)+JUEVES!I288,JUEVES!I288))*(1+JUEVES!J288/30),(IF(JUEVES!C288="peso_corporal",IF(ISNUMBER(JUEVES!E288),JUEVES!E288,0)+JUEVES!L288,JUEVES!L288))*(1+JUEVES!M288/30),(IF(JUEVES!C288="peso_corporal",IF(ISNUMBER(JUEVES!E288),JUEVES!E288,0)+JUEVES!O288,JUEVES!O288))*(1+JUEVES!P288/30),(IF(JUEVES!C288="peso_corporal",IF(ISNUMBER(JUEVES!E288),JUEVES!E288,0)+JUEVES!R288,JUEVES!R288))*(1+JUEVES!S288/30)),1),""))</f>
        <v/>
      </c>
      <c r="L734" s="52">
        <f>IFERROR(JUEVES!E288,"")</f>
        <v>80</v>
      </c>
      <c r="M734" s="53" t="str">
        <f>IFERROR(IF(K734="","-",IF(ISNUMBER(LOOKUP(2,1/((HISTORIAL!$O$3:$O$733=O734)*(HISTORIAL!$F$3:$F$733&lt;&gt;"")),HISTORIAL!$K$3:$K$733)),IF(K734&gt;LOOKUP(2,1/((HISTORIAL!$O$3:$O$733=O734)*(HISTORIAL!$F$3:$F$733&lt;&gt;"")),HISTORIAL!$K$3:$K$733),"^",IF(K734&lt;LOOKUP(2,1/((HISTORIAL!$O$3:$O$733=O734)*(HISTORIAL!$F$3:$F$733&lt;&gt;"")),HISTORIAL!$K$3:$K$733),"v","-")),"-")),"-")</f>
        <v>-</v>
      </c>
      <c r="N734" s="54" t="str">
        <f>IFERROR(VLOOKUP(A734,CONFIG!$A$10:$B$21,2,0),"")</f>
        <v>DEL</v>
      </c>
      <c r="O734" s="55" t="str">
        <f t="shared" si="23"/>
        <v>Elevaciones Laterales|Drop Set Maquina</v>
      </c>
      <c r="P734" s="69" t="str">
        <f>JUEVES!AC288</f>
        <v/>
      </c>
    </row>
    <row r="735" spans="1:16" ht="14.1" customHeight="1">
      <c r="A735" s="37">
        <v>12</v>
      </c>
      <c r="B735" s="37" t="s">
        <v>280</v>
      </c>
      <c r="C735" s="44" t="str">
        <f>JUEVES!$A$290</f>
        <v>Pajaro</v>
      </c>
      <c r="D735" s="45" t="str">
        <f>JUEVES!$B$290</f>
        <v>Elevacion Posterior</v>
      </c>
      <c r="E735" s="37" t="str">
        <f>JUEVES!$C$290</f>
        <v>mancuerna</v>
      </c>
      <c r="F735" s="46" t="str">
        <f>IF(P735="","",IFERROR(CHOOSE(VALUE(RIGHT(P735,1)),JUEVES!F290,JUEVES!I290,JUEVES!L290,JUEVES!O290,JUEVES!R290),""))</f>
        <v/>
      </c>
      <c r="G735" s="47" t="str">
        <f>IF(P735="","",IFERROR(CHOOSE(VALUE(RIGHT(P735,1)),JUEVES!G290,JUEVES!J290,JUEVES!M290,JUEVES!P290,JUEVES!S290),""))</f>
        <v/>
      </c>
      <c r="H735" s="48" t="str">
        <f>IF(P735="","",IFERROR(CHOOSE(VALUE(RIGHT(P735,1)),JUEVES!H290,JUEVES!K290,JUEVES!N290,JUEVES!Q290,JUEVES!T290),""))</f>
        <v/>
      </c>
      <c r="I735" s="49" t="str">
        <f t="shared" si="22"/>
        <v/>
      </c>
      <c r="J735" s="50" t="str">
        <f>IF(P735="","",IFERROR(ROUND(CHOOSE(VALUE(RIGHT(P735,1)),IF(JUEVES!C290="peso_corporal",IF(ISNUMBER(JUEVES!E290),JUEVES!E290,0)+JUEVES!F290,JUEVES!F290)*JUEVES!G290,IF(JUEVES!C290="peso_corporal",IF(ISNUMBER(JUEVES!E290),JUEVES!E290,0)+JUEVES!I290,JUEVES!I290)*JUEVES!J290,IF(JUEVES!C290="peso_corporal",IF(ISNUMBER(JUEVES!E290),JUEVES!E290,0)+JUEVES!L290,JUEVES!L290)*JUEVES!M290,IF(JUEVES!C290="peso_corporal",IF(ISNUMBER(JUEVES!E290),JUEVES!E290,0)+JUEVES!O290,JUEVES!O290)*JUEVES!P290,IF(JUEVES!C290="peso_corporal",IF(ISNUMBER(JUEVES!E290),JUEVES!E290,0)+JUEVES!R290,JUEVES!R290)*JUEVES!S290),1),""))</f>
        <v/>
      </c>
      <c r="K735" s="51" t="str">
        <f>IF(P735="","",IFERROR(ROUND(CHOOSE(VALUE(RIGHT(P735,1)),(IF(JUEVES!C290="peso_corporal",IF(ISNUMBER(JUEVES!E290),JUEVES!E290,0)+JUEVES!F290,JUEVES!F290))*(1+JUEVES!G290/30),(IF(JUEVES!C290="peso_corporal",IF(ISNUMBER(JUEVES!E290),JUEVES!E290,0)+JUEVES!I290,JUEVES!I290))*(1+JUEVES!J290/30),(IF(JUEVES!C290="peso_corporal",IF(ISNUMBER(JUEVES!E290),JUEVES!E290,0)+JUEVES!L290,JUEVES!L290))*(1+JUEVES!M290/30),(IF(JUEVES!C290="peso_corporal",IF(ISNUMBER(JUEVES!E290),JUEVES!E290,0)+JUEVES!O290,JUEVES!O290))*(1+JUEVES!P290/30),(IF(JUEVES!C290="peso_corporal",IF(ISNUMBER(JUEVES!E290),JUEVES!E290,0)+JUEVES!R290,JUEVES!R290))*(1+JUEVES!S290/30)),1),""))</f>
        <v/>
      </c>
      <c r="L735" s="52">
        <f>IFERROR(JUEVES!E290,"")</f>
        <v>80</v>
      </c>
      <c r="M735" s="53" t="str">
        <f>IFERROR(IF(K735="","-",IF(ISNUMBER(LOOKUP(2,1/((HISTORIAL!$O$3:$O$734=O735)*(HISTORIAL!$F$3:$F$734&lt;&gt;"")),HISTORIAL!$K$3:$K$734)),IF(K735&gt;LOOKUP(2,1/((HISTORIAL!$O$3:$O$734=O735)*(HISTORIAL!$F$3:$F$734&lt;&gt;"")),HISTORIAL!$K$3:$K$734),"^",IF(K735&lt;LOOKUP(2,1/((HISTORIAL!$O$3:$O$734=O735)*(HISTORIAL!$F$3:$F$734&lt;&gt;"")),HISTORIAL!$K$3:$K$734),"v","-")),"-")),"-")</f>
        <v>-</v>
      </c>
      <c r="N735" s="54" t="str">
        <f>IFERROR(VLOOKUP(A735,CONFIG!$A$10:$B$21,2,0),"")</f>
        <v>DEL</v>
      </c>
      <c r="O735" s="55" t="str">
        <f t="shared" si="23"/>
        <v>Pajaro|Elevacion Posterior</v>
      </c>
      <c r="P735" s="69" t="str">
        <f>JUEVES!AC290</f>
        <v/>
      </c>
    </row>
    <row r="736" spans="1:16" ht="14.1" customHeight="1">
      <c r="A736" s="37">
        <v>12</v>
      </c>
      <c r="B736" s="37" t="s">
        <v>280</v>
      </c>
      <c r="C736" s="44" t="str">
        <f>JUEVES!$A$291</f>
        <v>Peck Deck Invertida</v>
      </c>
      <c r="D736" s="45" t="str">
        <f>JUEVES!$B$291</f>
        <v>Maquina</v>
      </c>
      <c r="E736" s="37" t="str">
        <f>JUEVES!$C$291</f>
        <v>polea</v>
      </c>
      <c r="F736" s="46" t="str">
        <f>IF(P736="","",IFERROR(CHOOSE(VALUE(RIGHT(P736,1)),JUEVES!F291,JUEVES!I291,JUEVES!L291,JUEVES!O291,JUEVES!R291),""))</f>
        <v/>
      </c>
      <c r="G736" s="47" t="str">
        <f>IF(P736="","",IFERROR(CHOOSE(VALUE(RIGHT(P736,1)),JUEVES!G291,JUEVES!J291,JUEVES!M291,JUEVES!P291,JUEVES!S291),""))</f>
        <v/>
      </c>
      <c r="H736" s="48" t="str">
        <f>IF(P736="","",IFERROR(CHOOSE(VALUE(RIGHT(P736,1)),JUEVES!H291,JUEVES!K291,JUEVES!N291,JUEVES!Q291,JUEVES!T291),""))</f>
        <v/>
      </c>
      <c r="I736" s="49" t="str">
        <f t="shared" si="22"/>
        <v/>
      </c>
      <c r="J736" s="50" t="str">
        <f>IF(P736="","",IFERROR(ROUND(CHOOSE(VALUE(RIGHT(P736,1)),IF(JUEVES!C291="peso_corporal",IF(ISNUMBER(JUEVES!E291),JUEVES!E291,0)+JUEVES!F291,JUEVES!F291)*JUEVES!G291,IF(JUEVES!C291="peso_corporal",IF(ISNUMBER(JUEVES!E291),JUEVES!E291,0)+JUEVES!I291,JUEVES!I291)*JUEVES!J291,IF(JUEVES!C291="peso_corporal",IF(ISNUMBER(JUEVES!E291),JUEVES!E291,0)+JUEVES!L291,JUEVES!L291)*JUEVES!M291,IF(JUEVES!C291="peso_corporal",IF(ISNUMBER(JUEVES!E291),JUEVES!E291,0)+JUEVES!O291,JUEVES!O291)*JUEVES!P291,IF(JUEVES!C291="peso_corporal",IF(ISNUMBER(JUEVES!E291),JUEVES!E291,0)+JUEVES!R291,JUEVES!R291)*JUEVES!S291),1),""))</f>
        <v/>
      </c>
      <c r="K736" s="51" t="str">
        <f>IF(P736="","",IFERROR(ROUND(CHOOSE(VALUE(RIGHT(P736,1)),(IF(JUEVES!C291="peso_corporal",IF(ISNUMBER(JUEVES!E291),JUEVES!E291,0)+JUEVES!F291,JUEVES!F291))*(1+JUEVES!G291/30),(IF(JUEVES!C291="peso_corporal",IF(ISNUMBER(JUEVES!E291),JUEVES!E291,0)+JUEVES!I291,JUEVES!I291))*(1+JUEVES!J291/30),(IF(JUEVES!C291="peso_corporal",IF(ISNUMBER(JUEVES!E291),JUEVES!E291,0)+JUEVES!L291,JUEVES!L291))*(1+JUEVES!M291/30),(IF(JUEVES!C291="peso_corporal",IF(ISNUMBER(JUEVES!E291),JUEVES!E291,0)+JUEVES!O291,JUEVES!O291))*(1+JUEVES!P291/30),(IF(JUEVES!C291="peso_corporal",IF(ISNUMBER(JUEVES!E291),JUEVES!E291,0)+JUEVES!R291,JUEVES!R291))*(1+JUEVES!S291/30)),1),""))</f>
        <v/>
      </c>
      <c r="L736" s="52">
        <f>IFERROR(JUEVES!E291,"")</f>
        <v>80</v>
      </c>
      <c r="M736" s="53" t="str">
        <f>IFERROR(IF(K736="","-",IF(ISNUMBER(LOOKUP(2,1/((HISTORIAL!$O$3:$O$735=O736)*(HISTORIAL!$F$3:$F$735&lt;&gt;"")),HISTORIAL!$K$3:$K$735)),IF(K736&gt;LOOKUP(2,1/((HISTORIAL!$O$3:$O$735=O736)*(HISTORIAL!$F$3:$F$735&lt;&gt;"")),HISTORIAL!$K$3:$K$735),"^",IF(K736&lt;LOOKUP(2,1/((HISTORIAL!$O$3:$O$735=O736)*(HISTORIAL!$F$3:$F$735&lt;&gt;"")),HISTORIAL!$K$3:$K$735),"v","-")),"-")),"-")</f>
        <v>-</v>
      </c>
      <c r="N736" s="54" t="str">
        <f>IFERROR(VLOOKUP(A736,CONFIG!$A$10:$B$21,2,0),"")</f>
        <v>DEL</v>
      </c>
      <c r="O736" s="55" t="str">
        <f t="shared" si="23"/>
        <v>Peck Deck Invertida|Maquina</v>
      </c>
      <c r="P736" s="69" t="str">
        <f>JUEVES!AC291</f>
        <v/>
      </c>
    </row>
    <row r="737" spans="1:16" ht="14.1" customHeight="1">
      <c r="A737" s="37">
        <v>12</v>
      </c>
      <c r="B737" s="37" t="s">
        <v>280</v>
      </c>
      <c r="C737" s="44" t="str">
        <f>JUEVES!$A$292</f>
        <v>Elevaciones Posteriores</v>
      </c>
      <c r="D737" s="45" t="str">
        <f>JUEVES!$B$292</f>
        <v>Polea Individual</v>
      </c>
      <c r="E737" s="37" t="str">
        <f>JUEVES!$C$292</f>
        <v>polea</v>
      </c>
      <c r="F737" s="46" t="str">
        <f>IF(P737="","",IFERROR(CHOOSE(VALUE(RIGHT(P737,1)),JUEVES!F292,JUEVES!I292,JUEVES!L292,JUEVES!O292,JUEVES!R292),""))</f>
        <v/>
      </c>
      <c r="G737" s="47" t="str">
        <f>IF(P737="","",IFERROR(CHOOSE(VALUE(RIGHT(P737,1)),JUEVES!G292,JUEVES!J292,JUEVES!M292,JUEVES!P292,JUEVES!S292),""))</f>
        <v/>
      </c>
      <c r="H737" s="48" t="str">
        <f>IF(P737="","",IFERROR(CHOOSE(VALUE(RIGHT(P737,1)),JUEVES!H292,JUEVES!K292,JUEVES!N292,JUEVES!Q292,JUEVES!T292),""))</f>
        <v/>
      </c>
      <c r="I737" s="49" t="str">
        <f t="shared" si="22"/>
        <v/>
      </c>
      <c r="J737" s="50" t="str">
        <f>IF(P737="","",IFERROR(ROUND(CHOOSE(VALUE(RIGHT(P737,1)),IF(JUEVES!C292="peso_corporal",IF(ISNUMBER(JUEVES!E292),JUEVES!E292,0)+JUEVES!F292,JUEVES!F292)*JUEVES!G292,IF(JUEVES!C292="peso_corporal",IF(ISNUMBER(JUEVES!E292),JUEVES!E292,0)+JUEVES!I292,JUEVES!I292)*JUEVES!J292,IF(JUEVES!C292="peso_corporal",IF(ISNUMBER(JUEVES!E292),JUEVES!E292,0)+JUEVES!L292,JUEVES!L292)*JUEVES!M292,IF(JUEVES!C292="peso_corporal",IF(ISNUMBER(JUEVES!E292),JUEVES!E292,0)+JUEVES!O292,JUEVES!O292)*JUEVES!P292,IF(JUEVES!C292="peso_corporal",IF(ISNUMBER(JUEVES!E292),JUEVES!E292,0)+JUEVES!R292,JUEVES!R292)*JUEVES!S292),1),""))</f>
        <v/>
      </c>
      <c r="K737" s="51" t="str">
        <f>IF(P737="","",IFERROR(ROUND(CHOOSE(VALUE(RIGHT(P737,1)),(IF(JUEVES!C292="peso_corporal",IF(ISNUMBER(JUEVES!E292),JUEVES!E292,0)+JUEVES!F292,JUEVES!F292))*(1+JUEVES!G292/30),(IF(JUEVES!C292="peso_corporal",IF(ISNUMBER(JUEVES!E292),JUEVES!E292,0)+JUEVES!I292,JUEVES!I292))*(1+JUEVES!J292/30),(IF(JUEVES!C292="peso_corporal",IF(ISNUMBER(JUEVES!E292),JUEVES!E292,0)+JUEVES!L292,JUEVES!L292))*(1+JUEVES!M292/30),(IF(JUEVES!C292="peso_corporal",IF(ISNUMBER(JUEVES!E292),JUEVES!E292,0)+JUEVES!O292,JUEVES!O292))*(1+JUEVES!P292/30),(IF(JUEVES!C292="peso_corporal",IF(ISNUMBER(JUEVES!E292),JUEVES!E292,0)+JUEVES!R292,JUEVES!R292))*(1+JUEVES!S292/30)),1),""))</f>
        <v/>
      </c>
      <c r="L737" s="52">
        <f>IFERROR(JUEVES!E292,"")</f>
        <v>80</v>
      </c>
      <c r="M737" s="53" t="str">
        <f>IFERROR(IF(K737="","-",IF(ISNUMBER(LOOKUP(2,1/((HISTORIAL!$O$3:$O$736=O737)*(HISTORIAL!$F$3:$F$736&lt;&gt;"")),HISTORIAL!$K$3:$K$736)),IF(K737&gt;LOOKUP(2,1/((HISTORIAL!$O$3:$O$736=O737)*(HISTORIAL!$F$3:$F$736&lt;&gt;"")),HISTORIAL!$K$3:$K$736),"^",IF(K737&lt;LOOKUP(2,1/((HISTORIAL!$O$3:$O$736=O737)*(HISTORIAL!$F$3:$F$736&lt;&gt;"")),HISTORIAL!$K$3:$K$736),"v","-")),"-")),"-")</f>
        <v>-</v>
      </c>
      <c r="N737" s="54" t="str">
        <f>IFERROR(VLOOKUP(A737,CONFIG!$A$10:$B$21,2,0),"")</f>
        <v>DEL</v>
      </c>
      <c r="O737" s="55" t="str">
        <f t="shared" si="23"/>
        <v>Elevaciones Posteriores|Polea Individual</v>
      </c>
      <c r="P737" s="69" t="str">
        <f>JUEVES!AC292</f>
        <v/>
      </c>
    </row>
    <row r="738" spans="1:16" ht="14.1" customHeight="1">
      <c r="A738" s="37">
        <v>12</v>
      </c>
      <c r="B738" s="37" t="s">
        <v>280</v>
      </c>
      <c r="C738" s="44" t="str">
        <f>JUEVES!$A$295</f>
        <v>Press Plano</v>
      </c>
      <c r="D738" s="45" t="str">
        <f>JUEVES!$B$295</f>
        <v>Mancuernas</v>
      </c>
      <c r="E738" s="37" t="str">
        <f>JUEVES!$C$295</f>
        <v>mancuerna</v>
      </c>
      <c r="F738" s="46" t="str">
        <f>IF(P738="","",IFERROR(CHOOSE(VALUE(RIGHT(P738,1)),JUEVES!F295,JUEVES!I295,JUEVES!L295,JUEVES!O295,JUEVES!R295),""))</f>
        <v/>
      </c>
      <c r="G738" s="47" t="str">
        <f>IF(P738="","",IFERROR(CHOOSE(VALUE(RIGHT(P738,1)),JUEVES!G295,JUEVES!J295,JUEVES!M295,JUEVES!P295,JUEVES!S295),""))</f>
        <v/>
      </c>
      <c r="H738" s="48" t="str">
        <f>IF(P738="","",IFERROR(CHOOSE(VALUE(RIGHT(P738,1)),JUEVES!H295,JUEVES!K295,JUEVES!N295,JUEVES!Q295,JUEVES!T295),""))</f>
        <v/>
      </c>
      <c r="I738" s="49" t="str">
        <f t="shared" si="22"/>
        <v/>
      </c>
      <c r="J738" s="50" t="str">
        <f>IF(P738="","",IFERROR(ROUND(CHOOSE(VALUE(RIGHT(P738,1)),IF(JUEVES!C295="peso_corporal",IF(ISNUMBER(JUEVES!E295),JUEVES!E295,0)+JUEVES!F295,JUEVES!F295)*JUEVES!G295,IF(JUEVES!C295="peso_corporal",IF(ISNUMBER(JUEVES!E295),JUEVES!E295,0)+JUEVES!I295,JUEVES!I295)*JUEVES!J295,IF(JUEVES!C295="peso_corporal",IF(ISNUMBER(JUEVES!E295),JUEVES!E295,0)+JUEVES!L295,JUEVES!L295)*JUEVES!M295,IF(JUEVES!C295="peso_corporal",IF(ISNUMBER(JUEVES!E295),JUEVES!E295,0)+JUEVES!O295,JUEVES!O295)*JUEVES!P295,IF(JUEVES!C295="peso_corporal",IF(ISNUMBER(JUEVES!E295),JUEVES!E295,0)+JUEVES!R295,JUEVES!R295)*JUEVES!S295),1),""))</f>
        <v/>
      </c>
      <c r="K738" s="51" t="str">
        <f>IF(P738="","",IFERROR(ROUND(CHOOSE(VALUE(RIGHT(P738,1)),(IF(JUEVES!C295="peso_corporal",IF(ISNUMBER(JUEVES!E295),JUEVES!E295,0)+JUEVES!F295,JUEVES!F295))*(1+JUEVES!G295/30),(IF(JUEVES!C295="peso_corporal",IF(ISNUMBER(JUEVES!E295),JUEVES!E295,0)+JUEVES!I295,JUEVES!I295))*(1+JUEVES!J295/30),(IF(JUEVES!C295="peso_corporal",IF(ISNUMBER(JUEVES!E295),JUEVES!E295,0)+JUEVES!L295,JUEVES!L295))*(1+JUEVES!M295/30),(IF(JUEVES!C295="peso_corporal",IF(ISNUMBER(JUEVES!E295),JUEVES!E295,0)+JUEVES!O295,JUEVES!O295))*(1+JUEVES!P295/30),(IF(JUEVES!C295="peso_corporal",IF(ISNUMBER(JUEVES!E295),JUEVES!E295,0)+JUEVES!R295,JUEVES!R295))*(1+JUEVES!S295/30)),1),""))</f>
        <v/>
      </c>
      <c r="L738" s="52">
        <f>IFERROR(JUEVES!E295,"")</f>
        <v>80</v>
      </c>
      <c r="M738" s="53" t="str">
        <f>IFERROR(IF(K738="","-",IF(ISNUMBER(LOOKUP(2,1/((HISTORIAL!$O$3:$O$737=O738)*(HISTORIAL!$F$3:$F$737&lt;&gt;"")),HISTORIAL!$K$3:$K$737)),IF(K738&gt;LOOKUP(2,1/((HISTORIAL!$O$3:$O$737=O738)*(HISTORIAL!$F$3:$F$737&lt;&gt;"")),HISTORIAL!$K$3:$K$737),"^",IF(K738&lt;LOOKUP(2,1/((HISTORIAL!$O$3:$O$737=O738)*(HISTORIAL!$F$3:$F$737&lt;&gt;"")),HISTORIAL!$K$3:$K$737),"v","-")),"-")),"-")</f>
        <v>-</v>
      </c>
      <c r="N738" s="54" t="str">
        <f>IFERROR(VLOOKUP(A738,CONFIG!$A$10:$B$21,2,0),"")</f>
        <v>DEL</v>
      </c>
      <c r="O738" s="55" t="str">
        <f t="shared" si="23"/>
        <v>Press Plano|Mancuernas</v>
      </c>
      <c r="P738" s="69" t="str">
        <f>JUEVES!AC295</f>
        <v/>
      </c>
    </row>
    <row r="739" spans="1:16" ht="14.1" customHeight="1">
      <c r="A739" s="37">
        <v>12</v>
      </c>
      <c r="B739" s="37" t="s">
        <v>280</v>
      </c>
      <c r="C739" s="44" t="str">
        <f>JUEVES!$A$297</f>
        <v>Press Inclinado</v>
      </c>
      <c r="D739" s="45" t="str">
        <f>JUEVES!$B$297</f>
        <v>Multipower</v>
      </c>
      <c r="E739" s="37" t="str">
        <f>JUEVES!$C$297</f>
        <v>disco</v>
      </c>
      <c r="F739" s="46" t="str">
        <f>IF(P739="","",IFERROR(CHOOSE(VALUE(RIGHT(P739,1)),JUEVES!F297,JUEVES!I297,JUEVES!L297,JUEVES!O297,JUEVES!R297),""))</f>
        <v/>
      </c>
      <c r="G739" s="47" t="str">
        <f>IF(P739="","",IFERROR(CHOOSE(VALUE(RIGHT(P739,1)),JUEVES!G297,JUEVES!J297,JUEVES!M297,JUEVES!P297,JUEVES!S297),""))</f>
        <v/>
      </c>
      <c r="H739" s="48" t="str">
        <f>IF(P739="","",IFERROR(CHOOSE(VALUE(RIGHT(P739,1)),JUEVES!H297,JUEVES!K297,JUEVES!N297,JUEVES!Q297,JUEVES!T297),""))</f>
        <v/>
      </c>
      <c r="I739" s="49" t="str">
        <f t="shared" si="22"/>
        <v/>
      </c>
      <c r="J739" s="50" t="str">
        <f>IF(P739="","",IFERROR(ROUND(CHOOSE(VALUE(RIGHT(P739,1)),IF(JUEVES!C297="peso_corporal",IF(ISNUMBER(JUEVES!E297),JUEVES!E297,0)+JUEVES!F297,JUEVES!F297)*JUEVES!G297,IF(JUEVES!C297="peso_corporal",IF(ISNUMBER(JUEVES!E297),JUEVES!E297,0)+JUEVES!I297,JUEVES!I297)*JUEVES!J297,IF(JUEVES!C297="peso_corporal",IF(ISNUMBER(JUEVES!E297),JUEVES!E297,0)+JUEVES!L297,JUEVES!L297)*JUEVES!M297,IF(JUEVES!C297="peso_corporal",IF(ISNUMBER(JUEVES!E297),JUEVES!E297,0)+JUEVES!O297,JUEVES!O297)*JUEVES!P297,IF(JUEVES!C297="peso_corporal",IF(ISNUMBER(JUEVES!E297),JUEVES!E297,0)+JUEVES!R297,JUEVES!R297)*JUEVES!S297),1),""))</f>
        <v/>
      </c>
      <c r="K739" s="51" t="str">
        <f>IF(P739="","",IFERROR(ROUND(CHOOSE(VALUE(RIGHT(P739,1)),(IF(JUEVES!C297="peso_corporal",IF(ISNUMBER(JUEVES!E297),JUEVES!E297,0)+JUEVES!F297,JUEVES!F297))*(1+JUEVES!G297/30),(IF(JUEVES!C297="peso_corporal",IF(ISNUMBER(JUEVES!E297),JUEVES!E297,0)+JUEVES!I297,JUEVES!I297))*(1+JUEVES!J297/30),(IF(JUEVES!C297="peso_corporal",IF(ISNUMBER(JUEVES!E297),JUEVES!E297,0)+JUEVES!L297,JUEVES!L297))*(1+JUEVES!M297/30),(IF(JUEVES!C297="peso_corporal",IF(ISNUMBER(JUEVES!E297),JUEVES!E297,0)+JUEVES!O297,JUEVES!O297))*(1+JUEVES!P297/30),(IF(JUEVES!C297="peso_corporal",IF(ISNUMBER(JUEVES!E297),JUEVES!E297,0)+JUEVES!R297,JUEVES!R297))*(1+JUEVES!S297/30)),1),""))</f>
        <v/>
      </c>
      <c r="L739" s="52">
        <f>IFERROR(JUEVES!E297,"")</f>
        <v>80</v>
      </c>
      <c r="M739" s="53" t="str">
        <f>IFERROR(IF(K739="","-",IF(ISNUMBER(LOOKUP(2,1/((HISTORIAL!$O$3:$O$738=O739)*(HISTORIAL!$F$3:$F$738&lt;&gt;"")),HISTORIAL!$K$3:$K$738)),IF(K739&gt;LOOKUP(2,1/((HISTORIAL!$O$3:$O$738=O739)*(HISTORIAL!$F$3:$F$738&lt;&gt;"")),HISTORIAL!$K$3:$K$738),"^",IF(K739&lt;LOOKUP(2,1/((HISTORIAL!$O$3:$O$738=O739)*(HISTORIAL!$F$3:$F$738&lt;&gt;"")),HISTORIAL!$K$3:$K$738),"v","-")),"-")),"-")</f>
        <v>-</v>
      </c>
      <c r="N739" s="54" t="str">
        <f>IFERROR(VLOOKUP(A739,CONFIG!$A$10:$B$21,2,0),"")</f>
        <v>DEL</v>
      </c>
      <c r="O739" s="55" t="str">
        <f t="shared" si="23"/>
        <v>Press Inclinado|Multipower</v>
      </c>
      <c r="P739" s="69" t="str">
        <f>JUEVES!AC297</f>
        <v/>
      </c>
    </row>
    <row r="740" spans="1:16" ht="14.1" customHeight="1">
      <c r="A740" s="37">
        <v>12</v>
      </c>
      <c r="B740" s="37" t="s">
        <v>280</v>
      </c>
      <c r="C740" s="44" t="str">
        <f>JUEVES!$A$299</f>
        <v>Aperturas</v>
      </c>
      <c r="D740" s="45" t="str">
        <f>JUEVES!$B$299</f>
        <v>Pec Deck Maquina</v>
      </c>
      <c r="E740" s="37" t="str">
        <f>JUEVES!$C$299</f>
        <v>--</v>
      </c>
      <c r="F740" s="46" t="str">
        <f>IF(P740="","",IFERROR(CHOOSE(VALUE(RIGHT(P740,1)),JUEVES!F299,JUEVES!I299,JUEVES!L299,JUEVES!O299,JUEVES!R299),""))</f>
        <v/>
      </c>
      <c r="G740" s="47" t="str">
        <f>IF(P740="","",IFERROR(CHOOSE(VALUE(RIGHT(P740,1)),JUEVES!G299,JUEVES!J299,JUEVES!M299,JUEVES!P299,JUEVES!S299),""))</f>
        <v/>
      </c>
      <c r="H740" s="48" t="str">
        <f>IF(P740="","",IFERROR(CHOOSE(VALUE(RIGHT(P740,1)),JUEVES!H299,JUEVES!K299,JUEVES!N299,JUEVES!Q299,JUEVES!T299),""))</f>
        <v/>
      </c>
      <c r="I740" s="49" t="str">
        <f t="shared" si="22"/>
        <v/>
      </c>
      <c r="J740" s="50" t="str">
        <f>IF(P740="","",IFERROR(ROUND(CHOOSE(VALUE(RIGHT(P740,1)),IF(JUEVES!C299="peso_corporal",IF(ISNUMBER(JUEVES!E299),JUEVES!E299,0)+JUEVES!F299,JUEVES!F299)*JUEVES!G299,IF(JUEVES!C299="peso_corporal",IF(ISNUMBER(JUEVES!E299),JUEVES!E299,0)+JUEVES!I299,JUEVES!I299)*JUEVES!J299,IF(JUEVES!C299="peso_corporal",IF(ISNUMBER(JUEVES!E299),JUEVES!E299,0)+JUEVES!L299,JUEVES!L299)*JUEVES!M299,IF(JUEVES!C299="peso_corporal",IF(ISNUMBER(JUEVES!E299),JUEVES!E299,0)+JUEVES!O299,JUEVES!O299)*JUEVES!P299,IF(JUEVES!C299="peso_corporal",IF(ISNUMBER(JUEVES!E299),JUEVES!E299,0)+JUEVES!R299,JUEVES!R299)*JUEVES!S299),1),""))</f>
        <v/>
      </c>
      <c r="K740" s="51" t="str">
        <f>IF(P740="","",IFERROR(ROUND(CHOOSE(VALUE(RIGHT(P740,1)),(IF(JUEVES!C299="peso_corporal",IF(ISNUMBER(JUEVES!E299),JUEVES!E299,0)+JUEVES!F299,JUEVES!F299))*(1+JUEVES!G299/30),(IF(JUEVES!C299="peso_corporal",IF(ISNUMBER(JUEVES!E299),JUEVES!E299,0)+JUEVES!I299,JUEVES!I299))*(1+JUEVES!J299/30),(IF(JUEVES!C299="peso_corporal",IF(ISNUMBER(JUEVES!E299),JUEVES!E299,0)+JUEVES!L299,JUEVES!L299))*(1+JUEVES!M299/30),(IF(JUEVES!C299="peso_corporal",IF(ISNUMBER(JUEVES!E299),JUEVES!E299,0)+JUEVES!O299,JUEVES!O299))*(1+JUEVES!P299/30),(IF(JUEVES!C299="peso_corporal",IF(ISNUMBER(JUEVES!E299),JUEVES!E299,0)+JUEVES!R299,JUEVES!R299))*(1+JUEVES!S299/30)),1),""))</f>
        <v/>
      </c>
      <c r="L740" s="52">
        <f>IFERROR(JUEVES!E299,"")</f>
        <v>80</v>
      </c>
      <c r="M740" s="53" t="str">
        <f>IFERROR(IF(K740="","-",IF(ISNUMBER(LOOKUP(2,1/((HISTORIAL!$O$3:$O$739=O740)*(HISTORIAL!$F$3:$F$739&lt;&gt;"")),HISTORIAL!$K$3:$K$739)),IF(K740&gt;LOOKUP(2,1/((HISTORIAL!$O$3:$O$739=O740)*(HISTORIAL!$F$3:$F$739&lt;&gt;"")),HISTORIAL!$K$3:$K$739),"^",IF(K740&lt;LOOKUP(2,1/((HISTORIAL!$O$3:$O$739=O740)*(HISTORIAL!$F$3:$F$739&lt;&gt;"")),HISTORIAL!$K$3:$K$739),"v","-")),"-")),"-")</f>
        <v>-</v>
      </c>
      <c r="N740" s="54" t="str">
        <f>IFERROR(VLOOKUP(A740,CONFIG!$A$10:$B$21,2,0),"")</f>
        <v>DEL</v>
      </c>
      <c r="O740" s="55" t="str">
        <f t="shared" si="23"/>
        <v>Aperturas|Pec Deck Maquina</v>
      </c>
      <c r="P740" s="69" t="str">
        <f>JUEVES!AC299</f>
        <v/>
      </c>
    </row>
    <row r="741" spans="1:16" ht="14.1" customHeight="1">
      <c r="A741" s="37">
        <v>12</v>
      </c>
      <c r="B741" s="37" t="s">
        <v>280</v>
      </c>
      <c r="C741" s="44" t="str">
        <f>JUEVES!$A$301</f>
        <v>Press Polea</v>
      </c>
      <c r="D741" s="45" t="str">
        <f>JUEVES!$B$301</f>
        <v>Barra Recta Diagonal Arriba</v>
      </c>
      <c r="E741" s="37" t="str">
        <f>JUEVES!$C$301</f>
        <v>polea</v>
      </c>
      <c r="F741" s="46" t="str">
        <f>IF(P741="","",IFERROR(CHOOSE(VALUE(RIGHT(P741,1)),JUEVES!F301,JUEVES!I301,JUEVES!L301,JUEVES!O301,JUEVES!R301),""))</f>
        <v/>
      </c>
      <c r="G741" s="47" t="str">
        <f>IF(P741="","",IFERROR(CHOOSE(VALUE(RIGHT(P741,1)),JUEVES!G301,JUEVES!J301,JUEVES!M301,JUEVES!P301,JUEVES!S301),""))</f>
        <v/>
      </c>
      <c r="H741" s="48" t="str">
        <f>IF(P741="","",IFERROR(CHOOSE(VALUE(RIGHT(P741,1)),JUEVES!H301,JUEVES!K301,JUEVES!N301,JUEVES!Q301,JUEVES!T301),""))</f>
        <v/>
      </c>
      <c r="I741" s="49" t="str">
        <f t="shared" si="22"/>
        <v/>
      </c>
      <c r="J741" s="50" t="str">
        <f>IF(P741="","",IFERROR(ROUND(CHOOSE(VALUE(RIGHT(P741,1)),IF(JUEVES!C301="peso_corporal",IF(ISNUMBER(JUEVES!E301),JUEVES!E301,0)+JUEVES!F301,JUEVES!F301)*JUEVES!G301,IF(JUEVES!C301="peso_corporal",IF(ISNUMBER(JUEVES!E301),JUEVES!E301,0)+JUEVES!I301,JUEVES!I301)*JUEVES!J301,IF(JUEVES!C301="peso_corporal",IF(ISNUMBER(JUEVES!E301),JUEVES!E301,0)+JUEVES!L301,JUEVES!L301)*JUEVES!M301,IF(JUEVES!C301="peso_corporal",IF(ISNUMBER(JUEVES!E301),JUEVES!E301,0)+JUEVES!O301,JUEVES!O301)*JUEVES!P301,IF(JUEVES!C301="peso_corporal",IF(ISNUMBER(JUEVES!E301),JUEVES!E301,0)+JUEVES!R301,JUEVES!R301)*JUEVES!S301),1),""))</f>
        <v/>
      </c>
      <c r="K741" s="51" t="str">
        <f>IF(P741="","",IFERROR(ROUND(CHOOSE(VALUE(RIGHT(P741,1)),(IF(JUEVES!C301="peso_corporal",IF(ISNUMBER(JUEVES!E301),JUEVES!E301,0)+JUEVES!F301,JUEVES!F301))*(1+JUEVES!G301/30),(IF(JUEVES!C301="peso_corporal",IF(ISNUMBER(JUEVES!E301),JUEVES!E301,0)+JUEVES!I301,JUEVES!I301))*(1+JUEVES!J301/30),(IF(JUEVES!C301="peso_corporal",IF(ISNUMBER(JUEVES!E301),JUEVES!E301,0)+JUEVES!L301,JUEVES!L301))*(1+JUEVES!M301/30),(IF(JUEVES!C301="peso_corporal",IF(ISNUMBER(JUEVES!E301),JUEVES!E301,0)+JUEVES!O301,JUEVES!O301))*(1+JUEVES!P301/30),(IF(JUEVES!C301="peso_corporal",IF(ISNUMBER(JUEVES!E301),JUEVES!E301,0)+JUEVES!R301,JUEVES!R301))*(1+JUEVES!S301/30)),1),""))</f>
        <v/>
      </c>
      <c r="L741" s="52">
        <f>IFERROR(JUEVES!E301,"")</f>
        <v>80</v>
      </c>
      <c r="M741" s="53" t="str">
        <f>IFERROR(IF(K741="","-",IF(ISNUMBER(LOOKUP(2,1/((HISTORIAL!$O$3:$O$740=O741)*(HISTORIAL!$F$3:$F$740&lt;&gt;"")),HISTORIAL!$K$3:$K$740)),IF(K741&gt;LOOKUP(2,1/((HISTORIAL!$O$3:$O$740=O741)*(HISTORIAL!$F$3:$F$740&lt;&gt;"")),HISTORIAL!$K$3:$K$740),"^",IF(K741&lt;LOOKUP(2,1/((HISTORIAL!$O$3:$O$740=O741)*(HISTORIAL!$F$3:$F$740&lt;&gt;"")),HISTORIAL!$K$3:$K$740),"v","-")),"-")),"-")</f>
        <v>-</v>
      </c>
      <c r="N741" s="54" t="str">
        <f>IFERROR(VLOOKUP(A741,CONFIG!$A$10:$B$21,2,0),"")</f>
        <v>DEL</v>
      </c>
      <c r="O741" s="55" t="str">
        <f t="shared" si="23"/>
        <v>Press Polea|Barra Recta Diagonal Arriba</v>
      </c>
      <c r="P741" s="69" t="str">
        <f>JUEVES!AC301</f>
        <v/>
      </c>
    </row>
    <row r="742" spans="1:16" ht="14.1" customHeight="1">
      <c r="A742" s="37">
        <v>12</v>
      </c>
      <c r="B742" s="37" t="s">
        <v>280</v>
      </c>
      <c r="C742" s="44" t="str">
        <f>JUEVES!$A$302</f>
        <v>Extension Triceps</v>
      </c>
      <c r="D742" s="45" t="str">
        <f>JUEVES!$B$302</f>
        <v>Polea Sobre Cabeza</v>
      </c>
      <c r="E742" s="37" t="str">
        <f>JUEVES!$C$302</f>
        <v>--</v>
      </c>
      <c r="F742" s="46" t="str">
        <f>IF(P742="","",IFERROR(CHOOSE(VALUE(RIGHT(P742,1)),JUEVES!F302,JUEVES!I302,JUEVES!L302,JUEVES!O302,JUEVES!R302),""))</f>
        <v/>
      </c>
      <c r="G742" s="47" t="str">
        <f>IF(P742="","",IFERROR(CHOOSE(VALUE(RIGHT(P742,1)),JUEVES!G302,JUEVES!J302,JUEVES!M302,JUEVES!P302,JUEVES!S302),""))</f>
        <v/>
      </c>
      <c r="H742" s="48" t="str">
        <f>IF(P742="","",IFERROR(CHOOSE(VALUE(RIGHT(P742,1)),JUEVES!H302,JUEVES!K302,JUEVES!N302,JUEVES!Q302,JUEVES!T302),""))</f>
        <v/>
      </c>
      <c r="I742" s="49" t="str">
        <f t="shared" si="22"/>
        <v/>
      </c>
      <c r="J742" s="50" t="str">
        <f>IF(P742="","",IFERROR(ROUND(CHOOSE(VALUE(RIGHT(P742,1)),IF(JUEVES!C302="peso_corporal",IF(ISNUMBER(JUEVES!E302),JUEVES!E302,0)+JUEVES!F302,JUEVES!F302)*JUEVES!G302,IF(JUEVES!C302="peso_corporal",IF(ISNUMBER(JUEVES!E302),JUEVES!E302,0)+JUEVES!I302,JUEVES!I302)*JUEVES!J302,IF(JUEVES!C302="peso_corporal",IF(ISNUMBER(JUEVES!E302),JUEVES!E302,0)+JUEVES!L302,JUEVES!L302)*JUEVES!M302,IF(JUEVES!C302="peso_corporal",IF(ISNUMBER(JUEVES!E302),JUEVES!E302,0)+JUEVES!O302,JUEVES!O302)*JUEVES!P302,IF(JUEVES!C302="peso_corporal",IF(ISNUMBER(JUEVES!E302),JUEVES!E302,0)+JUEVES!R302,JUEVES!R302)*JUEVES!S302),1),""))</f>
        <v/>
      </c>
      <c r="K742" s="51" t="str">
        <f>IF(P742="","",IFERROR(ROUND(CHOOSE(VALUE(RIGHT(P742,1)),(IF(JUEVES!C302="peso_corporal",IF(ISNUMBER(JUEVES!E302),JUEVES!E302,0)+JUEVES!F302,JUEVES!F302))*(1+JUEVES!G302/30),(IF(JUEVES!C302="peso_corporal",IF(ISNUMBER(JUEVES!E302),JUEVES!E302,0)+JUEVES!I302,JUEVES!I302))*(1+JUEVES!J302/30),(IF(JUEVES!C302="peso_corporal",IF(ISNUMBER(JUEVES!E302),JUEVES!E302,0)+JUEVES!L302,JUEVES!L302))*(1+JUEVES!M302/30),(IF(JUEVES!C302="peso_corporal",IF(ISNUMBER(JUEVES!E302),JUEVES!E302,0)+JUEVES!O302,JUEVES!O302))*(1+JUEVES!P302/30),(IF(JUEVES!C302="peso_corporal",IF(ISNUMBER(JUEVES!E302),JUEVES!E302,0)+JUEVES!R302,JUEVES!R302))*(1+JUEVES!S302/30)),1),""))</f>
        <v/>
      </c>
      <c r="L742" s="52">
        <f>IFERROR(JUEVES!E302,"")</f>
        <v>80</v>
      </c>
      <c r="M742" s="53" t="str">
        <f>IFERROR(IF(K742="","-",IF(ISNUMBER(LOOKUP(2,1/((HISTORIAL!$O$3:$O$741=O742)*(HISTORIAL!$F$3:$F$741&lt;&gt;"")),HISTORIAL!$K$3:$K$741)),IF(K742&gt;LOOKUP(2,1/((HISTORIAL!$O$3:$O$741=O742)*(HISTORIAL!$F$3:$F$741&lt;&gt;"")),HISTORIAL!$K$3:$K$741),"^",IF(K742&lt;LOOKUP(2,1/((HISTORIAL!$O$3:$O$741=O742)*(HISTORIAL!$F$3:$F$741&lt;&gt;"")),HISTORIAL!$K$3:$K$741),"v","-")),"-")),"-")</f>
        <v>-</v>
      </c>
      <c r="N742" s="54" t="str">
        <f>IFERROR(VLOOKUP(A742,CONFIG!$A$10:$B$21,2,0),"")</f>
        <v>DEL</v>
      </c>
      <c r="O742" s="55" t="str">
        <f t="shared" si="23"/>
        <v>Extension Triceps|Polea Sobre Cabeza</v>
      </c>
      <c r="P742" s="69" t="str">
        <f>JUEVES!AC302</f>
        <v/>
      </c>
    </row>
    <row r="743" spans="1:16" ht="14.1" customHeight="1">
      <c r="A743" s="37">
        <v>12</v>
      </c>
      <c r="B743" s="37" t="s">
        <v>280</v>
      </c>
      <c r="C743" s="44" t="str">
        <f>JUEVES!$A$304</f>
        <v>Extension Cuadriceps</v>
      </c>
      <c r="D743" s="45" t="str">
        <f>JUEVES!$B$304</f>
        <v>Vasto Interno</v>
      </c>
      <c r="E743" s="37" t="str">
        <f>JUEVES!$C$304</f>
        <v>--</v>
      </c>
      <c r="F743" s="46" t="str">
        <f>IF(P743="","",IFERROR(CHOOSE(VALUE(RIGHT(P743,1)),JUEVES!F304,JUEVES!I304,JUEVES!L304,JUEVES!O304,JUEVES!R304),""))</f>
        <v/>
      </c>
      <c r="G743" s="47" t="str">
        <f>IF(P743="","",IFERROR(CHOOSE(VALUE(RIGHT(P743,1)),JUEVES!G304,JUEVES!J304,JUEVES!M304,JUEVES!P304,JUEVES!S304),""))</f>
        <v/>
      </c>
      <c r="H743" s="48" t="str">
        <f>IF(P743="","",IFERROR(CHOOSE(VALUE(RIGHT(P743,1)),JUEVES!H304,JUEVES!K304,JUEVES!N304,JUEVES!Q304,JUEVES!T304),""))</f>
        <v/>
      </c>
      <c r="I743" s="49" t="str">
        <f t="shared" si="22"/>
        <v/>
      </c>
      <c r="J743" s="50" t="str">
        <f>IF(P743="","",IFERROR(ROUND(CHOOSE(VALUE(RIGHT(P743,1)),IF(JUEVES!C304="peso_corporal",IF(ISNUMBER(JUEVES!E304),JUEVES!E304,0)+JUEVES!F304,JUEVES!F304)*JUEVES!G304,IF(JUEVES!C304="peso_corporal",IF(ISNUMBER(JUEVES!E304),JUEVES!E304,0)+JUEVES!I304,JUEVES!I304)*JUEVES!J304,IF(JUEVES!C304="peso_corporal",IF(ISNUMBER(JUEVES!E304),JUEVES!E304,0)+JUEVES!L304,JUEVES!L304)*JUEVES!M304,IF(JUEVES!C304="peso_corporal",IF(ISNUMBER(JUEVES!E304),JUEVES!E304,0)+JUEVES!O304,JUEVES!O304)*JUEVES!P304,IF(JUEVES!C304="peso_corporal",IF(ISNUMBER(JUEVES!E304),JUEVES!E304,0)+JUEVES!R304,JUEVES!R304)*JUEVES!S304),1),""))</f>
        <v/>
      </c>
      <c r="K743" s="51" t="str">
        <f>IF(P743="","",IFERROR(ROUND(CHOOSE(VALUE(RIGHT(P743,1)),(IF(JUEVES!C304="peso_corporal",IF(ISNUMBER(JUEVES!E304),JUEVES!E304,0)+JUEVES!F304,JUEVES!F304))*(1+JUEVES!G304/30),(IF(JUEVES!C304="peso_corporal",IF(ISNUMBER(JUEVES!E304),JUEVES!E304,0)+JUEVES!I304,JUEVES!I304))*(1+JUEVES!J304/30),(IF(JUEVES!C304="peso_corporal",IF(ISNUMBER(JUEVES!E304),JUEVES!E304,0)+JUEVES!L304,JUEVES!L304))*(1+JUEVES!M304/30),(IF(JUEVES!C304="peso_corporal",IF(ISNUMBER(JUEVES!E304),JUEVES!E304,0)+JUEVES!O304,JUEVES!O304))*(1+JUEVES!P304/30),(IF(JUEVES!C304="peso_corporal",IF(ISNUMBER(JUEVES!E304),JUEVES!E304,0)+JUEVES!R304,JUEVES!R304))*(1+JUEVES!S304/30)),1),""))</f>
        <v/>
      </c>
      <c r="L743" s="52">
        <f>IFERROR(JUEVES!E304,"")</f>
        <v>80</v>
      </c>
      <c r="M743" s="53" t="str">
        <f>IFERROR(IF(K743="","-",IF(ISNUMBER(LOOKUP(2,1/((HISTORIAL!$O$3:$O$742=O743)*(HISTORIAL!$F$3:$F$742&lt;&gt;"")),HISTORIAL!$K$3:$K$742)),IF(K743&gt;LOOKUP(2,1/((HISTORIAL!$O$3:$O$742=O743)*(HISTORIAL!$F$3:$F$742&lt;&gt;"")),HISTORIAL!$K$3:$K$742),"^",IF(K743&lt;LOOKUP(2,1/((HISTORIAL!$O$3:$O$742=O743)*(HISTORIAL!$F$3:$F$742&lt;&gt;"")),HISTORIAL!$K$3:$K$742),"v","-")),"-")),"-")</f>
        <v>-</v>
      </c>
      <c r="N743" s="54" t="str">
        <f>IFERROR(VLOOKUP(A743,CONFIG!$A$10:$B$21,2,0),"")</f>
        <v>DEL</v>
      </c>
      <c r="O743" s="55" t="str">
        <f t="shared" si="23"/>
        <v>Extension Cuadriceps|Vasto Interno</v>
      </c>
      <c r="P743" s="69" t="str">
        <f>JUEVES!AC304</f>
        <v/>
      </c>
    </row>
    <row r="744" spans="1:16" ht="14.1" customHeight="1">
      <c r="A744" s="37">
        <v>12</v>
      </c>
      <c r="B744" s="37" t="s">
        <v>280</v>
      </c>
      <c r="C744" s="44" t="str">
        <f>JUEVES!$A$306</f>
        <v>Curl Biceps</v>
      </c>
      <c r="D744" s="45" t="str">
        <f>JUEVES!$B$306</f>
        <v>Concentrado Maquina</v>
      </c>
      <c r="E744" s="37" t="str">
        <f>JUEVES!$C$306</f>
        <v>polea</v>
      </c>
      <c r="F744" s="46" t="str">
        <f>IF(P744="","",IFERROR(CHOOSE(VALUE(RIGHT(P744,1)),JUEVES!F306,JUEVES!I306,JUEVES!L306,JUEVES!O306,JUEVES!R306),""))</f>
        <v/>
      </c>
      <c r="G744" s="47" t="str">
        <f>IF(P744="","",IFERROR(CHOOSE(VALUE(RIGHT(P744,1)),JUEVES!G306,JUEVES!J306,JUEVES!M306,JUEVES!P306,JUEVES!S306),""))</f>
        <v/>
      </c>
      <c r="H744" s="48" t="str">
        <f>IF(P744="","",IFERROR(CHOOSE(VALUE(RIGHT(P744,1)),JUEVES!H306,JUEVES!K306,JUEVES!N306,JUEVES!Q306,JUEVES!T306),""))</f>
        <v/>
      </c>
      <c r="I744" s="49" t="str">
        <f t="shared" si="22"/>
        <v/>
      </c>
      <c r="J744" s="50" t="str">
        <f>IF(P744="","",IFERROR(ROUND(CHOOSE(VALUE(RIGHT(P744,1)),IF(JUEVES!C306="peso_corporal",IF(ISNUMBER(JUEVES!E306),JUEVES!E306,0)+JUEVES!F306,JUEVES!F306)*JUEVES!G306,IF(JUEVES!C306="peso_corporal",IF(ISNUMBER(JUEVES!E306),JUEVES!E306,0)+JUEVES!I306,JUEVES!I306)*JUEVES!J306,IF(JUEVES!C306="peso_corporal",IF(ISNUMBER(JUEVES!E306),JUEVES!E306,0)+JUEVES!L306,JUEVES!L306)*JUEVES!M306,IF(JUEVES!C306="peso_corporal",IF(ISNUMBER(JUEVES!E306),JUEVES!E306,0)+JUEVES!O306,JUEVES!O306)*JUEVES!P306,IF(JUEVES!C306="peso_corporal",IF(ISNUMBER(JUEVES!E306),JUEVES!E306,0)+JUEVES!R306,JUEVES!R306)*JUEVES!S306),1),""))</f>
        <v/>
      </c>
      <c r="K744" s="51" t="str">
        <f>IF(P744="","",IFERROR(ROUND(CHOOSE(VALUE(RIGHT(P744,1)),(IF(JUEVES!C306="peso_corporal",IF(ISNUMBER(JUEVES!E306),JUEVES!E306,0)+JUEVES!F306,JUEVES!F306))*(1+JUEVES!G306/30),(IF(JUEVES!C306="peso_corporal",IF(ISNUMBER(JUEVES!E306),JUEVES!E306,0)+JUEVES!I306,JUEVES!I306))*(1+JUEVES!J306/30),(IF(JUEVES!C306="peso_corporal",IF(ISNUMBER(JUEVES!E306),JUEVES!E306,0)+JUEVES!L306,JUEVES!L306))*(1+JUEVES!M306/30),(IF(JUEVES!C306="peso_corporal",IF(ISNUMBER(JUEVES!E306),JUEVES!E306,0)+JUEVES!O306,JUEVES!O306))*(1+JUEVES!P306/30),(IF(JUEVES!C306="peso_corporal",IF(ISNUMBER(JUEVES!E306),JUEVES!E306,0)+JUEVES!R306,JUEVES!R306))*(1+JUEVES!S306/30)),1),""))</f>
        <v/>
      </c>
      <c r="L744" s="52">
        <f>IFERROR(JUEVES!E306,"")</f>
        <v>80</v>
      </c>
      <c r="M744" s="53" t="str">
        <f>IFERROR(IF(K744="","-",IF(ISNUMBER(LOOKUP(2,1/((HISTORIAL!$O$3:$O$743=O744)*(HISTORIAL!$F$3:$F$743&lt;&gt;"")),HISTORIAL!$K$3:$K$743)),IF(K744&gt;LOOKUP(2,1/((HISTORIAL!$O$3:$O$743=O744)*(HISTORIAL!$F$3:$F$743&lt;&gt;"")),HISTORIAL!$K$3:$K$743),"^",IF(K744&lt;LOOKUP(2,1/((HISTORIAL!$O$3:$O$743=O744)*(HISTORIAL!$F$3:$F$743&lt;&gt;"")),HISTORIAL!$K$3:$K$743),"v","-")),"-")),"-")</f>
        <v>-</v>
      </c>
      <c r="N744" s="54" t="str">
        <f>IFERROR(VLOOKUP(A744,CONFIG!$A$10:$B$21,2,0),"")</f>
        <v>DEL</v>
      </c>
      <c r="O744" s="55" t="str">
        <f t="shared" si="23"/>
        <v>Curl Biceps|Concentrado Maquina</v>
      </c>
      <c r="P744" s="69" t="str">
        <f>JUEVES!AC306</f>
        <v/>
      </c>
    </row>
    <row r="745" spans="1:16" ht="14.1" customHeight="1">
      <c r="A745" s="37">
        <v>12</v>
      </c>
      <c r="B745" s="37" t="s">
        <v>280</v>
      </c>
      <c r="C745" s="44" t="str">
        <f>JUEVES!$A$308</f>
        <v>Crunch</v>
      </c>
      <c r="D745" s="45" t="str">
        <f>JUEVES!$B$308</f>
        <v>Polea</v>
      </c>
      <c r="E745" s="37" t="str">
        <f>JUEVES!$C$308</f>
        <v>polea</v>
      </c>
      <c r="F745" s="46" t="str">
        <f>IF(P745="","",IFERROR(CHOOSE(VALUE(RIGHT(P745,1)),JUEVES!F308,JUEVES!I308,JUEVES!L308,JUEVES!O308,JUEVES!R308),""))</f>
        <v/>
      </c>
      <c r="G745" s="47" t="str">
        <f>IF(P745="","",IFERROR(CHOOSE(VALUE(RIGHT(P745,1)),JUEVES!G308,JUEVES!J308,JUEVES!M308,JUEVES!P308,JUEVES!S308),""))</f>
        <v/>
      </c>
      <c r="H745" s="48" t="str">
        <f>IF(P745="","",IFERROR(CHOOSE(VALUE(RIGHT(P745,1)),JUEVES!H308,JUEVES!K308,JUEVES!N308,JUEVES!Q308,JUEVES!T308),""))</f>
        <v/>
      </c>
      <c r="I745" s="49" t="str">
        <f t="shared" si="22"/>
        <v/>
      </c>
      <c r="J745" s="50" t="str">
        <f>IF(P745="","",IFERROR(ROUND(CHOOSE(VALUE(RIGHT(P745,1)),IF(JUEVES!C308="peso_corporal",IF(ISNUMBER(JUEVES!E308),JUEVES!E308,0)+JUEVES!F308,JUEVES!F308)*JUEVES!G308,IF(JUEVES!C308="peso_corporal",IF(ISNUMBER(JUEVES!E308),JUEVES!E308,0)+JUEVES!I308,JUEVES!I308)*JUEVES!J308,IF(JUEVES!C308="peso_corporal",IF(ISNUMBER(JUEVES!E308),JUEVES!E308,0)+JUEVES!L308,JUEVES!L308)*JUEVES!M308,IF(JUEVES!C308="peso_corporal",IF(ISNUMBER(JUEVES!E308),JUEVES!E308,0)+JUEVES!O308,JUEVES!O308)*JUEVES!P308,IF(JUEVES!C308="peso_corporal",IF(ISNUMBER(JUEVES!E308),JUEVES!E308,0)+JUEVES!R308,JUEVES!R308)*JUEVES!S308),1),""))</f>
        <v/>
      </c>
      <c r="K745" s="51" t="str">
        <f>IF(P745="","",IFERROR(ROUND(CHOOSE(VALUE(RIGHT(P745,1)),(IF(JUEVES!C308="peso_corporal",IF(ISNUMBER(JUEVES!E308),JUEVES!E308,0)+JUEVES!F308,JUEVES!F308))*(1+JUEVES!G308/30),(IF(JUEVES!C308="peso_corporal",IF(ISNUMBER(JUEVES!E308),JUEVES!E308,0)+JUEVES!I308,JUEVES!I308))*(1+JUEVES!J308/30),(IF(JUEVES!C308="peso_corporal",IF(ISNUMBER(JUEVES!E308),JUEVES!E308,0)+JUEVES!L308,JUEVES!L308))*(1+JUEVES!M308/30),(IF(JUEVES!C308="peso_corporal",IF(ISNUMBER(JUEVES!E308),JUEVES!E308,0)+JUEVES!O308,JUEVES!O308))*(1+JUEVES!P308/30),(IF(JUEVES!C308="peso_corporal",IF(ISNUMBER(JUEVES!E308),JUEVES!E308,0)+JUEVES!R308,JUEVES!R308))*(1+JUEVES!S308/30)),1),""))</f>
        <v/>
      </c>
      <c r="L745" s="52">
        <f>IFERROR(JUEVES!E308,"")</f>
        <v>80</v>
      </c>
      <c r="M745" s="53" t="str">
        <f>IFERROR(IF(K745="","-",IF(ISNUMBER(LOOKUP(2,1/((HISTORIAL!$O$3:$O$744=O745)*(HISTORIAL!$F$3:$F$744&lt;&gt;"")),HISTORIAL!$K$3:$K$744)),IF(K745&gt;LOOKUP(2,1/((HISTORIAL!$O$3:$O$744=O745)*(HISTORIAL!$F$3:$F$744&lt;&gt;"")),HISTORIAL!$K$3:$K$744),"^",IF(K745&lt;LOOKUP(2,1/((HISTORIAL!$O$3:$O$744=O745)*(HISTORIAL!$F$3:$F$744&lt;&gt;"")),HISTORIAL!$K$3:$K$744),"v","-")),"-")),"-")</f>
        <v>-</v>
      </c>
      <c r="N745" s="54" t="str">
        <f>IFERROR(VLOOKUP(A745,CONFIG!$A$10:$B$21,2,0),"")</f>
        <v>DEL</v>
      </c>
      <c r="O745" s="55" t="str">
        <f t="shared" si="23"/>
        <v>Crunch|Polea</v>
      </c>
      <c r="P745" s="69" t="str">
        <f>JUEVES!AC308</f>
        <v/>
      </c>
    </row>
    <row r="746" spans="1:16" ht="14.1" customHeight="1">
      <c r="A746" s="37">
        <v>12</v>
      </c>
      <c r="B746" s="37" t="s">
        <v>281</v>
      </c>
      <c r="C746" s="44" t="str">
        <f>SABADO!$A$277</f>
        <v>Pulldown</v>
      </c>
      <c r="D746" s="45" t="str">
        <f>SABADO!$B$277</f>
        <v>Polea Alta Brazos Rectos Prono</v>
      </c>
      <c r="E746" s="37" t="str">
        <f>SABADO!$C$277</f>
        <v>polea</v>
      </c>
      <c r="F746" s="46" t="str">
        <f>IF(P746="","",IFERROR(CHOOSE(VALUE(RIGHT(P746,1)),SABADO!F277,SABADO!I277,SABADO!L277,SABADO!O277,SABADO!R277),""))</f>
        <v/>
      </c>
      <c r="G746" s="47" t="str">
        <f>IF(P746="","",IFERROR(CHOOSE(VALUE(RIGHT(P746,1)),SABADO!G277,SABADO!J277,SABADO!M277,SABADO!P277,SABADO!S277),""))</f>
        <v/>
      </c>
      <c r="H746" s="48" t="str">
        <f>IF(P746="","",IFERROR(CHOOSE(VALUE(RIGHT(P746,1)),SABADO!H277,SABADO!K277,SABADO!N277,SABADO!Q277,SABADO!T277),""))</f>
        <v/>
      </c>
      <c r="I746" s="49" t="str">
        <f t="shared" si="22"/>
        <v/>
      </c>
      <c r="J746" s="50" t="str">
        <f>IF(P746="","",IFERROR(ROUND(CHOOSE(VALUE(RIGHT(P746,1)),IF(SABADO!C277="peso_corporal",IF(ISNUMBER(SABADO!E277),SABADO!E277,0)+SABADO!F277,SABADO!F277)*SABADO!G277,IF(SABADO!C277="peso_corporal",IF(ISNUMBER(SABADO!E277),SABADO!E277,0)+SABADO!I277,SABADO!I277)*SABADO!J277,IF(SABADO!C277="peso_corporal",IF(ISNUMBER(SABADO!E277),SABADO!E277,0)+SABADO!L277,SABADO!L277)*SABADO!M277,IF(SABADO!C277="peso_corporal",IF(ISNUMBER(SABADO!E277),SABADO!E277,0)+SABADO!O277,SABADO!O277)*SABADO!P277,IF(SABADO!C277="peso_corporal",IF(ISNUMBER(SABADO!E277),SABADO!E277,0)+SABADO!R277,SABADO!R277)*SABADO!S277),1),""))</f>
        <v/>
      </c>
      <c r="K746" s="51" t="str">
        <f>IF(P746="","",IFERROR(ROUND(CHOOSE(VALUE(RIGHT(P746,1)),(IF(SABADO!C277="peso_corporal",IF(ISNUMBER(SABADO!E277),SABADO!E277,0)+SABADO!F277,SABADO!F277))*(1+SABADO!G277/30),(IF(SABADO!C277="peso_corporal",IF(ISNUMBER(SABADO!E277),SABADO!E277,0)+SABADO!I277,SABADO!I277))*(1+SABADO!J277/30),(IF(SABADO!C277="peso_corporal",IF(ISNUMBER(SABADO!E277),SABADO!E277,0)+SABADO!L277,SABADO!L277))*(1+SABADO!M277/30),(IF(SABADO!C277="peso_corporal",IF(ISNUMBER(SABADO!E277),SABADO!E277,0)+SABADO!O277,SABADO!O277))*(1+SABADO!P277/30),(IF(SABADO!C277="peso_corporal",IF(ISNUMBER(SABADO!E277),SABADO!E277,0)+SABADO!R277,SABADO!R277))*(1+SABADO!S277/30)),1),""))</f>
        <v/>
      </c>
      <c r="L746" s="52">
        <f>IFERROR(SABADO!E277,"")</f>
        <v>80</v>
      </c>
      <c r="M746" s="53" t="str">
        <f>IFERROR(IF(K746="","-",IF(ISNUMBER(LOOKUP(2,1/((HISTORIAL!$O$3:$O$745=O746)*(HISTORIAL!$F$3:$F$745&lt;&gt;"")),HISTORIAL!$K$3:$K$745)),IF(K746&gt;LOOKUP(2,1/((HISTORIAL!$O$3:$O$745=O746)*(HISTORIAL!$F$3:$F$745&lt;&gt;"")),HISTORIAL!$K$3:$K$745),"^",IF(K746&lt;LOOKUP(2,1/((HISTORIAL!$O$3:$O$745=O746)*(HISTORIAL!$F$3:$F$745&lt;&gt;"")),HISTORIAL!$K$3:$K$745),"v","-")),"-")),"-")</f>
        <v>-</v>
      </c>
      <c r="N746" s="54" t="str">
        <f>IFERROR(VLOOKUP(A746,CONFIG!$A$10:$B$21,2,0),"")</f>
        <v>DEL</v>
      </c>
      <c r="O746" s="55" t="str">
        <f t="shared" si="23"/>
        <v>Pulldown|Polea Alta Brazos Rectos Prono</v>
      </c>
      <c r="P746" s="69" t="str">
        <f>SABADO!AC277</f>
        <v/>
      </c>
    </row>
    <row r="747" spans="1:16" ht="14.1" customHeight="1">
      <c r="A747" s="37">
        <v>12</v>
      </c>
      <c r="B747" s="37" t="s">
        <v>281</v>
      </c>
      <c r="C747" s="44" t="str">
        <f>SABADO!$A$279</f>
        <v>Remo</v>
      </c>
      <c r="D747" s="45" t="str">
        <f>SABADO!$B$279</f>
        <v>Maquina Neutro Estrecho</v>
      </c>
      <c r="E747" s="37" t="str">
        <f>SABADO!$C$279</f>
        <v>polea</v>
      </c>
      <c r="F747" s="46" t="str">
        <f>IF(P747="","",IFERROR(CHOOSE(VALUE(RIGHT(P747,1)),SABADO!F279,SABADO!I279,SABADO!L279,SABADO!O279,SABADO!R279),""))</f>
        <v/>
      </c>
      <c r="G747" s="47" t="str">
        <f>IF(P747="","",IFERROR(CHOOSE(VALUE(RIGHT(P747,1)),SABADO!G279,SABADO!J279,SABADO!M279,SABADO!P279,SABADO!S279),""))</f>
        <v/>
      </c>
      <c r="H747" s="48" t="str">
        <f>IF(P747="","",IFERROR(CHOOSE(VALUE(RIGHT(P747,1)),SABADO!H279,SABADO!K279,SABADO!N279,SABADO!Q279,SABADO!T279),""))</f>
        <v/>
      </c>
      <c r="I747" s="49" t="str">
        <f t="shared" si="22"/>
        <v/>
      </c>
      <c r="J747" s="50" t="str">
        <f>IF(P747="","",IFERROR(ROUND(CHOOSE(VALUE(RIGHT(P747,1)),IF(SABADO!C279="peso_corporal",IF(ISNUMBER(SABADO!E279),SABADO!E279,0)+SABADO!F279,SABADO!F279)*SABADO!G279,IF(SABADO!C279="peso_corporal",IF(ISNUMBER(SABADO!E279),SABADO!E279,0)+SABADO!I279,SABADO!I279)*SABADO!J279,IF(SABADO!C279="peso_corporal",IF(ISNUMBER(SABADO!E279),SABADO!E279,0)+SABADO!L279,SABADO!L279)*SABADO!M279,IF(SABADO!C279="peso_corporal",IF(ISNUMBER(SABADO!E279),SABADO!E279,0)+SABADO!O279,SABADO!O279)*SABADO!P279,IF(SABADO!C279="peso_corporal",IF(ISNUMBER(SABADO!E279),SABADO!E279,0)+SABADO!R279,SABADO!R279)*SABADO!S279),1),""))</f>
        <v/>
      </c>
      <c r="K747" s="51" t="str">
        <f>IF(P747="","",IFERROR(ROUND(CHOOSE(VALUE(RIGHT(P747,1)),(IF(SABADO!C279="peso_corporal",IF(ISNUMBER(SABADO!E279),SABADO!E279,0)+SABADO!F279,SABADO!F279))*(1+SABADO!G279/30),(IF(SABADO!C279="peso_corporal",IF(ISNUMBER(SABADO!E279),SABADO!E279,0)+SABADO!I279,SABADO!I279))*(1+SABADO!J279/30),(IF(SABADO!C279="peso_corporal",IF(ISNUMBER(SABADO!E279),SABADO!E279,0)+SABADO!L279,SABADO!L279))*(1+SABADO!M279/30),(IF(SABADO!C279="peso_corporal",IF(ISNUMBER(SABADO!E279),SABADO!E279,0)+SABADO!O279,SABADO!O279))*(1+SABADO!P279/30),(IF(SABADO!C279="peso_corporal",IF(ISNUMBER(SABADO!E279),SABADO!E279,0)+SABADO!R279,SABADO!R279))*(1+SABADO!S279/30)),1),""))</f>
        <v/>
      </c>
      <c r="L747" s="52">
        <f>IFERROR(SABADO!E279,"")</f>
        <v>80</v>
      </c>
      <c r="M747" s="53" t="str">
        <f>IFERROR(IF(K747="","-",IF(ISNUMBER(LOOKUP(2,1/((HISTORIAL!$O$3:$O$746=O747)*(HISTORIAL!$F$3:$F$746&lt;&gt;"")),HISTORIAL!$K$3:$K$746)),IF(K747&gt;LOOKUP(2,1/((HISTORIAL!$O$3:$O$746=O747)*(HISTORIAL!$F$3:$F$746&lt;&gt;"")),HISTORIAL!$K$3:$K$746),"^",IF(K747&lt;LOOKUP(2,1/((HISTORIAL!$O$3:$O$746=O747)*(HISTORIAL!$F$3:$F$746&lt;&gt;"")),HISTORIAL!$K$3:$K$746),"v","-")),"-")),"-")</f>
        <v>-</v>
      </c>
      <c r="N747" s="54" t="str">
        <f>IFERROR(VLOOKUP(A747,CONFIG!$A$10:$B$21,2,0),"")</f>
        <v>DEL</v>
      </c>
      <c r="O747" s="55" t="str">
        <f t="shared" si="23"/>
        <v>Remo|Maquina Neutro Estrecho</v>
      </c>
      <c r="P747" s="69" t="str">
        <f>SABADO!AC279</f>
        <v/>
      </c>
    </row>
    <row r="748" spans="1:16" ht="14.1" customHeight="1">
      <c r="A748" s="37">
        <v>12</v>
      </c>
      <c r="B748" s="37" t="s">
        <v>281</v>
      </c>
      <c r="C748" s="44" t="str">
        <f>SABADO!$A$280</f>
        <v>Remo</v>
      </c>
      <c r="D748" s="45" t="str">
        <f>SABADO!$B$280</f>
        <v>Maquina Neutro Ancho</v>
      </c>
      <c r="E748" s="37" t="str">
        <f>SABADO!$C$280</f>
        <v>polea</v>
      </c>
      <c r="F748" s="46" t="str">
        <f>IF(P748="","",IFERROR(CHOOSE(VALUE(RIGHT(P748,1)),SABADO!F280,SABADO!I280,SABADO!L280,SABADO!O280,SABADO!R280),""))</f>
        <v/>
      </c>
      <c r="G748" s="47" t="str">
        <f>IF(P748="","",IFERROR(CHOOSE(VALUE(RIGHT(P748,1)),SABADO!G280,SABADO!J280,SABADO!M280,SABADO!P280,SABADO!S280),""))</f>
        <v/>
      </c>
      <c r="H748" s="48" t="str">
        <f>IF(P748="","",IFERROR(CHOOSE(VALUE(RIGHT(P748,1)),SABADO!H280,SABADO!K280,SABADO!N280,SABADO!Q280,SABADO!T280),""))</f>
        <v/>
      </c>
      <c r="I748" s="49" t="str">
        <f t="shared" si="22"/>
        <v/>
      </c>
      <c r="J748" s="50" t="str">
        <f>IF(P748="","",IFERROR(ROUND(CHOOSE(VALUE(RIGHT(P748,1)),IF(SABADO!C280="peso_corporal",IF(ISNUMBER(SABADO!E280),SABADO!E280,0)+SABADO!F280,SABADO!F280)*SABADO!G280,IF(SABADO!C280="peso_corporal",IF(ISNUMBER(SABADO!E280),SABADO!E280,0)+SABADO!I280,SABADO!I280)*SABADO!J280,IF(SABADO!C280="peso_corporal",IF(ISNUMBER(SABADO!E280),SABADO!E280,0)+SABADO!L280,SABADO!L280)*SABADO!M280,IF(SABADO!C280="peso_corporal",IF(ISNUMBER(SABADO!E280),SABADO!E280,0)+SABADO!O280,SABADO!O280)*SABADO!P280,IF(SABADO!C280="peso_corporal",IF(ISNUMBER(SABADO!E280),SABADO!E280,0)+SABADO!R280,SABADO!R280)*SABADO!S280),1),""))</f>
        <v/>
      </c>
      <c r="K748" s="51" t="str">
        <f>IF(P748="","",IFERROR(ROUND(CHOOSE(VALUE(RIGHT(P748,1)),(IF(SABADO!C280="peso_corporal",IF(ISNUMBER(SABADO!E280),SABADO!E280,0)+SABADO!F280,SABADO!F280))*(1+SABADO!G280/30),(IF(SABADO!C280="peso_corporal",IF(ISNUMBER(SABADO!E280),SABADO!E280,0)+SABADO!I280,SABADO!I280))*(1+SABADO!J280/30),(IF(SABADO!C280="peso_corporal",IF(ISNUMBER(SABADO!E280),SABADO!E280,0)+SABADO!L280,SABADO!L280))*(1+SABADO!M280/30),(IF(SABADO!C280="peso_corporal",IF(ISNUMBER(SABADO!E280),SABADO!E280,0)+SABADO!O280,SABADO!O280))*(1+SABADO!P280/30),(IF(SABADO!C280="peso_corporal",IF(ISNUMBER(SABADO!E280),SABADO!E280,0)+SABADO!R280,SABADO!R280))*(1+SABADO!S280/30)),1),""))</f>
        <v/>
      </c>
      <c r="L748" s="52">
        <f>IFERROR(SABADO!E280,"")</f>
        <v>80</v>
      </c>
      <c r="M748" s="53" t="str">
        <f>IFERROR(IF(K748="","-",IF(ISNUMBER(LOOKUP(2,1/((HISTORIAL!$O$3:$O$747=O748)*(HISTORIAL!$F$3:$F$747&lt;&gt;"")),HISTORIAL!$K$3:$K$747)),IF(K748&gt;LOOKUP(2,1/((HISTORIAL!$O$3:$O$747=O748)*(HISTORIAL!$F$3:$F$747&lt;&gt;"")),HISTORIAL!$K$3:$K$747),"^",IF(K748&lt;LOOKUP(2,1/((HISTORIAL!$O$3:$O$747=O748)*(HISTORIAL!$F$3:$F$747&lt;&gt;"")),HISTORIAL!$K$3:$K$747),"v","-")),"-")),"-")</f>
        <v>-</v>
      </c>
      <c r="N748" s="54" t="str">
        <f>IFERROR(VLOOKUP(A748,CONFIG!$A$10:$B$21,2,0),"")</f>
        <v>DEL</v>
      </c>
      <c r="O748" s="55" t="str">
        <f t="shared" si="23"/>
        <v>Remo|Maquina Neutro Ancho</v>
      </c>
      <c r="P748" s="69" t="str">
        <f>SABADO!AC280</f>
        <v/>
      </c>
    </row>
    <row r="749" spans="1:16" ht="14.1" customHeight="1">
      <c r="A749" s="37">
        <v>12</v>
      </c>
      <c r="B749" s="37" t="s">
        <v>281</v>
      </c>
      <c r="C749" s="44" t="str">
        <f>SABADO!$A$281</f>
        <v>Peck Deck Invertida</v>
      </c>
      <c r="D749" s="45" t="str">
        <f>SABADO!$B$281</f>
        <v>Maquina</v>
      </c>
      <c r="E749" s="37" t="str">
        <f>SABADO!$C$281</f>
        <v>polea</v>
      </c>
      <c r="F749" s="46" t="str">
        <f>IF(P749="","",IFERROR(CHOOSE(VALUE(RIGHT(P749,1)),SABADO!F281,SABADO!I281,SABADO!L281,SABADO!O281,SABADO!R281),""))</f>
        <v/>
      </c>
      <c r="G749" s="47" t="str">
        <f>IF(P749="","",IFERROR(CHOOSE(VALUE(RIGHT(P749,1)),SABADO!G281,SABADO!J281,SABADO!M281,SABADO!P281,SABADO!S281),""))</f>
        <v/>
      </c>
      <c r="H749" s="48" t="str">
        <f>IF(P749="","",IFERROR(CHOOSE(VALUE(RIGHT(P749,1)),SABADO!H281,SABADO!K281,SABADO!N281,SABADO!Q281,SABADO!T281),""))</f>
        <v/>
      </c>
      <c r="I749" s="49" t="str">
        <f t="shared" si="22"/>
        <v/>
      </c>
      <c r="J749" s="50" t="str">
        <f>IF(P749="","",IFERROR(ROUND(CHOOSE(VALUE(RIGHT(P749,1)),IF(SABADO!C281="peso_corporal",IF(ISNUMBER(SABADO!E281),SABADO!E281,0)+SABADO!F281,SABADO!F281)*SABADO!G281,IF(SABADO!C281="peso_corporal",IF(ISNUMBER(SABADO!E281),SABADO!E281,0)+SABADO!I281,SABADO!I281)*SABADO!J281,IF(SABADO!C281="peso_corporal",IF(ISNUMBER(SABADO!E281),SABADO!E281,0)+SABADO!L281,SABADO!L281)*SABADO!M281,IF(SABADO!C281="peso_corporal",IF(ISNUMBER(SABADO!E281),SABADO!E281,0)+SABADO!O281,SABADO!O281)*SABADO!P281,IF(SABADO!C281="peso_corporal",IF(ISNUMBER(SABADO!E281),SABADO!E281,0)+SABADO!R281,SABADO!R281)*SABADO!S281),1),""))</f>
        <v/>
      </c>
      <c r="K749" s="51" t="str">
        <f>IF(P749="","",IFERROR(ROUND(CHOOSE(VALUE(RIGHT(P749,1)),(IF(SABADO!C281="peso_corporal",IF(ISNUMBER(SABADO!E281),SABADO!E281,0)+SABADO!F281,SABADO!F281))*(1+SABADO!G281/30),(IF(SABADO!C281="peso_corporal",IF(ISNUMBER(SABADO!E281),SABADO!E281,0)+SABADO!I281,SABADO!I281))*(1+SABADO!J281/30),(IF(SABADO!C281="peso_corporal",IF(ISNUMBER(SABADO!E281),SABADO!E281,0)+SABADO!L281,SABADO!L281))*(1+SABADO!M281/30),(IF(SABADO!C281="peso_corporal",IF(ISNUMBER(SABADO!E281),SABADO!E281,0)+SABADO!O281,SABADO!O281))*(1+SABADO!P281/30),(IF(SABADO!C281="peso_corporal",IF(ISNUMBER(SABADO!E281),SABADO!E281,0)+SABADO!R281,SABADO!R281))*(1+SABADO!S281/30)),1),""))</f>
        <v/>
      </c>
      <c r="L749" s="52">
        <f>IFERROR(SABADO!E281,"")</f>
        <v>80</v>
      </c>
      <c r="M749" s="53" t="str">
        <f>IFERROR(IF(K749="","-",IF(ISNUMBER(LOOKUP(2,1/((HISTORIAL!$O$3:$O$748=O749)*(HISTORIAL!$F$3:$F$748&lt;&gt;"")),HISTORIAL!$K$3:$K$748)),IF(K749&gt;LOOKUP(2,1/((HISTORIAL!$O$3:$O$748=O749)*(HISTORIAL!$F$3:$F$748&lt;&gt;"")),HISTORIAL!$K$3:$K$748),"^",IF(K749&lt;LOOKUP(2,1/((HISTORIAL!$O$3:$O$748=O749)*(HISTORIAL!$F$3:$F$748&lt;&gt;"")),HISTORIAL!$K$3:$K$748),"v","-")),"-")),"-")</f>
        <v>-</v>
      </c>
      <c r="N749" s="54" t="str">
        <f>IFERROR(VLOOKUP(A749,CONFIG!$A$10:$B$21,2,0),"")</f>
        <v>DEL</v>
      </c>
      <c r="O749" s="55" t="str">
        <f t="shared" si="23"/>
        <v>Peck Deck Invertida|Maquina</v>
      </c>
      <c r="P749" s="69" t="str">
        <f>SABADO!AC281</f>
        <v/>
      </c>
    </row>
    <row r="750" spans="1:16" ht="14.1" customHeight="1">
      <c r="A750" s="37">
        <v>12</v>
      </c>
      <c r="B750" s="37" t="s">
        <v>281</v>
      </c>
      <c r="C750" s="44" t="str">
        <f>SABADO!$A$283</f>
        <v>Curl Biceps</v>
      </c>
      <c r="D750" s="45" t="str">
        <f>SABADO!$B$283</f>
        <v>Concentrado Maquina</v>
      </c>
      <c r="E750" s="37" t="str">
        <f>SABADO!$C$283</f>
        <v>polea</v>
      </c>
      <c r="F750" s="46" t="str">
        <f>IF(P750="","",IFERROR(CHOOSE(VALUE(RIGHT(P750,1)),SABADO!F283,SABADO!I283,SABADO!L283,SABADO!O283,SABADO!R283),""))</f>
        <v/>
      </c>
      <c r="G750" s="47" t="str">
        <f>IF(P750="","",IFERROR(CHOOSE(VALUE(RIGHT(P750,1)),SABADO!G283,SABADO!J283,SABADO!M283,SABADO!P283,SABADO!S283),""))</f>
        <v/>
      </c>
      <c r="H750" s="48" t="str">
        <f>IF(P750="","",IFERROR(CHOOSE(VALUE(RIGHT(P750,1)),SABADO!H283,SABADO!K283,SABADO!N283,SABADO!Q283,SABADO!T283),""))</f>
        <v/>
      </c>
      <c r="I750" s="49" t="str">
        <f t="shared" si="22"/>
        <v/>
      </c>
      <c r="J750" s="50" t="str">
        <f>IF(P750="","",IFERROR(ROUND(CHOOSE(VALUE(RIGHT(P750,1)),IF(SABADO!C283="peso_corporal",IF(ISNUMBER(SABADO!E283),SABADO!E283,0)+SABADO!F283,SABADO!F283)*SABADO!G283,IF(SABADO!C283="peso_corporal",IF(ISNUMBER(SABADO!E283),SABADO!E283,0)+SABADO!I283,SABADO!I283)*SABADO!J283,IF(SABADO!C283="peso_corporal",IF(ISNUMBER(SABADO!E283),SABADO!E283,0)+SABADO!L283,SABADO!L283)*SABADO!M283,IF(SABADO!C283="peso_corporal",IF(ISNUMBER(SABADO!E283),SABADO!E283,0)+SABADO!O283,SABADO!O283)*SABADO!P283,IF(SABADO!C283="peso_corporal",IF(ISNUMBER(SABADO!E283),SABADO!E283,0)+SABADO!R283,SABADO!R283)*SABADO!S283),1),""))</f>
        <v/>
      </c>
      <c r="K750" s="51" t="str">
        <f>IF(P750="","",IFERROR(ROUND(CHOOSE(VALUE(RIGHT(P750,1)),(IF(SABADO!C283="peso_corporal",IF(ISNUMBER(SABADO!E283),SABADO!E283,0)+SABADO!F283,SABADO!F283))*(1+SABADO!G283/30),(IF(SABADO!C283="peso_corporal",IF(ISNUMBER(SABADO!E283),SABADO!E283,0)+SABADO!I283,SABADO!I283))*(1+SABADO!J283/30),(IF(SABADO!C283="peso_corporal",IF(ISNUMBER(SABADO!E283),SABADO!E283,0)+SABADO!L283,SABADO!L283))*(1+SABADO!M283/30),(IF(SABADO!C283="peso_corporal",IF(ISNUMBER(SABADO!E283),SABADO!E283,0)+SABADO!O283,SABADO!O283))*(1+SABADO!P283/30),(IF(SABADO!C283="peso_corporal",IF(ISNUMBER(SABADO!E283),SABADO!E283,0)+SABADO!R283,SABADO!R283))*(1+SABADO!S283/30)),1),""))</f>
        <v/>
      </c>
      <c r="L750" s="52">
        <f>IFERROR(SABADO!E283,"")</f>
        <v>80</v>
      </c>
      <c r="M750" s="53" t="str">
        <f>IFERROR(IF(K750="","-",IF(ISNUMBER(LOOKUP(2,1/((HISTORIAL!$O$3:$O$749=O750)*(HISTORIAL!$F$3:$F$749&lt;&gt;"")),HISTORIAL!$K$3:$K$749)),IF(K750&gt;LOOKUP(2,1/((HISTORIAL!$O$3:$O$749=O750)*(HISTORIAL!$F$3:$F$749&lt;&gt;"")),HISTORIAL!$K$3:$K$749),"^",IF(K750&lt;LOOKUP(2,1/((HISTORIAL!$O$3:$O$749=O750)*(HISTORIAL!$F$3:$F$749&lt;&gt;"")),HISTORIAL!$K$3:$K$749),"v","-")),"-")),"-")</f>
        <v>-</v>
      </c>
      <c r="N750" s="54" t="str">
        <f>IFERROR(VLOOKUP(A750,CONFIG!$A$10:$B$21,2,0),"")</f>
        <v>DEL</v>
      </c>
      <c r="O750" s="55" t="str">
        <f t="shared" si="23"/>
        <v>Curl Biceps|Concentrado Maquina</v>
      </c>
      <c r="P750" s="69" t="str">
        <f>SABADO!AC283</f>
        <v/>
      </c>
    </row>
    <row r="751" spans="1:16" ht="14.1" customHeight="1">
      <c r="A751" s="37">
        <v>12</v>
      </c>
      <c r="B751" s="37" t="s">
        <v>281</v>
      </c>
      <c r="C751" s="44" t="str">
        <f>SABADO!$A$284</f>
        <v>Curl Martillo</v>
      </c>
      <c r="D751" s="45" t="str">
        <f>SABADO!$B$284</f>
        <v>Polea Individual</v>
      </c>
      <c r="E751" s="37" t="str">
        <f>SABADO!$C$284</f>
        <v>polea</v>
      </c>
      <c r="F751" s="46" t="str">
        <f>IF(P751="","",IFERROR(CHOOSE(VALUE(RIGHT(P751,1)),SABADO!F284,SABADO!I284,SABADO!L284,SABADO!O284,SABADO!R284),""))</f>
        <v/>
      </c>
      <c r="G751" s="47" t="str">
        <f>IF(P751="","",IFERROR(CHOOSE(VALUE(RIGHT(P751,1)),SABADO!G284,SABADO!J284,SABADO!M284,SABADO!P284,SABADO!S284),""))</f>
        <v/>
      </c>
      <c r="H751" s="48" t="str">
        <f>IF(P751="","",IFERROR(CHOOSE(VALUE(RIGHT(P751,1)),SABADO!H284,SABADO!K284,SABADO!N284,SABADO!Q284,SABADO!T284),""))</f>
        <v/>
      </c>
      <c r="I751" s="49" t="str">
        <f t="shared" si="22"/>
        <v/>
      </c>
      <c r="J751" s="50" t="str">
        <f>IF(P751="","",IFERROR(ROUND(CHOOSE(VALUE(RIGHT(P751,1)),IF(SABADO!C284="peso_corporal",IF(ISNUMBER(SABADO!E284),SABADO!E284,0)+SABADO!F284,SABADO!F284)*SABADO!G284,IF(SABADO!C284="peso_corporal",IF(ISNUMBER(SABADO!E284),SABADO!E284,0)+SABADO!I284,SABADO!I284)*SABADO!J284,IF(SABADO!C284="peso_corporal",IF(ISNUMBER(SABADO!E284),SABADO!E284,0)+SABADO!L284,SABADO!L284)*SABADO!M284,IF(SABADO!C284="peso_corporal",IF(ISNUMBER(SABADO!E284),SABADO!E284,0)+SABADO!O284,SABADO!O284)*SABADO!P284,IF(SABADO!C284="peso_corporal",IF(ISNUMBER(SABADO!E284),SABADO!E284,0)+SABADO!R284,SABADO!R284)*SABADO!S284),1),""))</f>
        <v/>
      </c>
      <c r="K751" s="51" t="str">
        <f>IF(P751="","",IFERROR(ROUND(CHOOSE(VALUE(RIGHT(P751,1)),(IF(SABADO!C284="peso_corporal",IF(ISNUMBER(SABADO!E284),SABADO!E284,0)+SABADO!F284,SABADO!F284))*(1+SABADO!G284/30),(IF(SABADO!C284="peso_corporal",IF(ISNUMBER(SABADO!E284),SABADO!E284,0)+SABADO!I284,SABADO!I284))*(1+SABADO!J284/30),(IF(SABADO!C284="peso_corporal",IF(ISNUMBER(SABADO!E284),SABADO!E284,0)+SABADO!L284,SABADO!L284))*(1+SABADO!M284/30),(IF(SABADO!C284="peso_corporal",IF(ISNUMBER(SABADO!E284),SABADO!E284,0)+SABADO!O284,SABADO!O284))*(1+SABADO!P284/30),(IF(SABADO!C284="peso_corporal",IF(ISNUMBER(SABADO!E284),SABADO!E284,0)+SABADO!R284,SABADO!R284))*(1+SABADO!S284/30)),1),""))</f>
        <v/>
      </c>
      <c r="L751" s="52">
        <f>IFERROR(SABADO!E284,"")</f>
        <v>80</v>
      </c>
      <c r="M751" s="53" t="str">
        <f>IFERROR(IF(K751="","-",IF(ISNUMBER(LOOKUP(2,1/((HISTORIAL!$O$3:$O$750=O751)*(HISTORIAL!$F$3:$F$750&lt;&gt;"")),HISTORIAL!$K$3:$K$750)),IF(K751&gt;LOOKUP(2,1/((HISTORIAL!$O$3:$O$750=O751)*(HISTORIAL!$F$3:$F$750&lt;&gt;"")),HISTORIAL!$K$3:$K$750),"^",IF(K751&lt;LOOKUP(2,1/((HISTORIAL!$O$3:$O$750=O751)*(HISTORIAL!$F$3:$F$750&lt;&gt;"")),HISTORIAL!$K$3:$K$750),"v","-")),"-")),"-")</f>
        <v>-</v>
      </c>
      <c r="N751" s="54" t="str">
        <f>IFERROR(VLOOKUP(A751,CONFIG!$A$10:$B$21,2,0),"")</f>
        <v>DEL</v>
      </c>
      <c r="O751" s="55" t="str">
        <f t="shared" si="23"/>
        <v>Curl Martillo|Polea Individual</v>
      </c>
      <c r="P751" s="69" t="str">
        <f>SABADO!AC284</f>
        <v/>
      </c>
    </row>
    <row r="752" spans="1:16" ht="14.1" customHeight="1">
      <c r="A752" s="37">
        <v>12</v>
      </c>
      <c r="B752" s="37" t="s">
        <v>281</v>
      </c>
      <c r="C752" s="44" t="str">
        <f>SABADO!$A$286</f>
        <v>Curl Muneca</v>
      </c>
      <c r="D752" s="45" t="str">
        <f>SABADO!$B$286</f>
        <v>Supinado</v>
      </c>
      <c r="E752" s="37" t="str">
        <f>SABADO!$C$286</f>
        <v>mancuerna</v>
      </c>
      <c r="F752" s="46" t="str">
        <f>IF(P752="","",IFERROR(CHOOSE(VALUE(RIGHT(P752,1)),SABADO!F286,SABADO!I286,SABADO!L286,SABADO!O286,SABADO!R286),""))</f>
        <v/>
      </c>
      <c r="G752" s="47" t="str">
        <f>IF(P752="","",IFERROR(CHOOSE(VALUE(RIGHT(P752,1)),SABADO!G286,SABADO!J286,SABADO!M286,SABADO!P286,SABADO!S286),""))</f>
        <v/>
      </c>
      <c r="H752" s="48" t="str">
        <f>IF(P752="","",IFERROR(CHOOSE(VALUE(RIGHT(P752,1)),SABADO!H286,SABADO!K286,SABADO!N286,SABADO!Q286,SABADO!T286),""))</f>
        <v/>
      </c>
      <c r="I752" s="49" t="str">
        <f t="shared" si="22"/>
        <v/>
      </c>
      <c r="J752" s="50" t="str">
        <f>IF(P752="","",IFERROR(ROUND(CHOOSE(VALUE(RIGHT(P752,1)),IF(SABADO!C286="peso_corporal",IF(ISNUMBER(SABADO!E286),SABADO!E286,0)+SABADO!F286,SABADO!F286)*SABADO!G286,IF(SABADO!C286="peso_corporal",IF(ISNUMBER(SABADO!E286),SABADO!E286,0)+SABADO!I286,SABADO!I286)*SABADO!J286,IF(SABADO!C286="peso_corporal",IF(ISNUMBER(SABADO!E286),SABADO!E286,0)+SABADO!L286,SABADO!L286)*SABADO!M286,IF(SABADO!C286="peso_corporal",IF(ISNUMBER(SABADO!E286),SABADO!E286,0)+SABADO!O286,SABADO!O286)*SABADO!P286,IF(SABADO!C286="peso_corporal",IF(ISNUMBER(SABADO!E286),SABADO!E286,0)+SABADO!R286,SABADO!R286)*SABADO!S286),1),""))</f>
        <v/>
      </c>
      <c r="K752" s="51" t="str">
        <f>IF(P752="","",IFERROR(ROUND(CHOOSE(VALUE(RIGHT(P752,1)),(IF(SABADO!C286="peso_corporal",IF(ISNUMBER(SABADO!E286),SABADO!E286,0)+SABADO!F286,SABADO!F286))*(1+SABADO!G286/30),(IF(SABADO!C286="peso_corporal",IF(ISNUMBER(SABADO!E286),SABADO!E286,0)+SABADO!I286,SABADO!I286))*(1+SABADO!J286/30),(IF(SABADO!C286="peso_corporal",IF(ISNUMBER(SABADO!E286),SABADO!E286,0)+SABADO!L286,SABADO!L286))*(1+SABADO!M286/30),(IF(SABADO!C286="peso_corporal",IF(ISNUMBER(SABADO!E286),SABADO!E286,0)+SABADO!O286,SABADO!O286))*(1+SABADO!P286/30),(IF(SABADO!C286="peso_corporal",IF(ISNUMBER(SABADO!E286),SABADO!E286,0)+SABADO!R286,SABADO!R286))*(1+SABADO!S286/30)),1),""))</f>
        <v/>
      </c>
      <c r="L752" s="52">
        <f>IFERROR(SABADO!E286,"")</f>
        <v>80</v>
      </c>
      <c r="M752" s="53" t="str">
        <f>IFERROR(IF(K752="","-",IF(ISNUMBER(LOOKUP(2,1/((HISTORIAL!$O$3:$O$751=O752)*(HISTORIAL!$F$3:$F$751&lt;&gt;"")),HISTORIAL!$K$3:$K$751)),IF(K752&gt;LOOKUP(2,1/((HISTORIAL!$O$3:$O$751=O752)*(HISTORIAL!$F$3:$F$751&lt;&gt;"")),HISTORIAL!$K$3:$K$751),"^",IF(K752&lt;LOOKUP(2,1/((HISTORIAL!$O$3:$O$751=O752)*(HISTORIAL!$F$3:$F$751&lt;&gt;"")),HISTORIAL!$K$3:$K$751),"v","-")),"-")),"-")</f>
        <v>-</v>
      </c>
      <c r="N752" s="54" t="str">
        <f>IFERROR(VLOOKUP(A752,CONFIG!$A$10:$B$21,2,0),"")</f>
        <v>DEL</v>
      </c>
      <c r="O752" s="55" t="str">
        <f t="shared" si="23"/>
        <v>Curl Muneca|Supinado</v>
      </c>
      <c r="P752" s="69" t="str">
        <f>SABADO!AC286</f>
        <v/>
      </c>
    </row>
    <row r="753" spans="1:16" ht="14.1" customHeight="1">
      <c r="A753" s="37">
        <v>12</v>
      </c>
      <c r="B753" s="37" t="s">
        <v>281</v>
      </c>
      <c r="C753" s="44" t="str">
        <f>SABADO!$A$287</f>
        <v>Curl Muneca</v>
      </c>
      <c r="D753" s="45" t="str">
        <f>SABADO!$B$287</f>
        <v>Pronado</v>
      </c>
      <c r="E753" s="37" t="str">
        <f>SABADO!$C$287</f>
        <v>mancuerna</v>
      </c>
      <c r="F753" s="46" t="str">
        <f>IF(P753="","",IFERROR(CHOOSE(VALUE(RIGHT(P753,1)),SABADO!F287,SABADO!I287,SABADO!L287,SABADO!O287,SABADO!R287),""))</f>
        <v/>
      </c>
      <c r="G753" s="47" t="str">
        <f>IF(P753="","",IFERROR(CHOOSE(VALUE(RIGHT(P753,1)),SABADO!G287,SABADO!J287,SABADO!M287,SABADO!P287,SABADO!S287),""))</f>
        <v/>
      </c>
      <c r="H753" s="48" t="str">
        <f>IF(P753="","",IFERROR(CHOOSE(VALUE(RIGHT(P753,1)),SABADO!H287,SABADO!K287,SABADO!N287,SABADO!Q287,SABADO!T287),""))</f>
        <v/>
      </c>
      <c r="I753" s="49" t="str">
        <f t="shared" si="22"/>
        <v/>
      </c>
      <c r="J753" s="50" t="str">
        <f>IF(P753="","",IFERROR(ROUND(CHOOSE(VALUE(RIGHT(P753,1)),IF(SABADO!C287="peso_corporal",IF(ISNUMBER(SABADO!E287),SABADO!E287,0)+SABADO!F287,SABADO!F287)*SABADO!G287,IF(SABADO!C287="peso_corporal",IF(ISNUMBER(SABADO!E287),SABADO!E287,0)+SABADO!I287,SABADO!I287)*SABADO!J287,IF(SABADO!C287="peso_corporal",IF(ISNUMBER(SABADO!E287),SABADO!E287,0)+SABADO!L287,SABADO!L287)*SABADO!M287,IF(SABADO!C287="peso_corporal",IF(ISNUMBER(SABADO!E287),SABADO!E287,0)+SABADO!O287,SABADO!O287)*SABADO!P287,IF(SABADO!C287="peso_corporal",IF(ISNUMBER(SABADO!E287),SABADO!E287,0)+SABADO!R287,SABADO!R287)*SABADO!S287),1),""))</f>
        <v/>
      </c>
      <c r="K753" s="51" t="str">
        <f>IF(P753="","",IFERROR(ROUND(CHOOSE(VALUE(RIGHT(P753,1)),(IF(SABADO!C287="peso_corporal",IF(ISNUMBER(SABADO!E287),SABADO!E287,0)+SABADO!F287,SABADO!F287))*(1+SABADO!G287/30),(IF(SABADO!C287="peso_corporal",IF(ISNUMBER(SABADO!E287),SABADO!E287,0)+SABADO!I287,SABADO!I287))*(1+SABADO!J287/30),(IF(SABADO!C287="peso_corporal",IF(ISNUMBER(SABADO!E287),SABADO!E287,0)+SABADO!L287,SABADO!L287))*(1+SABADO!M287/30),(IF(SABADO!C287="peso_corporal",IF(ISNUMBER(SABADO!E287),SABADO!E287,0)+SABADO!O287,SABADO!O287))*(1+SABADO!P287/30),(IF(SABADO!C287="peso_corporal",IF(ISNUMBER(SABADO!E287),SABADO!E287,0)+SABADO!R287,SABADO!R287))*(1+SABADO!S287/30)),1),""))</f>
        <v/>
      </c>
      <c r="L753" s="52">
        <f>IFERROR(SABADO!E287,"")</f>
        <v>80</v>
      </c>
      <c r="M753" s="53" t="str">
        <f>IFERROR(IF(K753="","-",IF(ISNUMBER(LOOKUP(2,1/((HISTORIAL!$O$3:$O$752=O753)*(HISTORIAL!$F$3:$F$752&lt;&gt;"")),HISTORIAL!$K$3:$K$752)),IF(K753&gt;LOOKUP(2,1/((HISTORIAL!$O$3:$O$752=O753)*(HISTORIAL!$F$3:$F$752&lt;&gt;"")),HISTORIAL!$K$3:$K$752),"^",IF(K753&lt;LOOKUP(2,1/((HISTORIAL!$O$3:$O$752=O753)*(HISTORIAL!$F$3:$F$752&lt;&gt;"")),HISTORIAL!$K$3:$K$752),"v","-")),"-")),"-")</f>
        <v>-</v>
      </c>
      <c r="N753" s="54" t="str">
        <f>IFERROR(VLOOKUP(A753,CONFIG!$A$10:$B$21,2,0),"")</f>
        <v>DEL</v>
      </c>
      <c r="O753" s="55" t="str">
        <f t="shared" si="23"/>
        <v>Curl Muneca|Pronado</v>
      </c>
      <c r="P753" s="69" t="str">
        <f>SABADO!AC287</f>
        <v/>
      </c>
    </row>
    <row r="754" spans="1:16" ht="14.1" customHeight="1">
      <c r="A754" s="37">
        <v>12</v>
      </c>
      <c r="B754" s="37" t="s">
        <v>281</v>
      </c>
      <c r="C754" s="44" t="str">
        <f>SABADO!$A$289</f>
        <v>Elevaciones Laterales</v>
      </c>
      <c r="D754" s="45" t="str">
        <f>SABADO!$B$289</f>
        <v>Cable Polea Individual</v>
      </c>
      <c r="E754" s="37" t="str">
        <f>SABADO!$C$289</f>
        <v>polea</v>
      </c>
      <c r="F754" s="46" t="str">
        <f>IF(P754="","",IFERROR(CHOOSE(VALUE(RIGHT(P754,1)),SABADO!F289,SABADO!I289,SABADO!L289,SABADO!O289,SABADO!R289),""))</f>
        <v/>
      </c>
      <c r="G754" s="47" t="str">
        <f>IF(P754="","",IFERROR(CHOOSE(VALUE(RIGHT(P754,1)),SABADO!G289,SABADO!J289,SABADO!M289,SABADO!P289,SABADO!S289),""))</f>
        <v/>
      </c>
      <c r="H754" s="48" t="str">
        <f>IF(P754="","",IFERROR(CHOOSE(VALUE(RIGHT(P754,1)),SABADO!H289,SABADO!K289,SABADO!N289,SABADO!Q289,SABADO!T289),""))</f>
        <v/>
      </c>
      <c r="I754" s="49" t="str">
        <f t="shared" si="22"/>
        <v/>
      </c>
      <c r="J754" s="50" t="str">
        <f>IF(P754="","",IFERROR(ROUND(CHOOSE(VALUE(RIGHT(P754,1)),IF(SABADO!C289="peso_corporal",IF(ISNUMBER(SABADO!E289),SABADO!E289,0)+SABADO!F289,SABADO!F289)*SABADO!G289,IF(SABADO!C289="peso_corporal",IF(ISNUMBER(SABADO!E289),SABADO!E289,0)+SABADO!I289,SABADO!I289)*SABADO!J289,IF(SABADO!C289="peso_corporal",IF(ISNUMBER(SABADO!E289),SABADO!E289,0)+SABADO!L289,SABADO!L289)*SABADO!M289,IF(SABADO!C289="peso_corporal",IF(ISNUMBER(SABADO!E289),SABADO!E289,0)+SABADO!O289,SABADO!O289)*SABADO!P289,IF(SABADO!C289="peso_corporal",IF(ISNUMBER(SABADO!E289),SABADO!E289,0)+SABADO!R289,SABADO!R289)*SABADO!S289),1),""))</f>
        <v/>
      </c>
      <c r="K754" s="51" t="str">
        <f>IF(P754="","",IFERROR(ROUND(CHOOSE(VALUE(RIGHT(P754,1)),(IF(SABADO!C289="peso_corporal",IF(ISNUMBER(SABADO!E289),SABADO!E289,0)+SABADO!F289,SABADO!F289))*(1+SABADO!G289/30),(IF(SABADO!C289="peso_corporal",IF(ISNUMBER(SABADO!E289),SABADO!E289,0)+SABADO!I289,SABADO!I289))*(1+SABADO!J289/30),(IF(SABADO!C289="peso_corporal",IF(ISNUMBER(SABADO!E289),SABADO!E289,0)+SABADO!L289,SABADO!L289))*(1+SABADO!M289/30),(IF(SABADO!C289="peso_corporal",IF(ISNUMBER(SABADO!E289),SABADO!E289,0)+SABADO!O289,SABADO!O289))*(1+SABADO!P289/30),(IF(SABADO!C289="peso_corporal",IF(ISNUMBER(SABADO!E289),SABADO!E289,0)+SABADO!R289,SABADO!R289))*(1+SABADO!S289/30)),1),""))</f>
        <v/>
      </c>
      <c r="L754" s="52">
        <f>IFERROR(SABADO!E289,"")</f>
        <v>80</v>
      </c>
      <c r="M754" s="53" t="str">
        <f>IFERROR(IF(K754="","-",IF(ISNUMBER(LOOKUP(2,1/((HISTORIAL!$O$3:$O$753=O754)*(HISTORIAL!$F$3:$F$753&lt;&gt;"")),HISTORIAL!$K$3:$K$753)),IF(K754&gt;LOOKUP(2,1/((HISTORIAL!$O$3:$O$753=O754)*(HISTORIAL!$F$3:$F$753&lt;&gt;"")),HISTORIAL!$K$3:$K$753),"^",IF(K754&lt;LOOKUP(2,1/((HISTORIAL!$O$3:$O$753=O754)*(HISTORIAL!$F$3:$F$753&lt;&gt;"")),HISTORIAL!$K$3:$K$753),"v","-")),"-")),"-")</f>
        <v>-</v>
      </c>
      <c r="N754" s="54" t="str">
        <f>IFERROR(VLOOKUP(A754,CONFIG!$A$10:$B$21,2,0),"")</f>
        <v>DEL</v>
      </c>
      <c r="O754" s="55" t="str">
        <f t="shared" si="23"/>
        <v>Elevaciones Laterales|Cable Polea Individual</v>
      </c>
      <c r="P754" s="69" t="str">
        <f>SABADO!AC289</f>
        <v/>
      </c>
    </row>
    <row r="755" spans="1:16" ht="14.1" customHeight="1">
      <c r="A755" s="37">
        <v>12</v>
      </c>
      <c r="B755" s="37" t="s">
        <v>281</v>
      </c>
      <c r="C755" s="44" t="str">
        <f>SABADO!$A$291</f>
        <v>Encogimientos</v>
      </c>
      <c r="D755" s="45" t="str">
        <f>SABADO!$B$291</f>
        <v>Mancuernas Trapecio</v>
      </c>
      <c r="E755" s="37" t="str">
        <f>SABADO!$C$291</f>
        <v>mancuerna</v>
      </c>
      <c r="F755" s="46" t="str">
        <f>IF(P755="","",IFERROR(CHOOSE(VALUE(RIGHT(P755,1)),SABADO!F291,SABADO!I291,SABADO!L291,SABADO!O291,SABADO!R291),""))</f>
        <v/>
      </c>
      <c r="G755" s="47" t="str">
        <f>IF(P755="","",IFERROR(CHOOSE(VALUE(RIGHT(P755,1)),SABADO!G291,SABADO!J291,SABADO!M291,SABADO!P291,SABADO!S291),""))</f>
        <v/>
      </c>
      <c r="H755" s="48" t="str">
        <f>IF(P755="","",IFERROR(CHOOSE(VALUE(RIGHT(P755,1)),SABADO!H291,SABADO!K291,SABADO!N291,SABADO!Q291,SABADO!T291),""))</f>
        <v/>
      </c>
      <c r="I755" s="49" t="str">
        <f t="shared" si="22"/>
        <v/>
      </c>
      <c r="J755" s="50" t="str">
        <f>IF(P755="","",IFERROR(ROUND(CHOOSE(VALUE(RIGHT(P755,1)),IF(SABADO!C291="peso_corporal",IF(ISNUMBER(SABADO!E291),SABADO!E291,0)+SABADO!F291,SABADO!F291)*SABADO!G291,IF(SABADO!C291="peso_corporal",IF(ISNUMBER(SABADO!E291),SABADO!E291,0)+SABADO!I291,SABADO!I291)*SABADO!J291,IF(SABADO!C291="peso_corporal",IF(ISNUMBER(SABADO!E291),SABADO!E291,0)+SABADO!L291,SABADO!L291)*SABADO!M291,IF(SABADO!C291="peso_corporal",IF(ISNUMBER(SABADO!E291),SABADO!E291,0)+SABADO!O291,SABADO!O291)*SABADO!P291,IF(SABADO!C291="peso_corporal",IF(ISNUMBER(SABADO!E291),SABADO!E291,0)+SABADO!R291,SABADO!R291)*SABADO!S291),1),""))</f>
        <v/>
      </c>
      <c r="K755" s="51" t="str">
        <f>IF(P755="","",IFERROR(ROUND(CHOOSE(VALUE(RIGHT(P755,1)),(IF(SABADO!C291="peso_corporal",IF(ISNUMBER(SABADO!E291),SABADO!E291,0)+SABADO!F291,SABADO!F291))*(1+SABADO!G291/30),(IF(SABADO!C291="peso_corporal",IF(ISNUMBER(SABADO!E291),SABADO!E291,0)+SABADO!I291,SABADO!I291))*(1+SABADO!J291/30),(IF(SABADO!C291="peso_corporal",IF(ISNUMBER(SABADO!E291),SABADO!E291,0)+SABADO!L291,SABADO!L291))*(1+SABADO!M291/30),(IF(SABADO!C291="peso_corporal",IF(ISNUMBER(SABADO!E291),SABADO!E291,0)+SABADO!O291,SABADO!O291))*(1+SABADO!P291/30),(IF(SABADO!C291="peso_corporal",IF(ISNUMBER(SABADO!E291),SABADO!E291,0)+SABADO!R291,SABADO!R291))*(1+SABADO!S291/30)),1),""))</f>
        <v/>
      </c>
      <c r="L755" s="52">
        <f>IFERROR(SABADO!E291,"")</f>
        <v>80</v>
      </c>
      <c r="M755" s="53" t="str">
        <f>IFERROR(IF(K755="","-",IF(ISNUMBER(LOOKUP(2,1/((HISTORIAL!$O$3:$O$754=O755)*(HISTORIAL!$F$3:$F$754&lt;&gt;"")),HISTORIAL!$K$3:$K$754)),IF(K755&gt;LOOKUP(2,1/((HISTORIAL!$O$3:$O$754=O755)*(HISTORIAL!$F$3:$F$754&lt;&gt;"")),HISTORIAL!$K$3:$K$754),"^",IF(K755&lt;LOOKUP(2,1/((HISTORIAL!$O$3:$O$754=O755)*(HISTORIAL!$F$3:$F$754&lt;&gt;"")),HISTORIAL!$K$3:$K$754),"v","-")),"-")),"-")</f>
        <v>-</v>
      </c>
      <c r="N755" s="54" t="str">
        <f>IFERROR(VLOOKUP(A755,CONFIG!$A$10:$B$21,2,0),"")</f>
        <v>DEL</v>
      </c>
      <c r="O755" s="55" t="str">
        <f t="shared" si="23"/>
        <v>Encogimientos|Mancuernas Trapecio</v>
      </c>
      <c r="P755" s="69" t="str">
        <f>SABADO!AC291</f>
        <v/>
      </c>
    </row>
    <row r="756" spans="1:16" ht="14.1" customHeight="1">
      <c r="A756" s="37">
        <v>12</v>
      </c>
      <c r="B756" s="37" t="s">
        <v>281</v>
      </c>
      <c r="C756" s="44" t="str">
        <f>SABADO!$A$292</f>
        <v>Face Pull</v>
      </c>
      <c r="D756" s="45" t="str">
        <f>SABADO!$B$292</f>
        <v>Polea Alta Cuerda</v>
      </c>
      <c r="E756" s="37" t="str">
        <f>SABADO!$C$292</f>
        <v>polea</v>
      </c>
      <c r="F756" s="46" t="str">
        <f>IF(P756="","",IFERROR(CHOOSE(VALUE(RIGHT(P756,1)),SABADO!F292,SABADO!I292,SABADO!L292,SABADO!O292,SABADO!R292),""))</f>
        <v/>
      </c>
      <c r="G756" s="47" t="str">
        <f>IF(P756="","",IFERROR(CHOOSE(VALUE(RIGHT(P756,1)),SABADO!G292,SABADO!J292,SABADO!M292,SABADO!P292,SABADO!S292),""))</f>
        <v/>
      </c>
      <c r="H756" s="48" t="str">
        <f>IF(P756="","",IFERROR(CHOOSE(VALUE(RIGHT(P756,1)),SABADO!H292,SABADO!K292,SABADO!N292,SABADO!Q292,SABADO!T292),""))</f>
        <v/>
      </c>
      <c r="I756" s="49" t="str">
        <f t="shared" si="22"/>
        <v/>
      </c>
      <c r="J756" s="50" t="str">
        <f>IF(P756="","",IFERROR(ROUND(CHOOSE(VALUE(RIGHT(P756,1)),IF(SABADO!C292="peso_corporal",IF(ISNUMBER(SABADO!E292),SABADO!E292,0)+SABADO!F292,SABADO!F292)*SABADO!G292,IF(SABADO!C292="peso_corporal",IF(ISNUMBER(SABADO!E292),SABADO!E292,0)+SABADO!I292,SABADO!I292)*SABADO!J292,IF(SABADO!C292="peso_corporal",IF(ISNUMBER(SABADO!E292),SABADO!E292,0)+SABADO!L292,SABADO!L292)*SABADO!M292,IF(SABADO!C292="peso_corporal",IF(ISNUMBER(SABADO!E292),SABADO!E292,0)+SABADO!O292,SABADO!O292)*SABADO!P292,IF(SABADO!C292="peso_corporal",IF(ISNUMBER(SABADO!E292),SABADO!E292,0)+SABADO!R292,SABADO!R292)*SABADO!S292),1),""))</f>
        <v/>
      </c>
      <c r="K756" s="51" t="str">
        <f>IF(P756="","",IFERROR(ROUND(CHOOSE(VALUE(RIGHT(P756,1)),(IF(SABADO!C292="peso_corporal",IF(ISNUMBER(SABADO!E292),SABADO!E292,0)+SABADO!F292,SABADO!F292))*(1+SABADO!G292/30),(IF(SABADO!C292="peso_corporal",IF(ISNUMBER(SABADO!E292),SABADO!E292,0)+SABADO!I292,SABADO!I292))*(1+SABADO!J292/30),(IF(SABADO!C292="peso_corporal",IF(ISNUMBER(SABADO!E292),SABADO!E292,0)+SABADO!L292,SABADO!L292))*(1+SABADO!M292/30),(IF(SABADO!C292="peso_corporal",IF(ISNUMBER(SABADO!E292),SABADO!E292,0)+SABADO!O292,SABADO!O292))*(1+SABADO!P292/30),(IF(SABADO!C292="peso_corporal",IF(ISNUMBER(SABADO!E292),SABADO!E292,0)+SABADO!R292,SABADO!R292))*(1+SABADO!S292/30)),1),""))</f>
        <v/>
      </c>
      <c r="L756" s="52">
        <f>IFERROR(SABADO!E292,"")</f>
        <v>80</v>
      </c>
      <c r="M756" s="53" t="str">
        <f>IFERROR(IF(K756="","-",IF(ISNUMBER(LOOKUP(2,1/((HISTORIAL!$O$3:$O$755=O756)*(HISTORIAL!$F$3:$F$755&lt;&gt;"")),HISTORIAL!$K$3:$K$755)),IF(K756&gt;LOOKUP(2,1/((HISTORIAL!$O$3:$O$755=O756)*(HISTORIAL!$F$3:$F$755&lt;&gt;"")),HISTORIAL!$K$3:$K$755),"^",IF(K756&lt;LOOKUP(2,1/((HISTORIAL!$O$3:$O$755=O756)*(HISTORIAL!$F$3:$F$755&lt;&gt;"")),HISTORIAL!$K$3:$K$755),"v","-")),"-")),"-")</f>
        <v>-</v>
      </c>
      <c r="N756" s="54" t="str">
        <f>IFERROR(VLOOKUP(A756,CONFIG!$A$10:$B$21,2,0),"")</f>
        <v>DEL</v>
      </c>
      <c r="O756" s="55" t="str">
        <f t="shared" si="23"/>
        <v>Face Pull|Polea Alta Cuerda</v>
      </c>
      <c r="P756" s="69" t="str">
        <f>SABADO!AC292</f>
        <v/>
      </c>
    </row>
    <row r="757" spans="1:16" ht="14.1" customHeight="1">
      <c r="A757" s="37">
        <v>12</v>
      </c>
      <c r="B757" s="37" t="s">
        <v>281</v>
      </c>
      <c r="C757" s="44" t="str">
        <f>SABADO!$A$294</f>
        <v>Hiperextension</v>
      </c>
      <c r="D757" s="45" t="str">
        <f>SABADO!$B$294</f>
        <v>Banco Romano</v>
      </c>
      <c r="E757" s="37" t="str">
        <f>SABADO!$C$294</f>
        <v>peso_corporal</v>
      </c>
      <c r="F757" s="46" t="str">
        <f>IF(P757="","",IFERROR(CHOOSE(VALUE(RIGHT(P757,1)),SABADO!F294,SABADO!I294,SABADO!L294,SABADO!O294,SABADO!R294),""))</f>
        <v/>
      </c>
      <c r="G757" s="47" t="str">
        <f>IF(P757="","",IFERROR(CHOOSE(VALUE(RIGHT(P757,1)),SABADO!G294,SABADO!J294,SABADO!M294,SABADO!P294,SABADO!S294),""))</f>
        <v/>
      </c>
      <c r="H757" s="48" t="str">
        <f>IF(P757="","",IFERROR(CHOOSE(VALUE(RIGHT(P757,1)),SABADO!H294,SABADO!K294,SABADO!N294,SABADO!Q294,SABADO!T294),""))</f>
        <v/>
      </c>
      <c r="I757" s="49" t="str">
        <f t="shared" si="22"/>
        <v/>
      </c>
      <c r="J757" s="50" t="str">
        <f>IF(P757="","",IFERROR(ROUND(CHOOSE(VALUE(RIGHT(P757,1)),IF(SABADO!C294="peso_corporal",IF(ISNUMBER(SABADO!E294),SABADO!E294,0)+SABADO!F294,SABADO!F294)*SABADO!G294,IF(SABADO!C294="peso_corporal",IF(ISNUMBER(SABADO!E294),SABADO!E294,0)+SABADO!I294,SABADO!I294)*SABADO!J294,IF(SABADO!C294="peso_corporal",IF(ISNUMBER(SABADO!E294),SABADO!E294,0)+SABADO!L294,SABADO!L294)*SABADO!M294,IF(SABADO!C294="peso_corporal",IF(ISNUMBER(SABADO!E294),SABADO!E294,0)+SABADO!O294,SABADO!O294)*SABADO!P294,IF(SABADO!C294="peso_corporal",IF(ISNUMBER(SABADO!E294),SABADO!E294,0)+SABADO!R294,SABADO!R294)*SABADO!S294),1),""))</f>
        <v/>
      </c>
      <c r="K757" s="51" t="str">
        <f>IF(P757="","",IFERROR(ROUND(CHOOSE(VALUE(RIGHT(P757,1)),(IF(SABADO!C294="peso_corporal",IF(ISNUMBER(SABADO!E294),SABADO!E294,0)+SABADO!F294,SABADO!F294))*(1+SABADO!G294/30),(IF(SABADO!C294="peso_corporal",IF(ISNUMBER(SABADO!E294),SABADO!E294,0)+SABADO!I294,SABADO!I294))*(1+SABADO!J294/30),(IF(SABADO!C294="peso_corporal",IF(ISNUMBER(SABADO!E294),SABADO!E294,0)+SABADO!L294,SABADO!L294))*(1+SABADO!M294/30),(IF(SABADO!C294="peso_corporal",IF(ISNUMBER(SABADO!E294),SABADO!E294,0)+SABADO!O294,SABADO!O294))*(1+SABADO!P294/30),(IF(SABADO!C294="peso_corporal",IF(ISNUMBER(SABADO!E294),SABADO!E294,0)+SABADO!R294,SABADO!R294))*(1+SABADO!S294/30)),1),""))</f>
        <v/>
      </c>
      <c r="L757" s="52">
        <f>IFERROR(SABADO!E294,"")</f>
        <v>80</v>
      </c>
      <c r="M757" s="53" t="str">
        <f>IFERROR(IF(K757="","-",IF(ISNUMBER(LOOKUP(2,1/((HISTORIAL!$O$3:$O$756=O757)*(HISTORIAL!$F$3:$F$756&lt;&gt;"")),HISTORIAL!$K$3:$K$756)),IF(K757&gt;LOOKUP(2,1/((HISTORIAL!$O$3:$O$756=O757)*(HISTORIAL!$F$3:$F$756&lt;&gt;"")),HISTORIAL!$K$3:$K$756),"^",IF(K757&lt;LOOKUP(2,1/((HISTORIAL!$O$3:$O$756=O757)*(HISTORIAL!$F$3:$F$756&lt;&gt;"")),HISTORIAL!$K$3:$K$756),"v","-")),"-")),"-")</f>
        <v>-</v>
      </c>
      <c r="N757" s="54" t="str">
        <f>IFERROR(VLOOKUP(A757,CONFIG!$A$10:$B$21,2,0),"")</f>
        <v>DEL</v>
      </c>
      <c r="O757" s="55" t="str">
        <f t="shared" si="23"/>
        <v>Hiperextension|Banco Romano</v>
      </c>
      <c r="P757" s="69" t="str">
        <f>SABADO!AC294</f>
        <v/>
      </c>
    </row>
    <row r="758" spans="1:16" ht="14.1" customHeight="1">
      <c r="A758" s="37">
        <v>12</v>
      </c>
      <c r="B758" s="37" t="s">
        <v>281</v>
      </c>
      <c r="C758" s="44" t="str">
        <f>SABADO!$A$296</f>
        <v>Crunch</v>
      </c>
      <c r="D758" s="45" t="str">
        <f>SABADO!$B$296</f>
        <v>Polea</v>
      </c>
      <c r="E758" s="37" t="str">
        <f>SABADO!$C$296</f>
        <v>polea</v>
      </c>
      <c r="F758" s="46" t="str">
        <f>IF(P758="","",IFERROR(CHOOSE(VALUE(RIGHT(P758,1)),SABADO!F296,SABADO!I296,SABADO!L296,SABADO!O296,SABADO!R296),""))</f>
        <v/>
      </c>
      <c r="G758" s="47" t="str">
        <f>IF(P758="","",IFERROR(CHOOSE(VALUE(RIGHT(P758,1)),SABADO!G296,SABADO!J296,SABADO!M296,SABADO!P296,SABADO!S296),""))</f>
        <v/>
      </c>
      <c r="H758" s="48" t="str">
        <f>IF(P758="","",IFERROR(CHOOSE(VALUE(RIGHT(P758,1)),SABADO!H296,SABADO!K296,SABADO!N296,SABADO!Q296,SABADO!T296),""))</f>
        <v/>
      </c>
      <c r="I758" s="49" t="str">
        <f t="shared" si="22"/>
        <v/>
      </c>
      <c r="J758" s="50" t="str">
        <f>IF(P758="","",IFERROR(ROUND(CHOOSE(VALUE(RIGHT(P758,1)),IF(SABADO!C296="peso_corporal",IF(ISNUMBER(SABADO!E296),SABADO!E296,0)+SABADO!F296,SABADO!F296)*SABADO!G296,IF(SABADO!C296="peso_corporal",IF(ISNUMBER(SABADO!E296),SABADO!E296,0)+SABADO!I296,SABADO!I296)*SABADO!J296,IF(SABADO!C296="peso_corporal",IF(ISNUMBER(SABADO!E296),SABADO!E296,0)+SABADO!L296,SABADO!L296)*SABADO!M296,IF(SABADO!C296="peso_corporal",IF(ISNUMBER(SABADO!E296),SABADO!E296,0)+SABADO!O296,SABADO!O296)*SABADO!P296,IF(SABADO!C296="peso_corporal",IF(ISNUMBER(SABADO!E296),SABADO!E296,0)+SABADO!R296,SABADO!R296)*SABADO!S296),1),""))</f>
        <v/>
      </c>
      <c r="K758" s="51" t="str">
        <f>IF(P758="","",IFERROR(ROUND(CHOOSE(VALUE(RIGHT(P758,1)),(IF(SABADO!C296="peso_corporal",IF(ISNUMBER(SABADO!E296),SABADO!E296,0)+SABADO!F296,SABADO!F296))*(1+SABADO!G296/30),(IF(SABADO!C296="peso_corporal",IF(ISNUMBER(SABADO!E296),SABADO!E296,0)+SABADO!I296,SABADO!I296))*(1+SABADO!J296/30),(IF(SABADO!C296="peso_corporal",IF(ISNUMBER(SABADO!E296),SABADO!E296,0)+SABADO!L296,SABADO!L296))*(1+SABADO!M296/30),(IF(SABADO!C296="peso_corporal",IF(ISNUMBER(SABADO!E296),SABADO!E296,0)+SABADO!O296,SABADO!O296))*(1+SABADO!P296/30),(IF(SABADO!C296="peso_corporal",IF(ISNUMBER(SABADO!E296),SABADO!E296,0)+SABADO!R296,SABADO!R296))*(1+SABADO!S296/30)),1),""))</f>
        <v/>
      </c>
      <c r="L758" s="52">
        <f>IFERROR(SABADO!E296,"")</f>
        <v>80</v>
      </c>
      <c r="M758" s="53" t="str">
        <f>IFERROR(IF(K758="","-",IF(ISNUMBER(LOOKUP(2,1/((HISTORIAL!$O$3:$O$757=O758)*(HISTORIAL!$F$3:$F$757&lt;&gt;"")),HISTORIAL!$K$3:$K$757)),IF(K758&gt;LOOKUP(2,1/((HISTORIAL!$O$3:$O$757=O758)*(HISTORIAL!$F$3:$F$757&lt;&gt;"")),HISTORIAL!$K$3:$K$757),"^",IF(K758&lt;LOOKUP(2,1/((HISTORIAL!$O$3:$O$757=O758)*(HISTORIAL!$F$3:$F$757&lt;&gt;"")),HISTORIAL!$K$3:$K$757),"v","-")),"-")),"-")</f>
        <v>-</v>
      </c>
      <c r="N758" s="54" t="str">
        <f>IFERROR(VLOOKUP(A758,CONFIG!$A$10:$B$21,2,0),"")</f>
        <v>DEL</v>
      </c>
      <c r="O758" s="55" t="str">
        <f t="shared" si="23"/>
        <v>Crunch|Polea</v>
      </c>
      <c r="P758" s="69" t="str">
        <f>SABADO!AC296</f>
        <v/>
      </c>
    </row>
  </sheetData>
  <mergeCells count="1">
    <mergeCell ref="A1:P1"/>
  </mergeCells>
  <conditionalFormatting sqref="M3:M758">
    <cfRule type="expression" dxfId="727" priority="1">
      <formula>M3="^"</formula>
    </cfRule>
    <cfRule type="expression" dxfId="726" priority="2">
      <formula>M3="v"</formula>
    </cfRule>
  </conditionalFormatting>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2D050"/>
  </sheetPr>
  <dimension ref="A1:O759"/>
  <sheetViews>
    <sheetView showGridLines="0" workbookViewId="0">
      <pane ySplit="3" topLeftCell="A4" activePane="bottomLeft" state="frozen"/>
      <selection pane="bottomLeft"/>
    </sheetView>
  </sheetViews>
  <sheetFormatPr defaultColWidth="8.85546875" defaultRowHeight="15"/>
  <cols>
    <col min="1" max="1" width="7" style="68" customWidth="1"/>
    <col min="2" max="2" width="12" style="68" customWidth="1"/>
    <col min="3" max="3" width="5" style="68" customWidth="1"/>
    <col min="4" max="4" width="26" style="68" customWidth="1"/>
    <col min="5" max="5" width="30" style="68" customWidth="1"/>
    <col min="6" max="6" width="14" style="68" customWidth="1"/>
    <col min="7" max="10" width="9" style="68" customWidth="1"/>
    <col min="11" max="11" width="10" style="68" customWidth="1"/>
    <col min="12" max="13" width="9" style="68" customWidth="1"/>
    <col min="14" max="14" width="14" style="68" customWidth="1"/>
    <col min="15" max="15" width="13" style="68" hidden="1" customWidth="1"/>
  </cols>
  <sheetData>
    <row r="1" spans="1:15" ht="30" customHeight="1">
      <c r="A1" s="93" t="s">
        <v>282</v>
      </c>
      <c r="B1" s="78"/>
      <c r="C1" s="78"/>
      <c r="D1" s="78"/>
      <c r="E1" s="78"/>
      <c r="F1" s="78"/>
      <c r="G1" s="78"/>
      <c r="H1" s="78"/>
      <c r="I1" s="78"/>
      <c r="J1" s="78"/>
      <c r="K1" s="78"/>
      <c r="L1" s="78"/>
      <c r="M1" s="79"/>
      <c r="N1" s="69"/>
      <c r="O1" s="69"/>
    </row>
    <row r="2" spans="1:15" ht="18" customHeight="1">
      <c r="A2" s="95" t="s">
        <v>283</v>
      </c>
      <c r="B2" s="73"/>
      <c r="C2" s="73"/>
      <c r="D2" s="73"/>
      <c r="E2" s="73"/>
      <c r="F2" s="73"/>
      <c r="G2" s="73"/>
      <c r="H2" s="73"/>
      <c r="I2" s="73"/>
      <c r="J2" s="73"/>
      <c r="K2" s="73"/>
      <c r="L2" s="73"/>
      <c r="M2" s="73"/>
      <c r="N2" s="69"/>
      <c r="O2" s="69"/>
    </row>
    <row r="3" spans="1:15" ht="26.1" customHeight="1">
      <c r="A3" s="24" t="s">
        <v>284</v>
      </c>
      <c r="B3" s="24" t="s">
        <v>267</v>
      </c>
      <c r="C3" s="24" t="s">
        <v>285</v>
      </c>
      <c r="D3" s="24" t="s">
        <v>286</v>
      </c>
      <c r="E3" s="24" t="s">
        <v>2</v>
      </c>
      <c r="F3" s="24" t="s">
        <v>3</v>
      </c>
      <c r="G3" s="24" t="s">
        <v>287</v>
      </c>
      <c r="H3" s="24" t="s">
        <v>288</v>
      </c>
      <c r="I3" s="24" t="s">
        <v>289</v>
      </c>
      <c r="J3" s="24" t="s">
        <v>290</v>
      </c>
      <c r="K3" s="24" t="s">
        <v>291</v>
      </c>
      <c r="L3" s="24" t="s">
        <v>292</v>
      </c>
      <c r="M3" s="24" t="s">
        <v>293</v>
      </c>
      <c r="N3" s="24" t="s">
        <v>294</v>
      </c>
      <c r="O3" s="69"/>
    </row>
    <row r="4" spans="1:15" ht="14.1" customHeight="1">
      <c r="A4" s="37">
        <v>1</v>
      </c>
      <c r="B4" s="37" t="s">
        <v>277</v>
      </c>
      <c r="C4" s="37">
        <v>1</v>
      </c>
      <c r="D4" s="56" t="str">
        <f>LUNES!$A$13</f>
        <v>Press Plano</v>
      </c>
      <c r="E4" s="57" t="str">
        <f>LUNES!$B$13</f>
        <v>Mancuernas</v>
      </c>
      <c r="F4" s="37" t="str">
        <f>LUNES!$C$13</f>
        <v>mancuerna</v>
      </c>
      <c r="G4" s="37" t="str">
        <f>""</f>
        <v/>
      </c>
      <c r="H4" s="37" t="str">
        <f>""</f>
        <v/>
      </c>
      <c r="I4" s="37" t="str">
        <f>""</f>
        <v/>
      </c>
      <c r="J4" s="37" t="str">
        <f>""</f>
        <v/>
      </c>
      <c r="K4" s="58" t="str">
        <f>IFERROR(IF(OR(G4="",N4="SIN"),"--",IF(N4="SUBIR_F",IF(F4="polea",IFERROR(INDEX(CONFIG!$B$25:$B$40,MATCH(G4,CONFIG!$B$25:$B$40,0)+2),IFERROR(INDEX(CONFIG!$B$25:$B$40,MATCH(G4,CONFIG!$B$25:$B$40,0)+1),G4)),G4+5),IF(OR(N4="SUBIR",N4="SUBIR_E"),IF(F4="polea",IFERROR(INDEX(CONFIG!$B$25:$B$40,MATCH(G4,CONFIG!$B$25:$B$40,0)+1),G4),G4+2.5),IF(N4="BAJAR",IF(F4="polea",IFERROR(INDEX(CONFIG!$B$25:$B$40,MAX(1,MATCH(G4,CONFIG!$B$25:$B$40,0)-1)),G4),MAX(0,G4-2.5)),G4)))),"--")</f>
        <v>--</v>
      </c>
      <c r="L4" s="59" t="str">
        <f>IFERROR(IF(N4="SIN","--",IF(N4="MANT",IF(H4="","--",H4+1),IFERROR(VLOOKUP(CONFIG!$E$2,CONFIG!$A$6:$E$8,2,0),"--"))),"--")</f>
        <v>--</v>
      </c>
      <c r="M4" s="59" t="str">
        <f>IFERROR(IF(N4="SIN","--",IF(CONFIG!$E$2="HIP",2,IF(CONFIG!$E$2="FUE",1,2))),"--")</f>
        <v>--</v>
      </c>
      <c r="N4" s="53" t="str">
        <f>IFERROR(IF(G4="","SIN",IF(O4=1,"SUBIR_E",IF(H4&lt;IFERROR(VLOOKUP(CONFIG!$E$2,CONFIG!$A$6:$E$8,2,0),6),"BAJAR",IF(H4+I4&gt;=IFERROR(VLOOKUP(CONFIG!$E$2,CONFIG!$A$6:$E$8,3,0),12),"SUBIR_F",IF(AND(H4&gt;=IFERROR(VLOOKUP(CONFIG!$E$2,CONFIG!$A$6:$E$8,2,0),6)+2,I4&gt;=2),"SUBIR",IF(I4&gt;IFERROR(VLOOKUP(CONFIG!$E$2,CONFIG!$A$6:$E$8,5,0),3),"SUBIR","MANT")))))),"SIN")</f>
        <v>SIN</v>
      </c>
      <c r="O4" s="55">
        <f>0</f>
        <v>0</v>
      </c>
    </row>
    <row r="5" spans="1:15" ht="14.1" customHeight="1">
      <c r="A5" s="37">
        <v>1</v>
      </c>
      <c r="B5" s="37" t="s">
        <v>277</v>
      </c>
      <c r="C5" s="37">
        <v>2</v>
      </c>
      <c r="D5" s="56" t="str">
        <f>LUNES!$A$15</f>
        <v>Aperturas Inclinado</v>
      </c>
      <c r="E5" s="57" t="str">
        <f>LUNES!$B$15</f>
        <v>Mancuernas Inclinado</v>
      </c>
      <c r="F5" s="37" t="str">
        <f>LUNES!$C$15</f>
        <v>mancuerna</v>
      </c>
      <c r="G5" s="37" t="str">
        <f>IFERROR(LOOKUP(2,1/((HISTORIAL!$O$3:$O$3=D5&amp;"|"&amp;E5)*(HISTORIAL!$F$3:$F$3&lt;&gt;"")),HISTORIAL!$F$3:$F$3),"")</f>
        <v/>
      </c>
      <c r="H5" s="37" t="str">
        <f>IFERROR(LOOKUP(2,1/((HISTORIAL!$O$3:$O$3=D5&amp;"|"&amp;E5)*(HISTORIAL!$F$3:$F$3&lt;&gt;"")),HISTORIAL!$G$3:$G$3),"")</f>
        <v/>
      </c>
      <c r="I5" s="37" t="str">
        <f>IFERROR(LOOKUP(2,1/((HISTORIAL!$O$3:$O$3=D5&amp;"|"&amp;E5)*(HISTORIAL!$F$3:$F$3&lt;&gt;"")),HISTORIAL!$H$3:$H$3),"")</f>
        <v/>
      </c>
      <c r="J5" s="37" t="str">
        <f>IFERROR(LOOKUP(2,1/((HISTORIAL!$O$3:$O$3=D5&amp;"|"&amp;E5)*(HISTORIAL!$F$3:$F$3&lt;&gt;"")),HISTORIAL!$I$3:$I$3),"")</f>
        <v/>
      </c>
      <c r="K5" s="58" t="str">
        <f>IFERROR(IF(OR(G5="",N5="SIN"),"--",IF(N5="SUBIR_F",IF(F5="polea",IFERROR(INDEX(CONFIG!$B$25:$B$40,MATCH(G5,CONFIG!$B$25:$B$40,0)+2),IFERROR(INDEX(CONFIG!$B$25:$B$40,MATCH(G5,CONFIG!$B$25:$B$40,0)+1),G5)),G5+5),IF(OR(N5="SUBIR",N5="SUBIR_E"),IF(F5="polea",IFERROR(INDEX(CONFIG!$B$25:$B$40,MATCH(G5,CONFIG!$B$25:$B$40,0)+1),G5),G5+2.5),IF(N5="BAJAR",IF(F5="polea",IFERROR(INDEX(CONFIG!$B$25:$B$40,MAX(1,MATCH(G5,CONFIG!$B$25:$B$40,0)-1)),G5),MAX(0,G5-2.5)),G5)))),"--")</f>
        <v>--</v>
      </c>
      <c r="L5" s="59" t="str">
        <f>IFERROR(IF(N5="SIN","--",IF(N5="MANT",IF(H5="","--",H5+1),IFERROR(VLOOKUP(CONFIG!$E$2,CONFIG!$A$6:$E$8,2,0),"--"))),"--")</f>
        <v>--</v>
      </c>
      <c r="M5" s="59" t="str">
        <f>IFERROR(IF(N5="SIN","--",IF(CONFIG!$E$2="HIP",2,IF(CONFIG!$E$2="FUE",1,2))),"--")</f>
        <v>--</v>
      </c>
      <c r="N5" s="53" t="str">
        <f>IFERROR(IF(G5="","SIN",IF(O5=1,"SUBIR_E",IF(H5&lt;IFERROR(VLOOKUP(CONFIG!$E$2,CONFIG!$A$6:$E$8,2,0),6),"BAJAR",IF(H5+I5&gt;=IFERROR(VLOOKUP(CONFIG!$E$2,CONFIG!$A$6:$E$8,3,0),12),"SUBIR_F",IF(AND(H5&gt;=IFERROR(VLOOKUP(CONFIG!$E$2,CONFIG!$A$6:$E$8,2,0),6)+2,I5&gt;=2),"SUBIR",IF(I5&gt;IFERROR(VLOOKUP(CONFIG!$E$2,CONFIG!$A$6:$E$8,5,0),3),"SUBIR","MANT")))))),"SIN")</f>
        <v>SIN</v>
      </c>
      <c r="O5" s="55">
        <f>IF(COUNTIFS(HISTORIAL!$O$3:$O$3,D5&amp;"|"&amp;E5,HISTORIAL!$F$3:$F$3,"&gt;0")&lt;2,0,IF(COUNTIFS(HISTORIAL!$O$3:$O$3,D5&amp;"|"&amp;E5,HISTORIAL!$F$3:$F$3,IFERROR(LOOKUP(2,1/((HISTORIAL!$O$3:$O$3=D5&amp;"|"&amp;E5)*(HISTORIAL!$F$3:$F$3&gt;0)),HISTORIAL!$F$3:$F$3),0))&gt;=2,IF(IFERROR(LOOKUP(2,1/((HISTORIAL!$O$3:$O$3=D5&amp;"|"&amp;E5)*(HISTORIAL!$F$3:$F$3&gt;0)),HISTORIAL!$G$3:$G$3),0)&gt;0,IF(F5&gt;0,IF(G5&lt;=IFERROR(LOOKUP(2,1/((HISTORIAL!$O$3:$O$3=D5&amp;"|"&amp;E5)*(HISTORIAL!$F$3:$F$3&gt;0)),HISTORIAL!$G$3:$G$3),0),1,0),0),0),0))</f>
        <v>0</v>
      </c>
    </row>
    <row r="6" spans="1:15" ht="14.1" customHeight="1">
      <c r="A6" s="37">
        <v>1</v>
      </c>
      <c r="B6" s="37" t="s">
        <v>277</v>
      </c>
      <c r="C6" s="37">
        <v>3</v>
      </c>
      <c r="D6" s="56" t="str">
        <f>LUNES!$A$17</f>
        <v>Fondos</v>
      </c>
      <c r="E6" s="57" t="str">
        <f>LUNES!$B$17</f>
        <v>Paralelas</v>
      </c>
      <c r="F6" s="37" t="str">
        <f>LUNES!$C$17</f>
        <v>peso_corporal</v>
      </c>
      <c r="G6" s="37" t="str">
        <f>IFERROR(LOOKUP(2,1/((HISTORIAL!$O$3:$O$4=D6&amp;"|"&amp;E6)*(HISTORIAL!$F$3:$F$4&lt;&gt;"")),HISTORIAL!$F$3:$F$4),"")</f>
        <v/>
      </c>
      <c r="H6" s="37" t="str">
        <f>IFERROR(LOOKUP(2,1/((HISTORIAL!$O$3:$O$4=D6&amp;"|"&amp;E6)*(HISTORIAL!$F$3:$F$4&lt;&gt;"")),HISTORIAL!$G$3:$G$4),"")</f>
        <v/>
      </c>
      <c r="I6" s="37" t="str">
        <f>IFERROR(LOOKUP(2,1/((HISTORIAL!$O$3:$O$4=D6&amp;"|"&amp;E6)*(HISTORIAL!$F$3:$F$4&lt;&gt;"")),HISTORIAL!$H$3:$H$4),"")</f>
        <v/>
      </c>
      <c r="J6" s="37" t="str">
        <f>IFERROR(LOOKUP(2,1/((HISTORIAL!$O$3:$O$4=D6&amp;"|"&amp;E6)*(HISTORIAL!$F$3:$F$4&lt;&gt;"")),HISTORIAL!$I$3:$I$4),"")</f>
        <v/>
      </c>
      <c r="K6" s="58" t="str">
        <f>IFERROR(IF(OR(G6="",N6="SIN"),"--",IF(N6="SUBIR_F",IF(F6="polea",IFERROR(INDEX(CONFIG!$B$25:$B$40,MATCH(G6,CONFIG!$B$25:$B$40,0)+2),IFERROR(INDEX(CONFIG!$B$25:$B$40,MATCH(G6,CONFIG!$B$25:$B$40,0)+1),G6)),G6+5),IF(OR(N6="SUBIR",N6="SUBIR_E"),IF(F6="polea",IFERROR(INDEX(CONFIG!$B$25:$B$40,MATCH(G6,CONFIG!$B$25:$B$40,0)+1),G6),G6+2.5),IF(N6="BAJAR",IF(F6="polea",IFERROR(INDEX(CONFIG!$B$25:$B$40,MAX(1,MATCH(G6,CONFIG!$B$25:$B$40,0)-1)),G6),MAX(0,G6-2.5)),G6)))),"--")</f>
        <v>--</v>
      </c>
      <c r="L6" s="59" t="str">
        <f>IFERROR(IF(N6="SIN","--",IF(N6="MANT",IF(H6="","--",H6+1),IFERROR(VLOOKUP(CONFIG!$E$2,CONFIG!$A$6:$E$8,2,0),"--"))),"--")</f>
        <v>--</v>
      </c>
      <c r="M6" s="59" t="str">
        <f>IFERROR(IF(N6="SIN","--",IF(CONFIG!$E$2="HIP",2,IF(CONFIG!$E$2="FUE",1,2))),"--")</f>
        <v>--</v>
      </c>
      <c r="N6" s="53" t="str">
        <f>IFERROR(IF(G6="","SIN",IF(O6=1,"SUBIR_E",IF(H6&lt;IFERROR(VLOOKUP(CONFIG!$E$2,CONFIG!$A$6:$E$8,2,0),6),"BAJAR",IF(H6+I6&gt;=IFERROR(VLOOKUP(CONFIG!$E$2,CONFIG!$A$6:$E$8,3,0),12),"SUBIR_F",IF(AND(H6&gt;=IFERROR(VLOOKUP(CONFIG!$E$2,CONFIG!$A$6:$E$8,2,0),6)+2,I6&gt;=2),"SUBIR",IF(I6&gt;IFERROR(VLOOKUP(CONFIG!$E$2,CONFIG!$A$6:$E$8,5,0),3),"SUBIR","MANT")))))),"SIN")</f>
        <v>SIN</v>
      </c>
      <c r="O6" s="55">
        <f>IF(COUNTIFS(HISTORIAL!$O$3:$O$4,D6&amp;"|"&amp;E6,HISTORIAL!$F$3:$F$4,"&gt;0")&lt;2,0,IF(COUNTIFS(HISTORIAL!$O$3:$O$4,D6&amp;"|"&amp;E6,HISTORIAL!$F$3:$F$4,IFERROR(LOOKUP(2,1/((HISTORIAL!$O$3:$O$4=D6&amp;"|"&amp;E6)*(HISTORIAL!$F$3:$F$4&gt;0)),HISTORIAL!$F$3:$F$4),0))&gt;=2,IF(IFERROR(LOOKUP(2,1/((HISTORIAL!$O$3:$O$4=D6&amp;"|"&amp;E6)*(HISTORIAL!$F$3:$F$4&gt;0)),HISTORIAL!$G$3:$G$4),0)&gt;0,IF(F6&gt;0,IF(G6&lt;=IFERROR(LOOKUP(2,1/((HISTORIAL!$O$3:$O$4=D6&amp;"|"&amp;E6)*(HISTORIAL!$F$3:$F$4&gt;0)),HISTORIAL!$G$3:$G$4),0),1,0),0),0),0))</f>
        <v>0</v>
      </c>
    </row>
    <row r="7" spans="1:15" ht="14.1" customHeight="1">
      <c r="A7" s="37">
        <v>1</v>
      </c>
      <c r="B7" s="37" t="s">
        <v>277</v>
      </c>
      <c r="C7" s="37">
        <v>4</v>
      </c>
      <c r="D7" s="56" t="str">
        <f>LUNES!$A$18</f>
        <v>Aperturas Bajo</v>
      </c>
      <c r="E7" s="57" t="str">
        <f>LUNES!$B$18</f>
        <v>Polea Baja Crossover</v>
      </c>
      <c r="F7" s="37" t="str">
        <f>LUNES!$C$18</f>
        <v>polea</v>
      </c>
      <c r="G7" s="37" t="str">
        <f>IFERROR(LOOKUP(2,1/((HISTORIAL!$O$3:$O$5=D7&amp;"|"&amp;E7)*(HISTORIAL!$F$3:$F$5&lt;&gt;"")),HISTORIAL!$F$3:$F$5),"")</f>
        <v/>
      </c>
      <c r="H7" s="37" t="str">
        <f>IFERROR(LOOKUP(2,1/((HISTORIAL!$O$3:$O$5=D7&amp;"|"&amp;E7)*(HISTORIAL!$F$3:$F$5&lt;&gt;"")),HISTORIAL!$G$3:$G$5),"")</f>
        <v/>
      </c>
      <c r="I7" s="37" t="str">
        <f>IFERROR(LOOKUP(2,1/((HISTORIAL!$O$3:$O$5=D7&amp;"|"&amp;E7)*(HISTORIAL!$F$3:$F$5&lt;&gt;"")),HISTORIAL!$H$3:$H$5),"")</f>
        <v/>
      </c>
      <c r="J7" s="37" t="str">
        <f>IFERROR(LOOKUP(2,1/((HISTORIAL!$O$3:$O$5=D7&amp;"|"&amp;E7)*(HISTORIAL!$F$3:$F$5&lt;&gt;"")),HISTORIAL!$I$3:$I$5),"")</f>
        <v/>
      </c>
      <c r="K7" s="58" t="str">
        <f>IFERROR(IF(OR(G7="",N7="SIN"),"--",IF(N7="SUBIR_F",IF(F7="polea",IFERROR(INDEX(CONFIG!$B$25:$B$40,MATCH(G7,CONFIG!$B$25:$B$40,0)+2),IFERROR(INDEX(CONFIG!$B$25:$B$40,MATCH(G7,CONFIG!$B$25:$B$40,0)+1),G7)),G7+5),IF(OR(N7="SUBIR",N7="SUBIR_E"),IF(F7="polea",IFERROR(INDEX(CONFIG!$B$25:$B$40,MATCH(G7,CONFIG!$B$25:$B$40,0)+1),G7),G7+2.5),IF(N7="BAJAR",IF(F7="polea",IFERROR(INDEX(CONFIG!$B$25:$B$40,MAX(1,MATCH(G7,CONFIG!$B$25:$B$40,0)-1)),G7),MAX(0,G7-2.5)),G7)))),"--")</f>
        <v>--</v>
      </c>
      <c r="L7" s="59" t="str">
        <f>IFERROR(IF(N7="SIN","--",IF(N7="MANT",IF(H7="","--",H7+1),IFERROR(VLOOKUP(CONFIG!$E$2,CONFIG!$A$6:$E$8,2,0),"--"))),"--")</f>
        <v>--</v>
      </c>
      <c r="M7" s="59" t="str">
        <f>IFERROR(IF(N7="SIN","--",IF(CONFIG!$E$2="HIP",2,IF(CONFIG!$E$2="FUE",1,2))),"--")</f>
        <v>--</v>
      </c>
      <c r="N7" s="53" t="str">
        <f>IFERROR(IF(G7="","SIN",IF(O7=1,"SUBIR_E",IF(H7&lt;IFERROR(VLOOKUP(CONFIG!$E$2,CONFIG!$A$6:$E$8,2,0),6),"BAJAR",IF(H7+I7&gt;=IFERROR(VLOOKUP(CONFIG!$E$2,CONFIG!$A$6:$E$8,3,0),12),"SUBIR_F",IF(AND(H7&gt;=IFERROR(VLOOKUP(CONFIG!$E$2,CONFIG!$A$6:$E$8,2,0),6)+2,I7&gt;=2),"SUBIR",IF(I7&gt;IFERROR(VLOOKUP(CONFIG!$E$2,CONFIG!$A$6:$E$8,5,0),3),"SUBIR","MANT")))))),"SIN")</f>
        <v>SIN</v>
      </c>
      <c r="O7" s="55">
        <f>IF(COUNTIFS(HISTORIAL!$O$3:$O$5,D7&amp;"|"&amp;E7,HISTORIAL!$F$3:$F$5,"&gt;0")&lt;2,0,IF(COUNTIFS(HISTORIAL!$O$3:$O$5,D7&amp;"|"&amp;E7,HISTORIAL!$F$3:$F$5,IFERROR(LOOKUP(2,1/((HISTORIAL!$O$3:$O$5=D7&amp;"|"&amp;E7)*(HISTORIAL!$F$3:$F$5&gt;0)),HISTORIAL!$F$3:$F$5),0))&gt;=2,IF(IFERROR(LOOKUP(2,1/((HISTORIAL!$O$3:$O$5=D7&amp;"|"&amp;E7)*(HISTORIAL!$F$3:$F$5&gt;0)),HISTORIAL!$G$3:$G$5),0)&gt;0,IF(F7&gt;0,IF(G7&lt;=IFERROR(LOOKUP(2,1/((HISTORIAL!$O$3:$O$5=D7&amp;"|"&amp;E7)*(HISTORIAL!$F$3:$F$5&gt;0)),HISTORIAL!$G$3:$G$5),0),1,0),0),0),0))</f>
        <v>0</v>
      </c>
    </row>
    <row r="8" spans="1:15" ht="14.1" customHeight="1">
      <c r="A8" s="37">
        <v>1</v>
      </c>
      <c r="B8" s="37" t="s">
        <v>277</v>
      </c>
      <c r="C8" s="37">
        <v>5</v>
      </c>
      <c r="D8" s="56" t="str">
        <f>LUNES!$A$19</f>
        <v>Press Polea</v>
      </c>
      <c r="E8" s="57" t="str">
        <f>LUNES!$B$19</f>
        <v>Barra Recta Diagonal Arriba</v>
      </c>
      <c r="F8" s="37" t="str">
        <f>LUNES!$C$19</f>
        <v>polea</v>
      </c>
      <c r="G8" s="37" t="str">
        <f>IFERROR(LOOKUP(2,1/((HISTORIAL!$O$3:$O$6=D8&amp;"|"&amp;E8)*(HISTORIAL!$F$3:$F$6&lt;&gt;"")),HISTORIAL!$F$3:$F$6),"")</f>
        <v/>
      </c>
      <c r="H8" s="37" t="str">
        <f>IFERROR(LOOKUP(2,1/((HISTORIAL!$O$3:$O$6=D8&amp;"|"&amp;E8)*(HISTORIAL!$F$3:$F$6&lt;&gt;"")),HISTORIAL!$G$3:$G$6),"")</f>
        <v/>
      </c>
      <c r="I8" s="37" t="str">
        <f>IFERROR(LOOKUP(2,1/((HISTORIAL!$O$3:$O$6=D8&amp;"|"&amp;E8)*(HISTORIAL!$F$3:$F$6&lt;&gt;"")),HISTORIAL!$H$3:$H$6),"")</f>
        <v/>
      </c>
      <c r="J8" s="37" t="str">
        <f>IFERROR(LOOKUP(2,1/((HISTORIAL!$O$3:$O$6=D8&amp;"|"&amp;E8)*(HISTORIAL!$F$3:$F$6&lt;&gt;"")),HISTORIAL!$I$3:$I$6),"")</f>
        <v/>
      </c>
      <c r="K8" s="58" t="str">
        <f>IFERROR(IF(OR(G8="",N8="SIN"),"--",IF(N8="SUBIR_F",IF(F8="polea",IFERROR(INDEX(CONFIG!$B$25:$B$40,MATCH(G8,CONFIG!$B$25:$B$40,0)+2),IFERROR(INDEX(CONFIG!$B$25:$B$40,MATCH(G8,CONFIG!$B$25:$B$40,0)+1),G8)),G8+5),IF(OR(N8="SUBIR",N8="SUBIR_E"),IF(F8="polea",IFERROR(INDEX(CONFIG!$B$25:$B$40,MATCH(G8,CONFIG!$B$25:$B$40,0)+1),G8),G8+2.5),IF(N8="BAJAR",IF(F8="polea",IFERROR(INDEX(CONFIG!$B$25:$B$40,MAX(1,MATCH(G8,CONFIG!$B$25:$B$40,0)-1)),G8),MAX(0,G8-2.5)),G8)))),"--")</f>
        <v>--</v>
      </c>
      <c r="L8" s="59" t="str">
        <f>IFERROR(IF(N8="SIN","--",IF(N8="MANT",IF(H8="","--",H8+1),IFERROR(VLOOKUP(CONFIG!$E$2,CONFIG!$A$6:$E$8,2,0),"--"))),"--")</f>
        <v>--</v>
      </c>
      <c r="M8" s="59" t="str">
        <f>IFERROR(IF(N8="SIN","--",IF(CONFIG!$E$2="HIP",2,IF(CONFIG!$E$2="FUE",1,2))),"--")</f>
        <v>--</v>
      </c>
      <c r="N8" s="53" t="str">
        <f>IFERROR(IF(G8="","SIN",IF(O8=1,"SUBIR_E",IF(H8&lt;IFERROR(VLOOKUP(CONFIG!$E$2,CONFIG!$A$6:$E$8,2,0),6),"BAJAR",IF(H8+I8&gt;=IFERROR(VLOOKUP(CONFIG!$E$2,CONFIG!$A$6:$E$8,3,0),12),"SUBIR_F",IF(AND(H8&gt;=IFERROR(VLOOKUP(CONFIG!$E$2,CONFIG!$A$6:$E$8,2,0),6)+2,I8&gt;=2),"SUBIR",IF(I8&gt;IFERROR(VLOOKUP(CONFIG!$E$2,CONFIG!$A$6:$E$8,5,0),3),"SUBIR","MANT")))))),"SIN")</f>
        <v>SIN</v>
      </c>
      <c r="O8" s="55">
        <f>IF(COUNTIFS(HISTORIAL!$O$3:$O$6,D8&amp;"|"&amp;E8,HISTORIAL!$F$3:$F$6,"&gt;0")&lt;2,0,IF(COUNTIFS(HISTORIAL!$O$3:$O$6,D8&amp;"|"&amp;E8,HISTORIAL!$F$3:$F$6,IFERROR(LOOKUP(2,1/((HISTORIAL!$O$3:$O$6=D8&amp;"|"&amp;E8)*(HISTORIAL!$F$3:$F$6&gt;0)),HISTORIAL!$F$3:$F$6),0))&gt;=2,IF(IFERROR(LOOKUP(2,1/((HISTORIAL!$O$3:$O$6=D8&amp;"|"&amp;E8)*(HISTORIAL!$F$3:$F$6&gt;0)),HISTORIAL!$G$3:$G$6),0)&gt;0,IF(F8&gt;0,IF(G8&lt;=IFERROR(LOOKUP(2,1/((HISTORIAL!$O$3:$O$6=D8&amp;"|"&amp;E8)*(HISTORIAL!$F$3:$F$6&gt;0)),HISTORIAL!$G$3:$G$6),0),1,0),0),0),0))</f>
        <v>0</v>
      </c>
    </row>
    <row r="9" spans="1:15" ht="14.1" customHeight="1">
      <c r="A9" s="37">
        <v>1</v>
      </c>
      <c r="B9" s="37" t="s">
        <v>277</v>
      </c>
      <c r="C9" s="37">
        <v>6</v>
      </c>
      <c r="D9" s="56" t="str">
        <f>LUNES!$A$21</f>
        <v>Elevaciones Laterales</v>
      </c>
      <c r="E9" s="57" t="str">
        <f>LUNES!$B$21</f>
        <v>Cable Polea Individual</v>
      </c>
      <c r="F9" s="37" t="str">
        <f>LUNES!$C$21</f>
        <v>polea</v>
      </c>
      <c r="G9" s="37" t="str">
        <f>IFERROR(LOOKUP(2,1/((HISTORIAL!$O$3:$O$7=D9&amp;"|"&amp;E9)*(HISTORIAL!$F$3:$F$7&lt;&gt;"")),HISTORIAL!$F$3:$F$7),"")</f>
        <v/>
      </c>
      <c r="H9" s="37" t="str">
        <f>IFERROR(LOOKUP(2,1/((HISTORIAL!$O$3:$O$7=D9&amp;"|"&amp;E9)*(HISTORIAL!$F$3:$F$7&lt;&gt;"")),HISTORIAL!$G$3:$G$7),"")</f>
        <v/>
      </c>
      <c r="I9" s="37" t="str">
        <f>IFERROR(LOOKUP(2,1/((HISTORIAL!$O$3:$O$7=D9&amp;"|"&amp;E9)*(HISTORIAL!$F$3:$F$7&lt;&gt;"")),HISTORIAL!$H$3:$H$7),"")</f>
        <v/>
      </c>
      <c r="J9" s="37" t="str">
        <f>IFERROR(LOOKUP(2,1/((HISTORIAL!$O$3:$O$7=D9&amp;"|"&amp;E9)*(HISTORIAL!$F$3:$F$7&lt;&gt;"")),HISTORIAL!$I$3:$I$7),"")</f>
        <v/>
      </c>
      <c r="K9" s="58" t="str">
        <f>IFERROR(IF(OR(G9="",N9="SIN"),"--",IF(N9="SUBIR_F",IF(F9="polea",IFERROR(INDEX(CONFIG!$B$25:$B$40,MATCH(G9,CONFIG!$B$25:$B$40,0)+2),IFERROR(INDEX(CONFIG!$B$25:$B$40,MATCH(G9,CONFIG!$B$25:$B$40,0)+1),G9)),G9+5),IF(OR(N9="SUBIR",N9="SUBIR_E"),IF(F9="polea",IFERROR(INDEX(CONFIG!$B$25:$B$40,MATCH(G9,CONFIG!$B$25:$B$40,0)+1),G9),G9+2.5),IF(N9="BAJAR",IF(F9="polea",IFERROR(INDEX(CONFIG!$B$25:$B$40,MAX(1,MATCH(G9,CONFIG!$B$25:$B$40,0)-1)),G9),MAX(0,G9-2.5)),G9)))),"--")</f>
        <v>--</v>
      </c>
      <c r="L9" s="59" t="str">
        <f>IFERROR(IF(N9="SIN","--",IF(N9="MANT",IF(H9="","--",H9+1),IFERROR(VLOOKUP(CONFIG!$E$2,CONFIG!$A$6:$E$8,2,0),"--"))),"--")</f>
        <v>--</v>
      </c>
      <c r="M9" s="59" t="str">
        <f>IFERROR(IF(N9="SIN","--",IF(CONFIG!$E$2="HIP",2,IF(CONFIG!$E$2="FUE",1,2))),"--")</f>
        <v>--</v>
      </c>
      <c r="N9" s="53" t="str">
        <f>IFERROR(IF(G9="","SIN",IF(O9=1,"SUBIR_E",IF(H9&lt;IFERROR(VLOOKUP(CONFIG!$E$2,CONFIG!$A$6:$E$8,2,0),6),"BAJAR",IF(H9+I9&gt;=IFERROR(VLOOKUP(CONFIG!$E$2,CONFIG!$A$6:$E$8,3,0),12),"SUBIR_F",IF(AND(H9&gt;=IFERROR(VLOOKUP(CONFIG!$E$2,CONFIG!$A$6:$E$8,2,0),6)+2,I9&gt;=2),"SUBIR",IF(I9&gt;IFERROR(VLOOKUP(CONFIG!$E$2,CONFIG!$A$6:$E$8,5,0),3),"SUBIR","MANT")))))),"SIN")</f>
        <v>SIN</v>
      </c>
      <c r="O9" s="55">
        <f>IF(COUNTIFS(HISTORIAL!$O$3:$O$7,D9&amp;"|"&amp;E9,HISTORIAL!$F$3:$F$7,"&gt;0")&lt;2,0,IF(COUNTIFS(HISTORIAL!$O$3:$O$7,D9&amp;"|"&amp;E9,HISTORIAL!$F$3:$F$7,IFERROR(LOOKUP(2,1/((HISTORIAL!$O$3:$O$7=D9&amp;"|"&amp;E9)*(HISTORIAL!$F$3:$F$7&gt;0)),HISTORIAL!$F$3:$F$7),0))&gt;=2,IF(IFERROR(LOOKUP(2,1/((HISTORIAL!$O$3:$O$7=D9&amp;"|"&amp;E9)*(HISTORIAL!$F$3:$F$7&gt;0)),HISTORIAL!$G$3:$G$7),0)&gt;0,IF(F9&gt;0,IF(G9&lt;=IFERROR(LOOKUP(2,1/((HISTORIAL!$O$3:$O$7=D9&amp;"|"&amp;E9)*(HISTORIAL!$F$3:$F$7&gt;0)),HISTORIAL!$G$3:$G$7),0),1,0),0),0),0))</f>
        <v>0</v>
      </c>
    </row>
    <row r="10" spans="1:15" ht="14.1" customHeight="1">
      <c r="A10" s="37">
        <v>1</v>
      </c>
      <c r="B10" s="37" t="s">
        <v>277</v>
      </c>
      <c r="C10" s="37">
        <v>7</v>
      </c>
      <c r="D10" s="56" t="str">
        <f>LUNES!$A$22</f>
        <v>Press Militar</v>
      </c>
      <c r="E10" s="57" t="str">
        <f>LUNES!$B$22</f>
        <v>Mancuernas Sentado</v>
      </c>
      <c r="F10" s="37" t="str">
        <f>LUNES!$C$22</f>
        <v>mancuerna</v>
      </c>
      <c r="G10" s="37" t="str">
        <f>IFERROR(LOOKUP(2,1/((HISTORIAL!$O$3:$O$8=D10&amp;"|"&amp;E10)*(HISTORIAL!$F$3:$F$8&lt;&gt;"")),HISTORIAL!$F$3:$F$8),"")</f>
        <v/>
      </c>
      <c r="H10" s="37" t="str">
        <f>IFERROR(LOOKUP(2,1/((HISTORIAL!$O$3:$O$8=D10&amp;"|"&amp;E10)*(HISTORIAL!$F$3:$F$8&lt;&gt;"")),HISTORIAL!$G$3:$G$8),"")</f>
        <v/>
      </c>
      <c r="I10" s="37" t="str">
        <f>IFERROR(LOOKUP(2,1/((HISTORIAL!$O$3:$O$8=D10&amp;"|"&amp;E10)*(HISTORIAL!$F$3:$F$8&lt;&gt;"")),HISTORIAL!$H$3:$H$8),"")</f>
        <v/>
      </c>
      <c r="J10" s="37" t="str">
        <f>IFERROR(LOOKUP(2,1/((HISTORIAL!$O$3:$O$8=D10&amp;"|"&amp;E10)*(HISTORIAL!$F$3:$F$8&lt;&gt;"")),HISTORIAL!$I$3:$I$8),"")</f>
        <v/>
      </c>
      <c r="K10" s="58" t="str">
        <f>IFERROR(IF(OR(G10="",N10="SIN"),"--",IF(N10="SUBIR_F",IF(F10="polea",IFERROR(INDEX(CONFIG!$B$25:$B$40,MATCH(G10,CONFIG!$B$25:$B$40,0)+2),IFERROR(INDEX(CONFIG!$B$25:$B$40,MATCH(G10,CONFIG!$B$25:$B$40,0)+1),G10)),G10+5),IF(OR(N10="SUBIR",N10="SUBIR_E"),IF(F10="polea",IFERROR(INDEX(CONFIG!$B$25:$B$40,MATCH(G10,CONFIG!$B$25:$B$40,0)+1),G10),G10+2.5),IF(N10="BAJAR",IF(F10="polea",IFERROR(INDEX(CONFIG!$B$25:$B$40,MAX(1,MATCH(G10,CONFIG!$B$25:$B$40,0)-1)),G10),MAX(0,G10-2.5)),G10)))),"--")</f>
        <v>--</v>
      </c>
      <c r="L10" s="59" t="str">
        <f>IFERROR(IF(N10="SIN","--",IF(N10="MANT",IF(H10="","--",H10+1),IFERROR(VLOOKUP(CONFIG!$E$2,CONFIG!$A$6:$E$8,2,0),"--"))),"--")</f>
        <v>--</v>
      </c>
      <c r="M10" s="59" t="str">
        <f>IFERROR(IF(N10="SIN","--",IF(CONFIG!$E$2="HIP",2,IF(CONFIG!$E$2="FUE",1,2))),"--")</f>
        <v>--</v>
      </c>
      <c r="N10" s="53" t="str">
        <f>IFERROR(IF(G10="","SIN",IF(O10=1,"SUBIR_E",IF(H10&lt;IFERROR(VLOOKUP(CONFIG!$E$2,CONFIG!$A$6:$E$8,2,0),6),"BAJAR",IF(H10+I10&gt;=IFERROR(VLOOKUP(CONFIG!$E$2,CONFIG!$A$6:$E$8,3,0),12),"SUBIR_F",IF(AND(H10&gt;=IFERROR(VLOOKUP(CONFIG!$E$2,CONFIG!$A$6:$E$8,2,0),6)+2,I10&gt;=2),"SUBIR",IF(I10&gt;IFERROR(VLOOKUP(CONFIG!$E$2,CONFIG!$A$6:$E$8,5,0),3),"SUBIR","MANT")))))),"SIN")</f>
        <v>SIN</v>
      </c>
      <c r="O10" s="55">
        <f>IF(COUNTIFS(HISTORIAL!$O$3:$O$8,D10&amp;"|"&amp;E10,HISTORIAL!$F$3:$F$8,"&gt;0")&lt;2,0,IF(COUNTIFS(HISTORIAL!$O$3:$O$8,D10&amp;"|"&amp;E10,HISTORIAL!$F$3:$F$8,IFERROR(LOOKUP(2,1/((HISTORIAL!$O$3:$O$8=D10&amp;"|"&amp;E10)*(HISTORIAL!$F$3:$F$8&gt;0)),HISTORIAL!$F$3:$F$8),0))&gt;=2,IF(IFERROR(LOOKUP(2,1/((HISTORIAL!$O$3:$O$8=D10&amp;"|"&amp;E10)*(HISTORIAL!$F$3:$F$8&gt;0)),HISTORIAL!$G$3:$G$8),0)&gt;0,IF(F10&gt;0,IF(G10&lt;=IFERROR(LOOKUP(2,1/((HISTORIAL!$O$3:$O$8=D10&amp;"|"&amp;E10)*(HISTORIAL!$F$3:$F$8&gt;0)),HISTORIAL!$G$3:$G$8),0),1,0),0),0),0))</f>
        <v>0</v>
      </c>
    </row>
    <row r="11" spans="1:15" ht="14.1" customHeight="1">
      <c r="A11" s="37">
        <v>1</v>
      </c>
      <c r="B11" s="37" t="s">
        <v>277</v>
      </c>
      <c r="C11" s="37">
        <v>8</v>
      </c>
      <c r="D11" s="56" t="str">
        <f>LUNES!$A$24</f>
        <v>Extension Triceps</v>
      </c>
      <c r="E11" s="57" t="str">
        <f>LUNES!$B$24</f>
        <v>Katana</v>
      </c>
      <c r="F11" s="37" t="str">
        <f>LUNES!$C$24</f>
        <v>polea</v>
      </c>
      <c r="G11" s="37" t="str">
        <f>IFERROR(LOOKUP(2,1/((HISTORIAL!$O$3:$O$9=D11&amp;"|"&amp;E11)*(HISTORIAL!$F$3:$F$9&lt;&gt;"")),HISTORIAL!$F$3:$F$9),"")</f>
        <v/>
      </c>
      <c r="H11" s="37" t="str">
        <f>IFERROR(LOOKUP(2,1/((HISTORIAL!$O$3:$O$9=D11&amp;"|"&amp;E11)*(HISTORIAL!$F$3:$F$9&lt;&gt;"")),HISTORIAL!$G$3:$G$9),"")</f>
        <v/>
      </c>
      <c r="I11" s="37" t="str">
        <f>IFERROR(LOOKUP(2,1/((HISTORIAL!$O$3:$O$9=D11&amp;"|"&amp;E11)*(HISTORIAL!$F$3:$F$9&lt;&gt;"")),HISTORIAL!$H$3:$H$9),"")</f>
        <v/>
      </c>
      <c r="J11" s="37" t="str">
        <f>IFERROR(LOOKUP(2,1/((HISTORIAL!$O$3:$O$9=D11&amp;"|"&amp;E11)*(HISTORIAL!$F$3:$F$9&lt;&gt;"")),HISTORIAL!$I$3:$I$9),"")</f>
        <v/>
      </c>
      <c r="K11" s="58" t="str">
        <f>IFERROR(IF(OR(G11="",N11="SIN"),"--",IF(N11="SUBIR_F",IF(F11="polea",IFERROR(INDEX(CONFIG!$B$25:$B$40,MATCH(G11,CONFIG!$B$25:$B$40,0)+2),IFERROR(INDEX(CONFIG!$B$25:$B$40,MATCH(G11,CONFIG!$B$25:$B$40,0)+1),G11)),G11+5),IF(OR(N11="SUBIR",N11="SUBIR_E"),IF(F11="polea",IFERROR(INDEX(CONFIG!$B$25:$B$40,MATCH(G11,CONFIG!$B$25:$B$40,0)+1),G11),G11+2.5),IF(N11="BAJAR",IF(F11="polea",IFERROR(INDEX(CONFIG!$B$25:$B$40,MAX(1,MATCH(G11,CONFIG!$B$25:$B$40,0)-1)),G11),MAX(0,G11-2.5)),G11)))),"--")</f>
        <v>--</v>
      </c>
      <c r="L11" s="59" t="str">
        <f>IFERROR(IF(N11="SIN","--",IF(N11="MANT",IF(H11="","--",H11+1),IFERROR(VLOOKUP(CONFIG!$E$2,CONFIG!$A$6:$E$8,2,0),"--"))),"--")</f>
        <v>--</v>
      </c>
      <c r="M11" s="59" t="str">
        <f>IFERROR(IF(N11="SIN","--",IF(CONFIG!$E$2="HIP",2,IF(CONFIG!$E$2="FUE",1,2))),"--")</f>
        <v>--</v>
      </c>
      <c r="N11" s="53" t="str">
        <f>IFERROR(IF(G11="","SIN",IF(O11=1,"SUBIR_E",IF(H11&lt;IFERROR(VLOOKUP(CONFIG!$E$2,CONFIG!$A$6:$E$8,2,0),6),"BAJAR",IF(H11+I11&gt;=IFERROR(VLOOKUP(CONFIG!$E$2,CONFIG!$A$6:$E$8,3,0),12),"SUBIR_F",IF(AND(H11&gt;=IFERROR(VLOOKUP(CONFIG!$E$2,CONFIG!$A$6:$E$8,2,0),6)+2,I11&gt;=2),"SUBIR",IF(I11&gt;IFERROR(VLOOKUP(CONFIG!$E$2,CONFIG!$A$6:$E$8,5,0),3),"SUBIR","MANT")))))),"SIN")</f>
        <v>SIN</v>
      </c>
      <c r="O11" s="55">
        <f>IF(COUNTIFS(HISTORIAL!$O$3:$O$9,D11&amp;"|"&amp;E11,HISTORIAL!$F$3:$F$9,"&gt;0")&lt;2,0,IF(COUNTIFS(HISTORIAL!$O$3:$O$9,D11&amp;"|"&amp;E11,HISTORIAL!$F$3:$F$9,IFERROR(LOOKUP(2,1/((HISTORIAL!$O$3:$O$9=D11&amp;"|"&amp;E11)*(HISTORIAL!$F$3:$F$9&gt;0)),HISTORIAL!$F$3:$F$9),0))&gt;=2,IF(IFERROR(LOOKUP(2,1/((HISTORIAL!$O$3:$O$9=D11&amp;"|"&amp;E11)*(HISTORIAL!$F$3:$F$9&gt;0)),HISTORIAL!$G$3:$G$9),0)&gt;0,IF(F11&gt;0,IF(G11&lt;=IFERROR(LOOKUP(2,1/((HISTORIAL!$O$3:$O$9=D11&amp;"|"&amp;E11)*(HISTORIAL!$F$3:$F$9&gt;0)),HISTORIAL!$G$3:$G$9),0),1,0),0),0),0))</f>
        <v>0</v>
      </c>
    </row>
    <row r="12" spans="1:15" ht="14.1" customHeight="1">
      <c r="A12" s="37">
        <v>1</v>
      </c>
      <c r="B12" s="37" t="s">
        <v>277</v>
      </c>
      <c r="C12" s="37">
        <v>9</v>
      </c>
      <c r="D12" s="56" t="str">
        <f>LUNES!$A$26</f>
        <v>Sentadilla</v>
      </c>
      <c r="E12" s="57" t="str">
        <f>LUNES!$B$26</f>
        <v>Maquina</v>
      </c>
      <c r="F12" s="37" t="str">
        <f>LUNES!$C$26</f>
        <v>--</v>
      </c>
      <c r="G12" s="37" t="str">
        <f>IFERROR(LOOKUP(2,1/((HISTORIAL!$O$3:$O$10=D12&amp;"|"&amp;E12)*(HISTORIAL!$F$3:$F$10&lt;&gt;"")),HISTORIAL!$F$3:$F$10),"")</f>
        <v/>
      </c>
      <c r="H12" s="37" t="str">
        <f>IFERROR(LOOKUP(2,1/((HISTORIAL!$O$3:$O$10=D12&amp;"|"&amp;E12)*(HISTORIAL!$F$3:$F$10&lt;&gt;"")),HISTORIAL!$G$3:$G$10),"")</f>
        <v/>
      </c>
      <c r="I12" s="37" t="str">
        <f>IFERROR(LOOKUP(2,1/((HISTORIAL!$O$3:$O$10=D12&amp;"|"&amp;E12)*(HISTORIAL!$F$3:$F$10&lt;&gt;"")),HISTORIAL!$H$3:$H$10),"")</f>
        <v/>
      </c>
      <c r="J12" s="37" t="str">
        <f>IFERROR(LOOKUP(2,1/((HISTORIAL!$O$3:$O$10=D12&amp;"|"&amp;E12)*(HISTORIAL!$F$3:$F$10&lt;&gt;"")),HISTORIAL!$I$3:$I$10),"")</f>
        <v/>
      </c>
      <c r="K12" s="58" t="str">
        <f>IFERROR(IF(OR(G12="",N12="SIN"),"--",IF(N12="SUBIR_F",IF(F12="polea",IFERROR(INDEX(CONFIG!$B$25:$B$40,MATCH(G12,CONFIG!$B$25:$B$40,0)+2),IFERROR(INDEX(CONFIG!$B$25:$B$40,MATCH(G12,CONFIG!$B$25:$B$40,0)+1),G12)),G12+5),IF(OR(N12="SUBIR",N12="SUBIR_E"),IF(F12="polea",IFERROR(INDEX(CONFIG!$B$25:$B$40,MATCH(G12,CONFIG!$B$25:$B$40,0)+1),G12),G12+2.5),IF(N12="BAJAR",IF(F12="polea",IFERROR(INDEX(CONFIG!$B$25:$B$40,MAX(1,MATCH(G12,CONFIG!$B$25:$B$40,0)-1)),G12),MAX(0,G12-2.5)),G12)))),"--")</f>
        <v>--</v>
      </c>
      <c r="L12" s="59" t="str">
        <f>IFERROR(IF(N12="SIN","--",IF(N12="MANT",IF(H12="","--",H12+1),IFERROR(VLOOKUP(CONFIG!$E$2,CONFIG!$A$6:$E$8,2,0),"--"))),"--")</f>
        <v>--</v>
      </c>
      <c r="M12" s="59" t="str">
        <f>IFERROR(IF(N12="SIN","--",IF(CONFIG!$E$2="HIP",2,IF(CONFIG!$E$2="FUE",1,2))),"--")</f>
        <v>--</v>
      </c>
      <c r="N12" s="53" t="str">
        <f>IFERROR(IF(G12="","SIN",IF(O12=1,"SUBIR_E",IF(H12&lt;IFERROR(VLOOKUP(CONFIG!$E$2,CONFIG!$A$6:$E$8,2,0),6),"BAJAR",IF(H12+I12&gt;=IFERROR(VLOOKUP(CONFIG!$E$2,CONFIG!$A$6:$E$8,3,0),12),"SUBIR_F",IF(AND(H12&gt;=IFERROR(VLOOKUP(CONFIG!$E$2,CONFIG!$A$6:$E$8,2,0),6)+2,I12&gt;=2),"SUBIR",IF(I12&gt;IFERROR(VLOOKUP(CONFIG!$E$2,CONFIG!$A$6:$E$8,5,0),3),"SUBIR","MANT")))))),"SIN")</f>
        <v>SIN</v>
      </c>
      <c r="O12" s="55">
        <f>IF(COUNTIFS(HISTORIAL!$O$3:$O$10,D12&amp;"|"&amp;E12,HISTORIAL!$F$3:$F$10,"&gt;0")&lt;2,0,IF(COUNTIFS(HISTORIAL!$O$3:$O$10,D12&amp;"|"&amp;E12,HISTORIAL!$F$3:$F$10,IFERROR(LOOKUP(2,1/((HISTORIAL!$O$3:$O$10=D12&amp;"|"&amp;E12)*(HISTORIAL!$F$3:$F$10&gt;0)),HISTORIAL!$F$3:$F$10),0))&gt;=2,IF(IFERROR(LOOKUP(2,1/((HISTORIAL!$O$3:$O$10=D12&amp;"|"&amp;E12)*(HISTORIAL!$F$3:$F$10&gt;0)),HISTORIAL!$G$3:$G$10),0)&gt;0,IF(F12&gt;0,IF(G12&lt;=IFERROR(LOOKUP(2,1/((HISTORIAL!$O$3:$O$10=D12&amp;"|"&amp;E12)*(HISTORIAL!$F$3:$F$10&gt;0)),HISTORIAL!$G$3:$G$10),0),1,0),0),0),0))</f>
        <v>0</v>
      </c>
    </row>
    <row r="13" spans="1:15" ht="14.1" customHeight="1">
      <c r="A13" s="37">
        <v>1</v>
      </c>
      <c r="B13" s="37" t="s">
        <v>277</v>
      </c>
      <c r="C13" s="37">
        <v>10</v>
      </c>
      <c r="D13" s="56" t="str">
        <f>LUNES!$A$28</f>
        <v>Curl Biceps</v>
      </c>
      <c r="E13" s="57" t="str">
        <f>LUNES!$B$28</f>
        <v>Barra Recta Polea</v>
      </c>
      <c r="F13" s="37" t="str">
        <f>LUNES!$C$28</f>
        <v>polea</v>
      </c>
      <c r="G13" s="37" t="str">
        <f>IFERROR(LOOKUP(2,1/((HISTORIAL!$O$3:$O$11=D13&amp;"|"&amp;E13)*(HISTORIAL!$F$3:$F$11&lt;&gt;"")),HISTORIAL!$F$3:$F$11),"")</f>
        <v/>
      </c>
      <c r="H13" s="37" t="str">
        <f>IFERROR(LOOKUP(2,1/((HISTORIAL!$O$3:$O$11=D13&amp;"|"&amp;E13)*(HISTORIAL!$F$3:$F$11&lt;&gt;"")),HISTORIAL!$G$3:$G$11),"")</f>
        <v/>
      </c>
      <c r="I13" s="37" t="str">
        <f>IFERROR(LOOKUP(2,1/((HISTORIAL!$O$3:$O$11=D13&amp;"|"&amp;E13)*(HISTORIAL!$F$3:$F$11&lt;&gt;"")),HISTORIAL!$H$3:$H$11),"")</f>
        <v/>
      </c>
      <c r="J13" s="37" t="str">
        <f>IFERROR(LOOKUP(2,1/((HISTORIAL!$O$3:$O$11=D13&amp;"|"&amp;E13)*(HISTORIAL!$F$3:$F$11&lt;&gt;"")),HISTORIAL!$I$3:$I$11),"")</f>
        <v/>
      </c>
      <c r="K13" s="58" t="str">
        <f>IFERROR(IF(OR(G13="",N13="SIN"),"--",IF(N13="SUBIR_F",IF(F13="polea",IFERROR(INDEX(CONFIG!$B$25:$B$40,MATCH(G13,CONFIG!$B$25:$B$40,0)+2),IFERROR(INDEX(CONFIG!$B$25:$B$40,MATCH(G13,CONFIG!$B$25:$B$40,0)+1),G13)),G13+5),IF(OR(N13="SUBIR",N13="SUBIR_E"),IF(F13="polea",IFERROR(INDEX(CONFIG!$B$25:$B$40,MATCH(G13,CONFIG!$B$25:$B$40,0)+1),G13),G13+2.5),IF(N13="BAJAR",IF(F13="polea",IFERROR(INDEX(CONFIG!$B$25:$B$40,MAX(1,MATCH(G13,CONFIG!$B$25:$B$40,0)-1)),G13),MAX(0,G13-2.5)),G13)))),"--")</f>
        <v>--</v>
      </c>
      <c r="L13" s="59" t="str">
        <f>IFERROR(IF(N13="SIN","--",IF(N13="MANT",IF(H13="","--",H13+1),IFERROR(VLOOKUP(CONFIG!$E$2,CONFIG!$A$6:$E$8,2,0),"--"))),"--")</f>
        <v>--</v>
      </c>
      <c r="M13" s="59" t="str">
        <f>IFERROR(IF(N13="SIN","--",IF(CONFIG!$E$2="HIP",2,IF(CONFIG!$E$2="FUE",1,2))),"--")</f>
        <v>--</v>
      </c>
      <c r="N13" s="53" t="str">
        <f>IFERROR(IF(G13="","SIN",IF(O13=1,"SUBIR_E",IF(H13&lt;IFERROR(VLOOKUP(CONFIG!$E$2,CONFIG!$A$6:$E$8,2,0),6),"BAJAR",IF(H13+I13&gt;=IFERROR(VLOOKUP(CONFIG!$E$2,CONFIG!$A$6:$E$8,3,0),12),"SUBIR_F",IF(AND(H13&gt;=IFERROR(VLOOKUP(CONFIG!$E$2,CONFIG!$A$6:$E$8,2,0),6)+2,I13&gt;=2),"SUBIR",IF(I13&gt;IFERROR(VLOOKUP(CONFIG!$E$2,CONFIG!$A$6:$E$8,5,0),3),"SUBIR","MANT")))))),"SIN")</f>
        <v>SIN</v>
      </c>
      <c r="O13" s="55">
        <f>IF(COUNTIFS(HISTORIAL!$O$3:$O$11,D13&amp;"|"&amp;E13,HISTORIAL!$F$3:$F$11,"&gt;0")&lt;2,0,IF(COUNTIFS(HISTORIAL!$O$3:$O$11,D13&amp;"|"&amp;E13,HISTORIAL!$F$3:$F$11,IFERROR(LOOKUP(2,1/((HISTORIAL!$O$3:$O$11=D13&amp;"|"&amp;E13)*(HISTORIAL!$F$3:$F$11&gt;0)),HISTORIAL!$F$3:$F$11),0))&gt;=2,IF(IFERROR(LOOKUP(2,1/((HISTORIAL!$O$3:$O$11=D13&amp;"|"&amp;E13)*(HISTORIAL!$F$3:$F$11&gt;0)),HISTORIAL!$G$3:$G$11),0)&gt;0,IF(F13&gt;0,IF(G13&lt;=IFERROR(LOOKUP(2,1/((HISTORIAL!$O$3:$O$11=D13&amp;"|"&amp;E13)*(HISTORIAL!$F$3:$F$11&gt;0)),HISTORIAL!$G$3:$G$11),0),1,0),0),0),0))</f>
        <v>0</v>
      </c>
    </row>
    <row r="14" spans="1:15" ht="14.1" customHeight="1">
      <c r="A14" s="37">
        <v>1</v>
      </c>
      <c r="B14" s="37" t="s">
        <v>277</v>
      </c>
      <c r="C14" s="37">
        <v>11</v>
      </c>
      <c r="D14" s="56" t="str">
        <f>LUNES!$A$30</f>
        <v>Crunch</v>
      </c>
      <c r="E14" s="57" t="str">
        <f>LUNES!$B$30</f>
        <v>Polea</v>
      </c>
      <c r="F14" s="37" t="str">
        <f>LUNES!$C$30</f>
        <v>polea</v>
      </c>
      <c r="G14" s="37" t="str">
        <f>IFERROR(LOOKUP(2,1/((HISTORIAL!$O$3:$O$12=D14&amp;"|"&amp;E14)*(HISTORIAL!$F$3:$F$12&lt;&gt;"")),HISTORIAL!$F$3:$F$12),"")</f>
        <v/>
      </c>
      <c r="H14" s="37" t="str">
        <f>IFERROR(LOOKUP(2,1/((HISTORIAL!$O$3:$O$12=D14&amp;"|"&amp;E14)*(HISTORIAL!$F$3:$F$12&lt;&gt;"")),HISTORIAL!$G$3:$G$12),"")</f>
        <v/>
      </c>
      <c r="I14" s="37" t="str">
        <f>IFERROR(LOOKUP(2,1/((HISTORIAL!$O$3:$O$12=D14&amp;"|"&amp;E14)*(HISTORIAL!$F$3:$F$12&lt;&gt;"")),HISTORIAL!$H$3:$H$12),"")</f>
        <v/>
      </c>
      <c r="J14" s="37" t="str">
        <f>IFERROR(LOOKUP(2,1/((HISTORIAL!$O$3:$O$12=D14&amp;"|"&amp;E14)*(HISTORIAL!$F$3:$F$12&lt;&gt;"")),HISTORIAL!$I$3:$I$12),"")</f>
        <v/>
      </c>
      <c r="K14" s="58" t="str">
        <f>IFERROR(IF(OR(G14="",N14="SIN"),"--",IF(N14="SUBIR_F",IF(F14="polea",IFERROR(INDEX(CONFIG!$B$25:$B$40,MATCH(G14,CONFIG!$B$25:$B$40,0)+2),IFERROR(INDEX(CONFIG!$B$25:$B$40,MATCH(G14,CONFIG!$B$25:$B$40,0)+1),G14)),G14+5),IF(OR(N14="SUBIR",N14="SUBIR_E"),IF(F14="polea",IFERROR(INDEX(CONFIG!$B$25:$B$40,MATCH(G14,CONFIG!$B$25:$B$40,0)+1),G14),G14+2.5),IF(N14="BAJAR",IF(F14="polea",IFERROR(INDEX(CONFIG!$B$25:$B$40,MAX(1,MATCH(G14,CONFIG!$B$25:$B$40,0)-1)),G14),MAX(0,G14-2.5)),G14)))),"--")</f>
        <v>--</v>
      </c>
      <c r="L14" s="59" t="str">
        <f>IFERROR(IF(N14="SIN","--",IF(N14="MANT",IF(H14="","--",H14+1),IFERROR(VLOOKUP(CONFIG!$E$2,CONFIG!$A$6:$E$8,2,0),"--"))),"--")</f>
        <v>--</v>
      </c>
      <c r="M14" s="59" t="str">
        <f>IFERROR(IF(N14="SIN","--",IF(CONFIG!$E$2="HIP",2,IF(CONFIG!$E$2="FUE",1,2))),"--")</f>
        <v>--</v>
      </c>
      <c r="N14" s="53" t="str">
        <f>IFERROR(IF(G14="","SIN",IF(O14=1,"SUBIR_E",IF(H14&lt;IFERROR(VLOOKUP(CONFIG!$E$2,CONFIG!$A$6:$E$8,2,0),6),"BAJAR",IF(H14+I14&gt;=IFERROR(VLOOKUP(CONFIG!$E$2,CONFIG!$A$6:$E$8,3,0),12),"SUBIR_F",IF(AND(H14&gt;=IFERROR(VLOOKUP(CONFIG!$E$2,CONFIG!$A$6:$E$8,2,0),6)+2,I14&gt;=2),"SUBIR",IF(I14&gt;IFERROR(VLOOKUP(CONFIG!$E$2,CONFIG!$A$6:$E$8,5,0),3),"SUBIR","MANT")))))),"SIN")</f>
        <v>SIN</v>
      </c>
      <c r="O14" s="55">
        <f>IF(COUNTIFS(HISTORIAL!$O$3:$O$12,D14&amp;"|"&amp;E14,HISTORIAL!$F$3:$F$12,"&gt;0")&lt;2,0,IF(COUNTIFS(HISTORIAL!$O$3:$O$12,D14&amp;"|"&amp;E14,HISTORIAL!$F$3:$F$12,IFERROR(LOOKUP(2,1/((HISTORIAL!$O$3:$O$12=D14&amp;"|"&amp;E14)*(HISTORIAL!$F$3:$F$12&gt;0)),HISTORIAL!$F$3:$F$12),0))&gt;=2,IF(IFERROR(LOOKUP(2,1/((HISTORIAL!$O$3:$O$12=D14&amp;"|"&amp;E14)*(HISTORIAL!$F$3:$F$12&gt;0)),HISTORIAL!$G$3:$G$12),0)&gt;0,IF(F14&gt;0,IF(G14&lt;=IFERROR(LOOKUP(2,1/((HISTORIAL!$O$3:$O$12=D14&amp;"|"&amp;E14)*(HISTORIAL!$F$3:$F$12&gt;0)),HISTORIAL!$G$3:$G$12),0),1,0),0),0),0))</f>
        <v>0</v>
      </c>
    </row>
    <row r="15" spans="1:15" ht="14.1" customHeight="1">
      <c r="A15" s="37">
        <v>1</v>
      </c>
      <c r="B15" s="37" t="s">
        <v>278</v>
      </c>
      <c r="C15" s="37">
        <v>1</v>
      </c>
      <c r="D15" s="56" t="str">
        <f>MARTES!$A$13</f>
        <v>Dominadas</v>
      </c>
      <c r="E15" s="57" t="str">
        <f>MARTES!$B$13</f>
        <v>Polea Alta Prono Ancho</v>
      </c>
      <c r="F15" s="37" t="str">
        <f>MARTES!$C$13</f>
        <v>peso_corporal</v>
      </c>
      <c r="G15" s="37" t="str">
        <f>IFERROR(LOOKUP(2,1/((HISTORIAL!$O$3:$O$13=D15&amp;"|"&amp;E15)*(HISTORIAL!$F$3:$F$13&lt;&gt;"")),HISTORIAL!$F$3:$F$13),"")</f>
        <v/>
      </c>
      <c r="H15" s="37" t="str">
        <f>IFERROR(LOOKUP(2,1/((HISTORIAL!$O$3:$O$13=D15&amp;"|"&amp;E15)*(HISTORIAL!$F$3:$F$13&lt;&gt;"")),HISTORIAL!$G$3:$G$13),"")</f>
        <v/>
      </c>
      <c r="I15" s="37" t="str">
        <f>IFERROR(LOOKUP(2,1/((HISTORIAL!$O$3:$O$13=D15&amp;"|"&amp;E15)*(HISTORIAL!$F$3:$F$13&lt;&gt;"")),HISTORIAL!$H$3:$H$13),"")</f>
        <v/>
      </c>
      <c r="J15" s="37" t="str">
        <f>IFERROR(LOOKUP(2,1/((HISTORIAL!$O$3:$O$13=D15&amp;"|"&amp;E15)*(HISTORIAL!$F$3:$F$13&lt;&gt;"")),HISTORIAL!$I$3:$I$13),"")</f>
        <v/>
      </c>
      <c r="K15" s="58" t="str">
        <f>IFERROR(IF(OR(G15="",N15="SIN"),"--",IF(N15="SUBIR_F",IF(F15="polea",IFERROR(INDEX(CONFIG!$B$25:$B$40,MATCH(G15,CONFIG!$B$25:$B$40,0)+2),IFERROR(INDEX(CONFIG!$B$25:$B$40,MATCH(G15,CONFIG!$B$25:$B$40,0)+1),G15)),G15+5),IF(OR(N15="SUBIR",N15="SUBIR_E"),IF(F15="polea",IFERROR(INDEX(CONFIG!$B$25:$B$40,MATCH(G15,CONFIG!$B$25:$B$40,0)+1),G15),G15+2.5),IF(N15="BAJAR",IF(F15="polea",IFERROR(INDEX(CONFIG!$B$25:$B$40,MAX(1,MATCH(G15,CONFIG!$B$25:$B$40,0)-1)),G15),MAX(0,G15-2.5)),G15)))),"--")</f>
        <v>--</v>
      </c>
      <c r="L15" s="59" t="str">
        <f>IFERROR(IF(N15="SIN","--",IF(N15="MANT",IF(H15="","--",H15+1),IFERROR(VLOOKUP(CONFIG!$E$2,CONFIG!$A$6:$E$8,2,0),"--"))),"--")</f>
        <v>--</v>
      </c>
      <c r="M15" s="59" t="str">
        <f>IFERROR(IF(N15="SIN","--",IF(CONFIG!$E$2="HIP",2,IF(CONFIG!$E$2="FUE",1,2))),"--")</f>
        <v>--</v>
      </c>
      <c r="N15" s="53" t="str">
        <f>IFERROR(IF(G15="","SIN",IF(O15=1,"SUBIR_E",IF(H15&lt;IFERROR(VLOOKUP(CONFIG!$E$2,CONFIG!$A$6:$E$8,2,0),6),"BAJAR",IF(H15+I15&gt;=IFERROR(VLOOKUP(CONFIG!$E$2,CONFIG!$A$6:$E$8,3,0),12),"SUBIR_F",IF(AND(H15&gt;=IFERROR(VLOOKUP(CONFIG!$E$2,CONFIG!$A$6:$E$8,2,0),6)+2,I15&gt;=2),"SUBIR",IF(I15&gt;IFERROR(VLOOKUP(CONFIG!$E$2,CONFIG!$A$6:$E$8,5,0),3),"SUBIR","MANT")))))),"SIN")</f>
        <v>SIN</v>
      </c>
      <c r="O15" s="55">
        <f>IF(COUNTIFS(HISTORIAL!$O$3:$O$13,D15&amp;"|"&amp;E15,HISTORIAL!$F$3:$F$13,"&gt;0")&lt;2,0,IF(COUNTIFS(HISTORIAL!$O$3:$O$13,D15&amp;"|"&amp;E15,HISTORIAL!$F$3:$F$13,IFERROR(LOOKUP(2,1/((HISTORIAL!$O$3:$O$13=D15&amp;"|"&amp;E15)*(HISTORIAL!$F$3:$F$13&gt;0)),HISTORIAL!$F$3:$F$13),0))&gt;=2,IF(IFERROR(LOOKUP(2,1/((HISTORIAL!$O$3:$O$13=D15&amp;"|"&amp;E15)*(HISTORIAL!$F$3:$F$13&gt;0)),HISTORIAL!$G$3:$G$13),0)&gt;0,IF(F15&gt;0,IF(G15&lt;=IFERROR(LOOKUP(2,1/((HISTORIAL!$O$3:$O$13=D15&amp;"|"&amp;E15)*(HISTORIAL!$F$3:$F$13&gt;0)),HISTORIAL!$G$3:$G$13),0),1,0),0),0),0))</f>
        <v>0</v>
      </c>
    </row>
    <row r="16" spans="1:15" ht="14.1" customHeight="1">
      <c r="A16" s="37">
        <v>1</v>
      </c>
      <c r="B16" s="37" t="s">
        <v>278</v>
      </c>
      <c r="C16" s="37">
        <v>2</v>
      </c>
      <c r="D16" s="56" t="str">
        <f>MARTES!$A$14</f>
        <v>Pulldown</v>
      </c>
      <c r="E16" s="57" t="str">
        <f>MARTES!$B$14</f>
        <v>Multipower</v>
      </c>
      <c r="F16" s="37" t="str">
        <f>MARTES!$C$14</f>
        <v>--</v>
      </c>
      <c r="G16" s="37" t="str">
        <f>IFERROR(LOOKUP(2,1/((HISTORIAL!$O$3:$O$14=D16&amp;"|"&amp;E16)*(HISTORIAL!$F$3:$F$14&lt;&gt;"")),HISTORIAL!$F$3:$F$14),"")</f>
        <v/>
      </c>
      <c r="H16" s="37" t="str">
        <f>IFERROR(LOOKUP(2,1/((HISTORIAL!$O$3:$O$14=D16&amp;"|"&amp;E16)*(HISTORIAL!$F$3:$F$14&lt;&gt;"")),HISTORIAL!$G$3:$G$14),"")</f>
        <v/>
      </c>
      <c r="I16" s="37" t="str">
        <f>IFERROR(LOOKUP(2,1/((HISTORIAL!$O$3:$O$14=D16&amp;"|"&amp;E16)*(HISTORIAL!$F$3:$F$14&lt;&gt;"")),HISTORIAL!$H$3:$H$14),"")</f>
        <v/>
      </c>
      <c r="J16" s="37" t="str">
        <f>IFERROR(LOOKUP(2,1/((HISTORIAL!$O$3:$O$14=D16&amp;"|"&amp;E16)*(HISTORIAL!$F$3:$F$14&lt;&gt;"")),HISTORIAL!$I$3:$I$14),"")</f>
        <v/>
      </c>
      <c r="K16" s="58" t="str">
        <f>IFERROR(IF(OR(G16="",N16="SIN"),"--",IF(N16="SUBIR_F",IF(F16="polea",IFERROR(INDEX(CONFIG!$B$25:$B$40,MATCH(G16,CONFIG!$B$25:$B$40,0)+2),IFERROR(INDEX(CONFIG!$B$25:$B$40,MATCH(G16,CONFIG!$B$25:$B$40,0)+1),G16)),G16+5),IF(OR(N16="SUBIR",N16="SUBIR_E"),IF(F16="polea",IFERROR(INDEX(CONFIG!$B$25:$B$40,MATCH(G16,CONFIG!$B$25:$B$40,0)+1),G16),G16+2.5),IF(N16="BAJAR",IF(F16="polea",IFERROR(INDEX(CONFIG!$B$25:$B$40,MAX(1,MATCH(G16,CONFIG!$B$25:$B$40,0)-1)),G16),MAX(0,G16-2.5)),G16)))),"--")</f>
        <v>--</v>
      </c>
      <c r="L16" s="59" t="str">
        <f>IFERROR(IF(N16="SIN","--",IF(N16="MANT",IF(H16="","--",H16+1),IFERROR(VLOOKUP(CONFIG!$E$2,CONFIG!$A$6:$E$8,2,0),"--"))),"--")</f>
        <v>--</v>
      </c>
      <c r="M16" s="59" t="str">
        <f>IFERROR(IF(N16="SIN","--",IF(CONFIG!$E$2="HIP",2,IF(CONFIG!$E$2="FUE",1,2))),"--")</f>
        <v>--</v>
      </c>
      <c r="N16" s="53" t="str">
        <f>IFERROR(IF(G16="","SIN",IF(O16=1,"SUBIR_E",IF(H16&lt;IFERROR(VLOOKUP(CONFIG!$E$2,CONFIG!$A$6:$E$8,2,0),6),"BAJAR",IF(H16+I16&gt;=IFERROR(VLOOKUP(CONFIG!$E$2,CONFIG!$A$6:$E$8,3,0),12),"SUBIR_F",IF(AND(H16&gt;=IFERROR(VLOOKUP(CONFIG!$E$2,CONFIG!$A$6:$E$8,2,0),6)+2,I16&gt;=2),"SUBIR",IF(I16&gt;IFERROR(VLOOKUP(CONFIG!$E$2,CONFIG!$A$6:$E$8,5,0),3),"SUBIR","MANT")))))),"SIN")</f>
        <v>SIN</v>
      </c>
      <c r="O16" s="55">
        <f>IF(COUNTIFS(HISTORIAL!$O$3:$O$14,D16&amp;"|"&amp;E16,HISTORIAL!$F$3:$F$14,"&gt;0")&lt;2,0,IF(COUNTIFS(HISTORIAL!$O$3:$O$14,D16&amp;"|"&amp;E16,HISTORIAL!$F$3:$F$14,IFERROR(LOOKUP(2,1/((HISTORIAL!$O$3:$O$14=D16&amp;"|"&amp;E16)*(HISTORIAL!$F$3:$F$14&gt;0)),HISTORIAL!$F$3:$F$14),0))&gt;=2,IF(IFERROR(LOOKUP(2,1/((HISTORIAL!$O$3:$O$14=D16&amp;"|"&amp;E16)*(HISTORIAL!$F$3:$F$14&gt;0)),HISTORIAL!$G$3:$G$14),0)&gt;0,IF(F16&gt;0,IF(G16&lt;=IFERROR(LOOKUP(2,1/((HISTORIAL!$O$3:$O$14=D16&amp;"|"&amp;E16)*(HISTORIAL!$F$3:$F$14&gt;0)),HISTORIAL!$G$3:$G$14),0),1,0),0),0),0))</f>
        <v>0</v>
      </c>
    </row>
    <row r="17" spans="1:15" ht="14.1" customHeight="1">
      <c r="A17" s="37">
        <v>1</v>
      </c>
      <c r="B17" s="37" t="s">
        <v>278</v>
      </c>
      <c r="C17" s="37">
        <v>3</v>
      </c>
      <c r="D17" s="56" t="str">
        <f>MARTES!$A$16</f>
        <v>Remo</v>
      </c>
      <c r="E17" s="57" t="str">
        <f>MARTES!$B$16</f>
        <v>Maquina Hammer Neutro Unilateral</v>
      </c>
      <c r="F17" s="37" t="str">
        <f>MARTES!$C$16</f>
        <v>polea</v>
      </c>
      <c r="G17" s="37" t="str">
        <f>IFERROR(LOOKUP(2,1/((HISTORIAL!$O$3:$O$15=D17&amp;"|"&amp;E17)*(HISTORIAL!$F$3:$F$15&lt;&gt;"")),HISTORIAL!$F$3:$F$15),"")</f>
        <v/>
      </c>
      <c r="H17" s="37" t="str">
        <f>IFERROR(LOOKUP(2,1/((HISTORIAL!$O$3:$O$15=D17&amp;"|"&amp;E17)*(HISTORIAL!$F$3:$F$15&lt;&gt;"")),HISTORIAL!$G$3:$G$15),"")</f>
        <v/>
      </c>
      <c r="I17" s="37" t="str">
        <f>IFERROR(LOOKUP(2,1/((HISTORIAL!$O$3:$O$15=D17&amp;"|"&amp;E17)*(HISTORIAL!$F$3:$F$15&lt;&gt;"")),HISTORIAL!$H$3:$H$15),"")</f>
        <v/>
      </c>
      <c r="J17" s="37" t="str">
        <f>IFERROR(LOOKUP(2,1/((HISTORIAL!$O$3:$O$15=D17&amp;"|"&amp;E17)*(HISTORIAL!$F$3:$F$15&lt;&gt;"")),HISTORIAL!$I$3:$I$15),"")</f>
        <v/>
      </c>
      <c r="K17" s="58" t="str">
        <f>IFERROR(IF(OR(G17="",N17="SIN"),"--",IF(N17="SUBIR_F",IF(F17="polea",IFERROR(INDEX(CONFIG!$B$25:$B$40,MATCH(G17,CONFIG!$B$25:$B$40,0)+2),IFERROR(INDEX(CONFIG!$B$25:$B$40,MATCH(G17,CONFIG!$B$25:$B$40,0)+1),G17)),G17+5),IF(OR(N17="SUBIR",N17="SUBIR_E"),IF(F17="polea",IFERROR(INDEX(CONFIG!$B$25:$B$40,MATCH(G17,CONFIG!$B$25:$B$40,0)+1),G17),G17+2.5),IF(N17="BAJAR",IF(F17="polea",IFERROR(INDEX(CONFIG!$B$25:$B$40,MAX(1,MATCH(G17,CONFIG!$B$25:$B$40,0)-1)),G17),MAX(0,G17-2.5)),G17)))),"--")</f>
        <v>--</v>
      </c>
      <c r="L17" s="59" t="str">
        <f>IFERROR(IF(N17="SIN","--",IF(N17="MANT",IF(H17="","--",H17+1),IFERROR(VLOOKUP(CONFIG!$E$2,CONFIG!$A$6:$E$8,2,0),"--"))),"--")</f>
        <v>--</v>
      </c>
      <c r="M17" s="59" t="str">
        <f>IFERROR(IF(N17="SIN","--",IF(CONFIG!$E$2="HIP",2,IF(CONFIG!$E$2="FUE",1,2))),"--")</f>
        <v>--</v>
      </c>
      <c r="N17" s="53" t="str">
        <f>IFERROR(IF(G17="","SIN",IF(O17=1,"SUBIR_E",IF(H17&lt;IFERROR(VLOOKUP(CONFIG!$E$2,CONFIG!$A$6:$E$8,2,0),6),"BAJAR",IF(H17+I17&gt;=IFERROR(VLOOKUP(CONFIG!$E$2,CONFIG!$A$6:$E$8,3,0),12),"SUBIR_F",IF(AND(H17&gt;=IFERROR(VLOOKUP(CONFIG!$E$2,CONFIG!$A$6:$E$8,2,0),6)+2,I17&gt;=2),"SUBIR",IF(I17&gt;IFERROR(VLOOKUP(CONFIG!$E$2,CONFIG!$A$6:$E$8,5,0),3),"SUBIR","MANT")))))),"SIN")</f>
        <v>SIN</v>
      </c>
      <c r="O17" s="55">
        <f>IF(COUNTIFS(HISTORIAL!$O$3:$O$15,D17&amp;"|"&amp;E17,HISTORIAL!$F$3:$F$15,"&gt;0")&lt;2,0,IF(COUNTIFS(HISTORIAL!$O$3:$O$15,D17&amp;"|"&amp;E17,HISTORIAL!$F$3:$F$15,IFERROR(LOOKUP(2,1/((HISTORIAL!$O$3:$O$15=D17&amp;"|"&amp;E17)*(HISTORIAL!$F$3:$F$15&gt;0)),HISTORIAL!$F$3:$F$15),0))&gt;=2,IF(IFERROR(LOOKUP(2,1/((HISTORIAL!$O$3:$O$15=D17&amp;"|"&amp;E17)*(HISTORIAL!$F$3:$F$15&gt;0)),HISTORIAL!$G$3:$G$15),0)&gt;0,IF(F17&gt;0,IF(G17&lt;=IFERROR(LOOKUP(2,1/((HISTORIAL!$O$3:$O$15=D17&amp;"|"&amp;E17)*(HISTORIAL!$F$3:$F$15&gt;0)),HISTORIAL!$G$3:$G$15),0),1,0),0),0),0))</f>
        <v>0</v>
      </c>
    </row>
    <row r="18" spans="1:15" ht="14.1" customHeight="1">
      <c r="A18" s="37">
        <v>1</v>
      </c>
      <c r="B18" s="37" t="s">
        <v>278</v>
      </c>
      <c r="C18" s="37">
        <v>4</v>
      </c>
      <c r="D18" s="56" t="str">
        <f>MARTES!$A$17</f>
        <v>Remo</v>
      </c>
      <c r="E18" s="57" t="str">
        <f>MARTES!$B$17</f>
        <v>Maquina Prono</v>
      </c>
      <c r="F18" s="37" t="str">
        <f>MARTES!$C$17</f>
        <v>polea</v>
      </c>
      <c r="G18" s="37" t="str">
        <f>IFERROR(LOOKUP(2,1/((HISTORIAL!$O$3:$O$16=D18&amp;"|"&amp;E18)*(HISTORIAL!$F$3:$F$16&lt;&gt;"")),HISTORIAL!$F$3:$F$16),"")</f>
        <v/>
      </c>
      <c r="H18" s="37" t="str">
        <f>IFERROR(LOOKUP(2,1/((HISTORIAL!$O$3:$O$16=D18&amp;"|"&amp;E18)*(HISTORIAL!$F$3:$F$16&lt;&gt;"")),HISTORIAL!$G$3:$G$16),"")</f>
        <v/>
      </c>
      <c r="I18" s="37" t="str">
        <f>IFERROR(LOOKUP(2,1/((HISTORIAL!$O$3:$O$16=D18&amp;"|"&amp;E18)*(HISTORIAL!$F$3:$F$16&lt;&gt;"")),HISTORIAL!$H$3:$H$16),"")</f>
        <v/>
      </c>
      <c r="J18" s="37" t="str">
        <f>IFERROR(LOOKUP(2,1/((HISTORIAL!$O$3:$O$16=D18&amp;"|"&amp;E18)*(HISTORIAL!$F$3:$F$16&lt;&gt;"")),HISTORIAL!$I$3:$I$16),"")</f>
        <v/>
      </c>
      <c r="K18" s="58" t="str">
        <f>IFERROR(IF(OR(G18="",N18="SIN"),"--",IF(N18="SUBIR_F",IF(F18="polea",IFERROR(INDEX(CONFIG!$B$25:$B$40,MATCH(G18,CONFIG!$B$25:$B$40,0)+2),IFERROR(INDEX(CONFIG!$B$25:$B$40,MATCH(G18,CONFIG!$B$25:$B$40,0)+1),G18)),G18+5),IF(OR(N18="SUBIR",N18="SUBIR_E"),IF(F18="polea",IFERROR(INDEX(CONFIG!$B$25:$B$40,MATCH(G18,CONFIG!$B$25:$B$40,0)+1),G18),G18+2.5),IF(N18="BAJAR",IF(F18="polea",IFERROR(INDEX(CONFIG!$B$25:$B$40,MAX(1,MATCH(G18,CONFIG!$B$25:$B$40,0)-1)),G18),MAX(0,G18-2.5)),G18)))),"--")</f>
        <v>--</v>
      </c>
      <c r="L18" s="59" t="str">
        <f>IFERROR(IF(N18="SIN","--",IF(N18="MANT",IF(H18="","--",H18+1),IFERROR(VLOOKUP(CONFIG!$E$2,CONFIG!$A$6:$E$8,2,0),"--"))),"--")</f>
        <v>--</v>
      </c>
      <c r="M18" s="59" t="str">
        <f>IFERROR(IF(N18="SIN","--",IF(CONFIG!$E$2="HIP",2,IF(CONFIG!$E$2="FUE",1,2))),"--")</f>
        <v>--</v>
      </c>
      <c r="N18" s="53" t="str">
        <f>IFERROR(IF(G18="","SIN",IF(O18=1,"SUBIR_E",IF(H18&lt;IFERROR(VLOOKUP(CONFIG!$E$2,CONFIG!$A$6:$E$8,2,0),6),"BAJAR",IF(H18+I18&gt;=IFERROR(VLOOKUP(CONFIG!$E$2,CONFIG!$A$6:$E$8,3,0),12),"SUBIR_F",IF(AND(H18&gt;=IFERROR(VLOOKUP(CONFIG!$E$2,CONFIG!$A$6:$E$8,2,0),6)+2,I18&gt;=2),"SUBIR",IF(I18&gt;IFERROR(VLOOKUP(CONFIG!$E$2,CONFIG!$A$6:$E$8,5,0),3),"SUBIR","MANT")))))),"SIN")</f>
        <v>SIN</v>
      </c>
      <c r="O18" s="55">
        <f>IF(COUNTIFS(HISTORIAL!$O$3:$O$16,D18&amp;"|"&amp;E18,HISTORIAL!$F$3:$F$16,"&gt;0")&lt;2,0,IF(COUNTIFS(HISTORIAL!$O$3:$O$16,D18&amp;"|"&amp;E18,HISTORIAL!$F$3:$F$16,IFERROR(LOOKUP(2,1/((HISTORIAL!$O$3:$O$16=D18&amp;"|"&amp;E18)*(HISTORIAL!$F$3:$F$16&gt;0)),HISTORIAL!$F$3:$F$16),0))&gt;=2,IF(IFERROR(LOOKUP(2,1/((HISTORIAL!$O$3:$O$16=D18&amp;"|"&amp;E18)*(HISTORIAL!$F$3:$F$16&gt;0)),HISTORIAL!$G$3:$G$16),0)&gt;0,IF(F18&gt;0,IF(G18&lt;=IFERROR(LOOKUP(2,1/((HISTORIAL!$O$3:$O$16=D18&amp;"|"&amp;E18)*(HISTORIAL!$F$3:$F$16&gt;0)),HISTORIAL!$G$3:$G$16),0),1,0),0),0),0))</f>
        <v>0</v>
      </c>
    </row>
    <row r="19" spans="1:15" ht="14.1" customHeight="1">
      <c r="A19" s="37">
        <v>1</v>
      </c>
      <c r="B19" s="37" t="s">
        <v>278</v>
      </c>
      <c r="C19" s="37">
        <v>5</v>
      </c>
      <c r="D19" s="56" t="str">
        <f>MARTES!$A$19</f>
        <v>Curl Biceps</v>
      </c>
      <c r="E19" s="57" t="str">
        <f>MARTES!$B$19</f>
        <v>Inclinado Banco Mancuernas</v>
      </c>
      <c r="F19" s="37" t="str">
        <f>MARTES!$C$19</f>
        <v>mancuerna</v>
      </c>
      <c r="G19" s="37" t="str">
        <f>IFERROR(LOOKUP(2,1/((HISTORIAL!$O$3:$O$17=D19&amp;"|"&amp;E19)*(HISTORIAL!$F$3:$F$17&lt;&gt;"")),HISTORIAL!$F$3:$F$17),"")</f>
        <v/>
      </c>
      <c r="H19" s="37" t="str">
        <f>IFERROR(LOOKUP(2,1/((HISTORIAL!$O$3:$O$17=D19&amp;"|"&amp;E19)*(HISTORIAL!$F$3:$F$17&lt;&gt;"")),HISTORIAL!$G$3:$G$17),"")</f>
        <v/>
      </c>
      <c r="I19" s="37" t="str">
        <f>IFERROR(LOOKUP(2,1/((HISTORIAL!$O$3:$O$17=D19&amp;"|"&amp;E19)*(HISTORIAL!$F$3:$F$17&lt;&gt;"")),HISTORIAL!$H$3:$H$17),"")</f>
        <v/>
      </c>
      <c r="J19" s="37" t="str">
        <f>IFERROR(LOOKUP(2,1/((HISTORIAL!$O$3:$O$17=D19&amp;"|"&amp;E19)*(HISTORIAL!$F$3:$F$17&lt;&gt;"")),HISTORIAL!$I$3:$I$17),"")</f>
        <v/>
      </c>
      <c r="K19" s="58" t="str">
        <f>IFERROR(IF(OR(G19="",N19="SIN"),"--",IF(N19="SUBIR_F",IF(F19="polea",IFERROR(INDEX(CONFIG!$B$25:$B$40,MATCH(G19,CONFIG!$B$25:$B$40,0)+2),IFERROR(INDEX(CONFIG!$B$25:$B$40,MATCH(G19,CONFIG!$B$25:$B$40,0)+1),G19)),G19+5),IF(OR(N19="SUBIR",N19="SUBIR_E"),IF(F19="polea",IFERROR(INDEX(CONFIG!$B$25:$B$40,MATCH(G19,CONFIG!$B$25:$B$40,0)+1),G19),G19+2.5),IF(N19="BAJAR",IF(F19="polea",IFERROR(INDEX(CONFIG!$B$25:$B$40,MAX(1,MATCH(G19,CONFIG!$B$25:$B$40,0)-1)),G19),MAX(0,G19-2.5)),G19)))),"--")</f>
        <v>--</v>
      </c>
      <c r="L19" s="59" t="str">
        <f>IFERROR(IF(N19="SIN","--",IF(N19="MANT",IF(H19="","--",H19+1),IFERROR(VLOOKUP(CONFIG!$E$2,CONFIG!$A$6:$E$8,2,0),"--"))),"--")</f>
        <v>--</v>
      </c>
      <c r="M19" s="59" t="str">
        <f>IFERROR(IF(N19="SIN","--",IF(CONFIG!$E$2="HIP",2,IF(CONFIG!$E$2="FUE",1,2))),"--")</f>
        <v>--</v>
      </c>
      <c r="N19" s="53" t="str">
        <f>IFERROR(IF(G19="","SIN",IF(O19=1,"SUBIR_E",IF(H19&lt;IFERROR(VLOOKUP(CONFIG!$E$2,CONFIG!$A$6:$E$8,2,0),6),"BAJAR",IF(H19+I19&gt;=IFERROR(VLOOKUP(CONFIG!$E$2,CONFIG!$A$6:$E$8,3,0),12),"SUBIR_F",IF(AND(H19&gt;=IFERROR(VLOOKUP(CONFIG!$E$2,CONFIG!$A$6:$E$8,2,0),6)+2,I19&gt;=2),"SUBIR",IF(I19&gt;IFERROR(VLOOKUP(CONFIG!$E$2,CONFIG!$A$6:$E$8,5,0),3),"SUBIR","MANT")))))),"SIN")</f>
        <v>SIN</v>
      </c>
      <c r="O19" s="55">
        <f>IF(COUNTIFS(HISTORIAL!$O$3:$O$17,D19&amp;"|"&amp;E19,HISTORIAL!$F$3:$F$17,"&gt;0")&lt;2,0,IF(COUNTIFS(HISTORIAL!$O$3:$O$17,D19&amp;"|"&amp;E19,HISTORIAL!$F$3:$F$17,IFERROR(LOOKUP(2,1/((HISTORIAL!$O$3:$O$17=D19&amp;"|"&amp;E19)*(HISTORIAL!$F$3:$F$17&gt;0)),HISTORIAL!$F$3:$F$17),0))&gt;=2,IF(IFERROR(LOOKUP(2,1/((HISTORIAL!$O$3:$O$17=D19&amp;"|"&amp;E19)*(HISTORIAL!$F$3:$F$17&gt;0)),HISTORIAL!$G$3:$G$17),0)&gt;0,IF(F19&gt;0,IF(G19&lt;=IFERROR(LOOKUP(2,1/((HISTORIAL!$O$3:$O$17=D19&amp;"|"&amp;E19)*(HISTORIAL!$F$3:$F$17&gt;0)),HISTORIAL!$G$3:$G$17),0),1,0),0),0),0))</f>
        <v>0</v>
      </c>
    </row>
    <row r="20" spans="1:15" ht="14.1" customHeight="1">
      <c r="A20" s="37">
        <v>1</v>
      </c>
      <c r="B20" s="37" t="s">
        <v>278</v>
      </c>
      <c r="C20" s="37">
        <v>6</v>
      </c>
      <c r="D20" s="56" t="str">
        <f>MARTES!$A$20</f>
        <v>Curl Biceps</v>
      </c>
      <c r="E20" s="57" t="str">
        <f>MARTES!$B$20</f>
        <v>Polea Baja Supino</v>
      </c>
      <c r="F20" s="37" t="str">
        <f>MARTES!$C$20</f>
        <v>polea</v>
      </c>
      <c r="G20" s="37" t="str">
        <f>IFERROR(LOOKUP(2,1/((HISTORIAL!$O$3:$O$18=D20&amp;"|"&amp;E20)*(HISTORIAL!$F$3:$F$18&lt;&gt;"")),HISTORIAL!$F$3:$F$18),"")</f>
        <v/>
      </c>
      <c r="H20" s="37" t="str">
        <f>IFERROR(LOOKUP(2,1/((HISTORIAL!$O$3:$O$18=D20&amp;"|"&amp;E20)*(HISTORIAL!$F$3:$F$18&lt;&gt;"")),HISTORIAL!$G$3:$G$18),"")</f>
        <v/>
      </c>
      <c r="I20" s="37" t="str">
        <f>IFERROR(LOOKUP(2,1/((HISTORIAL!$O$3:$O$18=D20&amp;"|"&amp;E20)*(HISTORIAL!$F$3:$F$18&lt;&gt;"")),HISTORIAL!$H$3:$H$18),"")</f>
        <v/>
      </c>
      <c r="J20" s="37" t="str">
        <f>IFERROR(LOOKUP(2,1/((HISTORIAL!$O$3:$O$18=D20&amp;"|"&amp;E20)*(HISTORIAL!$F$3:$F$18&lt;&gt;"")),HISTORIAL!$I$3:$I$18),"")</f>
        <v/>
      </c>
      <c r="K20" s="58" t="str">
        <f>IFERROR(IF(OR(G20="",N20="SIN"),"--",IF(N20="SUBIR_F",IF(F20="polea",IFERROR(INDEX(CONFIG!$B$25:$B$40,MATCH(G20,CONFIG!$B$25:$B$40,0)+2),IFERROR(INDEX(CONFIG!$B$25:$B$40,MATCH(G20,CONFIG!$B$25:$B$40,0)+1),G20)),G20+5),IF(OR(N20="SUBIR",N20="SUBIR_E"),IF(F20="polea",IFERROR(INDEX(CONFIG!$B$25:$B$40,MATCH(G20,CONFIG!$B$25:$B$40,0)+1),G20),G20+2.5),IF(N20="BAJAR",IF(F20="polea",IFERROR(INDEX(CONFIG!$B$25:$B$40,MAX(1,MATCH(G20,CONFIG!$B$25:$B$40,0)-1)),G20),MAX(0,G20-2.5)),G20)))),"--")</f>
        <v>--</v>
      </c>
      <c r="L20" s="59" t="str">
        <f>IFERROR(IF(N20="SIN","--",IF(N20="MANT",IF(H20="","--",H20+1),IFERROR(VLOOKUP(CONFIG!$E$2,CONFIG!$A$6:$E$8,2,0),"--"))),"--")</f>
        <v>--</v>
      </c>
      <c r="M20" s="59" t="str">
        <f>IFERROR(IF(N20="SIN","--",IF(CONFIG!$E$2="HIP",2,IF(CONFIG!$E$2="FUE",1,2))),"--")</f>
        <v>--</v>
      </c>
      <c r="N20" s="53" t="str">
        <f>IFERROR(IF(G20="","SIN",IF(O20=1,"SUBIR_E",IF(H20&lt;IFERROR(VLOOKUP(CONFIG!$E$2,CONFIG!$A$6:$E$8,2,0),6),"BAJAR",IF(H20+I20&gt;=IFERROR(VLOOKUP(CONFIG!$E$2,CONFIG!$A$6:$E$8,3,0),12),"SUBIR_F",IF(AND(H20&gt;=IFERROR(VLOOKUP(CONFIG!$E$2,CONFIG!$A$6:$E$8,2,0),6)+2,I20&gt;=2),"SUBIR",IF(I20&gt;IFERROR(VLOOKUP(CONFIG!$E$2,CONFIG!$A$6:$E$8,5,0),3),"SUBIR","MANT")))))),"SIN")</f>
        <v>SIN</v>
      </c>
      <c r="O20" s="55">
        <f>IF(COUNTIFS(HISTORIAL!$O$3:$O$18,D20&amp;"|"&amp;E20,HISTORIAL!$F$3:$F$18,"&gt;0")&lt;2,0,IF(COUNTIFS(HISTORIAL!$O$3:$O$18,D20&amp;"|"&amp;E20,HISTORIAL!$F$3:$F$18,IFERROR(LOOKUP(2,1/((HISTORIAL!$O$3:$O$18=D20&amp;"|"&amp;E20)*(HISTORIAL!$F$3:$F$18&gt;0)),HISTORIAL!$F$3:$F$18),0))&gt;=2,IF(IFERROR(LOOKUP(2,1/((HISTORIAL!$O$3:$O$18=D20&amp;"|"&amp;E20)*(HISTORIAL!$F$3:$F$18&gt;0)),HISTORIAL!$G$3:$G$18),0)&gt;0,IF(F20&gt;0,IF(G20&lt;=IFERROR(LOOKUP(2,1/((HISTORIAL!$O$3:$O$18=D20&amp;"|"&amp;E20)*(HISTORIAL!$F$3:$F$18&gt;0)),HISTORIAL!$G$3:$G$18),0),1,0),0),0),0))</f>
        <v>0</v>
      </c>
    </row>
    <row r="21" spans="1:15" ht="14.1" customHeight="1">
      <c r="A21" s="37">
        <v>1</v>
      </c>
      <c r="B21" s="37" t="s">
        <v>278</v>
      </c>
      <c r="C21" s="37">
        <v>7</v>
      </c>
      <c r="D21" s="56" t="str">
        <f>MARTES!$A$22</f>
        <v>Curl Muneca</v>
      </c>
      <c r="E21" s="57" t="str">
        <f>MARTES!$B$22</f>
        <v>Supinado</v>
      </c>
      <c r="F21" s="37" t="str">
        <f>MARTES!$C$22</f>
        <v>mancuerna</v>
      </c>
      <c r="G21" s="37" t="str">
        <f>IFERROR(LOOKUP(2,1/((HISTORIAL!$O$3:$O$19=D21&amp;"|"&amp;E21)*(HISTORIAL!$F$3:$F$19&lt;&gt;"")),HISTORIAL!$F$3:$F$19),"")</f>
        <v/>
      </c>
      <c r="H21" s="37" t="str">
        <f>IFERROR(LOOKUP(2,1/((HISTORIAL!$O$3:$O$19=D21&amp;"|"&amp;E21)*(HISTORIAL!$F$3:$F$19&lt;&gt;"")),HISTORIAL!$G$3:$G$19),"")</f>
        <v/>
      </c>
      <c r="I21" s="37" t="str">
        <f>IFERROR(LOOKUP(2,1/((HISTORIAL!$O$3:$O$19=D21&amp;"|"&amp;E21)*(HISTORIAL!$F$3:$F$19&lt;&gt;"")),HISTORIAL!$H$3:$H$19),"")</f>
        <v/>
      </c>
      <c r="J21" s="37" t="str">
        <f>IFERROR(LOOKUP(2,1/((HISTORIAL!$O$3:$O$19=D21&amp;"|"&amp;E21)*(HISTORIAL!$F$3:$F$19&lt;&gt;"")),HISTORIAL!$I$3:$I$19),"")</f>
        <v/>
      </c>
      <c r="K21" s="58" t="str">
        <f>IFERROR(IF(OR(G21="",N21="SIN"),"--",IF(N21="SUBIR_F",IF(F21="polea",IFERROR(INDEX(CONFIG!$B$25:$B$40,MATCH(G21,CONFIG!$B$25:$B$40,0)+2),IFERROR(INDEX(CONFIG!$B$25:$B$40,MATCH(G21,CONFIG!$B$25:$B$40,0)+1),G21)),G21+5),IF(OR(N21="SUBIR",N21="SUBIR_E"),IF(F21="polea",IFERROR(INDEX(CONFIG!$B$25:$B$40,MATCH(G21,CONFIG!$B$25:$B$40,0)+1),G21),G21+2.5),IF(N21="BAJAR",IF(F21="polea",IFERROR(INDEX(CONFIG!$B$25:$B$40,MAX(1,MATCH(G21,CONFIG!$B$25:$B$40,0)-1)),G21),MAX(0,G21-2.5)),G21)))),"--")</f>
        <v>--</v>
      </c>
      <c r="L21" s="59" t="str">
        <f>IFERROR(IF(N21="SIN","--",IF(N21="MANT",IF(H21="","--",H21+1),IFERROR(VLOOKUP(CONFIG!$E$2,CONFIG!$A$6:$E$8,2,0),"--"))),"--")</f>
        <v>--</v>
      </c>
      <c r="M21" s="59" t="str">
        <f>IFERROR(IF(N21="SIN","--",IF(CONFIG!$E$2="HIP",2,IF(CONFIG!$E$2="FUE",1,2))),"--")</f>
        <v>--</v>
      </c>
      <c r="N21" s="53" t="str">
        <f>IFERROR(IF(G21="","SIN",IF(O21=1,"SUBIR_E",IF(H21&lt;IFERROR(VLOOKUP(CONFIG!$E$2,CONFIG!$A$6:$E$8,2,0),6),"BAJAR",IF(H21+I21&gt;=IFERROR(VLOOKUP(CONFIG!$E$2,CONFIG!$A$6:$E$8,3,0),12),"SUBIR_F",IF(AND(H21&gt;=IFERROR(VLOOKUP(CONFIG!$E$2,CONFIG!$A$6:$E$8,2,0),6)+2,I21&gt;=2),"SUBIR",IF(I21&gt;IFERROR(VLOOKUP(CONFIG!$E$2,CONFIG!$A$6:$E$8,5,0),3),"SUBIR","MANT")))))),"SIN")</f>
        <v>SIN</v>
      </c>
      <c r="O21" s="55">
        <f>IF(COUNTIFS(HISTORIAL!$O$3:$O$19,D21&amp;"|"&amp;E21,HISTORIAL!$F$3:$F$19,"&gt;0")&lt;2,0,IF(COUNTIFS(HISTORIAL!$O$3:$O$19,D21&amp;"|"&amp;E21,HISTORIAL!$F$3:$F$19,IFERROR(LOOKUP(2,1/((HISTORIAL!$O$3:$O$19=D21&amp;"|"&amp;E21)*(HISTORIAL!$F$3:$F$19&gt;0)),HISTORIAL!$F$3:$F$19),0))&gt;=2,IF(IFERROR(LOOKUP(2,1/((HISTORIAL!$O$3:$O$19=D21&amp;"|"&amp;E21)*(HISTORIAL!$F$3:$F$19&gt;0)),HISTORIAL!$G$3:$G$19),0)&gt;0,IF(F21&gt;0,IF(G21&lt;=IFERROR(LOOKUP(2,1/((HISTORIAL!$O$3:$O$19=D21&amp;"|"&amp;E21)*(HISTORIAL!$F$3:$F$19&gt;0)),HISTORIAL!$G$3:$G$19),0),1,0),0),0),0))</f>
        <v>0</v>
      </c>
    </row>
    <row r="22" spans="1:15" ht="14.1" customHeight="1">
      <c r="A22" s="37">
        <v>1</v>
      </c>
      <c r="B22" s="37" t="s">
        <v>278</v>
      </c>
      <c r="C22" s="37">
        <v>8</v>
      </c>
      <c r="D22" s="56" t="str">
        <f>MARTES!$A$23</f>
        <v>Curl Muneca</v>
      </c>
      <c r="E22" s="57" t="str">
        <f>MARTES!$B$23</f>
        <v>Pronado</v>
      </c>
      <c r="F22" s="37" t="str">
        <f>MARTES!$C$23</f>
        <v>mancuerna</v>
      </c>
      <c r="G22" s="37" t="str">
        <f>IFERROR(LOOKUP(2,1/((HISTORIAL!$O$3:$O$20=D22&amp;"|"&amp;E22)*(HISTORIAL!$F$3:$F$20&lt;&gt;"")),HISTORIAL!$F$3:$F$20),"")</f>
        <v/>
      </c>
      <c r="H22" s="37" t="str">
        <f>IFERROR(LOOKUP(2,1/((HISTORIAL!$O$3:$O$20=D22&amp;"|"&amp;E22)*(HISTORIAL!$F$3:$F$20&lt;&gt;"")),HISTORIAL!$G$3:$G$20),"")</f>
        <v/>
      </c>
      <c r="I22" s="37" t="str">
        <f>IFERROR(LOOKUP(2,1/((HISTORIAL!$O$3:$O$20=D22&amp;"|"&amp;E22)*(HISTORIAL!$F$3:$F$20&lt;&gt;"")),HISTORIAL!$H$3:$H$20),"")</f>
        <v/>
      </c>
      <c r="J22" s="37" t="str">
        <f>IFERROR(LOOKUP(2,1/((HISTORIAL!$O$3:$O$20=D22&amp;"|"&amp;E22)*(HISTORIAL!$F$3:$F$20&lt;&gt;"")),HISTORIAL!$I$3:$I$20),"")</f>
        <v/>
      </c>
      <c r="K22" s="58" t="str">
        <f>IFERROR(IF(OR(G22="",N22="SIN"),"--",IF(N22="SUBIR_F",IF(F22="polea",IFERROR(INDEX(CONFIG!$B$25:$B$40,MATCH(G22,CONFIG!$B$25:$B$40,0)+2),IFERROR(INDEX(CONFIG!$B$25:$B$40,MATCH(G22,CONFIG!$B$25:$B$40,0)+1),G22)),G22+5),IF(OR(N22="SUBIR",N22="SUBIR_E"),IF(F22="polea",IFERROR(INDEX(CONFIG!$B$25:$B$40,MATCH(G22,CONFIG!$B$25:$B$40,0)+1),G22),G22+2.5),IF(N22="BAJAR",IF(F22="polea",IFERROR(INDEX(CONFIG!$B$25:$B$40,MAX(1,MATCH(G22,CONFIG!$B$25:$B$40,0)-1)),G22),MAX(0,G22-2.5)),G22)))),"--")</f>
        <v>--</v>
      </c>
      <c r="L22" s="59" t="str">
        <f>IFERROR(IF(N22="SIN","--",IF(N22="MANT",IF(H22="","--",H22+1),IFERROR(VLOOKUP(CONFIG!$E$2,CONFIG!$A$6:$E$8,2,0),"--"))),"--")</f>
        <v>--</v>
      </c>
      <c r="M22" s="59" t="str">
        <f>IFERROR(IF(N22="SIN","--",IF(CONFIG!$E$2="HIP",2,IF(CONFIG!$E$2="FUE",1,2))),"--")</f>
        <v>--</v>
      </c>
      <c r="N22" s="53" t="str">
        <f>IFERROR(IF(G22="","SIN",IF(O22=1,"SUBIR_E",IF(H22&lt;IFERROR(VLOOKUP(CONFIG!$E$2,CONFIG!$A$6:$E$8,2,0),6),"BAJAR",IF(H22+I22&gt;=IFERROR(VLOOKUP(CONFIG!$E$2,CONFIG!$A$6:$E$8,3,0),12),"SUBIR_F",IF(AND(H22&gt;=IFERROR(VLOOKUP(CONFIG!$E$2,CONFIG!$A$6:$E$8,2,0),6)+2,I22&gt;=2),"SUBIR",IF(I22&gt;IFERROR(VLOOKUP(CONFIG!$E$2,CONFIG!$A$6:$E$8,5,0),3),"SUBIR","MANT")))))),"SIN")</f>
        <v>SIN</v>
      </c>
      <c r="O22" s="55">
        <f>IF(COUNTIFS(HISTORIAL!$O$3:$O$20,D22&amp;"|"&amp;E22,HISTORIAL!$F$3:$F$20,"&gt;0")&lt;2,0,IF(COUNTIFS(HISTORIAL!$O$3:$O$20,D22&amp;"|"&amp;E22,HISTORIAL!$F$3:$F$20,IFERROR(LOOKUP(2,1/((HISTORIAL!$O$3:$O$20=D22&amp;"|"&amp;E22)*(HISTORIAL!$F$3:$F$20&gt;0)),HISTORIAL!$F$3:$F$20),0))&gt;=2,IF(IFERROR(LOOKUP(2,1/((HISTORIAL!$O$3:$O$20=D22&amp;"|"&amp;E22)*(HISTORIAL!$F$3:$F$20&gt;0)),HISTORIAL!$G$3:$G$20),0)&gt;0,IF(F22&gt;0,IF(G22&lt;=IFERROR(LOOKUP(2,1/((HISTORIAL!$O$3:$O$20=D22&amp;"|"&amp;E22)*(HISTORIAL!$F$3:$F$20&gt;0)),HISTORIAL!$G$3:$G$20),0),1,0),0),0),0))</f>
        <v>0</v>
      </c>
    </row>
    <row r="23" spans="1:15" ht="14.1" customHeight="1">
      <c r="A23" s="37">
        <v>1</v>
      </c>
      <c r="B23" s="37" t="s">
        <v>278</v>
      </c>
      <c r="C23" s="37">
        <v>9</v>
      </c>
      <c r="D23" s="56" t="str">
        <f>MARTES!$A$25</f>
        <v>Farmer Carry</v>
      </c>
      <c r="E23" s="57" t="str">
        <f>MARTES!$B$25</f>
        <v>Libre</v>
      </c>
      <c r="F23" s="37" t="str">
        <f>MARTES!$C$25</f>
        <v>mancuerna</v>
      </c>
      <c r="G23" s="37" t="str">
        <f>IFERROR(LOOKUP(2,1/((HISTORIAL!$O$3:$O$21=D23&amp;"|"&amp;E23)*(HISTORIAL!$F$3:$F$21&lt;&gt;"")),HISTORIAL!$F$3:$F$21),"")</f>
        <v/>
      </c>
      <c r="H23" s="37" t="str">
        <f>IFERROR(LOOKUP(2,1/((HISTORIAL!$O$3:$O$21=D23&amp;"|"&amp;E23)*(HISTORIAL!$F$3:$F$21&lt;&gt;"")),HISTORIAL!$G$3:$G$21),"")</f>
        <v/>
      </c>
      <c r="I23" s="37" t="str">
        <f>IFERROR(LOOKUP(2,1/((HISTORIAL!$O$3:$O$21=D23&amp;"|"&amp;E23)*(HISTORIAL!$F$3:$F$21&lt;&gt;"")),HISTORIAL!$H$3:$H$21),"")</f>
        <v/>
      </c>
      <c r="J23" s="37" t="str">
        <f>IFERROR(LOOKUP(2,1/((HISTORIAL!$O$3:$O$21=D23&amp;"|"&amp;E23)*(HISTORIAL!$F$3:$F$21&lt;&gt;"")),HISTORIAL!$I$3:$I$21),"")</f>
        <v/>
      </c>
      <c r="K23" s="58" t="str">
        <f>IFERROR(IF(OR(G23="",N23="SIN"),"--",IF(N23="SUBIR_F",IF(F23="polea",IFERROR(INDEX(CONFIG!$B$25:$B$40,MATCH(G23,CONFIG!$B$25:$B$40,0)+2),IFERROR(INDEX(CONFIG!$B$25:$B$40,MATCH(G23,CONFIG!$B$25:$B$40,0)+1),G23)),G23+5),IF(OR(N23="SUBIR",N23="SUBIR_E"),IF(F23="polea",IFERROR(INDEX(CONFIG!$B$25:$B$40,MATCH(G23,CONFIG!$B$25:$B$40,0)+1),G23),G23+2.5),IF(N23="BAJAR",IF(F23="polea",IFERROR(INDEX(CONFIG!$B$25:$B$40,MAX(1,MATCH(G23,CONFIG!$B$25:$B$40,0)-1)),G23),MAX(0,G23-2.5)),G23)))),"--")</f>
        <v>--</v>
      </c>
      <c r="L23" s="59" t="str">
        <f>IFERROR(IF(N23="SIN","--",IF(N23="MANT",IF(H23="","--",H23+1),IFERROR(VLOOKUP(CONFIG!$E$2,CONFIG!$A$6:$E$8,2,0),"--"))),"--")</f>
        <v>--</v>
      </c>
      <c r="M23" s="59" t="str">
        <f>IFERROR(IF(N23="SIN","--",IF(CONFIG!$E$2="HIP",2,IF(CONFIG!$E$2="FUE",1,2))),"--")</f>
        <v>--</v>
      </c>
      <c r="N23" s="53" t="str">
        <f>IFERROR(IF(G23="","SIN",IF(O23=1,"SUBIR_E",IF(H23&lt;IFERROR(VLOOKUP(CONFIG!$E$2,CONFIG!$A$6:$E$8,2,0),6),"BAJAR",IF(H23+I23&gt;=IFERROR(VLOOKUP(CONFIG!$E$2,CONFIG!$A$6:$E$8,3,0),12),"SUBIR_F",IF(AND(H23&gt;=IFERROR(VLOOKUP(CONFIG!$E$2,CONFIG!$A$6:$E$8,2,0),6)+2,I23&gt;=2),"SUBIR",IF(I23&gt;IFERROR(VLOOKUP(CONFIG!$E$2,CONFIG!$A$6:$E$8,5,0),3),"SUBIR","MANT")))))),"SIN")</f>
        <v>SIN</v>
      </c>
      <c r="O23" s="55">
        <f>IF(COUNTIFS(HISTORIAL!$O$3:$O$21,D23&amp;"|"&amp;E23,HISTORIAL!$F$3:$F$21,"&gt;0")&lt;2,0,IF(COUNTIFS(HISTORIAL!$O$3:$O$21,D23&amp;"|"&amp;E23,HISTORIAL!$F$3:$F$21,IFERROR(LOOKUP(2,1/((HISTORIAL!$O$3:$O$21=D23&amp;"|"&amp;E23)*(HISTORIAL!$F$3:$F$21&gt;0)),HISTORIAL!$F$3:$F$21),0))&gt;=2,IF(IFERROR(LOOKUP(2,1/((HISTORIAL!$O$3:$O$21=D23&amp;"|"&amp;E23)*(HISTORIAL!$F$3:$F$21&gt;0)),HISTORIAL!$G$3:$G$21),0)&gt;0,IF(F23&gt;0,IF(G23&lt;=IFERROR(LOOKUP(2,1/((HISTORIAL!$O$3:$O$21=D23&amp;"|"&amp;E23)*(HISTORIAL!$F$3:$F$21&gt;0)),HISTORIAL!$G$3:$G$21),0),1,0),0),0),0))</f>
        <v>0</v>
      </c>
    </row>
    <row r="24" spans="1:15" ht="14.1" customHeight="1">
      <c r="A24" s="37">
        <v>1</v>
      </c>
      <c r="B24" s="37" t="s">
        <v>278</v>
      </c>
      <c r="C24" s="37">
        <v>10</v>
      </c>
      <c r="D24" s="56" t="str">
        <f>MARTES!$A$27</f>
        <v>Skullcrusher</v>
      </c>
      <c r="E24" s="57" t="str">
        <f>MARTES!$B$27</f>
        <v>Mancuerna Tumbado</v>
      </c>
      <c r="F24" s="37" t="str">
        <f>MARTES!$C$27</f>
        <v>--</v>
      </c>
      <c r="G24" s="37" t="str">
        <f>IFERROR(LOOKUP(2,1/((HISTORIAL!$O$3:$O$22=D24&amp;"|"&amp;E24)*(HISTORIAL!$F$3:$F$22&lt;&gt;"")),HISTORIAL!$F$3:$F$22),"")</f>
        <v/>
      </c>
      <c r="H24" s="37" t="str">
        <f>IFERROR(LOOKUP(2,1/((HISTORIAL!$O$3:$O$22=D24&amp;"|"&amp;E24)*(HISTORIAL!$F$3:$F$22&lt;&gt;"")),HISTORIAL!$G$3:$G$22),"")</f>
        <v/>
      </c>
      <c r="I24" s="37" t="str">
        <f>IFERROR(LOOKUP(2,1/((HISTORIAL!$O$3:$O$22=D24&amp;"|"&amp;E24)*(HISTORIAL!$F$3:$F$22&lt;&gt;"")),HISTORIAL!$H$3:$H$22),"")</f>
        <v/>
      </c>
      <c r="J24" s="37" t="str">
        <f>IFERROR(LOOKUP(2,1/((HISTORIAL!$O$3:$O$22=D24&amp;"|"&amp;E24)*(HISTORIAL!$F$3:$F$22&lt;&gt;"")),HISTORIAL!$I$3:$I$22),"")</f>
        <v/>
      </c>
      <c r="K24" s="58" t="str">
        <f>IFERROR(IF(OR(G24="",N24="SIN"),"--",IF(N24="SUBIR_F",IF(F24="polea",IFERROR(INDEX(CONFIG!$B$25:$B$40,MATCH(G24,CONFIG!$B$25:$B$40,0)+2),IFERROR(INDEX(CONFIG!$B$25:$B$40,MATCH(G24,CONFIG!$B$25:$B$40,0)+1),G24)),G24+5),IF(OR(N24="SUBIR",N24="SUBIR_E"),IF(F24="polea",IFERROR(INDEX(CONFIG!$B$25:$B$40,MATCH(G24,CONFIG!$B$25:$B$40,0)+1),G24),G24+2.5),IF(N24="BAJAR",IF(F24="polea",IFERROR(INDEX(CONFIG!$B$25:$B$40,MAX(1,MATCH(G24,CONFIG!$B$25:$B$40,0)-1)),G24),MAX(0,G24-2.5)),G24)))),"--")</f>
        <v>--</v>
      </c>
      <c r="L24" s="59" t="str">
        <f>IFERROR(IF(N24="SIN","--",IF(N24="MANT",IF(H24="","--",H24+1),IFERROR(VLOOKUP(CONFIG!$E$2,CONFIG!$A$6:$E$8,2,0),"--"))),"--")</f>
        <v>--</v>
      </c>
      <c r="M24" s="59" t="str">
        <f>IFERROR(IF(N24="SIN","--",IF(CONFIG!$E$2="HIP",2,IF(CONFIG!$E$2="FUE",1,2))),"--")</f>
        <v>--</v>
      </c>
      <c r="N24" s="53" t="str">
        <f>IFERROR(IF(G24="","SIN",IF(O24=1,"SUBIR_E",IF(H24&lt;IFERROR(VLOOKUP(CONFIG!$E$2,CONFIG!$A$6:$E$8,2,0),6),"BAJAR",IF(H24+I24&gt;=IFERROR(VLOOKUP(CONFIG!$E$2,CONFIG!$A$6:$E$8,3,0),12),"SUBIR_F",IF(AND(H24&gt;=IFERROR(VLOOKUP(CONFIG!$E$2,CONFIG!$A$6:$E$8,2,0),6)+2,I24&gt;=2),"SUBIR",IF(I24&gt;IFERROR(VLOOKUP(CONFIG!$E$2,CONFIG!$A$6:$E$8,5,0),3),"SUBIR","MANT")))))),"SIN")</f>
        <v>SIN</v>
      </c>
      <c r="O24" s="55">
        <f>IF(COUNTIFS(HISTORIAL!$O$3:$O$22,D24&amp;"|"&amp;E24,HISTORIAL!$F$3:$F$22,"&gt;0")&lt;2,0,IF(COUNTIFS(HISTORIAL!$O$3:$O$22,D24&amp;"|"&amp;E24,HISTORIAL!$F$3:$F$22,IFERROR(LOOKUP(2,1/((HISTORIAL!$O$3:$O$22=D24&amp;"|"&amp;E24)*(HISTORIAL!$F$3:$F$22&gt;0)),HISTORIAL!$F$3:$F$22),0))&gt;=2,IF(IFERROR(LOOKUP(2,1/((HISTORIAL!$O$3:$O$22=D24&amp;"|"&amp;E24)*(HISTORIAL!$F$3:$F$22&gt;0)),HISTORIAL!$G$3:$G$22),0)&gt;0,IF(F24&gt;0,IF(G24&lt;=IFERROR(LOOKUP(2,1/((HISTORIAL!$O$3:$O$22=D24&amp;"|"&amp;E24)*(HISTORIAL!$F$3:$F$22&gt;0)),HISTORIAL!$G$3:$G$22),0),1,0),0),0),0))</f>
        <v>0</v>
      </c>
    </row>
    <row r="25" spans="1:15" ht="14.1" customHeight="1">
      <c r="A25" s="37">
        <v>1</v>
      </c>
      <c r="B25" s="37" t="s">
        <v>278</v>
      </c>
      <c r="C25" s="37">
        <v>11</v>
      </c>
      <c r="D25" s="56" t="str">
        <f>MARTES!$A$29</f>
        <v>Crunch</v>
      </c>
      <c r="E25" s="57" t="str">
        <f>MARTES!$B$29</f>
        <v>Polea</v>
      </c>
      <c r="F25" s="37" t="str">
        <f>MARTES!$C$29</f>
        <v>polea</v>
      </c>
      <c r="G25" s="37" t="str">
        <f>IFERROR(LOOKUP(2,1/((HISTORIAL!$O$3:$O$23=D25&amp;"|"&amp;E25)*(HISTORIAL!$F$3:$F$23&lt;&gt;"")),HISTORIAL!$F$3:$F$23),"")</f>
        <v/>
      </c>
      <c r="H25" s="37" t="str">
        <f>IFERROR(LOOKUP(2,1/((HISTORIAL!$O$3:$O$23=D25&amp;"|"&amp;E25)*(HISTORIAL!$F$3:$F$23&lt;&gt;"")),HISTORIAL!$G$3:$G$23),"")</f>
        <v/>
      </c>
      <c r="I25" s="37" t="str">
        <f>IFERROR(LOOKUP(2,1/((HISTORIAL!$O$3:$O$23=D25&amp;"|"&amp;E25)*(HISTORIAL!$F$3:$F$23&lt;&gt;"")),HISTORIAL!$H$3:$H$23),"")</f>
        <v/>
      </c>
      <c r="J25" s="37" t="str">
        <f>IFERROR(LOOKUP(2,1/((HISTORIAL!$O$3:$O$23=D25&amp;"|"&amp;E25)*(HISTORIAL!$F$3:$F$23&lt;&gt;"")),HISTORIAL!$I$3:$I$23),"")</f>
        <v/>
      </c>
      <c r="K25" s="58" t="str">
        <f>IFERROR(IF(OR(G25="",N25="SIN"),"--",IF(N25="SUBIR_F",IF(F25="polea",IFERROR(INDEX(CONFIG!$B$25:$B$40,MATCH(G25,CONFIG!$B$25:$B$40,0)+2),IFERROR(INDEX(CONFIG!$B$25:$B$40,MATCH(G25,CONFIG!$B$25:$B$40,0)+1),G25)),G25+5),IF(OR(N25="SUBIR",N25="SUBIR_E"),IF(F25="polea",IFERROR(INDEX(CONFIG!$B$25:$B$40,MATCH(G25,CONFIG!$B$25:$B$40,0)+1),G25),G25+2.5),IF(N25="BAJAR",IF(F25="polea",IFERROR(INDEX(CONFIG!$B$25:$B$40,MAX(1,MATCH(G25,CONFIG!$B$25:$B$40,0)-1)),G25),MAX(0,G25-2.5)),G25)))),"--")</f>
        <v>--</v>
      </c>
      <c r="L25" s="59" t="str">
        <f>IFERROR(IF(N25="SIN","--",IF(N25="MANT",IF(H25="","--",H25+1),IFERROR(VLOOKUP(CONFIG!$E$2,CONFIG!$A$6:$E$8,2,0),"--"))),"--")</f>
        <v>--</v>
      </c>
      <c r="M25" s="59" t="str">
        <f>IFERROR(IF(N25="SIN","--",IF(CONFIG!$E$2="HIP",2,IF(CONFIG!$E$2="FUE",1,2))),"--")</f>
        <v>--</v>
      </c>
      <c r="N25" s="53" t="str">
        <f>IFERROR(IF(G25="","SIN",IF(O25=1,"SUBIR_E",IF(H25&lt;IFERROR(VLOOKUP(CONFIG!$E$2,CONFIG!$A$6:$E$8,2,0),6),"BAJAR",IF(H25+I25&gt;=IFERROR(VLOOKUP(CONFIG!$E$2,CONFIG!$A$6:$E$8,3,0),12),"SUBIR_F",IF(AND(H25&gt;=IFERROR(VLOOKUP(CONFIG!$E$2,CONFIG!$A$6:$E$8,2,0),6)+2,I25&gt;=2),"SUBIR",IF(I25&gt;IFERROR(VLOOKUP(CONFIG!$E$2,CONFIG!$A$6:$E$8,5,0),3),"SUBIR","MANT")))))),"SIN")</f>
        <v>SIN</v>
      </c>
      <c r="O25" s="55">
        <f>IF(COUNTIFS(HISTORIAL!$O$3:$O$23,D25&amp;"|"&amp;E25,HISTORIAL!$F$3:$F$23,"&gt;0")&lt;2,0,IF(COUNTIFS(HISTORIAL!$O$3:$O$23,D25&amp;"|"&amp;E25,HISTORIAL!$F$3:$F$23,IFERROR(LOOKUP(2,1/((HISTORIAL!$O$3:$O$23=D25&amp;"|"&amp;E25)*(HISTORIAL!$F$3:$F$23&gt;0)),HISTORIAL!$F$3:$F$23),0))&gt;=2,IF(IFERROR(LOOKUP(2,1/((HISTORIAL!$O$3:$O$23=D25&amp;"|"&amp;E25)*(HISTORIAL!$F$3:$F$23&gt;0)),HISTORIAL!$G$3:$G$23),0)&gt;0,IF(F25&gt;0,IF(G25&lt;=IFERROR(LOOKUP(2,1/((HISTORIAL!$O$3:$O$23=D25&amp;"|"&amp;E25)*(HISTORIAL!$F$3:$F$23&gt;0)),HISTORIAL!$G$3:$G$23),0),1,0),0),0),0))</f>
        <v>0</v>
      </c>
    </row>
    <row r="26" spans="1:15" ht="14.1" customHeight="1">
      <c r="A26" s="37">
        <v>1</v>
      </c>
      <c r="B26" s="37" t="s">
        <v>279</v>
      </c>
      <c r="C26" s="37">
        <v>1</v>
      </c>
      <c r="D26" s="56" t="str">
        <f>MIERCOLES!$A$12</f>
        <v>Curl Femoral</v>
      </c>
      <c r="E26" s="57" t="str">
        <f>MIERCOLES!$B$12</f>
        <v>Tumbado Maquina</v>
      </c>
      <c r="F26" s="37" t="str">
        <f>MIERCOLES!$C$12</f>
        <v>polea</v>
      </c>
      <c r="G26" s="37" t="str">
        <f>IFERROR(LOOKUP(2,1/((HISTORIAL!$O$3:$O$24=D26&amp;"|"&amp;E26)*(HISTORIAL!$F$3:$F$24&lt;&gt;"")),HISTORIAL!$F$3:$F$24),"")</f>
        <v/>
      </c>
      <c r="H26" s="37" t="str">
        <f>IFERROR(LOOKUP(2,1/((HISTORIAL!$O$3:$O$24=D26&amp;"|"&amp;E26)*(HISTORIAL!$F$3:$F$24&lt;&gt;"")),HISTORIAL!$G$3:$G$24),"")</f>
        <v/>
      </c>
      <c r="I26" s="37" t="str">
        <f>IFERROR(LOOKUP(2,1/((HISTORIAL!$O$3:$O$24=D26&amp;"|"&amp;E26)*(HISTORIAL!$F$3:$F$24&lt;&gt;"")),HISTORIAL!$H$3:$H$24),"")</f>
        <v/>
      </c>
      <c r="J26" s="37" t="str">
        <f>IFERROR(LOOKUP(2,1/((HISTORIAL!$O$3:$O$24=D26&amp;"|"&amp;E26)*(HISTORIAL!$F$3:$F$24&lt;&gt;"")),HISTORIAL!$I$3:$I$24),"")</f>
        <v/>
      </c>
      <c r="K26" s="58" t="str">
        <f>IFERROR(IF(OR(G26="",N26="SIN"),"--",IF(N26="SUBIR_F",IF(F26="polea",IFERROR(INDEX(CONFIG!$B$25:$B$40,MATCH(G26,CONFIG!$B$25:$B$40,0)+2),IFERROR(INDEX(CONFIG!$B$25:$B$40,MATCH(G26,CONFIG!$B$25:$B$40,0)+1),G26)),G26+5),IF(OR(N26="SUBIR",N26="SUBIR_E"),IF(F26="polea",IFERROR(INDEX(CONFIG!$B$25:$B$40,MATCH(G26,CONFIG!$B$25:$B$40,0)+1),G26),G26+2.5),IF(N26="BAJAR",IF(F26="polea",IFERROR(INDEX(CONFIG!$B$25:$B$40,MAX(1,MATCH(G26,CONFIG!$B$25:$B$40,0)-1)),G26),MAX(0,G26-2.5)),G26)))),"--")</f>
        <v>--</v>
      </c>
      <c r="L26" s="59" t="str">
        <f>IFERROR(IF(N26="SIN","--",IF(N26="MANT",IF(H26="","--",H26+1),IFERROR(VLOOKUP(CONFIG!$E$2,CONFIG!$A$6:$E$8,2,0),"--"))),"--")</f>
        <v>--</v>
      </c>
      <c r="M26" s="59" t="str">
        <f>IFERROR(IF(N26="SIN","--",IF(CONFIG!$E$2="HIP",2,IF(CONFIG!$E$2="FUE",1,2))),"--")</f>
        <v>--</v>
      </c>
      <c r="N26" s="53" t="str">
        <f>IFERROR(IF(G26="","SIN",IF(O26=1,"SUBIR_E",IF(H26&lt;IFERROR(VLOOKUP(CONFIG!$E$2,CONFIG!$A$6:$E$8,2,0),6),"BAJAR",IF(H26+I26&gt;=IFERROR(VLOOKUP(CONFIG!$E$2,CONFIG!$A$6:$E$8,3,0),12),"SUBIR_F",IF(AND(H26&gt;=IFERROR(VLOOKUP(CONFIG!$E$2,CONFIG!$A$6:$E$8,2,0),6)+2,I26&gt;=2),"SUBIR",IF(I26&gt;IFERROR(VLOOKUP(CONFIG!$E$2,CONFIG!$A$6:$E$8,5,0),3),"SUBIR","MANT")))))),"SIN")</f>
        <v>SIN</v>
      </c>
      <c r="O26" s="55">
        <f>IF(COUNTIFS(HISTORIAL!$O$3:$O$24,D26&amp;"|"&amp;E26,HISTORIAL!$F$3:$F$24,"&gt;0")&lt;2,0,IF(COUNTIFS(HISTORIAL!$O$3:$O$24,D26&amp;"|"&amp;E26,HISTORIAL!$F$3:$F$24,IFERROR(LOOKUP(2,1/((HISTORIAL!$O$3:$O$24=D26&amp;"|"&amp;E26)*(HISTORIAL!$F$3:$F$24&gt;0)),HISTORIAL!$F$3:$F$24),0))&gt;=2,IF(IFERROR(LOOKUP(2,1/((HISTORIAL!$O$3:$O$24=D26&amp;"|"&amp;E26)*(HISTORIAL!$F$3:$F$24&gt;0)),HISTORIAL!$G$3:$G$24),0)&gt;0,IF(F26&gt;0,IF(G26&lt;=IFERROR(LOOKUP(2,1/((HISTORIAL!$O$3:$O$24=D26&amp;"|"&amp;E26)*(HISTORIAL!$F$3:$F$24&gt;0)),HISTORIAL!$G$3:$G$24),0),1,0),0),0),0))</f>
        <v>0</v>
      </c>
    </row>
    <row r="27" spans="1:15" ht="14.1" customHeight="1">
      <c r="A27" s="37">
        <v>1</v>
      </c>
      <c r="B27" s="37" t="s">
        <v>279</v>
      </c>
      <c r="C27" s="37">
        <v>2</v>
      </c>
      <c r="D27" s="56" t="str">
        <f>MIERCOLES!$A$13</f>
        <v>Curl Femoral</v>
      </c>
      <c r="E27" s="57" t="str">
        <f>MIERCOLES!$B$13</f>
        <v>Sentado Maquina</v>
      </c>
      <c r="F27" s="37" t="str">
        <f>MIERCOLES!$C$13</f>
        <v>polea</v>
      </c>
      <c r="G27" s="37" t="str">
        <f>IFERROR(LOOKUP(2,1/((HISTORIAL!$O$3:$O$25=D27&amp;"|"&amp;E27)*(HISTORIAL!$F$3:$F$25&lt;&gt;"")),HISTORIAL!$F$3:$F$25),"")</f>
        <v/>
      </c>
      <c r="H27" s="37" t="str">
        <f>IFERROR(LOOKUP(2,1/((HISTORIAL!$O$3:$O$25=D27&amp;"|"&amp;E27)*(HISTORIAL!$F$3:$F$25&lt;&gt;"")),HISTORIAL!$G$3:$G$25),"")</f>
        <v/>
      </c>
      <c r="I27" s="37" t="str">
        <f>IFERROR(LOOKUP(2,1/((HISTORIAL!$O$3:$O$25=D27&amp;"|"&amp;E27)*(HISTORIAL!$F$3:$F$25&lt;&gt;"")),HISTORIAL!$H$3:$H$25),"")</f>
        <v/>
      </c>
      <c r="J27" s="37" t="str">
        <f>IFERROR(LOOKUP(2,1/((HISTORIAL!$O$3:$O$25=D27&amp;"|"&amp;E27)*(HISTORIAL!$F$3:$F$25&lt;&gt;"")),HISTORIAL!$I$3:$I$25),"")</f>
        <v/>
      </c>
      <c r="K27" s="58" t="str">
        <f>IFERROR(IF(OR(G27="",N27="SIN"),"--",IF(N27="SUBIR_F",IF(F27="polea",IFERROR(INDEX(CONFIG!$B$25:$B$40,MATCH(G27,CONFIG!$B$25:$B$40,0)+2),IFERROR(INDEX(CONFIG!$B$25:$B$40,MATCH(G27,CONFIG!$B$25:$B$40,0)+1),G27)),G27+5),IF(OR(N27="SUBIR",N27="SUBIR_E"),IF(F27="polea",IFERROR(INDEX(CONFIG!$B$25:$B$40,MATCH(G27,CONFIG!$B$25:$B$40,0)+1),G27),G27+2.5),IF(N27="BAJAR",IF(F27="polea",IFERROR(INDEX(CONFIG!$B$25:$B$40,MAX(1,MATCH(G27,CONFIG!$B$25:$B$40,0)-1)),G27),MAX(0,G27-2.5)),G27)))),"--")</f>
        <v>--</v>
      </c>
      <c r="L27" s="59" t="str">
        <f>IFERROR(IF(N27="SIN","--",IF(N27="MANT",IF(H27="","--",H27+1),IFERROR(VLOOKUP(CONFIG!$E$2,CONFIG!$A$6:$E$8,2,0),"--"))),"--")</f>
        <v>--</v>
      </c>
      <c r="M27" s="59" t="str">
        <f>IFERROR(IF(N27="SIN","--",IF(CONFIG!$E$2="HIP",2,IF(CONFIG!$E$2="FUE",1,2))),"--")</f>
        <v>--</v>
      </c>
      <c r="N27" s="53" t="str">
        <f>IFERROR(IF(G27="","SIN",IF(O27=1,"SUBIR_E",IF(H27&lt;IFERROR(VLOOKUP(CONFIG!$E$2,CONFIG!$A$6:$E$8,2,0),6),"BAJAR",IF(H27+I27&gt;=IFERROR(VLOOKUP(CONFIG!$E$2,CONFIG!$A$6:$E$8,3,0),12),"SUBIR_F",IF(AND(H27&gt;=IFERROR(VLOOKUP(CONFIG!$E$2,CONFIG!$A$6:$E$8,2,0),6)+2,I27&gt;=2),"SUBIR",IF(I27&gt;IFERROR(VLOOKUP(CONFIG!$E$2,CONFIG!$A$6:$E$8,5,0),3),"SUBIR","MANT")))))),"SIN")</f>
        <v>SIN</v>
      </c>
      <c r="O27" s="55">
        <f>IF(COUNTIFS(HISTORIAL!$O$3:$O$25,D27&amp;"|"&amp;E27,HISTORIAL!$F$3:$F$25,"&gt;0")&lt;2,0,IF(COUNTIFS(HISTORIAL!$O$3:$O$25,D27&amp;"|"&amp;E27,HISTORIAL!$F$3:$F$25,IFERROR(LOOKUP(2,1/((HISTORIAL!$O$3:$O$25=D27&amp;"|"&amp;E27)*(HISTORIAL!$F$3:$F$25&gt;0)),HISTORIAL!$F$3:$F$25),0))&gt;=2,IF(IFERROR(LOOKUP(2,1/((HISTORIAL!$O$3:$O$25=D27&amp;"|"&amp;E27)*(HISTORIAL!$F$3:$F$25&gt;0)),HISTORIAL!$G$3:$G$25),0)&gt;0,IF(F27&gt;0,IF(G27&lt;=IFERROR(LOOKUP(2,1/((HISTORIAL!$O$3:$O$25=D27&amp;"|"&amp;E27)*(HISTORIAL!$F$3:$F$25&gt;0)),HISTORIAL!$G$3:$G$25),0),1,0),0),0),0))</f>
        <v>0</v>
      </c>
    </row>
    <row r="28" spans="1:15" ht="14.1" customHeight="1">
      <c r="A28" s="37">
        <v>1</v>
      </c>
      <c r="B28" s="37" t="s">
        <v>279</v>
      </c>
      <c r="C28" s="37">
        <v>3</v>
      </c>
      <c r="D28" s="56" t="str">
        <f>MIERCOLES!$A$14</f>
        <v>Curl Rumano</v>
      </c>
      <c r="E28" s="57" t="str">
        <f>MIERCOLES!$B$14</f>
        <v>Mancuernas</v>
      </c>
      <c r="F28" s="37" t="str">
        <f>MIERCOLES!$C$14</f>
        <v>mancuerna</v>
      </c>
      <c r="G28" s="37" t="str">
        <f>IFERROR(LOOKUP(2,1/((HISTORIAL!$O$3:$O$26=D28&amp;"|"&amp;E28)*(HISTORIAL!$F$3:$F$26&lt;&gt;"")),HISTORIAL!$F$3:$F$26),"")</f>
        <v/>
      </c>
      <c r="H28" s="37" t="str">
        <f>IFERROR(LOOKUP(2,1/((HISTORIAL!$O$3:$O$26=D28&amp;"|"&amp;E28)*(HISTORIAL!$F$3:$F$26&lt;&gt;"")),HISTORIAL!$G$3:$G$26),"")</f>
        <v/>
      </c>
      <c r="I28" s="37" t="str">
        <f>IFERROR(LOOKUP(2,1/((HISTORIAL!$O$3:$O$26=D28&amp;"|"&amp;E28)*(HISTORIAL!$F$3:$F$26&lt;&gt;"")),HISTORIAL!$H$3:$H$26),"")</f>
        <v/>
      </c>
      <c r="J28" s="37" t="str">
        <f>IFERROR(LOOKUP(2,1/((HISTORIAL!$O$3:$O$26=D28&amp;"|"&amp;E28)*(HISTORIAL!$F$3:$F$26&lt;&gt;"")),HISTORIAL!$I$3:$I$26),"")</f>
        <v/>
      </c>
      <c r="K28" s="58" t="str">
        <f>IFERROR(IF(OR(G28="",N28="SIN"),"--",IF(N28="SUBIR_F",IF(F28="polea",IFERROR(INDEX(CONFIG!$B$25:$B$40,MATCH(G28,CONFIG!$B$25:$B$40,0)+2),IFERROR(INDEX(CONFIG!$B$25:$B$40,MATCH(G28,CONFIG!$B$25:$B$40,0)+1),G28)),G28+5),IF(OR(N28="SUBIR",N28="SUBIR_E"),IF(F28="polea",IFERROR(INDEX(CONFIG!$B$25:$B$40,MATCH(G28,CONFIG!$B$25:$B$40,0)+1),G28),G28+2.5),IF(N28="BAJAR",IF(F28="polea",IFERROR(INDEX(CONFIG!$B$25:$B$40,MAX(1,MATCH(G28,CONFIG!$B$25:$B$40,0)-1)),G28),MAX(0,G28-2.5)),G28)))),"--")</f>
        <v>--</v>
      </c>
      <c r="L28" s="59" t="str">
        <f>IFERROR(IF(N28="SIN","--",IF(N28="MANT",IF(H28="","--",H28+1),IFERROR(VLOOKUP(CONFIG!$E$2,CONFIG!$A$6:$E$8,2,0),"--"))),"--")</f>
        <v>--</v>
      </c>
      <c r="M28" s="59" t="str">
        <f>IFERROR(IF(N28="SIN","--",IF(CONFIG!$E$2="HIP",2,IF(CONFIG!$E$2="FUE",1,2))),"--")</f>
        <v>--</v>
      </c>
      <c r="N28" s="53" t="str">
        <f>IFERROR(IF(G28="","SIN",IF(O28=1,"SUBIR_E",IF(H28&lt;IFERROR(VLOOKUP(CONFIG!$E$2,CONFIG!$A$6:$E$8,2,0),6),"BAJAR",IF(H28+I28&gt;=IFERROR(VLOOKUP(CONFIG!$E$2,CONFIG!$A$6:$E$8,3,0),12),"SUBIR_F",IF(AND(H28&gt;=IFERROR(VLOOKUP(CONFIG!$E$2,CONFIG!$A$6:$E$8,2,0),6)+2,I28&gt;=2),"SUBIR",IF(I28&gt;IFERROR(VLOOKUP(CONFIG!$E$2,CONFIG!$A$6:$E$8,5,0),3),"SUBIR","MANT")))))),"SIN")</f>
        <v>SIN</v>
      </c>
      <c r="O28" s="55">
        <f>IF(COUNTIFS(HISTORIAL!$O$3:$O$26,D28&amp;"|"&amp;E28,HISTORIAL!$F$3:$F$26,"&gt;0")&lt;2,0,IF(COUNTIFS(HISTORIAL!$O$3:$O$26,D28&amp;"|"&amp;E28,HISTORIAL!$F$3:$F$26,IFERROR(LOOKUP(2,1/((HISTORIAL!$O$3:$O$26=D28&amp;"|"&amp;E28)*(HISTORIAL!$F$3:$F$26&gt;0)),HISTORIAL!$F$3:$F$26),0))&gt;=2,IF(IFERROR(LOOKUP(2,1/((HISTORIAL!$O$3:$O$26=D28&amp;"|"&amp;E28)*(HISTORIAL!$F$3:$F$26&gt;0)),HISTORIAL!$G$3:$G$26),0)&gt;0,IF(F28&gt;0,IF(G28&lt;=IFERROR(LOOKUP(2,1/((HISTORIAL!$O$3:$O$26=D28&amp;"|"&amp;E28)*(HISTORIAL!$F$3:$F$26&gt;0)),HISTORIAL!$G$3:$G$26),0),1,0),0),0),0))</f>
        <v>0</v>
      </c>
    </row>
    <row r="29" spans="1:15" ht="14.1" customHeight="1">
      <c r="A29" s="37">
        <v>1</v>
      </c>
      <c r="B29" s="37" t="s">
        <v>279</v>
      </c>
      <c r="C29" s="37">
        <v>4</v>
      </c>
      <c r="D29" s="56" t="str">
        <f>MIERCOLES!$A$16</f>
        <v>Sentadilla</v>
      </c>
      <c r="E29" s="57" t="str">
        <f>MIERCOLES!$B$16</f>
        <v>Multipower Cuna Talones</v>
      </c>
      <c r="F29" s="37" t="str">
        <f>MIERCOLES!$C$16</f>
        <v>--</v>
      </c>
      <c r="G29" s="37" t="str">
        <f>IFERROR(LOOKUP(2,1/((HISTORIAL!$O$3:$O$27=D29&amp;"|"&amp;E29)*(HISTORIAL!$F$3:$F$27&lt;&gt;"")),HISTORIAL!$F$3:$F$27),"")</f>
        <v/>
      </c>
      <c r="H29" s="37" t="str">
        <f>IFERROR(LOOKUP(2,1/((HISTORIAL!$O$3:$O$27=D29&amp;"|"&amp;E29)*(HISTORIAL!$F$3:$F$27&lt;&gt;"")),HISTORIAL!$G$3:$G$27),"")</f>
        <v/>
      </c>
      <c r="I29" s="37" t="str">
        <f>IFERROR(LOOKUP(2,1/((HISTORIAL!$O$3:$O$27=D29&amp;"|"&amp;E29)*(HISTORIAL!$F$3:$F$27&lt;&gt;"")),HISTORIAL!$H$3:$H$27),"")</f>
        <v/>
      </c>
      <c r="J29" s="37" t="str">
        <f>IFERROR(LOOKUP(2,1/((HISTORIAL!$O$3:$O$27=D29&amp;"|"&amp;E29)*(HISTORIAL!$F$3:$F$27&lt;&gt;"")),HISTORIAL!$I$3:$I$27),"")</f>
        <v/>
      </c>
      <c r="K29" s="58" t="str">
        <f>IFERROR(IF(OR(G29="",N29="SIN"),"--",IF(N29="SUBIR_F",IF(F29="polea",IFERROR(INDEX(CONFIG!$B$25:$B$40,MATCH(G29,CONFIG!$B$25:$B$40,0)+2),IFERROR(INDEX(CONFIG!$B$25:$B$40,MATCH(G29,CONFIG!$B$25:$B$40,0)+1),G29)),G29+5),IF(OR(N29="SUBIR",N29="SUBIR_E"),IF(F29="polea",IFERROR(INDEX(CONFIG!$B$25:$B$40,MATCH(G29,CONFIG!$B$25:$B$40,0)+1),G29),G29+2.5),IF(N29="BAJAR",IF(F29="polea",IFERROR(INDEX(CONFIG!$B$25:$B$40,MAX(1,MATCH(G29,CONFIG!$B$25:$B$40,0)-1)),G29),MAX(0,G29-2.5)),G29)))),"--")</f>
        <v>--</v>
      </c>
      <c r="L29" s="59" t="str">
        <f>IFERROR(IF(N29="SIN","--",IF(N29="MANT",IF(H29="","--",H29+1),IFERROR(VLOOKUP(CONFIG!$E$2,CONFIG!$A$6:$E$8,2,0),"--"))),"--")</f>
        <v>--</v>
      </c>
      <c r="M29" s="59" t="str">
        <f>IFERROR(IF(N29="SIN","--",IF(CONFIG!$E$2="HIP",2,IF(CONFIG!$E$2="FUE",1,2))),"--")</f>
        <v>--</v>
      </c>
      <c r="N29" s="53" t="str">
        <f>IFERROR(IF(G29="","SIN",IF(O29=1,"SUBIR_E",IF(H29&lt;IFERROR(VLOOKUP(CONFIG!$E$2,CONFIG!$A$6:$E$8,2,0),6),"BAJAR",IF(H29+I29&gt;=IFERROR(VLOOKUP(CONFIG!$E$2,CONFIG!$A$6:$E$8,3,0),12),"SUBIR_F",IF(AND(H29&gt;=IFERROR(VLOOKUP(CONFIG!$E$2,CONFIG!$A$6:$E$8,2,0),6)+2,I29&gt;=2),"SUBIR",IF(I29&gt;IFERROR(VLOOKUP(CONFIG!$E$2,CONFIG!$A$6:$E$8,5,0),3),"SUBIR","MANT")))))),"SIN")</f>
        <v>SIN</v>
      </c>
      <c r="O29" s="55">
        <f>IF(COUNTIFS(HISTORIAL!$O$3:$O$27,D29&amp;"|"&amp;E29,HISTORIAL!$F$3:$F$27,"&gt;0")&lt;2,0,IF(COUNTIFS(HISTORIAL!$O$3:$O$27,D29&amp;"|"&amp;E29,HISTORIAL!$F$3:$F$27,IFERROR(LOOKUP(2,1/((HISTORIAL!$O$3:$O$27=D29&amp;"|"&amp;E29)*(HISTORIAL!$F$3:$F$27&gt;0)),HISTORIAL!$F$3:$F$27),0))&gt;=2,IF(IFERROR(LOOKUP(2,1/((HISTORIAL!$O$3:$O$27=D29&amp;"|"&amp;E29)*(HISTORIAL!$F$3:$F$27&gt;0)),HISTORIAL!$G$3:$G$27),0)&gt;0,IF(F29&gt;0,IF(G29&lt;=IFERROR(LOOKUP(2,1/((HISTORIAL!$O$3:$O$27=D29&amp;"|"&amp;E29)*(HISTORIAL!$F$3:$F$27&gt;0)),HISTORIAL!$G$3:$G$27),0),1,0),0),0),0))</f>
        <v>0</v>
      </c>
    </row>
    <row r="30" spans="1:15" ht="14.1" customHeight="1">
      <c r="A30" s="37">
        <v>1</v>
      </c>
      <c r="B30" s="37" t="s">
        <v>279</v>
      </c>
      <c r="C30" s="37">
        <v>5</v>
      </c>
      <c r="D30" s="56" t="str">
        <f>MIERCOLES!$A$17</f>
        <v>Prensa Pierna</v>
      </c>
      <c r="E30" s="57" t="str">
        <f>MIERCOLES!$B$17</f>
        <v>Individual Horizontal</v>
      </c>
      <c r="F30" s="37" t="str">
        <f>MIERCOLES!$C$17</f>
        <v>--</v>
      </c>
      <c r="G30" s="37" t="str">
        <f>IFERROR(LOOKUP(2,1/((HISTORIAL!$O$3:$O$28=D30&amp;"|"&amp;E30)*(HISTORIAL!$F$3:$F$28&lt;&gt;"")),HISTORIAL!$F$3:$F$28),"")</f>
        <v/>
      </c>
      <c r="H30" s="37" t="str">
        <f>IFERROR(LOOKUP(2,1/((HISTORIAL!$O$3:$O$28=D30&amp;"|"&amp;E30)*(HISTORIAL!$F$3:$F$28&lt;&gt;"")),HISTORIAL!$G$3:$G$28),"")</f>
        <v/>
      </c>
      <c r="I30" s="37" t="str">
        <f>IFERROR(LOOKUP(2,1/((HISTORIAL!$O$3:$O$28=D30&amp;"|"&amp;E30)*(HISTORIAL!$F$3:$F$28&lt;&gt;"")),HISTORIAL!$H$3:$H$28),"")</f>
        <v/>
      </c>
      <c r="J30" s="37" t="str">
        <f>IFERROR(LOOKUP(2,1/((HISTORIAL!$O$3:$O$28=D30&amp;"|"&amp;E30)*(HISTORIAL!$F$3:$F$28&lt;&gt;"")),HISTORIAL!$I$3:$I$28),"")</f>
        <v/>
      </c>
      <c r="K30" s="58" t="str">
        <f>IFERROR(IF(OR(G30="",N30="SIN"),"--",IF(N30="SUBIR_F",IF(F30="polea",IFERROR(INDEX(CONFIG!$B$25:$B$40,MATCH(G30,CONFIG!$B$25:$B$40,0)+2),IFERROR(INDEX(CONFIG!$B$25:$B$40,MATCH(G30,CONFIG!$B$25:$B$40,0)+1),G30)),G30+5),IF(OR(N30="SUBIR",N30="SUBIR_E"),IF(F30="polea",IFERROR(INDEX(CONFIG!$B$25:$B$40,MATCH(G30,CONFIG!$B$25:$B$40,0)+1),G30),G30+2.5),IF(N30="BAJAR",IF(F30="polea",IFERROR(INDEX(CONFIG!$B$25:$B$40,MAX(1,MATCH(G30,CONFIG!$B$25:$B$40,0)-1)),G30),MAX(0,G30-2.5)),G30)))),"--")</f>
        <v>--</v>
      </c>
      <c r="L30" s="59" t="str">
        <f>IFERROR(IF(N30="SIN","--",IF(N30="MANT",IF(H30="","--",H30+1),IFERROR(VLOOKUP(CONFIG!$E$2,CONFIG!$A$6:$E$8,2,0),"--"))),"--")</f>
        <v>--</v>
      </c>
      <c r="M30" s="59" t="str">
        <f>IFERROR(IF(N30="SIN","--",IF(CONFIG!$E$2="HIP",2,IF(CONFIG!$E$2="FUE",1,2))),"--")</f>
        <v>--</v>
      </c>
      <c r="N30" s="53" t="str">
        <f>IFERROR(IF(G30="","SIN",IF(O30=1,"SUBIR_E",IF(H30&lt;IFERROR(VLOOKUP(CONFIG!$E$2,CONFIG!$A$6:$E$8,2,0),6),"BAJAR",IF(H30+I30&gt;=IFERROR(VLOOKUP(CONFIG!$E$2,CONFIG!$A$6:$E$8,3,0),12),"SUBIR_F",IF(AND(H30&gt;=IFERROR(VLOOKUP(CONFIG!$E$2,CONFIG!$A$6:$E$8,2,0),6)+2,I30&gt;=2),"SUBIR",IF(I30&gt;IFERROR(VLOOKUP(CONFIG!$E$2,CONFIG!$A$6:$E$8,5,0),3),"SUBIR","MANT")))))),"SIN")</f>
        <v>SIN</v>
      </c>
      <c r="O30" s="55">
        <f>IF(COUNTIFS(HISTORIAL!$O$3:$O$28,D30&amp;"|"&amp;E30,HISTORIAL!$F$3:$F$28,"&gt;0")&lt;2,0,IF(COUNTIFS(HISTORIAL!$O$3:$O$28,D30&amp;"|"&amp;E30,HISTORIAL!$F$3:$F$28,IFERROR(LOOKUP(2,1/((HISTORIAL!$O$3:$O$28=D30&amp;"|"&amp;E30)*(HISTORIAL!$F$3:$F$28&gt;0)),HISTORIAL!$F$3:$F$28),0))&gt;=2,IF(IFERROR(LOOKUP(2,1/((HISTORIAL!$O$3:$O$28=D30&amp;"|"&amp;E30)*(HISTORIAL!$F$3:$F$28&gt;0)),HISTORIAL!$G$3:$G$28),0)&gt;0,IF(F30&gt;0,IF(G30&lt;=IFERROR(LOOKUP(2,1/((HISTORIAL!$O$3:$O$28=D30&amp;"|"&amp;E30)*(HISTORIAL!$F$3:$F$28&gt;0)),HISTORIAL!$G$3:$G$28),0),1,0),0),0),0))</f>
        <v>0</v>
      </c>
    </row>
    <row r="31" spans="1:15" ht="14.1" customHeight="1">
      <c r="A31" s="37">
        <v>1</v>
      </c>
      <c r="B31" s="37" t="s">
        <v>279</v>
      </c>
      <c r="C31" s="37">
        <v>6</v>
      </c>
      <c r="D31" s="56" t="str">
        <f>MIERCOLES!$A$18</f>
        <v>Extension Cuadriceps</v>
      </c>
      <c r="E31" s="57" t="str">
        <f>MIERCOLES!$B$18</f>
        <v>Vasto Externo</v>
      </c>
      <c r="F31" s="37" t="str">
        <f>MIERCOLES!$C$18</f>
        <v>--</v>
      </c>
      <c r="G31" s="37" t="str">
        <f>IFERROR(LOOKUP(2,1/((HISTORIAL!$O$3:$O$29=D31&amp;"|"&amp;E31)*(HISTORIAL!$F$3:$F$29&lt;&gt;"")),HISTORIAL!$F$3:$F$29),"")</f>
        <v/>
      </c>
      <c r="H31" s="37" t="str">
        <f>IFERROR(LOOKUP(2,1/((HISTORIAL!$O$3:$O$29=D31&amp;"|"&amp;E31)*(HISTORIAL!$F$3:$F$29&lt;&gt;"")),HISTORIAL!$G$3:$G$29),"")</f>
        <v/>
      </c>
      <c r="I31" s="37" t="str">
        <f>IFERROR(LOOKUP(2,1/((HISTORIAL!$O$3:$O$29=D31&amp;"|"&amp;E31)*(HISTORIAL!$F$3:$F$29&lt;&gt;"")),HISTORIAL!$H$3:$H$29),"")</f>
        <v/>
      </c>
      <c r="J31" s="37" t="str">
        <f>IFERROR(LOOKUP(2,1/((HISTORIAL!$O$3:$O$29=D31&amp;"|"&amp;E31)*(HISTORIAL!$F$3:$F$29&lt;&gt;"")),HISTORIAL!$I$3:$I$29),"")</f>
        <v/>
      </c>
      <c r="K31" s="58" t="str">
        <f>IFERROR(IF(OR(G31="",N31="SIN"),"--",IF(N31="SUBIR_F",IF(F31="polea",IFERROR(INDEX(CONFIG!$B$25:$B$40,MATCH(G31,CONFIG!$B$25:$B$40,0)+2),IFERROR(INDEX(CONFIG!$B$25:$B$40,MATCH(G31,CONFIG!$B$25:$B$40,0)+1),G31)),G31+5),IF(OR(N31="SUBIR",N31="SUBIR_E"),IF(F31="polea",IFERROR(INDEX(CONFIG!$B$25:$B$40,MATCH(G31,CONFIG!$B$25:$B$40,0)+1),G31),G31+2.5),IF(N31="BAJAR",IF(F31="polea",IFERROR(INDEX(CONFIG!$B$25:$B$40,MAX(1,MATCH(G31,CONFIG!$B$25:$B$40,0)-1)),G31),MAX(0,G31-2.5)),G31)))),"--")</f>
        <v>--</v>
      </c>
      <c r="L31" s="59" t="str">
        <f>IFERROR(IF(N31="SIN","--",IF(N31="MANT",IF(H31="","--",H31+1),IFERROR(VLOOKUP(CONFIG!$E$2,CONFIG!$A$6:$E$8,2,0),"--"))),"--")</f>
        <v>--</v>
      </c>
      <c r="M31" s="59" t="str">
        <f>IFERROR(IF(N31="SIN","--",IF(CONFIG!$E$2="HIP",2,IF(CONFIG!$E$2="FUE",1,2))),"--")</f>
        <v>--</v>
      </c>
      <c r="N31" s="53" t="str">
        <f>IFERROR(IF(G31="","SIN",IF(O31=1,"SUBIR_E",IF(H31&lt;IFERROR(VLOOKUP(CONFIG!$E$2,CONFIG!$A$6:$E$8,2,0),6),"BAJAR",IF(H31+I31&gt;=IFERROR(VLOOKUP(CONFIG!$E$2,CONFIG!$A$6:$E$8,3,0),12),"SUBIR_F",IF(AND(H31&gt;=IFERROR(VLOOKUP(CONFIG!$E$2,CONFIG!$A$6:$E$8,2,0),6)+2,I31&gt;=2),"SUBIR",IF(I31&gt;IFERROR(VLOOKUP(CONFIG!$E$2,CONFIG!$A$6:$E$8,5,0),3),"SUBIR","MANT")))))),"SIN")</f>
        <v>SIN</v>
      </c>
      <c r="O31" s="55">
        <f>IF(COUNTIFS(HISTORIAL!$O$3:$O$29,D31&amp;"|"&amp;E31,HISTORIAL!$F$3:$F$29,"&gt;0")&lt;2,0,IF(COUNTIFS(HISTORIAL!$O$3:$O$29,D31&amp;"|"&amp;E31,HISTORIAL!$F$3:$F$29,IFERROR(LOOKUP(2,1/((HISTORIAL!$O$3:$O$29=D31&amp;"|"&amp;E31)*(HISTORIAL!$F$3:$F$29&gt;0)),HISTORIAL!$F$3:$F$29),0))&gt;=2,IF(IFERROR(LOOKUP(2,1/((HISTORIAL!$O$3:$O$29=D31&amp;"|"&amp;E31)*(HISTORIAL!$F$3:$F$29&gt;0)),HISTORIAL!$G$3:$G$29),0)&gt;0,IF(F31&gt;0,IF(G31&lt;=IFERROR(LOOKUP(2,1/((HISTORIAL!$O$3:$O$29=D31&amp;"|"&amp;E31)*(HISTORIAL!$F$3:$F$29&gt;0)),HISTORIAL!$G$3:$G$29),0),1,0),0),0),0))</f>
        <v>0</v>
      </c>
    </row>
    <row r="32" spans="1:15" ht="14.1" customHeight="1">
      <c r="A32" s="37">
        <v>1</v>
      </c>
      <c r="B32" s="37" t="s">
        <v>279</v>
      </c>
      <c r="C32" s="37">
        <v>7</v>
      </c>
      <c r="D32" s="56" t="str">
        <f>MIERCOLES!$A$19</f>
        <v>Extension Cuadriceps</v>
      </c>
      <c r="E32" s="57" t="str">
        <f>MIERCOLES!$B$19</f>
        <v>Vasto Interno</v>
      </c>
      <c r="F32" s="37" t="str">
        <f>MIERCOLES!$C$19</f>
        <v>--</v>
      </c>
      <c r="G32" s="37" t="str">
        <f>IFERROR(LOOKUP(2,1/((HISTORIAL!$O$3:$O$30=D32&amp;"|"&amp;E32)*(HISTORIAL!$F$3:$F$30&lt;&gt;"")),HISTORIAL!$F$3:$F$30),"")</f>
        <v/>
      </c>
      <c r="H32" s="37" t="str">
        <f>IFERROR(LOOKUP(2,1/((HISTORIAL!$O$3:$O$30=D32&amp;"|"&amp;E32)*(HISTORIAL!$F$3:$F$30&lt;&gt;"")),HISTORIAL!$G$3:$G$30),"")</f>
        <v/>
      </c>
      <c r="I32" s="37" t="str">
        <f>IFERROR(LOOKUP(2,1/((HISTORIAL!$O$3:$O$30=D32&amp;"|"&amp;E32)*(HISTORIAL!$F$3:$F$30&lt;&gt;"")),HISTORIAL!$H$3:$H$30),"")</f>
        <v/>
      </c>
      <c r="J32" s="37" t="str">
        <f>IFERROR(LOOKUP(2,1/((HISTORIAL!$O$3:$O$30=D32&amp;"|"&amp;E32)*(HISTORIAL!$F$3:$F$30&lt;&gt;"")),HISTORIAL!$I$3:$I$30),"")</f>
        <v/>
      </c>
      <c r="K32" s="58" t="str">
        <f>IFERROR(IF(OR(G32="",N32="SIN"),"--",IF(N32="SUBIR_F",IF(F32="polea",IFERROR(INDEX(CONFIG!$B$25:$B$40,MATCH(G32,CONFIG!$B$25:$B$40,0)+2),IFERROR(INDEX(CONFIG!$B$25:$B$40,MATCH(G32,CONFIG!$B$25:$B$40,0)+1),G32)),G32+5),IF(OR(N32="SUBIR",N32="SUBIR_E"),IF(F32="polea",IFERROR(INDEX(CONFIG!$B$25:$B$40,MATCH(G32,CONFIG!$B$25:$B$40,0)+1),G32),G32+2.5),IF(N32="BAJAR",IF(F32="polea",IFERROR(INDEX(CONFIG!$B$25:$B$40,MAX(1,MATCH(G32,CONFIG!$B$25:$B$40,0)-1)),G32),MAX(0,G32-2.5)),G32)))),"--")</f>
        <v>--</v>
      </c>
      <c r="L32" s="59" t="str">
        <f>IFERROR(IF(N32="SIN","--",IF(N32="MANT",IF(H32="","--",H32+1),IFERROR(VLOOKUP(CONFIG!$E$2,CONFIG!$A$6:$E$8,2,0),"--"))),"--")</f>
        <v>--</v>
      </c>
      <c r="M32" s="59" t="str">
        <f>IFERROR(IF(N32="SIN","--",IF(CONFIG!$E$2="HIP",2,IF(CONFIG!$E$2="FUE",1,2))),"--")</f>
        <v>--</v>
      </c>
      <c r="N32" s="53" t="str">
        <f>IFERROR(IF(G32="","SIN",IF(O32=1,"SUBIR_E",IF(H32&lt;IFERROR(VLOOKUP(CONFIG!$E$2,CONFIG!$A$6:$E$8,2,0),6),"BAJAR",IF(H32+I32&gt;=IFERROR(VLOOKUP(CONFIG!$E$2,CONFIG!$A$6:$E$8,3,0),12),"SUBIR_F",IF(AND(H32&gt;=IFERROR(VLOOKUP(CONFIG!$E$2,CONFIG!$A$6:$E$8,2,0),6)+2,I32&gt;=2),"SUBIR",IF(I32&gt;IFERROR(VLOOKUP(CONFIG!$E$2,CONFIG!$A$6:$E$8,5,0),3),"SUBIR","MANT")))))),"SIN")</f>
        <v>SIN</v>
      </c>
      <c r="O32" s="55">
        <f>IF(COUNTIFS(HISTORIAL!$O$3:$O$30,D32&amp;"|"&amp;E32,HISTORIAL!$F$3:$F$30,"&gt;0")&lt;2,0,IF(COUNTIFS(HISTORIAL!$O$3:$O$30,D32&amp;"|"&amp;E32,HISTORIAL!$F$3:$F$30,IFERROR(LOOKUP(2,1/((HISTORIAL!$O$3:$O$30=D32&amp;"|"&amp;E32)*(HISTORIAL!$F$3:$F$30&gt;0)),HISTORIAL!$F$3:$F$30),0))&gt;=2,IF(IFERROR(LOOKUP(2,1/((HISTORIAL!$O$3:$O$30=D32&amp;"|"&amp;E32)*(HISTORIAL!$F$3:$F$30&gt;0)),HISTORIAL!$G$3:$G$30),0)&gt;0,IF(F32&gt;0,IF(G32&lt;=IFERROR(LOOKUP(2,1/((HISTORIAL!$O$3:$O$30=D32&amp;"|"&amp;E32)*(HISTORIAL!$F$3:$F$30&gt;0)),HISTORIAL!$G$3:$G$30),0),1,0),0),0),0))</f>
        <v>0</v>
      </c>
    </row>
    <row r="33" spans="1:15" ht="14.1" customHeight="1">
      <c r="A33" s="37">
        <v>1</v>
      </c>
      <c r="B33" s="37" t="s">
        <v>279</v>
      </c>
      <c r="C33" s="37">
        <v>8</v>
      </c>
      <c r="D33" s="56" t="str">
        <f>MIERCOLES!$A$21</f>
        <v>Elevacion Gemelo</v>
      </c>
      <c r="E33" s="57" t="str">
        <f>MIERCOLES!$B$21</f>
        <v>Sentado</v>
      </c>
      <c r="F33" s="37" t="str">
        <f>MIERCOLES!$C$21</f>
        <v>disco</v>
      </c>
      <c r="G33" s="37" t="str">
        <f>IFERROR(LOOKUP(2,1/((HISTORIAL!$O$3:$O$31=D33&amp;"|"&amp;E33)*(HISTORIAL!$F$3:$F$31&lt;&gt;"")),HISTORIAL!$F$3:$F$31),"")</f>
        <v/>
      </c>
      <c r="H33" s="37" t="str">
        <f>IFERROR(LOOKUP(2,1/((HISTORIAL!$O$3:$O$31=D33&amp;"|"&amp;E33)*(HISTORIAL!$F$3:$F$31&lt;&gt;"")),HISTORIAL!$G$3:$G$31),"")</f>
        <v/>
      </c>
      <c r="I33" s="37" t="str">
        <f>IFERROR(LOOKUP(2,1/((HISTORIAL!$O$3:$O$31=D33&amp;"|"&amp;E33)*(HISTORIAL!$F$3:$F$31&lt;&gt;"")),HISTORIAL!$H$3:$H$31),"")</f>
        <v/>
      </c>
      <c r="J33" s="37" t="str">
        <f>IFERROR(LOOKUP(2,1/((HISTORIAL!$O$3:$O$31=D33&amp;"|"&amp;E33)*(HISTORIAL!$F$3:$F$31&lt;&gt;"")),HISTORIAL!$I$3:$I$31),"")</f>
        <v/>
      </c>
      <c r="K33" s="58" t="str">
        <f>IFERROR(IF(OR(G33="",N33="SIN"),"--",IF(N33="SUBIR_F",IF(F33="polea",IFERROR(INDEX(CONFIG!$B$25:$B$40,MATCH(G33,CONFIG!$B$25:$B$40,0)+2),IFERROR(INDEX(CONFIG!$B$25:$B$40,MATCH(G33,CONFIG!$B$25:$B$40,0)+1),G33)),G33+5),IF(OR(N33="SUBIR",N33="SUBIR_E"),IF(F33="polea",IFERROR(INDEX(CONFIG!$B$25:$B$40,MATCH(G33,CONFIG!$B$25:$B$40,0)+1),G33),G33+2.5),IF(N33="BAJAR",IF(F33="polea",IFERROR(INDEX(CONFIG!$B$25:$B$40,MAX(1,MATCH(G33,CONFIG!$B$25:$B$40,0)-1)),G33),MAX(0,G33-2.5)),G33)))),"--")</f>
        <v>--</v>
      </c>
      <c r="L33" s="59" t="str">
        <f>IFERROR(IF(N33="SIN","--",IF(N33="MANT",IF(H33="","--",H33+1),IFERROR(VLOOKUP(CONFIG!$E$2,CONFIG!$A$6:$E$8,2,0),"--"))),"--")</f>
        <v>--</v>
      </c>
      <c r="M33" s="59" t="str">
        <f>IFERROR(IF(N33="SIN","--",IF(CONFIG!$E$2="HIP",2,IF(CONFIG!$E$2="FUE",1,2))),"--")</f>
        <v>--</v>
      </c>
      <c r="N33" s="53" t="str">
        <f>IFERROR(IF(G33="","SIN",IF(O33=1,"SUBIR_E",IF(H33&lt;IFERROR(VLOOKUP(CONFIG!$E$2,CONFIG!$A$6:$E$8,2,0),6),"BAJAR",IF(H33+I33&gt;=IFERROR(VLOOKUP(CONFIG!$E$2,CONFIG!$A$6:$E$8,3,0),12),"SUBIR_F",IF(AND(H33&gt;=IFERROR(VLOOKUP(CONFIG!$E$2,CONFIG!$A$6:$E$8,2,0),6)+2,I33&gt;=2),"SUBIR",IF(I33&gt;IFERROR(VLOOKUP(CONFIG!$E$2,CONFIG!$A$6:$E$8,5,0),3),"SUBIR","MANT")))))),"SIN")</f>
        <v>SIN</v>
      </c>
      <c r="O33" s="55">
        <f>IF(COUNTIFS(HISTORIAL!$O$3:$O$31,D33&amp;"|"&amp;E33,HISTORIAL!$F$3:$F$31,"&gt;0")&lt;2,0,IF(COUNTIFS(HISTORIAL!$O$3:$O$31,D33&amp;"|"&amp;E33,HISTORIAL!$F$3:$F$31,IFERROR(LOOKUP(2,1/((HISTORIAL!$O$3:$O$31=D33&amp;"|"&amp;E33)*(HISTORIAL!$F$3:$F$31&gt;0)),HISTORIAL!$F$3:$F$31),0))&gt;=2,IF(IFERROR(LOOKUP(2,1/((HISTORIAL!$O$3:$O$31=D33&amp;"|"&amp;E33)*(HISTORIAL!$F$3:$F$31&gt;0)),HISTORIAL!$G$3:$G$31),0)&gt;0,IF(F33&gt;0,IF(G33&lt;=IFERROR(LOOKUP(2,1/((HISTORIAL!$O$3:$O$31=D33&amp;"|"&amp;E33)*(HISTORIAL!$F$3:$F$31&gt;0)),HISTORIAL!$G$3:$G$31),0),1,0),0),0),0))</f>
        <v>0</v>
      </c>
    </row>
    <row r="34" spans="1:15" ht="14.1" customHeight="1">
      <c r="A34" s="37">
        <v>1</v>
      </c>
      <c r="B34" s="37" t="s">
        <v>279</v>
      </c>
      <c r="C34" s="37">
        <v>9</v>
      </c>
      <c r="D34" s="56" t="str">
        <f>MIERCOLES!$A$22</f>
        <v>Elevacion Gemelo</v>
      </c>
      <c r="E34" s="57" t="str">
        <f>MIERCOLES!$B$22</f>
        <v>De Pie</v>
      </c>
      <c r="F34" s="37" t="str">
        <f>MIERCOLES!$C$22</f>
        <v>disco</v>
      </c>
      <c r="G34" s="37" t="str">
        <f>IFERROR(LOOKUP(2,1/((HISTORIAL!$O$3:$O$32=D34&amp;"|"&amp;E34)*(HISTORIAL!$F$3:$F$32&lt;&gt;"")),HISTORIAL!$F$3:$F$32),"")</f>
        <v/>
      </c>
      <c r="H34" s="37" t="str">
        <f>IFERROR(LOOKUP(2,1/((HISTORIAL!$O$3:$O$32=D34&amp;"|"&amp;E34)*(HISTORIAL!$F$3:$F$32&lt;&gt;"")),HISTORIAL!$G$3:$G$32),"")</f>
        <v/>
      </c>
      <c r="I34" s="37" t="str">
        <f>IFERROR(LOOKUP(2,1/((HISTORIAL!$O$3:$O$32=D34&amp;"|"&amp;E34)*(HISTORIAL!$F$3:$F$32&lt;&gt;"")),HISTORIAL!$H$3:$H$32),"")</f>
        <v/>
      </c>
      <c r="J34" s="37" t="str">
        <f>IFERROR(LOOKUP(2,1/((HISTORIAL!$O$3:$O$32=D34&amp;"|"&amp;E34)*(HISTORIAL!$F$3:$F$32&lt;&gt;"")),HISTORIAL!$I$3:$I$32),"")</f>
        <v/>
      </c>
      <c r="K34" s="58" t="str">
        <f>IFERROR(IF(OR(G34="",N34="SIN"),"--",IF(N34="SUBIR_F",IF(F34="polea",IFERROR(INDEX(CONFIG!$B$25:$B$40,MATCH(G34,CONFIG!$B$25:$B$40,0)+2),IFERROR(INDEX(CONFIG!$B$25:$B$40,MATCH(G34,CONFIG!$B$25:$B$40,0)+1),G34)),G34+5),IF(OR(N34="SUBIR",N34="SUBIR_E"),IF(F34="polea",IFERROR(INDEX(CONFIG!$B$25:$B$40,MATCH(G34,CONFIG!$B$25:$B$40,0)+1),G34),G34+2.5),IF(N34="BAJAR",IF(F34="polea",IFERROR(INDEX(CONFIG!$B$25:$B$40,MAX(1,MATCH(G34,CONFIG!$B$25:$B$40,0)-1)),G34),MAX(0,G34-2.5)),G34)))),"--")</f>
        <v>--</v>
      </c>
      <c r="L34" s="59" t="str">
        <f>IFERROR(IF(N34="SIN","--",IF(N34="MANT",IF(H34="","--",H34+1),IFERROR(VLOOKUP(CONFIG!$E$2,CONFIG!$A$6:$E$8,2,0),"--"))),"--")</f>
        <v>--</v>
      </c>
      <c r="M34" s="59" t="str">
        <f>IFERROR(IF(N34="SIN","--",IF(CONFIG!$E$2="HIP",2,IF(CONFIG!$E$2="FUE",1,2))),"--")</f>
        <v>--</v>
      </c>
      <c r="N34" s="53" t="str">
        <f>IFERROR(IF(G34="","SIN",IF(O34=1,"SUBIR_E",IF(H34&lt;IFERROR(VLOOKUP(CONFIG!$E$2,CONFIG!$A$6:$E$8,2,0),6),"BAJAR",IF(H34+I34&gt;=IFERROR(VLOOKUP(CONFIG!$E$2,CONFIG!$A$6:$E$8,3,0),12),"SUBIR_F",IF(AND(H34&gt;=IFERROR(VLOOKUP(CONFIG!$E$2,CONFIG!$A$6:$E$8,2,0),6)+2,I34&gt;=2),"SUBIR",IF(I34&gt;IFERROR(VLOOKUP(CONFIG!$E$2,CONFIG!$A$6:$E$8,5,0),3),"SUBIR","MANT")))))),"SIN")</f>
        <v>SIN</v>
      </c>
      <c r="O34" s="55">
        <f>IF(COUNTIFS(HISTORIAL!$O$3:$O$32,D34&amp;"|"&amp;E34,HISTORIAL!$F$3:$F$32,"&gt;0")&lt;2,0,IF(COUNTIFS(HISTORIAL!$O$3:$O$32,D34&amp;"|"&amp;E34,HISTORIAL!$F$3:$F$32,IFERROR(LOOKUP(2,1/((HISTORIAL!$O$3:$O$32=D34&amp;"|"&amp;E34)*(HISTORIAL!$F$3:$F$32&gt;0)),HISTORIAL!$F$3:$F$32),0))&gt;=2,IF(IFERROR(LOOKUP(2,1/((HISTORIAL!$O$3:$O$32=D34&amp;"|"&amp;E34)*(HISTORIAL!$F$3:$F$32&gt;0)),HISTORIAL!$G$3:$G$32),0)&gt;0,IF(F34&gt;0,IF(G34&lt;=IFERROR(LOOKUP(2,1/((HISTORIAL!$O$3:$O$32=D34&amp;"|"&amp;E34)*(HISTORIAL!$F$3:$F$32&gt;0)),HISTORIAL!$G$3:$G$32),0),1,0),0),0),0))</f>
        <v>0</v>
      </c>
    </row>
    <row r="35" spans="1:15" ht="14.1" customHeight="1">
      <c r="A35" s="37">
        <v>1</v>
      </c>
      <c r="B35" s="37" t="s">
        <v>279</v>
      </c>
      <c r="C35" s="37">
        <v>10</v>
      </c>
      <c r="D35" s="56" t="str">
        <f>MIERCOLES!$A$24</f>
        <v>Hiperextension</v>
      </c>
      <c r="E35" s="57" t="str">
        <f>MIERCOLES!$B$24</f>
        <v>Banco Romano</v>
      </c>
      <c r="F35" s="37" t="str">
        <f>MIERCOLES!$C$24</f>
        <v>peso_corporal</v>
      </c>
      <c r="G35" s="37" t="str">
        <f>IFERROR(LOOKUP(2,1/((HISTORIAL!$O$3:$O$33=D35&amp;"|"&amp;E35)*(HISTORIAL!$F$3:$F$33&lt;&gt;"")),HISTORIAL!$F$3:$F$33),"")</f>
        <v/>
      </c>
      <c r="H35" s="37" t="str">
        <f>IFERROR(LOOKUP(2,1/((HISTORIAL!$O$3:$O$33=D35&amp;"|"&amp;E35)*(HISTORIAL!$F$3:$F$33&lt;&gt;"")),HISTORIAL!$G$3:$G$33),"")</f>
        <v/>
      </c>
      <c r="I35" s="37" t="str">
        <f>IFERROR(LOOKUP(2,1/((HISTORIAL!$O$3:$O$33=D35&amp;"|"&amp;E35)*(HISTORIAL!$F$3:$F$33&lt;&gt;"")),HISTORIAL!$H$3:$H$33),"")</f>
        <v/>
      </c>
      <c r="J35" s="37" t="str">
        <f>IFERROR(LOOKUP(2,1/((HISTORIAL!$O$3:$O$33=D35&amp;"|"&amp;E35)*(HISTORIAL!$F$3:$F$33&lt;&gt;"")),HISTORIAL!$I$3:$I$33),"")</f>
        <v/>
      </c>
      <c r="K35" s="58" t="str">
        <f>IFERROR(IF(OR(G35="",N35="SIN"),"--",IF(N35="SUBIR_F",IF(F35="polea",IFERROR(INDEX(CONFIG!$B$25:$B$40,MATCH(G35,CONFIG!$B$25:$B$40,0)+2),IFERROR(INDEX(CONFIG!$B$25:$B$40,MATCH(G35,CONFIG!$B$25:$B$40,0)+1),G35)),G35+5),IF(OR(N35="SUBIR",N35="SUBIR_E"),IF(F35="polea",IFERROR(INDEX(CONFIG!$B$25:$B$40,MATCH(G35,CONFIG!$B$25:$B$40,0)+1),G35),G35+2.5),IF(N35="BAJAR",IF(F35="polea",IFERROR(INDEX(CONFIG!$B$25:$B$40,MAX(1,MATCH(G35,CONFIG!$B$25:$B$40,0)-1)),G35),MAX(0,G35-2.5)),G35)))),"--")</f>
        <v>--</v>
      </c>
      <c r="L35" s="59" t="str">
        <f>IFERROR(IF(N35="SIN","--",IF(N35="MANT",IF(H35="","--",H35+1),IFERROR(VLOOKUP(CONFIG!$E$2,CONFIG!$A$6:$E$8,2,0),"--"))),"--")</f>
        <v>--</v>
      </c>
      <c r="M35" s="59" t="str">
        <f>IFERROR(IF(N35="SIN","--",IF(CONFIG!$E$2="HIP",2,IF(CONFIG!$E$2="FUE",1,2))),"--")</f>
        <v>--</v>
      </c>
      <c r="N35" s="53" t="str">
        <f>IFERROR(IF(G35="","SIN",IF(O35=1,"SUBIR_E",IF(H35&lt;IFERROR(VLOOKUP(CONFIG!$E$2,CONFIG!$A$6:$E$8,2,0),6),"BAJAR",IF(H35+I35&gt;=IFERROR(VLOOKUP(CONFIG!$E$2,CONFIG!$A$6:$E$8,3,0),12),"SUBIR_F",IF(AND(H35&gt;=IFERROR(VLOOKUP(CONFIG!$E$2,CONFIG!$A$6:$E$8,2,0),6)+2,I35&gt;=2),"SUBIR",IF(I35&gt;IFERROR(VLOOKUP(CONFIG!$E$2,CONFIG!$A$6:$E$8,5,0),3),"SUBIR","MANT")))))),"SIN")</f>
        <v>SIN</v>
      </c>
      <c r="O35" s="55">
        <f>IF(COUNTIFS(HISTORIAL!$O$3:$O$33,D35&amp;"|"&amp;E35,HISTORIAL!$F$3:$F$33,"&gt;0")&lt;2,0,IF(COUNTIFS(HISTORIAL!$O$3:$O$33,D35&amp;"|"&amp;E35,HISTORIAL!$F$3:$F$33,IFERROR(LOOKUP(2,1/((HISTORIAL!$O$3:$O$33=D35&amp;"|"&amp;E35)*(HISTORIAL!$F$3:$F$33&gt;0)),HISTORIAL!$F$3:$F$33),0))&gt;=2,IF(IFERROR(LOOKUP(2,1/((HISTORIAL!$O$3:$O$33=D35&amp;"|"&amp;E35)*(HISTORIAL!$F$3:$F$33&gt;0)),HISTORIAL!$G$3:$G$33),0)&gt;0,IF(F35&gt;0,IF(G35&lt;=IFERROR(LOOKUP(2,1/((HISTORIAL!$O$3:$O$33=D35&amp;"|"&amp;E35)*(HISTORIAL!$F$3:$F$33&gt;0)),HISTORIAL!$G$3:$G$33),0),1,0),0),0),0))</f>
        <v>0</v>
      </c>
    </row>
    <row r="36" spans="1:15" ht="14.1" customHeight="1">
      <c r="A36" s="37">
        <v>1</v>
      </c>
      <c r="B36" s="37" t="s">
        <v>279</v>
      </c>
      <c r="C36" s="37">
        <v>11</v>
      </c>
      <c r="D36" s="56" t="str">
        <f>MIERCOLES!$A$25</f>
        <v>Peso Muerto Parcial</v>
      </c>
      <c r="E36" s="57" t="str">
        <f>MIERCOLES!$B$25</f>
        <v>Barra</v>
      </c>
      <c r="F36" s="37" t="str">
        <f>MIERCOLES!$C$25</f>
        <v>disco</v>
      </c>
      <c r="G36" s="37" t="str">
        <f>IFERROR(LOOKUP(2,1/((HISTORIAL!$O$3:$O$34=D36&amp;"|"&amp;E36)*(HISTORIAL!$F$3:$F$34&lt;&gt;"")),HISTORIAL!$F$3:$F$34),"")</f>
        <v/>
      </c>
      <c r="H36" s="37" t="str">
        <f>IFERROR(LOOKUP(2,1/((HISTORIAL!$O$3:$O$34=D36&amp;"|"&amp;E36)*(HISTORIAL!$F$3:$F$34&lt;&gt;"")),HISTORIAL!$G$3:$G$34),"")</f>
        <v/>
      </c>
      <c r="I36" s="37" t="str">
        <f>IFERROR(LOOKUP(2,1/((HISTORIAL!$O$3:$O$34=D36&amp;"|"&amp;E36)*(HISTORIAL!$F$3:$F$34&lt;&gt;"")),HISTORIAL!$H$3:$H$34),"")</f>
        <v/>
      </c>
      <c r="J36" s="37" t="str">
        <f>IFERROR(LOOKUP(2,1/((HISTORIAL!$O$3:$O$34=D36&amp;"|"&amp;E36)*(HISTORIAL!$F$3:$F$34&lt;&gt;"")),HISTORIAL!$I$3:$I$34),"")</f>
        <v/>
      </c>
      <c r="K36" s="58" t="str">
        <f>IFERROR(IF(OR(G36="",N36="SIN"),"--",IF(N36="SUBIR_F",IF(F36="polea",IFERROR(INDEX(CONFIG!$B$25:$B$40,MATCH(G36,CONFIG!$B$25:$B$40,0)+2),IFERROR(INDEX(CONFIG!$B$25:$B$40,MATCH(G36,CONFIG!$B$25:$B$40,0)+1),G36)),G36+5),IF(OR(N36="SUBIR",N36="SUBIR_E"),IF(F36="polea",IFERROR(INDEX(CONFIG!$B$25:$B$40,MATCH(G36,CONFIG!$B$25:$B$40,0)+1),G36),G36+2.5),IF(N36="BAJAR",IF(F36="polea",IFERROR(INDEX(CONFIG!$B$25:$B$40,MAX(1,MATCH(G36,CONFIG!$B$25:$B$40,0)-1)),G36),MAX(0,G36-2.5)),G36)))),"--")</f>
        <v>--</v>
      </c>
      <c r="L36" s="59" t="str">
        <f>IFERROR(IF(N36="SIN","--",IF(N36="MANT",IF(H36="","--",H36+1),IFERROR(VLOOKUP(CONFIG!$E$2,CONFIG!$A$6:$E$8,2,0),"--"))),"--")</f>
        <v>--</v>
      </c>
      <c r="M36" s="59" t="str">
        <f>IFERROR(IF(N36="SIN","--",IF(CONFIG!$E$2="HIP",2,IF(CONFIG!$E$2="FUE",1,2))),"--")</f>
        <v>--</v>
      </c>
      <c r="N36" s="53" t="str">
        <f>IFERROR(IF(G36="","SIN",IF(O36=1,"SUBIR_E",IF(H36&lt;IFERROR(VLOOKUP(CONFIG!$E$2,CONFIG!$A$6:$E$8,2,0),6),"BAJAR",IF(H36+I36&gt;=IFERROR(VLOOKUP(CONFIG!$E$2,CONFIG!$A$6:$E$8,3,0),12),"SUBIR_F",IF(AND(H36&gt;=IFERROR(VLOOKUP(CONFIG!$E$2,CONFIG!$A$6:$E$8,2,0),6)+2,I36&gt;=2),"SUBIR",IF(I36&gt;IFERROR(VLOOKUP(CONFIG!$E$2,CONFIG!$A$6:$E$8,5,0),3),"SUBIR","MANT")))))),"SIN")</f>
        <v>SIN</v>
      </c>
      <c r="O36" s="55">
        <f>IF(COUNTIFS(HISTORIAL!$O$3:$O$34,D36&amp;"|"&amp;E36,HISTORIAL!$F$3:$F$34,"&gt;0")&lt;2,0,IF(COUNTIFS(HISTORIAL!$O$3:$O$34,D36&amp;"|"&amp;E36,HISTORIAL!$F$3:$F$34,IFERROR(LOOKUP(2,1/((HISTORIAL!$O$3:$O$34=D36&amp;"|"&amp;E36)*(HISTORIAL!$F$3:$F$34&gt;0)),HISTORIAL!$F$3:$F$34),0))&gt;=2,IF(IFERROR(LOOKUP(2,1/((HISTORIAL!$O$3:$O$34=D36&amp;"|"&amp;E36)*(HISTORIAL!$F$3:$F$34&gt;0)),HISTORIAL!$G$3:$G$34),0)&gt;0,IF(F36&gt;0,IF(G36&lt;=IFERROR(LOOKUP(2,1/((HISTORIAL!$O$3:$O$34=D36&amp;"|"&amp;E36)*(HISTORIAL!$F$3:$F$34&gt;0)),HISTORIAL!$G$3:$G$34),0),1,0),0),0),0))</f>
        <v>0</v>
      </c>
    </row>
    <row r="37" spans="1:15" ht="14.1" customHeight="1">
      <c r="A37" s="37">
        <v>1</v>
      </c>
      <c r="B37" s="37" t="s">
        <v>279</v>
      </c>
      <c r="C37" s="37">
        <v>12</v>
      </c>
      <c r="D37" s="56" t="str">
        <f>MIERCOLES!$A$27</f>
        <v>Crunch</v>
      </c>
      <c r="E37" s="57" t="str">
        <f>MIERCOLES!$B$27</f>
        <v>Polea</v>
      </c>
      <c r="F37" s="37" t="str">
        <f>MIERCOLES!$C$27</f>
        <v>polea</v>
      </c>
      <c r="G37" s="37" t="str">
        <f>IFERROR(LOOKUP(2,1/((HISTORIAL!$O$3:$O$35=D37&amp;"|"&amp;E37)*(HISTORIAL!$F$3:$F$35&lt;&gt;"")),HISTORIAL!$F$3:$F$35),"")</f>
        <v/>
      </c>
      <c r="H37" s="37" t="str">
        <f>IFERROR(LOOKUP(2,1/((HISTORIAL!$O$3:$O$35=D37&amp;"|"&amp;E37)*(HISTORIAL!$F$3:$F$35&lt;&gt;"")),HISTORIAL!$G$3:$G$35),"")</f>
        <v/>
      </c>
      <c r="I37" s="37" t="str">
        <f>IFERROR(LOOKUP(2,1/((HISTORIAL!$O$3:$O$35=D37&amp;"|"&amp;E37)*(HISTORIAL!$F$3:$F$35&lt;&gt;"")),HISTORIAL!$H$3:$H$35),"")</f>
        <v/>
      </c>
      <c r="J37" s="37" t="str">
        <f>IFERROR(LOOKUP(2,1/((HISTORIAL!$O$3:$O$35=D37&amp;"|"&amp;E37)*(HISTORIAL!$F$3:$F$35&lt;&gt;"")),HISTORIAL!$I$3:$I$35),"")</f>
        <v/>
      </c>
      <c r="K37" s="58" t="str">
        <f>IFERROR(IF(OR(G37="",N37="SIN"),"--",IF(N37="SUBIR_F",IF(F37="polea",IFERROR(INDEX(CONFIG!$B$25:$B$40,MATCH(G37,CONFIG!$B$25:$B$40,0)+2),IFERROR(INDEX(CONFIG!$B$25:$B$40,MATCH(G37,CONFIG!$B$25:$B$40,0)+1),G37)),G37+5),IF(OR(N37="SUBIR",N37="SUBIR_E"),IF(F37="polea",IFERROR(INDEX(CONFIG!$B$25:$B$40,MATCH(G37,CONFIG!$B$25:$B$40,0)+1),G37),G37+2.5),IF(N37="BAJAR",IF(F37="polea",IFERROR(INDEX(CONFIG!$B$25:$B$40,MAX(1,MATCH(G37,CONFIG!$B$25:$B$40,0)-1)),G37),MAX(0,G37-2.5)),G37)))),"--")</f>
        <v>--</v>
      </c>
      <c r="L37" s="59" t="str">
        <f>IFERROR(IF(N37="SIN","--",IF(N37="MANT",IF(H37="","--",H37+1),IFERROR(VLOOKUP(CONFIG!$E$2,CONFIG!$A$6:$E$8,2,0),"--"))),"--")</f>
        <v>--</v>
      </c>
      <c r="M37" s="59" t="str">
        <f>IFERROR(IF(N37="SIN","--",IF(CONFIG!$E$2="HIP",2,IF(CONFIG!$E$2="FUE",1,2))),"--")</f>
        <v>--</v>
      </c>
      <c r="N37" s="53" t="str">
        <f>IFERROR(IF(G37="","SIN",IF(O37=1,"SUBIR_E",IF(H37&lt;IFERROR(VLOOKUP(CONFIG!$E$2,CONFIG!$A$6:$E$8,2,0),6),"BAJAR",IF(H37+I37&gt;=IFERROR(VLOOKUP(CONFIG!$E$2,CONFIG!$A$6:$E$8,3,0),12),"SUBIR_F",IF(AND(H37&gt;=IFERROR(VLOOKUP(CONFIG!$E$2,CONFIG!$A$6:$E$8,2,0),6)+2,I37&gt;=2),"SUBIR",IF(I37&gt;IFERROR(VLOOKUP(CONFIG!$E$2,CONFIG!$A$6:$E$8,5,0),3),"SUBIR","MANT")))))),"SIN")</f>
        <v>SIN</v>
      </c>
      <c r="O37" s="55">
        <f>IF(COUNTIFS(HISTORIAL!$O$3:$O$35,D37&amp;"|"&amp;E37,HISTORIAL!$F$3:$F$35,"&gt;0")&lt;2,0,IF(COUNTIFS(HISTORIAL!$O$3:$O$35,D37&amp;"|"&amp;E37,HISTORIAL!$F$3:$F$35,IFERROR(LOOKUP(2,1/((HISTORIAL!$O$3:$O$35=D37&amp;"|"&amp;E37)*(HISTORIAL!$F$3:$F$35&gt;0)),HISTORIAL!$F$3:$F$35),0))&gt;=2,IF(IFERROR(LOOKUP(2,1/((HISTORIAL!$O$3:$O$35=D37&amp;"|"&amp;E37)*(HISTORIAL!$F$3:$F$35&gt;0)),HISTORIAL!$G$3:$G$35),0)&gt;0,IF(F37&gt;0,IF(G37&lt;=IFERROR(LOOKUP(2,1/((HISTORIAL!$O$3:$O$35=D37&amp;"|"&amp;E37)*(HISTORIAL!$F$3:$F$35&gt;0)),HISTORIAL!$G$3:$G$35),0),1,0),0),0),0))</f>
        <v>0</v>
      </c>
    </row>
    <row r="38" spans="1:15" ht="14.1" customHeight="1">
      <c r="A38" s="37">
        <v>1</v>
      </c>
      <c r="B38" s="37" t="s">
        <v>279</v>
      </c>
      <c r="C38" s="37">
        <v>13</v>
      </c>
      <c r="D38" s="56" t="str">
        <f>MIERCOLES!$A$28</f>
        <v>Plancha</v>
      </c>
      <c r="E38" s="57" t="str">
        <f>MIERCOLES!$B$28</f>
        <v>Tumbado</v>
      </c>
      <c r="F38" s="37" t="str">
        <f>MIERCOLES!$C$28</f>
        <v>--</v>
      </c>
      <c r="G38" s="37" t="str">
        <f>IFERROR(LOOKUP(2,1/((HISTORIAL!$O$3:$O$36=D38&amp;"|"&amp;E38)*(HISTORIAL!$F$3:$F$36&lt;&gt;"")),HISTORIAL!$F$3:$F$36),"")</f>
        <v/>
      </c>
      <c r="H38" s="37" t="str">
        <f>IFERROR(LOOKUP(2,1/((HISTORIAL!$O$3:$O$36=D38&amp;"|"&amp;E38)*(HISTORIAL!$F$3:$F$36&lt;&gt;"")),HISTORIAL!$G$3:$G$36),"")</f>
        <v/>
      </c>
      <c r="I38" s="37" t="str">
        <f>IFERROR(LOOKUP(2,1/((HISTORIAL!$O$3:$O$36=D38&amp;"|"&amp;E38)*(HISTORIAL!$F$3:$F$36&lt;&gt;"")),HISTORIAL!$H$3:$H$36),"")</f>
        <v/>
      </c>
      <c r="J38" s="37" t="str">
        <f>IFERROR(LOOKUP(2,1/((HISTORIAL!$O$3:$O$36=D38&amp;"|"&amp;E38)*(HISTORIAL!$F$3:$F$36&lt;&gt;"")),HISTORIAL!$I$3:$I$36),"")</f>
        <v/>
      </c>
      <c r="K38" s="58" t="str">
        <f>IFERROR(IF(OR(G38="",N38="SIN"),"--",IF(N38="SUBIR_F",IF(F38="polea",IFERROR(INDEX(CONFIG!$B$25:$B$40,MATCH(G38,CONFIG!$B$25:$B$40,0)+2),IFERROR(INDEX(CONFIG!$B$25:$B$40,MATCH(G38,CONFIG!$B$25:$B$40,0)+1),G38)),G38+5),IF(OR(N38="SUBIR",N38="SUBIR_E"),IF(F38="polea",IFERROR(INDEX(CONFIG!$B$25:$B$40,MATCH(G38,CONFIG!$B$25:$B$40,0)+1),G38),G38+2.5),IF(N38="BAJAR",IF(F38="polea",IFERROR(INDEX(CONFIG!$B$25:$B$40,MAX(1,MATCH(G38,CONFIG!$B$25:$B$40,0)-1)),G38),MAX(0,G38-2.5)),G38)))),"--")</f>
        <v>--</v>
      </c>
      <c r="L38" s="59" t="str">
        <f>IFERROR(IF(N38="SIN","--",IF(N38="MANT",IF(H38="","--",H38+1),IFERROR(VLOOKUP(CONFIG!$E$2,CONFIG!$A$6:$E$8,2,0),"--"))),"--")</f>
        <v>--</v>
      </c>
      <c r="M38" s="59" t="str">
        <f>IFERROR(IF(N38="SIN","--",IF(CONFIG!$E$2="HIP",2,IF(CONFIG!$E$2="FUE",1,2))),"--")</f>
        <v>--</v>
      </c>
      <c r="N38" s="53" t="str">
        <f>IFERROR(IF(G38="","SIN",IF(O38=1,"SUBIR_E",IF(H38&lt;IFERROR(VLOOKUP(CONFIG!$E$2,CONFIG!$A$6:$E$8,2,0),6),"BAJAR",IF(H38+I38&gt;=IFERROR(VLOOKUP(CONFIG!$E$2,CONFIG!$A$6:$E$8,3,0),12),"SUBIR_F",IF(AND(H38&gt;=IFERROR(VLOOKUP(CONFIG!$E$2,CONFIG!$A$6:$E$8,2,0),6)+2,I38&gt;=2),"SUBIR",IF(I38&gt;IFERROR(VLOOKUP(CONFIG!$E$2,CONFIG!$A$6:$E$8,5,0),3),"SUBIR","MANT")))))),"SIN")</f>
        <v>SIN</v>
      </c>
      <c r="O38" s="55">
        <f>IF(COUNTIFS(HISTORIAL!$O$3:$O$36,D38&amp;"|"&amp;E38,HISTORIAL!$F$3:$F$36,"&gt;0")&lt;2,0,IF(COUNTIFS(HISTORIAL!$O$3:$O$36,D38&amp;"|"&amp;E38,HISTORIAL!$F$3:$F$36,IFERROR(LOOKUP(2,1/((HISTORIAL!$O$3:$O$36=D38&amp;"|"&amp;E38)*(HISTORIAL!$F$3:$F$36&gt;0)),HISTORIAL!$F$3:$F$36),0))&gt;=2,IF(IFERROR(LOOKUP(2,1/((HISTORIAL!$O$3:$O$36=D38&amp;"|"&amp;E38)*(HISTORIAL!$F$3:$F$36&gt;0)),HISTORIAL!$G$3:$G$36),0)&gt;0,IF(F38&gt;0,IF(G38&lt;=IFERROR(LOOKUP(2,1/((HISTORIAL!$O$3:$O$36=D38&amp;"|"&amp;E38)*(HISTORIAL!$F$3:$F$36&gt;0)),HISTORIAL!$G$3:$G$36),0),1,0),0),0),0))</f>
        <v>0</v>
      </c>
    </row>
    <row r="39" spans="1:15" ht="14.1" customHeight="1">
      <c r="A39" s="37">
        <v>1</v>
      </c>
      <c r="B39" s="37" t="s">
        <v>279</v>
      </c>
      <c r="C39" s="37">
        <v>14</v>
      </c>
      <c r="D39" s="56" t="str">
        <f>MIERCOLES!$A$29</f>
        <v>Rueda Abdominal</v>
      </c>
      <c r="E39" s="57" t="str">
        <f>MIERCOLES!$B$29</f>
        <v>Ab Wheel</v>
      </c>
      <c r="F39" s="37" t="str">
        <f>MIERCOLES!$C$29</f>
        <v>--</v>
      </c>
      <c r="G39" s="37" t="str">
        <f>IFERROR(LOOKUP(2,1/((HISTORIAL!$O$3:$O$37=D39&amp;"|"&amp;E39)*(HISTORIAL!$F$3:$F$37&lt;&gt;"")),HISTORIAL!$F$3:$F$37),"")</f>
        <v/>
      </c>
      <c r="H39" s="37" t="str">
        <f>IFERROR(LOOKUP(2,1/((HISTORIAL!$O$3:$O$37=D39&amp;"|"&amp;E39)*(HISTORIAL!$F$3:$F$37&lt;&gt;"")),HISTORIAL!$G$3:$G$37),"")</f>
        <v/>
      </c>
      <c r="I39" s="37" t="str">
        <f>IFERROR(LOOKUP(2,1/((HISTORIAL!$O$3:$O$37=D39&amp;"|"&amp;E39)*(HISTORIAL!$F$3:$F$37&lt;&gt;"")),HISTORIAL!$H$3:$H$37),"")</f>
        <v/>
      </c>
      <c r="J39" s="37" t="str">
        <f>IFERROR(LOOKUP(2,1/((HISTORIAL!$O$3:$O$37=D39&amp;"|"&amp;E39)*(HISTORIAL!$F$3:$F$37&lt;&gt;"")),HISTORIAL!$I$3:$I$37),"")</f>
        <v/>
      </c>
      <c r="K39" s="58" t="str">
        <f>IFERROR(IF(OR(G39="",N39="SIN"),"--",IF(N39="SUBIR_F",IF(F39="polea",IFERROR(INDEX(CONFIG!$B$25:$B$40,MATCH(G39,CONFIG!$B$25:$B$40,0)+2),IFERROR(INDEX(CONFIG!$B$25:$B$40,MATCH(G39,CONFIG!$B$25:$B$40,0)+1),G39)),G39+5),IF(OR(N39="SUBIR",N39="SUBIR_E"),IF(F39="polea",IFERROR(INDEX(CONFIG!$B$25:$B$40,MATCH(G39,CONFIG!$B$25:$B$40,0)+1),G39),G39+2.5),IF(N39="BAJAR",IF(F39="polea",IFERROR(INDEX(CONFIG!$B$25:$B$40,MAX(1,MATCH(G39,CONFIG!$B$25:$B$40,0)-1)),G39),MAX(0,G39-2.5)),G39)))),"--")</f>
        <v>--</v>
      </c>
      <c r="L39" s="59" t="str">
        <f>IFERROR(IF(N39="SIN","--",IF(N39="MANT",IF(H39="","--",H39+1),IFERROR(VLOOKUP(CONFIG!$E$2,CONFIG!$A$6:$E$8,2,0),"--"))),"--")</f>
        <v>--</v>
      </c>
      <c r="M39" s="59" t="str">
        <f>IFERROR(IF(N39="SIN","--",IF(CONFIG!$E$2="HIP",2,IF(CONFIG!$E$2="FUE",1,2))),"--")</f>
        <v>--</v>
      </c>
      <c r="N39" s="53" t="str">
        <f>IFERROR(IF(G39="","SIN",IF(O39=1,"SUBIR_E",IF(H39&lt;IFERROR(VLOOKUP(CONFIG!$E$2,CONFIG!$A$6:$E$8,2,0),6),"BAJAR",IF(H39+I39&gt;=IFERROR(VLOOKUP(CONFIG!$E$2,CONFIG!$A$6:$E$8,3,0),12),"SUBIR_F",IF(AND(H39&gt;=IFERROR(VLOOKUP(CONFIG!$E$2,CONFIG!$A$6:$E$8,2,0),6)+2,I39&gt;=2),"SUBIR",IF(I39&gt;IFERROR(VLOOKUP(CONFIG!$E$2,CONFIG!$A$6:$E$8,5,0),3),"SUBIR","MANT")))))),"SIN")</f>
        <v>SIN</v>
      </c>
      <c r="O39" s="55">
        <f>IF(COUNTIFS(HISTORIAL!$O$3:$O$37,D39&amp;"|"&amp;E39,HISTORIAL!$F$3:$F$37,"&gt;0")&lt;2,0,IF(COUNTIFS(HISTORIAL!$O$3:$O$37,D39&amp;"|"&amp;E39,HISTORIAL!$F$3:$F$37,IFERROR(LOOKUP(2,1/((HISTORIAL!$O$3:$O$37=D39&amp;"|"&amp;E39)*(HISTORIAL!$F$3:$F$37&gt;0)),HISTORIAL!$F$3:$F$37),0))&gt;=2,IF(IFERROR(LOOKUP(2,1/((HISTORIAL!$O$3:$O$37=D39&amp;"|"&amp;E39)*(HISTORIAL!$F$3:$F$37&gt;0)),HISTORIAL!$G$3:$G$37),0)&gt;0,IF(F39&gt;0,IF(G39&lt;=IFERROR(LOOKUP(2,1/((HISTORIAL!$O$3:$O$37=D39&amp;"|"&amp;E39)*(HISTORIAL!$F$3:$F$37&gt;0)),HISTORIAL!$G$3:$G$37),0),1,0),0),0),0))</f>
        <v>0</v>
      </c>
    </row>
    <row r="40" spans="1:15" ht="14.1" customHeight="1">
      <c r="A40" s="37">
        <v>1</v>
      </c>
      <c r="B40" s="37" t="s">
        <v>279</v>
      </c>
      <c r="C40" s="37">
        <v>15</v>
      </c>
      <c r="D40" s="56" t="str">
        <f>MIERCOLES!$A$30</f>
        <v>Elevacion Piernas</v>
      </c>
      <c r="E40" s="57" t="str">
        <f>MIERCOLES!$B$30</f>
        <v>Colgado</v>
      </c>
      <c r="F40" s="37" t="str">
        <f>MIERCOLES!$C$30</f>
        <v>peso_corporal</v>
      </c>
      <c r="G40" s="37" t="str">
        <f>IFERROR(LOOKUP(2,1/((HISTORIAL!$O$3:$O$38=D40&amp;"|"&amp;E40)*(HISTORIAL!$F$3:$F$38&lt;&gt;"")),HISTORIAL!$F$3:$F$38),"")</f>
        <v/>
      </c>
      <c r="H40" s="37" t="str">
        <f>IFERROR(LOOKUP(2,1/((HISTORIAL!$O$3:$O$38=D40&amp;"|"&amp;E40)*(HISTORIAL!$F$3:$F$38&lt;&gt;"")),HISTORIAL!$G$3:$G$38),"")</f>
        <v/>
      </c>
      <c r="I40" s="37" t="str">
        <f>IFERROR(LOOKUP(2,1/((HISTORIAL!$O$3:$O$38=D40&amp;"|"&amp;E40)*(HISTORIAL!$F$3:$F$38&lt;&gt;"")),HISTORIAL!$H$3:$H$38),"")</f>
        <v/>
      </c>
      <c r="J40" s="37" t="str">
        <f>IFERROR(LOOKUP(2,1/((HISTORIAL!$O$3:$O$38=D40&amp;"|"&amp;E40)*(HISTORIAL!$F$3:$F$38&lt;&gt;"")),HISTORIAL!$I$3:$I$38),"")</f>
        <v/>
      </c>
      <c r="K40" s="58" t="str">
        <f>IFERROR(IF(OR(G40="",N40="SIN"),"--",IF(N40="SUBIR_F",IF(F40="polea",IFERROR(INDEX(CONFIG!$B$25:$B$40,MATCH(G40,CONFIG!$B$25:$B$40,0)+2),IFERROR(INDEX(CONFIG!$B$25:$B$40,MATCH(G40,CONFIG!$B$25:$B$40,0)+1),G40)),G40+5),IF(OR(N40="SUBIR",N40="SUBIR_E"),IF(F40="polea",IFERROR(INDEX(CONFIG!$B$25:$B$40,MATCH(G40,CONFIG!$B$25:$B$40,0)+1),G40),G40+2.5),IF(N40="BAJAR",IF(F40="polea",IFERROR(INDEX(CONFIG!$B$25:$B$40,MAX(1,MATCH(G40,CONFIG!$B$25:$B$40,0)-1)),G40),MAX(0,G40-2.5)),G40)))),"--")</f>
        <v>--</v>
      </c>
      <c r="L40" s="59" t="str">
        <f>IFERROR(IF(N40="SIN","--",IF(N40="MANT",IF(H40="","--",H40+1),IFERROR(VLOOKUP(CONFIG!$E$2,CONFIG!$A$6:$E$8,2,0),"--"))),"--")</f>
        <v>--</v>
      </c>
      <c r="M40" s="59" t="str">
        <f>IFERROR(IF(N40="SIN","--",IF(CONFIG!$E$2="HIP",2,IF(CONFIG!$E$2="FUE",1,2))),"--")</f>
        <v>--</v>
      </c>
      <c r="N40" s="53" t="str">
        <f>IFERROR(IF(G40="","SIN",IF(O40=1,"SUBIR_E",IF(H40&lt;IFERROR(VLOOKUP(CONFIG!$E$2,CONFIG!$A$6:$E$8,2,0),6),"BAJAR",IF(H40+I40&gt;=IFERROR(VLOOKUP(CONFIG!$E$2,CONFIG!$A$6:$E$8,3,0),12),"SUBIR_F",IF(AND(H40&gt;=IFERROR(VLOOKUP(CONFIG!$E$2,CONFIG!$A$6:$E$8,2,0),6)+2,I40&gt;=2),"SUBIR",IF(I40&gt;IFERROR(VLOOKUP(CONFIG!$E$2,CONFIG!$A$6:$E$8,5,0),3),"SUBIR","MANT")))))),"SIN")</f>
        <v>SIN</v>
      </c>
      <c r="O40" s="55">
        <f>IF(COUNTIFS(HISTORIAL!$O$3:$O$38,D40&amp;"|"&amp;E40,HISTORIAL!$F$3:$F$38,"&gt;0")&lt;2,0,IF(COUNTIFS(HISTORIAL!$O$3:$O$38,D40&amp;"|"&amp;E40,HISTORIAL!$F$3:$F$38,IFERROR(LOOKUP(2,1/((HISTORIAL!$O$3:$O$38=D40&amp;"|"&amp;E40)*(HISTORIAL!$F$3:$F$38&gt;0)),HISTORIAL!$F$3:$F$38),0))&gt;=2,IF(IFERROR(LOOKUP(2,1/((HISTORIAL!$O$3:$O$38=D40&amp;"|"&amp;E40)*(HISTORIAL!$F$3:$F$38&gt;0)),HISTORIAL!$G$3:$G$38),0)&gt;0,IF(F40&gt;0,IF(G40&lt;=IFERROR(LOOKUP(2,1/((HISTORIAL!$O$3:$O$38=D40&amp;"|"&amp;E40)*(HISTORIAL!$F$3:$F$38&gt;0)),HISTORIAL!$G$3:$G$38),0),1,0),0),0),0))</f>
        <v>0</v>
      </c>
    </row>
    <row r="41" spans="1:15" ht="14.1" customHeight="1">
      <c r="A41" s="37">
        <v>1</v>
      </c>
      <c r="B41" s="37" t="s">
        <v>280</v>
      </c>
      <c r="C41" s="37">
        <v>1</v>
      </c>
      <c r="D41" s="56" t="str">
        <f>JUEVES!$A$12</f>
        <v>Press Militar</v>
      </c>
      <c r="E41" s="57" t="str">
        <f>JUEVES!$B$12</f>
        <v>Multipower</v>
      </c>
      <c r="F41" s="37" t="str">
        <f>JUEVES!$C$12</f>
        <v>--</v>
      </c>
      <c r="G41" s="37" t="str">
        <f>IFERROR(LOOKUP(2,1/((HISTORIAL!$O$3:$O$39=D41&amp;"|"&amp;E41)*(HISTORIAL!$F$3:$F$39&lt;&gt;"")),HISTORIAL!$F$3:$F$39),"")</f>
        <v/>
      </c>
      <c r="H41" s="37" t="str">
        <f>IFERROR(LOOKUP(2,1/((HISTORIAL!$O$3:$O$39=D41&amp;"|"&amp;E41)*(HISTORIAL!$F$3:$F$39&lt;&gt;"")),HISTORIAL!$G$3:$G$39),"")</f>
        <v/>
      </c>
      <c r="I41" s="37" t="str">
        <f>IFERROR(LOOKUP(2,1/((HISTORIAL!$O$3:$O$39=D41&amp;"|"&amp;E41)*(HISTORIAL!$F$3:$F$39&lt;&gt;"")),HISTORIAL!$H$3:$H$39),"")</f>
        <v/>
      </c>
      <c r="J41" s="37" t="str">
        <f>IFERROR(LOOKUP(2,1/((HISTORIAL!$O$3:$O$39=D41&amp;"|"&amp;E41)*(HISTORIAL!$F$3:$F$39&lt;&gt;"")),HISTORIAL!$I$3:$I$39),"")</f>
        <v/>
      </c>
      <c r="K41" s="58" t="str">
        <f>IFERROR(IF(OR(G41="",N41="SIN"),"--",IF(N41="SUBIR_F",IF(F41="polea",IFERROR(INDEX(CONFIG!$B$25:$B$40,MATCH(G41,CONFIG!$B$25:$B$40,0)+2),IFERROR(INDEX(CONFIG!$B$25:$B$40,MATCH(G41,CONFIG!$B$25:$B$40,0)+1),G41)),G41+5),IF(OR(N41="SUBIR",N41="SUBIR_E"),IF(F41="polea",IFERROR(INDEX(CONFIG!$B$25:$B$40,MATCH(G41,CONFIG!$B$25:$B$40,0)+1),G41),G41+2.5),IF(N41="BAJAR",IF(F41="polea",IFERROR(INDEX(CONFIG!$B$25:$B$40,MAX(1,MATCH(G41,CONFIG!$B$25:$B$40,0)-1)),G41),MAX(0,G41-2.5)),G41)))),"--")</f>
        <v>--</v>
      </c>
      <c r="L41" s="59" t="str">
        <f>IFERROR(IF(N41="SIN","--",IF(N41="MANT",IF(H41="","--",H41+1),IFERROR(VLOOKUP(CONFIG!$E$2,CONFIG!$A$6:$E$8,2,0),"--"))),"--")</f>
        <v>--</v>
      </c>
      <c r="M41" s="59" t="str">
        <f>IFERROR(IF(N41="SIN","--",IF(CONFIG!$E$2="HIP",2,IF(CONFIG!$E$2="FUE",1,2))),"--")</f>
        <v>--</v>
      </c>
      <c r="N41" s="53" t="str">
        <f>IFERROR(IF(G41="","SIN",IF(O41=1,"SUBIR_E",IF(H41&lt;IFERROR(VLOOKUP(CONFIG!$E$2,CONFIG!$A$6:$E$8,2,0),6),"BAJAR",IF(H41+I41&gt;=IFERROR(VLOOKUP(CONFIG!$E$2,CONFIG!$A$6:$E$8,3,0),12),"SUBIR_F",IF(AND(H41&gt;=IFERROR(VLOOKUP(CONFIG!$E$2,CONFIG!$A$6:$E$8,2,0),6)+2,I41&gt;=2),"SUBIR",IF(I41&gt;IFERROR(VLOOKUP(CONFIG!$E$2,CONFIG!$A$6:$E$8,5,0),3),"SUBIR","MANT")))))),"SIN")</f>
        <v>SIN</v>
      </c>
      <c r="O41" s="55">
        <f>IF(COUNTIFS(HISTORIAL!$O$3:$O$39,D41&amp;"|"&amp;E41,HISTORIAL!$F$3:$F$39,"&gt;0")&lt;2,0,IF(COUNTIFS(HISTORIAL!$O$3:$O$39,D41&amp;"|"&amp;E41,HISTORIAL!$F$3:$F$39,IFERROR(LOOKUP(2,1/((HISTORIAL!$O$3:$O$39=D41&amp;"|"&amp;E41)*(HISTORIAL!$F$3:$F$39&gt;0)),HISTORIAL!$F$3:$F$39),0))&gt;=2,IF(IFERROR(LOOKUP(2,1/((HISTORIAL!$O$3:$O$39=D41&amp;"|"&amp;E41)*(HISTORIAL!$F$3:$F$39&gt;0)),HISTORIAL!$G$3:$G$39),0)&gt;0,IF(F41&gt;0,IF(G41&lt;=IFERROR(LOOKUP(2,1/((HISTORIAL!$O$3:$O$39=D41&amp;"|"&amp;E41)*(HISTORIAL!$F$3:$F$39&gt;0)),HISTORIAL!$G$3:$G$39),0),1,0),0),0),0))</f>
        <v>0</v>
      </c>
    </row>
    <row r="42" spans="1:15" ht="14.1" customHeight="1">
      <c r="A42" s="37">
        <v>1</v>
      </c>
      <c r="B42" s="37" t="s">
        <v>280</v>
      </c>
      <c r="C42" s="37">
        <v>2</v>
      </c>
      <c r="D42" s="56" t="str">
        <f>JUEVES!$A$13</f>
        <v>Elevaciones Laterales</v>
      </c>
      <c r="E42" s="57" t="str">
        <f>JUEVES!$B$13</f>
        <v>Drop Set Maquina</v>
      </c>
      <c r="F42" s="37" t="str">
        <f>JUEVES!$C$13</f>
        <v>--</v>
      </c>
      <c r="G42" s="37" t="str">
        <f>IFERROR(LOOKUP(2,1/((HISTORIAL!$O$3:$O$40=D42&amp;"|"&amp;E42)*(HISTORIAL!$F$3:$F$40&lt;&gt;"")),HISTORIAL!$F$3:$F$40),"")</f>
        <v/>
      </c>
      <c r="H42" s="37" t="str">
        <f>IFERROR(LOOKUP(2,1/((HISTORIAL!$O$3:$O$40=D42&amp;"|"&amp;E42)*(HISTORIAL!$F$3:$F$40&lt;&gt;"")),HISTORIAL!$G$3:$G$40),"")</f>
        <v/>
      </c>
      <c r="I42" s="37" t="str">
        <f>IFERROR(LOOKUP(2,1/((HISTORIAL!$O$3:$O$40=D42&amp;"|"&amp;E42)*(HISTORIAL!$F$3:$F$40&lt;&gt;"")),HISTORIAL!$H$3:$H$40),"")</f>
        <v/>
      </c>
      <c r="J42" s="37" t="str">
        <f>IFERROR(LOOKUP(2,1/((HISTORIAL!$O$3:$O$40=D42&amp;"|"&amp;E42)*(HISTORIAL!$F$3:$F$40&lt;&gt;"")),HISTORIAL!$I$3:$I$40),"")</f>
        <v/>
      </c>
      <c r="K42" s="58" t="str">
        <f>IFERROR(IF(OR(G42="",N42="SIN"),"--",IF(N42="SUBIR_F",IF(F42="polea",IFERROR(INDEX(CONFIG!$B$25:$B$40,MATCH(G42,CONFIG!$B$25:$B$40,0)+2),IFERROR(INDEX(CONFIG!$B$25:$B$40,MATCH(G42,CONFIG!$B$25:$B$40,0)+1),G42)),G42+5),IF(OR(N42="SUBIR",N42="SUBIR_E"),IF(F42="polea",IFERROR(INDEX(CONFIG!$B$25:$B$40,MATCH(G42,CONFIG!$B$25:$B$40,0)+1),G42),G42+2.5),IF(N42="BAJAR",IF(F42="polea",IFERROR(INDEX(CONFIG!$B$25:$B$40,MAX(1,MATCH(G42,CONFIG!$B$25:$B$40,0)-1)),G42),MAX(0,G42-2.5)),G42)))),"--")</f>
        <v>--</v>
      </c>
      <c r="L42" s="59" t="str">
        <f>IFERROR(IF(N42="SIN","--",IF(N42="MANT",IF(H42="","--",H42+1),IFERROR(VLOOKUP(CONFIG!$E$2,CONFIG!$A$6:$E$8,2,0),"--"))),"--")</f>
        <v>--</v>
      </c>
      <c r="M42" s="59" t="str">
        <f>IFERROR(IF(N42="SIN","--",IF(CONFIG!$E$2="HIP",2,IF(CONFIG!$E$2="FUE",1,2))),"--")</f>
        <v>--</v>
      </c>
      <c r="N42" s="53" t="str">
        <f>IFERROR(IF(G42="","SIN",IF(O42=1,"SUBIR_E",IF(H42&lt;IFERROR(VLOOKUP(CONFIG!$E$2,CONFIG!$A$6:$E$8,2,0),6),"BAJAR",IF(H42+I42&gt;=IFERROR(VLOOKUP(CONFIG!$E$2,CONFIG!$A$6:$E$8,3,0),12),"SUBIR_F",IF(AND(H42&gt;=IFERROR(VLOOKUP(CONFIG!$E$2,CONFIG!$A$6:$E$8,2,0),6)+2,I42&gt;=2),"SUBIR",IF(I42&gt;IFERROR(VLOOKUP(CONFIG!$E$2,CONFIG!$A$6:$E$8,5,0),3),"SUBIR","MANT")))))),"SIN")</f>
        <v>SIN</v>
      </c>
      <c r="O42" s="55">
        <f>IF(COUNTIFS(HISTORIAL!$O$3:$O$40,D42&amp;"|"&amp;E42,HISTORIAL!$F$3:$F$40,"&gt;0")&lt;2,0,IF(COUNTIFS(HISTORIAL!$O$3:$O$40,D42&amp;"|"&amp;E42,HISTORIAL!$F$3:$F$40,IFERROR(LOOKUP(2,1/((HISTORIAL!$O$3:$O$40=D42&amp;"|"&amp;E42)*(HISTORIAL!$F$3:$F$40&gt;0)),HISTORIAL!$F$3:$F$40),0))&gt;=2,IF(IFERROR(LOOKUP(2,1/((HISTORIAL!$O$3:$O$40=D42&amp;"|"&amp;E42)*(HISTORIAL!$F$3:$F$40&gt;0)),HISTORIAL!$G$3:$G$40),0)&gt;0,IF(F42&gt;0,IF(G42&lt;=IFERROR(LOOKUP(2,1/((HISTORIAL!$O$3:$O$40=D42&amp;"|"&amp;E42)*(HISTORIAL!$F$3:$F$40&gt;0)),HISTORIAL!$G$3:$G$40),0),1,0),0),0),0))</f>
        <v>0</v>
      </c>
    </row>
    <row r="43" spans="1:15" ht="14.1" customHeight="1">
      <c r="A43" s="37">
        <v>1</v>
      </c>
      <c r="B43" s="37" t="s">
        <v>280</v>
      </c>
      <c r="C43" s="37">
        <v>3</v>
      </c>
      <c r="D43" s="56" t="str">
        <f>JUEVES!$A$15</f>
        <v>Pajaro</v>
      </c>
      <c r="E43" s="57" t="str">
        <f>JUEVES!$B$15</f>
        <v>Elevacion Posterior</v>
      </c>
      <c r="F43" s="37" t="str">
        <f>JUEVES!$C$15</f>
        <v>mancuerna</v>
      </c>
      <c r="G43" s="37" t="str">
        <f>IFERROR(LOOKUP(2,1/((HISTORIAL!$O$3:$O$41=D43&amp;"|"&amp;E43)*(HISTORIAL!$F$3:$F$41&lt;&gt;"")),HISTORIAL!$F$3:$F$41),"")</f>
        <v/>
      </c>
      <c r="H43" s="37" t="str">
        <f>IFERROR(LOOKUP(2,1/((HISTORIAL!$O$3:$O$41=D43&amp;"|"&amp;E43)*(HISTORIAL!$F$3:$F$41&lt;&gt;"")),HISTORIAL!$G$3:$G$41),"")</f>
        <v/>
      </c>
      <c r="I43" s="37" t="str">
        <f>IFERROR(LOOKUP(2,1/((HISTORIAL!$O$3:$O$41=D43&amp;"|"&amp;E43)*(HISTORIAL!$F$3:$F$41&lt;&gt;"")),HISTORIAL!$H$3:$H$41),"")</f>
        <v/>
      </c>
      <c r="J43" s="37" t="str">
        <f>IFERROR(LOOKUP(2,1/((HISTORIAL!$O$3:$O$41=D43&amp;"|"&amp;E43)*(HISTORIAL!$F$3:$F$41&lt;&gt;"")),HISTORIAL!$I$3:$I$41),"")</f>
        <v/>
      </c>
      <c r="K43" s="58" t="str">
        <f>IFERROR(IF(OR(G43="",N43="SIN"),"--",IF(N43="SUBIR_F",IF(F43="polea",IFERROR(INDEX(CONFIG!$B$25:$B$40,MATCH(G43,CONFIG!$B$25:$B$40,0)+2),IFERROR(INDEX(CONFIG!$B$25:$B$40,MATCH(G43,CONFIG!$B$25:$B$40,0)+1),G43)),G43+5),IF(OR(N43="SUBIR",N43="SUBIR_E"),IF(F43="polea",IFERROR(INDEX(CONFIG!$B$25:$B$40,MATCH(G43,CONFIG!$B$25:$B$40,0)+1),G43),G43+2.5),IF(N43="BAJAR",IF(F43="polea",IFERROR(INDEX(CONFIG!$B$25:$B$40,MAX(1,MATCH(G43,CONFIG!$B$25:$B$40,0)-1)),G43),MAX(0,G43-2.5)),G43)))),"--")</f>
        <v>--</v>
      </c>
      <c r="L43" s="59" t="str">
        <f>IFERROR(IF(N43="SIN","--",IF(N43="MANT",IF(H43="","--",H43+1),IFERROR(VLOOKUP(CONFIG!$E$2,CONFIG!$A$6:$E$8,2,0),"--"))),"--")</f>
        <v>--</v>
      </c>
      <c r="M43" s="59" t="str">
        <f>IFERROR(IF(N43="SIN","--",IF(CONFIG!$E$2="HIP",2,IF(CONFIG!$E$2="FUE",1,2))),"--")</f>
        <v>--</v>
      </c>
      <c r="N43" s="53" t="str">
        <f>IFERROR(IF(G43="","SIN",IF(O43=1,"SUBIR_E",IF(H43&lt;IFERROR(VLOOKUP(CONFIG!$E$2,CONFIG!$A$6:$E$8,2,0),6),"BAJAR",IF(H43+I43&gt;=IFERROR(VLOOKUP(CONFIG!$E$2,CONFIG!$A$6:$E$8,3,0),12),"SUBIR_F",IF(AND(H43&gt;=IFERROR(VLOOKUP(CONFIG!$E$2,CONFIG!$A$6:$E$8,2,0),6)+2,I43&gt;=2),"SUBIR",IF(I43&gt;IFERROR(VLOOKUP(CONFIG!$E$2,CONFIG!$A$6:$E$8,5,0),3),"SUBIR","MANT")))))),"SIN")</f>
        <v>SIN</v>
      </c>
      <c r="O43" s="55">
        <f>IF(COUNTIFS(HISTORIAL!$O$3:$O$41,D43&amp;"|"&amp;E43,HISTORIAL!$F$3:$F$41,"&gt;0")&lt;2,0,IF(COUNTIFS(HISTORIAL!$O$3:$O$41,D43&amp;"|"&amp;E43,HISTORIAL!$F$3:$F$41,IFERROR(LOOKUP(2,1/((HISTORIAL!$O$3:$O$41=D43&amp;"|"&amp;E43)*(HISTORIAL!$F$3:$F$41&gt;0)),HISTORIAL!$F$3:$F$41),0))&gt;=2,IF(IFERROR(LOOKUP(2,1/((HISTORIAL!$O$3:$O$41=D43&amp;"|"&amp;E43)*(HISTORIAL!$F$3:$F$41&gt;0)),HISTORIAL!$G$3:$G$41),0)&gt;0,IF(F43&gt;0,IF(G43&lt;=IFERROR(LOOKUP(2,1/((HISTORIAL!$O$3:$O$41=D43&amp;"|"&amp;E43)*(HISTORIAL!$F$3:$F$41&gt;0)),HISTORIAL!$G$3:$G$41),0),1,0),0),0),0))</f>
        <v>0</v>
      </c>
    </row>
    <row r="44" spans="1:15" ht="14.1" customHeight="1">
      <c r="A44" s="37">
        <v>1</v>
      </c>
      <c r="B44" s="37" t="s">
        <v>280</v>
      </c>
      <c r="C44" s="37">
        <v>4</v>
      </c>
      <c r="D44" s="56" t="str">
        <f>JUEVES!$A$16</f>
        <v>Peck Deck Invertida</v>
      </c>
      <c r="E44" s="57" t="str">
        <f>JUEVES!$B$16</f>
        <v>Maquina</v>
      </c>
      <c r="F44" s="37" t="str">
        <f>JUEVES!$C$16</f>
        <v>polea</v>
      </c>
      <c r="G44" s="37" t="str">
        <f>IFERROR(LOOKUP(2,1/((HISTORIAL!$O$3:$O$42=D44&amp;"|"&amp;E44)*(HISTORIAL!$F$3:$F$42&lt;&gt;"")),HISTORIAL!$F$3:$F$42),"")</f>
        <v/>
      </c>
      <c r="H44" s="37" t="str">
        <f>IFERROR(LOOKUP(2,1/((HISTORIAL!$O$3:$O$42=D44&amp;"|"&amp;E44)*(HISTORIAL!$F$3:$F$42&lt;&gt;"")),HISTORIAL!$G$3:$G$42),"")</f>
        <v/>
      </c>
      <c r="I44" s="37" t="str">
        <f>IFERROR(LOOKUP(2,1/((HISTORIAL!$O$3:$O$42=D44&amp;"|"&amp;E44)*(HISTORIAL!$F$3:$F$42&lt;&gt;"")),HISTORIAL!$H$3:$H$42),"")</f>
        <v/>
      </c>
      <c r="J44" s="37" t="str">
        <f>IFERROR(LOOKUP(2,1/((HISTORIAL!$O$3:$O$42=D44&amp;"|"&amp;E44)*(HISTORIAL!$F$3:$F$42&lt;&gt;"")),HISTORIAL!$I$3:$I$42),"")</f>
        <v/>
      </c>
      <c r="K44" s="58" t="str">
        <f>IFERROR(IF(OR(G44="",N44="SIN"),"--",IF(N44="SUBIR_F",IF(F44="polea",IFERROR(INDEX(CONFIG!$B$25:$B$40,MATCH(G44,CONFIG!$B$25:$B$40,0)+2),IFERROR(INDEX(CONFIG!$B$25:$B$40,MATCH(G44,CONFIG!$B$25:$B$40,0)+1),G44)),G44+5),IF(OR(N44="SUBIR",N44="SUBIR_E"),IF(F44="polea",IFERROR(INDEX(CONFIG!$B$25:$B$40,MATCH(G44,CONFIG!$B$25:$B$40,0)+1),G44),G44+2.5),IF(N44="BAJAR",IF(F44="polea",IFERROR(INDEX(CONFIG!$B$25:$B$40,MAX(1,MATCH(G44,CONFIG!$B$25:$B$40,0)-1)),G44),MAX(0,G44-2.5)),G44)))),"--")</f>
        <v>--</v>
      </c>
      <c r="L44" s="59" t="str">
        <f>IFERROR(IF(N44="SIN","--",IF(N44="MANT",IF(H44="","--",H44+1),IFERROR(VLOOKUP(CONFIG!$E$2,CONFIG!$A$6:$E$8,2,0),"--"))),"--")</f>
        <v>--</v>
      </c>
      <c r="M44" s="59" t="str">
        <f>IFERROR(IF(N44="SIN","--",IF(CONFIG!$E$2="HIP",2,IF(CONFIG!$E$2="FUE",1,2))),"--")</f>
        <v>--</v>
      </c>
      <c r="N44" s="53" t="str">
        <f>IFERROR(IF(G44="","SIN",IF(O44=1,"SUBIR_E",IF(H44&lt;IFERROR(VLOOKUP(CONFIG!$E$2,CONFIG!$A$6:$E$8,2,0),6),"BAJAR",IF(H44+I44&gt;=IFERROR(VLOOKUP(CONFIG!$E$2,CONFIG!$A$6:$E$8,3,0),12),"SUBIR_F",IF(AND(H44&gt;=IFERROR(VLOOKUP(CONFIG!$E$2,CONFIG!$A$6:$E$8,2,0),6)+2,I44&gt;=2),"SUBIR",IF(I44&gt;IFERROR(VLOOKUP(CONFIG!$E$2,CONFIG!$A$6:$E$8,5,0),3),"SUBIR","MANT")))))),"SIN")</f>
        <v>SIN</v>
      </c>
      <c r="O44" s="55">
        <f>IF(COUNTIFS(HISTORIAL!$O$3:$O$42,D44&amp;"|"&amp;E44,HISTORIAL!$F$3:$F$42,"&gt;0")&lt;2,0,IF(COUNTIFS(HISTORIAL!$O$3:$O$42,D44&amp;"|"&amp;E44,HISTORIAL!$F$3:$F$42,IFERROR(LOOKUP(2,1/((HISTORIAL!$O$3:$O$42=D44&amp;"|"&amp;E44)*(HISTORIAL!$F$3:$F$42&gt;0)),HISTORIAL!$F$3:$F$42),0))&gt;=2,IF(IFERROR(LOOKUP(2,1/((HISTORIAL!$O$3:$O$42=D44&amp;"|"&amp;E44)*(HISTORIAL!$F$3:$F$42&gt;0)),HISTORIAL!$G$3:$G$42),0)&gt;0,IF(F44&gt;0,IF(G44&lt;=IFERROR(LOOKUP(2,1/((HISTORIAL!$O$3:$O$42=D44&amp;"|"&amp;E44)*(HISTORIAL!$F$3:$F$42&gt;0)),HISTORIAL!$G$3:$G$42),0),1,0),0),0),0))</f>
        <v>0</v>
      </c>
    </row>
    <row r="45" spans="1:15" ht="14.1" customHeight="1">
      <c r="A45" s="37">
        <v>1</v>
      </c>
      <c r="B45" s="37" t="s">
        <v>280</v>
      </c>
      <c r="C45" s="37">
        <v>5</v>
      </c>
      <c r="D45" s="56" t="str">
        <f>JUEVES!$A$17</f>
        <v>Elevaciones Posteriores</v>
      </c>
      <c r="E45" s="57" t="str">
        <f>JUEVES!$B$17</f>
        <v>Polea Individual</v>
      </c>
      <c r="F45" s="37" t="str">
        <f>JUEVES!$C$17</f>
        <v>polea</v>
      </c>
      <c r="G45" s="37" t="str">
        <f>IFERROR(LOOKUP(2,1/((HISTORIAL!$O$3:$O$43=D45&amp;"|"&amp;E45)*(HISTORIAL!$F$3:$F$43&lt;&gt;"")),HISTORIAL!$F$3:$F$43),"")</f>
        <v/>
      </c>
      <c r="H45" s="37" t="str">
        <f>IFERROR(LOOKUP(2,1/((HISTORIAL!$O$3:$O$43=D45&amp;"|"&amp;E45)*(HISTORIAL!$F$3:$F$43&lt;&gt;"")),HISTORIAL!$G$3:$G$43),"")</f>
        <v/>
      </c>
      <c r="I45" s="37" t="str">
        <f>IFERROR(LOOKUP(2,1/((HISTORIAL!$O$3:$O$43=D45&amp;"|"&amp;E45)*(HISTORIAL!$F$3:$F$43&lt;&gt;"")),HISTORIAL!$H$3:$H$43),"")</f>
        <v/>
      </c>
      <c r="J45" s="37" t="str">
        <f>IFERROR(LOOKUP(2,1/((HISTORIAL!$O$3:$O$43=D45&amp;"|"&amp;E45)*(HISTORIAL!$F$3:$F$43&lt;&gt;"")),HISTORIAL!$I$3:$I$43),"")</f>
        <v/>
      </c>
      <c r="K45" s="58" t="str">
        <f>IFERROR(IF(OR(G45="",N45="SIN"),"--",IF(N45="SUBIR_F",IF(F45="polea",IFERROR(INDEX(CONFIG!$B$25:$B$40,MATCH(G45,CONFIG!$B$25:$B$40,0)+2),IFERROR(INDEX(CONFIG!$B$25:$B$40,MATCH(G45,CONFIG!$B$25:$B$40,0)+1),G45)),G45+5),IF(OR(N45="SUBIR",N45="SUBIR_E"),IF(F45="polea",IFERROR(INDEX(CONFIG!$B$25:$B$40,MATCH(G45,CONFIG!$B$25:$B$40,0)+1),G45),G45+2.5),IF(N45="BAJAR",IF(F45="polea",IFERROR(INDEX(CONFIG!$B$25:$B$40,MAX(1,MATCH(G45,CONFIG!$B$25:$B$40,0)-1)),G45),MAX(0,G45-2.5)),G45)))),"--")</f>
        <v>--</v>
      </c>
      <c r="L45" s="59" t="str">
        <f>IFERROR(IF(N45="SIN","--",IF(N45="MANT",IF(H45="","--",H45+1),IFERROR(VLOOKUP(CONFIG!$E$2,CONFIG!$A$6:$E$8,2,0),"--"))),"--")</f>
        <v>--</v>
      </c>
      <c r="M45" s="59" t="str">
        <f>IFERROR(IF(N45="SIN","--",IF(CONFIG!$E$2="HIP",2,IF(CONFIG!$E$2="FUE",1,2))),"--")</f>
        <v>--</v>
      </c>
      <c r="N45" s="53" t="str">
        <f>IFERROR(IF(G45="","SIN",IF(O45=1,"SUBIR_E",IF(H45&lt;IFERROR(VLOOKUP(CONFIG!$E$2,CONFIG!$A$6:$E$8,2,0),6),"BAJAR",IF(H45+I45&gt;=IFERROR(VLOOKUP(CONFIG!$E$2,CONFIG!$A$6:$E$8,3,0),12),"SUBIR_F",IF(AND(H45&gt;=IFERROR(VLOOKUP(CONFIG!$E$2,CONFIG!$A$6:$E$8,2,0),6)+2,I45&gt;=2),"SUBIR",IF(I45&gt;IFERROR(VLOOKUP(CONFIG!$E$2,CONFIG!$A$6:$E$8,5,0),3),"SUBIR","MANT")))))),"SIN")</f>
        <v>SIN</v>
      </c>
      <c r="O45" s="55">
        <f>IF(COUNTIFS(HISTORIAL!$O$3:$O$43,D45&amp;"|"&amp;E45,HISTORIAL!$F$3:$F$43,"&gt;0")&lt;2,0,IF(COUNTIFS(HISTORIAL!$O$3:$O$43,D45&amp;"|"&amp;E45,HISTORIAL!$F$3:$F$43,IFERROR(LOOKUP(2,1/((HISTORIAL!$O$3:$O$43=D45&amp;"|"&amp;E45)*(HISTORIAL!$F$3:$F$43&gt;0)),HISTORIAL!$F$3:$F$43),0))&gt;=2,IF(IFERROR(LOOKUP(2,1/((HISTORIAL!$O$3:$O$43=D45&amp;"|"&amp;E45)*(HISTORIAL!$F$3:$F$43&gt;0)),HISTORIAL!$G$3:$G$43),0)&gt;0,IF(F45&gt;0,IF(G45&lt;=IFERROR(LOOKUP(2,1/((HISTORIAL!$O$3:$O$43=D45&amp;"|"&amp;E45)*(HISTORIAL!$F$3:$F$43&gt;0)),HISTORIAL!$G$3:$G$43),0),1,0),0),0),0))</f>
        <v>0</v>
      </c>
    </row>
    <row r="46" spans="1:15" ht="14.1" customHeight="1">
      <c r="A46" s="37">
        <v>1</v>
      </c>
      <c r="B46" s="37" t="s">
        <v>280</v>
      </c>
      <c r="C46" s="37">
        <v>6</v>
      </c>
      <c r="D46" s="56" t="str">
        <f>JUEVES!$A$20</f>
        <v>Press Plano</v>
      </c>
      <c r="E46" s="57" t="str">
        <f>JUEVES!$B$20</f>
        <v>Multipower</v>
      </c>
      <c r="F46" s="37" t="str">
        <f>JUEVES!$C$20</f>
        <v>disco</v>
      </c>
      <c r="G46" s="37" t="str">
        <f>IFERROR(LOOKUP(2,1/((HISTORIAL!$O$3:$O$44=D46&amp;"|"&amp;E46)*(HISTORIAL!$F$3:$F$44&lt;&gt;"")),HISTORIAL!$F$3:$F$44),"")</f>
        <v/>
      </c>
      <c r="H46" s="37" t="str">
        <f>IFERROR(LOOKUP(2,1/((HISTORIAL!$O$3:$O$44=D46&amp;"|"&amp;E46)*(HISTORIAL!$F$3:$F$44&lt;&gt;"")),HISTORIAL!$G$3:$G$44),"")</f>
        <v/>
      </c>
      <c r="I46" s="37" t="str">
        <f>IFERROR(LOOKUP(2,1/((HISTORIAL!$O$3:$O$44=D46&amp;"|"&amp;E46)*(HISTORIAL!$F$3:$F$44&lt;&gt;"")),HISTORIAL!$H$3:$H$44),"")</f>
        <v/>
      </c>
      <c r="J46" s="37" t="str">
        <f>IFERROR(LOOKUP(2,1/((HISTORIAL!$O$3:$O$44=D46&amp;"|"&amp;E46)*(HISTORIAL!$F$3:$F$44&lt;&gt;"")),HISTORIAL!$I$3:$I$44),"")</f>
        <v/>
      </c>
      <c r="K46" s="58" t="str">
        <f>IFERROR(IF(OR(G46="",N46="SIN"),"--",IF(N46="SUBIR_F",IF(F46="polea",IFERROR(INDEX(CONFIG!$B$25:$B$40,MATCH(G46,CONFIG!$B$25:$B$40,0)+2),IFERROR(INDEX(CONFIG!$B$25:$B$40,MATCH(G46,CONFIG!$B$25:$B$40,0)+1),G46)),G46+5),IF(OR(N46="SUBIR",N46="SUBIR_E"),IF(F46="polea",IFERROR(INDEX(CONFIG!$B$25:$B$40,MATCH(G46,CONFIG!$B$25:$B$40,0)+1),G46),G46+2.5),IF(N46="BAJAR",IF(F46="polea",IFERROR(INDEX(CONFIG!$B$25:$B$40,MAX(1,MATCH(G46,CONFIG!$B$25:$B$40,0)-1)),G46),MAX(0,G46-2.5)),G46)))),"--")</f>
        <v>--</v>
      </c>
      <c r="L46" s="59" t="str">
        <f>IFERROR(IF(N46="SIN","--",IF(N46="MANT",IF(H46="","--",H46+1),IFERROR(VLOOKUP(CONFIG!$E$2,CONFIG!$A$6:$E$8,2,0),"--"))),"--")</f>
        <v>--</v>
      </c>
      <c r="M46" s="59" t="str">
        <f>IFERROR(IF(N46="SIN","--",IF(CONFIG!$E$2="HIP",2,IF(CONFIG!$E$2="FUE",1,2))),"--")</f>
        <v>--</v>
      </c>
      <c r="N46" s="53" t="str">
        <f>IFERROR(IF(G46="","SIN",IF(O46=1,"SUBIR_E",IF(H46&lt;IFERROR(VLOOKUP(CONFIG!$E$2,CONFIG!$A$6:$E$8,2,0),6),"BAJAR",IF(H46+I46&gt;=IFERROR(VLOOKUP(CONFIG!$E$2,CONFIG!$A$6:$E$8,3,0),12),"SUBIR_F",IF(AND(H46&gt;=IFERROR(VLOOKUP(CONFIG!$E$2,CONFIG!$A$6:$E$8,2,0),6)+2,I46&gt;=2),"SUBIR",IF(I46&gt;IFERROR(VLOOKUP(CONFIG!$E$2,CONFIG!$A$6:$E$8,5,0),3),"SUBIR","MANT")))))),"SIN")</f>
        <v>SIN</v>
      </c>
      <c r="O46" s="55">
        <f>IF(COUNTIFS(HISTORIAL!$O$3:$O$44,D46&amp;"|"&amp;E46,HISTORIAL!$F$3:$F$44,"&gt;0")&lt;2,0,IF(COUNTIFS(HISTORIAL!$O$3:$O$44,D46&amp;"|"&amp;E46,HISTORIAL!$F$3:$F$44,IFERROR(LOOKUP(2,1/((HISTORIAL!$O$3:$O$44=D46&amp;"|"&amp;E46)*(HISTORIAL!$F$3:$F$44&gt;0)),HISTORIAL!$F$3:$F$44),0))&gt;=2,IF(IFERROR(LOOKUP(2,1/((HISTORIAL!$O$3:$O$44=D46&amp;"|"&amp;E46)*(HISTORIAL!$F$3:$F$44&gt;0)),HISTORIAL!$G$3:$G$44),0)&gt;0,IF(F46&gt;0,IF(G46&lt;=IFERROR(LOOKUP(2,1/((HISTORIAL!$O$3:$O$44=D46&amp;"|"&amp;E46)*(HISTORIAL!$F$3:$F$44&gt;0)),HISTORIAL!$G$3:$G$44),0),1,0),0),0),0))</f>
        <v>0</v>
      </c>
    </row>
    <row r="47" spans="1:15" ht="14.1" customHeight="1">
      <c r="A47" s="37">
        <v>1</v>
      </c>
      <c r="B47" s="37" t="s">
        <v>280</v>
      </c>
      <c r="C47" s="37">
        <v>7</v>
      </c>
      <c r="D47" s="56" t="str">
        <f>JUEVES!$A$22</f>
        <v>Press Inclinado</v>
      </c>
      <c r="E47" s="57" t="str">
        <f>JUEVES!$B$22</f>
        <v>Multipower</v>
      </c>
      <c r="F47" s="37" t="str">
        <f>JUEVES!$C$22</f>
        <v>disco</v>
      </c>
      <c r="G47" s="37" t="str">
        <f>IFERROR(LOOKUP(2,1/((HISTORIAL!$O$3:$O$45=D47&amp;"|"&amp;E47)*(HISTORIAL!$F$3:$F$45&lt;&gt;"")),HISTORIAL!$F$3:$F$45),"")</f>
        <v/>
      </c>
      <c r="H47" s="37" t="str">
        <f>IFERROR(LOOKUP(2,1/((HISTORIAL!$O$3:$O$45=D47&amp;"|"&amp;E47)*(HISTORIAL!$F$3:$F$45&lt;&gt;"")),HISTORIAL!$G$3:$G$45),"")</f>
        <v/>
      </c>
      <c r="I47" s="37" t="str">
        <f>IFERROR(LOOKUP(2,1/((HISTORIAL!$O$3:$O$45=D47&amp;"|"&amp;E47)*(HISTORIAL!$F$3:$F$45&lt;&gt;"")),HISTORIAL!$H$3:$H$45),"")</f>
        <v/>
      </c>
      <c r="J47" s="37" t="str">
        <f>IFERROR(LOOKUP(2,1/((HISTORIAL!$O$3:$O$45=D47&amp;"|"&amp;E47)*(HISTORIAL!$F$3:$F$45&lt;&gt;"")),HISTORIAL!$I$3:$I$45),"")</f>
        <v/>
      </c>
      <c r="K47" s="58" t="str">
        <f>IFERROR(IF(OR(G47="",N47="SIN"),"--",IF(N47="SUBIR_F",IF(F47="polea",IFERROR(INDEX(CONFIG!$B$25:$B$40,MATCH(G47,CONFIG!$B$25:$B$40,0)+2),IFERROR(INDEX(CONFIG!$B$25:$B$40,MATCH(G47,CONFIG!$B$25:$B$40,0)+1),G47)),G47+5),IF(OR(N47="SUBIR",N47="SUBIR_E"),IF(F47="polea",IFERROR(INDEX(CONFIG!$B$25:$B$40,MATCH(G47,CONFIG!$B$25:$B$40,0)+1),G47),G47+2.5),IF(N47="BAJAR",IF(F47="polea",IFERROR(INDEX(CONFIG!$B$25:$B$40,MAX(1,MATCH(G47,CONFIG!$B$25:$B$40,0)-1)),G47),MAX(0,G47-2.5)),G47)))),"--")</f>
        <v>--</v>
      </c>
      <c r="L47" s="59" t="str">
        <f>IFERROR(IF(N47="SIN","--",IF(N47="MANT",IF(H47="","--",H47+1),IFERROR(VLOOKUP(CONFIG!$E$2,CONFIG!$A$6:$E$8,2,0),"--"))),"--")</f>
        <v>--</v>
      </c>
      <c r="M47" s="59" t="str">
        <f>IFERROR(IF(N47="SIN","--",IF(CONFIG!$E$2="HIP",2,IF(CONFIG!$E$2="FUE",1,2))),"--")</f>
        <v>--</v>
      </c>
      <c r="N47" s="53" t="str">
        <f>IFERROR(IF(G47="","SIN",IF(O47=1,"SUBIR_E",IF(H47&lt;IFERROR(VLOOKUP(CONFIG!$E$2,CONFIG!$A$6:$E$8,2,0),6),"BAJAR",IF(H47+I47&gt;=IFERROR(VLOOKUP(CONFIG!$E$2,CONFIG!$A$6:$E$8,3,0),12),"SUBIR_F",IF(AND(H47&gt;=IFERROR(VLOOKUP(CONFIG!$E$2,CONFIG!$A$6:$E$8,2,0),6)+2,I47&gt;=2),"SUBIR",IF(I47&gt;IFERROR(VLOOKUP(CONFIG!$E$2,CONFIG!$A$6:$E$8,5,0),3),"SUBIR","MANT")))))),"SIN")</f>
        <v>SIN</v>
      </c>
      <c r="O47" s="55">
        <f>IF(COUNTIFS(HISTORIAL!$O$3:$O$45,D47&amp;"|"&amp;E47,HISTORIAL!$F$3:$F$45,"&gt;0")&lt;2,0,IF(COUNTIFS(HISTORIAL!$O$3:$O$45,D47&amp;"|"&amp;E47,HISTORIAL!$F$3:$F$45,IFERROR(LOOKUP(2,1/((HISTORIAL!$O$3:$O$45=D47&amp;"|"&amp;E47)*(HISTORIAL!$F$3:$F$45&gt;0)),HISTORIAL!$F$3:$F$45),0))&gt;=2,IF(IFERROR(LOOKUP(2,1/((HISTORIAL!$O$3:$O$45=D47&amp;"|"&amp;E47)*(HISTORIAL!$F$3:$F$45&gt;0)),HISTORIAL!$G$3:$G$45),0)&gt;0,IF(F47&gt;0,IF(G47&lt;=IFERROR(LOOKUP(2,1/((HISTORIAL!$O$3:$O$45=D47&amp;"|"&amp;E47)*(HISTORIAL!$F$3:$F$45&gt;0)),HISTORIAL!$G$3:$G$45),0),1,0),0),0),0))</f>
        <v>0</v>
      </c>
    </row>
    <row r="48" spans="1:15" ht="14.1" customHeight="1">
      <c r="A48" s="37">
        <v>1</v>
      </c>
      <c r="B48" s="37" t="s">
        <v>280</v>
      </c>
      <c r="C48" s="37">
        <v>8</v>
      </c>
      <c r="D48" s="56" t="str">
        <f>JUEVES!$A$24</f>
        <v>Aperturas</v>
      </c>
      <c r="E48" s="57" t="str">
        <f>JUEVES!$B$24</f>
        <v>Polea Baja Crossover</v>
      </c>
      <c r="F48" s="37" t="str">
        <f>JUEVES!$C$24</f>
        <v>--</v>
      </c>
      <c r="G48" s="37" t="str">
        <f>IFERROR(LOOKUP(2,1/((HISTORIAL!$O$3:$O$46=D48&amp;"|"&amp;E48)*(HISTORIAL!$F$3:$F$46&lt;&gt;"")),HISTORIAL!$F$3:$F$46),"")</f>
        <v/>
      </c>
      <c r="H48" s="37" t="str">
        <f>IFERROR(LOOKUP(2,1/((HISTORIAL!$O$3:$O$46=D48&amp;"|"&amp;E48)*(HISTORIAL!$F$3:$F$46&lt;&gt;"")),HISTORIAL!$G$3:$G$46),"")</f>
        <v/>
      </c>
      <c r="I48" s="37" t="str">
        <f>IFERROR(LOOKUP(2,1/((HISTORIAL!$O$3:$O$46=D48&amp;"|"&amp;E48)*(HISTORIAL!$F$3:$F$46&lt;&gt;"")),HISTORIAL!$H$3:$H$46),"")</f>
        <v/>
      </c>
      <c r="J48" s="37" t="str">
        <f>IFERROR(LOOKUP(2,1/((HISTORIAL!$O$3:$O$46=D48&amp;"|"&amp;E48)*(HISTORIAL!$F$3:$F$46&lt;&gt;"")),HISTORIAL!$I$3:$I$46),"")</f>
        <v/>
      </c>
      <c r="K48" s="58" t="str">
        <f>IFERROR(IF(OR(G48="",N48="SIN"),"--",IF(N48="SUBIR_F",IF(F48="polea",IFERROR(INDEX(CONFIG!$B$25:$B$40,MATCH(G48,CONFIG!$B$25:$B$40,0)+2),IFERROR(INDEX(CONFIG!$B$25:$B$40,MATCH(G48,CONFIG!$B$25:$B$40,0)+1),G48)),G48+5),IF(OR(N48="SUBIR",N48="SUBIR_E"),IF(F48="polea",IFERROR(INDEX(CONFIG!$B$25:$B$40,MATCH(G48,CONFIG!$B$25:$B$40,0)+1),G48),G48+2.5),IF(N48="BAJAR",IF(F48="polea",IFERROR(INDEX(CONFIG!$B$25:$B$40,MAX(1,MATCH(G48,CONFIG!$B$25:$B$40,0)-1)),G48),MAX(0,G48-2.5)),G48)))),"--")</f>
        <v>--</v>
      </c>
      <c r="L48" s="59" t="str">
        <f>IFERROR(IF(N48="SIN","--",IF(N48="MANT",IF(H48="","--",H48+1),IFERROR(VLOOKUP(CONFIG!$E$2,CONFIG!$A$6:$E$8,2,0),"--"))),"--")</f>
        <v>--</v>
      </c>
      <c r="M48" s="59" t="str">
        <f>IFERROR(IF(N48="SIN","--",IF(CONFIG!$E$2="HIP",2,IF(CONFIG!$E$2="FUE",1,2))),"--")</f>
        <v>--</v>
      </c>
      <c r="N48" s="53" t="str">
        <f>IFERROR(IF(G48="","SIN",IF(O48=1,"SUBIR_E",IF(H48&lt;IFERROR(VLOOKUP(CONFIG!$E$2,CONFIG!$A$6:$E$8,2,0),6),"BAJAR",IF(H48+I48&gt;=IFERROR(VLOOKUP(CONFIG!$E$2,CONFIG!$A$6:$E$8,3,0),12),"SUBIR_F",IF(AND(H48&gt;=IFERROR(VLOOKUP(CONFIG!$E$2,CONFIG!$A$6:$E$8,2,0),6)+2,I48&gt;=2),"SUBIR",IF(I48&gt;IFERROR(VLOOKUP(CONFIG!$E$2,CONFIG!$A$6:$E$8,5,0),3),"SUBIR","MANT")))))),"SIN")</f>
        <v>SIN</v>
      </c>
      <c r="O48" s="55">
        <f>IF(COUNTIFS(HISTORIAL!$O$3:$O$46,D48&amp;"|"&amp;E48,HISTORIAL!$F$3:$F$46,"&gt;0")&lt;2,0,IF(COUNTIFS(HISTORIAL!$O$3:$O$46,D48&amp;"|"&amp;E48,HISTORIAL!$F$3:$F$46,IFERROR(LOOKUP(2,1/((HISTORIAL!$O$3:$O$46=D48&amp;"|"&amp;E48)*(HISTORIAL!$F$3:$F$46&gt;0)),HISTORIAL!$F$3:$F$46),0))&gt;=2,IF(IFERROR(LOOKUP(2,1/((HISTORIAL!$O$3:$O$46=D48&amp;"|"&amp;E48)*(HISTORIAL!$F$3:$F$46&gt;0)),HISTORIAL!$G$3:$G$46),0)&gt;0,IF(F48&gt;0,IF(G48&lt;=IFERROR(LOOKUP(2,1/((HISTORIAL!$O$3:$O$46=D48&amp;"|"&amp;E48)*(HISTORIAL!$F$3:$F$46&gt;0)),HISTORIAL!$G$3:$G$46),0),1,0),0),0),0))</f>
        <v>0</v>
      </c>
    </row>
    <row r="49" spans="1:15" ht="14.1" customHeight="1">
      <c r="A49" s="37">
        <v>1</v>
      </c>
      <c r="B49" s="37" t="s">
        <v>280</v>
      </c>
      <c r="C49" s="37">
        <v>9</v>
      </c>
      <c r="D49" s="56" t="str">
        <f>JUEVES!$A$26</f>
        <v>Extension Triceps</v>
      </c>
      <c r="E49" s="57" t="str">
        <f>JUEVES!$B$26</f>
        <v>Polea Alta Cuerda</v>
      </c>
      <c r="F49" s="37" t="str">
        <f>JUEVES!$C$26</f>
        <v>--</v>
      </c>
      <c r="G49" s="37" t="str">
        <f>IFERROR(LOOKUP(2,1/((HISTORIAL!$O$3:$O$47=D49&amp;"|"&amp;E49)*(HISTORIAL!$F$3:$F$47&lt;&gt;"")),HISTORIAL!$F$3:$F$47),"")</f>
        <v/>
      </c>
      <c r="H49" s="37" t="str">
        <f>IFERROR(LOOKUP(2,1/((HISTORIAL!$O$3:$O$47=D49&amp;"|"&amp;E49)*(HISTORIAL!$F$3:$F$47&lt;&gt;"")),HISTORIAL!$G$3:$G$47),"")</f>
        <v/>
      </c>
      <c r="I49" s="37" t="str">
        <f>IFERROR(LOOKUP(2,1/((HISTORIAL!$O$3:$O$47=D49&amp;"|"&amp;E49)*(HISTORIAL!$F$3:$F$47&lt;&gt;"")),HISTORIAL!$H$3:$H$47),"")</f>
        <v/>
      </c>
      <c r="J49" s="37" t="str">
        <f>IFERROR(LOOKUP(2,1/((HISTORIAL!$O$3:$O$47=D49&amp;"|"&amp;E49)*(HISTORIAL!$F$3:$F$47&lt;&gt;"")),HISTORIAL!$I$3:$I$47),"")</f>
        <v/>
      </c>
      <c r="K49" s="58" t="str">
        <f>IFERROR(IF(OR(G49="",N49="SIN"),"--",IF(N49="SUBIR_F",IF(F49="polea",IFERROR(INDEX(CONFIG!$B$25:$B$40,MATCH(G49,CONFIG!$B$25:$B$40,0)+2),IFERROR(INDEX(CONFIG!$B$25:$B$40,MATCH(G49,CONFIG!$B$25:$B$40,0)+1),G49)),G49+5),IF(OR(N49="SUBIR",N49="SUBIR_E"),IF(F49="polea",IFERROR(INDEX(CONFIG!$B$25:$B$40,MATCH(G49,CONFIG!$B$25:$B$40,0)+1),G49),G49+2.5),IF(N49="BAJAR",IF(F49="polea",IFERROR(INDEX(CONFIG!$B$25:$B$40,MAX(1,MATCH(G49,CONFIG!$B$25:$B$40,0)-1)),G49),MAX(0,G49-2.5)),G49)))),"--")</f>
        <v>--</v>
      </c>
      <c r="L49" s="59" t="str">
        <f>IFERROR(IF(N49="SIN","--",IF(N49="MANT",IF(H49="","--",H49+1),IFERROR(VLOOKUP(CONFIG!$E$2,CONFIG!$A$6:$E$8,2,0),"--"))),"--")</f>
        <v>--</v>
      </c>
      <c r="M49" s="59" t="str">
        <f>IFERROR(IF(N49="SIN","--",IF(CONFIG!$E$2="HIP",2,IF(CONFIG!$E$2="FUE",1,2))),"--")</f>
        <v>--</v>
      </c>
      <c r="N49" s="53" t="str">
        <f>IFERROR(IF(G49="","SIN",IF(O49=1,"SUBIR_E",IF(H49&lt;IFERROR(VLOOKUP(CONFIG!$E$2,CONFIG!$A$6:$E$8,2,0),6),"BAJAR",IF(H49+I49&gt;=IFERROR(VLOOKUP(CONFIG!$E$2,CONFIG!$A$6:$E$8,3,0),12),"SUBIR_F",IF(AND(H49&gt;=IFERROR(VLOOKUP(CONFIG!$E$2,CONFIG!$A$6:$E$8,2,0),6)+2,I49&gt;=2),"SUBIR",IF(I49&gt;IFERROR(VLOOKUP(CONFIG!$E$2,CONFIG!$A$6:$E$8,5,0),3),"SUBIR","MANT")))))),"SIN")</f>
        <v>SIN</v>
      </c>
      <c r="O49" s="55">
        <f>IF(COUNTIFS(HISTORIAL!$O$3:$O$47,D49&amp;"|"&amp;E49,HISTORIAL!$F$3:$F$47,"&gt;0")&lt;2,0,IF(COUNTIFS(HISTORIAL!$O$3:$O$47,D49&amp;"|"&amp;E49,HISTORIAL!$F$3:$F$47,IFERROR(LOOKUP(2,1/((HISTORIAL!$O$3:$O$47=D49&amp;"|"&amp;E49)*(HISTORIAL!$F$3:$F$47&gt;0)),HISTORIAL!$F$3:$F$47),0))&gt;=2,IF(IFERROR(LOOKUP(2,1/((HISTORIAL!$O$3:$O$47=D49&amp;"|"&amp;E49)*(HISTORIAL!$F$3:$F$47&gt;0)),HISTORIAL!$G$3:$G$47),0)&gt;0,IF(F49&gt;0,IF(G49&lt;=IFERROR(LOOKUP(2,1/((HISTORIAL!$O$3:$O$47=D49&amp;"|"&amp;E49)*(HISTORIAL!$F$3:$F$47&gt;0)),HISTORIAL!$G$3:$G$47),0),1,0),0),0),0))</f>
        <v>0</v>
      </c>
    </row>
    <row r="50" spans="1:15" ht="14.1" customHeight="1">
      <c r="A50" s="37">
        <v>1</v>
      </c>
      <c r="B50" s="37" t="s">
        <v>280</v>
      </c>
      <c r="C50" s="37">
        <v>10</v>
      </c>
      <c r="D50" s="56" t="str">
        <f>JUEVES!$A$27</f>
        <v>Extension Triceps</v>
      </c>
      <c r="E50" s="57" t="str">
        <f>JUEVES!$B$27</f>
        <v>Press Neutro Polea Individual</v>
      </c>
      <c r="F50" s="37" t="str">
        <f>JUEVES!$C$27</f>
        <v>--</v>
      </c>
      <c r="G50" s="37" t="str">
        <f>IFERROR(LOOKUP(2,1/((HISTORIAL!$O$3:$O$48=D50&amp;"|"&amp;E50)*(HISTORIAL!$F$3:$F$48&lt;&gt;"")),HISTORIAL!$F$3:$F$48),"")</f>
        <v/>
      </c>
      <c r="H50" s="37" t="str">
        <f>IFERROR(LOOKUP(2,1/((HISTORIAL!$O$3:$O$48=D50&amp;"|"&amp;E50)*(HISTORIAL!$F$3:$F$48&lt;&gt;"")),HISTORIAL!$G$3:$G$48),"")</f>
        <v/>
      </c>
      <c r="I50" s="37" t="str">
        <f>IFERROR(LOOKUP(2,1/((HISTORIAL!$O$3:$O$48=D50&amp;"|"&amp;E50)*(HISTORIAL!$F$3:$F$48&lt;&gt;"")),HISTORIAL!$H$3:$H$48),"")</f>
        <v/>
      </c>
      <c r="J50" s="37" t="str">
        <f>IFERROR(LOOKUP(2,1/((HISTORIAL!$O$3:$O$48=D50&amp;"|"&amp;E50)*(HISTORIAL!$F$3:$F$48&lt;&gt;"")),HISTORIAL!$I$3:$I$48),"")</f>
        <v/>
      </c>
      <c r="K50" s="58" t="str">
        <f>IFERROR(IF(OR(G50="",N50="SIN"),"--",IF(N50="SUBIR_F",IF(F50="polea",IFERROR(INDEX(CONFIG!$B$25:$B$40,MATCH(G50,CONFIG!$B$25:$B$40,0)+2),IFERROR(INDEX(CONFIG!$B$25:$B$40,MATCH(G50,CONFIG!$B$25:$B$40,0)+1),G50)),G50+5),IF(OR(N50="SUBIR",N50="SUBIR_E"),IF(F50="polea",IFERROR(INDEX(CONFIG!$B$25:$B$40,MATCH(G50,CONFIG!$B$25:$B$40,0)+1),G50),G50+2.5),IF(N50="BAJAR",IF(F50="polea",IFERROR(INDEX(CONFIG!$B$25:$B$40,MAX(1,MATCH(G50,CONFIG!$B$25:$B$40,0)-1)),G50),MAX(0,G50-2.5)),G50)))),"--")</f>
        <v>--</v>
      </c>
      <c r="L50" s="59" t="str">
        <f>IFERROR(IF(N50="SIN","--",IF(N50="MANT",IF(H50="","--",H50+1),IFERROR(VLOOKUP(CONFIG!$E$2,CONFIG!$A$6:$E$8,2,0),"--"))),"--")</f>
        <v>--</v>
      </c>
      <c r="M50" s="59" t="str">
        <f>IFERROR(IF(N50="SIN","--",IF(CONFIG!$E$2="HIP",2,IF(CONFIG!$E$2="FUE",1,2))),"--")</f>
        <v>--</v>
      </c>
      <c r="N50" s="53" t="str">
        <f>IFERROR(IF(G50="","SIN",IF(O50=1,"SUBIR_E",IF(H50&lt;IFERROR(VLOOKUP(CONFIG!$E$2,CONFIG!$A$6:$E$8,2,0),6),"BAJAR",IF(H50+I50&gt;=IFERROR(VLOOKUP(CONFIG!$E$2,CONFIG!$A$6:$E$8,3,0),12),"SUBIR_F",IF(AND(H50&gt;=IFERROR(VLOOKUP(CONFIG!$E$2,CONFIG!$A$6:$E$8,2,0),6)+2,I50&gt;=2),"SUBIR",IF(I50&gt;IFERROR(VLOOKUP(CONFIG!$E$2,CONFIG!$A$6:$E$8,5,0),3),"SUBIR","MANT")))))),"SIN")</f>
        <v>SIN</v>
      </c>
      <c r="O50" s="55">
        <f>IF(COUNTIFS(HISTORIAL!$O$3:$O$48,D50&amp;"|"&amp;E50,HISTORIAL!$F$3:$F$48,"&gt;0")&lt;2,0,IF(COUNTIFS(HISTORIAL!$O$3:$O$48,D50&amp;"|"&amp;E50,HISTORIAL!$F$3:$F$48,IFERROR(LOOKUP(2,1/((HISTORIAL!$O$3:$O$48=D50&amp;"|"&amp;E50)*(HISTORIAL!$F$3:$F$48&gt;0)),HISTORIAL!$F$3:$F$48),0))&gt;=2,IF(IFERROR(LOOKUP(2,1/((HISTORIAL!$O$3:$O$48=D50&amp;"|"&amp;E50)*(HISTORIAL!$F$3:$F$48&gt;0)),HISTORIAL!$G$3:$G$48),0)&gt;0,IF(F50&gt;0,IF(G50&lt;=IFERROR(LOOKUP(2,1/((HISTORIAL!$O$3:$O$48=D50&amp;"|"&amp;E50)*(HISTORIAL!$F$3:$F$48&gt;0)),HISTORIAL!$G$3:$G$48),0),1,0),0),0),0))</f>
        <v>0</v>
      </c>
    </row>
    <row r="51" spans="1:15" ht="14.1" customHeight="1">
      <c r="A51" s="37">
        <v>1</v>
      </c>
      <c r="B51" s="37" t="s">
        <v>280</v>
      </c>
      <c r="C51" s="37">
        <v>11</v>
      </c>
      <c r="D51" s="56" t="str">
        <f>JUEVES!$A$29</f>
        <v>Extension Cuadriceps</v>
      </c>
      <c r="E51" s="57" t="str">
        <f>JUEVES!$B$29</f>
        <v>Vasto Interno</v>
      </c>
      <c r="F51" s="37" t="str">
        <f>JUEVES!$C$29</f>
        <v>--</v>
      </c>
      <c r="G51" s="37" t="str">
        <f>IFERROR(LOOKUP(2,1/((HISTORIAL!$O$3:$O$49=D51&amp;"|"&amp;E51)*(HISTORIAL!$F$3:$F$49&lt;&gt;"")),HISTORIAL!$F$3:$F$49),"")</f>
        <v/>
      </c>
      <c r="H51" s="37" t="str">
        <f>IFERROR(LOOKUP(2,1/((HISTORIAL!$O$3:$O$49=D51&amp;"|"&amp;E51)*(HISTORIAL!$F$3:$F$49&lt;&gt;"")),HISTORIAL!$G$3:$G$49),"")</f>
        <v/>
      </c>
      <c r="I51" s="37" t="str">
        <f>IFERROR(LOOKUP(2,1/((HISTORIAL!$O$3:$O$49=D51&amp;"|"&amp;E51)*(HISTORIAL!$F$3:$F$49&lt;&gt;"")),HISTORIAL!$H$3:$H$49),"")</f>
        <v/>
      </c>
      <c r="J51" s="37" t="str">
        <f>IFERROR(LOOKUP(2,1/((HISTORIAL!$O$3:$O$49=D51&amp;"|"&amp;E51)*(HISTORIAL!$F$3:$F$49&lt;&gt;"")),HISTORIAL!$I$3:$I$49),"")</f>
        <v/>
      </c>
      <c r="K51" s="58" t="str">
        <f>IFERROR(IF(OR(G51="",N51="SIN"),"--",IF(N51="SUBIR_F",IF(F51="polea",IFERROR(INDEX(CONFIG!$B$25:$B$40,MATCH(G51,CONFIG!$B$25:$B$40,0)+2),IFERROR(INDEX(CONFIG!$B$25:$B$40,MATCH(G51,CONFIG!$B$25:$B$40,0)+1),G51)),G51+5),IF(OR(N51="SUBIR",N51="SUBIR_E"),IF(F51="polea",IFERROR(INDEX(CONFIG!$B$25:$B$40,MATCH(G51,CONFIG!$B$25:$B$40,0)+1),G51),G51+2.5),IF(N51="BAJAR",IF(F51="polea",IFERROR(INDEX(CONFIG!$B$25:$B$40,MAX(1,MATCH(G51,CONFIG!$B$25:$B$40,0)-1)),G51),MAX(0,G51-2.5)),G51)))),"--")</f>
        <v>--</v>
      </c>
      <c r="L51" s="59" t="str">
        <f>IFERROR(IF(N51="SIN","--",IF(N51="MANT",IF(H51="","--",H51+1),IFERROR(VLOOKUP(CONFIG!$E$2,CONFIG!$A$6:$E$8,2,0),"--"))),"--")</f>
        <v>--</v>
      </c>
      <c r="M51" s="59" t="str">
        <f>IFERROR(IF(N51="SIN","--",IF(CONFIG!$E$2="HIP",2,IF(CONFIG!$E$2="FUE",1,2))),"--")</f>
        <v>--</v>
      </c>
      <c r="N51" s="53" t="str">
        <f>IFERROR(IF(G51="","SIN",IF(O51=1,"SUBIR_E",IF(H51&lt;IFERROR(VLOOKUP(CONFIG!$E$2,CONFIG!$A$6:$E$8,2,0),6),"BAJAR",IF(H51+I51&gt;=IFERROR(VLOOKUP(CONFIG!$E$2,CONFIG!$A$6:$E$8,3,0),12),"SUBIR_F",IF(AND(H51&gt;=IFERROR(VLOOKUP(CONFIG!$E$2,CONFIG!$A$6:$E$8,2,0),6)+2,I51&gt;=2),"SUBIR",IF(I51&gt;IFERROR(VLOOKUP(CONFIG!$E$2,CONFIG!$A$6:$E$8,5,0),3),"SUBIR","MANT")))))),"SIN")</f>
        <v>SIN</v>
      </c>
      <c r="O51" s="55">
        <f>IF(COUNTIFS(HISTORIAL!$O$3:$O$49,D51&amp;"|"&amp;E51,HISTORIAL!$F$3:$F$49,"&gt;0")&lt;2,0,IF(COUNTIFS(HISTORIAL!$O$3:$O$49,D51&amp;"|"&amp;E51,HISTORIAL!$F$3:$F$49,IFERROR(LOOKUP(2,1/((HISTORIAL!$O$3:$O$49=D51&amp;"|"&amp;E51)*(HISTORIAL!$F$3:$F$49&gt;0)),HISTORIAL!$F$3:$F$49),0))&gt;=2,IF(IFERROR(LOOKUP(2,1/((HISTORIAL!$O$3:$O$49=D51&amp;"|"&amp;E51)*(HISTORIAL!$F$3:$F$49&gt;0)),HISTORIAL!$G$3:$G$49),0)&gt;0,IF(F51&gt;0,IF(G51&lt;=IFERROR(LOOKUP(2,1/((HISTORIAL!$O$3:$O$49=D51&amp;"|"&amp;E51)*(HISTORIAL!$F$3:$F$49&gt;0)),HISTORIAL!$G$3:$G$49),0),1,0),0),0),0))</f>
        <v>0</v>
      </c>
    </row>
    <row r="52" spans="1:15" ht="14.1" customHeight="1">
      <c r="A52" s="37">
        <v>1</v>
      </c>
      <c r="B52" s="37" t="s">
        <v>280</v>
      </c>
      <c r="C52" s="37">
        <v>12</v>
      </c>
      <c r="D52" s="56" t="str">
        <f>JUEVES!$A$31</f>
        <v>Curl Biceps</v>
      </c>
      <c r="E52" s="57" t="str">
        <f>JUEVES!$B$31</f>
        <v>Concentrado Maquina</v>
      </c>
      <c r="F52" s="37" t="str">
        <f>JUEVES!$C$31</f>
        <v>polea</v>
      </c>
      <c r="G52" s="37" t="str">
        <f>IFERROR(LOOKUP(2,1/((HISTORIAL!$O$3:$O$50=D52&amp;"|"&amp;E52)*(HISTORIAL!$F$3:$F$50&lt;&gt;"")),HISTORIAL!$F$3:$F$50),"")</f>
        <v/>
      </c>
      <c r="H52" s="37" t="str">
        <f>IFERROR(LOOKUP(2,1/((HISTORIAL!$O$3:$O$50=D52&amp;"|"&amp;E52)*(HISTORIAL!$F$3:$F$50&lt;&gt;"")),HISTORIAL!$G$3:$G$50),"")</f>
        <v/>
      </c>
      <c r="I52" s="37" t="str">
        <f>IFERROR(LOOKUP(2,1/((HISTORIAL!$O$3:$O$50=D52&amp;"|"&amp;E52)*(HISTORIAL!$F$3:$F$50&lt;&gt;"")),HISTORIAL!$H$3:$H$50),"")</f>
        <v/>
      </c>
      <c r="J52" s="37" t="str">
        <f>IFERROR(LOOKUP(2,1/((HISTORIAL!$O$3:$O$50=D52&amp;"|"&amp;E52)*(HISTORIAL!$F$3:$F$50&lt;&gt;"")),HISTORIAL!$I$3:$I$50),"")</f>
        <v/>
      </c>
      <c r="K52" s="58" t="str">
        <f>IFERROR(IF(OR(G52="",N52="SIN"),"--",IF(N52="SUBIR_F",IF(F52="polea",IFERROR(INDEX(CONFIG!$B$25:$B$40,MATCH(G52,CONFIG!$B$25:$B$40,0)+2),IFERROR(INDEX(CONFIG!$B$25:$B$40,MATCH(G52,CONFIG!$B$25:$B$40,0)+1),G52)),G52+5),IF(OR(N52="SUBIR",N52="SUBIR_E"),IF(F52="polea",IFERROR(INDEX(CONFIG!$B$25:$B$40,MATCH(G52,CONFIG!$B$25:$B$40,0)+1),G52),G52+2.5),IF(N52="BAJAR",IF(F52="polea",IFERROR(INDEX(CONFIG!$B$25:$B$40,MAX(1,MATCH(G52,CONFIG!$B$25:$B$40,0)-1)),G52),MAX(0,G52-2.5)),G52)))),"--")</f>
        <v>--</v>
      </c>
      <c r="L52" s="59" t="str">
        <f>IFERROR(IF(N52="SIN","--",IF(N52="MANT",IF(H52="","--",H52+1),IFERROR(VLOOKUP(CONFIG!$E$2,CONFIG!$A$6:$E$8,2,0),"--"))),"--")</f>
        <v>--</v>
      </c>
      <c r="M52" s="59" t="str">
        <f>IFERROR(IF(N52="SIN","--",IF(CONFIG!$E$2="HIP",2,IF(CONFIG!$E$2="FUE",1,2))),"--")</f>
        <v>--</v>
      </c>
      <c r="N52" s="53" t="str">
        <f>IFERROR(IF(G52="","SIN",IF(O52=1,"SUBIR_E",IF(H52&lt;IFERROR(VLOOKUP(CONFIG!$E$2,CONFIG!$A$6:$E$8,2,0),6),"BAJAR",IF(H52+I52&gt;=IFERROR(VLOOKUP(CONFIG!$E$2,CONFIG!$A$6:$E$8,3,0),12),"SUBIR_F",IF(AND(H52&gt;=IFERROR(VLOOKUP(CONFIG!$E$2,CONFIG!$A$6:$E$8,2,0),6)+2,I52&gt;=2),"SUBIR",IF(I52&gt;IFERROR(VLOOKUP(CONFIG!$E$2,CONFIG!$A$6:$E$8,5,0),3),"SUBIR","MANT")))))),"SIN")</f>
        <v>SIN</v>
      </c>
      <c r="O52" s="55">
        <f>IF(COUNTIFS(HISTORIAL!$O$3:$O$50,D52&amp;"|"&amp;E52,HISTORIAL!$F$3:$F$50,"&gt;0")&lt;2,0,IF(COUNTIFS(HISTORIAL!$O$3:$O$50,D52&amp;"|"&amp;E52,HISTORIAL!$F$3:$F$50,IFERROR(LOOKUP(2,1/((HISTORIAL!$O$3:$O$50=D52&amp;"|"&amp;E52)*(HISTORIAL!$F$3:$F$50&gt;0)),HISTORIAL!$F$3:$F$50),0))&gt;=2,IF(IFERROR(LOOKUP(2,1/((HISTORIAL!$O$3:$O$50=D52&amp;"|"&amp;E52)*(HISTORIAL!$F$3:$F$50&gt;0)),HISTORIAL!$G$3:$G$50),0)&gt;0,IF(F52&gt;0,IF(G52&lt;=IFERROR(LOOKUP(2,1/((HISTORIAL!$O$3:$O$50=D52&amp;"|"&amp;E52)*(HISTORIAL!$F$3:$F$50&gt;0)),HISTORIAL!$G$3:$G$50),0),1,0),0),0),0))</f>
        <v>0</v>
      </c>
    </row>
    <row r="53" spans="1:15" ht="14.1" customHeight="1">
      <c r="A53" s="37">
        <v>1</v>
      </c>
      <c r="B53" s="37" t="s">
        <v>280</v>
      </c>
      <c r="C53" s="37">
        <v>13</v>
      </c>
      <c r="D53" s="56" t="str">
        <f>JUEVES!$A$33</f>
        <v>Crunch</v>
      </c>
      <c r="E53" s="57" t="str">
        <f>JUEVES!$B$33</f>
        <v>Polea</v>
      </c>
      <c r="F53" s="37" t="str">
        <f>JUEVES!$C$33</f>
        <v>polea</v>
      </c>
      <c r="G53" s="37" t="str">
        <f>IFERROR(LOOKUP(2,1/((HISTORIAL!$O$3:$O$51=D53&amp;"|"&amp;E53)*(HISTORIAL!$F$3:$F$51&lt;&gt;"")),HISTORIAL!$F$3:$F$51),"")</f>
        <v/>
      </c>
      <c r="H53" s="37" t="str">
        <f>IFERROR(LOOKUP(2,1/((HISTORIAL!$O$3:$O$51=D53&amp;"|"&amp;E53)*(HISTORIAL!$F$3:$F$51&lt;&gt;"")),HISTORIAL!$G$3:$G$51),"")</f>
        <v/>
      </c>
      <c r="I53" s="37" t="str">
        <f>IFERROR(LOOKUP(2,1/((HISTORIAL!$O$3:$O$51=D53&amp;"|"&amp;E53)*(HISTORIAL!$F$3:$F$51&lt;&gt;"")),HISTORIAL!$H$3:$H$51),"")</f>
        <v/>
      </c>
      <c r="J53" s="37" t="str">
        <f>IFERROR(LOOKUP(2,1/((HISTORIAL!$O$3:$O$51=D53&amp;"|"&amp;E53)*(HISTORIAL!$F$3:$F$51&lt;&gt;"")),HISTORIAL!$I$3:$I$51),"")</f>
        <v/>
      </c>
      <c r="K53" s="58" t="str">
        <f>IFERROR(IF(OR(G53="",N53="SIN"),"--",IF(N53="SUBIR_F",IF(F53="polea",IFERROR(INDEX(CONFIG!$B$25:$B$40,MATCH(G53,CONFIG!$B$25:$B$40,0)+2),IFERROR(INDEX(CONFIG!$B$25:$B$40,MATCH(G53,CONFIG!$B$25:$B$40,0)+1),G53)),G53+5),IF(OR(N53="SUBIR",N53="SUBIR_E"),IF(F53="polea",IFERROR(INDEX(CONFIG!$B$25:$B$40,MATCH(G53,CONFIG!$B$25:$B$40,0)+1),G53),G53+2.5),IF(N53="BAJAR",IF(F53="polea",IFERROR(INDEX(CONFIG!$B$25:$B$40,MAX(1,MATCH(G53,CONFIG!$B$25:$B$40,0)-1)),G53),MAX(0,G53-2.5)),G53)))),"--")</f>
        <v>--</v>
      </c>
      <c r="L53" s="59" t="str">
        <f>IFERROR(IF(N53="SIN","--",IF(N53="MANT",IF(H53="","--",H53+1),IFERROR(VLOOKUP(CONFIG!$E$2,CONFIG!$A$6:$E$8,2,0),"--"))),"--")</f>
        <v>--</v>
      </c>
      <c r="M53" s="59" t="str">
        <f>IFERROR(IF(N53="SIN","--",IF(CONFIG!$E$2="HIP",2,IF(CONFIG!$E$2="FUE",1,2))),"--")</f>
        <v>--</v>
      </c>
      <c r="N53" s="53" t="str">
        <f>IFERROR(IF(G53="","SIN",IF(O53=1,"SUBIR_E",IF(H53&lt;IFERROR(VLOOKUP(CONFIG!$E$2,CONFIG!$A$6:$E$8,2,0),6),"BAJAR",IF(H53+I53&gt;=IFERROR(VLOOKUP(CONFIG!$E$2,CONFIG!$A$6:$E$8,3,0),12),"SUBIR_F",IF(AND(H53&gt;=IFERROR(VLOOKUP(CONFIG!$E$2,CONFIG!$A$6:$E$8,2,0),6)+2,I53&gt;=2),"SUBIR",IF(I53&gt;IFERROR(VLOOKUP(CONFIG!$E$2,CONFIG!$A$6:$E$8,5,0),3),"SUBIR","MANT")))))),"SIN")</f>
        <v>SIN</v>
      </c>
      <c r="O53" s="55">
        <f>IF(COUNTIFS(HISTORIAL!$O$3:$O$51,D53&amp;"|"&amp;E53,HISTORIAL!$F$3:$F$51,"&gt;0")&lt;2,0,IF(COUNTIFS(HISTORIAL!$O$3:$O$51,D53&amp;"|"&amp;E53,HISTORIAL!$F$3:$F$51,IFERROR(LOOKUP(2,1/((HISTORIAL!$O$3:$O$51=D53&amp;"|"&amp;E53)*(HISTORIAL!$F$3:$F$51&gt;0)),HISTORIAL!$F$3:$F$51),0))&gt;=2,IF(IFERROR(LOOKUP(2,1/((HISTORIAL!$O$3:$O$51=D53&amp;"|"&amp;E53)*(HISTORIAL!$F$3:$F$51&gt;0)),HISTORIAL!$G$3:$G$51),0)&gt;0,IF(F53&gt;0,IF(G53&lt;=IFERROR(LOOKUP(2,1/((HISTORIAL!$O$3:$O$51=D53&amp;"|"&amp;E53)*(HISTORIAL!$F$3:$F$51&gt;0)),HISTORIAL!$G$3:$G$51),0),1,0),0),0),0))</f>
        <v>0</v>
      </c>
    </row>
    <row r="54" spans="1:15" ht="14.1" customHeight="1">
      <c r="A54" s="37">
        <v>1</v>
      </c>
      <c r="B54" s="37" t="s">
        <v>281</v>
      </c>
      <c r="C54" s="37">
        <v>1</v>
      </c>
      <c r="D54" s="56" t="str">
        <f>SABADO!$A$13</f>
        <v>Pulldown</v>
      </c>
      <c r="E54" s="57" t="str">
        <f>SABADO!$B$13</f>
        <v>Polea Alta Brazos Rectos Prono</v>
      </c>
      <c r="F54" s="37" t="str">
        <f>SABADO!$C$13</f>
        <v>polea</v>
      </c>
      <c r="G54" s="37" t="str">
        <f>IFERROR(LOOKUP(2,1/((HISTORIAL!$O$3:$O$52=D54&amp;"|"&amp;E54)*(HISTORIAL!$F$3:$F$52&lt;&gt;"")),HISTORIAL!$F$3:$F$52),"")</f>
        <v/>
      </c>
      <c r="H54" s="37" t="str">
        <f>IFERROR(LOOKUP(2,1/((HISTORIAL!$O$3:$O$52=D54&amp;"|"&amp;E54)*(HISTORIAL!$F$3:$F$52&lt;&gt;"")),HISTORIAL!$G$3:$G$52),"")</f>
        <v/>
      </c>
      <c r="I54" s="37" t="str">
        <f>IFERROR(LOOKUP(2,1/((HISTORIAL!$O$3:$O$52=D54&amp;"|"&amp;E54)*(HISTORIAL!$F$3:$F$52&lt;&gt;"")),HISTORIAL!$H$3:$H$52),"")</f>
        <v/>
      </c>
      <c r="J54" s="37" t="str">
        <f>IFERROR(LOOKUP(2,1/((HISTORIAL!$O$3:$O$52=D54&amp;"|"&amp;E54)*(HISTORIAL!$F$3:$F$52&lt;&gt;"")),HISTORIAL!$I$3:$I$52),"")</f>
        <v/>
      </c>
      <c r="K54" s="58" t="str">
        <f>IFERROR(IF(OR(G54="",N54="SIN"),"--",IF(N54="SUBIR_F",IF(F54="polea",IFERROR(INDEX(CONFIG!$B$25:$B$40,MATCH(G54,CONFIG!$B$25:$B$40,0)+2),IFERROR(INDEX(CONFIG!$B$25:$B$40,MATCH(G54,CONFIG!$B$25:$B$40,0)+1),G54)),G54+5),IF(OR(N54="SUBIR",N54="SUBIR_E"),IF(F54="polea",IFERROR(INDEX(CONFIG!$B$25:$B$40,MATCH(G54,CONFIG!$B$25:$B$40,0)+1),G54),G54+2.5),IF(N54="BAJAR",IF(F54="polea",IFERROR(INDEX(CONFIG!$B$25:$B$40,MAX(1,MATCH(G54,CONFIG!$B$25:$B$40,0)-1)),G54),MAX(0,G54-2.5)),G54)))),"--")</f>
        <v>--</v>
      </c>
      <c r="L54" s="59" t="str">
        <f>IFERROR(IF(N54="SIN","--",IF(N54="MANT",IF(H54="","--",H54+1),IFERROR(VLOOKUP(CONFIG!$E$2,CONFIG!$A$6:$E$8,2,0),"--"))),"--")</f>
        <v>--</v>
      </c>
      <c r="M54" s="59" t="str">
        <f>IFERROR(IF(N54="SIN","--",IF(CONFIG!$E$2="HIP",2,IF(CONFIG!$E$2="FUE",1,2))),"--")</f>
        <v>--</v>
      </c>
      <c r="N54" s="53" t="str">
        <f>IFERROR(IF(G54="","SIN",IF(O54=1,"SUBIR_E",IF(H54&lt;IFERROR(VLOOKUP(CONFIG!$E$2,CONFIG!$A$6:$E$8,2,0),6),"BAJAR",IF(H54+I54&gt;=IFERROR(VLOOKUP(CONFIG!$E$2,CONFIG!$A$6:$E$8,3,0),12),"SUBIR_F",IF(AND(H54&gt;=IFERROR(VLOOKUP(CONFIG!$E$2,CONFIG!$A$6:$E$8,2,0),6)+2,I54&gt;=2),"SUBIR",IF(I54&gt;IFERROR(VLOOKUP(CONFIG!$E$2,CONFIG!$A$6:$E$8,5,0),3),"SUBIR","MANT")))))),"SIN")</f>
        <v>SIN</v>
      </c>
      <c r="O54" s="55">
        <f>IF(COUNTIFS(HISTORIAL!$O$3:$O$52,D54&amp;"|"&amp;E54,HISTORIAL!$F$3:$F$52,"&gt;0")&lt;2,0,IF(COUNTIFS(HISTORIAL!$O$3:$O$52,D54&amp;"|"&amp;E54,HISTORIAL!$F$3:$F$52,IFERROR(LOOKUP(2,1/((HISTORIAL!$O$3:$O$52=D54&amp;"|"&amp;E54)*(HISTORIAL!$F$3:$F$52&gt;0)),HISTORIAL!$F$3:$F$52),0))&gt;=2,IF(IFERROR(LOOKUP(2,1/((HISTORIAL!$O$3:$O$52=D54&amp;"|"&amp;E54)*(HISTORIAL!$F$3:$F$52&gt;0)),HISTORIAL!$G$3:$G$52),0)&gt;0,IF(F54&gt;0,IF(G54&lt;=IFERROR(LOOKUP(2,1/((HISTORIAL!$O$3:$O$52=D54&amp;"|"&amp;E54)*(HISTORIAL!$F$3:$F$52&gt;0)),HISTORIAL!$G$3:$G$52),0),1,0),0),0),0))</f>
        <v>0</v>
      </c>
    </row>
    <row r="55" spans="1:15" ht="14.1" customHeight="1">
      <c r="A55" s="37">
        <v>1</v>
      </c>
      <c r="B55" s="37" t="s">
        <v>281</v>
      </c>
      <c r="C55" s="37">
        <v>2</v>
      </c>
      <c r="D55" s="56" t="str">
        <f>SABADO!$A$15</f>
        <v>Remo</v>
      </c>
      <c r="E55" s="57" t="str">
        <f>SABADO!$B$15</f>
        <v>Maquina Neutro Estrecho</v>
      </c>
      <c r="F55" s="37" t="str">
        <f>SABADO!$C$15</f>
        <v>polea</v>
      </c>
      <c r="G55" s="37" t="str">
        <f>IFERROR(LOOKUP(2,1/((HISTORIAL!$O$3:$O$53=D55&amp;"|"&amp;E55)*(HISTORIAL!$F$3:$F$53&lt;&gt;"")),HISTORIAL!$F$3:$F$53),"")</f>
        <v/>
      </c>
      <c r="H55" s="37" t="str">
        <f>IFERROR(LOOKUP(2,1/((HISTORIAL!$O$3:$O$53=D55&amp;"|"&amp;E55)*(HISTORIAL!$F$3:$F$53&lt;&gt;"")),HISTORIAL!$G$3:$G$53),"")</f>
        <v/>
      </c>
      <c r="I55" s="37" t="str">
        <f>IFERROR(LOOKUP(2,1/((HISTORIAL!$O$3:$O$53=D55&amp;"|"&amp;E55)*(HISTORIAL!$F$3:$F$53&lt;&gt;"")),HISTORIAL!$H$3:$H$53),"")</f>
        <v/>
      </c>
      <c r="J55" s="37" t="str">
        <f>IFERROR(LOOKUP(2,1/((HISTORIAL!$O$3:$O$53=D55&amp;"|"&amp;E55)*(HISTORIAL!$F$3:$F$53&lt;&gt;"")),HISTORIAL!$I$3:$I$53),"")</f>
        <v/>
      </c>
      <c r="K55" s="58" t="str">
        <f>IFERROR(IF(OR(G55="",N55="SIN"),"--",IF(N55="SUBIR_F",IF(F55="polea",IFERROR(INDEX(CONFIG!$B$25:$B$40,MATCH(G55,CONFIG!$B$25:$B$40,0)+2),IFERROR(INDEX(CONFIG!$B$25:$B$40,MATCH(G55,CONFIG!$B$25:$B$40,0)+1),G55)),G55+5),IF(OR(N55="SUBIR",N55="SUBIR_E"),IF(F55="polea",IFERROR(INDEX(CONFIG!$B$25:$B$40,MATCH(G55,CONFIG!$B$25:$B$40,0)+1),G55),G55+2.5),IF(N55="BAJAR",IF(F55="polea",IFERROR(INDEX(CONFIG!$B$25:$B$40,MAX(1,MATCH(G55,CONFIG!$B$25:$B$40,0)-1)),G55),MAX(0,G55-2.5)),G55)))),"--")</f>
        <v>--</v>
      </c>
      <c r="L55" s="59" t="str">
        <f>IFERROR(IF(N55="SIN","--",IF(N55="MANT",IF(H55="","--",H55+1),IFERROR(VLOOKUP(CONFIG!$E$2,CONFIG!$A$6:$E$8,2,0),"--"))),"--")</f>
        <v>--</v>
      </c>
      <c r="M55" s="59" t="str">
        <f>IFERROR(IF(N55="SIN","--",IF(CONFIG!$E$2="HIP",2,IF(CONFIG!$E$2="FUE",1,2))),"--")</f>
        <v>--</v>
      </c>
      <c r="N55" s="53" t="str">
        <f>IFERROR(IF(G55="","SIN",IF(O55=1,"SUBIR_E",IF(H55&lt;IFERROR(VLOOKUP(CONFIG!$E$2,CONFIG!$A$6:$E$8,2,0),6),"BAJAR",IF(H55+I55&gt;=IFERROR(VLOOKUP(CONFIG!$E$2,CONFIG!$A$6:$E$8,3,0),12),"SUBIR_F",IF(AND(H55&gt;=IFERROR(VLOOKUP(CONFIG!$E$2,CONFIG!$A$6:$E$8,2,0),6)+2,I55&gt;=2),"SUBIR",IF(I55&gt;IFERROR(VLOOKUP(CONFIG!$E$2,CONFIG!$A$6:$E$8,5,0),3),"SUBIR","MANT")))))),"SIN")</f>
        <v>SIN</v>
      </c>
      <c r="O55" s="55">
        <f>IF(COUNTIFS(HISTORIAL!$O$3:$O$53,D55&amp;"|"&amp;E55,HISTORIAL!$F$3:$F$53,"&gt;0")&lt;2,0,IF(COUNTIFS(HISTORIAL!$O$3:$O$53,D55&amp;"|"&amp;E55,HISTORIAL!$F$3:$F$53,IFERROR(LOOKUP(2,1/((HISTORIAL!$O$3:$O$53=D55&amp;"|"&amp;E55)*(HISTORIAL!$F$3:$F$53&gt;0)),HISTORIAL!$F$3:$F$53),0))&gt;=2,IF(IFERROR(LOOKUP(2,1/((HISTORIAL!$O$3:$O$53=D55&amp;"|"&amp;E55)*(HISTORIAL!$F$3:$F$53&gt;0)),HISTORIAL!$G$3:$G$53),0)&gt;0,IF(F55&gt;0,IF(G55&lt;=IFERROR(LOOKUP(2,1/((HISTORIAL!$O$3:$O$53=D55&amp;"|"&amp;E55)*(HISTORIAL!$F$3:$F$53&gt;0)),HISTORIAL!$G$3:$G$53),0),1,0),0),0),0))</f>
        <v>0</v>
      </c>
    </row>
    <row r="56" spans="1:15" ht="14.1" customHeight="1">
      <c r="A56" s="37">
        <v>1</v>
      </c>
      <c r="B56" s="37" t="s">
        <v>281</v>
      </c>
      <c r="C56" s="37">
        <v>3</v>
      </c>
      <c r="D56" s="56" t="str">
        <f>SABADO!$A$16</f>
        <v>Remo</v>
      </c>
      <c r="E56" s="57" t="str">
        <f>SABADO!$B$16</f>
        <v>Maquina Neutro Ancho</v>
      </c>
      <c r="F56" s="37" t="str">
        <f>SABADO!$C$16</f>
        <v>polea</v>
      </c>
      <c r="G56" s="37" t="str">
        <f>IFERROR(LOOKUP(2,1/((HISTORIAL!$O$3:$O$54=D56&amp;"|"&amp;E56)*(HISTORIAL!$F$3:$F$54&lt;&gt;"")),HISTORIAL!$F$3:$F$54),"")</f>
        <v/>
      </c>
      <c r="H56" s="37" t="str">
        <f>IFERROR(LOOKUP(2,1/((HISTORIAL!$O$3:$O$54=D56&amp;"|"&amp;E56)*(HISTORIAL!$F$3:$F$54&lt;&gt;"")),HISTORIAL!$G$3:$G$54),"")</f>
        <v/>
      </c>
      <c r="I56" s="37" t="str">
        <f>IFERROR(LOOKUP(2,1/((HISTORIAL!$O$3:$O$54=D56&amp;"|"&amp;E56)*(HISTORIAL!$F$3:$F$54&lt;&gt;"")),HISTORIAL!$H$3:$H$54),"")</f>
        <v/>
      </c>
      <c r="J56" s="37" t="str">
        <f>IFERROR(LOOKUP(2,1/((HISTORIAL!$O$3:$O$54=D56&amp;"|"&amp;E56)*(HISTORIAL!$F$3:$F$54&lt;&gt;"")),HISTORIAL!$I$3:$I$54),"")</f>
        <v/>
      </c>
      <c r="K56" s="58" t="str">
        <f>IFERROR(IF(OR(G56="",N56="SIN"),"--",IF(N56="SUBIR_F",IF(F56="polea",IFERROR(INDEX(CONFIG!$B$25:$B$40,MATCH(G56,CONFIG!$B$25:$B$40,0)+2),IFERROR(INDEX(CONFIG!$B$25:$B$40,MATCH(G56,CONFIG!$B$25:$B$40,0)+1),G56)),G56+5),IF(OR(N56="SUBIR",N56="SUBIR_E"),IF(F56="polea",IFERROR(INDEX(CONFIG!$B$25:$B$40,MATCH(G56,CONFIG!$B$25:$B$40,0)+1),G56),G56+2.5),IF(N56="BAJAR",IF(F56="polea",IFERROR(INDEX(CONFIG!$B$25:$B$40,MAX(1,MATCH(G56,CONFIG!$B$25:$B$40,0)-1)),G56),MAX(0,G56-2.5)),G56)))),"--")</f>
        <v>--</v>
      </c>
      <c r="L56" s="59" t="str">
        <f>IFERROR(IF(N56="SIN","--",IF(N56="MANT",IF(H56="","--",H56+1),IFERROR(VLOOKUP(CONFIG!$E$2,CONFIG!$A$6:$E$8,2,0),"--"))),"--")</f>
        <v>--</v>
      </c>
      <c r="M56" s="59" t="str">
        <f>IFERROR(IF(N56="SIN","--",IF(CONFIG!$E$2="HIP",2,IF(CONFIG!$E$2="FUE",1,2))),"--")</f>
        <v>--</v>
      </c>
      <c r="N56" s="53" t="str">
        <f>IFERROR(IF(G56="","SIN",IF(O56=1,"SUBIR_E",IF(H56&lt;IFERROR(VLOOKUP(CONFIG!$E$2,CONFIG!$A$6:$E$8,2,0),6),"BAJAR",IF(H56+I56&gt;=IFERROR(VLOOKUP(CONFIG!$E$2,CONFIG!$A$6:$E$8,3,0),12),"SUBIR_F",IF(AND(H56&gt;=IFERROR(VLOOKUP(CONFIG!$E$2,CONFIG!$A$6:$E$8,2,0),6)+2,I56&gt;=2),"SUBIR",IF(I56&gt;IFERROR(VLOOKUP(CONFIG!$E$2,CONFIG!$A$6:$E$8,5,0),3),"SUBIR","MANT")))))),"SIN")</f>
        <v>SIN</v>
      </c>
      <c r="O56" s="55">
        <f>IF(COUNTIFS(HISTORIAL!$O$3:$O$54,D56&amp;"|"&amp;E56,HISTORIAL!$F$3:$F$54,"&gt;0")&lt;2,0,IF(COUNTIFS(HISTORIAL!$O$3:$O$54,D56&amp;"|"&amp;E56,HISTORIAL!$F$3:$F$54,IFERROR(LOOKUP(2,1/((HISTORIAL!$O$3:$O$54=D56&amp;"|"&amp;E56)*(HISTORIAL!$F$3:$F$54&gt;0)),HISTORIAL!$F$3:$F$54),0))&gt;=2,IF(IFERROR(LOOKUP(2,1/((HISTORIAL!$O$3:$O$54=D56&amp;"|"&amp;E56)*(HISTORIAL!$F$3:$F$54&gt;0)),HISTORIAL!$G$3:$G$54),0)&gt;0,IF(F56&gt;0,IF(G56&lt;=IFERROR(LOOKUP(2,1/((HISTORIAL!$O$3:$O$54=D56&amp;"|"&amp;E56)*(HISTORIAL!$F$3:$F$54&gt;0)),HISTORIAL!$G$3:$G$54),0),1,0),0),0),0))</f>
        <v>0</v>
      </c>
    </row>
    <row r="57" spans="1:15" ht="14.1" customHeight="1">
      <c r="A57" s="37">
        <v>1</v>
      </c>
      <c r="B57" s="37" t="s">
        <v>281</v>
      </c>
      <c r="C57" s="37">
        <v>4</v>
      </c>
      <c r="D57" s="56" t="str">
        <f>SABADO!$A$17</f>
        <v>Peck Deck Invertida</v>
      </c>
      <c r="E57" s="57" t="str">
        <f>SABADO!$B$17</f>
        <v>Maquina</v>
      </c>
      <c r="F57" s="37" t="str">
        <f>SABADO!$C$17</f>
        <v>polea</v>
      </c>
      <c r="G57" s="37" t="str">
        <f>IFERROR(LOOKUP(2,1/((HISTORIAL!$O$3:$O$55=D57&amp;"|"&amp;E57)*(HISTORIAL!$F$3:$F$55&lt;&gt;"")),HISTORIAL!$F$3:$F$55),"")</f>
        <v/>
      </c>
      <c r="H57" s="37" t="str">
        <f>IFERROR(LOOKUP(2,1/((HISTORIAL!$O$3:$O$55=D57&amp;"|"&amp;E57)*(HISTORIAL!$F$3:$F$55&lt;&gt;"")),HISTORIAL!$G$3:$G$55),"")</f>
        <v/>
      </c>
      <c r="I57" s="37" t="str">
        <f>IFERROR(LOOKUP(2,1/((HISTORIAL!$O$3:$O$55=D57&amp;"|"&amp;E57)*(HISTORIAL!$F$3:$F$55&lt;&gt;"")),HISTORIAL!$H$3:$H$55),"")</f>
        <v/>
      </c>
      <c r="J57" s="37" t="str">
        <f>IFERROR(LOOKUP(2,1/((HISTORIAL!$O$3:$O$55=D57&amp;"|"&amp;E57)*(HISTORIAL!$F$3:$F$55&lt;&gt;"")),HISTORIAL!$I$3:$I$55),"")</f>
        <v/>
      </c>
      <c r="K57" s="58" t="str">
        <f>IFERROR(IF(OR(G57="",N57="SIN"),"--",IF(N57="SUBIR_F",IF(F57="polea",IFERROR(INDEX(CONFIG!$B$25:$B$40,MATCH(G57,CONFIG!$B$25:$B$40,0)+2),IFERROR(INDEX(CONFIG!$B$25:$B$40,MATCH(G57,CONFIG!$B$25:$B$40,0)+1),G57)),G57+5),IF(OR(N57="SUBIR",N57="SUBIR_E"),IF(F57="polea",IFERROR(INDEX(CONFIG!$B$25:$B$40,MATCH(G57,CONFIG!$B$25:$B$40,0)+1),G57),G57+2.5),IF(N57="BAJAR",IF(F57="polea",IFERROR(INDEX(CONFIG!$B$25:$B$40,MAX(1,MATCH(G57,CONFIG!$B$25:$B$40,0)-1)),G57),MAX(0,G57-2.5)),G57)))),"--")</f>
        <v>--</v>
      </c>
      <c r="L57" s="59" t="str">
        <f>IFERROR(IF(N57="SIN","--",IF(N57="MANT",IF(H57="","--",H57+1),IFERROR(VLOOKUP(CONFIG!$E$2,CONFIG!$A$6:$E$8,2,0),"--"))),"--")</f>
        <v>--</v>
      </c>
      <c r="M57" s="59" t="str">
        <f>IFERROR(IF(N57="SIN","--",IF(CONFIG!$E$2="HIP",2,IF(CONFIG!$E$2="FUE",1,2))),"--")</f>
        <v>--</v>
      </c>
      <c r="N57" s="53" t="str">
        <f>IFERROR(IF(G57="","SIN",IF(O57=1,"SUBIR_E",IF(H57&lt;IFERROR(VLOOKUP(CONFIG!$E$2,CONFIG!$A$6:$E$8,2,0),6),"BAJAR",IF(H57+I57&gt;=IFERROR(VLOOKUP(CONFIG!$E$2,CONFIG!$A$6:$E$8,3,0),12),"SUBIR_F",IF(AND(H57&gt;=IFERROR(VLOOKUP(CONFIG!$E$2,CONFIG!$A$6:$E$8,2,0),6)+2,I57&gt;=2),"SUBIR",IF(I57&gt;IFERROR(VLOOKUP(CONFIG!$E$2,CONFIG!$A$6:$E$8,5,0),3),"SUBIR","MANT")))))),"SIN")</f>
        <v>SIN</v>
      </c>
      <c r="O57" s="55">
        <f>IF(COUNTIFS(HISTORIAL!$O$3:$O$55,D57&amp;"|"&amp;E57,HISTORIAL!$F$3:$F$55,"&gt;0")&lt;2,0,IF(COUNTIFS(HISTORIAL!$O$3:$O$55,D57&amp;"|"&amp;E57,HISTORIAL!$F$3:$F$55,IFERROR(LOOKUP(2,1/((HISTORIAL!$O$3:$O$55=D57&amp;"|"&amp;E57)*(HISTORIAL!$F$3:$F$55&gt;0)),HISTORIAL!$F$3:$F$55),0))&gt;=2,IF(IFERROR(LOOKUP(2,1/((HISTORIAL!$O$3:$O$55=D57&amp;"|"&amp;E57)*(HISTORIAL!$F$3:$F$55&gt;0)),HISTORIAL!$G$3:$G$55),0)&gt;0,IF(F57&gt;0,IF(G57&lt;=IFERROR(LOOKUP(2,1/((HISTORIAL!$O$3:$O$55=D57&amp;"|"&amp;E57)*(HISTORIAL!$F$3:$F$55&gt;0)),HISTORIAL!$G$3:$G$55),0),1,0),0),0),0))</f>
        <v>0</v>
      </c>
    </row>
    <row r="58" spans="1:15" ht="14.1" customHeight="1">
      <c r="A58" s="37">
        <v>1</v>
      </c>
      <c r="B58" s="37" t="s">
        <v>281</v>
      </c>
      <c r="C58" s="37">
        <v>5</v>
      </c>
      <c r="D58" s="56" t="str">
        <f>SABADO!$A$19</f>
        <v>Curl Biceps</v>
      </c>
      <c r="E58" s="57" t="str">
        <f>SABADO!$B$19</f>
        <v>Concentrado Maquina</v>
      </c>
      <c r="F58" s="37" t="str">
        <f>SABADO!$C$19</f>
        <v>polea</v>
      </c>
      <c r="G58" s="37" t="str">
        <f>IFERROR(LOOKUP(2,1/((HISTORIAL!$O$3:$O$56=D58&amp;"|"&amp;E58)*(HISTORIAL!$F$3:$F$56&lt;&gt;"")),HISTORIAL!$F$3:$F$56),"")</f>
        <v/>
      </c>
      <c r="H58" s="37" t="str">
        <f>IFERROR(LOOKUP(2,1/((HISTORIAL!$O$3:$O$56=D58&amp;"|"&amp;E58)*(HISTORIAL!$F$3:$F$56&lt;&gt;"")),HISTORIAL!$G$3:$G$56),"")</f>
        <v/>
      </c>
      <c r="I58" s="37" t="str">
        <f>IFERROR(LOOKUP(2,1/((HISTORIAL!$O$3:$O$56=D58&amp;"|"&amp;E58)*(HISTORIAL!$F$3:$F$56&lt;&gt;"")),HISTORIAL!$H$3:$H$56),"")</f>
        <v/>
      </c>
      <c r="J58" s="37" t="str">
        <f>IFERROR(LOOKUP(2,1/((HISTORIAL!$O$3:$O$56=D58&amp;"|"&amp;E58)*(HISTORIAL!$F$3:$F$56&lt;&gt;"")),HISTORIAL!$I$3:$I$56),"")</f>
        <v/>
      </c>
      <c r="K58" s="58" t="str">
        <f>IFERROR(IF(OR(G58="",N58="SIN"),"--",IF(N58="SUBIR_F",IF(F58="polea",IFERROR(INDEX(CONFIG!$B$25:$B$40,MATCH(G58,CONFIG!$B$25:$B$40,0)+2),IFERROR(INDEX(CONFIG!$B$25:$B$40,MATCH(G58,CONFIG!$B$25:$B$40,0)+1),G58)),G58+5),IF(OR(N58="SUBIR",N58="SUBIR_E"),IF(F58="polea",IFERROR(INDEX(CONFIG!$B$25:$B$40,MATCH(G58,CONFIG!$B$25:$B$40,0)+1),G58),G58+2.5),IF(N58="BAJAR",IF(F58="polea",IFERROR(INDEX(CONFIG!$B$25:$B$40,MAX(1,MATCH(G58,CONFIG!$B$25:$B$40,0)-1)),G58),MAX(0,G58-2.5)),G58)))),"--")</f>
        <v>--</v>
      </c>
      <c r="L58" s="59" t="str">
        <f>IFERROR(IF(N58="SIN","--",IF(N58="MANT",IF(H58="","--",H58+1),IFERROR(VLOOKUP(CONFIG!$E$2,CONFIG!$A$6:$E$8,2,0),"--"))),"--")</f>
        <v>--</v>
      </c>
      <c r="M58" s="59" t="str">
        <f>IFERROR(IF(N58="SIN","--",IF(CONFIG!$E$2="HIP",2,IF(CONFIG!$E$2="FUE",1,2))),"--")</f>
        <v>--</v>
      </c>
      <c r="N58" s="53" t="str">
        <f>IFERROR(IF(G58="","SIN",IF(O58=1,"SUBIR_E",IF(H58&lt;IFERROR(VLOOKUP(CONFIG!$E$2,CONFIG!$A$6:$E$8,2,0),6),"BAJAR",IF(H58+I58&gt;=IFERROR(VLOOKUP(CONFIG!$E$2,CONFIG!$A$6:$E$8,3,0),12),"SUBIR_F",IF(AND(H58&gt;=IFERROR(VLOOKUP(CONFIG!$E$2,CONFIG!$A$6:$E$8,2,0),6)+2,I58&gt;=2),"SUBIR",IF(I58&gt;IFERROR(VLOOKUP(CONFIG!$E$2,CONFIG!$A$6:$E$8,5,0),3),"SUBIR","MANT")))))),"SIN")</f>
        <v>SIN</v>
      </c>
      <c r="O58" s="55">
        <f>IF(COUNTIFS(HISTORIAL!$O$3:$O$56,D58&amp;"|"&amp;E58,HISTORIAL!$F$3:$F$56,"&gt;0")&lt;2,0,IF(COUNTIFS(HISTORIAL!$O$3:$O$56,D58&amp;"|"&amp;E58,HISTORIAL!$F$3:$F$56,IFERROR(LOOKUP(2,1/((HISTORIAL!$O$3:$O$56=D58&amp;"|"&amp;E58)*(HISTORIAL!$F$3:$F$56&gt;0)),HISTORIAL!$F$3:$F$56),0))&gt;=2,IF(IFERROR(LOOKUP(2,1/((HISTORIAL!$O$3:$O$56=D58&amp;"|"&amp;E58)*(HISTORIAL!$F$3:$F$56&gt;0)),HISTORIAL!$G$3:$G$56),0)&gt;0,IF(F58&gt;0,IF(G58&lt;=IFERROR(LOOKUP(2,1/((HISTORIAL!$O$3:$O$56=D58&amp;"|"&amp;E58)*(HISTORIAL!$F$3:$F$56&gt;0)),HISTORIAL!$G$3:$G$56),0),1,0),0),0),0))</f>
        <v>0</v>
      </c>
    </row>
    <row r="59" spans="1:15" ht="14.1" customHeight="1">
      <c r="A59" s="37">
        <v>1</v>
      </c>
      <c r="B59" s="37" t="s">
        <v>281</v>
      </c>
      <c r="C59" s="37">
        <v>6</v>
      </c>
      <c r="D59" s="56" t="str">
        <f>SABADO!$A$20</f>
        <v>Curl Martillo</v>
      </c>
      <c r="E59" s="57" t="str">
        <f>SABADO!$B$20</f>
        <v>Polea Individual</v>
      </c>
      <c r="F59" s="37" t="str">
        <f>SABADO!$C$20</f>
        <v>polea</v>
      </c>
      <c r="G59" s="37" t="str">
        <f>IFERROR(LOOKUP(2,1/((HISTORIAL!$O$3:$O$57=D59&amp;"|"&amp;E59)*(HISTORIAL!$F$3:$F$57&lt;&gt;"")),HISTORIAL!$F$3:$F$57),"")</f>
        <v/>
      </c>
      <c r="H59" s="37" t="str">
        <f>IFERROR(LOOKUP(2,1/((HISTORIAL!$O$3:$O$57=D59&amp;"|"&amp;E59)*(HISTORIAL!$F$3:$F$57&lt;&gt;"")),HISTORIAL!$G$3:$G$57),"")</f>
        <v/>
      </c>
      <c r="I59" s="37" t="str">
        <f>IFERROR(LOOKUP(2,1/((HISTORIAL!$O$3:$O$57=D59&amp;"|"&amp;E59)*(HISTORIAL!$F$3:$F$57&lt;&gt;"")),HISTORIAL!$H$3:$H$57),"")</f>
        <v/>
      </c>
      <c r="J59" s="37" t="str">
        <f>IFERROR(LOOKUP(2,1/((HISTORIAL!$O$3:$O$57=D59&amp;"|"&amp;E59)*(HISTORIAL!$F$3:$F$57&lt;&gt;"")),HISTORIAL!$I$3:$I$57),"")</f>
        <v/>
      </c>
      <c r="K59" s="58" t="str">
        <f>IFERROR(IF(OR(G59="",N59="SIN"),"--",IF(N59="SUBIR_F",IF(F59="polea",IFERROR(INDEX(CONFIG!$B$25:$B$40,MATCH(G59,CONFIG!$B$25:$B$40,0)+2),IFERROR(INDEX(CONFIG!$B$25:$B$40,MATCH(G59,CONFIG!$B$25:$B$40,0)+1),G59)),G59+5),IF(OR(N59="SUBIR",N59="SUBIR_E"),IF(F59="polea",IFERROR(INDEX(CONFIG!$B$25:$B$40,MATCH(G59,CONFIG!$B$25:$B$40,0)+1),G59),G59+2.5),IF(N59="BAJAR",IF(F59="polea",IFERROR(INDEX(CONFIG!$B$25:$B$40,MAX(1,MATCH(G59,CONFIG!$B$25:$B$40,0)-1)),G59),MAX(0,G59-2.5)),G59)))),"--")</f>
        <v>--</v>
      </c>
      <c r="L59" s="59" t="str">
        <f>IFERROR(IF(N59="SIN","--",IF(N59="MANT",IF(H59="","--",H59+1),IFERROR(VLOOKUP(CONFIG!$E$2,CONFIG!$A$6:$E$8,2,0),"--"))),"--")</f>
        <v>--</v>
      </c>
      <c r="M59" s="59" t="str">
        <f>IFERROR(IF(N59="SIN","--",IF(CONFIG!$E$2="HIP",2,IF(CONFIG!$E$2="FUE",1,2))),"--")</f>
        <v>--</v>
      </c>
      <c r="N59" s="53" t="str">
        <f>IFERROR(IF(G59="","SIN",IF(O59=1,"SUBIR_E",IF(H59&lt;IFERROR(VLOOKUP(CONFIG!$E$2,CONFIG!$A$6:$E$8,2,0),6),"BAJAR",IF(H59+I59&gt;=IFERROR(VLOOKUP(CONFIG!$E$2,CONFIG!$A$6:$E$8,3,0),12),"SUBIR_F",IF(AND(H59&gt;=IFERROR(VLOOKUP(CONFIG!$E$2,CONFIG!$A$6:$E$8,2,0),6)+2,I59&gt;=2),"SUBIR",IF(I59&gt;IFERROR(VLOOKUP(CONFIG!$E$2,CONFIG!$A$6:$E$8,5,0),3),"SUBIR","MANT")))))),"SIN")</f>
        <v>SIN</v>
      </c>
      <c r="O59" s="55">
        <f>IF(COUNTIFS(HISTORIAL!$O$3:$O$57,D59&amp;"|"&amp;E59,HISTORIAL!$F$3:$F$57,"&gt;0")&lt;2,0,IF(COUNTIFS(HISTORIAL!$O$3:$O$57,D59&amp;"|"&amp;E59,HISTORIAL!$F$3:$F$57,IFERROR(LOOKUP(2,1/((HISTORIAL!$O$3:$O$57=D59&amp;"|"&amp;E59)*(HISTORIAL!$F$3:$F$57&gt;0)),HISTORIAL!$F$3:$F$57),0))&gt;=2,IF(IFERROR(LOOKUP(2,1/((HISTORIAL!$O$3:$O$57=D59&amp;"|"&amp;E59)*(HISTORIAL!$F$3:$F$57&gt;0)),HISTORIAL!$G$3:$G$57),0)&gt;0,IF(F59&gt;0,IF(G59&lt;=IFERROR(LOOKUP(2,1/((HISTORIAL!$O$3:$O$57=D59&amp;"|"&amp;E59)*(HISTORIAL!$F$3:$F$57&gt;0)),HISTORIAL!$G$3:$G$57),0),1,0),0),0),0))</f>
        <v>0</v>
      </c>
    </row>
    <row r="60" spans="1:15" ht="14.1" customHeight="1">
      <c r="A60" s="37">
        <v>1</v>
      </c>
      <c r="B60" s="37" t="s">
        <v>281</v>
      </c>
      <c r="C60" s="37">
        <v>7</v>
      </c>
      <c r="D60" s="56" t="str">
        <f>SABADO!$A$22</f>
        <v>Curl Muneca</v>
      </c>
      <c r="E60" s="57" t="str">
        <f>SABADO!$B$22</f>
        <v>Supinado</v>
      </c>
      <c r="F60" s="37" t="str">
        <f>SABADO!$C$22</f>
        <v>mancuerna</v>
      </c>
      <c r="G60" s="37" t="str">
        <f>IFERROR(LOOKUP(2,1/((HISTORIAL!$O$3:$O$58=D60&amp;"|"&amp;E60)*(HISTORIAL!$F$3:$F$58&lt;&gt;"")),HISTORIAL!$F$3:$F$58),"")</f>
        <v/>
      </c>
      <c r="H60" s="37" t="str">
        <f>IFERROR(LOOKUP(2,1/((HISTORIAL!$O$3:$O$58=D60&amp;"|"&amp;E60)*(HISTORIAL!$F$3:$F$58&lt;&gt;"")),HISTORIAL!$G$3:$G$58),"")</f>
        <v/>
      </c>
      <c r="I60" s="37" t="str">
        <f>IFERROR(LOOKUP(2,1/((HISTORIAL!$O$3:$O$58=D60&amp;"|"&amp;E60)*(HISTORIAL!$F$3:$F$58&lt;&gt;"")),HISTORIAL!$H$3:$H$58),"")</f>
        <v/>
      </c>
      <c r="J60" s="37" t="str">
        <f>IFERROR(LOOKUP(2,1/((HISTORIAL!$O$3:$O$58=D60&amp;"|"&amp;E60)*(HISTORIAL!$F$3:$F$58&lt;&gt;"")),HISTORIAL!$I$3:$I$58),"")</f>
        <v/>
      </c>
      <c r="K60" s="58" t="str">
        <f>IFERROR(IF(OR(G60="",N60="SIN"),"--",IF(N60="SUBIR_F",IF(F60="polea",IFERROR(INDEX(CONFIG!$B$25:$B$40,MATCH(G60,CONFIG!$B$25:$B$40,0)+2),IFERROR(INDEX(CONFIG!$B$25:$B$40,MATCH(G60,CONFIG!$B$25:$B$40,0)+1),G60)),G60+5),IF(OR(N60="SUBIR",N60="SUBIR_E"),IF(F60="polea",IFERROR(INDEX(CONFIG!$B$25:$B$40,MATCH(G60,CONFIG!$B$25:$B$40,0)+1),G60),G60+2.5),IF(N60="BAJAR",IF(F60="polea",IFERROR(INDEX(CONFIG!$B$25:$B$40,MAX(1,MATCH(G60,CONFIG!$B$25:$B$40,0)-1)),G60),MAX(0,G60-2.5)),G60)))),"--")</f>
        <v>--</v>
      </c>
      <c r="L60" s="59" t="str">
        <f>IFERROR(IF(N60="SIN","--",IF(N60="MANT",IF(H60="","--",H60+1),IFERROR(VLOOKUP(CONFIG!$E$2,CONFIG!$A$6:$E$8,2,0),"--"))),"--")</f>
        <v>--</v>
      </c>
      <c r="M60" s="59" t="str">
        <f>IFERROR(IF(N60="SIN","--",IF(CONFIG!$E$2="HIP",2,IF(CONFIG!$E$2="FUE",1,2))),"--")</f>
        <v>--</v>
      </c>
      <c r="N60" s="53" t="str">
        <f>IFERROR(IF(G60="","SIN",IF(O60=1,"SUBIR_E",IF(H60&lt;IFERROR(VLOOKUP(CONFIG!$E$2,CONFIG!$A$6:$E$8,2,0),6),"BAJAR",IF(H60+I60&gt;=IFERROR(VLOOKUP(CONFIG!$E$2,CONFIG!$A$6:$E$8,3,0),12),"SUBIR_F",IF(AND(H60&gt;=IFERROR(VLOOKUP(CONFIG!$E$2,CONFIG!$A$6:$E$8,2,0),6)+2,I60&gt;=2),"SUBIR",IF(I60&gt;IFERROR(VLOOKUP(CONFIG!$E$2,CONFIG!$A$6:$E$8,5,0),3),"SUBIR","MANT")))))),"SIN")</f>
        <v>SIN</v>
      </c>
      <c r="O60" s="55">
        <f>IF(COUNTIFS(HISTORIAL!$O$3:$O$58,D60&amp;"|"&amp;E60,HISTORIAL!$F$3:$F$58,"&gt;0")&lt;2,0,IF(COUNTIFS(HISTORIAL!$O$3:$O$58,D60&amp;"|"&amp;E60,HISTORIAL!$F$3:$F$58,IFERROR(LOOKUP(2,1/((HISTORIAL!$O$3:$O$58=D60&amp;"|"&amp;E60)*(HISTORIAL!$F$3:$F$58&gt;0)),HISTORIAL!$F$3:$F$58),0))&gt;=2,IF(IFERROR(LOOKUP(2,1/((HISTORIAL!$O$3:$O$58=D60&amp;"|"&amp;E60)*(HISTORIAL!$F$3:$F$58&gt;0)),HISTORIAL!$G$3:$G$58),0)&gt;0,IF(F60&gt;0,IF(G60&lt;=IFERROR(LOOKUP(2,1/((HISTORIAL!$O$3:$O$58=D60&amp;"|"&amp;E60)*(HISTORIAL!$F$3:$F$58&gt;0)),HISTORIAL!$G$3:$G$58),0),1,0),0),0),0))</f>
        <v>0</v>
      </c>
    </row>
    <row r="61" spans="1:15" ht="14.1" customHeight="1">
      <c r="A61" s="37">
        <v>1</v>
      </c>
      <c r="B61" s="37" t="s">
        <v>281</v>
      </c>
      <c r="C61" s="37">
        <v>8</v>
      </c>
      <c r="D61" s="56" t="str">
        <f>SABADO!$A$23</f>
        <v>Curl Muneca</v>
      </c>
      <c r="E61" s="57" t="str">
        <f>SABADO!$B$23</f>
        <v>Pronado</v>
      </c>
      <c r="F61" s="37" t="str">
        <f>SABADO!$C$23</f>
        <v>mancuerna</v>
      </c>
      <c r="G61" s="37" t="str">
        <f>IFERROR(LOOKUP(2,1/((HISTORIAL!$O$3:$O$59=D61&amp;"|"&amp;E61)*(HISTORIAL!$F$3:$F$59&lt;&gt;"")),HISTORIAL!$F$3:$F$59),"")</f>
        <v/>
      </c>
      <c r="H61" s="37" t="str">
        <f>IFERROR(LOOKUP(2,1/((HISTORIAL!$O$3:$O$59=D61&amp;"|"&amp;E61)*(HISTORIAL!$F$3:$F$59&lt;&gt;"")),HISTORIAL!$G$3:$G$59),"")</f>
        <v/>
      </c>
      <c r="I61" s="37" t="str">
        <f>IFERROR(LOOKUP(2,1/((HISTORIAL!$O$3:$O$59=D61&amp;"|"&amp;E61)*(HISTORIAL!$F$3:$F$59&lt;&gt;"")),HISTORIAL!$H$3:$H$59),"")</f>
        <v/>
      </c>
      <c r="J61" s="37" t="str">
        <f>IFERROR(LOOKUP(2,1/((HISTORIAL!$O$3:$O$59=D61&amp;"|"&amp;E61)*(HISTORIAL!$F$3:$F$59&lt;&gt;"")),HISTORIAL!$I$3:$I$59),"")</f>
        <v/>
      </c>
      <c r="K61" s="58" t="str">
        <f>IFERROR(IF(OR(G61="",N61="SIN"),"--",IF(N61="SUBIR_F",IF(F61="polea",IFERROR(INDEX(CONFIG!$B$25:$B$40,MATCH(G61,CONFIG!$B$25:$B$40,0)+2),IFERROR(INDEX(CONFIG!$B$25:$B$40,MATCH(G61,CONFIG!$B$25:$B$40,0)+1),G61)),G61+5),IF(OR(N61="SUBIR",N61="SUBIR_E"),IF(F61="polea",IFERROR(INDEX(CONFIG!$B$25:$B$40,MATCH(G61,CONFIG!$B$25:$B$40,0)+1),G61),G61+2.5),IF(N61="BAJAR",IF(F61="polea",IFERROR(INDEX(CONFIG!$B$25:$B$40,MAX(1,MATCH(G61,CONFIG!$B$25:$B$40,0)-1)),G61),MAX(0,G61-2.5)),G61)))),"--")</f>
        <v>--</v>
      </c>
      <c r="L61" s="59" t="str">
        <f>IFERROR(IF(N61="SIN","--",IF(N61="MANT",IF(H61="","--",H61+1),IFERROR(VLOOKUP(CONFIG!$E$2,CONFIG!$A$6:$E$8,2,0),"--"))),"--")</f>
        <v>--</v>
      </c>
      <c r="M61" s="59" t="str">
        <f>IFERROR(IF(N61="SIN","--",IF(CONFIG!$E$2="HIP",2,IF(CONFIG!$E$2="FUE",1,2))),"--")</f>
        <v>--</v>
      </c>
      <c r="N61" s="53" t="str">
        <f>IFERROR(IF(G61="","SIN",IF(O61=1,"SUBIR_E",IF(H61&lt;IFERROR(VLOOKUP(CONFIG!$E$2,CONFIG!$A$6:$E$8,2,0),6),"BAJAR",IF(H61+I61&gt;=IFERROR(VLOOKUP(CONFIG!$E$2,CONFIG!$A$6:$E$8,3,0),12),"SUBIR_F",IF(AND(H61&gt;=IFERROR(VLOOKUP(CONFIG!$E$2,CONFIG!$A$6:$E$8,2,0),6)+2,I61&gt;=2),"SUBIR",IF(I61&gt;IFERROR(VLOOKUP(CONFIG!$E$2,CONFIG!$A$6:$E$8,5,0),3),"SUBIR","MANT")))))),"SIN")</f>
        <v>SIN</v>
      </c>
      <c r="O61" s="55">
        <f>IF(COUNTIFS(HISTORIAL!$O$3:$O$59,D61&amp;"|"&amp;E61,HISTORIAL!$F$3:$F$59,"&gt;0")&lt;2,0,IF(COUNTIFS(HISTORIAL!$O$3:$O$59,D61&amp;"|"&amp;E61,HISTORIAL!$F$3:$F$59,IFERROR(LOOKUP(2,1/((HISTORIAL!$O$3:$O$59=D61&amp;"|"&amp;E61)*(HISTORIAL!$F$3:$F$59&gt;0)),HISTORIAL!$F$3:$F$59),0))&gt;=2,IF(IFERROR(LOOKUP(2,1/((HISTORIAL!$O$3:$O$59=D61&amp;"|"&amp;E61)*(HISTORIAL!$F$3:$F$59&gt;0)),HISTORIAL!$G$3:$G$59),0)&gt;0,IF(F61&gt;0,IF(G61&lt;=IFERROR(LOOKUP(2,1/((HISTORIAL!$O$3:$O$59=D61&amp;"|"&amp;E61)*(HISTORIAL!$F$3:$F$59&gt;0)),HISTORIAL!$G$3:$G$59),0),1,0),0),0),0))</f>
        <v>0</v>
      </c>
    </row>
    <row r="62" spans="1:15" ht="14.1" customHeight="1">
      <c r="A62" s="37">
        <v>1</v>
      </c>
      <c r="B62" s="37" t="s">
        <v>281</v>
      </c>
      <c r="C62" s="37">
        <v>9</v>
      </c>
      <c r="D62" s="56" t="str">
        <f>SABADO!$A$25</f>
        <v>Elevaciones Laterales</v>
      </c>
      <c r="E62" s="57" t="str">
        <f>SABADO!$B$25</f>
        <v>Cable Polea Individual</v>
      </c>
      <c r="F62" s="37" t="str">
        <f>SABADO!$C$25</f>
        <v>polea</v>
      </c>
      <c r="G62" s="37" t="str">
        <f>IFERROR(LOOKUP(2,1/((HISTORIAL!$O$3:$O$60=D62&amp;"|"&amp;E62)*(HISTORIAL!$F$3:$F$60&lt;&gt;"")),HISTORIAL!$F$3:$F$60),"")</f>
        <v/>
      </c>
      <c r="H62" s="37" t="str">
        <f>IFERROR(LOOKUP(2,1/((HISTORIAL!$O$3:$O$60=D62&amp;"|"&amp;E62)*(HISTORIAL!$F$3:$F$60&lt;&gt;"")),HISTORIAL!$G$3:$G$60),"")</f>
        <v/>
      </c>
      <c r="I62" s="37" t="str">
        <f>IFERROR(LOOKUP(2,1/((HISTORIAL!$O$3:$O$60=D62&amp;"|"&amp;E62)*(HISTORIAL!$F$3:$F$60&lt;&gt;"")),HISTORIAL!$H$3:$H$60),"")</f>
        <v/>
      </c>
      <c r="J62" s="37" t="str">
        <f>IFERROR(LOOKUP(2,1/((HISTORIAL!$O$3:$O$60=D62&amp;"|"&amp;E62)*(HISTORIAL!$F$3:$F$60&lt;&gt;"")),HISTORIAL!$I$3:$I$60),"")</f>
        <v/>
      </c>
      <c r="K62" s="58" t="str">
        <f>IFERROR(IF(OR(G62="",N62="SIN"),"--",IF(N62="SUBIR_F",IF(F62="polea",IFERROR(INDEX(CONFIG!$B$25:$B$40,MATCH(G62,CONFIG!$B$25:$B$40,0)+2),IFERROR(INDEX(CONFIG!$B$25:$B$40,MATCH(G62,CONFIG!$B$25:$B$40,0)+1),G62)),G62+5),IF(OR(N62="SUBIR",N62="SUBIR_E"),IF(F62="polea",IFERROR(INDEX(CONFIG!$B$25:$B$40,MATCH(G62,CONFIG!$B$25:$B$40,0)+1),G62),G62+2.5),IF(N62="BAJAR",IF(F62="polea",IFERROR(INDEX(CONFIG!$B$25:$B$40,MAX(1,MATCH(G62,CONFIG!$B$25:$B$40,0)-1)),G62),MAX(0,G62-2.5)),G62)))),"--")</f>
        <v>--</v>
      </c>
      <c r="L62" s="59" t="str">
        <f>IFERROR(IF(N62="SIN","--",IF(N62="MANT",IF(H62="","--",H62+1),IFERROR(VLOOKUP(CONFIG!$E$2,CONFIG!$A$6:$E$8,2,0),"--"))),"--")</f>
        <v>--</v>
      </c>
      <c r="M62" s="59" t="str">
        <f>IFERROR(IF(N62="SIN","--",IF(CONFIG!$E$2="HIP",2,IF(CONFIG!$E$2="FUE",1,2))),"--")</f>
        <v>--</v>
      </c>
      <c r="N62" s="53" t="str">
        <f>IFERROR(IF(G62="","SIN",IF(O62=1,"SUBIR_E",IF(H62&lt;IFERROR(VLOOKUP(CONFIG!$E$2,CONFIG!$A$6:$E$8,2,0),6),"BAJAR",IF(H62+I62&gt;=IFERROR(VLOOKUP(CONFIG!$E$2,CONFIG!$A$6:$E$8,3,0),12),"SUBIR_F",IF(AND(H62&gt;=IFERROR(VLOOKUP(CONFIG!$E$2,CONFIG!$A$6:$E$8,2,0),6)+2,I62&gt;=2),"SUBIR",IF(I62&gt;IFERROR(VLOOKUP(CONFIG!$E$2,CONFIG!$A$6:$E$8,5,0),3),"SUBIR","MANT")))))),"SIN")</f>
        <v>SIN</v>
      </c>
      <c r="O62" s="55">
        <f>IF(COUNTIFS(HISTORIAL!$O$3:$O$60,D62&amp;"|"&amp;E62,HISTORIAL!$F$3:$F$60,"&gt;0")&lt;2,0,IF(COUNTIFS(HISTORIAL!$O$3:$O$60,D62&amp;"|"&amp;E62,HISTORIAL!$F$3:$F$60,IFERROR(LOOKUP(2,1/((HISTORIAL!$O$3:$O$60=D62&amp;"|"&amp;E62)*(HISTORIAL!$F$3:$F$60&gt;0)),HISTORIAL!$F$3:$F$60),0))&gt;=2,IF(IFERROR(LOOKUP(2,1/((HISTORIAL!$O$3:$O$60=D62&amp;"|"&amp;E62)*(HISTORIAL!$F$3:$F$60&gt;0)),HISTORIAL!$G$3:$G$60),0)&gt;0,IF(F62&gt;0,IF(G62&lt;=IFERROR(LOOKUP(2,1/((HISTORIAL!$O$3:$O$60=D62&amp;"|"&amp;E62)*(HISTORIAL!$F$3:$F$60&gt;0)),HISTORIAL!$G$3:$G$60),0),1,0),0),0),0))</f>
        <v>0</v>
      </c>
    </row>
    <row r="63" spans="1:15" ht="14.1" customHeight="1">
      <c r="A63" s="37">
        <v>1</v>
      </c>
      <c r="B63" s="37" t="s">
        <v>281</v>
      </c>
      <c r="C63" s="37">
        <v>10</v>
      </c>
      <c r="D63" s="56" t="str">
        <f>SABADO!$A$27</f>
        <v>Encogimientos</v>
      </c>
      <c r="E63" s="57" t="str">
        <f>SABADO!$B$27</f>
        <v>Mancuernas Trapecio</v>
      </c>
      <c r="F63" s="37" t="str">
        <f>SABADO!$C$27</f>
        <v>mancuerna</v>
      </c>
      <c r="G63" s="37" t="str">
        <f>IFERROR(LOOKUP(2,1/((HISTORIAL!$O$3:$O$61=D63&amp;"|"&amp;E63)*(HISTORIAL!$F$3:$F$61&lt;&gt;"")),HISTORIAL!$F$3:$F$61),"")</f>
        <v/>
      </c>
      <c r="H63" s="37" t="str">
        <f>IFERROR(LOOKUP(2,1/((HISTORIAL!$O$3:$O$61=D63&amp;"|"&amp;E63)*(HISTORIAL!$F$3:$F$61&lt;&gt;"")),HISTORIAL!$G$3:$G$61),"")</f>
        <v/>
      </c>
      <c r="I63" s="37" t="str">
        <f>IFERROR(LOOKUP(2,1/((HISTORIAL!$O$3:$O$61=D63&amp;"|"&amp;E63)*(HISTORIAL!$F$3:$F$61&lt;&gt;"")),HISTORIAL!$H$3:$H$61),"")</f>
        <v/>
      </c>
      <c r="J63" s="37" t="str">
        <f>IFERROR(LOOKUP(2,1/((HISTORIAL!$O$3:$O$61=D63&amp;"|"&amp;E63)*(HISTORIAL!$F$3:$F$61&lt;&gt;"")),HISTORIAL!$I$3:$I$61),"")</f>
        <v/>
      </c>
      <c r="K63" s="58" t="str">
        <f>IFERROR(IF(OR(G63="",N63="SIN"),"--",IF(N63="SUBIR_F",IF(F63="polea",IFERROR(INDEX(CONFIG!$B$25:$B$40,MATCH(G63,CONFIG!$B$25:$B$40,0)+2),IFERROR(INDEX(CONFIG!$B$25:$B$40,MATCH(G63,CONFIG!$B$25:$B$40,0)+1),G63)),G63+5),IF(OR(N63="SUBIR",N63="SUBIR_E"),IF(F63="polea",IFERROR(INDEX(CONFIG!$B$25:$B$40,MATCH(G63,CONFIG!$B$25:$B$40,0)+1),G63),G63+2.5),IF(N63="BAJAR",IF(F63="polea",IFERROR(INDEX(CONFIG!$B$25:$B$40,MAX(1,MATCH(G63,CONFIG!$B$25:$B$40,0)-1)),G63),MAX(0,G63-2.5)),G63)))),"--")</f>
        <v>--</v>
      </c>
      <c r="L63" s="59" t="str">
        <f>IFERROR(IF(N63="SIN","--",IF(N63="MANT",IF(H63="","--",H63+1),IFERROR(VLOOKUP(CONFIG!$E$2,CONFIG!$A$6:$E$8,2,0),"--"))),"--")</f>
        <v>--</v>
      </c>
      <c r="M63" s="59" t="str">
        <f>IFERROR(IF(N63="SIN","--",IF(CONFIG!$E$2="HIP",2,IF(CONFIG!$E$2="FUE",1,2))),"--")</f>
        <v>--</v>
      </c>
      <c r="N63" s="53" t="str">
        <f>IFERROR(IF(G63="","SIN",IF(O63=1,"SUBIR_E",IF(H63&lt;IFERROR(VLOOKUP(CONFIG!$E$2,CONFIG!$A$6:$E$8,2,0),6),"BAJAR",IF(H63+I63&gt;=IFERROR(VLOOKUP(CONFIG!$E$2,CONFIG!$A$6:$E$8,3,0),12),"SUBIR_F",IF(AND(H63&gt;=IFERROR(VLOOKUP(CONFIG!$E$2,CONFIG!$A$6:$E$8,2,0),6)+2,I63&gt;=2),"SUBIR",IF(I63&gt;IFERROR(VLOOKUP(CONFIG!$E$2,CONFIG!$A$6:$E$8,5,0),3),"SUBIR","MANT")))))),"SIN")</f>
        <v>SIN</v>
      </c>
      <c r="O63" s="55">
        <f>IF(COUNTIFS(HISTORIAL!$O$3:$O$61,D63&amp;"|"&amp;E63,HISTORIAL!$F$3:$F$61,"&gt;0")&lt;2,0,IF(COUNTIFS(HISTORIAL!$O$3:$O$61,D63&amp;"|"&amp;E63,HISTORIAL!$F$3:$F$61,IFERROR(LOOKUP(2,1/((HISTORIAL!$O$3:$O$61=D63&amp;"|"&amp;E63)*(HISTORIAL!$F$3:$F$61&gt;0)),HISTORIAL!$F$3:$F$61),0))&gt;=2,IF(IFERROR(LOOKUP(2,1/((HISTORIAL!$O$3:$O$61=D63&amp;"|"&amp;E63)*(HISTORIAL!$F$3:$F$61&gt;0)),HISTORIAL!$G$3:$G$61),0)&gt;0,IF(F63&gt;0,IF(G63&lt;=IFERROR(LOOKUP(2,1/((HISTORIAL!$O$3:$O$61=D63&amp;"|"&amp;E63)*(HISTORIAL!$F$3:$F$61&gt;0)),HISTORIAL!$G$3:$G$61),0),1,0),0),0),0))</f>
        <v>0</v>
      </c>
    </row>
    <row r="64" spans="1:15" ht="14.1" customHeight="1">
      <c r="A64" s="37">
        <v>1</v>
      </c>
      <c r="B64" s="37" t="s">
        <v>281</v>
      </c>
      <c r="C64" s="37">
        <v>11</v>
      </c>
      <c r="D64" s="56" t="str">
        <f>SABADO!$A$28</f>
        <v>Face Pull</v>
      </c>
      <c r="E64" s="57" t="str">
        <f>SABADO!$B$28</f>
        <v>Polea Alta Cuerda</v>
      </c>
      <c r="F64" s="37" t="str">
        <f>SABADO!$C$28</f>
        <v>polea</v>
      </c>
      <c r="G64" s="37" t="str">
        <f>IFERROR(LOOKUP(2,1/((HISTORIAL!$O$3:$O$62=D64&amp;"|"&amp;E64)*(HISTORIAL!$F$3:$F$62&lt;&gt;"")),HISTORIAL!$F$3:$F$62),"")</f>
        <v/>
      </c>
      <c r="H64" s="37" t="str">
        <f>IFERROR(LOOKUP(2,1/((HISTORIAL!$O$3:$O$62=D64&amp;"|"&amp;E64)*(HISTORIAL!$F$3:$F$62&lt;&gt;"")),HISTORIAL!$G$3:$G$62),"")</f>
        <v/>
      </c>
      <c r="I64" s="37" t="str">
        <f>IFERROR(LOOKUP(2,1/((HISTORIAL!$O$3:$O$62=D64&amp;"|"&amp;E64)*(HISTORIAL!$F$3:$F$62&lt;&gt;"")),HISTORIAL!$H$3:$H$62),"")</f>
        <v/>
      </c>
      <c r="J64" s="37" t="str">
        <f>IFERROR(LOOKUP(2,1/((HISTORIAL!$O$3:$O$62=D64&amp;"|"&amp;E64)*(HISTORIAL!$F$3:$F$62&lt;&gt;"")),HISTORIAL!$I$3:$I$62),"")</f>
        <v/>
      </c>
      <c r="K64" s="58" t="str">
        <f>IFERROR(IF(OR(G64="",N64="SIN"),"--",IF(N64="SUBIR_F",IF(F64="polea",IFERROR(INDEX(CONFIG!$B$25:$B$40,MATCH(G64,CONFIG!$B$25:$B$40,0)+2),IFERROR(INDEX(CONFIG!$B$25:$B$40,MATCH(G64,CONFIG!$B$25:$B$40,0)+1),G64)),G64+5),IF(OR(N64="SUBIR",N64="SUBIR_E"),IF(F64="polea",IFERROR(INDEX(CONFIG!$B$25:$B$40,MATCH(G64,CONFIG!$B$25:$B$40,0)+1),G64),G64+2.5),IF(N64="BAJAR",IF(F64="polea",IFERROR(INDEX(CONFIG!$B$25:$B$40,MAX(1,MATCH(G64,CONFIG!$B$25:$B$40,0)-1)),G64),MAX(0,G64-2.5)),G64)))),"--")</f>
        <v>--</v>
      </c>
      <c r="L64" s="59" t="str">
        <f>IFERROR(IF(N64="SIN","--",IF(N64="MANT",IF(H64="","--",H64+1),IFERROR(VLOOKUP(CONFIG!$E$2,CONFIG!$A$6:$E$8,2,0),"--"))),"--")</f>
        <v>--</v>
      </c>
      <c r="M64" s="59" t="str">
        <f>IFERROR(IF(N64="SIN","--",IF(CONFIG!$E$2="HIP",2,IF(CONFIG!$E$2="FUE",1,2))),"--")</f>
        <v>--</v>
      </c>
      <c r="N64" s="53" t="str">
        <f>IFERROR(IF(G64="","SIN",IF(O64=1,"SUBIR_E",IF(H64&lt;IFERROR(VLOOKUP(CONFIG!$E$2,CONFIG!$A$6:$E$8,2,0),6),"BAJAR",IF(H64+I64&gt;=IFERROR(VLOOKUP(CONFIG!$E$2,CONFIG!$A$6:$E$8,3,0),12),"SUBIR_F",IF(AND(H64&gt;=IFERROR(VLOOKUP(CONFIG!$E$2,CONFIG!$A$6:$E$8,2,0),6)+2,I64&gt;=2),"SUBIR",IF(I64&gt;IFERROR(VLOOKUP(CONFIG!$E$2,CONFIG!$A$6:$E$8,5,0),3),"SUBIR","MANT")))))),"SIN")</f>
        <v>SIN</v>
      </c>
      <c r="O64" s="55">
        <f>IF(COUNTIFS(HISTORIAL!$O$3:$O$62,D64&amp;"|"&amp;E64,HISTORIAL!$F$3:$F$62,"&gt;0")&lt;2,0,IF(COUNTIFS(HISTORIAL!$O$3:$O$62,D64&amp;"|"&amp;E64,HISTORIAL!$F$3:$F$62,IFERROR(LOOKUP(2,1/((HISTORIAL!$O$3:$O$62=D64&amp;"|"&amp;E64)*(HISTORIAL!$F$3:$F$62&gt;0)),HISTORIAL!$F$3:$F$62),0))&gt;=2,IF(IFERROR(LOOKUP(2,1/((HISTORIAL!$O$3:$O$62=D64&amp;"|"&amp;E64)*(HISTORIAL!$F$3:$F$62&gt;0)),HISTORIAL!$G$3:$G$62),0)&gt;0,IF(F64&gt;0,IF(G64&lt;=IFERROR(LOOKUP(2,1/((HISTORIAL!$O$3:$O$62=D64&amp;"|"&amp;E64)*(HISTORIAL!$F$3:$F$62&gt;0)),HISTORIAL!$G$3:$G$62),0),1,0),0),0),0))</f>
        <v>0</v>
      </c>
    </row>
    <row r="65" spans="1:15" ht="14.1" customHeight="1">
      <c r="A65" s="37">
        <v>1</v>
      </c>
      <c r="B65" s="37" t="s">
        <v>281</v>
      </c>
      <c r="C65" s="37">
        <v>12</v>
      </c>
      <c r="D65" s="56" t="str">
        <f>SABADO!$A$30</f>
        <v>Hiperextension</v>
      </c>
      <c r="E65" s="57" t="str">
        <f>SABADO!$B$30</f>
        <v>Banco Romano</v>
      </c>
      <c r="F65" s="37" t="str">
        <f>SABADO!$C$30</f>
        <v>peso_corporal</v>
      </c>
      <c r="G65" s="37" t="str">
        <f>IFERROR(LOOKUP(2,1/((HISTORIAL!$O$3:$O$63=D65&amp;"|"&amp;E65)*(HISTORIAL!$F$3:$F$63&lt;&gt;"")),HISTORIAL!$F$3:$F$63),"")</f>
        <v/>
      </c>
      <c r="H65" s="37" t="str">
        <f>IFERROR(LOOKUP(2,1/((HISTORIAL!$O$3:$O$63=D65&amp;"|"&amp;E65)*(HISTORIAL!$F$3:$F$63&lt;&gt;"")),HISTORIAL!$G$3:$G$63),"")</f>
        <v/>
      </c>
      <c r="I65" s="37" t="str">
        <f>IFERROR(LOOKUP(2,1/((HISTORIAL!$O$3:$O$63=D65&amp;"|"&amp;E65)*(HISTORIAL!$F$3:$F$63&lt;&gt;"")),HISTORIAL!$H$3:$H$63),"")</f>
        <v/>
      </c>
      <c r="J65" s="37" t="str">
        <f>IFERROR(LOOKUP(2,1/((HISTORIAL!$O$3:$O$63=D65&amp;"|"&amp;E65)*(HISTORIAL!$F$3:$F$63&lt;&gt;"")),HISTORIAL!$I$3:$I$63),"")</f>
        <v/>
      </c>
      <c r="K65" s="58" t="str">
        <f>IFERROR(IF(OR(G65="",N65="SIN"),"--",IF(N65="SUBIR_F",IF(F65="polea",IFERROR(INDEX(CONFIG!$B$25:$B$40,MATCH(G65,CONFIG!$B$25:$B$40,0)+2),IFERROR(INDEX(CONFIG!$B$25:$B$40,MATCH(G65,CONFIG!$B$25:$B$40,0)+1),G65)),G65+5),IF(OR(N65="SUBIR",N65="SUBIR_E"),IF(F65="polea",IFERROR(INDEX(CONFIG!$B$25:$B$40,MATCH(G65,CONFIG!$B$25:$B$40,0)+1),G65),G65+2.5),IF(N65="BAJAR",IF(F65="polea",IFERROR(INDEX(CONFIG!$B$25:$B$40,MAX(1,MATCH(G65,CONFIG!$B$25:$B$40,0)-1)),G65),MAX(0,G65-2.5)),G65)))),"--")</f>
        <v>--</v>
      </c>
      <c r="L65" s="59" t="str">
        <f>IFERROR(IF(N65="SIN","--",IF(N65="MANT",IF(H65="","--",H65+1),IFERROR(VLOOKUP(CONFIG!$E$2,CONFIG!$A$6:$E$8,2,0),"--"))),"--")</f>
        <v>--</v>
      </c>
      <c r="M65" s="59" t="str">
        <f>IFERROR(IF(N65="SIN","--",IF(CONFIG!$E$2="HIP",2,IF(CONFIG!$E$2="FUE",1,2))),"--")</f>
        <v>--</v>
      </c>
      <c r="N65" s="53" t="str">
        <f>IFERROR(IF(G65="","SIN",IF(O65=1,"SUBIR_E",IF(H65&lt;IFERROR(VLOOKUP(CONFIG!$E$2,CONFIG!$A$6:$E$8,2,0),6),"BAJAR",IF(H65+I65&gt;=IFERROR(VLOOKUP(CONFIG!$E$2,CONFIG!$A$6:$E$8,3,0),12),"SUBIR_F",IF(AND(H65&gt;=IFERROR(VLOOKUP(CONFIG!$E$2,CONFIG!$A$6:$E$8,2,0),6)+2,I65&gt;=2),"SUBIR",IF(I65&gt;IFERROR(VLOOKUP(CONFIG!$E$2,CONFIG!$A$6:$E$8,5,0),3),"SUBIR","MANT")))))),"SIN")</f>
        <v>SIN</v>
      </c>
      <c r="O65" s="55">
        <f>IF(COUNTIFS(HISTORIAL!$O$3:$O$63,D65&amp;"|"&amp;E65,HISTORIAL!$F$3:$F$63,"&gt;0")&lt;2,0,IF(COUNTIFS(HISTORIAL!$O$3:$O$63,D65&amp;"|"&amp;E65,HISTORIAL!$F$3:$F$63,IFERROR(LOOKUP(2,1/((HISTORIAL!$O$3:$O$63=D65&amp;"|"&amp;E65)*(HISTORIAL!$F$3:$F$63&gt;0)),HISTORIAL!$F$3:$F$63),0))&gt;=2,IF(IFERROR(LOOKUP(2,1/((HISTORIAL!$O$3:$O$63=D65&amp;"|"&amp;E65)*(HISTORIAL!$F$3:$F$63&gt;0)),HISTORIAL!$G$3:$G$63),0)&gt;0,IF(F65&gt;0,IF(G65&lt;=IFERROR(LOOKUP(2,1/((HISTORIAL!$O$3:$O$63=D65&amp;"|"&amp;E65)*(HISTORIAL!$F$3:$F$63&gt;0)),HISTORIAL!$G$3:$G$63),0),1,0),0),0),0))</f>
        <v>0</v>
      </c>
    </row>
    <row r="66" spans="1:15" ht="14.1" customHeight="1">
      <c r="A66" s="37">
        <v>1</v>
      </c>
      <c r="B66" s="37" t="s">
        <v>281</v>
      </c>
      <c r="C66" s="37">
        <v>13</v>
      </c>
      <c r="D66" s="56" t="str">
        <f>SABADO!$A$32</f>
        <v>Crunch</v>
      </c>
      <c r="E66" s="57" t="str">
        <f>SABADO!$B$32</f>
        <v>Polea</v>
      </c>
      <c r="F66" s="37" t="str">
        <f>SABADO!$C$32</f>
        <v>polea</v>
      </c>
      <c r="G66" s="37" t="str">
        <f>IFERROR(LOOKUP(2,1/((HISTORIAL!$O$3:$O$64=D66&amp;"|"&amp;E66)*(HISTORIAL!$F$3:$F$64&lt;&gt;"")),HISTORIAL!$F$3:$F$64),"")</f>
        <v/>
      </c>
      <c r="H66" s="37" t="str">
        <f>IFERROR(LOOKUP(2,1/((HISTORIAL!$O$3:$O$64=D66&amp;"|"&amp;E66)*(HISTORIAL!$F$3:$F$64&lt;&gt;"")),HISTORIAL!$G$3:$G$64),"")</f>
        <v/>
      </c>
      <c r="I66" s="37" t="str">
        <f>IFERROR(LOOKUP(2,1/((HISTORIAL!$O$3:$O$64=D66&amp;"|"&amp;E66)*(HISTORIAL!$F$3:$F$64&lt;&gt;"")),HISTORIAL!$H$3:$H$64),"")</f>
        <v/>
      </c>
      <c r="J66" s="37" t="str">
        <f>IFERROR(LOOKUP(2,1/((HISTORIAL!$O$3:$O$64=D66&amp;"|"&amp;E66)*(HISTORIAL!$F$3:$F$64&lt;&gt;"")),HISTORIAL!$I$3:$I$64),"")</f>
        <v/>
      </c>
      <c r="K66" s="58" t="str">
        <f>IFERROR(IF(OR(G66="",N66="SIN"),"--",IF(N66="SUBIR_F",IF(F66="polea",IFERROR(INDEX(CONFIG!$B$25:$B$40,MATCH(G66,CONFIG!$B$25:$B$40,0)+2),IFERROR(INDEX(CONFIG!$B$25:$B$40,MATCH(G66,CONFIG!$B$25:$B$40,0)+1),G66)),G66+5),IF(OR(N66="SUBIR",N66="SUBIR_E"),IF(F66="polea",IFERROR(INDEX(CONFIG!$B$25:$B$40,MATCH(G66,CONFIG!$B$25:$B$40,0)+1),G66),G66+2.5),IF(N66="BAJAR",IF(F66="polea",IFERROR(INDEX(CONFIG!$B$25:$B$40,MAX(1,MATCH(G66,CONFIG!$B$25:$B$40,0)-1)),G66),MAX(0,G66-2.5)),G66)))),"--")</f>
        <v>--</v>
      </c>
      <c r="L66" s="59" t="str">
        <f>IFERROR(IF(N66="SIN","--",IF(N66="MANT",IF(H66="","--",H66+1),IFERROR(VLOOKUP(CONFIG!$E$2,CONFIG!$A$6:$E$8,2,0),"--"))),"--")</f>
        <v>--</v>
      </c>
      <c r="M66" s="59" t="str">
        <f>IFERROR(IF(N66="SIN","--",IF(CONFIG!$E$2="HIP",2,IF(CONFIG!$E$2="FUE",1,2))),"--")</f>
        <v>--</v>
      </c>
      <c r="N66" s="53" t="str">
        <f>IFERROR(IF(G66="","SIN",IF(O66=1,"SUBIR_E",IF(H66&lt;IFERROR(VLOOKUP(CONFIG!$E$2,CONFIG!$A$6:$E$8,2,0),6),"BAJAR",IF(H66+I66&gt;=IFERROR(VLOOKUP(CONFIG!$E$2,CONFIG!$A$6:$E$8,3,0),12),"SUBIR_F",IF(AND(H66&gt;=IFERROR(VLOOKUP(CONFIG!$E$2,CONFIG!$A$6:$E$8,2,0),6)+2,I66&gt;=2),"SUBIR",IF(I66&gt;IFERROR(VLOOKUP(CONFIG!$E$2,CONFIG!$A$6:$E$8,5,0),3),"SUBIR","MANT")))))),"SIN")</f>
        <v>SIN</v>
      </c>
      <c r="O66" s="55">
        <f>IF(COUNTIFS(HISTORIAL!$O$3:$O$64,D66&amp;"|"&amp;E66,HISTORIAL!$F$3:$F$64,"&gt;0")&lt;2,0,IF(COUNTIFS(HISTORIAL!$O$3:$O$64,D66&amp;"|"&amp;E66,HISTORIAL!$F$3:$F$64,IFERROR(LOOKUP(2,1/((HISTORIAL!$O$3:$O$64=D66&amp;"|"&amp;E66)*(HISTORIAL!$F$3:$F$64&gt;0)),HISTORIAL!$F$3:$F$64),0))&gt;=2,IF(IFERROR(LOOKUP(2,1/((HISTORIAL!$O$3:$O$64=D66&amp;"|"&amp;E66)*(HISTORIAL!$F$3:$F$64&gt;0)),HISTORIAL!$G$3:$G$64),0)&gt;0,IF(F66&gt;0,IF(G66&lt;=IFERROR(LOOKUP(2,1/((HISTORIAL!$O$3:$O$64=D66&amp;"|"&amp;E66)*(HISTORIAL!$F$3:$F$64&gt;0)),HISTORIAL!$G$3:$G$64),0),1,0),0),0),0))</f>
        <v>0</v>
      </c>
    </row>
    <row r="67" spans="1:15" ht="14.1" customHeight="1">
      <c r="A67" s="37">
        <v>2</v>
      </c>
      <c r="B67" s="37" t="s">
        <v>277</v>
      </c>
      <c r="C67" s="37">
        <v>1</v>
      </c>
      <c r="D67" s="56" t="str">
        <f>LUNES!$A$35</f>
        <v>Press Plano</v>
      </c>
      <c r="E67" s="57" t="str">
        <f>LUNES!$B$35</f>
        <v>Barra</v>
      </c>
      <c r="F67" s="37" t="str">
        <f>LUNES!$C$35</f>
        <v>disco</v>
      </c>
      <c r="G67" s="37" t="str">
        <f>IFERROR(LOOKUP(2,1/((HISTORIAL!$O$3:$O$65=D67&amp;"|"&amp;E67)*(HISTORIAL!$F$3:$F$65&lt;&gt;"")),HISTORIAL!$F$3:$F$65),"")</f>
        <v/>
      </c>
      <c r="H67" s="37" t="str">
        <f>IFERROR(LOOKUP(2,1/((HISTORIAL!$O$3:$O$65=D67&amp;"|"&amp;E67)*(HISTORIAL!$F$3:$F$65&lt;&gt;"")),HISTORIAL!$G$3:$G$65),"")</f>
        <v/>
      </c>
      <c r="I67" s="37" t="str">
        <f>IFERROR(LOOKUP(2,1/((HISTORIAL!$O$3:$O$65=D67&amp;"|"&amp;E67)*(HISTORIAL!$F$3:$F$65&lt;&gt;"")),HISTORIAL!$H$3:$H$65),"")</f>
        <v/>
      </c>
      <c r="J67" s="37" t="str">
        <f>IFERROR(LOOKUP(2,1/((HISTORIAL!$O$3:$O$65=D67&amp;"|"&amp;E67)*(HISTORIAL!$F$3:$F$65&lt;&gt;"")),HISTORIAL!$I$3:$I$65),"")</f>
        <v/>
      </c>
      <c r="K67" s="58" t="str">
        <f>IFERROR(IF(OR(G67="",N67="SIN"),"--",IF(N67="SUBIR_F",IF(F67="polea",IFERROR(INDEX(CONFIG!$B$25:$B$40,MATCH(G67,CONFIG!$B$25:$B$40,0)+2),IFERROR(INDEX(CONFIG!$B$25:$B$40,MATCH(G67,CONFIG!$B$25:$B$40,0)+1),G67)),G67+5),IF(OR(N67="SUBIR",N67="SUBIR_E"),IF(F67="polea",IFERROR(INDEX(CONFIG!$B$25:$B$40,MATCH(G67,CONFIG!$B$25:$B$40,0)+1),G67),G67+2.5),IF(N67="BAJAR",IF(F67="polea",IFERROR(INDEX(CONFIG!$B$25:$B$40,MAX(1,MATCH(G67,CONFIG!$B$25:$B$40,0)-1)),G67),MAX(0,G67-2.5)),G67)))),"--")</f>
        <v>--</v>
      </c>
      <c r="L67" s="59" t="str">
        <f>IFERROR(IF(N67="SIN","--",IF(N67="MANT",IF(H67="","--",H67+1),IFERROR(VLOOKUP(CONFIG!$E$2,CONFIG!$A$6:$E$8,2,0),"--"))),"--")</f>
        <v>--</v>
      </c>
      <c r="M67" s="59" t="str">
        <f>IFERROR(IF(N67="SIN","--",IF(CONFIG!$E$2="HIP",2,IF(CONFIG!$E$2="FUE",1,2))),"--")</f>
        <v>--</v>
      </c>
      <c r="N67" s="53" t="str">
        <f>IFERROR(IF(G67="","SIN",IF(O67=1,"SUBIR_E",IF(H67&lt;IFERROR(VLOOKUP(CONFIG!$E$2,CONFIG!$A$6:$E$8,2,0),6),"BAJAR",IF(H67+I67&gt;=IFERROR(VLOOKUP(CONFIG!$E$2,CONFIG!$A$6:$E$8,3,0),12),"SUBIR_F",IF(AND(H67&gt;=IFERROR(VLOOKUP(CONFIG!$E$2,CONFIG!$A$6:$E$8,2,0),6)+2,I67&gt;=2),"SUBIR",IF(I67&gt;IFERROR(VLOOKUP(CONFIG!$E$2,CONFIG!$A$6:$E$8,5,0),3),"SUBIR","MANT")))))),"SIN")</f>
        <v>SIN</v>
      </c>
      <c r="O67" s="55">
        <f>IF(COUNTIFS(HISTORIAL!$O$3:$O$65,D67&amp;"|"&amp;E67,HISTORIAL!$F$3:$F$65,"&gt;0")&lt;2,0,IF(COUNTIFS(HISTORIAL!$O$3:$O$65,D67&amp;"|"&amp;E67,HISTORIAL!$F$3:$F$65,IFERROR(LOOKUP(2,1/((HISTORIAL!$O$3:$O$65=D67&amp;"|"&amp;E67)*(HISTORIAL!$F$3:$F$65&gt;0)),HISTORIAL!$F$3:$F$65),0))&gt;=2,IF(IFERROR(LOOKUP(2,1/((HISTORIAL!$O$3:$O$65=D67&amp;"|"&amp;E67)*(HISTORIAL!$F$3:$F$65&gt;0)),HISTORIAL!$G$3:$G$65),0)&gt;0,IF(F67&gt;0,IF(G67&lt;=IFERROR(LOOKUP(2,1/((HISTORIAL!$O$3:$O$65=D67&amp;"|"&amp;E67)*(HISTORIAL!$F$3:$F$65&gt;0)),HISTORIAL!$G$3:$G$65),0),1,0),0),0),0))</f>
        <v>0</v>
      </c>
    </row>
    <row r="68" spans="1:15" ht="14.1" customHeight="1">
      <c r="A68" s="37">
        <v>2</v>
      </c>
      <c r="B68" s="37" t="s">
        <v>277</v>
      </c>
      <c r="C68" s="37">
        <v>2</v>
      </c>
      <c r="D68" s="56" t="str">
        <f>LUNES!$A$37</f>
        <v>Press Inclinado</v>
      </c>
      <c r="E68" s="57" t="str">
        <f>LUNES!$B$37</f>
        <v>Mancuernas</v>
      </c>
      <c r="F68" s="37" t="str">
        <f>LUNES!$C$37</f>
        <v>mancuerna</v>
      </c>
      <c r="G68" s="37" t="str">
        <f>IFERROR(LOOKUP(2,1/((HISTORIAL!$O$3:$O$66=D68&amp;"|"&amp;E68)*(HISTORIAL!$F$3:$F$66&lt;&gt;"")),HISTORIAL!$F$3:$F$66),"")</f>
        <v/>
      </c>
      <c r="H68" s="37" t="str">
        <f>IFERROR(LOOKUP(2,1/((HISTORIAL!$O$3:$O$66=D68&amp;"|"&amp;E68)*(HISTORIAL!$F$3:$F$66&lt;&gt;"")),HISTORIAL!$G$3:$G$66),"")</f>
        <v/>
      </c>
      <c r="I68" s="37" t="str">
        <f>IFERROR(LOOKUP(2,1/((HISTORIAL!$O$3:$O$66=D68&amp;"|"&amp;E68)*(HISTORIAL!$F$3:$F$66&lt;&gt;"")),HISTORIAL!$H$3:$H$66),"")</f>
        <v/>
      </c>
      <c r="J68" s="37" t="str">
        <f>IFERROR(LOOKUP(2,1/((HISTORIAL!$O$3:$O$66=D68&amp;"|"&amp;E68)*(HISTORIAL!$F$3:$F$66&lt;&gt;"")),HISTORIAL!$I$3:$I$66),"")</f>
        <v/>
      </c>
      <c r="K68" s="58" t="str">
        <f>IFERROR(IF(OR(G68="",N68="SIN"),"--",IF(N68="SUBIR_F",IF(F68="polea",IFERROR(INDEX(CONFIG!$B$25:$B$40,MATCH(G68,CONFIG!$B$25:$B$40,0)+2),IFERROR(INDEX(CONFIG!$B$25:$B$40,MATCH(G68,CONFIG!$B$25:$B$40,0)+1),G68)),G68+5),IF(OR(N68="SUBIR",N68="SUBIR_E"),IF(F68="polea",IFERROR(INDEX(CONFIG!$B$25:$B$40,MATCH(G68,CONFIG!$B$25:$B$40,0)+1),G68),G68+2.5),IF(N68="BAJAR",IF(F68="polea",IFERROR(INDEX(CONFIG!$B$25:$B$40,MAX(1,MATCH(G68,CONFIG!$B$25:$B$40,0)-1)),G68),MAX(0,G68-2.5)),G68)))),"--")</f>
        <v>--</v>
      </c>
      <c r="L68" s="59" t="str">
        <f>IFERROR(IF(N68="SIN","--",IF(N68="MANT",IF(H68="","--",H68+1),IFERROR(VLOOKUP(CONFIG!$E$2,CONFIG!$A$6:$E$8,2,0),"--"))),"--")</f>
        <v>--</v>
      </c>
      <c r="M68" s="59" t="str">
        <f>IFERROR(IF(N68="SIN","--",IF(CONFIG!$E$2="HIP",2,IF(CONFIG!$E$2="FUE",1,2))),"--")</f>
        <v>--</v>
      </c>
      <c r="N68" s="53" t="str">
        <f>IFERROR(IF(G68="","SIN",IF(O68=1,"SUBIR_E",IF(H68&lt;IFERROR(VLOOKUP(CONFIG!$E$2,CONFIG!$A$6:$E$8,2,0),6),"BAJAR",IF(H68+I68&gt;=IFERROR(VLOOKUP(CONFIG!$E$2,CONFIG!$A$6:$E$8,3,0),12),"SUBIR_F",IF(AND(H68&gt;=IFERROR(VLOOKUP(CONFIG!$E$2,CONFIG!$A$6:$E$8,2,0),6)+2,I68&gt;=2),"SUBIR",IF(I68&gt;IFERROR(VLOOKUP(CONFIG!$E$2,CONFIG!$A$6:$E$8,5,0),3),"SUBIR","MANT")))))),"SIN")</f>
        <v>SIN</v>
      </c>
      <c r="O68" s="55">
        <f>IF(COUNTIFS(HISTORIAL!$O$3:$O$66,D68&amp;"|"&amp;E68,HISTORIAL!$F$3:$F$66,"&gt;0")&lt;2,0,IF(COUNTIFS(HISTORIAL!$O$3:$O$66,D68&amp;"|"&amp;E68,HISTORIAL!$F$3:$F$66,IFERROR(LOOKUP(2,1/((HISTORIAL!$O$3:$O$66=D68&amp;"|"&amp;E68)*(HISTORIAL!$F$3:$F$66&gt;0)),HISTORIAL!$F$3:$F$66),0))&gt;=2,IF(IFERROR(LOOKUP(2,1/((HISTORIAL!$O$3:$O$66=D68&amp;"|"&amp;E68)*(HISTORIAL!$F$3:$F$66&gt;0)),HISTORIAL!$G$3:$G$66),0)&gt;0,IF(F68&gt;0,IF(G68&lt;=IFERROR(LOOKUP(2,1/((HISTORIAL!$O$3:$O$66=D68&amp;"|"&amp;E68)*(HISTORIAL!$F$3:$F$66&gt;0)),HISTORIAL!$G$3:$G$66),0),1,0),0),0),0))</f>
        <v>0</v>
      </c>
    </row>
    <row r="69" spans="1:15" ht="14.1" customHeight="1">
      <c r="A69" s="37">
        <v>2</v>
      </c>
      <c r="B69" s="37" t="s">
        <v>277</v>
      </c>
      <c r="C69" s="37">
        <v>3</v>
      </c>
      <c r="D69" s="56" t="str">
        <f>LUNES!$A$39</f>
        <v>Fondos</v>
      </c>
      <c r="E69" s="57" t="str">
        <f>LUNES!$B$39</f>
        <v>Paralelas</v>
      </c>
      <c r="F69" s="37" t="str">
        <f>LUNES!$C$39</f>
        <v>peso_corporal</v>
      </c>
      <c r="G69" s="37">
        <f>IFERROR(LOOKUP(2,1/((HISTORIAL!$O$3:$O$67=D69&amp;"|"&amp;E69)*(HISTORIAL!$F$3:$F$67&lt;&gt;"")),HISTORIAL!$F$3:$F$67),"")</f>
        <v>0</v>
      </c>
      <c r="H69" s="37">
        <f>IFERROR(LOOKUP(2,1/((HISTORIAL!$O$3:$O$67=D69&amp;"|"&amp;E69)*(HISTORIAL!$F$3:$F$67&lt;&gt;"")),HISTORIAL!$G$3:$G$67),"")</f>
        <v>12</v>
      </c>
      <c r="I69" s="37">
        <f>IFERROR(LOOKUP(2,1/((HISTORIAL!$O$3:$O$67=D69&amp;"|"&amp;E69)*(HISTORIAL!$F$3:$F$67&lt;&gt;"")),HISTORIAL!$H$3:$H$67),"")</f>
        <v>0</v>
      </c>
      <c r="J69" s="37" t="str">
        <f>IFERROR(LOOKUP(2,1/((HISTORIAL!$O$3:$O$67=D69&amp;"|"&amp;E69)*(HISTORIAL!$F$3:$F$67&lt;&gt;"")),HISTORIAL!$I$3:$I$67),"")</f>
        <v>B</v>
      </c>
      <c r="K69" s="58">
        <f>IFERROR(IF(OR(G69="",N69="SIN"),"--",IF(N69="SUBIR_F",IF(F69="polea",IFERROR(INDEX(CONFIG!$B$25:$B$40,MATCH(G69,CONFIG!$B$25:$B$40,0)+2),IFERROR(INDEX(CONFIG!$B$25:$B$40,MATCH(G69,CONFIG!$B$25:$B$40,0)+1),G69)),G69+5),IF(OR(N69="SUBIR",N69="SUBIR_E"),IF(F69="polea",IFERROR(INDEX(CONFIG!$B$25:$B$40,MATCH(G69,CONFIG!$B$25:$B$40,0)+1),G69),G69+2.5),IF(N69="BAJAR",IF(F69="polea",IFERROR(INDEX(CONFIG!$B$25:$B$40,MAX(1,MATCH(G69,CONFIG!$B$25:$B$40,0)-1)),G69),MAX(0,G69-2.5)),G69)))),"--")</f>
        <v>5</v>
      </c>
      <c r="L69" s="59">
        <f>IFERROR(IF(N69="SIN","--",IF(N69="MANT",IF(H69="","--",H69+1),IFERROR(VLOOKUP(CONFIG!$E$2,CONFIG!$A$6:$E$8,2,0),"--"))),"--")</f>
        <v>6</v>
      </c>
      <c r="M69" s="59">
        <f>IFERROR(IF(N69="SIN","--",IF(CONFIG!$E$2="HIP",2,IF(CONFIG!$E$2="FUE",1,2))),"--")</f>
        <v>2</v>
      </c>
      <c r="N69" s="53" t="str">
        <f>IFERROR(IF(G69="","SIN",IF(O69=1,"SUBIR_E",IF(H69&lt;IFERROR(VLOOKUP(CONFIG!$E$2,CONFIG!$A$6:$E$8,2,0),6),"BAJAR",IF(H69+I69&gt;=IFERROR(VLOOKUP(CONFIG!$E$2,CONFIG!$A$6:$E$8,3,0),12),"SUBIR_F",IF(AND(H69&gt;=IFERROR(VLOOKUP(CONFIG!$E$2,CONFIG!$A$6:$E$8,2,0),6)+2,I69&gt;=2),"SUBIR",IF(I69&gt;IFERROR(VLOOKUP(CONFIG!$E$2,CONFIG!$A$6:$E$8,5,0),3),"SUBIR","MANT")))))),"SIN")</f>
        <v>SUBIR_F</v>
      </c>
      <c r="O69" s="55">
        <f>IF(COUNTIFS(HISTORIAL!$O$3:$O$67,D69&amp;"|"&amp;E69,HISTORIAL!$F$3:$F$67,"&gt;0")&lt;2,0,IF(COUNTIFS(HISTORIAL!$O$3:$O$67,D69&amp;"|"&amp;E69,HISTORIAL!$F$3:$F$67,IFERROR(LOOKUP(2,1/((HISTORIAL!$O$3:$O$67=D69&amp;"|"&amp;E69)*(HISTORIAL!$F$3:$F$67&gt;0)),HISTORIAL!$F$3:$F$67),0))&gt;=2,IF(IFERROR(LOOKUP(2,1/((HISTORIAL!$O$3:$O$67=D69&amp;"|"&amp;E69)*(HISTORIAL!$F$3:$F$67&gt;0)),HISTORIAL!$G$3:$G$67),0)&gt;0,IF(F69&gt;0,IF(G69&lt;=IFERROR(LOOKUP(2,1/((HISTORIAL!$O$3:$O$67=D69&amp;"|"&amp;E69)*(HISTORIAL!$F$3:$F$67&gt;0)),HISTORIAL!$G$3:$G$67),0),1,0),0),0),0))</f>
        <v>0</v>
      </c>
    </row>
    <row r="70" spans="1:15" ht="14.1" customHeight="1">
      <c r="A70" s="37">
        <v>2</v>
      </c>
      <c r="B70" s="37" t="s">
        <v>277</v>
      </c>
      <c r="C70" s="37">
        <v>4</v>
      </c>
      <c r="D70" s="56" t="str">
        <f>LUNES!$A$40</f>
        <v>Aperturas</v>
      </c>
      <c r="E70" s="57" t="str">
        <f>LUNES!$B$40</f>
        <v>Polea Baja Crossover</v>
      </c>
      <c r="F70" s="37" t="str">
        <f>LUNES!$C$40</f>
        <v>--</v>
      </c>
      <c r="G70" s="37" t="str">
        <f>IFERROR(LOOKUP(2,1/((HISTORIAL!$O$3:$O$68=D70&amp;"|"&amp;E70)*(HISTORIAL!$F$3:$F$68&lt;&gt;"")),HISTORIAL!$F$3:$F$68),"")</f>
        <v/>
      </c>
      <c r="H70" s="37" t="str">
        <f>IFERROR(LOOKUP(2,1/((HISTORIAL!$O$3:$O$68=D70&amp;"|"&amp;E70)*(HISTORIAL!$F$3:$F$68&lt;&gt;"")),HISTORIAL!$G$3:$G$68),"")</f>
        <v/>
      </c>
      <c r="I70" s="37" t="str">
        <f>IFERROR(LOOKUP(2,1/((HISTORIAL!$O$3:$O$68=D70&amp;"|"&amp;E70)*(HISTORIAL!$F$3:$F$68&lt;&gt;"")),HISTORIAL!$H$3:$H$68),"")</f>
        <v/>
      </c>
      <c r="J70" s="37" t="str">
        <f>IFERROR(LOOKUP(2,1/((HISTORIAL!$O$3:$O$68=D70&amp;"|"&amp;E70)*(HISTORIAL!$F$3:$F$68&lt;&gt;"")),HISTORIAL!$I$3:$I$68),"")</f>
        <v/>
      </c>
      <c r="K70" s="58" t="str">
        <f>IFERROR(IF(OR(G70="",N70="SIN"),"--",IF(N70="SUBIR_F",IF(F70="polea",IFERROR(INDEX(CONFIG!$B$25:$B$40,MATCH(G70,CONFIG!$B$25:$B$40,0)+2),IFERROR(INDEX(CONFIG!$B$25:$B$40,MATCH(G70,CONFIG!$B$25:$B$40,0)+1),G70)),G70+5),IF(OR(N70="SUBIR",N70="SUBIR_E"),IF(F70="polea",IFERROR(INDEX(CONFIG!$B$25:$B$40,MATCH(G70,CONFIG!$B$25:$B$40,0)+1),G70),G70+2.5),IF(N70="BAJAR",IF(F70="polea",IFERROR(INDEX(CONFIG!$B$25:$B$40,MAX(1,MATCH(G70,CONFIG!$B$25:$B$40,0)-1)),G70),MAX(0,G70-2.5)),G70)))),"--")</f>
        <v>--</v>
      </c>
      <c r="L70" s="59" t="str">
        <f>IFERROR(IF(N70="SIN","--",IF(N70="MANT",IF(H70="","--",H70+1),IFERROR(VLOOKUP(CONFIG!$E$2,CONFIG!$A$6:$E$8,2,0),"--"))),"--")</f>
        <v>--</v>
      </c>
      <c r="M70" s="59" t="str">
        <f>IFERROR(IF(N70="SIN","--",IF(CONFIG!$E$2="HIP",2,IF(CONFIG!$E$2="FUE",1,2))),"--")</f>
        <v>--</v>
      </c>
      <c r="N70" s="53" t="str">
        <f>IFERROR(IF(G70="","SIN",IF(O70=1,"SUBIR_E",IF(H70&lt;IFERROR(VLOOKUP(CONFIG!$E$2,CONFIG!$A$6:$E$8,2,0),6),"BAJAR",IF(H70+I70&gt;=IFERROR(VLOOKUP(CONFIG!$E$2,CONFIG!$A$6:$E$8,3,0),12),"SUBIR_F",IF(AND(H70&gt;=IFERROR(VLOOKUP(CONFIG!$E$2,CONFIG!$A$6:$E$8,2,0),6)+2,I70&gt;=2),"SUBIR",IF(I70&gt;IFERROR(VLOOKUP(CONFIG!$E$2,CONFIG!$A$6:$E$8,5,0),3),"SUBIR","MANT")))))),"SIN")</f>
        <v>SIN</v>
      </c>
      <c r="O70" s="55">
        <f>IF(COUNTIFS(HISTORIAL!$O$3:$O$68,D70&amp;"|"&amp;E70,HISTORIAL!$F$3:$F$68,"&gt;0")&lt;2,0,IF(COUNTIFS(HISTORIAL!$O$3:$O$68,D70&amp;"|"&amp;E70,HISTORIAL!$F$3:$F$68,IFERROR(LOOKUP(2,1/((HISTORIAL!$O$3:$O$68=D70&amp;"|"&amp;E70)*(HISTORIAL!$F$3:$F$68&gt;0)),HISTORIAL!$F$3:$F$68),0))&gt;=2,IF(IFERROR(LOOKUP(2,1/((HISTORIAL!$O$3:$O$68=D70&amp;"|"&amp;E70)*(HISTORIAL!$F$3:$F$68&gt;0)),HISTORIAL!$G$3:$G$68),0)&gt;0,IF(F70&gt;0,IF(G70&lt;=IFERROR(LOOKUP(2,1/((HISTORIAL!$O$3:$O$68=D70&amp;"|"&amp;E70)*(HISTORIAL!$F$3:$F$68&gt;0)),HISTORIAL!$G$3:$G$68),0),1,0),0),0),0))</f>
        <v>0</v>
      </c>
    </row>
    <row r="71" spans="1:15" ht="14.1" customHeight="1">
      <c r="A71" s="37">
        <v>2</v>
      </c>
      <c r="B71" s="37" t="s">
        <v>277</v>
      </c>
      <c r="C71" s="37">
        <v>5</v>
      </c>
      <c r="D71" s="56" t="str">
        <f>LUNES!$A$41</f>
        <v>Aperturas</v>
      </c>
      <c r="E71" s="57" t="str">
        <f>LUNES!$B$41</f>
        <v>Pec Deck Maquina</v>
      </c>
      <c r="F71" s="37" t="str">
        <f>LUNES!$C$41</f>
        <v>--</v>
      </c>
      <c r="G71" s="37" t="str">
        <f>IFERROR(LOOKUP(2,1/((HISTORIAL!$O$3:$O$69=D71&amp;"|"&amp;E71)*(HISTORIAL!$F$3:$F$69&lt;&gt;"")),HISTORIAL!$F$3:$F$69),"")</f>
        <v/>
      </c>
      <c r="H71" s="37" t="str">
        <f>IFERROR(LOOKUP(2,1/((HISTORIAL!$O$3:$O$69=D71&amp;"|"&amp;E71)*(HISTORIAL!$F$3:$F$69&lt;&gt;"")),HISTORIAL!$G$3:$G$69),"")</f>
        <v/>
      </c>
      <c r="I71" s="37" t="str">
        <f>IFERROR(LOOKUP(2,1/((HISTORIAL!$O$3:$O$69=D71&amp;"|"&amp;E71)*(HISTORIAL!$F$3:$F$69&lt;&gt;"")),HISTORIAL!$H$3:$H$69),"")</f>
        <v/>
      </c>
      <c r="J71" s="37" t="str">
        <f>IFERROR(LOOKUP(2,1/((HISTORIAL!$O$3:$O$69=D71&amp;"|"&amp;E71)*(HISTORIAL!$F$3:$F$69&lt;&gt;"")),HISTORIAL!$I$3:$I$69),"")</f>
        <v/>
      </c>
      <c r="K71" s="58" t="str">
        <f>IFERROR(IF(OR(G71="",N71="SIN"),"--",IF(N71="SUBIR_F",IF(F71="polea",IFERROR(INDEX(CONFIG!$B$25:$B$40,MATCH(G71,CONFIG!$B$25:$B$40,0)+2),IFERROR(INDEX(CONFIG!$B$25:$B$40,MATCH(G71,CONFIG!$B$25:$B$40,0)+1),G71)),G71+5),IF(OR(N71="SUBIR",N71="SUBIR_E"),IF(F71="polea",IFERROR(INDEX(CONFIG!$B$25:$B$40,MATCH(G71,CONFIG!$B$25:$B$40,0)+1),G71),G71+2.5),IF(N71="BAJAR",IF(F71="polea",IFERROR(INDEX(CONFIG!$B$25:$B$40,MAX(1,MATCH(G71,CONFIG!$B$25:$B$40,0)-1)),G71),MAX(0,G71-2.5)),G71)))),"--")</f>
        <v>--</v>
      </c>
      <c r="L71" s="59" t="str">
        <f>IFERROR(IF(N71="SIN","--",IF(N71="MANT",IF(H71="","--",H71+1),IFERROR(VLOOKUP(CONFIG!$E$2,CONFIG!$A$6:$E$8,2,0),"--"))),"--")</f>
        <v>--</v>
      </c>
      <c r="M71" s="59" t="str">
        <f>IFERROR(IF(N71="SIN","--",IF(CONFIG!$E$2="HIP",2,IF(CONFIG!$E$2="FUE",1,2))),"--")</f>
        <v>--</v>
      </c>
      <c r="N71" s="53" t="str">
        <f>IFERROR(IF(G71="","SIN",IF(O71=1,"SUBIR_E",IF(H71&lt;IFERROR(VLOOKUP(CONFIG!$E$2,CONFIG!$A$6:$E$8,2,0),6),"BAJAR",IF(H71+I71&gt;=IFERROR(VLOOKUP(CONFIG!$E$2,CONFIG!$A$6:$E$8,3,0),12),"SUBIR_F",IF(AND(H71&gt;=IFERROR(VLOOKUP(CONFIG!$E$2,CONFIG!$A$6:$E$8,2,0),6)+2,I71&gt;=2),"SUBIR",IF(I71&gt;IFERROR(VLOOKUP(CONFIG!$E$2,CONFIG!$A$6:$E$8,5,0),3),"SUBIR","MANT")))))),"SIN")</f>
        <v>SIN</v>
      </c>
      <c r="O71" s="55">
        <f>IF(COUNTIFS(HISTORIAL!$O$3:$O$69,D71&amp;"|"&amp;E71,HISTORIAL!$F$3:$F$69,"&gt;0")&lt;2,0,IF(COUNTIFS(HISTORIAL!$O$3:$O$69,D71&amp;"|"&amp;E71,HISTORIAL!$F$3:$F$69,IFERROR(LOOKUP(2,1/((HISTORIAL!$O$3:$O$69=D71&amp;"|"&amp;E71)*(HISTORIAL!$F$3:$F$69&gt;0)),HISTORIAL!$F$3:$F$69),0))&gt;=2,IF(IFERROR(LOOKUP(2,1/((HISTORIAL!$O$3:$O$69=D71&amp;"|"&amp;E71)*(HISTORIAL!$F$3:$F$69&gt;0)),HISTORIAL!$G$3:$G$69),0)&gt;0,IF(F71&gt;0,IF(G71&lt;=IFERROR(LOOKUP(2,1/((HISTORIAL!$O$3:$O$69=D71&amp;"|"&amp;E71)*(HISTORIAL!$F$3:$F$69&gt;0)),HISTORIAL!$G$3:$G$69),0),1,0),0),0),0))</f>
        <v>0</v>
      </c>
    </row>
    <row r="72" spans="1:15" ht="14.1" customHeight="1">
      <c r="A72" s="37">
        <v>2</v>
      </c>
      <c r="B72" s="37" t="s">
        <v>277</v>
      </c>
      <c r="C72" s="37">
        <v>6</v>
      </c>
      <c r="D72" s="56" t="str">
        <f>LUNES!$A$43</f>
        <v>Elevaciones Laterales</v>
      </c>
      <c r="E72" s="57" t="str">
        <f>LUNES!$B$43</f>
        <v>Cable Polea Individual</v>
      </c>
      <c r="F72" s="37" t="str">
        <f>LUNES!$C$43</f>
        <v>polea</v>
      </c>
      <c r="G72" s="37" t="str">
        <f>IFERROR(LOOKUP(2,1/((HISTORIAL!$O$3:$O$70=D72&amp;"|"&amp;E72)*(HISTORIAL!$F$3:$F$70&lt;&gt;"")),HISTORIAL!$F$3:$F$70),"")</f>
        <v/>
      </c>
      <c r="H72" s="37" t="str">
        <f>IFERROR(LOOKUP(2,1/((HISTORIAL!$O$3:$O$70=D72&amp;"|"&amp;E72)*(HISTORIAL!$F$3:$F$70&lt;&gt;"")),HISTORIAL!$G$3:$G$70),"")</f>
        <v/>
      </c>
      <c r="I72" s="37" t="str">
        <f>IFERROR(LOOKUP(2,1/((HISTORIAL!$O$3:$O$70=D72&amp;"|"&amp;E72)*(HISTORIAL!$F$3:$F$70&lt;&gt;"")),HISTORIAL!$H$3:$H$70),"")</f>
        <v/>
      </c>
      <c r="J72" s="37" t="str">
        <f>IFERROR(LOOKUP(2,1/((HISTORIAL!$O$3:$O$70=D72&amp;"|"&amp;E72)*(HISTORIAL!$F$3:$F$70&lt;&gt;"")),HISTORIAL!$I$3:$I$70),"")</f>
        <v/>
      </c>
      <c r="K72" s="58" t="str">
        <f>IFERROR(IF(OR(G72="",N72="SIN"),"--",IF(N72="SUBIR_F",IF(F72="polea",IFERROR(INDEX(CONFIG!$B$25:$B$40,MATCH(G72,CONFIG!$B$25:$B$40,0)+2),IFERROR(INDEX(CONFIG!$B$25:$B$40,MATCH(G72,CONFIG!$B$25:$B$40,0)+1),G72)),G72+5),IF(OR(N72="SUBIR",N72="SUBIR_E"),IF(F72="polea",IFERROR(INDEX(CONFIG!$B$25:$B$40,MATCH(G72,CONFIG!$B$25:$B$40,0)+1),G72),G72+2.5),IF(N72="BAJAR",IF(F72="polea",IFERROR(INDEX(CONFIG!$B$25:$B$40,MAX(1,MATCH(G72,CONFIG!$B$25:$B$40,0)-1)),G72),MAX(0,G72-2.5)),G72)))),"--")</f>
        <v>--</v>
      </c>
      <c r="L72" s="59" t="str">
        <f>IFERROR(IF(N72="SIN","--",IF(N72="MANT",IF(H72="","--",H72+1),IFERROR(VLOOKUP(CONFIG!$E$2,CONFIG!$A$6:$E$8,2,0),"--"))),"--")</f>
        <v>--</v>
      </c>
      <c r="M72" s="59" t="str">
        <f>IFERROR(IF(N72="SIN","--",IF(CONFIG!$E$2="HIP",2,IF(CONFIG!$E$2="FUE",1,2))),"--")</f>
        <v>--</v>
      </c>
      <c r="N72" s="53" t="str">
        <f>IFERROR(IF(G72="","SIN",IF(O72=1,"SUBIR_E",IF(H72&lt;IFERROR(VLOOKUP(CONFIG!$E$2,CONFIG!$A$6:$E$8,2,0),6),"BAJAR",IF(H72+I72&gt;=IFERROR(VLOOKUP(CONFIG!$E$2,CONFIG!$A$6:$E$8,3,0),12),"SUBIR_F",IF(AND(H72&gt;=IFERROR(VLOOKUP(CONFIG!$E$2,CONFIG!$A$6:$E$8,2,0),6)+2,I72&gt;=2),"SUBIR",IF(I72&gt;IFERROR(VLOOKUP(CONFIG!$E$2,CONFIG!$A$6:$E$8,5,0),3),"SUBIR","MANT")))))),"SIN")</f>
        <v>SIN</v>
      </c>
      <c r="O72" s="55">
        <f>IF(COUNTIFS(HISTORIAL!$O$3:$O$70,D72&amp;"|"&amp;E72,HISTORIAL!$F$3:$F$70,"&gt;0")&lt;2,0,IF(COUNTIFS(HISTORIAL!$O$3:$O$70,D72&amp;"|"&amp;E72,HISTORIAL!$F$3:$F$70,IFERROR(LOOKUP(2,1/((HISTORIAL!$O$3:$O$70=D72&amp;"|"&amp;E72)*(HISTORIAL!$F$3:$F$70&gt;0)),HISTORIAL!$F$3:$F$70),0))&gt;=2,IF(IFERROR(LOOKUP(2,1/((HISTORIAL!$O$3:$O$70=D72&amp;"|"&amp;E72)*(HISTORIAL!$F$3:$F$70&gt;0)),HISTORIAL!$G$3:$G$70),0)&gt;0,IF(F72&gt;0,IF(G72&lt;=IFERROR(LOOKUP(2,1/((HISTORIAL!$O$3:$O$70=D72&amp;"|"&amp;E72)*(HISTORIAL!$F$3:$F$70&gt;0)),HISTORIAL!$G$3:$G$70),0),1,0),0),0),0))</f>
        <v>0</v>
      </c>
    </row>
    <row r="73" spans="1:15" ht="14.1" customHeight="1">
      <c r="A73" s="37">
        <v>2</v>
      </c>
      <c r="B73" s="37" t="s">
        <v>277</v>
      </c>
      <c r="C73" s="37">
        <v>7</v>
      </c>
      <c r="D73" s="56" t="str">
        <f>LUNES!$A$44</f>
        <v>Press Militar</v>
      </c>
      <c r="E73" s="57" t="str">
        <f>LUNES!$B$44</f>
        <v>Mancuernas Sentado</v>
      </c>
      <c r="F73" s="37" t="str">
        <f>LUNES!$C$44</f>
        <v>mancuerna</v>
      </c>
      <c r="G73" s="37" t="str">
        <f>IFERROR(LOOKUP(2,1/((HISTORIAL!$O$3:$O$71=D73&amp;"|"&amp;E73)*(HISTORIAL!$F$3:$F$71&lt;&gt;"")),HISTORIAL!$F$3:$F$71),"")</f>
        <v/>
      </c>
      <c r="H73" s="37" t="str">
        <f>IFERROR(LOOKUP(2,1/((HISTORIAL!$O$3:$O$71=D73&amp;"|"&amp;E73)*(HISTORIAL!$F$3:$F$71&lt;&gt;"")),HISTORIAL!$G$3:$G$71),"")</f>
        <v/>
      </c>
      <c r="I73" s="37" t="str">
        <f>IFERROR(LOOKUP(2,1/((HISTORIAL!$O$3:$O$71=D73&amp;"|"&amp;E73)*(HISTORIAL!$F$3:$F$71&lt;&gt;"")),HISTORIAL!$H$3:$H$71),"")</f>
        <v/>
      </c>
      <c r="J73" s="37" t="str">
        <f>IFERROR(LOOKUP(2,1/((HISTORIAL!$O$3:$O$71=D73&amp;"|"&amp;E73)*(HISTORIAL!$F$3:$F$71&lt;&gt;"")),HISTORIAL!$I$3:$I$71),"")</f>
        <v/>
      </c>
      <c r="K73" s="58" t="str">
        <f>IFERROR(IF(OR(G73="",N73="SIN"),"--",IF(N73="SUBIR_F",IF(F73="polea",IFERROR(INDEX(CONFIG!$B$25:$B$40,MATCH(G73,CONFIG!$B$25:$B$40,0)+2),IFERROR(INDEX(CONFIG!$B$25:$B$40,MATCH(G73,CONFIG!$B$25:$B$40,0)+1),G73)),G73+5),IF(OR(N73="SUBIR",N73="SUBIR_E"),IF(F73="polea",IFERROR(INDEX(CONFIG!$B$25:$B$40,MATCH(G73,CONFIG!$B$25:$B$40,0)+1),G73),G73+2.5),IF(N73="BAJAR",IF(F73="polea",IFERROR(INDEX(CONFIG!$B$25:$B$40,MAX(1,MATCH(G73,CONFIG!$B$25:$B$40,0)-1)),G73),MAX(0,G73-2.5)),G73)))),"--")</f>
        <v>--</v>
      </c>
      <c r="L73" s="59" t="str">
        <f>IFERROR(IF(N73="SIN","--",IF(N73="MANT",IF(H73="","--",H73+1),IFERROR(VLOOKUP(CONFIG!$E$2,CONFIG!$A$6:$E$8,2,0),"--"))),"--")</f>
        <v>--</v>
      </c>
      <c r="M73" s="59" t="str">
        <f>IFERROR(IF(N73="SIN","--",IF(CONFIG!$E$2="HIP",2,IF(CONFIG!$E$2="FUE",1,2))),"--")</f>
        <v>--</v>
      </c>
      <c r="N73" s="53" t="str">
        <f>IFERROR(IF(G73="","SIN",IF(O73=1,"SUBIR_E",IF(H73&lt;IFERROR(VLOOKUP(CONFIG!$E$2,CONFIG!$A$6:$E$8,2,0),6),"BAJAR",IF(H73+I73&gt;=IFERROR(VLOOKUP(CONFIG!$E$2,CONFIG!$A$6:$E$8,3,0),12),"SUBIR_F",IF(AND(H73&gt;=IFERROR(VLOOKUP(CONFIG!$E$2,CONFIG!$A$6:$E$8,2,0),6)+2,I73&gt;=2),"SUBIR",IF(I73&gt;IFERROR(VLOOKUP(CONFIG!$E$2,CONFIG!$A$6:$E$8,5,0),3),"SUBIR","MANT")))))),"SIN")</f>
        <v>SIN</v>
      </c>
      <c r="O73" s="55">
        <f>IF(COUNTIFS(HISTORIAL!$O$3:$O$71,D73&amp;"|"&amp;E73,HISTORIAL!$F$3:$F$71,"&gt;0")&lt;2,0,IF(COUNTIFS(HISTORIAL!$O$3:$O$71,D73&amp;"|"&amp;E73,HISTORIAL!$F$3:$F$71,IFERROR(LOOKUP(2,1/((HISTORIAL!$O$3:$O$71=D73&amp;"|"&amp;E73)*(HISTORIAL!$F$3:$F$71&gt;0)),HISTORIAL!$F$3:$F$71),0))&gt;=2,IF(IFERROR(LOOKUP(2,1/((HISTORIAL!$O$3:$O$71=D73&amp;"|"&amp;E73)*(HISTORIAL!$F$3:$F$71&gt;0)),HISTORIAL!$G$3:$G$71),0)&gt;0,IF(F73&gt;0,IF(G73&lt;=IFERROR(LOOKUP(2,1/((HISTORIAL!$O$3:$O$71=D73&amp;"|"&amp;E73)*(HISTORIAL!$F$3:$F$71&gt;0)),HISTORIAL!$G$3:$G$71),0),1,0),0),0),0))</f>
        <v>0</v>
      </c>
    </row>
    <row r="74" spans="1:15" ht="14.1" customHeight="1">
      <c r="A74" s="37">
        <v>2</v>
      </c>
      <c r="B74" s="37" t="s">
        <v>277</v>
      </c>
      <c r="C74" s="37">
        <v>8</v>
      </c>
      <c r="D74" s="56" t="str">
        <f>LUNES!$A$46</f>
        <v>Extension Triceps</v>
      </c>
      <c r="E74" s="57" t="str">
        <f>LUNES!$B$46</f>
        <v>Press Neutro Polea Individual</v>
      </c>
      <c r="F74" s="37" t="str">
        <f>LUNES!$C$46</f>
        <v>--</v>
      </c>
      <c r="G74" s="37" t="str">
        <f>IFERROR(LOOKUP(2,1/((HISTORIAL!$O$3:$O$72=D74&amp;"|"&amp;E74)*(HISTORIAL!$F$3:$F$72&lt;&gt;"")),HISTORIAL!$F$3:$F$72),"")</f>
        <v/>
      </c>
      <c r="H74" s="37" t="str">
        <f>IFERROR(LOOKUP(2,1/((HISTORIAL!$O$3:$O$72=D74&amp;"|"&amp;E74)*(HISTORIAL!$F$3:$F$72&lt;&gt;"")),HISTORIAL!$G$3:$G$72),"")</f>
        <v/>
      </c>
      <c r="I74" s="37" t="str">
        <f>IFERROR(LOOKUP(2,1/((HISTORIAL!$O$3:$O$72=D74&amp;"|"&amp;E74)*(HISTORIAL!$F$3:$F$72&lt;&gt;"")),HISTORIAL!$H$3:$H$72),"")</f>
        <v/>
      </c>
      <c r="J74" s="37" t="str">
        <f>IFERROR(LOOKUP(2,1/((HISTORIAL!$O$3:$O$72=D74&amp;"|"&amp;E74)*(HISTORIAL!$F$3:$F$72&lt;&gt;"")),HISTORIAL!$I$3:$I$72),"")</f>
        <v/>
      </c>
      <c r="K74" s="58" t="str">
        <f>IFERROR(IF(OR(G74="",N74="SIN"),"--",IF(N74="SUBIR_F",IF(F74="polea",IFERROR(INDEX(CONFIG!$B$25:$B$40,MATCH(G74,CONFIG!$B$25:$B$40,0)+2),IFERROR(INDEX(CONFIG!$B$25:$B$40,MATCH(G74,CONFIG!$B$25:$B$40,0)+1),G74)),G74+5),IF(OR(N74="SUBIR",N74="SUBIR_E"),IF(F74="polea",IFERROR(INDEX(CONFIG!$B$25:$B$40,MATCH(G74,CONFIG!$B$25:$B$40,0)+1),G74),G74+2.5),IF(N74="BAJAR",IF(F74="polea",IFERROR(INDEX(CONFIG!$B$25:$B$40,MAX(1,MATCH(G74,CONFIG!$B$25:$B$40,0)-1)),G74),MAX(0,G74-2.5)),G74)))),"--")</f>
        <v>--</v>
      </c>
      <c r="L74" s="59" t="str">
        <f>IFERROR(IF(N74="SIN","--",IF(N74="MANT",IF(H74="","--",H74+1),IFERROR(VLOOKUP(CONFIG!$E$2,CONFIG!$A$6:$E$8,2,0),"--"))),"--")</f>
        <v>--</v>
      </c>
      <c r="M74" s="59" t="str">
        <f>IFERROR(IF(N74="SIN","--",IF(CONFIG!$E$2="HIP",2,IF(CONFIG!$E$2="FUE",1,2))),"--")</f>
        <v>--</v>
      </c>
      <c r="N74" s="53" t="str">
        <f>IFERROR(IF(G74="","SIN",IF(O74=1,"SUBIR_E",IF(H74&lt;IFERROR(VLOOKUP(CONFIG!$E$2,CONFIG!$A$6:$E$8,2,0),6),"BAJAR",IF(H74+I74&gt;=IFERROR(VLOOKUP(CONFIG!$E$2,CONFIG!$A$6:$E$8,3,0),12),"SUBIR_F",IF(AND(H74&gt;=IFERROR(VLOOKUP(CONFIG!$E$2,CONFIG!$A$6:$E$8,2,0),6)+2,I74&gt;=2),"SUBIR",IF(I74&gt;IFERROR(VLOOKUP(CONFIG!$E$2,CONFIG!$A$6:$E$8,5,0),3),"SUBIR","MANT")))))),"SIN")</f>
        <v>SIN</v>
      </c>
      <c r="O74" s="55">
        <f>IF(COUNTIFS(HISTORIAL!$O$3:$O$72,D74&amp;"|"&amp;E74,HISTORIAL!$F$3:$F$72,"&gt;0")&lt;2,0,IF(COUNTIFS(HISTORIAL!$O$3:$O$72,D74&amp;"|"&amp;E74,HISTORIAL!$F$3:$F$72,IFERROR(LOOKUP(2,1/((HISTORIAL!$O$3:$O$72=D74&amp;"|"&amp;E74)*(HISTORIAL!$F$3:$F$72&gt;0)),HISTORIAL!$F$3:$F$72),0))&gt;=2,IF(IFERROR(LOOKUP(2,1/((HISTORIAL!$O$3:$O$72=D74&amp;"|"&amp;E74)*(HISTORIAL!$F$3:$F$72&gt;0)),HISTORIAL!$G$3:$G$72),0)&gt;0,IF(F74&gt;0,IF(G74&lt;=IFERROR(LOOKUP(2,1/((HISTORIAL!$O$3:$O$72=D74&amp;"|"&amp;E74)*(HISTORIAL!$F$3:$F$72&gt;0)),HISTORIAL!$G$3:$G$72),0),1,0),0),0),0))</f>
        <v>0</v>
      </c>
    </row>
    <row r="75" spans="1:15" ht="14.1" customHeight="1">
      <c r="A75" s="37">
        <v>2</v>
      </c>
      <c r="B75" s="37" t="s">
        <v>277</v>
      </c>
      <c r="C75" s="37">
        <v>9</v>
      </c>
      <c r="D75" s="56" t="str">
        <f>LUNES!$A$48</f>
        <v>Extension Cuadriceps</v>
      </c>
      <c r="E75" s="57" t="str">
        <f>LUNES!$B$48</f>
        <v>Vasto Externo</v>
      </c>
      <c r="F75" s="37" t="str">
        <f>LUNES!$C$48</f>
        <v>--</v>
      </c>
      <c r="G75" s="37" t="str">
        <f>IFERROR(LOOKUP(2,1/((HISTORIAL!$O$3:$O$73=D75&amp;"|"&amp;E75)*(HISTORIAL!$F$3:$F$73&lt;&gt;"")),HISTORIAL!$F$3:$F$73),"")</f>
        <v/>
      </c>
      <c r="H75" s="37" t="str">
        <f>IFERROR(LOOKUP(2,1/((HISTORIAL!$O$3:$O$73=D75&amp;"|"&amp;E75)*(HISTORIAL!$F$3:$F$73&lt;&gt;"")),HISTORIAL!$G$3:$G$73),"")</f>
        <v/>
      </c>
      <c r="I75" s="37" t="str">
        <f>IFERROR(LOOKUP(2,1/((HISTORIAL!$O$3:$O$73=D75&amp;"|"&amp;E75)*(HISTORIAL!$F$3:$F$73&lt;&gt;"")),HISTORIAL!$H$3:$H$73),"")</f>
        <v/>
      </c>
      <c r="J75" s="37" t="str">
        <f>IFERROR(LOOKUP(2,1/((HISTORIAL!$O$3:$O$73=D75&amp;"|"&amp;E75)*(HISTORIAL!$F$3:$F$73&lt;&gt;"")),HISTORIAL!$I$3:$I$73),"")</f>
        <v/>
      </c>
      <c r="K75" s="58" t="str">
        <f>IFERROR(IF(OR(G75="",N75="SIN"),"--",IF(N75="SUBIR_F",IF(F75="polea",IFERROR(INDEX(CONFIG!$B$25:$B$40,MATCH(G75,CONFIG!$B$25:$B$40,0)+2),IFERROR(INDEX(CONFIG!$B$25:$B$40,MATCH(G75,CONFIG!$B$25:$B$40,0)+1),G75)),G75+5),IF(OR(N75="SUBIR",N75="SUBIR_E"),IF(F75="polea",IFERROR(INDEX(CONFIG!$B$25:$B$40,MATCH(G75,CONFIG!$B$25:$B$40,0)+1),G75),G75+2.5),IF(N75="BAJAR",IF(F75="polea",IFERROR(INDEX(CONFIG!$B$25:$B$40,MAX(1,MATCH(G75,CONFIG!$B$25:$B$40,0)-1)),G75),MAX(0,G75-2.5)),G75)))),"--")</f>
        <v>--</v>
      </c>
      <c r="L75" s="59" t="str">
        <f>IFERROR(IF(N75="SIN","--",IF(N75="MANT",IF(H75="","--",H75+1),IFERROR(VLOOKUP(CONFIG!$E$2,CONFIG!$A$6:$E$8,2,0),"--"))),"--")</f>
        <v>--</v>
      </c>
      <c r="M75" s="59" t="str">
        <f>IFERROR(IF(N75="SIN","--",IF(CONFIG!$E$2="HIP",2,IF(CONFIG!$E$2="FUE",1,2))),"--")</f>
        <v>--</v>
      </c>
      <c r="N75" s="53" t="str">
        <f>IFERROR(IF(G75="","SIN",IF(O75=1,"SUBIR_E",IF(H75&lt;IFERROR(VLOOKUP(CONFIG!$E$2,CONFIG!$A$6:$E$8,2,0),6),"BAJAR",IF(H75+I75&gt;=IFERROR(VLOOKUP(CONFIG!$E$2,CONFIG!$A$6:$E$8,3,0),12),"SUBIR_F",IF(AND(H75&gt;=IFERROR(VLOOKUP(CONFIG!$E$2,CONFIG!$A$6:$E$8,2,0),6)+2,I75&gt;=2),"SUBIR",IF(I75&gt;IFERROR(VLOOKUP(CONFIG!$E$2,CONFIG!$A$6:$E$8,5,0),3),"SUBIR","MANT")))))),"SIN")</f>
        <v>SIN</v>
      </c>
      <c r="O75" s="55">
        <f>IF(COUNTIFS(HISTORIAL!$O$3:$O$73,D75&amp;"|"&amp;E75,HISTORIAL!$F$3:$F$73,"&gt;0")&lt;2,0,IF(COUNTIFS(HISTORIAL!$O$3:$O$73,D75&amp;"|"&amp;E75,HISTORIAL!$F$3:$F$73,IFERROR(LOOKUP(2,1/((HISTORIAL!$O$3:$O$73=D75&amp;"|"&amp;E75)*(HISTORIAL!$F$3:$F$73&gt;0)),HISTORIAL!$F$3:$F$73),0))&gt;=2,IF(IFERROR(LOOKUP(2,1/((HISTORIAL!$O$3:$O$73=D75&amp;"|"&amp;E75)*(HISTORIAL!$F$3:$F$73&gt;0)),HISTORIAL!$G$3:$G$73),0)&gt;0,IF(F75&gt;0,IF(G75&lt;=IFERROR(LOOKUP(2,1/((HISTORIAL!$O$3:$O$73=D75&amp;"|"&amp;E75)*(HISTORIAL!$F$3:$F$73&gt;0)),HISTORIAL!$G$3:$G$73),0),1,0),0),0),0))</f>
        <v>0</v>
      </c>
    </row>
    <row r="76" spans="1:15" ht="14.1" customHeight="1">
      <c r="A76" s="37">
        <v>2</v>
      </c>
      <c r="B76" s="37" t="s">
        <v>277</v>
      </c>
      <c r="C76" s="37">
        <v>10</v>
      </c>
      <c r="D76" s="56" t="str">
        <f>LUNES!$A$50</f>
        <v>Curl Biceps</v>
      </c>
      <c r="E76" s="57" t="str">
        <f>LUNES!$B$50</f>
        <v>Inclinado Banco Mancuernas</v>
      </c>
      <c r="F76" s="37" t="str">
        <f>LUNES!$C$50</f>
        <v>mancuerna</v>
      </c>
      <c r="G76" s="37" t="str">
        <f>IFERROR(LOOKUP(2,1/((HISTORIAL!$O$3:$O$74=D76&amp;"|"&amp;E76)*(HISTORIAL!$F$3:$F$74&lt;&gt;"")),HISTORIAL!$F$3:$F$74),"")</f>
        <v/>
      </c>
      <c r="H76" s="37" t="str">
        <f>IFERROR(LOOKUP(2,1/((HISTORIAL!$O$3:$O$74=D76&amp;"|"&amp;E76)*(HISTORIAL!$F$3:$F$74&lt;&gt;"")),HISTORIAL!$G$3:$G$74),"")</f>
        <v/>
      </c>
      <c r="I76" s="37" t="str">
        <f>IFERROR(LOOKUP(2,1/((HISTORIAL!$O$3:$O$74=D76&amp;"|"&amp;E76)*(HISTORIAL!$F$3:$F$74&lt;&gt;"")),HISTORIAL!$H$3:$H$74),"")</f>
        <v/>
      </c>
      <c r="J76" s="37" t="str">
        <f>IFERROR(LOOKUP(2,1/((HISTORIAL!$O$3:$O$74=D76&amp;"|"&amp;E76)*(HISTORIAL!$F$3:$F$74&lt;&gt;"")),HISTORIAL!$I$3:$I$74),"")</f>
        <v/>
      </c>
      <c r="K76" s="58" t="str">
        <f>IFERROR(IF(OR(G76="",N76="SIN"),"--",IF(N76="SUBIR_F",IF(F76="polea",IFERROR(INDEX(CONFIG!$B$25:$B$40,MATCH(G76,CONFIG!$B$25:$B$40,0)+2),IFERROR(INDEX(CONFIG!$B$25:$B$40,MATCH(G76,CONFIG!$B$25:$B$40,0)+1),G76)),G76+5),IF(OR(N76="SUBIR",N76="SUBIR_E"),IF(F76="polea",IFERROR(INDEX(CONFIG!$B$25:$B$40,MATCH(G76,CONFIG!$B$25:$B$40,0)+1),G76),G76+2.5),IF(N76="BAJAR",IF(F76="polea",IFERROR(INDEX(CONFIG!$B$25:$B$40,MAX(1,MATCH(G76,CONFIG!$B$25:$B$40,0)-1)),G76),MAX(0,G76-2.5)),G76)))),"--")</f>
        <v>--</v>
      </c>
      <c r="L76" s="59" t="str">
        <f>IFERROR(IF(N76="SIN","--",IF(N76="MANT",IF(H76="","--",H76+1),IFERROR(VLOOKUP(CONFIG!$E$2,CONFIG!$A$6:$E$8,2,0),"--"))),"--")</f>
        <v>--</v>
      </c>
      <c r="M76" s="59" t="str">
        <f>IFERROR(IF(N76="SIN","--",IF(CONFIG!$E$2="HIP",2,IF(CONFIG!$E$2="FUE",1,2))),"--")</f>
        <v>--</v>
      </c>
      <c r="N76" s="53" t="str">
        <f>IFERROR(IF(G76="","SIN",IF(O76=1,"SUBIR_E",IF(H76&lt;IFERROR(VLOOKUP(CONFIG!$E$2,CONFIG!$A$6:$E$8,2,0),6),"BAJAR",IF(H76+I76&gt;=IFERROR(VLOOKUP(CONFIG!$E$2,CONFIG!$A$6:$E$8,3,0),12),"SUBIR_F",IF(AND(H76&gt;=IFERROR(VLOOKUP(CONFIG!$E$2,CONFIG!$A$6:$E$8,2,0),6)+2,I76&gt;=2),"SUBIR",IF(I76&gt;IFERROR(VLOOKUP(CONFIG!$E$2,CONFIG!$A$6:$E$8,5,0),3),"SUBIR","MANT")))))),"SIN")</f>
        <v>SIN</v>
      </c>
      <c r="O76" s="55">
        <f>IF(COUNTIFS(HISTORIAL!$O$3:$O$74,D76&amp;"|"&amp;E76,HISTORIAL!$F$3:$F$74,"&gt;0")&lt;2,0,IF(COUNTIFS(HISTORIAL!$O$3:$O$74,D76&amp;"|"&amp;E76,HISTORIAL!$F$3:$F$74,IFERROR(LOOKUP(2,1/((HISTORIAL!$O$3:$O$74=D76&amp;"|"&amp;E76)*(HISTORIAL!$F$3:$F$74&gt;0)),HISTORIAL!$F$3:$F$74),0))&gt;=2,IF(IFERROR(LOOKUP(2,1/((HISTORIAL!$O$3:$O$74=D76&amp;"|"&amp;E76)*(HISTORIAL!$F$3:$F$74&gt;0)),HISTORIAL!$G$3:$G$74),0)&gt;0,IF(F76&gt;0,IF(G76&lt;=IFERROR(LOOKUP(2,1/((HISTORIAL!$O$3:$O$74=D76&amp;"|"&amp;E76)*(HISTORIAL!$F$3:$F$74&gt;0)),HISTORIAL!$G$3:$G$74),0),1,0),0),0),0))</f>
        <v>0</v>
      </c>
    </row>
    <row r="77" spans="1:15" ht="14.1" customHeight="1">
      <c r="A77" s="37">
        <v>2</v>
      </c>
      <c r="B77" s="37" t="s">
        <v>277</v>
      </c>
      <c r="C77" s="37">
        <v>11</v>
      </c>
      <c r="D77" s="56" t="str">
        <f>LUNES!$A$52</f>
        <v>Crunch</v>
      </c>
      <c r="E77" s="57" t="str">
        <f>LUNES!$B$52</f>
        <v>Polea</v>
      </c>
      <c r="F77" s="37" t="str">
        <f>LUNES!$C$52</f>
        <v>polea</v>
      </c>
      <c r="G77" s="37" t="str">
        <f>IFERROR(LOOKUP(2,1/((HISTORIAL!$O$3:$O$75=D77&amp;"|"&amp;E77)*(HISTORIAL!$F$3:$F$75&lt;&gt;"")),HISTORIAL!$F$3:$F$75),"")</f>
        <v/>
      </c>
      <c r="H77" s="37" t="str">
        <f>IFERROR(LOOKUP(2,1/((HISTORIAL!$O$3:$O$75=D77&amp;"|"&amp;E77)*(HISTORIAL!$F$3:$F$75&lt;&gt;"")),HISTORIAL!$G$3:$G$75),"")</f>
        <v/>
      </c>
      <c r="I77" s="37" t="str">
        <f>IFERROR(LOOKUP(2,1/((HISTORIAL!$O$3:$O$75=D77&amp;"|"&amp;E77)*(HISTORIAL!$F$3:$F$75&lt;&gt;"")),HISTORIAL!$H$3:$H$75),"")</f>
        <v/>
      </c>
      <c r="J77" s="37" t="str">
        <f>IFERROR(LOOKUP(2,1/((HISTORIAL!$O$3:$O$75=D77&amp;"|"&amp;E77)*(HISTORIAL!$F$3:$F$75&lt;&gt;"")),HISTORIAL!$I$3:$I$75),"")</f>
        <v/>
      </c>
      <c r="K77" s="58" t="str">
        <f>IFERROR(IF(OR(G77="",N77="SIN"),"--",IF(N77="SUBIR_F",IF(F77="polea",IFERROR(INDEX(CONFIG!$B$25:$B$40,MATCH(G77,CONFIG!$B$25:$B$40,0)+2),IFERROR(INDEX(CONFIG!$B$25:$B$40,MATCH(G77,CONFIG!$B$25:$B$40,0)+1),G77)),G77+5),IF(OR(N77="SUBIR",N77="SUBIR_E"),IF(F77="polea",IFERROR(INDEX(CONFIG!$B$25:$B$40,MATCH(G77,CONFIG!$B$25:$B$40,0)+1),G77),G77+2.5),IF(N77="BAJAR",IF(F77="polea",IFERROR(INDEX(CONFIG!$B$25:$B$40,MAX(1,MATCH(G77,CONFIG!$B$25:$B$40,0)-1)),G77),MAX(0,G77-2.5)),G77)))),"--")</f>
        <v>--</v>
      </c>
      <c r="L77" s="59" t="str">
        <f>IFERROR(IF(N77="SIN","--",IF(N77="MANT",IF(H77="","--",H77+1),IFERROR(VLOOKUP(CONFIG!$E$2,CONFIG!$A$6:$E$8,2,0),"--"))),"--")</f>
        <v>--</v>
      </c>
      <c r="M77" s="59" t="str">
        <f>IFERROR(IF(N77="SIN","--",IF(CONFIG!$E$2="HIP",2,IF(CONFIG!$E$2="FUE",1,2))),"--")</f>
        <v>--</v>
      </c>
      <c r="N77" s="53" t="str">
        <f>IFERROR(IF(G77="","SIN",IF(O77=1,"SUBIR_E",IF(H77&lt;IFERROR(VLOOKUP(CONFIG!$E$2,CONFIG!$A$6:$E$8,2,0),6),"BAJAR",IF(H77+I77&gt;=IFERROR(VLOOKUP(CONFIG!$E$2,CONFIG!$A$6:$E$8,3,0),12),"SUBIR_F",IF(AND(H77&gt;=IFERROR(VLOOKUP(CONFIG!$E$2,CONFIG!$A$6:$E$8,2,0),6)+2,I77&gt;=2),"SUBIR",IF(I77&gt;IFERROR(VLOOKUP(CONFIG!$E$2,CONFIG!$A$6:$E$8,5,0),3),"SUBIR","MANT")))))),"SIN")</f>
        <v>SIN</v>
      </c>
      <c r="O77" s="55">
        <f>IF(COUNTIFS(HISTORIAL!$O$3:$O$75,D77&amp;"|"&amp;E77,HISTORIAL!$F$3:$F$75,"&gt;0")&lt;2,0,IF(COUNTIFS(HISTORIAL!$O$3:$O$75,D77&amp;"|"&amp;E77,HISTORIAL!$F$3:$F$75,IFERROR(LOOKUP(2,1/((HISTORIAL!$O$3:$O$75=D77&amp;"|"&amp;E77)*(HISTORIAL!$F$3:$F$75&gt;0)),HISTORIAL!$F$3:$F$75),0))&gt;=2,IF(IFERROR(LOOKUP(2,1/((HISTORIAL!$O$3:$O$75=D77&amp;"|"&amp;E77)*(HISTORIAL!$F$3:$F$75&gt;0)),HISTORIAL!$G$3:$G$75),0)&gt;0,IF(F77&gt;0,IF(G77&lt;=IFERROR(LOOKUP(2,1/((HISTORIAL!$O$3:$O$75=D77&amp;"|"&amp;E77)*(HISTORIAL!$F$3:$F$75&gt;0)),HISTORIAL!$G$3:$G$75),0),1,0),0),0),0))</f>
        <v>0</v>
      </c>
    </row>
    <row r="78" spans="1:15" ht="14.1" customHeight="1">
      <c r="A78" s="37">
        <v>2</v>
      </c>
      <c r="B78" s="37" t="s">
        <v>278</v>
      </c>
      <c r="C78" s="37">
        <v>1</v>
      </c>
      <c r="D78" s="56" t="str">
        <f>MARTES!$A$34</f>
        <v>Dominadas</v>
      </c>
      <c r="E78" s="57" t="str">
        <f>MARTES!$B$34</f>
        <v>Polea Alta Prono Ancho</v>
      </c>
      <c r="F78" s="37" t="str">
        <f>MARTES!$C$34</f>
        <v>peso_corporal</v>
      </c>
      <c r="G78" s="37" t="str">
        <f>IFERROR(LOOKUP(2,1/((HISTORIAL!$O$3:$O$76=D78&amp;"|"&amp;E78)*(HISTORIAL!$F$3:$F$76&lt;&gt;"")),HISTORIAL!$F$3:$F$76),"")</f>
        <v/>
      </c>
      <c r="H78" s="37" t="str">
        <f>IFERROR(LOOKUP(2,1/((HISTORIAL!$O$3:$O$76=D78&amp;"|"&amp;E78)*(HISTORIAL!$F$3:$F$76&lt;&gt;"")),HISTORIAL!$G$3:$G$76),"")</f>
        <v/>
      </c>
      <c r="I78" s="37" t="str">
        <f>IFERROR(LOOKUP(2,1/((HISTORIAL!$O$3:$O$76=D78&amp;"|"&amp;E78)*(HISTORIAL!$F$3:$F$76&lt;&gt;"")),HISTORIAL!$H$3:$H$76),"")</f>
        <v/>
      </c>
      <c r="J78" s="37" t="str">
        <f>IFERROR(LOOKUP(2,1/((HISTORIAL!$O$3:$O$76=D78&amp;"|"&amp;E78)*(HISTORIAL!$F$3:$F$76&lt;&gt;"")),HISTORIAL!$I$3:$I$76),"")</f>
        <v/>
      </c>
      <c r="K78" s="58" t="str">
        <f>IFERROR(IF(OR(G78="",N78="SIN"),"--",IF(N78="SUBIR_F",IF(F78="polea",IFERROR(INDEX(CONFIG!$B$25:$B$40,MATCH(G78,CONFIG!$B$25:$B$40,0)+2),IFERROR(INDEX(CONFIG!$B$25:$B$40,MATCH(G78,CONFIG!$B$25:$B$40,0)+1),G78)),G78+5),IF(OR(N78="SUBIR",N78="SUBIR_E"),IF(F78="polea",IFERROR(INDEX(CONFIG!$B$25:$B$40,MATCH(G78,CONFIG!$B$25:$B$40,0)+1),G78),G78+2.5),IF(N78="BAJAR",IF(F78="polea",IFERROR(INDEX(CONFIG!$B$25:$B$40,MAX(1,MATCH(G78,CONFIG!$B$25:$B$40,0)-1)),G78),MAX(0,G78-2.5)),G78)))),"--")</f>
        <v>--</v>
      </c>
      <c r="L78" s="59" t="str">
        <f>IFERROR(IF(N78="SIN","--",IF(N78="MANT",IF(H78="","--",H78+1),IFERROR(VLOOKUP(CONFIG!$E$2,CONFIG!$A$6:$E$8,2,0),"--"))),"--")</f>
        <v>--</v>
      </c>
      <c r="M78" s="59" t="str">
        <f>IFERROR(IF(N78="SIN","--",IF(CONFIG!$E$2="HIP",2,IF(CONFIG!$E$2="FUE",1,2))),"--")</f>
        <v>--</v>
      </c>
      <c r="N78" s="53" t="str">
        <f>IFERROR(IF(G78="","SIN",IF(O78=1,"SUBIR_E",IF(H78&lt;IFERROR(VLOOKUP(CONFIG!$E$2,CONFIG!$A$6:$E$8,2,0),6),"BAJAR",IF(H78+I78&gt;=IFERROR(VLOOKUP(CONFIG!$E$2,CONFIG!$A$6:$E$8,3,0),12),"SUBIR_F",IF(AND(H78&gt;=IFERROR(VLOOKUP(CONFIG!$E$2,CONFIG!$A$6:$E$8,2,0),6)+2,I78&gt;=2),"SUBIR",IF(I78&gt;IFERROR(VLOOKUP(CONFIG!$E$2,CONFIG!$A$6:$E$8,5,0),3),"SUBIR","MANT")))))),"SIN")</f>
        <v>SIN</v>
      </c>
      <c r="O78" s="55">
        <f>IF(COUNTIFS(HISTORIAL!$O$3:$O$76,D78&amp;"|"&amp;E78,HISTORIAL!$F$3:$F$76,"&gt;0")&lt;2,0,IF(COUNTIFS(HISTORIAL!$O$3:$O$76,D78&amp;"|"&amp;E78,HISTORIAL!$F$3:$F$76,IFERROR(LOOKUP(2,1/((HISTORIAL!$O$3:$O$76=D78&amp;"|"&amp;E78)*(HISTORIAL!$F$3:$F$76&gt;0)),HISTORIAL!$F$3:$F$76),0))&gt;=2,IF(IFERROR(LOOKUP(2,1/((HISTORIAL!$O$3:$O$76=D78&amp;"|"&amp;E78)*(HISTORIAL!$F$3:$F$76&gt;0)),HISTORIAL!$G$3:$G$76),0)&gt;0,IF(F78&gt;0,IF(G78&lt;=IFERROR(LOOKUP(2,1/((HISTORIAL!$O$3:$O$76=D78&amp;"|"&amp;E78)*(HISTORIAL!$F$3:$F$76&gt;0)),HISTORIAL!$G$3:$G$76),0),1,0),0),0),0))</f>
        <v>0</v>
      </c>
    </row>
    <row r="79" spans="1:15" ht="14.1" customHeight="1">
      <c r="A79" s="37">
        <v>2</v>
      </c>
      <c r="B79" s="37" t="s">
        <v>278</v>
      </c>
      <c r="C79" s="37">
        <v>2</v>
      </c>
      <c r="D79" s="56" t="str">
        <f>MARTES!$A$35</f>
        <v>Pulldown</v>
      </c>
      <c r="E79" s="57" t="str">
        <f>MARTES!$B$35</f>
        <v>Polea Alta Brazos Rectos Prono</v>
      </c>
      <c r="F79" s="37" t="str">
        <f>MARTES!$C$35</f>
        <v>polea</v>
      </c>
      <c r="G79" s="37" t="str">
        <f>IFERROR(LOOKUP(2,1/((HISTORIAL!$O$3:$O$77=D79&amp;"|"&amp;E79)*(HISTORIAL!$F$3:$F$77&lt;&gt;"")),HISTORIAL!$F$3:$F$77),"")</f>
        <v/>
      </c>
      <c r="H79" s="37" t="str">
        <f>IFERROR(LOOKUP(2,1/((HISTORIAL!$O$3:$O$77=D79&amp;"|"&amp;E79)*(HISTORIAL!$F$3:$F$77&lt;&gt;"")),HISTORIAL!$G$3:$G$77),"")</f>
        <v/>
      </c>
      <c r="I79" s="37" t="str">
        <f>IFERROR(LOOKUP(2,1/((HISTORIAL!$O$3:$O$77=D79&amp;"|"&amp;E79)*(HISTORIAL!$F$3:$F$77&lt;&gt;"")),HISTORIAL!$H$3:$H$77),"")</f>
        <v/>
      </c>
      <c r="J79" s="37" t="str">
        <f>IFERROR(LOOKUP(2,1/((HISTORIAL!$O$3:$O$77=D79&amp;"|"&amp;E79)*(HISTORIAL!$F$3:$F$77&lt;&gt;"")),HISTORIAL!$I$3:$I$77),"")</f>
        <v/>
      </c>
      <c r="K79" s="58" t="str">
        <f>IFERROR(IF(OR(G79="",N79="SIN"),"--",IF(N79="SUBIR_F",IF(F79="polea",IFERROR(INDEX(CONFIG!$B$25:$B$40,MATCH(G79,CONFIG!$B$25:$B$40,0)+2),IFERROR(INDEX(CONFIG!$B$25:$B$40,MATCH(G79,CONFIG!$B$25:$B$40,0)+1),G79)),G79+5),IF(OR(N79="SUBIR",N79="SUBIR_E"),IF(F79="polea",IFERROR(INDEX(CONFIG!$B$25:$B$40,MATCH(G79,CONFIG!$B$25:$B$40,0)+1),G79),G79+2.5),IF(N79="BAJAR",IF(F79="polea",IFERROR(INDEX(CONFIG!$B$25:$B$40,MAX(1,MATCH(G79,CONFIG!$B$25:$B$40,0)-1)),G79),MAX(0,G79-2.5)),G79)))),"--")</f>
        <v>--</v>
      </c>
      <c r="L79" s="59" t="str">
        <f>IFERROR(IF(N79="SIN","--",IF(N79="MANT",IF(H79="","--",H79+1),IFERROR(VLOOKUP(CONFIG!$E$2,CONFIG!$A$6:$E$8,2,0),"--"))),"--")</f>
        <v>--</v>
      </c>
      <c r="M79" s="59" t="str">
        <f>IFERROR(IF(N79="SIN","--",IF(CONFIG!$E$2="HIP",2,IF(CONFIG!$E$2="FUE",1,2))),"--")</f>
        <v>--</v>
      </c>
      <c r="N79" s="53" t="str">
        <f>IFERROR(IF(G79="","SIN",IF(O79=1,"SUBIR_E",IF(H79&lt;IFERROR(VLOOKUP(CONFIG!$E$2,CONFIG!$A$6:$E$8,2,0),6),"BAJAR",IF(H79+I79&gt;=IFERROR(VLOOKUP(CONFIG!$E$2,CONFIG!$A$6:$E$8,3,0),12),"SUBIR_F",IF(AND(H79&gt;=IFERROR(VLOOKUP(CONFIG!$E$2,CONFIG!$A$6:$E$8,2,0),6)+2,I79&gt;=2),"SUBIR",IF(I79&gt;IFERROR(VLOOKUP(CONFIG!$E$2,CONFIG!$A$6:$E$8,5,0),3),"SUBIR","MANT")))))),"SIN")</f>
        <v>SIN</v>
      </c>
      <c r="O79" s="55">
        <f>IF(COUNTIFS(HISTORIAL!$O$3:$O$77,D79&amp;"|"&amp;E79,HISTORIAL!$F$3:$F$77,"&gt;0")&lt;2,0,IF(COUNTIFS(HISTORIAL!$O$3:$O$77,D79&amp;"|"&amp;E79,HISTORIAL!$F$3:$F$77,IFERROR(LOOKUP(2,1/((HISTORIAL!$O$3:$O$77=D79&amp;"|"&amp;E79)*(HISTORIAL!$F$3:$F$77&gt;0)),HISTORIAL!$F$3:$F$77),0))&gt;=2,IF(IFERROR(LOOKUP(2,1/((HISTORIAL!$O$3:$O$77=D79&amp;"|"&amp;E79)*(HISTORIAL!$F$3:$F$77&gt;0)),HISTORIAL!$G$3:$G$77),0)&gt;0,IF(F79&gt;0,IF(G79&lt;=IFERROR(LOOKUP(2,1/((HISTORIAL!$O$3:$O$77=D79&amp;"|"&amp;E79)*(HISTORIAL!$F$3:$F$77&gt;0)),HISTORIAL!$G$3:$G$77),0),1,0),0),0),0))</f>
        <v>0</v>
      </c>
    </row>
    <row r="80" spans="1:15" ht="14.1" customHeight="1">
      <c r="A80" s="37">
        <v>2</v>
      </c>
      <c r="B80" s="37" t="s">
        <v>278</v>
      </c>
      <c r="C80" s="37">
        <v>3</v>
      </c>
      <c r="D80" s="56" t="str">
        <f>MARTES!$A$37</f>
        <v>Remo</v>
      </c>
      <c r="E80" s="57" t="str">
        <f>MARTES!$B$37</f>
        <v>Maquina Hammer Neutro Unilateral</v>
      </c>
      <c r="F80" s="37" t="str">
        <f>MARTES!$C$37</f>
        <v>polea</v>
      </c>
      <c r="G80" s="37" t="str">
        <f>IFERROR(LOOKUP(2,1/((HISTORIAL!$O$3:$O$78=D80&amp;"|"&amp;E80)*(HISTORIAL!$F$3:$F$78&lt;&gt;"")),HISTORIAL!$F$3:$F$78),"")</f>
        <v/>
      </c>
      <c r="H80" s="37" t="str">
        <f>IFERROR(LOOKUP(2,1/((HISTORIAL!$O$3:$O$78=D80&amp;"|"&amp;E80)*(HISTORIAL!$F$3:$F$78&lt;&gt;"")),HISTORIAL!$G$3:$G$78),"")</f>
        <v/>
      </c>
      <c r="I80" s="37" t="str">
        <f>IFERROR(LOOKUP(2,1/((HISTORIAL!$O$3:$O$78=D80&amp;"|"&amp;E80)*(HISTORIAL!$F$3:$F$78&lt;&gt;"")),HISTORIAL!$H$3:$H$78),"")</f>
        <v/>
      </c>
      <c r="J80" s="37" t="str">
        <f>IFERROR(LOOKUP(2,1/((HISTORIAL!$O$3:$O$78=D80&amp;"|"&amp;E80)*(HISTORIAL!$F$3:$F$78&lt;&gt;"")),HISTORIAL!$I$3:$I$78),"")</f>
        <v/>
      </c>
      <c r="K80" s="58" t="str">
        <f>IFERROR(IF(OR(G80="",N80="SIN"),"--",IF(N80="SUBIR_F",IF(F80="polea",IFERROR(INDEX(CONFIG!$B$25:$B$40,MATCH(G80,CONFIG!$B$25:$B$40,0)+2),IFERROR(INDEX(CONFIG!$B$25:$B$40,MATCH(G80,CONFIG!$B$25:$B$40,0)+1),G80)),G80+5),IF(OR(N80="SUBIR",N80="SUBIR_E"),IF(F80="polea",IFERROR(INDEX(CONFIG!$B$25:$B$40,MATCH(G80,CONFIG!$B$25:$B$40,0)+1),G80),G80+2.5),IF(N80="BAJAR",IF(F80="polea",IFERROR(INDEX(CONFIG!$B$25:$B$40,MAX(1,MATCH(G80,CONFIG!$B$25:$B$40,0)-1)),G80),MAX(0,G80-2.5)),G80)))),"--")</f>
        <v>--</v>
      </c>
      <c r="L80" s="59" t="str">
        <f>IFERROR(IF(N80="SIN","--",IF(N80="MANT",IF(H80="","--",H80+1),IFERROR(VLOOKUP(CONFIG!$E$2,CONFIG!$A$6:$E$8,2,0),"--"))),"--")</f>
        <v>--</v>
      </c>
      <c r="M80" s="59" t="str">
        <f>IFERROR(IF(N80="SIN","--",IF(CONFIG!$E$2="HIP",2,IF(CONFIG!$E$2="FUE",1,2))),"--")</f>
        <v>--</v>
      </c>
      <c r="N80" s="53" t="str">
        <f>IFERROR(IF(G80="","SIN",IF(O80=1,"SUBIR_E",IF(H80&lt;IFERROR(VLOOKUP(CONFIG!$E$2,CONFIG!$A$6:$E$8,2,0),6),"BAJAR",IF(H80+I80&gt;=IFERROR(VLOOKUP(CONFIG!$E$2,CONFIG!$A$6:$E$8,3,0),12),"SUBIR_F",IF(AND(H80&gt;=IFERROR(VLOOKUP(CONFIG!$E$2,CONFIG!$A$6:$E$8,2,0),6)+2,I80&gt;=2),"SUBIR",IF(I80&gt;IFERROR(VLOOKUP(CONFIG!$E$2,CONFIG!$A$6:$E$8,5,0),3),"SUBIR","MANT")))))),"SIN")</f>
        <v>SIN</v>
      </c>
      <c r="O80" s="55">
        <f>IF(COUNTIFS(HISTORIAL!$O$3:$O$78,D80&amp;"|"&amp;E80,HISTORIAL!$F$3:$F$78,"&gt;0")&lt;2,0,IF(COUNTIFS(HISTORIAL!$O$3:$O$78,D80&amp;"|"&amp;E80,HISTORIAL!$F$3:$F$78,IFERROR(LOOKUP(2,1/((HISTORIAL!$O$3:$O$78=D80&amp;"|"&amp;E80)*(HISTORIAL!$F$3:$F$78&gt;0)),HISTORIAL!$F$3:$F$78),0))&gt;=2,IF(IFERROR(LOOKUP(2,1/((HISTORIAL!$O$3:$O$78=D80&amp;"|"&amp;E80)*(HISTORIAL!$F$3:$F$78&gt;0)),HISTORIAL!$G$3:$G$78),0)&gt;0,IF(F80&gt;0,IF(G80&lt;=IFERROR(LOOKUP(2,1/((HISTORIAL!$O$3:$O$78=D80&amp;"|"&amp;E80)*(HISTORIAL!$F$3:$F$78&gt;0)),HISTORIAL!$G$3:$G$78),0),1,0),0),0),0))</f>
        <v>0</v>
      </c>
    </row>
    <row r="81" spans="1:15" ht="14.1" customHeight="1">
      <c r="A81" s="37">
        <v>2</v>
      </c>
      <c r="B81" s="37" t="s">
        <v>278</v>
      </c>
      <c r="C81" s="37">
        <v>4</v>
      </c>
      <c r="D81" s="56" t="str">
        <f>MARTES!$A$38</f>
        <v>Face Pull</v>
      </c>
      <c r="E81" s="57" t="str">
        <f>MARTES!$B$38</f>
        <v>Polea Alta Cuerda</v>
      </c>
      <c r="F81" s="37" t="str">
        <f>MARTES!$C$38</f>
        <v>polea</v>
      </c>
      <c r="G81" s="37" t="str">
        <f>IFERROR(LOOKUP(2,1/((HISTORIAL!$O$3:$O$79=D81&amp;"|"&amp;E81)*(HISTORIAL!$F$3:$F$79&lt;&gt;"")),HISTORIAL!$F$3:$F$79),"")</f>
        <v/>
      </c>
      <c r="H81" s="37" t="str">
        <f>IFERROR(LOOKUP(2,1/((HISTORIAL!$O$3:$O$79=D81&amp;"|"&amp;E81)*(HISTORIAL!$F$3:$F$79&lt;&gt;"")),HISTORIAL!$G$3:$G$79),"")</f>
        <v/>
      </c>
      <c r="I81" s="37" t="str">
        <f>IFERROR(LOOKUP(2,1/((HISTORIAL!$O$3:$O$79=D81&amp;"|"&amp;E81)*(HISTORIAL!$F$3:$F$79&lt;&gt;"")),HISTORIAL!$H$3:$H$79),"")</f>
        <v/>
      </c>
      <c r="J81" s="37" t="str">
        <f>IFERROR(LOOKUP(2,1/((HISTORIAL!$O$3:$O$79=D81&amp;"|"&amp;E81)*(HISTORIAL!$F$3:$F$79&lt;&gt;"")),HISTORIAL!$I$3:$I$79),"")</f>
        <v/>
      </c>
      <c r="K81" s="58" t="str">
        <f>IFERROR(IF(OR(G81="",N81="SIN"),"--",IF(N81="SUBIR_F",IF(F81="polea",IFERROR(INDEX(CONFIG!$B$25:$B$40,MATCH(G81,CONFIG!$B$25:$B$40,0)+2),IFERROR(INDEX(CONFIG!$B$25:$B$40,MATCH(G81,CONFIG!$B$25:$B$40,0)+1),G81)),G81+5),IF(OR(N81="SUBIR",N81="SUBIR_E"),IF(F81="polea",IFERROR(INDEX(CONFIG!$B$25:$B$40,MATCH(G81,CONFIG!$B$25:$B$40,0)+1),G81),G81+2.5),IF(N81="BAJAR",IF(F81="polea",IFERROR(INDEX(CONFIG!$B$25:$B$40,MAX(1,MATCH(G81,CONFIG!$B$25:$B$40,0)-1)),G81),MAX(0,G81-2.5)),G81)))),"--")</f>
        <v>--</v>
      </c>
      <c r="L81" s="59" t="str">
        <f>IFERROR(IF(N81="SIN","--",IF(N81="MANT",IF(H81="","--",H81+1),IFERROR(VLOOKUP(CONFIG!$E$2,CONFIG!$A$6:$E$8,2,0),"--"))),"--")</f>
        <v>--</v>
      </c>
      <c r="M81" s="59" t="str">
        <f>IFERROR(IF(N81="SIN","--",IF(CONFIG!$E$2="HIP",2,IF(CONFIG!$E$2="FUE",1,2))),"--")</f>
        <v>--</v>
      </c>
      <c r="N81" s="53" t="str">
        <f>IFERROR(IF(G81="","SIN",IF(O81=1,"SUBIR_E",IF(H81&lt;IFERROR(VLOOKUP(CONFIG!$E$2,CONFIG!$A$6:$E$8,2,0),6),"BAJAR",IF(H81+I81&gt;=IFERROR(VLOOKUP(CONFIG!$E$2,CONFIG!$A$6:$E$8,3,0),12),"SUBIR_F",IF(AND(H81&gt;=IFERROR(VLOOKUP(CONFIG!$E$2,CONFIG!$A$6:$E$8,2,0),6)+2,I81&gt;=2),"SUBIR",IF(I81&gt;IFERROR(VLOOKUP(CONFIG!$E$2,CONFIG!$A$6:$E$8,5,0),3),"SUBIR","MANT")))))),"SIN")</f>
        <v>SIN</v>
      </c>
      <c r="O81" s="55">
        <f>IF(COUNTIFS(HISTORIAL!$O$3:$O$79,D81&amp;"|"&amp;E81,HISTORIAL!$F$3:$F$79,"&gt;0")&lt;2,0,IF(COUNTIFS(HISTORIAL!$O$3:$O$79,D81&amp;"|"&amp;E81,HISTORIAL!$F$3:$F$79,IFERROR(LOOKUP(2,1/((HISTORIAL!$O$3:$O$79=D81&amp;"|"&amp;E81)*(HISTORIAL!$F$3:$F$79&gt;0)),HISTORIAL!$F$3:$F$79),0))&gt;=2,IF(IFERROR(LOOKUP(2,1/((HISTORIAL!$O$3:$O$79=D81&amp;"|"&amp;E81)*(HISTORIAL!$F$3:$F$79&gt;0)),HISTORIAL!$G$3:$G$79),0)&gt;0,IF(F81&gt;0,IF(G81&lt;=IFERROR(LOOKUP(2,1/((HISTORIAL!$O$3:$O$79=D81&amp;"|"&amp;E81)*(HISTORIAL!$F$3:$F$79&gt;0)),HISTORIAL!$G$3:$G$79),0),1,0),0),0),0))</f>
        <v>0</v>
      </c>
    </row>
    <row r="82" spans="1:15" ht="14.1" customHeight="1">
      <c r="A82" s="37">
        <v>2</v>
      </c>
      <c r="B82" s="37" t="s">
        <v>278</v>
      </c>
      <c r="C82" s="37">
        <v>5</v>
      </c>
      <c r="D82" s="56" t="str">
        <f>MARTES!$A$40</f>
        <v>Curl Biceps</v>
      </c>
      <c r="E82" s="57" t="str">
        <f>MARTES!$B$40</f>
        <v>Inclinado Banco Mancuernas</v>
      </c>
      <c r="F82" s="37" t="str">
        <f>MARTES!$C$40</f>
        <v>mancuerna</v>
      </c>
      <c r="G82" s="37" t="str">
        <f>IFERROR(LOOKUP(2,1/((HISTORIAL!$O$3:$O$80=D82&amp;"|"&amp;E82)*(HISTORIAL!$F$3:$F$80&lt;&gt;"")),HISTORIAL!$F$3:$F$80),"")</f>
        <v/>
      </c>
      <c r="H82" s="37" t="str">
        <f>IFERROR(LOOKUP(2,1/((HISTORIAL!$O$3:$O$80=D82&amp;"|"&amp;E82)*(HISTORIAL!$F$3:$F$80&lt;&gt;"")),HISTORIAL!$G$3:$G$80),"")</f>
        <v/>
      </c>
      <c r="I82" s="37" t="str">
        <f>IFERROR(LOOKUP(2,1/((HISTORIAL!$O$3:$O$80=D82&amp;"|"&amp;E82)*(HISTORIAL!$F$3:$F$80&lt;&gt;"")),HISTORIAL!$H$3:$H$80),"")</f>
        <v/>
      </c>
      <c r="J82" s="37" t="str">
        <f>IFERROR(LOOKUP(2,1/((HISTORIAL!$O$3:$O$80=D82&amp;"|"&amp;E82)*(HISTORIAL!$F$3:$F$80&lt;&gt;"")),HISTORIAL!$I$3:$I$80),"")</f>
        <v/>
      </c>
      <c r="K82" s="58" t="str">
        <f>IFERROR(IF(OR(G82="",N82="SIN"),"--",IF(N82="SUBIR_F",IF(F82="polea",IFERROR(INDEX(CONFIG!$B$25:$B$40,MATCH(G82,CONFIG!$B$25:$B$40,0)+2),IFERROR(INDEX(CONFIG!$B$25:$B$40,MATCH(G82,CONFIG!$B$25:$B$40,0)+1),G82)),G82+5),IF(OR(N82="SUBIR",N82="SUBIR_E"),IF(F82="polea",IFERROR(INDEX(CONFIG!$B$25:$B$40,MATCH(G82,CONFIG!$B$25:$B$40,0)+1),G82),G82+2.5),IF(N82="BAJAR",IF(F82="polea",IFERROR(INDEX(CONFIG!$B$25:$B$40,MAX(1,MATCH(G82,CONFIG!$B$25:$B$40,0)-1)),G82),MAX(0,G82-2.5)),G82)))),"--")</f>
        <v>--</v>
      </c>
      <c r="L82" s="59" t="str">
        <f>IFERROR(IF(N82="SIN","--",IF(N82="MANT",IF(H82="","--",H82+1),IFERROR(VLOOKUP(CONFIG!$E$2,CONFIG!$A$6:$E$8,2,0),"--"))),"--")</f>
        <v>--</v>
      </c>
      <c r="M82" s="59" t="str">
        <f>IFERROR(IF(N82="SIN","--",IF(CONFIG!$E$2="HIP",2,IF(CONFIG!$E$2="FUE",1,2))),"--")</f>
        <v>--</v>
      </c>
      <c r="N82" s="53" t="str">
        <f>IFERROR(IF(G82="","SIN",IF(O82=1,"SUBIR_E",IF(H82&lt;IFERROR(VLOOKUP(CONFIG!$E$2,CONFIG!$A$6:$E$8,2,0),6),"BAJAR",IF(H82+I82&gt;=IFERROR(VLOOKUP(CONFIG!$E$2,CONFIG!$A$6:$E$8,3,0),12),"SUBIR_F",IF(AND(H82&gt;=IFERROR(VLOOKUP(CONFIG!$E$2,CONFIG!$A$6:$E$8,2,0),6)+2,I82&gt;=2),"SUBIR",IF(I82&gt;IFERROR(VLOOKUP(CONFIG!$E$2,CONFIG!$A$6:$E$8,5,0),3),"SUBIR","MANT")))))),"SIN")</f>
        <v>SIN</v>
      </c>
      <c r="O82" s="55">
        <f>IF(COUNTIFS(HISTORIAL!$O$3:$O$80,D82&amp;"|"&amp;E82,HISTORIAL!$F$3:$F$80,"&gt;0")&lt;2,0,IF(COUNTIFS(HISTORIAL!$O$3:$O$80,D82&amp;"|"&amp;E82,HISTORIAL!$F$3:$F$80,IFERROR(LOOKUP(2,1/((HISTORIAL!$O$3:$O$80=D82&amp;"|"&amp;E82)*(HISTORIAL!$F$3:$F$80&gt;0)),HISTORIAL!$F$3:$F$80),0))&gt;=2,IF(IFERROR(LOOKUP(2,1/((HISTORIAL!$O$3:$O$80=D82&amp;"|"&amp;E82)*(HISTORIAL!$F$3:$F$80&gt;0)),HISTORIAL!$G$3:$G$80),0)&gt;0,IF(F82&gt;0,IF(G82&lt;=IFERROR(LOOKUP(2,1/((HISTORIAL!$O$3:$O$80=D82&amp;"|"&amp;E82)*(HISTORIAL!$F$3:$F$80&gt;0)),HISTORIAL!$G$3:$G$80),0),1,0),0),0),0))</f>
        <v>0</v>
      </c>
    </row>
    <row r="83" spans="1:15" ht="14.1" customHeight="1">
      <c r="A83" s="37">
        <v>2</v>
      </c>
      <c r="B83" s="37" t="s">
        <v>278</v>
      </c>
      <c r="C83" s="37">
        <v>6</v>
      </c>
      <c r="D83" s="56" t="str">
        <f>MARTES!$A$41</f>
        <v>Curl Biceps</v>
      </c>
      <c r="E83" s="57" t="str">
        <f>MARTES!$B$41</f>
        <v>Polea Baja Supino</v>
      </c>
      <c r="F83" s="37" t="str">
        <f>MARTES!$C$41</f>
        <v>polea</v>
      </c>
      <c r="G83" s="37" t="str">
        <f>IFERROR(LOOKUP(2,1/((HISTORIAL!$O$3:$O$81=D83&amp;"|"&amp;E83)*(HISTORIAL!$F$3:$F$81&lt;&gt;"")),HISTORIAL!$F$3:$F$81),"")</f>
        <v/>
      </c>
      <c r="H83" s="37" t="str">
        <f>IFERROR(LOOKUP(2,1/((HISTORIAL!$O$3:$O$81=D83&amp;"|"&amp;E83)*(HISTORIAL!$F$3:$F$81&lt;&gt;"")),HISTORIAL!$G$3:$G$81),"")</f>
        <v/>
      </c>
      <c r="I83" s="37" t="str">
        <f>IFERROR(LOOKUP(2,1/((HISTORIAL!$O$3:$O$81=D83&amp;"|"&amp;E83)*(HISTORIAL!$F$3:$F$81&lt;&gt;"")),HISTORIAL!$H$3:$H$81),"")</f>
        <v/>
      </c>
      <c r="J83" s="37" t="str">
        <f>IFERROR(LOOKUP(2,1/((HISTORIAL!$O$3:$O$81=D83&amp;"|"&amp;E83)*(HISTORIAL!$F$3:$F$81&lt;&gt;"")),HISTORIAL!$I$3:$I$81),"")</f>
        <v/>
      </c>
      <c r="K83" s="58" t="str">
        <f>IFERROR(IF(OR(G83="",N83="SIN"),"--",IF(N83="SUBIR_F",IF(F83="polea",IFERROR(INDEX(CONFIG!$B$25:$B$40,MATCH(G83,CONFIG!$B$25:$B$40,0)+2),IFERROR(INDEX(CONFIG!$B$25:$B$40,MATCH(G83,CONFIG!$B$25:$B$40,0)+1),G83)),G83+5),IF(OR(N83="SUBIR",N83="SUBIR_E"),IF(F83="polea",IFERROR(INDEX(CONFIG!$B$25:$B$40,MATCH(G83,CONFIG!$B$25:$B$40,0)+1),G83),G83+2.5),IF(N83="BAJAR",IF(F83="polea",IFERROR(INDEX(CONFIG!$B$25:$B$40,MAX(1,MATCH(G83,CONFIG!$B$25:$B$40,0)-1)),G83),MAX(0,G83-2.5)),G83)))),"--")</f>
        <v>--</v>
      </c>
      <c r="L83" s="59" t="str">
        <f>IFERROR(IF(N83="SIN","--",IF(N83="MANT",IF(H83="","--",H83+1),IFERROR(VLOOKUP(CONFIG!$E$2,CONFIG!$A$6:$E$8,2,0),"--"))),"--")</f>
        <v>--</v>
      </c>
      <c r="M83" s="59" t="str">
        <f>IFERROR(IF(N83="SIN","--",IF(CONFIG!$E$2="HIP",2,IF(CONFIG!$E$2="FUE",1,2))),"--")</f>
        <v>--</v>
      </c>
      <c r="N83" s="53" t="str">
        <f>IFERROR(IF(G83="","SIN",IF(O83=1,"SUBIR_E",IF(H83&lt;IFERROR(VLOOKUP(CONFIG!$E$2,CONFIG!$A$6:$E$8,2,0),6),"BAJAR",IF(H83+I83&gt;=IFERROR(VLOOKUP(CONFIG!$E$2,CONFIG!$A$6:$E$8,3,0),12),"SUBIR_F",IF(AND(H83&gt;=IFERROR(VLOOKUP(CONFIG!$E$2,CONFIG!$A$6:$E$8,2,0),6)+2,I83&gt;=2),"SUBIR",IF(I83&gt;IFERROR(VLOOKUP(CONFIG!$E$2,CONFIG!$A$6:$E$8,5,0),3),"SUBIR","MANT")))))),"SIN")</f>
        <v>SIN</v>
      </c>
      <c r="O83" s="55">
        <f>IF(COUNTIFS(HISTORIAL!$O$3:$O$81,D83&amp;"|"&amp;E83,HISTORIAL!$F$3:$F$81,"&gt;0")&lt;2,0,IF(COUNTIFS(HISTORIAL!$O$3:$O$81,D83&amp;"|"&amp;E83,HISTORIAL!$F$3:$F$81,IFERROR(LOOKUP(2,1/((HISTORIAL!$O$3:$O$81=D83&amp;"|"&amp;E83)*(HISTORIAL!$F$3:$F$81&gt;0)),HISTORIAL!$F$3:$F$81),0))&gt;=2,IF(IFERROR(LOOKUP(2,1/((HISTORIAL!$O$3:$O$81=D83&amp;"|"&amp;E83)*(HISTORIAL!$F$3:$F$81&gt;0)),HISTORIAL!$G$3:$G$81),0)&gt;0,IF(F83&gt;0,IF(G83&lt;=IFERROR(LOOKUP(2,1/((HISTORIAL!$O$3:$O$81=D83&amp;"|"&amp;E83)*(HISTORIAL!$F$3:$F$81&gt;0)),HISTORIAL!$G$3:$G$81),0),1,0),0),0),0))</f>
        <v>0</v>
      </c>
    </row>
    <row r="84" spans="1:15" ht="14.1" customHeight="1">
      <c r="A84" s="37">
        <v>2</v>
      </c>
      <c r="B84" s="37" t="s">
        <v>278</v>
      </c>
      <c r="C84" s="37">
        <v>7</v>
      </c>
      <c r="D84" s="56" t="str">
        <f>MARTES!$A$43</f>
        <v>Curl Muneca</v>
      </c>
      <c r="E84" s="57" t="str">
        <f>MARTES!$B$43</f>
        <v>Supinado</v>
      </c>
      <c r="F84" s="37" t="str">
        <f>MARTES!$C$43</f>
        <v>mancuerna</v>
      </c>
      <c r="G84" s="37" t="str">
        <f>IFERROR(LOOKUP(2,1/((HISTORIAL!$O$3:$O$82=D84&amp;"|"&amp;E84)*(HISTORIAL!$F$3:$F$82&lt;&gt;"")),HISTORIAL!$F$3:$F$82),"")</f>
        <v/>
      </c>
      <c r="H84" s="37" t="str">
        <f>IFERROR(LOOKUP(2,1/((HISTORIAL!$O$3:$O$82=D84&amp;"|"&amp;E84)*(HISTORIAL!$F$3:$F$82&lt;&gt;"")),HISTORIAL!$G$3:$G$82),"")</f>
        <v/>
      </c>
      <c r="I84" s="37" t="str">
        <f>IFERROR(LOOKUP(2,1/((HISTORIAL!$O$3:$O$82=D84&amp;"|"&amp;E84)*(HISTORIAL!$F$3:$F$82&lt;&gt;"")),HISTORIAL!$H$3:$H$82),"")</f>
        <v/>
      </c>
      <c r="J84" s="37" t="str">
        <f>IFERROR(LOOKUP(2,1/((HISTORIAL!$O$3:$O$82=D84&amp;"|"&amp;E84)*(HISTORIAL!$F$3:$F$82&lt;&gt;"")),HISTORIAL!$I$3:$I$82),"")</f>
        <v/>
      </c>
      <c r="K84" s="58" t="str">
        <f>IFERROR(IF(OR(G84="",N84="SIN"),"--",IF(N84="SUBIR_F",IF(F84="polea",IFERROR(INDEX(CONFIG!$B$25:$B$40,MATCH(G84,CONFIG!$B$25:$B$40,0)+2),IFERROR(INDEX(CONFIG!$B$25:$B$40,MATCH(G84,CONFIG!$B$25:$B$40,0)+1),G84)),G84+5),IF(OR(N84="SUBIR",N84="SUBIR_E"),IF(F84="polea",IFERROR(INDEX(CONFIG!$B$25:$B$40,MATCH(G84,CONFIG!$B$25:$B$40,0)+1),G84),G84+2.5),IF(N84="BAJAR",IF(F84="polea",IFERROR(INDEX(CONFIG!$B$25:$B$40,MAX(1,MATCH(G84,CONFIG!$B$25:$B$40,0)-1)),G84),MAX(0,G84-2.5)),G84)))),"--")</f>
        <v>--</v>
      </c>
      <c r="L84" s="59" t="str">
        <f>IFERROR(IF(N84="SIN","--",IF(N84="MANT",IF(H84="","--",H84+1),IFERROR(VLOOKUP(CONFIG!$E$2,CONFIG!$A$6:$E$8,2,0),"--"))),"--")</f>
        <v>--</v>
      </c>
      <c r="M84" s="59" t="str">
        <f>IFERROR(IF(N84="SIN","--",IF(CONFIG!$E$2="HIP",2,IF(CONFIG!$E$2="FUE",1,2))),"--")</f>
        <v>--</v>
      </c>
      <c r="N84" s="53" t="str">
        <f>IFERROR(IF(G84="","SIN",IF(O84=1,"SUBIR_E",IF(H84&lt;IFERROR(VLOOKUP(CONFIG!$E$2,CONFIG!$A$6:$E$8,2,0),6),"BAJAR",IF(H84+I84&gt;=IFERROR(VLOOKUP(CONFIG!$E$2,CONFIG!$A$6:$E$8,3,0),12),"SUBIR_F",IF(AND(H84&gt;=IFERROR(VLOOKUP(CONFIG!$E$2,CONFIG!$A$6:$E$8,2,0),6)+2,I84&gt;=2),"SUBIR",IF(I84&gt;IFERROR(VLOOKUP(CONFIG!$E$2,CONFIG!$A$6:$E$8,5,0),3),"SUBIR","MANT")))))),"SIN")</f>
        <v>SIN</v>
      </c>
      <c r="O84" s="55">
        <f>IF(COUNTIFS(HISTORIAL!$O$3:$O$82,D84&amp;"|"&amp;E84,HISTORIAL!$F$3:$F$82,"&gt;0")&lt;2,0,IF(COUNTIFS(HISTORIAL!$O$3:$O$82,D84&amp;"|"&amp;E84,HISTORIAL!$F$3:$F$82,IFERROR(LOOKUP(2,1/((HISTORIAL!$O$3:$O$82=D84&amp;"|"&amp;E84)*(HISTORIAL!$F$3:$F$82&gt;0)),HISTORIAL!$F$3:$F$82),0))&gt;=2,IF(IFERROR(LOOKUP(2,1/((HISTORIAL!$O$3:$O$82=D84&amp;"|"&amp;E84)*(HISTORIAL!$F$3:$F$82&gt;0)),HISTORIAL!$G$3:$G$82),0)&gt;0,IF(F84&gt;0,IF(G84&lt;=IFERROR(LOOKUP(2,1/((HISTORIAL!$O$3:$O$82=D84&amp;"|"&amp;E84)*(HISTORIAL!$F$3:$F$82&gt;0)),HISTORIAL!$G$3:$G$82),0),1,0),0),0),0))</f>
        <v>0</v>
      </c>
    </row>
    <row r="85" spans="1:15" ht="14.1" customHeight="1">
      <c r="A85" s="37">
        <v>2</v>
      </c>
      <c r="B85" s="37" t="s">
        <v>278</v>
      </c>
      <c r="C85" s="37">
        <v>8</v>
      </c>
      <c r="D85" s="56" t="str">
        <f>MARTES!$A$44</f>
        <v>Curl Muneca</v>
      </c>
      <c r="E85" s="57" t="str">
        <f>MARTES!$B$44</f>
        <v>Pronado</v>
      </c>
      <c r="F85" s="37" t="str">
        <f>MARTES!$C$44</f>
        <v>mancuerna</v>
      </c>
      <c r="G85" s="37" t="str">
        <f>IFERROR(LOOKUP(2,1/((HISTORIAL!$O$3:$O$83=D85&amp;"|"&amp;E85)*(HISTORIAL!$F$3:$F$83&lt;&gt;"")),HISTORIAL!$F$3:$F$83),"")</f>
        <v/>
      </c>
      <c r="H85" s="37" t="str">
        <f>IFERROR(LOOKUP(2,1/((HISTORIAL!$O$3:$O$83=D85&amp;"|"&amp;E85)*(HISTORIAL!$F$3:$F$83&lt;&gt;"")),HISTORIAL!$G$3:$G$83),"")</f>
        <v/>
      </c>
      <c r="I85" s="37" t="str">
        <f>IFERROR(LOOKUP(2,1/((HISTORIAL!$O$3:$O$83=D85&amp;"|"&amp;E85)*(HISTORIAL!$F$3:$F$83&lt;&gt;"")),HISTORIAL!$H$3:$H$83),"")</f>
        <v/>
      </c>
      <c r="J85" s="37" t="str">
        <f>IFERROR(LOOKUP(2,1/((HISTORIAL!$O$3:$O$83=D85&amp;"|"&amp;E85)*(HISTORIAL!$F$3:$F$83&lt;&gt;"")),HISTORIAL!$I$3:$I$83),"")</f>
        <v/>
      </c>
      <c r="K85" s="58" t="str">
        <f>IFERROR(IF(OR(G85="",N85="SIN"),"--",IF(N85="SUBIR_F",IF(F85="polea",IFERROR(INDEX(CONFIG!$B$25:$B$40,MATCH(G85,CONFIG!$B$25:$B$40,0)+2),IFERROR(INDEX(CONFIG!$B$25:$B$40,MATCH(G85,CONFIG!$B$25:$B$40,0)+1),G85)),G85+5),IF(OR(N85="SUBIR",N85="SUBIR_E"),IF(F85="polea",IFERROR(INDEX(CONFIG!$B$25:$B$40,MATCH(G85,CONFIG!$B$25:$B$40,0)+1),G85),G85+2.5),IF(N85="BAJAR",IF(F85="polea",IFERROR(INDEX(CONFIG!$B$25:$B$40,MAX(1,MATCH(G85,CONFIG!$B$25:$B$40,0)-1)),G85),MAX(0,G85-2.5)),G85)))),"--")</f>
        <v>--</v>
      </c>
      <c r="L85" s="59" t="str">
        <f>IFERROR(IF(N85="SIN","--",IF(N85="MANT",IF(H85="","--",H85+1),IFERROR(VLOOKUP(CONFIG!$E$2,CONFIG!$A$6:$E$8,2,0),"--"))),"--")</f>
        <v>--</v>
      </c>
      <c r="M85" s="59" t="str">
        <f>IFERROR(IF(N85="SIN","--",IF(CONFIG!$E$2="HIP",2,IF(CONFIG!$E$2="FUE",1,2))),"--")</f>
        <v>--</v>
      </c>
      <c r="N85" s="53" t="str">
        <f>IFERROR(IF(G85="","SIN",IF(O85=1,"SUBIR_E",IF(H85&lt;IFERROR(VLOOKUP(CONFIG!$E$2,CONFIG!$A$6:$E$8,2,0),6),"BAJAR",IF(H85+I85&gt;=IFERROR(VLOOKUP(CONFIG!$E$2,CONFIG!$A$6:$E$8,3,0),12),"SUBIR_F",IF(AND(H85&gt;=IFERROR(VLOOKUP(CONFIG!$E$2,CONFIG!$A$6:$E$8,2,0),6)+2,I85&gt;=2),"SUBIR",IF(I85&gt;IFERROR(VLOOKUP(CONFIG!$E$2,CONFIG!$A$6:$E$8,5,0),3),"SUBIR","MANT")))))),"SIN")</f>
        <v>SIN</v>
      </c>
      <c r="O85" s="55">
        <f>IF(COUNTIFS(HISTORIAL!$O$3:$O$83,D85&amp;"|"&amp;E85,HISTORIAL!$F$3:$F$83,"&gt;0")&lt;2,0,IF(COUNTIFS(HISTORIAL!$O$3:$O$83,D85&amp;"|"&amp;E85,HISTORIAL!$F$3:$F$83,IFERROR(LOOKUP(2,1/((HISTORIAL!$O$3:$O$83=D85&amp;"|"&amp;E85)*(HISTORIAL!$F$3:$F$83&gt;0)),HISTORIAL!$F$3:$F$83),0))&gt;=2,IF(IFERROR(LOOKUP(2,1/((HISTORIAL!$O$3:$O$83=D85&amp;"|"&amp;E85)*(HISTORIAL!$F$3:$F$83&gt;0)),HISTORIAL!$G$3:$G$83),0)&gt;0,IF(F85&gt;0,IF(G85&lt;=IFERROR(LOOKUP(2,1/((HISTORIAL!$O$3:$O$83=D85&amp;"|"&amp;E85)*(HISTORIAL!$F$3:$F$83&gt;0)),HISTORIAL!$G$3:$G$83),0),1,0),0),0),0))</f>
        <v>0</v>
      </c>
    </row>
    <row r="86" spans="1:15" ht="14.1" customHeight="1">
      <c r="A86" s="37">
        <v>2</v>
      </c>
      <c r="B86" s="37" t="s">
        <v>278</v>
      </c>
      <c r="C86" s="37">
        <v>9</v>
      </c>
      <c r="D86" s="56" t="str">
        <f>MARTES!$A$46</f>
        <v>Farmer Carry</v>
      </c>
      <c r="E86" s="57" t="str">
        <f>MARTES!$B$46</f>
        <v>Libre</v>
      </c>
      <c r="F86" s="37" t="str">
        <f>MARTES!$C$46</f>
        <v>mancuerna</v>
      </c>
      <c r="G86" s="37" t="str">
        <f>IFERROR(LOOKUP(2,1/((HISTORIAL!$O$3:$O$84=D86&amp;"|"&amp;E86)*(HISTORIAL!$F$3:$F$84&lt;&gt;"")),HISTORIAL!$F$3:$F$84),"")</f>
        <v/>
      </c>
      <c r="H86" s="37" t="str">
        <f>IFERROR(LOOKUP(2,1/((HISTORIAL!$O$3:$O$84=D86&amp;"|"&amp;E86)*(HISTORIAL!$F$3:$F$84&lt;&gt;"")),HISTORIAL!$G$3:$G$84),"")</f>
        <v/>
      </c>
      <c r="I86" s="37" t="str">
        <f>IFERROR(LOOKUP(2,1/((HISTORIAL!$O$3:$O$84=D86&amp;"|"&amp;E86)*(HISTORIAL!$F$3:$F$84&lt;&gt;"")),HISTORIAL!$H$3:$H$84),"")</f>
        <v/>
      </c>
      <c r="J86" s="37" t="str">
        <f>IFERROR(LOOKUP(2,1/((HISTORIAL!$O$3:$O$84=D86&amp;"|"&amp;E86)*(HISTORIAL!$F$3:$F$84&lt;&gt;"")),HISTORIAL!$I$3:$I$84),"")</f>
        <v/>
      </c>
      <c r="K86" s="58" t="str">
        <f>IFERROR(IF(OR(G86="",N86="SIN"),"--",IF(N86="SUBIR_F",IF(F86="polea",IFERROR(INDEX(CONFIG!$B$25:$B$40,MATCH(G86,CONFIG!$B$25:$B$40,0)+2),IFERROR(INDEX(CONFIG!$B$25:$B$40,MATCH(G86,CONFIG!$B$25:$B$40,0)+1),G86)),G86+5),IF(OR(N86="SUBIR",N86="SUBIR_E"),IF(F86="polea",IFERROR(INDEX(CONFIG!$B$25:$B$40,MATCH(G86,CONFIG!$B$25:$B$40,0)+1),G86),G86+2.5),IF(N86="BAJAR",IF(F86="polea",IFERROR(INDEX(CONFIG!$B$25:$B$40,MAX(1,MATCH(G86,CONFIG!$B$25:$B$40,0)-1)),G86),MAX(0,G86-2.5)),G86)))),"--")</f>
        <v>--</v>
      </c>
      <c r="L86" s="59" t="str">
        <f>IFERROR(IF(N86="SIN","--",IF(N86="MANT",IF(H86="","--",H86+1),IFERROR(VLOOKUP(CONFIG!$E$2,CONFIG!$A$6:$E$8,2,0),"--"))),"--")</f>
        <v>--</v>
      </c>
      <c r="M86" s="59" t="str">
        <f>IFERROR(IF(N86="SIN","--",IF(CONFIG!$E$2="HIP",2,IF(CONFIG!$E$2="FUE",1,2))),"--")</f>
        <v>--</v>
      </c>
      <c r="N86" s="53" t="str">
        <f>IFERROR(IF(G86="","SIN",IF(O86=1,"SUBIR_E",IF(H86&lt;IFERROR(VLOOKUP(CONFIG!$E$2,CONFIG!$A$6:$E$8,2,0),6),"BAJAR",IF(H86+I86&gt;=IFERROR(VLOOKUP(CONFIG!$E$2,CONFIG!$A$6:$E$8,3,0),12),"SUBIR_F",IF(AND(H86&gt;=IFERROR(VLOOKUP(CONFIG!$E$2,CONFIG!$A$6:$E$8,2,0),6)+2,I86&gt;=2),"SUBIR",IF(I86&gt;IFERROR(VLOOKUP(CONFIG!$E$2,CONFIG!$A$6:$E$8,5,0),3),"SUBIR","MANT")))))),"SIN")</f>
        <v>SIN</v>
      </c>
      <c r="O86" s="55">
        <f>IF(COUNTIFS(HISTORIAL!$O$3:$O$84,D86&amp;"|"&amp;E86,HISTORIAL!$F$3:$F$84,"&gt;0")&lt;2,0,IF(COUNTIFS(HISTORIAL!$O$3:$O$84,D86&amp;"|"&amp;E86,HISTORIAL!$F$3:$F$84,IFERROR(LOOKUP(2,1/((HISTORIAL!$O$3:$O$84=D86&amp;"|"&amp;E86)*(HISTORIAL!$F$3:$F$84&gt;0)),HISTORIAL!$F$3:$F$84),0))&gt;=2,IF(IFERROR(LOOKUP(2,1/((HISTORIAL!$O$3:$O$84=D86&amp;"|"&amp;E86)*(HISTORIAL!$F$3:$F$84&gt;0)),HISTORIAL!$G$3:$G$84),0)&gt;0,IF(F86&gt;0,IF(G86&lt;=IFERROR(LOOKUP(2,1/((HISTORIAL!$O$3:$O$84=D86&amp;"|"&amp;E86)*(HISTORIAL!$F$3:$F$84&gt;0)),HISTORIAL!$G$3:$G$84),0),1,0),0),0),0))</f>
        <v>0</v>
      </c>
    </row>
    <row r="87" spans="1:15" ht="14.1" customHeight="1">
      <c r="A87" s="37">
        <v>2</v>
      </c>
      <c r="B87" s="37" t="s">
        <v>278</v>
      </c>
      <c r="C87" s="37">
        <v>10</v>
      </c>
      <c r="D87" s="56" t="str">
        <f>MARTES!$A$48</f>
        <v>Skullcrusher</v>
      </c>
      <c r="E87" s="57" t="str">
        <f>MARTES!$B$48</f>
        <v>Mancuerna Tumbado</v>
      </c>
      <c r="F87" s="37" t="str">
        <f>MARTES!$C$48</f>
        <v>--</v>
      </c>
      <c r="G87" s="37" t="str">
        <f>IFERROR(LOOKUP(2,1/((HISTORIAL!$O$3:$O$85=D87&amp;"|"&amp;E87)*(HISTORIAL!$F$3:$F$85&lt;&gt;"")),HISTORIAL!$F$3:$F$85),"")</f>
        <v/>
      </c>
      <c r="H87" s="37" t="str">
        <f>IFERROR(LOOKUP(2,1/((HISTORIAL!$O$3:$O$85=D87&amp;"|"&amp;E87)*(HISTORIAL!$F$3:$F$85&lt;&gt;"")),HISTORIAL!$G$3:$G$85),"")</f>
        <v/>
      </c>
      <c r="I87" s="37" t="str">
        <f>IFERROR(LOOKUP(2,1/((HISTORIAL!$O$3:$O$85=D87&amp;"|"&amp;E87)*(HISTORIAL!$F$3:$F$85&lt;&gt;"")),HISTORIAL!$H$3:$H$85),"")</f>
        <v/>
      </c>
      <c r="J87" s="37" t="str">
        <f>IFERROR(LOOKUP(2,1/((HISTORIAL!$O$3:$O$85=D87&amp;"|"&amp;E87)*(HISTORIAL!$F$3:$F$85&lt;&gt;"")),HISTORIAL!$I$3:$I$85),"")</f>
        <v/>
      </c>
      <c r="K87" s="58" t="str">
        <f>IFERROR(IF(OR(G87="",N87="SIN"),"--",IF(N87="SUBIR_F",IF(F87="polea",IFERROR(INDEX(CONFIG!$B$25:$B$40,MATCH(G87,CONFIG!$B$25:$B$40,0)+2),IFERROR(INDEX(CONFIG!$B$25:$B$40,MATCH(G87,CONFIG!$B$25:$B$40,0)+1),G87)),G87+5),IF(OR(N87="SUBIR",N87="SUBIR_E"),IF(F87="polea",IFERROR(INDEX(CONFIG!$B$25:$B$40,MATCH(G87,CONFIG!$B$25:$B$40,0)+1),G87),G87+2.5),IF(N87="BAJAR",IF(F87="polea",IFERROR(INDEX(CONFIG!$B$25:$B$40,MAX(1,MATCH(G87,CONFIG!$B$25:$B$40,0)-1)),G87),MAX(0,G87-2.5)),G87)))),"--")</f>
        <v>--</v>
      </c>
      <c r="L87" s="59" t="str">
        <f>IFERROR(IF(N87="SIN","--",IF(N87="MANT",IF(H87="","--",H87+1),IFERROR(VLOOKUP(CONFIG!$E$2,CONFIG!$A$6:$E$8,2,0),"--"))),"--")</f>
        <v>--</v>
      </c>
      <c r="M87" s="59" t="str">
        <f>IFERROR(IF(N87="SIN","--",IF(CONFIG!$E$2="HIP",2,IF(CONFIG!$E$2="FUE",1,2))),"--")</f>
        <v>--</v>
      </c>
      <c r="N87" s="53" t="str">
        <f>IFERROR(IF(G87="","SIN",IF(O87=1,"SUBIR_E",IF(H87&lt;IFERROR(VLOOKUP(CONFIG!$E$2,CONFIG!$A$6:$E$8,2,0),6),"BAJAR",IF(H87+I87&gt;=IFERROR(VLOOKUP(CONFIG!$E$2,CONFIG!$A$6:$E$8,3,0),12),"SUBIR_F",IF(AND(H87&gt;=IFERROR(VLOOKUP(CONFIG!$E$2,CONFIG!$A$6:$E$8,2,0),6)+2,I87&gt;=2),"SUBIR",IF(I87&gt;IFERROR(VLOOKUP(CONFIG!$E$2,CONFIG!$A$6:$E$8,5,0),3),"SUBIR","MANT")))))),"SIN")</f>
        <v>SIN</v>
      </c>
      <c r="O87" s="55">
        <f>IF(COUNTIFS(HISTORIAL!$O$3:$O$85,D87&amp;"|"&amp;E87,HISTORIAL!$F$3:$F$85,"&gt;0")&lt;2,0,IF(COUNTIFS(HISTORIAL!$O$3:$O$85,D87&amp;"|"&amp;E87,HISTORIAL!$F$3:$F$85,IFERROR(LOOKUP(2,1/((HISTORIAL!$O$3:$O$85=D87&amp;"|"&amp;E87)*(HISTORIAL!$F$3:$F$85&gt;0)),HISTORIAL!$F$3:$F$85),0))&gt;=2,IF(IFERROR(LOOKUP(2,1/((HISTORIAL!$O$3:$O$85=D87&amp;"|"&amp;E87)*(HISTORIAL!$F$3:$F$85&gt;0)),HISTORIAL!$G$3:$G$85),0)&gt;0,IF(F87&gt;0,IF(G87&lt;=IFERROR(LOOKUP(2,1/((HISTORIAL!$O$3:$O$85=D87&amp;"|"&amp;E87)*(HISTORIAL!$F$3:$F$85&gt;0)),HISTORIAL!$G$3:$G$85),0),1,0),0),0),0))</f>
        <v>0</v>
      </c>
    </row>
    <row r="88" spans="1:15" ht="14.1" customHeight="1">
      <c r="A88" s="37">
        <v>2</v>
      </c>
      <c r="B88" s="37" t="s">
        <v>278</v>
      </c>
      <c r="C88" s="37">
        <v>11</v>
      </c>
      <c r="D88" s="56" t="str">
        <f>MARTES!$A$50</f>
        <v>Crunch</v>
      </c>
      <c r="E88" s="57" t="str">
        <f>MARTES!$B$50</f>
        <v>Polea</v>
      </c>
      <c r="F88" s="37" t="str">
        <f>MARTES!$C$50</f>
        <v>polea</v>
      </c>
      <c r="G88" s="37" t="str">
        <f>IFERROR(LOOKUP(2,1/((HISTORIAL!$O$3:$O$86=D88&amp;"|"&amp;E88)*(HISTORIAL!$F$3:$F$86&lt;&gt;"")),HISTORIAL!$F$3:$F$86),"")</f>
        <v/>
      </c>
      <c r="H88" s="37" t="str">
        <f>IFERROR(LOOKUP(2,1/((HISTORIAL!$O$3:$O$86=D88&amp;"|"&amp;E88)*(HISTORIAL!$F$3:$F$86&lt;&gt;"")),HISTORIAL!$G$3:$G$86),"")</f>
        <v/>
      </c>
      <c r="I88" s="37" t="str">
        <f>IFERROR(LOOKUP(2,1/((HISTORIAL!$O$3:$O$86=D88&amp;"|"&amp;E88)*(HISTORIAL!$F$3:$F$86&lt;&gt;"")),HISTORIAL!$H$3:$H$86),"")</f>
        <v/>
      </c>
      <c r="J88" s="37" t="str">
        <f>IFERROR(LOOKUP(2,1/((HISTORIAL!$O$3:$O$86=D88&amp;"|"&amp;E88)*(HISTORIAL!$F$3:$F$86&lt;&gt;"")),HISTORIAL!$I$3:$I$86),"")</f>
        <v/>
      </c>
      <c r="K88" s="58" t="str">
        <f>IFERROR(IF(OR(G88="",N88="SIN"),"--",IF(N88="SUBIR_F",IF(F88="polea",IFERROR(INDEX(CONFIG!$B$25:$B$40,MATCH(G88,CONFIG!$B$25:$B$40,0)+2),IFERROR(INDEX(CONFIG!$B$25:$B$40,MATCH(G88,CONFIG!$B$25:$B$40,0)+1),G88)),G88+5),IF(OR(N88="SUBIR",N88="SUBIR_E"),IF(F88="polea",IFERROR(INDEX(CONFIG!$B$25:$B$40,MATCH(G88,CONFIG!$B$25:$B$40,0)+1),G88),G88+2.5),IF(N88="BAJAR",IF(F88="polea",IFERROR(INDEX(CONFIG!$B$25:$B$40,MAX(1,MATCH(G88,CONFIG!$B$25:$B$40,0)-1)),G88),MAX(0,G88-2.5)),G88)))),"--")</f>
        <v>--</v>
      </c>
      <c r="L88" s="59" t="str">
        <f>IFERROR(IF(N88="SIN","--",IF(N88="MANT",IF(H88="","--",H88+1),IFERROR(VLOOKUP(CONFIG!$E$2,CONFIG!$A$6:$E$8,2,0),"--"))),"--")</f>
        <v>--</v>
      </c>
      <c r="M88" s="59" t="str">
        <f>IFERROR(IF(N88="SIN","--",IF(CONFIG!$E$2="HIP",2,IF(CONFIG!$E$2="FUE",1,2))),"--")</f>
        <v>--</v>
      </c>
      <c r="N88" s="53" t="str">
        <f>IFERROR(IF(G88="","SIN",IF(O88=1,"SUBIR_E",IF(H88&lt;IFERROR(VLOOKUP(CONFIG!$E$2,CONFIG!$A$6:$E$8,2,0),6),"BAJAR",IF(H88+I88&gt;=IFERROR(VLOOKUP(CONFIG!$E$2,CONFIG!$A$6:$E$8,3,0),12),"SUBIR_F",IF(AND(H88&gt;=IFERROR(VLOOKUP(CONFIG!$E$2,CONFIG!$A$6:$E$8,2,0),6)+2,I88&gt;=2),"SUBIR",IF(I88&gt;IFERROR(VLOOKUP(CONFIG!$E$2,CONFIG!$A$6:$E$8,5,0),3),"SUBIR","MANT")))))),"SIN")</f>
        <v>SIN</v>
      </c>
      <c r="O88" s="55">
        <f>IF(COUNTIFS(HISTORIAL!$O$3:$O$86,D88&amp;"|"&amp;E88,HISTORIAL!$F$3:$F$86,"&gt;0")&lt;2,0,IF(COUNTIFS(HISTORIAL!$O$3:$O$86,D88&amp;"|"&amp;E88,HISTORIAL!$F$3:$F$86,IFERROR(LOOKUP(2,1/((HISTORIAL!$O$3:$O$86=D88&amp;"|"&amp;E88)*(HISTORIAL!$F$3:$F$86&gt;0)),HISTORIAL!$F$3:$F$86),0))&gt;=2,IF(IFERROR(LOOKUP(2,1/((HISTORIAL!$O$3:$O$86=D88&amp;"|"&amp;E88)*(HISTORIAL!$F$3:$F$86&gt;0)),HISTORIAL!$G$3:$G$86),0)&gt;0,IF(F88&gt;0,IF(G88&lt;=IFERROR(LOOKUP(2,1/((HISTORIAL!$O$3:$O$86=D88&amp;"|"&amp;E88)*(HISTORIAL!$F$3:$F$86&gt;0)),HISTORIAL!$G$3:$G$86),0),1,0),0),0),0))</f>
        <v>0</v>
      </c>
    </row>
    <row r="89" spans="1:15" ht="14.1" customHeight="1">
      <c r="A89" s="37">
        <v>2</v>
      </c>
      <c r="B89" s="37" t="s">
        <v>279</v>
      </c>
      <c r="C89" s="37">
        <v>1</v>
      </c>
      <c r="D89" s="56" t="str">
        <f>MIERCOLES!$A$34</f>
        <v>Curl Femoral</v>
      </c>
      <c r="E89" s="57" t="str">
        <f>MIERCOLES!$B$34</f>
        <v>Tumbado Maquina</v>
      </c>
      <c r="F89" s="37" t="str">
        <f>MIERCOLES!$C$34</f>
        <v>polea</v>
      </c>
      <c r="G89" s="37" t="str">
        <f>IFERROR(LOOKUP(2,1/((HISTORIAL!$O$3:$O$87=D89&amp;"|"&amp;E89)*(HISTORIAL!$F$3:$F$87&lt;&gt;"")),HISTORIAL!$F$3:$F$87),"")</f>
        <v/>
      </c>
      <c r="H89" s="37" t="str">
        <f>IFERROR(LOOKUP(2,1/((HISTORIAL!$O$3:$O$87=D89&amp;"|"&amp;E89)*(HISTORIAL!$F$3:$F$87&lt;&gt;"")),HISTORIAL!$G$3:$G$87),"")</f>
        <v/>
      </c>
      <c r="I89" s="37" t="str">
        <f>IFERROR(LOOKUP(2,1/((HISTORIAL!$O$3:$O$87=D89&amp;"|"&amp;E89)*(HISTORIAL!$F$3:$F$87&lt;&gt;"")),HISTORIAL!$H$3:$H$87),"")</f>
        <v/>
      </c>
      <c r="J89" s="37" t="str">
        <f>IFERROR(LOOKUP(2,1/((HISTORIAL!$O$3:$O$87=D89&amp;"|"&amp;E89)*(HISTORIAL!$F$3:$F$87&lt;&gt;"")),HISTORIAL!$I$3:$I$87),"")</f>
        <v/>
      </c>
      <c r="K89" s="58" t="str">
        <f>IFERROR(IF(OR(G89="",N89="SIN"),"--",IF(N89="SUBIR_F",IF(F89="polea",IFERROR(INDEX(CONFIG!$B$25:$B$40,MATCH(G89,CONFIG!$B$25:$B$40,0)+2),IFERROR(INDEX(CONFIG!$B$25:$B$40,MATCH(G89,CONFIG!$B$25:$B$40,0)+1),G89)),G89+5),IF(OR(N89="SUBIR",N89="SUBIR_E"),IF(F89="polea",IFERROR(INDEX(CONFIG!$B$25:$B$40,MATCH(G89,CONFIG!$B$25:$B$40,0)+1),G89),G89+2.5),IF(N89="BAJAR",IF(F89="polea",IFERROR(INDEX(CONFIG!$B$25:$B$40,MAX(1,MATCH(G89,CONFIG!$B$25:$B$40,0)-1)),G89),MAX(0,G89-2.5)),G89)))),"--")</f>
        <v>--</v>
      </c>
      <c r="L89" s="59" t="str">
        <f>IFERROR(IF(N89="SIN","--",IF(N89="MANT",IF(H89="","--",H89+1),IFERROR(VLOOKUP(CONFIG!$E$2,CONFIG!$A$6:$E$8,2,0),"--"))),"--")</f>
        <v>--</v>
      </c>
      <c r="M89" s="59" t="str">
        <f>IFERROR(IF(N89="SIN","--",IF(CONFIG!$E$2="HIP",2,IF(CONFIG!$E$2="FUE",1,2))),"--")</f>
        <v>--</v>
      </c>
      <c r="N89" s="53" t="str">
        <f>IFERROR(IF(G89="","SIN",IF(O89=1,"SUBIR_E",IF(H89&lt;IFERROR(VLOOKUP(CONFIG!$E$2,CONFIG!$A$6:$E$8,2,0),6),"BAJAR",IF(H89+I89&gt;=IFERROR(VLOOKUP(CONFIG!$E$2,CONFIG!$A$6:$E$8,3,0),12),"SUBIR_F",IF(AND(H89&gt;=IFERROR(VLOOKUP(CONFIG!$E$2,CONFIG!$A$6:$E$8,2,0),6)+2,I89&gt;=2),"SUBIR",IF(I89&gt;IFERROR(VLOOKUP(CONFIG!$E$2,CONFIG!$A$6:$E$8,5,0),3),"SUBIR","MANT")))))),"SIN")</f>
        <v>SIN</v>
      </c>
      <c r="O89" s="55">
        <f>IF(COUNTIFS(HISTORIAL!$O$3:$O$87,D89&amp;"|"&amp;E89,HISTORIAL!$F$3:$F$87,"&gt;0")&lt;2,0,IF(COUNTIFS(HISTORIAL!$O$3:$O$87,D89&amp;"|"&amp;E89,HISTORIAL!$F$3:$F$87,IFERROR(LOOKUP(2,1/((HISTORIAL!$O$3:$O$87=D89&amp;"|"&amp;E89)*(HISTORIAL!$F$3:$F$87&gt;0)),HISTORIAL!$F$3:$F$87),0))&gt;=2,IF(IFERROR(LOOKUP(2,1/((HISTORIAL!$O$3:$O$87=D89&amp;"|"&amp;E89)*(HISTORIAL!$F$3:$F$87&gt;0)),HISTORIAL!$G$3:$G$87),0)&gt;0,IF(F89&gt;0,IF(G89&lt;=IFERROR(LOOKUP(2,1/((HISTORIAL!$O$3:$O$87=D89&amp;"|"&amp;E89)*(HISTORIAL!$F$3:$F$87&gt;0)),HISTORIAL!$G$3:$G$87),0),1,0),0),0),0))</f>
        <v>0</v>
      </c>
    </row>
    <row r="90" spans="1:15" ht="14.1" customHeight="1">
      <c r="A90" s="37">
        <v>2</v>
      </c>
      <c r="B90" s="37" t="s">
        <v>279</v>
      </c>
      <c r="C90" s="37">
        <v>2</v>
      </c>
      <c r="D90" s="56" t="str">
        <f>MIERCOLES!$A$35</f>
        <v>Curl Femoral</v>
      </c>
      <c r="E90" s="57" t="str">
        <f>MIERCOLES!$B$35</f>
        <v>Sentado Maquina</v>
      </c>
      <c r="F90" s="37" t="str">
        <f>MIERCOLES!$C$35</f>
        <v>polea</v>
      </c>
      <c r="G90" s="37" t="str">
        <f>IFERROR(LOOKUP(2,1/((HISTORIAL!$O$3:$O$88=D90&amp;"|"&amp;E90)*(HISTORIAL!$F$3:$F$88&lt;&gt;"")),HISTORIAL!$F$3:$F$88),"")</f>
        <v/>
      </c>
      <c r="H90" s="37" t="str">
        <f>IFERROR(LOOKUP(2,1/((HISTORIAL!$O$3:$O$88=D90&amp;"|"&amp;E90)*(HISTORIAL!$F$3:$F$88&lt;&gt;"")),HISTORIAL!$G$3:$G$88),"")</f>
        <v/>
      </c>
      <c r="I90" s="37" t="str">
        <f>IFERROR(LOOKUP(2,1/((HISTORIAL!$O$3:$O$88=D90&amp;"|"&amp;E90)*(HISTORIAL!$F$3:$F$88&lt;&gt;"")),HISTORIAL!$H$3:$H$88),"")</f>
        <v/>
      </c>
      <c r="J90" s="37" t="str">
        <f>IFERROR(LOOKUP(2,1/((HISTORIAL!$O$3:$O$88=D90&amp;"|"&amp;E90)*(HISTORIAL!$F$3:$F$88&lt;&gt;"")),HISTORIAL!$I$3:$I$88),"")</f>
        <v/>
      </c>
      <c r="K90" s="58" t="str">
        <f>IFERROR(IF(OR(G90="",N90="SIN"),"--",IF(N90="SUBIR_F",IF(F90="polea",IFERROR(INDEX(CONFIG!$B$25:$B$40,MATCH(G90,CONFIG!$B$25:$B$40,0)+2),IFERROR(INDEX(CONFIG!$B$25:$B$40,MATCH(G90,CONFIG!$B$25:$B$40,0)+1),G90)),G90+5),IF(OR(N90="SUBIR",N90="SUBIR_E"),IF(F90="polea",IFERROR(INDEX(CONFIG!$B$25:$B$40,MATCH(G90,CONFIG!$B$25:$B$40,0)+1),G90),G90+2.5),IF(N90="BAJAR",IF(F90="polea",IFERROR(INDEX(CONFIG!$B$25:$B$40,MAX(1,MATCH(G90,CONFIG!$B$25:$B$40,0)-1)),G90),MAX(0,G90-2.5)),G90)))),"--")</f>
        <v>--</v>
      </c>
      <c r="L90" s="59" t="str">
        <f>IFERROR(IF(N90="SIN","--",IF(N90="MANT",IF(H90="","--",H90+1),IFERROR(VLOOKUP(CONFIG!$E$2,CONFIG!$A$6:$E$8,2,0),"--"))),"--")</f>
        <v>--</v>
      </c>
      <c r="M90" s="59" t="str">
        <f>IFERROR(IF(N90="SIN","--",IF(CONFIG!$E$2="HIP",2,IF(CONFIG!$E$2="FUE",1,2))),"--")</f>
        <v>--</v>
      </c>
      <c r="N90" s="53" t="str">
        <f>IFERROR(IF(G90="","SIN",IF(O90=1,"SUBIR_E",IF(H90&lt;IFERROR(VLOOKUP(CONFIG!$E$2,CONFIG!$A$6:$E$8,2,0),6),"BAJAR",IF(H90+I90&gt;=IFERROR(VLOOKUP(CONFIG!$E$2,CONFIG!$A$6:$E$8,3,0),12),"SUBIR_F",IF(AND(H90&gt;=IFERROR(VLOOKUP(CONFIG!$E$2,CONFIG!$A$6:$E$8,2,0),6)+2,I90&gt;=2),"SUBIR",IF(I90&gt;IFERROR(VLOOKUP(CONFIG!$E$2,CONFIG!$A$6:$E$8,5,0),3),"SUBIR","MANT")))))),"SIN")</f>
        <v>SIN</v>
      </c>
      <c r="O90" s="55">
        <f>IF(COUNTIFS(HISTORIAL!$O$3:$O$88,D90&amp;"|"&amp;E90,HISTORIAL!$F$3:$F$88,"&gt;0")&lt;2,0,IF(COUNTIFS(HISTORIAL!$O$3:$O$88,D90&amp;"|"&amp;E90,HISTORIAL!$F$3:$F$88,IFERROR(LOOKUP(2,1/((HISTORIAL!$O$3:$O$88=D90&amp;"|"&amp;E90)*(HISTORIAL!$F$3:$F$88&gt;0)),HISTORIAL!$F$3:$F$88),0))&gt;=2,IF(IFERROR(LOOKUP(2,1/((HISTORIAL!$O$3:$O$88=D90&amp;"|"&amp;E90)*(HISTORIAL!$F$3:$F$88&gt;0)),HISTORIAL!$G$3:$G$88),0)&gt;0,IF(F90&gt;0,IF(G90&lt;=IFERROR(LOOKUP(2,1/((HISTORIAL!$O$3:$O$88=D90&amp;"|"&amp;E90)*(HISTORIAL!$F$3:$F$88&gt;0)),HISTORIAL!$G$3:$G$88),0),1,0),0),0),0))</f>
        <v>0</v>
      </c>
    </row>
    <row r="91" spans="1:15" ht="14.1" customHeight="1">
      <c r="A91" s="37">
        <v>2</v>
      </c>
      <c r="B91" s="37" t="s">
        <v>279</v>
      </c>
      <c r="C91" s="37">
        <v>3</v>
      </c>
      <c r="D91" s="56" t="str">
        <f>MIERCOLES!$A$36</f>
        <v>Curl Rumano</v>
      </c>
      <c r="E91" s="57" t="str">
        <f>MIERCOLES!$B$36</f>
        <v>Mancuernas</v>
      </c>
      <c r="F91" s="37" t="str">
        <f>MIERCOLES!$C$36</f>
        <v>mancuerna</v>
      </c>
      <c r="G91" s="37" t="str">
        <f>IFERROR(LOOKUP(2,1/((HISTORIAL!$O$3:$O$89=D91&amp;"|"&amp;E91)*(HISTORIAL!$F$3:$F$89&lt;&gt;"")),HISTORIAL!$F$3:$F$89),"")</f>
        <v/>
      </c>
      <c r="H91" s="37" t="str">
        <f>IFERROR(LOOKUP(2,1/((HISTORIAL!$O$3:$O$89=D91&amp;"|"&amp;E91)*(HISTORIAL!$F$3:$F$89&lt;&gt;"")),HISTORIAL!$G$3:$G$89),"")</f>
        <v/>
      </c>
      <c r="I91" s="37" t="str">
        <f>IFERROR(LOOKUP(2,1/((HISTORIAL!$O$3:$O$89=D91&amp;"|"&amp;E91)*(HISTORIAL!$F$3:$F$89&lt;&gt;"")),HISTORIAL!$H$3:$H$89),"")</f>
        <v/>
      </c>
      <c r="J91" s="37" t="str">
        <f>IFERROR(LOOKUP(2,1/((HISTORIAL!$O$3:$O$89=D91&amp;"|"&amp;E91)*(HISTORIAL!$F$3:$F$89&lt;&gt;"")),HISTORIAL!$I$3:$I$89),"")</f>
        <v/>
      </c>
      <c r="K91" s="58" t="str">
        <f>IFERROR(IF(OR(G91="",N91="SIN"),"--",IF(N91="SUBIR_F",IF(F91="polea",IFERROR(INDEX(CONFIG!$B$25:$B$40,MATCH(G91,CONFIG!$B$25:$B$40,0)+2),IFERROR(INDEX(CONFIG!$B$25:$B$40,MATCH(G91,CONFIG!$B$25:$B$40,0)+1),G91)),G91+5),IF(OR(N91="SUBIR",N91="SUBIR_E"),IF(F91="polea",IFERROR(INDEX(CONFIG!$B$25:$B$40,MATCH(G91,CONFIG!$B$25:$B$40,0)+1),G91),G91+2.5),IF(N91="BAJAR",IF(F91="polea",IFERROR(INDEX(CONFIG!$B$25:$B$40,MAX(1,MATCH(G91,CONFIG!$B$25:$B$40,0)-1)),G91),MAX(0,G91-2.5)),G91)))),"--")</f>
        <v>--</v>
      </c>
      <c r="L91" s="59" t="str">
        <f>IFERROR(IF(N91="SIN","--",IF(N91="MANT",IF(H91="","--",H91+1),IFERROR(VLOOKUP(CONFIG!$E$2,CONFIG!$A$6:$E$8,2,0),"--"))),"--")</f>
        <v>--</v>
      </c>
      <c r="M91" s="59" t="str">
        <f>IFERROR(IF(N91="SIN","--",IF(CONFIG!$E$2="HIP",2,IF(CONFIG!$E$2="FUE",1,2))),"--")</f>
        <v>--</v>
      </c>
      <c r="N91" s="53" t="str">
        <f>IFERROR(IF(G91="","SIN",IF(O91=1,"SUBIR_E",IF(H91&lt;IFERROR(VLOOKUP(CONFIG!$E$2,CONFIG!$A$6:$E$8,2,0),6),"BAJAR",IF(H91+I91&gt;=IFERROR(VLOOKUP(CONFIG!$E$2,CONFIG!$A$6:$E$8,3,0),12),"SUBIR_F",IF(AND(H91&gt;=IFERROR(VLOOKUP(CONFIG!$E$2,CONFIG!$A$6:$E$8,2,0),6)+2,I91&gt;=2),"SUBIR",IF(I91&gt;IFERROR(VLOOKUP(CONFIG!$E$2,CONFIG!$A$6:$E$8,5,0),3),"SUBIR","MANT")))))),"SIN")</f>
        <v>SIN</v>
      </c>
      <c r="O91" s="55">
        <f>IF(COUNTIFS(HISTORIAL!$O$3:$O$89,D91&amp;"|"&amp;E91,HISTORIAL!$F$3:$F$89,"&gt;0")&lt;2,0,IF(COUNTIFS(HISTORIAL!$O$3:$O$89,D91&amp;"|"&amp;E91,HISTORIAL!$F$3:$F$89,IFERROR(LOOKUP(2,1/((HISTORIAL!$O$3:$O$89=D91&amp;"|"&amp;E91)*(HISTORIAL!$F$3:$F$89&gt;0)),HISTORIAL!$F$3:$F$89),0))&gt;=2,IF(IFERROR(LOOKUP(2,1/((HISTORIAL!$O$3:$O$89=D91&amp;"|"&amp;E91)*(HISTORIAL!$F$3:$F$89&gt;0)),HISTORIAL!$G$3:$G$89),0)&gt;0,IF(F91&gt;0,IF(G91&lt;=IFERROR(LOOKUP(2,1/((HISTORIAL!$O$3:$O$89=D91&amp;"|"&amp;E91)*(HISTORIAL!$F$3:$F$89&gt;0)),HISTORIAL!$G$3:$G$89),0),1,0),0),0),0))</f>
        <v>0</v>
      </c>
    </row>
    <row r="92" spans="1:15" ht="14.1" customHeight="1">
      <c r="A92" s="37">
        <v>2</v>
      </c>
      <c r="B92" s="37" t="s">
        <v>279</v>
      </c>
      <c r="C92" s="37">
        <v>4</v>
      </c>
      <c r="D92" s="56" t="str">
        <f>MIERCOLES!$A$38</f>
        <v>Sentadilla</v>
      </c>
      <c r="E92" s="57" t="str">
        <f>MIERCOLES!$B$38</f>
        <v>Multipower Cuna Talones</v>
      </c>
      <c r="F92" s="37" t="str">
        <f>MIERCOLES!$C$38</f>
        <v>--</v>
      </c>
      <c r="G92" s="37" t="str">
        <f>IFERROR(LOOKUP(2,1/((HISTORIAL!$O$3:$O$90=D92&amp;"|"&amp;E92)*(HISTORIAL!$F$3:$F$90&lt;&gt;"")),HISTORIAL!$F$3:$F$90),"")</f>
        <v/>
      </c>
      <c r="H92" s="37" t="str">
        <f>IFERROR(LOOKUP(2,1/((HISTORIAL!$O$3:$O$90=D92&amp;"|"&amp;E92)*(HISTORIAL!$F$3:$F$90&lt;&gt;"")),HISTORIAL!$G$3:$G$90),"")</f>
        <v/>
      </c>
      <c r="I92" s="37" t="str">
        <f>IFERROR(LOOKUP(2,1/((HISTORIAL!$O$3:$O$90=D92&amp;"|"&amp;E92)*(HISTORIAL!$F$3:$F$90&lt;&gt;"")),HISTORIAL!$H$3:$H$90),"")</f>
        <v/>
      </c>
      <c r="J92" s="37" t="str">
        <f>IFERROR(LOOKUP(2,1/((HISTORIAL!$O$3:$O$90=D92&amp;"|"&amp;E92)*(HISTORIAL!$F$3:$F$90&lt;&gt;"")),HISTORIAL!$I$3:$I$90),"")</f>
        <v/>
      </c>
      <c r="K92" s="58" t="str">
        <f>IFERROR(IF(OR(G92="",N92="SIN"),"--",IF(N92="SUBIR_F",IF(F92="polea",IFERROR(INDEX(CONFIG!$B$25:$B$40,MATCH(G92,CONFIG!$B$25:$B$40,0)+2),IFERROR(INDEX(CONFIG!$B$25:$B$40,MATCH(G92,CONFIG!$B$25:$B$40,0)+1),G92)),G92+5),IF(OR(N92="SUBIR",N92="SUBIR_E"),IF(F92="polea",IFERROR(INDEX(CONFIG!$B$25:$B$40,MATCH(G92,CONFIG!$B$25:$B$40,0)+1),G92),G92+2.5),IF(N92="BAJAR",IF(F92="polea",IFERROR(INDEX(CONFIG!$B$25:$B$40,MAX(1,MATCH(G92,CONFIG!$B$25:$B$40,0)-1)),G92),MAX(0,G92-2.5)),G92)))),"--")</f>
        <v>--</v>
      </c>
      <c r="L92" s="59" t="str">
        <f>IFERROR(IF(N92="SIN","--",IF(N92="MANT",IF(H92="","--",H92+1),IFERROR(VLOOKUP(CONFIG!$E$2,CONFIG!$A$6:$E$8,2,0),"--"))),"--")</f>
        <v>--</v>
      </c>
      <c r="M92" s="59" t="str">
        <f>IFERROR(IF(N92="SIN","--",IF(CONFIG!$E$2="HIP",2,IF(CONFIG!$E$2="FUE",1,2))),"--")</f>
        <v>--</v>
      </c>
      <c r="N92" s="53" t="str">
        <f>IFERROR(IF(G92="","SIN",IF(O92=1,"SUBIR_E",IF(H92&lt;IFERROR(VLOOKUP(CONFIG!$E$2,CONFIG!$A$6:$E$8,2,0),6),"BAJAR",IF(H92+I92&gt;=IFERROR(VLOOKUP(CONFIG!$E$2,CONFIG!$A$6:$E$8,3,0),12),"SUBIR_F",IF(AND(H92&gt;=IFERROR(VLOOKUP(CONFIG!$E$2,CONFIG!$A$6:$E$8,2,0),6)+2,I92&gt;=2),"SUBIR",IF(I92&gt;IFERROR(VLOOKUP(CONFIG!$E$2,CONFIG!$A$6:$E$8,5,0),3),"SUBIR","MANT")))))),"SIN")</f>
        <v>SIN</v>
      </c>
      <c r="O92" s="55">
        <f>IF(COUNTIFS(HISTORIAL!$O$3:$O$90,D92&amp;"|"&amp;E92,HISTORIAL!$F$3:$F$90,"&gt;0")&lt;2,0,IF(COUNTIFS(HISTORIAL!$O$3:$O$90,D92&amp;"|"&amp;E92,HISTORIAL!$F$3:$F$90,IFERROR(LOOKUP(2,1/((HISTORIAL!$O$3:$O$90=D92&amp;"|"&amp;E92)*(HISTORIAL!$F$3:$F$90&gt;0)),HISTORIAL!$F$3:$F$90),0))&gt;=2,IF(IFERROR(LOOKUP(2,1/((HISTORIAL!$O$3:$O$90=D92&amp;"|"&amp;E92)*(HISTORIAL!$F$3:$F$90&gt;0)),HISTORIAL!$G$3:$G$90),0)&gt;0,IF(F92&gt;0,IF(G92&lt;=IFERROR(LOOKUP(2,1/((HISTORIAL!$O$3:$O$90=D92&amp;"|"&amp;E92)*(HISTORIAL!$F$3:$F$90&gt;0)),HISTORIAL!$G$3:$G$90),0),1,0),0),0),0))</f>
        <v>0</v>
      </c>
    </row>
    <row r="93" spans="1:15" ht="14.1" customHeight="1">
      <c r="A93" s="37">
        <v>2</v>
      </c>
      <c r="B93" s="37" t="s">
        <v>279</v>
      </c>
      <c r="C93" s="37">
        <v>5</v>
      </c>
      <c r="D93" s="56" t="str">
        <f>MIERCOLES!$A$39</f>
        <v>Prensa Pierna</v>
      </c>
      <c r="E93" s="57" t="str">
        <f>MIERCOLES!$B$39</f>
        <v>Individual Horizontal</v>
      </c>
      <c r="F93" s="37" t="str">
        <f>MIERCOLES!$C$39</f>
        <v>--</v>
      </c>
      <c r="G93" s="37" t="str">
        <f>IFERROR(LOOKUP(2,1/((HISTORIAL!$O$3:$O$91=D93&amp;"|"&amp;E93)*(HISTORIAL!$F$3:$F$91&lt;&gt;"")),HISTORIAL!$F$3:$F$91),"")</f>
        <v/>
      </c>
      <c r="H93" s="37" t="str">
        <f>IFERROR(LOOKUP(2,1/((HISTORIAL!$O$3:$O$91=D93&amp;"|"&amp;E93)*(HISTORIAL!$F$3:$F$91&lt;&gt;"")),HISTORIAL!$G$3:$G$91),"")</f>
        <v/>
      </c>
      <c r="I93" s="37" t="str">
        <f>IFERROR(LOOKUP(2,1/((HISTORIAL!$O$3:$O$91=D93&amp;"|"&amp;E93)*(HISTORIAL!$F$3:$F$91&lt;&gt;"")),HISTORIAL!$H$3:$H$91),"")</f>
        <v/>
      </c>
      <c r="J93" s="37" t="str">
        <f>IFERROR(LOOKUP(2,1/((HISTORIAL!$O$3:$O$91=D93&amp;"|"&amp;E93)*(HISTORIAL!$F$3:$F$91&lt;&gt;"")),HISTORIAL!$I$3:$I$91),"")</f>
        <v/>
      </c>
      <c r="K93" s="58" t="str">
        <f>IFERROR(IF(OR(G93="",N93="SIN"),"--",IF(N93="SUBIR_F",IF(F93="polea",IFERROR(INDEX(CONFIG!$B$25:$B$40,MATCH(G93,CONFIG!$B$25:$B$40,0)+2),IFERROR(INDEX(CONFIG!$B$25:$B$40,MATCH(G93,CONFIG!$B$25:$B$40,0)+1),G93)),G93+5),IF(OR(N93="SUBIR",N93="SUBIR_E"),IF(F93="polea",IFERROR(INDEX(CONFIG!$B$25:$B$40,MATCH(G93,CONFIG!$B$25:$B$40,0)+1),G93),G93+2.5),IF(N93="BAJAR",IF(F93="polea",IFERROR(INDEX(CONFIG!$B$25:$B$40,MAX(1,MATCH(G93,CONFIG!$B$25:$B$40,0)-1)),G93),MAX(0,G93-2.5)),G93)))),"--")</f>
        <v>--</v>
      </c>
      <c r="L93" s="59" t="str">
        <f>IFERROR(IF(N93="SIN","--",IF(N93="MANT",IF(H93="","--",H93+1),IFERROR(VLOOKUP(CONFIG!$E$2,CONFIG!$A$6:$E$8,2,0),"--"))),"--")</f>
        <v>--</v>
      </c>
      <c r="M93" s="59" t="str">
        <f>IFERROR(IF(N93="SIN","--",IF(CONFIG!$E$2="HIP",2,IF(CONFIG!$E$2="FUE",1,2))),"--")</f>
        <v>--</v>
      </c>
      <c r="N93" s="53" t="str">
        <f>IFERROR(IF(G93="","SIN",IF(O93=1,"SUBIR_E",IF(H93&lt;IFERROR(VLOOKUP(CONFIG!$E$2,CONFIG!$A$6:$E$8,2,0),6),"BAJAR",IF(H93+I93&gt;=IFERROR(VLOOKUP(CONFIG!$E$2,CONFIG!$A$6:$E$8,3,0),12),"SUBIR_F",IF(AND(H93&gt;=IFERROR(VLOOKUP(CONFIG!$E$2,CONFIG!$A$6:$E$8,2,0),6)+2,I93&gt;=2),"SUBIR",IF(I93&gt;IFERROR(VLOOKUP(CONFIG!$E$2,CONFIG!$A$6:$E$8,5,0),3),"SUBIR","MANT")))))),"SIN")</f>
        <v>SIN</v>
      </c>
      <c r="O93" s="55">
        <f>IF(COUNTIFS(HISTORIAL!$O$3:$O$91,D93&amp;"|"&amp;E93,HISTORIAL!$F$3:$F$91,"&gt;0")&lt;2,0,IF(COUNTIFS(HISTORIAL!$O$3:$O$91,D93&amp;"|"&amp;E93,HISTORIAL!$F$3:$F$91,IFERROR(LOOKUP(2,1/((HISTORIAL!$O$3:$O$91=D93&amp;"|"&amp;E93)*(HISTORIAL!$F$3:$F$91&gt;0)),HISTORIAL!$F$3:$F$91),0))&gt;=2,IF(IFERROR(LOOKUP(2,1/((HISTORIAL!$O$3:$O$91=D93&amp;"|"&amp;E93)*(HISTORIAL!$F$3:$F$91&gt;0)),HISTORIAL!$G$3:$G$91),0)&gt;0,IF(F93&gt;0,IF(G93&lt;=IFERROR(LOOKUP(2,1/((HISTORIAL!$O$3:$O$91=D93&amp;"|"&amp;E93)*(HISTORIAL!$F$3:$F$91&gt;0)),HISTORIAL!$G$3:$G$91),0),1,0),0),0),0))</f>
        <v>0</v>
      </c>
    </row>
    <row r="94" spans="1:15" ht="14.1" customHeight="1">
      <c r="A94" s="37">
        <v>2</v>
      </c>
      <c r="B94" s="37" t="s">
        <v>279</v>
      </c>
      <c r="C94" s="37">
        <v>6</v>
      </c>
      <c r="D94" s="56" t="str">
        <f>MIERCOLES!$A$40</f>
        <v>Extension Cuadriceps</v>
      </c>
      <c r="E94" s="57" t="str">
        <f>MIERCOLES!$B$40</f>
        <v>Vasto Externo</v>
      </c>
      <c r="F94" s="37" t="str">
        <f>MIERCOLES!$C$40</f>
        <v>--</v>
      </c>
      <c r="G94" s="37" t="str">
        <f>IFERROR(LOOKUP(2,1/((HISTORIAL!$O$3:$O$92=D94&amp;"|"&amp;E94)*(HISTORIAL!$F$3:$F$92&lt;&gt;"")),HISTORIAL!$F$3:$F$92),"")</f>
        <v/>
      </c>
      <c r="H94" s="37" t="str">
        <f>IFERROR(LOOKUP(2,1/((HISTORIAL!$O$3:$O$92=D94&amp;"|"&amp;E94)*(HISTORIAL!$F$3:$F$92&lt;&gt;"")),HISTORIAL!$G$3:$G$92),"")</f>
        <v/>
      </c>
      <c r="I94" s="37" t="str">
        <f>IFERROR(LOOKUP(2,1/((HISTORIAL!$O$3:$O$92=D94&amp;"|"&amp;E94)*(HISTORIAL!$F$3:$F$92&lt;&gt;"")),HISTORIAL!$H$3:$H$92),"")</f>
        <v/>
      </c>
      <c r="J94" s="37" t="str">
        <f>IFERROR(LOOKUP(2,1/((HISTORIAL!$O$3:$O$92=D94&amp;"|"&amp;E94)*(HISTORIAL!$F$3:$F$92&lt;&gt;"")),HISTORIAL!$I$3:$I$92),"")</f>
        <v/>
      </c>
      <c r="K94" s="58" t="str">
        <f>IFERROR(IF(OR(G94="",N94="SIN"),"--",IF(N94="SUBIR_F",IF(F94="polea",IFERROR(INDEX(CONFIG!$B$25:$B$40,MATCH(G94,CONFIG!$B$25:$B$40,0)+2),IFERROR(INDEX(CONFIG!$B$25:$B$40,MATCH(G94,CONFIG!$B$25:$B$40,0)+1),G94)),G94+5),IF(OR(N94="SUBIR",N94="SUBIR_E"),IF(F94="polea",IFERROR(INDEX(CONFIG!$B$25:$B$40,MATCH(G94,CONFIG!$B$25:$B$40,0)+1),G94),G94+2.5),IF(N94="BAJAR",IF(F94="polea",IFERROR(INDEX(CONFIG!$B$25:$B$40,MAX(1,MATCH(G94,CONFIG!$B$25:$B$40,0)-1)),G94),MAX(0,G94-2.5)),G94)))),"--")</f>
        <v>--</v>
      </c>
      <c r="L94" s="59" t="str">
        <f>IFERROR(IF(N94="SIN","--",IF(N94="MANT",IF(H94="","--",H94+1),IFERROR(VLOOKUP(CONFIG!$E$2,CONFIG!$A$6:$E$8,2,0),"--"))),"--")</f>
        <v>--</v>
      </c>
      <c r="M94" s="59" t="str">
        <f>IFERROR(IF(N94="SIN","--",IF(CONFIG!$E$2="HIP",2,IF(CONFIG!$E$2="FUE",1,2))),"--")</f>
        <v>--</v>
      </c>
      <c r="N94" s="53" t="str">
        <f>IFERROR(IF(G94="","SIN",IF(O94=1,"SUBIR_E",IF(H94&lt;IFERROR(VLOOKUP(CONFIG!$E$2,CONFIG!$A$6:$E$8,2,0),6),"BAJAR",IF(H94+I94&gt;=IFERROR(VLOOKUP(CONFIG!$E$2,CONFIG!$A$6:$E$8,3,0),12),"SUBIR_F",IF(AND(H94&gt;=IFERROR(VLOOKUP(CONFIG!$E$2,CONFIG!$A$6:$E$8,2,0),6)+2,I94&gt;=2),"SUBIR",IF(I94&gt;IFERROR(VLOOKUP(CONFIG!$E$2,CONFIG!$A$6:$E$8,5,0),3),"SUBIR","MANT")))))),"SIN")</f>
        <v>SIN</v>
      </c>
      <c r="O94" s="55">
        <f>IF(COUNTIFS(HISTORIAL!$O$3:$O$92,D94&amp;"|"&amp;E94,HISTORIAL!$F$3:$F$92,"&gt;0")&lt;2,0,IF(COUNTIFS(HISTORIAL!$O$3:$O$92,D94&amp;"|"&amp;E94,HISTORIAL!$F$3:$F$92,IFERROR(LOOKUP(2,1/((HISTORIAL!$O$3:$O$92=D94&amp;"|"&amp;E94)*(HISTORIAL!$F$3:$F$92&gt;0)),HISTORIAL!$F$3:$F$92),0))&gt;=2,IF(IFERROR(LOOKUP(2,1/((HISTORIAL!$O$3:$O$92=D94&amp;"|"&amp;E94)*(HISTORIAL!$F$3:$F$92&gt;0)),HISTORIAL!$G$3:$G$92),0)&gt;0,IF(F94&gt;0,IF(G94&lt;=IFERROR(LOOKUP(2,1/((HISTORIAL!$O$3:$O$92=D94&amp;"|"&amp;E94)*(HISTORIAL!$F$3:$F$92&gt;0)),HISTORIAL!$G$3:$G$92),0),1,0),0),0),0))</f>
        <v>0</v>
      </c>
    </row>
    <row r="95" spans="1:15" ht="14.1" customHeight="1">
      <c r="A95" s="37">
        <v>2</v>
      </c>
      <c r="B95" s="37" t="s">
        <v>279</v>
      </c>
      <c r="C95" s="37">
        <v>7</v>
      </c>
      <c r="D95" s="56" t="str">
        <f>MIERCOLES!$A$41</f>
        <v>Extension Cuadriceps</v>
      </c>
      <c r="E95" s="57" t="str">
        <f>MIERCOLES!$B$41</f>
        <v>Vasto Interno</v>
      </c>
      <c r="F95" s="37" t="str">
        <f>MIERCOLES!$C$41</f>
        <v>--</v>
      </c>
      <c r="G95" s="37" t="str">
        <f>IFERROR(LOOKUP(2,1/((HISTORIAL!$O$3:$O$93=D95&amp;"|"&amp;E95)*(HISTORIAL!$F$3:$F$93&lt;&gt;"")),HISTORIAL!$F$3:$F$93),"")</f>
        <v/>
      </c>
      <c r="H95" s="37" t="str">
        <f>IFERROR(LOOKUP(2,1/((HISTORIAL!$O$3:$O$93=D95&amp;"|"&amp;E95)*(HISTORIAL!$F$3:$F$93&lt;&gt;"")),HISTORIAL!$G$3:$G$93),"")</f>
        <v/>
      </c>
      <c r="I95" s="37" t="str">
        <f>IFERROR(LOOKUP(2,1/((HISTORIAL!$O$3:$O$93=D95&amp;"|"&amp;E95)*(HISTORIAL!$F$3:$F$93&lt;&gt;"")),HISTORIAL!$H$3:$H$93),"")</f>
        <v/>
      </c>
      <c r="J95" s="37" t="str">
        <f>IFERROR(LOOKUP(2,1/((HISTORIAL!$O$3:$O$93=D95&amp;"|"&amp;E95)*(HISTORIAL!$F$3:$F$93&lt;&gt;"")),HISTORIAL!$I$3:$I$93),"")</f>
        <v/>
      </c>
      <c r="K95" s="58" t="str">
        <f>IFERROR(IF(OR(G95="",N95="SIN"),"--",IF(N95="SUBIR_F",IF(F95="polea",IFERROR(INDEX(CONFIG!$B$25:$B$40,MATCH(G95,CONFIG!$B$25:$B$40,0)+2),IFERROR(INDEX(CONFIG!$B$25:$B$40,MATCH(G95,CONFIG!$B$25:$B$40,0)+1),G95)),G95+5),IF(OR(N95="SUBIR",N95="SUBIR_E"),IF(F95="polea",IFERROR(INDEX(CONFIG!$B$25:$B$40,MATCH(G95,CONFIG!$B$25:$B$40,0)+1),G95),G95+2.5),IF(N95="BAJAR",IF(F95="polea",IFERROR(INDEX(CONFIG!$B$25:$B$40,MAX(1,MATCH(G95,CONFIG!$B$25:$B$40,0)-1)),G95),MAX(0,G95-2.5)),G95)))),"--")</f>
        <v>--</v>
      </c>
      <c r="L95" s="59" t="str">
        <f>IFERROR(IF(N95="SIN","--",IF(N95="MANT",IF(H95="","--",H95+1),IFERROR(VLOOKUP(CONFIG!$E$2,CONFIG!$A$6:$E$8,2,0),"--"))),"--")</f>
        <v>--</v>
      </c>
      <c r="M95" s="59" t="str">
        <f>IFERROR(IF(N95="SIN","--",IF(CONFIG!$E$2="HIP",2,IF(CONFIG!$E$2="FUE",1,2))),"--")</f>
        <v>--</v>
      </c>
      <c r="N95" s="53" t="str">
        <f>IFERROR(IF(G95="","SIN",IF(O95=1,"SUBIR_E",IF(H95&lt;IFERROR(VLOOKUP(CONFIG!$E$2,CONFIG!$A$6:$E$8,2,0),6),"BAJAR",IF(H95+I95&gt;=IFERROR(VLOOKUP(CONFIG!$E$2,CONFIG!$A$6:$E$8,3,0),12),"SUBIR_F",IF(AND(H95&gt;=IFERROR(VLOOKUP(CONFIG!$E$2,CONFIG!$A$6:$E$8,2,0),6)+2,I95&gt;=2),"SUBIR",IF(I95&gt;IFERROR(VLOOKUP(CONFIG!$E$2,CONFIG!$A$6:$E$8,5,0),3),"SUBIR","MANT")))))),"SIN")</f>
        <v>SIN</v>
      </c>
      <c r="O95" s="55">
        <f>IF(COUNTIFS(HISTORIAL!$O$3:$O$93,D95&amp;"|"&amp;E95,HISTORIAL!$F$3:$F$93,"&gt;0")&lt;2,0,IF(COUNTIFS(HISTORIAL!$O$3:$O$93,D95&amp;"|"&amp;E95,HISTORIAL!$F$3:$F$93,IFERROR(LOOKUP(2,1/((HISTORIAL!$O$3:$O$93=D95&amp;"|"&amp;E95)*(HISTORIAL!$F$3:$F$93&gt;0)),HISTORIAL!$F$3:$F$93),0))&gt;=2,IF(IFERROR(LOOKUP(2,1/((HISTORIAL!$O$3:$O$93=D95&amp;"|"&amp;E95)*(HISTORIAL!$F$3:$F$93&gt;0)),HISTORIAL!$G$3:$G$93),0)&gt;0,IF(F95&gt;0,IF(G95&lt;=IFERROR(LOOKUP(2,1/((HISTORIAL!$O$3:$O$93=D95&amp;"|"&amp;E95)*(HISTORIAL!$F$3:$F$93&gt;0)),HISTORIAL!$G$3:$G$93),0),1,0),0),0),0))</f>
        <v>0</v>
      </c>
    </row>
    <row r="96" spans="1:15" ht="14.1" customHeight="1">
      <c r="A96" s="37">
        <v>2</v>
      </c>
      <c r="B96" s="37" t="s">
        <v>279</v>
      </c>
      <c r="C96" s="37">
        <v>8</v>
      </c>
      <c r="D96" s="56" t="str">
        <f>MIERCOLES!$A$43</f>
        <v>Elevacion Gemelo</v>
      </c>
      <c r="E96" s="57" t="str">
        <f>MIERCOLES!$B$43</f>
        <v>Sentado</v>
      </c>
      <c r="F96" s="37" t="str">
        <f>MIERCOLES!$C$43</f>
        <v>disco</v>
      </c>
      <c r="G96" s="37" t="str">
        <f>IFERROR(LOOKUP(2,1/((HISTORIAL!$O$3:$O$94=D96&amp;"|"&amp;E96)*(HISTORIAL!$F$3:$F$94&lt;&gt;"")),HISTORIAL!$F$3:$F$94),"")</f>
        <v/>
      </c>
      <c r="H96" s="37" t="str">
        <f>IFERROR(LOOKUP(2,1/((HISTORIAL!$O$3:$O$94=D96&amp;"|"&amp;E96)*(HISTORIAL!$F$3:$F$94&lt;&gt;"")),HISTORIAL!$G$3:$G$94),"")</f>
        <v/>
      </c>
      <c r="I96" s="37" t="str">
        <f>IFERROR(LOOKUP(2,1/((HISTORIAL!$O$3:$O$94=D96&amp;"|"&amp;E96)*(HISTORIAL!$F$3:$F$94&lt;&gt;"")),HISTORIAL!$H$3:$H$94),"")</f>
        <v/>
      </c>
      <c r="J96" s="37" t="str">
        <f>IFERROR(LOOKUP(2,1/((HISTORIAL!$O$3:$O$94=D96&amp;"|"&amp;E96)*(HISTORIAL!$F$3:$F$94&lt;&gt;"")),HISTORIAL!$I$3:$I$94),"")</f>
        <v/>
      </c>
      <c r="K96" s="58" t="str">
        <f>IFERROR(IF(OR(G96="",N96="SIN"),"--",IF(N96="SUBIR_F",IF(F96="polea",IFERROR(INDEX(CONFIG!$B$25:$B$40,MATCH(G96,CONFIG!$B$25:$B$40,0)+2),IFERROR(INDEX(CONFIG!$B$25:$B$40,MATCH(G96,CONFIG!$B$25:$B$40,0)+1),G96)),G96+5),IF(OR(N96="SUBIR",N96="SUBIR_E"),IF(F96="polea",IFERROR(INDEX(CONFIG!$B$25:$B$40,MATCH(G96,CONFIG!$B$25:$B$40,0)+1),G96),G96+2.5),IF(N96="BAJAR",IF(F96="polea",IFERROR(INDEX(CONFIG!$B$25:$B$40,MAX(1,MATCH(G96,CONFIG!$B$25:$B$40,0)-1)),G96),MAX(0,G96-2.5)),G96)))),"--")</f>
        <v>--</v>
      </c>
      <c r="L96" s="59" t="str">
        <f>IFERROR(IF(N96="SIN","--",IF(N96="MANT",IF(H96="","--",H96+1),IFERROR(VLOOKUP(CONFIG!$E$2,CONFIG!$A$6:$E$8,2,0),"--"))),"--")</f>
        <v>--</v>
      </c>
      <c r="M96" s="59" t="str">
        <f>IFERROR(IF(N96="SIN","--",IF(CONFIG!$E$2="HIP",2,IF(CONFIG!$E$2="FUE",1,2))),"--")</f>
        <v>--</v>
      </c>
      <c r="N96" s="53" t="str">
        <f>IFERROR(IF(G96="","SIN",IF(O96=1,"SUBIR_E",IF(H96&lt;IFERROR(VLOOKUP(CONFIG!$E$2,CONFIG!$A$6:$E$8,2,0),6),"BAJAR",IF(H96+I96&gt;=IFERROR(VLOOKUP(CONFIG!$E$2,CONFIG!$A$6:$E$8,3,0),12),"SUBIR_F",IF(AND(H96&gt;=IFERROR(VLOOKUP(CONFIG!$E$2,CONFIG!$A$6:$E$8,2,0),6)+2,I96&gt;=2),"SUBIR",IF(I96&gt;IFERROR(VLOOKUP(CONFIG!$E$2,CONFIG!$A$6:$E$8,5,0),3),"SUBIR","MANT")))))),"SIN")</f>
        <v>SIN</v>
      </c>
      <c r="O96" s="55">
        <f>IF(COUNTIFS(HISTORIAL!$O$3:$O$94,D96&amp;"|"&amp;E96,HISTORIAL!$F$3:$F$94,"&gt;0")&lt;2,0,IF(COUNTIFS(HISTORIAL!$O$3:$O$94,D96&amp;"|"&amp;E96,HISTORIAL!$F$3:$F$94,IFERROR(LOOKUP(2,1/((HISTORIAL!$O$3:$O$94=D96&amp;"|"&amp;E96)*(HISTORIAL!$F$3:$F$94&gt;0)),HISTORIAL!$F$3:$F$94),0))&gt;=2,IF(IFERROR(LOOKUP(2,1/((HISTORIAL!$O$3:$O$94=D96&amp;"|"&amp;E96)*(HISTORIAL!$F$3:$F$94&gt;0)),HISTORIAL!$G$3:$G$94),0)&gt;0,IF(F96&gt;0,IF(G96&lt;=IFERROR(LOOKUP(2,1/((HISTORIAL!$O$3:$O$94=D96&amp;"|"&amp;E96)*(HISTORIAL!$F$3:$F$94&gt;0)),HISTORIAL!$G$3:$G$94),0),1,0),0),0),0))</f>
        <v>0</v>
      </c>
    </row>
    <row r="97" spans="1:15" ht="14.1" customHeight="1">
      <c r="A97" s="37">
        <v>2</v>
      </c>
      <c r="B97" s="37" t="s">
        <v>279</v>
      </c>
      <c r="C97" s="37">
        <v>9</v>
      </c>
      <c r="D97" s="56" t="str">
        <f>MIERCOLES!$A$44</f>
        <v>Elevacion Gemelo</v>
      </c>
      <c r="E97" s="57" t="str">
        <f>MIERCOLES!$B$44</f>
        <v>De Pie</v>
      </c>
      <c r="F97" s="37" t="str">
        <f>MIERCOLES!$C$44</f>
        <v>disco</v>
      </c>
      <c r="G97" s="37" t="str">
        <f>IFERROR(LOOKUP(2,1/((HISTORIAL!$O$3:$O$95=D97&amp;"|"&amp;E97)*(HISTORIAL!$F$3:$F$95&lt;&gt;"")),HISTORIAL!$F$3:$F$95),"")</f>
        <v/>
      </c>
      <c r="H97" s="37" t="str">
        <f>IFERROR(LOOKUP(2,1/((HISTORIAL!$O$3:$O$95=D97&amp;"|"&amp;E97)*(HISTORIAL!$F$3:$F$95&lt;&gt;"")),HISTORIAL!$G$3:$G$95),"")</f>
        <v/>
      </c>
      <c r="I97" s="37" t="str">
        <f>IFERROR(LOOKUP(2,1/((HISTORIAL!$O$3:$O$95=D97&amp;"|"&amp;E97)*(HISTORIAL!$F$3:$F$95&lt;&gt;"")),HISTORIAL!$H$3:$H$95),"")</f>
        <v/>
      </c>
      <c r="J97" s="37" t="str">
        <f>IFERROR(LOOKUP(2,1/((HISTORIAL!$O$3:$O$95=D97&amp;"|"&amp;E97)*(HISTORIAL!$F$3:$F$95&lt;&gt;"")),HISTORIAL!$I$3:$I$95),"")</f>
        <v/>
      </c>
      <c r="K97" s="58" t="str">
        <f>IFERROR(IF(OR(G97="",N97="SIN"),"--",IF(N97="SUBIR_F",IF(F97="polea",IFERROR(INDEX(CONFIG!$B$25:$B$40,MATCH(G97,CONFIG!$B$25:$B$40,0)+2),IFERROR(INDEX(CONFIG!$B$25:$B$40,MATCH(G97,CONFIG!$B$25:$B$40,0)+1),G97)),G97+5),IF(OR(N97="SUBIR",N97="SUBIR_E"),IF(F97="polea",IFERROR(INDEX(CONFIG!$B$25:$B$40,MATCH(G97,CONFIG!$B$25:$B$40,0)+1),G97),G97+2.5),IF(N97="BAJAR",IF(F97="polea",IFERROR(INDEX(CONFIG!$B$25:$B$40,MAX(1,MATCH(G97,CONFIG!$B$25:$B$40,0)-1)),G97),MAX(0,G97-2.5)),G97)))),"--")</f>
        <v>--</v>
      </c>
      <c r="L97" s="59" t="str">
        <f>IFERROR(IF(N97="SIN","--",IF(N97="MANT",IF(H97="","--",H97+1),IFERROR(VLOOKUP(CONFIG!$E$2,CONFIG!$A$6:$E$8,2,0),"--"))),"--")</f>
        <v>--</v>
      </c>
      <c r="M97" s="59" t="str">
        <f>IFERROR(IF(N97="SIN","--",IF(CONFIG!$E$2="HIP",2,IF(CONFIG!$E$2="FUE",1,2))),"--")</f>
        <v>--</v>
      </c>
      <c r="N97" s="53" t="str">
        <f>IFERROR(IF(G97="","SIN",IF(O97=1,"SUBIR_E",IF(H97&lt;IFERROR(VLOOKUP(CONFIG!$E$2,CONFIG!$A$6:$E$8,2,0),6),"BAJAR",IF(H97+I97&gt;=IFERROR(VLOOKUP(CONFIG!$E$2,CONFIG!$A$6:$E$8,3,0),12),"SUBIR_F",IF(AND(H97&gt;=IFERROR(VLOOKUP(CONFIG!$E$2,CONFIG!$A$6:$E$8,2,0),6)+2,I97&gt;=2),"SUBIR",IF(I97&gt;IFERROR(VLOOKUP(CONFIG!$E$2,CONFIG!$A$6:$E$8,5,0),3),"SUBIR","MANT")))))),"SIN")</f>
        <v>SIN</v>
      </c>
      <c r="O97" s="55">
        <f>IF(COUNTIFS(HISTORIAL!$O$3:$O$95,D97&amp;"|"&amp;E97,HISTORIAL!$F$3:$F$95,"&gt;0")&lt;2,0,IF(COUNTIFS(HISTORIAL!$O$3:$O$95,D97&amp;"|"&amp;E97,HISTORIAL!$F$3:$F$95,IFERROR(LOOKUP(2,1/((HISTORIAL!$O$3:$O$95=D97&amp;"|"&amp;E97)*(HISTORIAL!$F$3:$F$95&gt;0)),HISTORIAL!$F$3:$F$95),0))&gt;=2,IF(IFERROR(LOOKUP(2,1/((HISTORIAL!$O$3:$O$95=D97&amp;"|"&amp;E97)*(HISTORIAL!$F$3:$F$95&gt;0)),HISTORIAL!$G$3:$G$95),0)&gt;0,IF(F97&gt;0,IF(G97&lt;=IFERROR(LOOKUP(2,1/((HISTORIAL!$O$3:$O$95=D97&amp;"|"&amp;E97)*(HISTORIAL!$F$3:$F$95&gt;0)),HISTORIAL!$G$3:$G$95),0),1,0),0),0),0))</f>
        <v>0</v>
      </c>
    </row>
    <row r="98" spans="1:15" ht="14.1" customHeight="1">
      <c r="A98" s="37">
        <v>2</v>
      </c>
      <c r="B98" s="37" t="s">
        <v>279</v>
      </c>
      <c r="C98" s="37">
        <v>10</v>
      </c>
      <c r="D98" s="56" t="str">
        <f>MIERCOLES!$A$46</f>
        <v>Hiperextension</v>
      </c>
      <c r="E98" s="57" t="str">
        <f>MIERCOLES!$B$46</f>
        <v>Banco Romano</v>
      </c>
      <c r="F98" s="37" t="str">
        <f>MIERCOLES!$C$46</f>
        <v>peso_corporal</v>
      </c>
      <c r="G98" s="37" t="str">
        <f>IFERROR(LOOKUP(2,1/((HISTORIAL!$O$3:$O$96=D98&amp;"|"&amp;E98)*(HISTORIAL!$F$3:$F$96&lt;&gt;"")),HISTORIAL!$F$3:$F$96),"")</f>
        <v/>
      </c>
      <c r="H98" s="37" t="str">
        <f>IFERROR(LOOKUP(2,1/((HISTORIAL!$O$3:$O$96=D98&amp;"|"&amp;E98)*(HISTORIAL!$F$3:$F$96&lt;&gt;"")),HISTORIAL!$G$3:$G$96),"")</f>
        <v/>
      </c>
      <c r="I98" s="37" t="str">
        <f>IFERROR(LOOKUP(2,1/((HISTORIAL!$O$3:$O$96=D98&amp;"|"&amp;E98)*(HISTORIAL!$F$3:$F$96&lt;&gt;"")),HISTORIAL!$H$3:$H$96),"")</f>
        <v/>
      </c>
      <c r="J98" s="37" t="str">
        <f>IFERROR(LOOKUP(2,1/((HISTORIAL!$O$3:$O$96=D98&amp;"|"&amp;E98)*(HISTORIAL!$F$3:$F$96&lt;&gt;"")),HISTORIAL!$I$3:$I$96),"")</f>
        <v/>
      </c>
      <c r="K98" s="58" t="str">
        <f>IFERROR(IF(OR(G98="",N98="SIN"),"--",IF(N98="SUBIR_F",IF(F98="polea",IFERROR(INDEX(CONFIG!$B$25:$B$40,MATCH(G98,CONFIG!$B$25:$B$40,0)+2),IFERROR(INDEX(CONFIG!$B$25:$B$40,MATCH(G98,CONFIG!$B$25:$B$40,0)+1),G98)),G98+5),IF(OR(N98="SUBIR",N98="SUBIR_E"),IF(F98="polea",IFERROR(INDEX(CONFIG!$B$25:$B$40,MATCH(G98,CONFIG!$B$25:$B$40,0)+1),G98),G98+2.5),IF(N98="BAJAR",IF(F98="polea",IFERROR(INDEX(CONFIG!$B$25:$B$40,MAX(1,MATCH(G98,CONFIG!$B$25:$B$40,0)-1)),G98),MAX(0,G98-2.5)),G98)))),"--")</f>
        <v>--</v>
      </c>
      <c r="L98" s="59" t="str">
        <f>IFERROR(IF(N98="SIN","--",IF(N98="MANT",IF(H98="","--",H98+1),IFERROR(VLOOKUP(CONFIG!$E$2,CONFIG!$A$6:$E$8,2,0),"--"))),"--")</f>
        <v>--</v>
      </c>
      <c r="M98" s="59" t="str">
        <f>IFERROR(IF(N98="SIN","--",IF(CONFIG!$E$2="HIP",2,IF(CONFIG!$E$2="FUE",1,2))),"--")</f>
        <v>--</v>
      </c>
      <c r="N98" s="53" t="str">
        <f>IFERROR(IF(G98="","SIN",IF(O98=1,"SUBIR_E",IF(H98&lt;IFERROR(VLOOKUP(CONFIG!$E$2,CONFIG!$A$6:$E$8,2,0),6),"BAJAR",IF(H98+I98&gt;=IFERROR(VLOOKUP(CONFIG!$E$2,CONFIG!$A$6:$E$8,3,0),12),"SUBIR_F",IF(AND(H98&gt;=IFERROR(VLOOKUP(CONFIG!$E$2,CONFIG!$A$6:$E$8,2,0),6)+2,I98&gt;=2),"SUBIR",IF(I98&gt;IFERROR(VLOOKUP(CONFIG!$E$2,CONFIG!$A$6:$E$8,5,0),3),"SUBIR","MANT")))))),"SIN")</f>
        <v>SIN</v>
      </c>
      <c r="O98" s="55">
        <f>IF(COUNTIFS(HISTORIAL!$O$3:$O$96,D98&amp;"|"&amp;E98,HISTORIAL!$F$3:$F$96,"&gt;0")&lt;2,0,IF(COUNTIFS(HISTORIAL!$O$3:$O$96,D98&amp;"|"&amp;E98,HISTORIAL!$F$3:$F$96,IFERROR(LOOKUP(2,1/((HISTORIAL!$O$3:$O$96=D98&amp;"|"&amp;E98)*(HISTORIAL!$F$3:$F$96&gt;0)),HISTORIAL!$F$3:$F$96),0))&gt;=2,IF(IFERROR(LOOKUP(2,1/((HISTORIAL!$O$3:$O$96=D98&amp;"|"&amp;E98)*(HISTORIAL!$F$3:$F$96&gt;0)),HISTORIAL!$G$3:$G$96),0)&gt;0,IF(F98&gt;0,IF(G98&lt;=IFERROR(LOOKUP(2,1/((HISTORIAL!$O$3:$O$96=D98&amp;"|"&amp;E98)*(HISTORIAL!$F$3:$F$96&gt;0)),HISTORIAL!$G$3:$G$96),0),1,0),0),0),0))</f>
        <v>0</v>
      </c>
    </row>
    <row r="99" spans="1:15" ht="14.1" customHeight="1">
      <c r="A99" s="37">
        <v>2</v>
      </c>
      <c r="B99" s="37" t="s">
        <v>279</v>
      </c>
      <c r="C99" s="37">
        <v>11</v>
      </c>
      <c r="D99" s="56" t="str">
        <f>MIERCOLES!$A$47</f>
        <v>Peso Muerto Parcial</v>
      </c>
      <c r="E99" s="57" t="str">
        <f>MIERCOLES!$B$47</f>
        <v>Barra</v>
      </c>
      <c r="F99" s="37" t="str">
        <f>MIERCOLES!$C$47</f>
        <v>disco</v>
      </c>
      <c r="G99" s="37" t="str">
        <f>IFERROR(LOOKUP(2,1/((HISTORIAL!$O$3:$O$97=D99&amp;"|"&amp;E99)*(HISTORIAL!$F$3:$F$97&lt;&gt;"")),HISTORIAL!$F$3:$F$97),"")</f>
        <v/>
      </c>
      <c r="H99" s="37" t="str">
        <f>IFERROR(LOOKUP(2,1/((HISTORIAL!$O$3:$O$97=D99&amp;"|"&amp;E99)*(HISTORIAL!$F$3:$F$97&lt;&gt;"")),HISTORIAL!$G$3:$G$97),"")</f>
        <v/>
      </c>
      <c r="I99" s="37" t="str">
        <f>IFERROR(LOOKUP(2,1/((HISTORIAL!$O$3:$O$97=D99&amp;"|"&amp;E99)*(HISTORIAL!$F$3:$F$97&lt;&gt;"")),HISTORIAL!$H$3:$H$97),"")</f>
        <v/>
      </c>
      <c r="J99" s="37" t="str">
        <f>IFERROR(LOOKUP(2,1/((HISTORIAL!$O$3:$O$97=D99&amp;"|"&amp;E99)*(HISTORIAL!$F$3:$F$97&lt;&gt;"")),HISTORIAL!$I$3:$I$97),"")</f>
        <v/>
      </c>
      <c r="K99" s="58" t="str">
        <f>IFERROR(IF(OR(G99="",N99="SIN"),"--",IF(N99="SUBIR_F",IF(F99="polea",IFERROR(INDEX(CONFIG!$B$25:$B$40,MATCH(G99,CONFIG!$B$25:$B$40,0)+2),IFERROR(INDEX(CONFIG!$B$25:$B$40,MATCH(G99,CONFIG!$B$25:$B$40,0)+1),G99)),G99+5),IF(OR(N99="SUBIR",N99="SUBIR_E"),IF(F99="polea",IFERROR(INDEX(CONFIG!$B$25:$B$40,MATCH(G99,CONFIG!$B$25:$B$40,0)+1),G99),G99+2.5),IF(N99="BAJAR",IF(F99="polea",IFERROR(INDEX(CONFIG!$B$25:$B$40,MAX(1,MATCH(G99,CONFIG!$B$25:$B$40,0)-1)),G99),MAX(0,G99-2.5)),G99)))),"--")</f>
        <v>--</v>
      </c>
      <c r="L99" s="59" t="str">
        <f>IFERROR(IF(N99="SIN","--",IF(N99="MANT",IF(H99="","--",H99+1),IFERROR(VLOOKUP(CONFIG!$E$2,CONFIG!$A$6:$E$8,2,0),"--"))),"--")</f>
        <v>--</v>
      </c>
      <c r="M99" s="59" t="str">
        <f>IFERROR(IF(N99="SIN","--",IF(CONFIG!$E$2="HIP",2,IF(CONFIG!$E$2="FUE",1,2))),"--")</f>
        <v>--</v>
      </c>
      <c r="N99" s="53" t="str">
        <f>IFERROR(IF(G99="","SIN",IF(O99=1,"SUBIR_E",IF(H99&lt;IFERROR(VLOOKUP(CONFIG!$E$2,CONFIG!$A$6:$E$8,2,0),6),"BAJAR",IF(H99+I99&gt;=IFERROR(VLOOKUP(CONFIG!$E$2,CONFIG!$A$6:$E$8,3,0),12),"SUBIR_F",IF(AND(H99&gt;=IFERROR(VLOOKUP(CONFIG!$E$2,CONFIG!$A$6:$E$8,2,0),6)+2,I99&gt;=2),"SUBIR",IF(I99&gt;IFERROR(VLOOKUP(CONFIG!$E$2,CONFIG!$A$6:$E$8,5,0),3),"SUBIR","MANT")))))),"SIN")</f>
        <v>SIN</v>
      </c>
      <c r="O99" s="55">
        <f>IF(COUNTIFS(HISTORIAL!$O$3:$O$97,D99&amp;"|"&amp;E99,HISTORIAL!$F$3:$F$97,"&gt;0")&lt;2,0,IF(COUNTIFS(HISTORIAL!$O$3:$O$97,D99&amp;"|"&amp;E99,HISTORIAL!$F$3:$F$97,IFERROR(LOOKUP(2,1/((HISTORIAL!$O$3:$O$97=D99&amp;"|"&amp;E99)*(HISTORIAL!$F$3:$F$97&gt;0)),HISTORIAL!$F$3:$F$97),0))&gt;=2,IF(IFERROR(LOOKUP(2,1/((HISTORIAL!$O$3:$O$97=D99&amp;"|"&amp;E99)*(HISTORIAL!$F$3:$F$97&gt;0)),HISTORIAL!$G$3:$G$97),0)&gt;0,IF(F99&gt;0,IF(G99&lt;=IFERROR(LOOKUP(2,1/((HISTORIAL!$O$3:$O$97=D99&amp;"|"&amp;E99)*(HISTORIAL!$F$3:$F$97&gt;0)),HISTORIAL!$G$3:$G$97),0),1,0),0),0),0))</f>
        <v>0</v>
      </c>
    </row>
    <row r="100" spans="1:15" ht="14.1" customHeight="1">
      <c r="A100" s="37">
        <v>2</v>
      </c>
      <c r="B100" s="37" t="s">
        <v>279</v>
      </c>
      <c r="C100" s="37">
        <v>12</v>
      </c>
      <c r="D100" s="56" t="str">
        <f>MIERCOLES!$A$49</f>
        <v>Crunch</v>
      </c>
      <c r="E100" s="57" t="str">
        <f>MIERCOLES!$B$49</f>
        <v>Polea</v>
      </c>
      <c r="F100" s="37" t="str">
        <f>MIERCOLES!$C$49</f>
        <v>polea</v>
      </c>
      <c r="G100" s="37" t="str">
        <f>IFERROR(LOOKUP(2,1/((HISTORIAL!$O$3:$O$98=D100&amp;"|"&amp;E100)*(HISTORIAL!$F$3:$F$98&lt;&gt;"")),HISTORIAL!$F$3:$F$98),"")</f>
        <v/>
      </c>
      <c r="H100" s="37" t="str">
        <f>IFERROR(LOOKUP(2,1/((HISTORIAL!$O$3:$O$98=D100&amp;"|"&amp;E100)*(HISTORIAL!$F$3:$F$98&lt;&gt;"")),HISTORIAL!$G$3:$G$98),"")</f>
        <v/>
      </c>
      <c r="I100" s="37" t="str">
        <f>IFERROR(LOOKUP(2,1/((HISTORIAL!$O$3:$O$98=D100&amp;"|"&amp;E100)*(HISTORIAL!$F$3:$F$98&lt;&gt;"")),HISTORIAL!$H$3:$H$98),"")</f>
        <v/>
      </c>
      <c r="J100" s="37" t="str">
        <f>IFERROR(LOOKUP(2,1/((HISTORIAL!$O$3:$O$98=D100&amp;"|"&amp;E100)*(HISTORIAL!$F$3:$F$98&lt;&gt;"")),HISTORIAL!$I$3:$I$98),"")</f>
        <v/>
      </c>
      <c r="K100" s="58" t="str">
        <f>IFERROR(IF(OR(G100="",N100="SIN"),"--",IF(N100="SUBIR_F",IF(F100="polea",IFERROR(INDEX(CONFIG!$B$25:$B$40,MATCH(G100,CONFIG!$B$25:$B$40,0)+2),IFERROR(INDEX(CONFIG!$B$25:$B$40,MATCH(G100,CONFIG!$B$25:$B$40,0)+1),G100)),G100+5),IF(OR(N100="SUBIR",N100="SUBIR_E"),IF(F100="polea",IFERROR(INDEX(CONFIG!$B$25:$B$40,MATCH(G100,CONFIG!$B$25:$B$40,0)+1),G100),G100+2.5),IF(N100="BAJAR",IF(F100="polea",IFERROR(INDEX(CONFIG!$B$25:$B$40,MAX(1,MATCH(G100,CONFIG!$B$25:$B$40,0)-1)),G100),MAX(0,G100-2.5)),G100)))),"--")</f>
        <v>--</v>
      </c>
      <c r="L100" s="59" t="str">
        <f>IFERROR(IF(N100="SIN","--",IF(N100="MANT",IF(H100="","--",H100+1),IFERROR(VLOOKUP(CONFIG!$E$2,CONFIG!$A$6:$E$8,2,0),"--"))),"--")</f>
        <v>--</v>
      </c>
      <c r="M100" s="59" t="str">
        <f>IFERROR(IF(N100="SIN","--",IF(CONFIG!$E$2="HIP",2,IF(CONFIG!$E$2="FUE",1,2))),"--")</f>
        <v>--</v>
      </c>
      <c r="N100" s="53" t="str">
        <f>IFERROR(IF(G100="","SIN",IF(O100=1,"SUBIR_E",IF(H100&lt;IFERROR(VLOOKUP(CONFIG!$E$2,CONFIG!$A$6:$E$8,2,0),6),"BAJAR",IF(H100+I100&gt;=IFERROR(VLOOKUP(CONFIG!$E$2,CONFIG!$A$6:$E$8,3,0),12),"SUBIR_F",IF(AND(H100&gt;=IFERROR(VLOOKUP(CONFIG!$E$2,CONFIG!$A$6:$E$8,2,0),6)+2,I100&gt;=2),"SUBIR",IF(I100&gt;IFERROR(VLOOKUP(CONFIG!$E$2,CONFIG!$A$6:$E$8,5,0),3),"SUBIR","MANT")))))),"SIN")</f>
        <v>SIN</v>
      </c>
      <c r="O100" s="55">
        <f>IF(COUNTIFS(HISTORIAL!$O$3:$O$98,D100&amp;"|"&amp;E100,HISTORIAL!$F$3:$F$98,"&gt;0")&lt;2,0,IF(COUNTIFS(HISTORIAL!$O$3:$O$98,D100&amp;"|"&amp;E100,HISTORIAL!$F$3:$F$98,IFERROR(LOOKUP(2,1/((HISTORIAL!$O$3:$O$98=D100&amp;"|"&amp;E100)*(HISTORIAL!$F$3:$F$98&gt;0)),HISTORIAL!$F$3:$F$98),0))&gt;=2,IF(IFERROR(LOOKUP(2,1/((HISTORIAL!$O$3:$O$98=D100&amp;"|"&amp;E100)*(HISTORIAL!$F$3:$F$98&gt;0)),HISTORIAL!$G$3:$G$98),0)&gt;0,IF(F100&gt;0,IF(G100&lt;=IFERROR(LOOKUP(2,1/((HISTORIAL!$O$3:$O$98=D100&amp;"|"&amp;E100)*(HISTORIAL!$F$3:$F$98&gt;0)),HISTORIAL!$G$3:$G$98),0),1,0),0),0),0))</f>
        <v>0</v>
      </c>
    </row>
    <row r="101" spans="1:15" ht="14.1" customHeight="1">
      <c r="A101" s="37">
        <v>2</v>
      </c>
      <c r="B101" s="37" t="s">
        <v>279</v>
      </c>
      <c r="C101" s="37">
        <v>13</v>
      </c>
      <c r="D101" s="56" t="str">
        <f>MIERCOLES!$A$50</f>
        <v>Plancha</v>
      </c>
      <c r="E101" s="57" t="str">
        <f>MIERCOLES!$B$50</f>
        <v>Abdominal</v>
      </c>
      <c r="F101" s="37" t="str">
        <f>MIERCOLES!$C$50</f>
        <v>--</v>
      </c>
      <c r="G101" s="37" t="str">
        <f>IFERROR(LOOKUP(2,1/((HISTORIAL!$O$3:$O$99=D101&amp;"|"&amp;E101)*(HISTORIAL!$F$3:$F$99&lt;&gt;"")),HISTORIAL!$F$3:$F$99),"")</f>
        <v/>
      </c>
      <c r="H101" s="37" t="str">
        <f>IFERROR(LOOKUP(2,1/((HISTORIAL!$O$3:$O$99=D101&amp;"|"&amp;E101)*(HISTORIAL!$F$3:$F$99&lt;&gt;"")),HISTORIAL!$G$3:$G$99),"")</f>
        <v/>
      </c>
      <c r="I101" s="37" t="str">
        <f>IFERROR(LOOKUP(2,1/((HISTORIAL!$O$3:$O$99=D101&amp;"|"&amp;E101)*(HISTORIAL!$F$3:$F$99&lt;&gt;"")),HISTORIAL!$H$3:$H$99),"")</f>
        <v/>
      </c>
      <c r="J101" s="37" t="str">
        <f>IFERROR(LOOKUP(2,1/((HISTORIAL!$O$3:$O$99=D101&amp;"|"&amp;E101)*(HISTORIAL!$F$3:$F$99&lt;&gt;"")),HISTORIAL!$I$3:$I$99),"")</f>
        <v/>
      </c>
      <c r="K101" s="58" t="str">
        <f>IFERROR(IF(OR(G101="",N101="SIN"),"--",IF(N101="SUBIR_F",IF(F101="polea",IFERROR(INDEX(CONFIG!$B$25:$B$40,MATCH(G101,CONFIG!$B$25:$B$40,0)+2),IFERROR(INDEX(CONFIG!$B$25:$B$40,MATCH(G101,CONFIG!$B$25:$B$40,0)+1),G101)),G101+5),IF(OR(N101="SUBIR",N101="SUBIR_E"),IF(F101="polea",IFERROR(INDEX(CONFIG!$B$25:$B$40,MATCH(G101,CONFIG!$B$25:$B$40,0)+1),G101),G101+2.5),IF(N101="BAJAR",IF(F101="polea",IFERROR(INDEX(CONFIG!$B$25:$B$40,MAX(1,MATCH(G101,CONFIG!$B$25:$B$40,0)-1)),G101),MAX(0,G101-2.5)),G101)))),"--")</f>
        <v>--</v>
      </c>
      <c r="L101" s="59" t="str">
        <f>IFERROR(IF(N101="SIN","--",IF(N101="MANT",IF(H101="","--",H101+1),IFERROR(VLOOKUP(CONFIG!$E$2,CONFIG!$A$6:$E$8,2,0),"--"))),"--")</f>
        <v>--</v>
      </c>
      <c r="M101" s="59" t="str">
        <f>IFERROR(IF(N101="SIN","--",IF(CONFIG!$E$2="HIP",2,IF(CONFIG!$E$2="FUE",1,2))),"--")</f>
        <v>--</v>
      </c>
      <c r="N101" s="53" t="str">
        <f>IFERROR(IF(G101="","SIN",IF(O101=1,"SUBIR_E",IF(H101&lt;IFERROR(VLOOKUP(CONFIG!$E$2,CONFIG!$A$6:$E$8,2,0),6),"BAJAR",IF(H101+I101&gt;=IFERROR(VLOOKUP(CONFIG!$E$2,CONFIG!$A$6:$E$8,3,0),12),"SUBIR_F",IF(AND(H101&gt;=IFERROR(VLOOKUP(CONFIG!$E$2,CONFIG!$A$6:$E$8,2,0),6)+2,I101&gt;=2),"SUBIR",IF(I101&gt;IFERROR(VLOOKUP(CONFIG!$E$2,CONFIG!$A$6:$E$8,5,0),3),"SUBIR","MANT")))))),"SIN")</f>
        <v>SIN</v>
      </c>
      <c r="O101" s="55">
        <f>IF(COUNTIFS(HISTORIAL!$O$3:$O$99,D101&amp;"|"&amp;E101,HISTORIAL!$F$3:$F$99,"&gt;0")&lt;2,0,IF(COUNTIFS(HISTORIAL!$O$3:$O$99,D101&amp;"|"&amp;E101,HISTORIAL!$F$3:$F$99,IFERROR(LOOKUP(2,1/((HISTORIAL!$O$3:$O$99=D101&amp;"|"&amp;E101)*(HISTORIAL!$F$3:$F$99&gt;0)),HISTORIAL!$F$3:$F$99),0))&gt;=2,IF(IFERROR(LOOKUP(2,1/((HISTORIAL!$O$3:$O$99=D101&amp;"|"&amp;E101)*(HISTORIAL!$F$3:$F$99&gt;0)),HISTORIAL!$G$3:$G$99),0)&gt;0,IF(F101&gt;0,IF(G101&lt;=IFERROR(LOOKUP(2,1/((HISTORIAL!$O$3:$O$99=D101&amp;"|"&amp;E101)*(HISTORIAL!$F$3:$F$99&gt;0)),HISTORIAL!$G$3:$G$99),0),1,0),0),0),0))</f>
        <v>0</v>
      </c>
    </row>
    <row r="102" spans="1:15" ht="14.1" customHeight="1">
      <c r="A102" s="37">
        <v>2</v>
      </c>
      <c r="B102" s="37" t="s">
        <v>279</v>
      </c>
      <c r="C102" s="37">
        <v>14</v>
      </c>
      <c r="D102" s="56" t="str">
        <f>MIERCOLES!$A$51</f>
        <v>Rueda Abdominal</v>
      </c>
      <c r="E102" s="57" t="str">
        <f>MIERCOLES!$B$51</f>
        <v>Ab Wheel</v>
      </c>
      <c r="F102" s="37" t="str">
        <f>MIERCOLES!$C$51</f>
        <v>--</v>
      </c>
      <c r="G102" s="37" t="str">
        <f>IFERROR(LOOKUP(2,1/((HISTORIAL!$O$3:$O$100=D102&amp;"|"&amp;E102)*(HISTORIAL!$F$3:$F$100&lt;&gt;"")),HISTORIAL!$F$3:$F$100),"")</f>
        <v/>
      </c>
      <c r="H102" s="37" t="str">
        <f>IFERROR(LOOKUP(2,1/((HISTORIAL!$O$3:$O$100=D102&amp;"|"&amp;E102)*(HISTORIAL!$F$3:$F$100&lt;&gt;"")),HISTORIAL!$G$3:$G$100),"")</f>
        <v/>
      </c>
      <c r="I102" s="37" t="str">
        <f>IFERROR(LOOKUP(2,1/((HISTORIAL!$O$3:$O$100=D102&amp;"|"&amp;E102)*(HISTORIAL!$F$3:$F$100&lt;&gt;"")),HISTORIAL!$H$3:$H$100),"")</f>
        <v/>
      </c>
      <c r="J102" s="37" t="str">
        <f>IFERROR(LOOKUP(2,1/((HISTORIAL!$O$3:$O$100=D102&amp;"|"&amp;E102)*(HISTORIAL!$F$3:$F$100&lt;&gt;"")),HISTORIAL!$I$3:$I$100),"")</f>
        <v/>
      </c>
      <c r="K102" s="58" t="str">
        <f>IFERROR(IF(OR(G102="",N102="SIN"),"--",IF(N102="SUBIR_F",IF(F102="polea",IFERROR(INDEX(CONFIG!$B$25:$B$40,MATCH(G102,CONFIG!$B$25:$B$40,0)+2),IFERROR(INDEX(CONFIG!$B$25:$B$40,MATCH(G102,CONFIG!$B$25:$B$40,0)+1),G102)),G102+5),IF(OR(N102="SUBIR",N102="SUBIR_E"),IF(F102="polea",IFERROR(INDEX(CONFIG!$B$25:$B$40,MATCH(G102,CONFIG!$B$25:$B$40,0)+1),G102),G102+2.5),IF(N102="BAJAR",IF(F102="polea",IFERROR(INDEX(CONFIG!$B$25:$B$40,MAX(1,MATCH(G102,CONFIG!$B$25:$B$40,0)-1)),G102),MAX(0,G102-2.5)),G102)))),"--")</f>
        <v>--</v>
      </c>
      <c r="L102" s="59" t="str">
        <f>IFERROR(IF(N102="SIN","--",IF(N102="MANT",IF(H102="","--",H102+1),IFERROR(VLOOKUP(CONFIG!$E$2,CONFIG!$A$6:$E$8,2,0),"--"))),"--")</f>
        <v>--</v>
      </c>
      <c r="M102" s="59" t="str">
        <f>IFERROR(IF(N102="SIN","--",IF(CONFIG!$E$2="HIP",2,IF(CONFIG!$E$2="FUE",1,2))),"--")</f>
        <v>--</v>
      </c>
      <c r="N102" s="53" t="str">
        <f>IFERROR(IF(G102="","SIN",IF(O102=1,"SUBIR_E",IF(H102&lt;IFERROR(VLOOKUP(CONFIG!$E$2,CONFIG!$A$6:$E$8,2,0),6),"BAJAR",IF(H102+I102&gt;=IFERROR(VLOOKUP(CONFIG!$E$2,CONFIG!$A$6:$E$8,3,0),12),"SUBIR_F",IF(AND(H102&gt;=IFERROR(VLOOKUP(CONFIG!$E$2,CONFIG!$A$6:$E$8,2,0),6)+2,I102&gt;=2),"SUBIR",IF(I102&gt;IFERROR(VLOOKUP(CONFIG!$E$2,CONFIG!$A$6:$E$8,5,0),3),"SUBIR","MANT")))))),"SIN")</f>
        <v>SIN</v>
      </c>
      <c r="O102" s="55">
        <f>IF(COUNTIFS(HISTORIAL!$O$3:$O$100,D102&amp;"|"&amp;E102,HISTORIAL!$F$3:$F$100,"&gt;0")&lt;2,0,IF(COUNTIFS(HISTORIAL!$O$3:$O$100,D102&amp;"|"&amp;E102,HISTORIAL!$F$3:$F$100,IFERROR(LOOKUP(2,1/((HISTORIAL!$O$3:$O$100=D102&amp;"|"&amp;E102)*(HISTORIAL!$F$3:$F$100&gt;0)),HISTORIAL!$F$3:$F$100),0))&gt;=2,IF(IFERROR(LOOKUP(2,1/((HISTORIAL!$O$3:$O$100=D102&amp;"|"&amp;E102)*(HISTORIAL!$F$3:$F$100&gt;0)),HISTORIAL!$G$3:$G$100),0)&gt;0,IF(F102&gt;0,IF(G102&lt;=IFERROR(LOOKUP(2,1/((HISTORIAL!$O$3:$O$100=D102&amp;"|"&amp;E102)*(HISTORIAL!$F$3:$F$100&gt;0)),HISTORIAL!$G$3:$G$100),0),1,0),0),0),0))</f>
        <v>0</v>
      </c>
    </row>
    <row r="103" spans="1:15" ht="14.1" customHeight="1">
      <c r="A103" s="37">
        <v>2</v>
      </c>
      <c r="B103" s="37" t="s">
        <v>279</v>
      </c>
      <c r="C103" s="37">
        <v>15</v>
      </c>
      <c r="D103" s="56" t="str">
        <f>MIERCOLES!$A$52</f>
        <v>Elevacion Piernas</v>
      </c>
      <c r="E103" s="57" t="str">
        <f>MIERCOLES!$B$52</f>
        <v>Colgado</v>
      </c>
      <c r="F103" s="37" t="str">
        <f>MIERCOLES!$C$52</f>
        <v>peso_corporal</v>
      </c>
      <c r="G103" s="37" t="str">
        <f>IFERROR(LOOKUP(2,1/((HISTORIAL!$O$3:$O$101=D103&amp;"|"&amp;E103)*(HISTORIAL!$F$3:$F$101&lt;&gt;"")),HISTORIAL!$F$3:$F$101),"")</f>
        <v/>
      </c>
      <c r="H103" s="37" t="str">
        <f>IFERROR(LOOKUP(2,1/((HISTORIAL!$O$3:$O$101=D103&amp;"|"&amp;E103)*(HISTORIAL!$F$3:$F$101&lt;&gt;"")),HISTORIAL!$G$3:$G$101),"")</f>
        <v/>
      </c>
      <c r="I103" s="37" t="str">
        <f>IFERROR(LOOKUP(2,1/((HISTORIAL!$O$3:$O$101=D103&amp;"|"&amp;E103)*(HISTORIAL!$F$3:$F$101&lt;&gt;"")),HISTORIAL!$H$3:$H$101),"")</f>
        <v/>
      </c>
      <c r="J103" s="37" t="str">
        <f>IFERROR(LOOKUP(2,1/((HISTORIAL!$O$3:$O$101=D103&amp;"|"&amp;E103)*(HISTORIAL!$F$3:$F$101&lt;&gt;"")),HISTORIAL!$I$3:$I$101),"")</f>
        <v/>
      </c>
      <c r="K103" s="58" t="str">
        <f>IFERROR(IF(OR(G103="",N103="SIN"),"--",IF(N103="SUBIR_F",IF(F103="polea",IFERROR(INDEX(CONFIG!$B$25:$B$40,MATCH(G103,CONFIG!$B$25:$B$40,0)+2),IFERROR(INDEX(CONFIG!$B$25:$B$40,MATCH(G103,CONFIG!$B$25:$B$40,0)+1),G103)),G103+5),IF(OR(N103="SUBIR",N103="SUBIR_E"),IF(F103="polea",IFERROR(INDEX(CONFIG!$B$25:$B$40,MATCH(G103,CONFIG!$B$25:$B$40,0)+1),G103),G103+2.5),IF(N103="BAJAR",IF(F103="polea",IFERROR(INDEX(CONFIG!$B$25:$B$40,MAX(1,MATCH(G103,CONFIG!$B$25:$B$40,0)-1)),G103),MAX(0,G103-2.5)),G103)))),"--")</f>
        <v>--</v>
      </c>
      <c r="L103" s="59" t="str">
        <f>IFERROR(IF(N103="SIN","--",IF(N103="MANT",IF(H103="","--",H103+1),IFERROR(VLOOKUP(CONFIG!$E$2,CONFIG!$A$6:$E$8,2,0),"--"))),"--")</f>
        <v>--</v>
      </c>
      <c r="M103" s="59" t="str">
        <f>IFERROR(IF(N103="SIN","--",IF(CONFIG!$E$2="HIP",2,IF(CONFIG!$E$2="FUE",1,2))),"--")</f>
        <v>--</v>
      </c>
      <c r="N103" s="53" t="str">
        <f>IFERROR(IF(G103="","SIN",IF(O103=1,"SUBIR_E",IF(H103&lt;IFERROR(VLOOKUP(CONFIG!$E$2,CONFIG!$A$6:$E$8,2,0),6),"BAJAR",IF(H103+I103&gt;=IFERROR(VLOOKUP(CONFIG!$E$2,CONFIG!$A$6:$E$8,3,0),12),"SUBIR_F",IF(AND(H103&gt;=IFERROR(VLOOKUP(CONFIG!$E$2,CONFIG!$A$6:$E$8,2,0),6)+2,I103&gt;=2),"SUBIR",IF(I103&gt;IFERROR(VLOOKUP(CONFIG!$E$2,CONFIG!$A$6:$E$8,5,0),3),"SUBIR","MANT")))))),"SIN")</f>
        <v>SIN</v>
      </c>
      <c r="O103" s="55">
        <f>IF(COUNTIFS(HISTORIAL!$O$3:$O$101,D103&amp;"|"&amp;E103,HISTORIAL!$F$3:$F$101,"&gt;0")&lt;2,0,IF(COUNTIFS(HISTORIAL!$O$3:$O$101,D103&amp;"|"&amp;E103,HISTORIAL!$F$3:$F$101,IFERROR(LOOKUP(2,1/((HISTORIAL!$O$3:$O$101=D103&amp;"|"&amp;E103)*(HISTORIAL!$F$3:$F$101&gt;0)),HISTORIAL!$F$3:$F$101),0))&gt;=2,IF(IFERROR(LOOKUP(2,1/((HISTORIAL!$O$3:$O$101=D103&amp;"|"&amp;E103)*(HISTORIAL!$F$3:$F$101&gt;0)),HISTORIAL!$G$3:$G$101),0)&gt;0,IF(F103&gt;0,IF(G103&lt;=IFERROR(LOOKUP(2,1/((HISTORIAL!$O$3:$O$101=D103&amp;"|"&amp;E103)*(HISTORIAL!$F$3:$F$101&gt;0)),HISTORIAL!$G$3:$G$101),0),1,0),0),0),0))</f>
        <v>0</v>
      </c>
    </row>
    <row r="104" spans="1:15" ht="14.1" customHeight="1">
      <c r="A104" s="37">
        <v>2</v>
      </c>
      <c r="B104" s="37" t="s">
        <v>280</v>
      </c>
      <c r="C104" s="37">
        <v>1</v>
      </c>
      <c r="D104" s="56" t="str">
        <f>JUEVES!$A$37</f>
        <v>Press Militar</v>
      </c>
      <c r="E104" s="57" t="str">
        <f>JUEVES!$B$37</f>
        <v>Multipower</v>
      </c>
      <c r="F104" s="37" t="str">
        <f>JUEVES!$C$37</f>
        <v>--</v>
      </c>
      <c r="G104" s="37" t="str">
        <f>IFERROR(LOOKUP(2,1/((HISTORIAL!$O$3:$O$102=D104&amp;"|"&amp;E104)*(HISTORIAL!$F$3:$F$102&lt;&gt;"")),HISTORIAL!$F$3:$F$102),"")</f>
        <v/>
      </c>
      <c r="H104" s="37" t="str">
        <f>IFERROR(LOOKUP(2,1/((HISTORIAL!$O$3:$O$102=D104&amp;"|"&amp;E104)*(HISTORIAL!$F$3:$F$102&lt;&gt;"")),HISTORIAL!$G$3:$G$102),"")</f>
        <v/>
      </c>
      <c r="I104" s="37" t="str">
        <f>IFERROR(LOOKUP(2,1/((HISTORIAL!$O$3:$O$102=D104&amp;"|"&amp;E104)*(HISTORIAL!$F$3:$F$102&lt;&gt;"")),HISTORIAL!$H$3:$H$102),"")</f>
        <v/>
      </c>
      <c r="J104" s="37" t="str">
        <f>IFERROR(LOOKUP(2,1/((HISTORIAL!$O$3:$O$102=D104&amp;"|"&amp;E104)*(HISTORIAL!$F$3:$F$102&lt;&gt;"")),HISTORIAL!$I$3:$I$102),"")</f>
        <v/>
      </c>
      <c r="K104" s="58" t="str">
        <f>IFERROR(IF(OR(G104="",N104="SIN"),"--",IF(N104="SUBIR_F",IF(F104="polea",IFERROR(INDEX(CONFIG!$B$25:$B$40,MATCH(G104,CONFIG!$B$25:$B$40,0)+2),IFERROR(INDEX(CONFIG!$B$25:$B$40,MATCH(G104,CONFIG!$B$25:$B$40,0)+1),G104)),G104+5),IF(OR(N104="SUBIR",N104="SUBIR_E"),IF(F104="polea",IFERROR(INDEX(CONFIG!$B$25:$B$40,MATCH(G104,CONFIG!$B$25:$B$40,0)+1),G104),G104+2.5),IF(N104="BAJAR",IF(F104="polea",IFERROR(INDEX(CONFIG!$B$25:$B$40,MAX(1,MATCH(G104,CONFIG!$B$25:$B$40,0)-1)),G104),MAX(0,G104-2.5)),G104)))),"--")</f>
        <v>--</v>
      </c>
      <c r="L104" s="59" t="str">
        <f>IFERROR(IF(N104="SIN","--",IF(N104="MANT",IF(H104="","--",H104+1),IFERROR(VLOOKUP(CONFIG!$E$2,CONFIG!$A$6:$E$8,2,0),"--"))),"--")</f>
        <v>--</v>
      </c>
      <c r="M104" s="59" t="str">
        <f>IFERROR(IF(N104="SIN","--",IF(CONFIG!$E$2="HIP",2,IF(CONFIG!$E$2="FUE",1,2))),"--")</f>
        <v>--</v>
      </c>
      <c r="N104" s="53" t="str">
        <f>IFERROR(IF(G104="","SIN",IF(O104=1,"SUBIR_E",IF(H104&lt;IFERROR(VLOOKUP(CONFIG!$E$2,CONFIG!$A$6:$E$8,2,0),6),"BAJAR",IF(H104+I104&gt;=IFERROR(VLOOKUP(CONFIG!$E$2,CONFIG!$A$6:$E$8,3,0),12),"SUBIR_F",IF(AND(H104&gt;=IFERROR(VLOOKUP(CONFIG!$E$2,CONFIG!$A$6:$E$8,2,0),6)+2,I104&gt;=2),"SUBIR",IF(I104&gt;IFERROR(VLOOKUP(CONFIG!$E$2,CONFIG!$A$6:$E$8,5,0),3),"SUBIR","MANT")))))),"SIN")</f>
        <v>SIN</v>
      </c>
      <c r="O104" s="55">
        <f>IF(COUNTIFS(HISTORIAL!$O$3:$O$102,D104&amp;"|"&amp;E104,HISTORIAL!$F$3:$F$102,"&gt;0")&lt;2,0,IF(COUNTIFS(HISTORIAL!$O$3:$O$102,D104&amp;"|"&amp;E104,HISTORIAL!$F$3:$F$102,IFERROR(LOOKUP(2,1/((HISTORIAL!$O$3:$O$102=D104&amp;"|"&amp;E104)*(HISTORIAL!$F$3:$F$102&gt;0)),HISTORIAL!$F$3:$F$102),0))&gt;=2,IF(IFERROR(LOOKUP(2,1/((HISTORIAL!$O$3:$O$102=D104&amp;"|"&amp;E104)*(HISTORIAL!$F$3:$F$102&gt;0)),HISTORIAL!$G$3:$G$102),0)&gt;0,IF(F104&gt;0,IF(G104&lt;=IFERROR(LOOKUP(2,1/((HISTORIAL!$O$3:$O$102=D104&amp;"|"&amp;E104)*(HISTORIAL!$F$3:$F$102&gt;0)),HISTORIAL!$G$3:$G$102),0),1,0),0),0),0))</f>
        <v>0</v>
      </c>
    </row>
    <row r="105" spans="1:15" ht="14.1" customHeight="1">
      <c r="A105" s="37">
        <v>2</v>
      </c>
      <c r="B105" s="37" t="s">
        <v>280</v>
      </c>
      <c r="C105" s="37">
        <v>2</v>
      </c>
      <c r="D105" s="56" t="str">
        <f>JUEVES!$A$38</f>
        <v>Elevaciones Laterales</v>
      </c>
      <c r="E105" s="57" t="str">
        <f>JUEVES!$B$38</f>
        <v>Drop Set Maquina</v>
      </c>
      <c r="F105" s="37" t="str">
        <f>JUEVES!$C$38</f>
        <v>--</v>
      </c>
      <c r="G105" s="37" t="str">
        <f>IFERROR(LOOKUP(2,1/((HISTORIAL!$O$3:$O$103=D105&amp;"|"&amp;E105)*(HISTORIAL!$F$3:$F$103&lt;&gt;"")),HISTORIAL!$F$3:$F$103),"")</f>
        <v/>
      </c>
      <c r="H105" s="37" t="str">
        <f>IFERROR(LOOKUP(2,1/((HISTORIAL!$O$3:$O$103=D105&amp;"|"&amp;E105)*(HISTORIAL!$F$3:$F$103&lt;&gt;"")),HISTORIAL!$G$3:$G$103),"")</f>
        <v/>
      </c>
      <c r="I105" s="37" t="str">
        <f>IFERROR(LOOKUP(2,1/((HISTORIAL!$O$3:$O$103=D105&amp;"|"&amp;E105)*(HISTORIAL!$F$3:$F$103&lt;&gt;"")),HISTORIAL!$H$3:$H$103),"")</f>
        <v/>
      </c>
      <c r="J105" s="37" t="str">
        <f>IFERROR(LOOKUP(2,1/((HISTORIAL!$O$3:$O$103=D105&amp;"|"&amp;E105)*(HISTORIAL!$F$3:$F$103&lt;&gt;"")),HISTORIAL!$I$3:$I$103),"")</f>
        <v/>
      </c>
      <c r="K105" s="58" t="str">
        <f>IFERROR(IF(OR(G105="",N105="SIN"),"--",IF(N105="SUBIR_F",IF(F105="polea",IFERROR(INDEX(CONFIG!$B$25:$B$40,MATCH(G105,CONFIG!$B$25:$B$40,0)+2),IFERROR(INDEX(CONFIG!$B$25:$B$40,MATCH(G105,CONFIG!$B$25:$B$40,0)+1),G105)),G105+5),IF(OR(N105="SUBIR",N105="SUBIR_E"),IF(F105="polea",IFERROR(INDEX(CONFIG!$B$25:$B$40,MATCH(G105,CONFIG!$B$25:$B$40,0)+1),G105),G105+2.5),IF(N105="BAJAR",IF(F105="polea",IFERROR(INDEX(CONFIG!$B$25:$B$40,MAX(1,MATCH(G105,CONFIG!$B$25:$B$40,0)-1)),G105),MAX(0,G105-2.5)),G105)))),"--")</f>
        <v>--</v>
      </c>
      <c r="L105" s="59" t="str">
        <f>IFERROR(IF(N105="SIN","--",IF(N105="MANT",IF(H105="","--",H105+1),IFERROR(VLOOKUP(CONFIG!$E$2,CONFIG!$A$6:$E$8,2,0),"--"))),"--")</f>
        <v>--</v>
      </c>
      <c r="M105" s="59" t="str">
        <f>IFERROR(IF(N105="SIN","--",IF(CONFIG!$E$2="HIP",2,IF(CONFIG!$E$2="FUE",1,2))),"--")</f>
        <v>--</v>
      </c>
      <c r="N105" s="53" t="str">
        <f>IFERROR(IF(G105="","SIN",IF(O105=1,"SUBIR_E",IF(H105&lt;IFERROR(VLOOKUP(CONFIG!$E$2,CONFIG!$A$6:$E$8,2,0),6),"BAJAR",IF(H105+I105&gt;=IFERROR(VLOOKUP(CONFIG!$E$2,CONFIG!$A$6:$E$8,3,0),12),"SUBIR_F",IF(AND(H105&gt;=IFERROR(VLOOKUP(CONFIG!$E$2,CONFIG!$A$6:$E$8,2,0),6)+2,I105&gt;=2),"SUBIR",IF(I105&gt;IFERROR(VLOOKUP(CONFIG!$E$2,CONFIG!$A$6:$E$8,5,0),3),"SUBIR","MANT")))))),"SIN")</f>
        <v>SIN</v>
      </c>
      <c r="O105" s="55">
        <f>IF(COUNTIFS(HISTORIAL!$O$3:$O$103,D105&amp;"|"&amp;E105,HISTORIAL!$F$3:$F$103,"&gt;0")&lt;2,0,IF(COUNTIFS(HISTORIAL!$O$3:$O$103,D105&amp;"|"&amp;E105,HISTORIAL!$F$3:$F$103,IFERROR(LOOKUP(2,1/((HISTORIAL!$O$3:$O$103=D105&amp;"|"&amp;E105)*(HISTORIAL!$F$3:$F$103&gt;0)),HISTORIAL!$F$3:$F$103),0))&gt;=2,IF(IFERROR(LOOKUP(2,1/((HISTORIAL!$O$3:$O$103=D105&amp;"|"&amp;E105)*(HISTORIAL!$F$3:$F$103&gt;0)),HISTORIAL!$G$3:$G$103),0)&gt;0,IF(F105&gt;0,IF(G105&lt;=IFERROR(LOOKUP(2,1/((HISTORIAL!$O$3:$O$103=D105&amp;"|"&amp;E105)*(HISTORIAL!$F$3:$F$103&gt;0)),HISTORIAL!$G$3:$G$103),0),1,0),0),0),0))</f>
        <v>0</v>
      </c>
    </row>
    <row r="106" spans="1:15" ht="14.1" customHeight="1">
      <c r="A106" s="37">
        <v>2</v>
      </c>
      <c r="B106" s="37" t="s">
        <v>280</v>
      </c>
      <c r="C106" s="37">
        <v>3</v>
      </c>
      <c r="D106" s="56" t="str">
        <f>JUEVES!$A$40</f>
        <v>Pajaro</v>
      </c>
      <c r="E106" s="57" t="str">
        <f>JUEVES!$B$40</f>
        <v>Elevacion Posterior</v>
      </c>
      <c r="F106" s="37" t="str">
        <f>JUEVES!$C$40</f>
        <v>mancuerna</v>
      </c>
      <c r="G106" s="37" t="str">
        <f>IFERROR(LOOKUP(2,1/((HISTORIAL!$O$3:$O$104=D106&amp;"|"&amp;E106)*(HISTORIAL!$F$3:$F$104&lt;&gt;"")),HISTORIAL!$F$3:$F$104),"")</f>
        <v/>
      </c>
      <c r="H106" s="37" t="str">
        <f>IFERROR(LOOKUP(2,1/((HISTORIAL!$O$3:$O$104=D106&amp;"|"&amp;E106)*(HISTORIAL!$F$3:$F$104&lt;&gt;"")),HISTORIAL!$G$3:$G$104),"")</f>
        <v/>
      </c>
      <c r="I106" s="37" t="str">
        <f>IFERROR(LOOKUP(2,1/((HISTORIAL!$O$3:$O$104=D106&amp;"|"&amp;E106)*(HISTORIAL!$F$3:$F$104&lt;&gt;"")),HISTORIAL!$H$3:$H$104),"")</f>
        <v/>
      </c>
      <c r="J106" s="37" t="str">
        <f>IFERROR(LOOKUP(2,1/((HISTORIAL!$O$3:$O$104=D106&amp;"|"&amp;E106)*(HISTORIAL!$F$3:$F$104&lt;&gt;"")),HISTORIAL!$I$3:$I$104),"")</f>
        <v/>
      </c>
      <c r="K106" s="58" t="str">
        <f>IFERROR(IF(OR(G106="",N106="SIN"),"--",IF(N106="SUBIR_F",IF(F106="polea",IFERROR(INDEX(CONFIG!$B$25:$B$40,MATCH(G106,CONFIG!$B$25:$B$40,0)+2),IFERROR(INDEX(CONFIG!$B$25:$B$40,MATCH(G106,CONFIG!$B$25:$B$40,0)+1),G106)),G106+5),IF(OR(N106="SUBIR",N106="SUBIR_E"),IF(F106="polea",IFERROR(INDEX(CONFIG!$B$25:$B$40,MATCH(G106,CONFIG!$B$25:$B$40,0)+1),G106),G106+2.5),IF(N106="BAJAR",IF(F106="polea",IFERROR(INDEX(CONFIG!$B$25:$B$40,MAX(1,MATCH(G106,CONFIG!$B$25:$B$40,0)-1)),G106),MAX(0,G106-2.5)),G106)))),"--")</f>
        <v>--</v>
      </c>
      <c r="L106" s="59" t="str">
        <f>IFERROR(IF(N106="SIN","--",IF(N106="MANT",IF(H106="","--",H106+1),IFERROR(VLOOKUP(CONFIG!$E$2,CONFIG!$A$6:$E$8,2,0),"--"))),"--")</f>
        <v>--</v>
      </c>
      <c r="M106" s="59" t="str">
        <f>IFERROR(IF(N106="SIN","--",IF(CONFIG!$E$2="HIP",2,IF(CONFIG!$E$2="FUE",1,2))),"--")</f>
        <v>--</v>
      </c>
      <c r="N106" s="53" t="str">
        <f>IFERROR(IF(G106="","SIN",IF(O106=1,"SUBIR_E",IF(H106&lt;IFERROR(VLOOKUP(CONFIG!$E$2,CONFIG!$A$6:$E$8,2,0),6),"BAJAR",IF(H106+I106&gt;=IFERROR(VLOOKUP(CONFIG!$E$2,CONFIG!$A$6:$E$8,3,0),12),"SUBIR_F",IF(AND(H106&gt;=IFERROR(VLOOKUP(CONFIG!$E$2,CONFIG!$A$6:$E$8,2,0),6)+2,I106&gt;=2),"SUBIR",IF(I106&gt;IFERROR(VLOOKUP(CONFIG!$E$2,CONFIG!$A$6:$E$8,5,0),3),"SUBIR","MANT")))))),"SIN")</f>
        <v>SIN</v>
      </c>
      <c r="O106" s="55">
        <f>IF(COUNTIFS(HISTORIAL!$O$3:$O$104,D106&amp;"|"&amp;E106,HISTORIAL!$F$3:$F$104,"&gt;0")&lt;2,0,IF(COUNTIFS(HISTORIAL!$O$3:$O$104,D106&amp;"|"&amp;E106,HISTORIAL!$F$3:$F$104,IFERROR(LOOKUP(2,1/((HISTORIAL!$O$3:$O$104=D106&amp;"|"&amp;E106)*(HISTORIAL!$F$3:$F$104&gt;0)),HISTORIAL!$F$3:$F$104),0))&gt;=2,IF(IFERROR(LOOKUP(2,1/((HISTORIAL!$O$3:$O$104=D106&amp;"|"&amp;E106)*(HISTORIAL!$F$3:$F$104&gt;0)),HISTORIAL!$G$3:$G$104),0)&gt;0,IF(F106&gt;0,IF(G106&lt;=IFERROR(LOOKUP(2,1/((HISTORIAL!$O$3:$O$104=D106&amp;"|"&amp;E106)*(HISTORIAL!$F$3:$F$104&gt;0)),HISTORIAL!$G$3:$G$104),0),1,0),0),0),0))</f>
        <v>0</v>
      </c>
    </row>
    <row r="107" spans="1:15" ht="14.1" customHeight="1">
      <c r="A107" s="37">
        <v>2</v>
      </c>
      <c r="B107" s="37" t="s">
        <v>280</v>
      </c>
      <c r="C107" s="37">
        <v>4</v>
      </c>
      <c r="D107" s="56" t="str">
        <f>JUEVES!$A$41</f>
        <v>Peck Deck Invertida</v>
      </c>
      <c r="E107" s="57" t="str">
        <f>JUEVES!$B$41</f>
        <v>Maquina</v>
      </c>
      <c r="F107" s="37" t="str">
        <f>JUEVES!$C$41</f>
        <v>polea</v>
      </c>
      <c r="G107" s="37" t="str">
        <f>IFERROR(LOOKUP(2,1/((HISTORIAL!$O$3:$O$105=D107&amp;"|"&amp;E107)*(HISTORIAL!$F$3:$F$105&lt;&gt;"")),HISTORIAL!$F$3:$F$105),"")</f>
        <v/>
      </c>
      <c r="H107" s="37" t="str">
        <f>IFERROR(LOOKUP(2,1/((HISTORIAL!$O$3:$O$105=D107&amp;"|"&amp;E107)*(HISTORIAL!$F$3:$F$105&lt;&gt;"")),HISTORIAL!$G$3:$G$105),"")</f>
        <v/>
      </c>
      <c r="I107" s="37" t="str">
        <f>IFERROR(LOOKUP(2,1/((HISTORIAL!$O$3:$O$105=D107&amp;"|"&amp;E107)*(HISTORIAL!$F$3:$F$105&lt;&gt;"")),HISTORIAL!$H$3:$H$105),"")</f>
        <v/>
      </c>
      <c r="J107" s="37" t="str">
        <f>IFERROR(LOOKUP(2,1/((HISTORIAL!$O$3:$O$105=D107&amp;"|"&amp;E107)*(HISTORIAL!$F$3:$F$105&lt;&gt;"")),HISTORIAL!$I$3:$I$105),"")</f>
        <v/>
      </c>
      <c r="K107" s="58" t="str">
        <f>IFERROR(IF(OR(G107="",N107="SIN"),"--",IF(N107="SUBIR_F",IF(F107="polea",IFERROR(INDEX(CONFIG!$B$25:$B$40,MATCH(G107,CONFIG!$B$25:$B$40,0)+2),IFERROR(INDEX(CONFIG!$B$25:$B$40,MATCH(G107,CONFIG!$B$25:$B$40,0)+1),G107)),G107+5),IF(OR(N107="SUBIR",N107="SUBIR_E"),IF(F107="polea",IFERROR(INDEX(CONFIG!$B$25:$B$40,MATCH(G107,CONFIG!$B$25:$B$40,0)+1),G107),G107+2.5),IF(N107="BAJAR",IF(F107="polea",IFERROR(INDEX(CONFIG!$B$25:$B$40,MAX(1,MATCH(G107,CONFIG!$B$25:$B$40,0)-1)),G107),MAX(0,G107-2.5)),G107)))),"--")</f>
        <v>--</v>
      </c>
      <c r="L107" s="59" t="str">
        <f>IFERROR(IF(N107="SIN","--",IF(N107="MANT",IF(H107="","--",H107+1),IFERROR(VLOOKUP(CONFIG!$E$2,CONFIG!$A$6:$E$8,2,0),"--"))),"--")</f>
        <v>--</v>
      </c>
      <c r="M107" s="59" t="str">
        <f>IFERROR(IF(N107="SIN","--",IF(CONFIG!$E$2="HIP",2,IF(CONFIG!$E$2="FUE",1,2))),"--")</f>
        <v>--</v>
      </c>
      <c r="N107" s="53" t="str">
        <f>IFERROR(IF(G107="","SIN",IF(O107=1,"SUBIR_E",IF(H107&lt;IFERROR(VLOOKUP(CONFIG!$E$2,CONFIG!$A$6:$E$8,2,0),6),"BAJAR",IF(H107+I107&gt;=IFERROR(VLOOKUP(CONFIG!$E$2,CONFIG!$A$6:$E$8,3,0),12),"SUBIR_F",IF(AND(H107&gt;=IFERROR(VLOOKUP(CONFIG!$E$2,CONFIG!$A$6:$E$8,2,0),6)+2,I107&gt;=2),"SUBIR",IF(I107&gt;IFERROR(VLOOKUP(CONFIG!$E$2,CONFIG!$A$6:$E$8,5,0),3),"SUBIR","MANT")))))),"SIN")</f>
        <v>SIN</v>
      </c>
      <c r="O107" s="55">
        <f>IF(COUNTIFS(HISTORIAL!$O$3:$O$105,D107&amp;"|"&amp;E107,HISTORIAL!$F$3:$F$105,"&gt;0")&lt;2,0,IF(COUNTIFS(HISTORIAL!$O$3:$O$105,D107&amp;"|"&amp;E107,HISTORIAL!$F$3:$F$105,IFERROR(LOOKUP(2,1/((HISTORIAL!$O$3:$O$105=D107&amp;"|"&amp;E107)*(HISTORIAL!$F$3:$F$105&gt;0)),HISTORIAL!$F$3:$F$105),0))&gt;=2,IF(IFERROR(LOOKUP(2,1/((HISTORIAL!$O$3:$O$105=D107&amp;"|"&amp;E107)*(HISTORIAL!$F$3:$F$105&gt;0)),HISTORIAL!$G$3:$G$105),0)&gt;0,IF(F107&gt;0,IF(G107&lt;=IFERROR(LOOKUP(2,1/((HISTORIAL!$O$3:$O$105=D107&amp;"|"&amp;E107)*(HISTORIAL!$F$3:$F$105&gt;0)),HISTORIAL!$G$3:$G$105),0),1,0),0),0),0))</f>
        <v>0</v>
      </c>
    </row>
    <row r="108" spans="1:15" ht="14.1" customHeight="1">
      <c r="A108" s="37">
        <v>2</v>
      </c>
      <c r="B108" s="37" t="s">
        <v>280</v>
      </c>
      <c r="C108" s="37">
        <v>5</v>
      </c>
      <c r="D108" s="56" t="str">
        <f>JUEVES!$A$42</f>
        <v>Elevaciones Posteriores</v>
      </c>
      <c r="E108" s="57" t="str">
        <f>JUEVES!$B$42</f>
        <v>Polea Individual</v>
      </c>
      <c r="F108" s="37" t="str">
        <f>JUEVES!$C$42</f>
        <v>polea</v>
      </c>
      <c r="G108" s="37" t="str">
        <f>IFERROR(LOOKUP(2,1/((HISTORIAL!$O$3:$O$106=D108&amp;"|"&amp;E108)*(HISTORIAL!$F$3:$F$106&lt;&gt;"")),HISTORIAL!$F$3:$F$106),"")</f>
        <v/>
      </c>
      <c r="H108" s="37" t="str">
        <f>IFERROR(LOOKUP(2,1/((HISTORIAL!$O$3:$O$106=D108&amp;"|"&amp;E108)*(HISTORIAL!$F$3:$F$106&lt;&gt;"")),HISTORIAL!$G$3:$G$106),"")</f>
        <v/>
      </c>
      <c r="I108" s="37" t="str">
        <f>IFERROR(LOOKUP(2,1/((HISTORIAL!$O$3:$O$106=D108&amp;"|"&amp;E108)*(HISTORIAL!$F$3:$F$106&lt;&gt;"")),HISTORIAL!$H$3:$H$106),"")</f>
        <v/>
      </c>
      <c r="J108" s="37" t="str">
        <f>IFERROR(LOOKUP(2,1/((HISTORIAL!$O$3:$O$106=D108&amp;"|"&amp;E108)*(HISTORIAL!$F$3:$F$106&lt;&gt;"")),HISTORIAL!$I$3:$I$106),"")</f>
        <v/>
      </c>
      <c r="K108" s="58" t="str">
        <f>IFERROR(IF(OR(G108="",N108="SIN"),"--",IF(N108="SUBIR_F",IF(F108="polea",IFERROR(INDEX(CONFIG!$B$25:$B$40,MATCH(G108,CONFIG!$B$25:$B$40,0)+2),IFERROR(INDEX(CONFIG!$B$25:$B$40,MATCH(G108,CONFIG!$B$25:$B$40,0)+1),G108)),G108+5),IF(OR(N108="SUBIR",N108="SUBIR_E"),IF(F108="polea",IFERROR(INDEX(CONFIG!$B$25:$B$40,MATCH(G108,CONFIG!$B$25:$B$40,0)+1),G108),G108+2.5),IF(N108="BAJAR",IF(F108="polea",IFERROR(INDEX(CONFIG!$B$25:$B$40,MAX(1,MATCH(G108,CONFIG!$B$25:$B$40,0)-1)),G108),MAX(0,G108-2.5)),G108)))),"--")</f>
        <v>--</v>
      </c>
      <c r="L108" s="59" t="str">
        <f>IFERROR(IF(N108="SIN","--",IF(N108="MANT",IF(H108="","--",H108+1),IFERROR(VLOOKUP(CONFIG!$E$2,CONFIG!$A$6:$E$8,2,0),"--"))),"--")</f>
        <v>--</v>
      </c>
      <c r="M108" s="59" t="str">
        <f>IFERROR(IF(N108="SIN","--",IF(CONFIG!$E$2="HIP",2,IF(CONFIG!$E$2="FUE",1,2))),"--")</f>
        <v>--</v>
      </c>
      <c r="N108" s="53" t="str">
        <f>IFERROR(IF(G108="","SIN",IF(O108=1,"SUBIR_E",IF(H108&lt;IFERROR(VLOOKUP(CONFIG!$E$2,CONFIG!$A$6:$E$8,2,0),6),"BAJAR",IF(H108+I108&gt;=IFERROR(VLOOKUP(CONFIG!$E$2,CONFIG!$A$6:$E$8,3,0),12),"SUBIR_F",IF(AND(H108&gt;=IFERROR(VLOOKUP(CONFIG!$E$2,CONFIG!$A$6:$E$8,2,0),6)+2,I108&gt;=2),"SUBIR",IF(I108&gt;IFERROR(VLOOKUP(CONFIG!$E$2,CONFIG!$A$6:$E$8,5,0),3),"SUBIR","MANT")))))),"SIN")</f>
        <v>SIN</v>
      </c>
      <c r="O108" s="55">
        <f>IF(COUNTIFS(HISTORIAL!$O$3:$O$106,D108&amp;"|"&amp;E108,HISTORIAL!$F$3:$F$106,"&gt;0")&lt;2,0,IF(COUNTIFS(HISTORIAL!$O$3:$O$106,D108&amp;"|"&amp;E108,HISTORIAL!$F$3:$F$106,IFERROR(LOOKUP(2,1/((HISTORIAL!$O$3:$O$106=D108&amp;"|"&amp;E108)*(HISTORIAL!$F$3:$F$106&gt;0)),HISTORIAL!$F$3:$F$106),0))&gt;=2,IF(IFERROR(LOOKUP(2,1/((HISTORIAL!$O$3:$O$106=D108&amp;"|"&amp;E108)*(HISTORIAL!$F$3:$F$106&gt;0)),HISTORIAL!$G$3:$G$106),0)&gt;0,IF(F108&gt;0,IF(G108&lt;=IFERROR(LOOKUP(2,1/((HISTORIAL!$O$3:$O$106=D108&amp;"|"&amp;E108)*(HISTORIAL!$F$3:$F$106&gt;0)),HISTORIAL!$G$3:$G$106),0),1,0),0),0),0))</f>
        <v>0</v>
      </c>
    </row>
    <row r="109" spans="1:15" ht="14.1" customHeight="1">
      <c r="A109" s="37">
        <v>2</v>
      </c>
      <c r="B109" s="37" t="s">
        <v>280</v>
      </c>
      <c r="C109" s="37">
        <v>6</v>
      </c>
      <c r="D109" s="56" t="str">
        <f>JUEVES!$A$45</f>
        <v>Press Plano</v>
      </c>
      <c r="E109" s="57" t="str">
        <f>JUEVES!$B$45</f>
        <v>Multipower</v>
      </c>
      <c r="F109" s="37" t="str">
        <f>JUEVES!$C$45</f>
        <v>disco</v>
      </c>
      <c r="G109" s="37" t="str">
        <f>IFERROR(LOOKUP(2,1/((HISTORIAL!$O$3:$O$107=D109&amp;"|"&amp;E109)*(HISTORIAL!$F$3:$F$107&lt;&gt;"")),HISTORIAL!$F$3:$F$107),"")</f>
        <v/>
      </c>
      <c r="H109" s="37" t="str">
        <f>IFERROR(LOOKUP(2,1/((HISTORIAL!$O$3:$O$107=D109&amp;"|"&amp;E109)*(HISTORIAL!$F$3:$F$107&lt;&gt;"")),HISTORIAL!$G$3:$G$107),"")</f>
        <v/>
      </c>
      <c r="I109" s="37" t="str">
        <f>IFERROR(LOOKUP(2,1/((HISTORIAL!$O$3:$O$107=D109&amp;"|"&amp;E109)*(HISTORIAL!$F$3:$F$107&lt;&gt;"")),HISTORIAL!$H$3:$H$107),"")</f>
        <v/>
      </c>
      <c r="J109" s="37" t="str">
        <f>IFERROR(LOOKUP(2,1/((HISTORIAL!$O$3:$O$107=D109&amp;"|"&amp;E109)*(HISTORIAL!$F$3:$F$107&lt;&gt;"")),HISTORIAL!$I$3:$I$107),"")</f>
        <v/>
      </c>
      <c r="K109" s="58" t="str">
        <f>IFERROR(IF(OR(G109="",N109="SIN"),"--",IF(N109="SUBIR_F",IF(F109="polea",IFERROR(INDEX(CONFIG!$B$25:$B$40,MATCH(G109,CONFIG!$B$25:$B$40,0)+2),IFERROR(INDEX(CONFIG!$B$25:$B$40,MATCH(G109,CONFIG!$B$25:$B$40,0)+1),G109)),G109+5),IF(OR(N109="SUBIR",N109="SUBIR_E"),IF(F109="polea",IFERROR(INDEX(CONFIG!$B$25:$B$40,MATCH(G109,CONFIG!$B$25:$B$40,0)+1),G109),G109+2.5),IF(N109="BAJAR",IF(F109="polea",IFERROR(INDEX(CONFIG!$B$25:$B$40,MAX(1,MATCH(G109,CONFIG!$B$25:$B$40,0)-1)),G109),MAX(0,G109-2.5)),G109)))),"--")</f>
        <v>--</v>
      </c>
      <c r="L109" s="59" t="str">
        <f>IFERROR(IF(N109="SIN","--",IF(N109="MANT",IF(H109="","--",H109+1),IFERROR(VLOOKUP(CONFIG!$E$2,CONFIG!$A$6:$E$8,2,0),"--"))),"--")</f>
        <v>--</v>
      </c>
      <c r="M109" s="59" t="str">
        <f>IFERROR(IF(N109="SIN","--",IF(CONFIG!$E$2="HIP",2,IF(CONFIG!$E$2="FUE",1,2))),"--")</f>
        <v>--</v>
      </c>
      <c r="N109" s="53" t="str">
        <f>IFERROR(IF(G109="","SIN",IF(O109=1,"SUBIR_E",IF(H109&lt;IFERROR(VLOOKUP(CONFIG!$E$2,CONFIG!$A$6:$E$8,2,0),6),"BAJAR",IF(H109+I109&gt;=IFERROR(VLOOKUP(CONFIG!$E$2,CONFIG!$A$6:$E$8,3,0),12),"SUBIR_F",IF(AND(H109&gt;=IFERROR(VLOOKUP(CONFIG!$E$2,CONFIG!$A$6:$E$8,2,0),6)+2,I109&gt;=2),"SUBIR",IF(I109&gt;IFERROR(VLOOKUP(CONFIG!$E$2,CONFIG!$A$6:$E$8,5,0),3),"SUBIR","MANT")))))),"SIN")</f>
        <v>SIN</v>
      </c>
      <c r="O109" s="55">
        <f>IF(COUNTIFS(HISTORIAL!$O$3:$O$107,D109&amp;"|"&amp;E109,HISTORIAL!$F$3:$F$107,"&gt;0")&lt;2,0,IF(COUNTIFS(HISTORIAL!$O$3:$O$107,D109&amp;"|"&amp;E109,HISTORIAL!$F$3:$F$107,IFERROR(LOOKUP(2,1/((HISTORIAL!$O$3:$O$107=D109&amp;"|"&amp;E109)*(HISTORIAL!$F$3:$F$107&gt;0)),HISTORIAL!$F$3:$F$107),0))&gt;=2,IF(IFERROR(LOOKUP(2,1/((HISTORIAL!$O$3:$O$107=D109&amp;"|"&amp;E109)*(HISTORIAL!$F$3:$F$107&gt;0)),HISTORIAL!$G$3:$G$107),0)&gt;0,IF(F109&gt;0,IF(G109&lt;=IFERROR(LOOKUP(2,1/((HISTORIAL!$O$3:$O$107=D109&amp;"|"&amp;E109)*(HISTORIAL!$F$3:$F$107&gt;0)),HISTORIAL!$G$3:$G$107),0),1,0),0),0),0))</f>
        <v>0</v>
      </c>
    </row>
    <row r="110" spans="1:15" ht="14.1" customHeight="1">
      <c r="A110" s="37">
        <v>2</v>
      </c>
      <c r="B110" s="37" t="s">
        <v>280</v>
      </c>
      <c r="C110" s="37">
        <v>7</v>
      </c>
      <c r="D110" s="56" t="str">
        <f>JUEVES!$A$47</f>
        <v>Press Inclinado</v>
      </c>
      <c r="E110" s="57" t="str">
        <f>JUEVES!$B$47</f>
        <v>Multipower</v>
      </c>
      <c r="F110" s="37" t="str">
        <f>JUEVES!$C$47</f>
        <v>disco</v>
      </c>
      <c r="G110" s="37" t="str">
        <f>IFERROR(LOOKUP(2,1/((HISTORIAL!$O$3:$O$108=D110&amp;"|"&amp;E110)*(HISTORIAL!$F$3:$F$108&lt;&gt;"")),HISTORIAL!$F$3:$F$108),"")</f>
        <v/>
      </c>
      <c r="H110" s="37" t="str">
        <f>IFERROR(LOOKUP(2,1/((HISTORIAL!$O$3:$O$108=D110&amp;"|"&amp;E110)*(HISTORIAL!$F$3:$F$108&lt;&gt;"")),HISTORIAL!$G$3:$G$108),"")</f>
        <v/>
      </c>
      <c r="I110" s="37" t="str">
        <f>IFERROR(LOOKUP(2,1/((HISTORIAL!$O$3:$O$108=D110&amp;"|"&amp;E110)*(HISTORIAL!$F$3:$F$108&lt;&gt;"")),HISTORIAL!$H$3:$H$108),"")</f>
        <v/>
      </c>
      <c r="J110" s="37" t="str">
        <f>IFERROR(LOOKUP(2,1/((HISTORIAL!$O$3:$O$108=D110&amp;"|"&amp;E110)*(HISTORIAL!$F$3:$F$108&lt;&gt;"")),HISTORIAL!$I$3:$I$108),"")</f>
        <v/>
      </c>
      <c r="K110" s="58" t="str">
        <f>IFERROR(IF(OR(G110="",N110="SIN"),"--",IF(N110="SUBIR_F",IF(F110="polea",IFERROR(INDEX(CONFIG!$B$25:$B$40,MATCH(G110,CONFIG!$B$25:$B$40,0)+2),IFERROR(INDEX(CONFIG!$B$25:$B$40,MATCH(G110,CONFIG!$B$25:$B$40,0)+1),G110)),G110+5),IF(OR(N110="SUBIR",N110="SUBIR_E"),IF(F110="polea",IFERROR(INDEX(CONFIG!$B$25:$B$40,MATCH(G110,CONFIG!$B$25:$B$40,0)+1),G110),G110+2.5),IF(N110="BAJAR",IF(F110="polea",IFERROR(INDEX(CONFIG!$B$25:$B$40,MAX(1,MATCH(G110,CONFIG!$B$25:$B$40,0)-1)),G110),MAX(0,G110-2.5)),G110)))),"--")</f>
        <v>--</v>
      </c>
      <c r="L110" s="59" t="str">
        <f>IFERROR(IF(N110="SIN","--",IF(N110="MANT",IF(H110="","--",H110+1),IFERROR(VLOOKUP(CONFIG!$E$2,CONFIG!$A$6:$E$8,2,0),"--"))),"--")</f>
        <v>--</v>
      </c>
      <c r="M110" s="59" t="str">
        <f>IFERROR(IF(N110="SIN","--",IF(CONFIG!$E$2="HIP",2,IF(CONFIG!$E$2="FUE",1,2))),"--")</f>
        <v>--</v>
      </c>
      <c r="N110" s="53" t="str">
        <f>IFERROR(IF(G110="","SIN",IF(O110=1,"SUBIR_E",IF(H110&lt;IFERROR(VLOOKUP(CONFIG!$E$2,CONFIG!$A$6:$E$8,2,0),6),"BAJAR",IF(H110+I110&gt;=IFERROR(VLOOKUP(CONFIG!$E$2,CONFIG!$A$6:$E$8,3,0),12),"SUBIR_F",IF(AND(H110&gt;=IFERROR(VLOOKUP(CONFIG!$E$2,CONFIG!$A$6:$E$8,2,0),6)+2,I110&gt;=2),"SUBIR",IF(I110&gt;IFERROR(VLOOKUP(CONFIG!$E$2,CONFIG!$A$6:$E$8,5,0),3),"SUBIR","MANT")))))),"SIN")</f>
        <v>SIN</v>
      </c>
      <c r="O110" s="55">
        <f>IF(COUNTIFS(HISTORIAL!$O$3:$O$108,D110&amp;"|"&amp;E110,HISTORIAL!$F$3:$F$108,"&gt;0")&lt;2,0,IF(COUNTIFS(HISTORIAL!$O$3:$O$108,D110&amp;"|"&amp;E110,HISTORIAL!$F$3:$F$108,IFERROR(LOOKUP(2,1/((HISTORIAL!$O$3:$O$108=D110&amp;"|"&amp;E110)*(HISTORIAL!$F$3:$F$108&gt;0)),HISTORIAL!$F$3:$F$108),0))&gt;=2,IF(IFERROR(LOOKUP(2,1/((HISTORIAL!$O$3:$O$108=D110&amp;"|"&amp;E110)*(HISTORIAL!$F$3:$F$108&gt;0)),HISTORIAL!$G$3:$G$108),0)&gt;0,IF(F110&gt;0,IF(G110&lt;=IFERROR(LOOKUP(2,1/((HISTORIAL!$O$3:$O$108=D110&amp;"|"&amp;E110)*(HISTORIAL!$F$3:$F$108&gt;0)),HISTORIAL!$G$3:$G$108),0),1,0),0),0),0))</f>
        <v>0</v>
      </c>
    </row>
    <row r="111" spans="1:15" ht="14.1" customHeight="1">
      <c r="A111" s="37">
        <v>2</v>
      </c>
      <c r="B111" s="37" t="s">
        <v>280</v>
      </c>
      <c r="C111" s="37">
        <v>8</v>
      </c>
      <c r="D111" s="56" t="str">
        <f>JUEVES!$A$49</f>
        <v>Aperturas</v>
      </c>
      <c r="E111" s="57" t="str">
        <f>JUEVES!$B$49</f>
        <v>Pec Deck Maquina</v>
      </c>
      <c r="F111" s="37" t="str">
        <f>JUEVES!$C$49</f>
        <v>--</v>
      </c>
      <c r="G111" s="37" t="str">
        <f>IFERROR(LOOKUP(2,1/((HISTORIAL!$O$3:$O$109=D111&amp;"|"&amp;E111)*(HISTORIAL!$F$3:$F$109&lt;&gt;"")),HISTORIAL!$F$3:$F$109),"")</f>
        <v/>
      </c>
      <c r="H111" s="37" t="str">
        <f>IFERROR(LOOKUP(2,1/((HISTORIAL!$O$3:$O$109=D111&amp;"|"&amp;E111)*(HISTORIAL!$F$3:$F$109&lt;&gt;"")),HISTORIAL!$G$3:$G$109),"")</f>
        <v/>
      </c>
      <c r="I111" s="37" t="str">
        <f>IFERROR(LOOKUP(2,1/((HISTORIAL!$O$3:$O$109=D111&amp;"|"&amp;E111)*(HISTORIAL!$F$3:$F$109&lt;&gt;"")),HISTORIAL!$H$3:$H$109),"")</f>
        <v/>
      </c>
      <c r="J111" s="37" t="str">
        <f>IFERROR(LOOKUP(2,1/((HISTORIAL!$O$3:$O$109=D111&amp;"|"&amp;E111)*(HISTORIAL!$F$3:$F$109&lt;&gt;"")),HISTORIAL!$I$3:$I$109),"")</f>
        <v/>
      </c>
      <c r="K111" s="58" t="str">
        <f>IFERROR(IF(OR(G111="",N111="SIN"),"--",IF(N111="SUBIR_F",IF(F111="polea",IFERROR(INDEX(CONFIG!$B$25:$B$40,MATCH(G111,CONFIG!$B$25:$B$40,0)+2),IFERROR(INDEX(CONFIG!$B$25:$B$40,MATCH(G111,CONFIG!$B$25:$B$40,0)+1),G111)),G111+5),IF(OR(N111="SUBIR",N111="SUBIR_E"),IF(F111="polea",IFERROR(INDEX(CONFIG!$B$25:$B$40,MATCH(G111,CONFIG!$B$25:$B$40,0)+1),G111),G111+2.5),IF(N111="BAJAR",IF(F111="polea",IFERROR(INDEX(CONFIG!$B$25:$B$40,MAX(1,MATCH(G111,CONFIG!$B$25:$B$40,0)-1)),G111),MAX(0,G111-2.5)),G111)))),"--")</f>
        <v>--</v>
      </c>
      <c r="L111" s="59" t="str">
        <f>IFERROR(IF(N111="SIN","--",IF(N111="MANT",IF(H111="","--",H111+1),IFERROR(VLOOKUP(CONFIG!$E$2,CONFIG!$A$6:$E$8,2,0),"--"))),"--")</f>
        <v>--</v>
      </c>
      <c r="M111" s="59" t="str">
        <f>IFERROR(IF(N111="SIN","--",IF(CONFIG!$E$2="HIP",2,IF(CONFIG!$E$2="FUE",1,2))),"--")</f>
        <v>--</v>
      </c>
      <c r="N111" s="53" t="str">
        <f>IFERROR(IF(G111="","SIN",IF(O111=1,"SUBIR_E",IF(H111&lt;IFERROR(VLOOKUP(CONFIG!$E$2,CONFIG!$A$6:$E$8,2,0),6),"BAJAR",IF(H111+I111&gt;=IFERROR(VLOOKUP(CONFIG!$E$2,CONFIG!$A$6:$E$8,3,0),12),"SUBIR_F",IF(AND(H111&gt;=IFERROR(VLOOKUP(CONFIG!$E$2,CONFIG!$A$6:$E$8,2,0),6)+2,I111&gt;=2),"SUBIR",IF(I111&gt;IFERROR(VLOOKUP(CONFIG!$E$2,CONFIG!$A$6:$E$8,5,0),3),"SUBIR","MANT")))))),"SIN")</f>
        <v>SIN</v>
      </c>
      <c r="O111" s="55">
        <f>IF(COUNTIFS(HISTORIAL!$O$3:$O$109,D111&amp;"|"&amp;E111,HISTORIAL!$F$3:$F$109,"&gt;0")&lt;2,0,IF(COUNTIFS(HISTORIAL!$O$3:$O$109,D111&amp;"|"&amp;E111,HISTORIAL!$F$3:$F$109,IFERROR(LOOKUP(2,1/((HISTORIAL!$O$3:$O$109=D111&amp;"|"&amp;E111)*(HISTORIAL!$F$3:$F$109&gt;0)),HISTORIAL!$F$3:$F$109),0))&gt;=2,IF(IFERROR(LOOKUP(2,1/((HISTORIAL!$O$3:$O$109=D111&amp;"|"&amp;E111)*(HISTORIAL!$F$3:$F$109&gt;0)),HISTORIAL!$G$3:$G$109),0)&gt;0,IF(F111&gt;0,IF(G111&lt;=IFERROR(LOOKUP(2,1/((HISTORIAL!$O$3:$O$109=D111&amp;"|"&amp;E111)*(HISTORIAL!$F$3:$F$109&gt;0)),HISTORIAL!$G$3:$G$109),0),1,0),0),0),0))</f>
        <v>0</v>
      </c>
    </row>
    <row r="112" spans="1:15" ht="14.1" customHeight="1">
      <c r="A112" s="37">
        <v>2</v>
      </c>
      <c r="B112" s="37" t="s">
        <v>280</v>
      </c>
      <c r="C112" s="37">
        <v>9</v>
      </c>
      <c r="D112" s="56" t="str">
        <f>JUEVES!$A$51</f>
        <v>Press Polea</v>
      </c>
      <c r="E112" s="57" t="str">
        <f>JUEVES!$B$51</f>
        <v>Barra Recta Diagonal Arriba</v>
      </c>
      <c r="F112" s="37" t="str">
        <f>JUEVES!$C$51</f>
        <v>polea</v>
      </c>
      <c r="G112" s="37" t="str">
        <f>IFERROR(LOOKUP(2,1/((HISTORIAL!$O$3:$O$110=D112&amp;"|"&amp;E112)*(HISTORIAL!$F$3:$F$110&lt;&gt;"")),HISTORIAL!$F$3:$F$110),"")</f>
        <v/>
      </c>
      <c r="H112" s="37" t="str">
        <f>IFERROR(LOOKUP(2,1/((HISTORIAL!$O$3:$O$110=D112&amp;"|"&amp;E112)*(HISTORIAL!$F$3:$F$110&lt;&gt;"")),HISTORIAL!$G$3:$G$110),"")</f>
        <v/>
      </c>
      <c r="I112" s="37" t="str">
        <f>IFERROR(LOOKUP(2,1/((HISTORIAL!$O$3:$O$110=D112&amp;"|"&amp;E112)*(HISTORIAL!$F$3:$F$110&lt;&gt;"")),HISTORIAL!$H$3:$H$110),"")</f>
        <v/>
      </c>
      <c r="J112" s="37" t="str">
        <f>IFERROR(LOOKUP(2,1/((HISTORIAL!$O$3:$O$110=D112&amp;"|"&amp;E112)*(HISTORIAL!$F$3:$F$110&lt;&gt;"")),HISTORIAL!$I$3:$I$110),"")</f>
        <v/>
      </c>
      <c r="K112" s="58" t="str">
        <f>IFERROR(IF(OR(G112="",N112="SIN"),"--",IF(N112="SUBIR_F",IF(F112="polea",IFERROR(INDEX(CONFIG!$B$25:$B$40,MATCH(G112,CONFIG!$B$25:$B$40,0)+2),IFERROR(INDEX(CONFIG!$B$25:$B$40,MATCH(G112,CONFIG!$B$25:$B$40,0)+1),G112)),G112+5),IF(OR(N112="SUBIR",N112="SUBIR_E"),IF(F112="polea",IFERROR(INDEX(CONFIG!$B$25:$B$40,MATCH(G112,CONFIG!$B$25:$B$40,0)+1),G112),G112+2.5),IF(N112="BAJAR",IF(F112="polea",IFERROR(INDEX(CONFIG!$B$25:$B$40,MAX(1,MATCH(G112,CONFIG!$B$25:$B$40,0)-1)),G112),MAX(0,G112-2.5)),G112)))),"--")</f>
        <v>--</v>
      </c>
      <c r="L112" s="59" t="str">
        <f>IFERROR(IF(N112="SIN","--",IF(N112="MANT",IF(H112="","--",H112+1),IFERROR(VLOOKUP(CONFIG!$E$2,CONFIG!$A$6:$E$8,2,0),"--"))),"--")</f>
        <v>--</v>
      </c>
      <c r="M112" s="59" t="str">
        <f>IFERROR(IF(N112="SIN","--",IF(CONFIG!$E$2="HIP",2,IF(CONFIG!$E$2="FUE",1,2))),"--")</f>
        <v>--</v>
      </c>
      <c r="N112" s="53" t="str">
        <f>IFERROR(IF(G112="","SIN",IF(O112=1,"SUBIR_E",IF(H112&lt;IFERROR(VLOOKUP(CONFIG!$E$2,CONFIG!$A$6:$E$8,2,0),6),"BAJAR",IF(H112+I112&gt;=IFERROR(VLOOKUP(CONFIG!$E$2,CONFIG!$A$6:$E$8,3,0),12),"SUBIR_F",IF(AND(H112&gt;=IFERROR(VLOOKUP(CONFIG!$E$2,CONFIG!$A$6:$E$8,2,0),6)+2,I112&gt;=2),"SUBIR",IF(I112&gt;IFERROR(VLOOKUP(CONFIG!$E$2,CONFIG!$A$6:$E$8,5,0),3),"SUBIR","MANT")))))),"SIN")</f>
        <v>SIN</v>
      </c>
      <c r="O112" s="55">
        <f>IF(COUNTIFS(HISTORIAL!$O$3:$O$110,D112&amp;"|"&amp;E112,HISTORIAL!$F$3:$F$110,"&gt;0")&lt;2,0,IF(COUNTIFS(HISTORIAL!$O$3:$O$110,D112&amp;"|"&amp;E112,HISTORIAL!$F$3:$F$110,IFERROR(LOOKUP(2,1/((HISTORIAL!$O$3:$O$110=D112&amp;"|"&amp;E112)*(HISTORIAL!$F$3:$F$110&gt;0)),HISTORIAL!$F$3:$F$110),0))&gt;=2,IF(IFERROR(LOOKUP(2,1/((HISTORIAL!$O$3:$O$110=D112&amp;"|"&amp;E112)*(HISTORIAL!$F$3:$F$110&gt;0)),HISTORIAL!$G$3:$G$110),0)&gt;0,IF(F112&gt;0,IF(G112&lt;=IFERROR(LOOKUP(2,1/((HISTORIAL!$O$3:$O$110=D112&amp;"|"&amp;E112)*(HISTORIAL!$F$3:$F$110&gt;0)),HISTORIAL!$G$3:$G$110),0),1,0),0),0),0))</f>
        <v>0</v>
      </c>
    </row>
    <row r="113" spans="1:15" ht="14.1" customHeight="1">
      <c r="A113" s="37">
        <v>2</v>
      </c>
      <c r="B113" s="37" t="s">
        <v>280</v>
      </c>
      <c r="C113" s="37">
        <v>10</v>
      </c>
      <c r="D113" s="56" t="str">
        <f>JUEVES!$A$52</f>
        <v>Extension Triceps</v>
      </c>
      <c r="E113" s="57" t="str">
        <f>JUEVES!$B$52</f>
        <v>Polea Sobre Cabeza</v>
      </c>
      <c r="F113" s="37" t="str">
        <f>JUEVES!$C$52</f>
        <v>--</v>
      </c>
      <c r="G113" s="37" t="str">
        <f>IFERROR(LOOKUP(2,1/((HISTORIAL!$O$3:$O$111=D113&amp;"|"&amp;E113)*(HISTORIAL!$F$3:$F$111&lt;&gt;"")),HISTORIAL!$F$3:$F$111),"")</f>
        <v/>
      </c>
      <c r="H113" s="37" t="str">
        <f>IFERROR(LOOKUP(2,1/((HISTORIAL!$O$3:$O$111=D113&amp;"|"&amp;E113)*(HISTORIAL!$F$3:$F$111&lt;&gt;"")),HISTORIAL!$G$3:$G$111),"")</f>
        <v/>
      </c>
      <c r="I113" s="37" t="str">
        <f>IFERROR(LOOKUP(2,1/((HISTORIAL!$O$3:$O$111=D113&amp;"|"&amp;E113)*(HISTORIAL!$F$3:$F$111&lt;&gt;"")),HISTORIAL!$H$3:$H$111),"")</f>
        <v/>
      </c>
      <c r="J113" s="37" t="str">
        <f>IFERROR(LOOKUP(2,1/((HISTORIAL!$O$3:$O$111=D113&amp;"|"&amp;E113)*(HISTORIAL!$F$3:$F$111&lt;&gt;"")),HISTORIAL!$I$3:$I$111),"")</f>
        <v/>
      </c>
      <c r="K113" s="58" t="str">
        <f>IFERROR(IF(OR(G113="",N113="SIN"),"--",IF(N113="SUBIR_F",IF(F113="polea",IFERROR(INDEX(CONFIG!$B$25:$B$40,MATCH(G113,CONFIG!$B$25:$B$40,0)+2),IFERROR(INDEX(CONFIG!$B$25:$B$40,MATCH(G113,CONFIG!$B$25:$B$40,0)+1),G113)),G113+5),IF(OR(N113="SUBIR",N113="SUBIR_E"),IF(F113="polea",IFERROR(INDEX(CONFIG!$B$25:$B$40,MATCH(G113,CONFIG!$B$25:$B$40,0)+1),G113),G113+2.5),IF(N113="BAJAR",IF(F113="polea",IFERROR(INDEX(CONFIG!$B$25:$B$40,MAX(1,MATCH(G113,CONFIG!$B$25:$B$40,0)-1)),G113),MAX(0,G113-2.5)),G113)))),"--")</f>
        <v>--</v>
      </c>
      <c r="L113" s="59" t="str">
        <f>IFERROR(IF(N113="SIN","--",IF(N113="MANT",IF(H113="","--",H113+1),IFERROR(VLOOKUP(CONFIG!$E$2,CONFIG!$A$6:$E$8,2,0),"--"))),"--")</f>
        <v>--</v>
      </c>
      <c r="M113" s="59" t="str">
        <f>IFERROR(IF(N113="SIN","--",IF(CONFIG!$E$2="HIP",2,IF(CONFIG!$E$2="FUE",1,2))),"--")</f>
        <v>--</v>
      </c>
      <c r="N113" s="53" t="str">
        <f>IFERROR(IF(G113="","SIN",IF(O113=1,"SUBIR_E",IF(H113&lt;IFERROR(VLOOKUP(CONFIG!$E$2,CONFIG!$A$6:$E$8,2,0),6),"BAJAR",IF(H113+I113&gt;=IFERROR(VLOOKUP(CONFIG!$E$2,CONFIG!$A$6:$E$8,3,0),12),"SUBIR_F",IF(AND(H113&gt;=IFERROR(VLOOKUP(CONFIG!$E$2,CONFIG!$A$6:$E$8,2,0),6)+2,I113&gt;=2),"SUBIR",IF(I113&gt;IFERROR(VLOOKUP(CONFIG!$E$2,CONFIG!$A$6:$E$8,5,0),3),"SUBIR","MANT")))))),"SIN")</f>
        <v>SIN</v>
      </c>
      <c r="O113" s="55">
        <f>IF(COUNTIFS(HISTORIAL!$O$3:$O$111,D113&amp;"|"&amp;E113,HISTORIAL!$F$3:$F$111,"&gt;0")&lt;2,0,IF(COUNTIFS(HISTORIAL!$O$3:$O$111,D113&amp;"|"&amp;E113,HISTORIAL!$F$3:$F$111,IFERROR(LOOKUP(2,1/((HISTORIAL!$O$3:$O$111=D113&amp;"|"&amp;E113)*(HISTORIAL!$F$3:$F$111&gt;0)),HISTORIAL!$F$3:$F$111),0))&gt;=2,IF(IFERROR(LOOKUP(2,1/((HISTORIAL!$O$3:$O$111=D113&amp;"|"&amp;E113)*(HISTORIAL!$F$3:$F$111&gt;0)),HISTORIAL!$G$3:$G$111),0)&gt;0,IF(F113&gt;0,IF(G113&lt;=IFERROR(LOOKUP(2,1/((HISTORIAL!$O$3:$O$111=D113&amp;"|"&amp;E113)*(HISTORIAL!$F$3:$F$111&gt;0)),HISTORIAL!$G$3:$G$111),0),1,0),0),0),0))</f>
        <v>0</v>
      </c>
    </row>
    <row r="114" spans="1:15" ht="14.1" customHeight="1">
      <c r="A114" s="37">
        <v>2</v>
      </c>
      <c r="B114" s="37" t="s">
        <v>280</v>
      </c>
      <c r="C114" s="37">
        <v>11</v>
      </c>
      <c r="D114" s="56" t="str">
        <f>JUEVES!$A$54</f>
        <v>Extension Cuadriceps</v>
      </c>
      <c r="E114" s="57" t="str">
        <f>JUEVES!$B$54</f>
        <v>Vasto Interno</v>
      </c>
      <c r="F114" s="37" t="str">
        <f>JUEVES!$C$54</f>
        <v>--</v>
      </c>
      <c r="G114" s="37" t="str">
        <f>IFERROR(LOOKUP(2,1/((HISTORIAL!$O$3:$O$112=D114&amp;"|"&amp;E114)*(HISTORIAL!$F$3:$F$112&lt;&gt;"")),HISTORIAL!$F$3:$F$112),"")</f>
        <v/>
      </c>
      <c r="H114" s="37" t="str">
        <f>IFERROR(LOOKUP(2,1/((HISTORIAL!$O$3:$O$112=D114&amp;"|"&amp;E114)*(HISTORIAL!$F$3:$F$112&lt;&gt;"")),HISTORIAL!$G$3:$G$112),"")</f>
        <v/>
      </c>
      <c r="I114" s="37" t="str">
        <f>IFERROR(LOOKUP(2,1/((HISTORIAL!$O$3:$O$112=D114&amp;"|"&amp;E114)*(HISTORIAL!$F$3:$F$112&lt;&gt;"")),HISTORIAL!$H$3:$H$112),"")</f>
        <v/>
      </c>
      <c r="J114" s="37" t="str">
        <f>IFERROR(LOOKUP(2,1/((HISTORIAL!$O$3:$O$112=D114&amp;"|"&amp;E114)*(HISTORIAL!$F$3:$F$112&lt;&gt;"")),HISTORIAL!$I$3:$I$112),"")</f>
        <v/>
      </c>
      <c r="K114" s="58" t="str">
        <f>IFERROR(IF(OR(G114="",N114="SIN"),"--",IF(N114="SUBIR_F",IF(F114="polea",IFERROR(INDEX(CONFIG!$B$25:$B$40,MATCH(G114,CONFIG!$B$25:$B$40,0)+2),IFERROR(INDEX(CONFIG!$B$25:$B$40,MATCH(G114,CONFIG!$B$25:$B$40,0)+1),G114)),G114+5),IF(OR(N114="SUBIR",N114="SUBIR_E"),IF(F114="polea",IFERROR(INDEX(CONFIG!$B$25:$B$40,MATCH(G114,CONFIG!$B$25:$B$40,0)+1),G114),G114+2.5),IF(N114="BAJAR",IF(F114="polea",IFERROR(INDEX(CONFIG!$B$25:$B$40,MAX(1,MATCH(G114,CONFIG!$B$25:$B$40,0)-1)),G114),MAX(0,G114-2.5)),G114)))),"--")</f>
        <v>--</v>
      </c>
      <c r="L114" s="59" t="str">
        <f>IFERROR(IF(N114="SIN","--",IF(N114="MANT",IF(H114="","--",H114+1),IFERROR(VLOOKUP(CONFIG!$E$2,CONFIG!$A$6:$E$8,2,0),"--"))),"--")</f>
        <v>--</v>
      </c>
      <c r="M114" s="59" t="str">
        <f>IFERROR(IF(N114="SIN","--",IF(CONFIG!$E$2="HIP",2,IF(CONFIG!$E$2="FUE",1,2))),"--")</f>
        <v>--</v>
      </c>
      <c r="N114" s="53" t="str">
        <f>IFERROR(IF(G114="","SIN",IF(O114=1,"SUBIR_E",IF(H114&lt;IFERROR(VLOOKUP(CONFIG!$E$2,CONFIG!$A$6:$E$8,2,0),6),"BAJAR",IF(H114+I114&gt;=IFERROR(VLOOKUP(CONFIG!$E$2,CONFIG!$A$6:$E$8,3,0),12),"SUBIR_F",IF(AND(H114&gt;=IFERROR(VLOOKUP(CONFIG!$E$2,CONFIG!$A$6:$E$8,2,0),6)+2,I114&gt;=2),"SUBIR",IF(I114&gt;IFERROR(VLOOKUP(CONFIG!$E$2,CONFIG!$A$6:$E$8,5,0),3),"SUBIR","MANT")))))),"SIN")</f>
        <v>SIN</v>
      </c>
      <c r="O114" s="55">
        <f>IF(COUNTIFS(HISTORIAL!$O$3:$O$112,D114&amp;"|"&amp;E114,HISTORIAL!$F$3:$F$112,"&gt;0")&lt;2,0,IF(COUNTIFS(HISTORIAL!$O$3:$O$112,D114&amp;"|"&amp;E114,HISTORIAL!$F$3:$F$112,IFERROR(LOOKUP(2,1/((HISTORIAL!$O$3:$O$112=D114&amp;"|"&amp;E114)*(HISTORIAL!$F$3:$F$112&gt;0)),HISTORIAL!$F$3:$F$112),0))&gt;=2,IF(IFERROR(LOOKUP(2,1/((HISTORIAL!$O$3:$O$112=D114&amp;"|"&amp;E114)*(HISTORIAL!$F$3:$F$112&gt;0)),HISTORIAL!$G$3:$G$112),0)&gt;0,IF(F114&gt;0,IF(G114&lt;=IFERROR(LOOKUP(2,1/((HISTORIAL!$O$3:$O$112=D114&amp;"|"&amp;E114)*(HISTORIAL!$F$3:$F$112&gt;0)),HISTORIAL!$G$3:$G$112),0),1,0),0),0),0))</f>
        <v>0</v>
      </c>
    </row>
    <row r="115" spans="1:15" ht="14.1" customHeight="1">
      <c r="A115" s="37">
        <v>2</v>
      </c>
      <c r="B115" s="37" t="s">
        <v>280</v>
      </c>
      <c r="C115" s="37">
        <v>12</v>
      </c>
      <c r="D115" s="56" t="str">
        <f>JUEVES!$A$56</f>
        <v>Curl Biceps</v>
      </c>
      <c r="E115" s="57" t="str">
        <f>JUEVES!$B$56</f>
        <v>Concentrado Maquina</v>
      </c>
      <c r="F115" s="37" t="str">
        <f>JUEVES!$C$56</f>
        <v>polea</v>
      </c>
      <c r="G115" s="37" t="str">
        <f>IFERROR(LOOKUP(2,1/((HISTORIAL!$O$3:$O$113=D115&amp;"|"&amp;E115)*(HISTORIAL!$F$3:$F$113&lt;&gt;"")),HISTORIAL!$F$3:$F$113),"")</f>
        <v/>
      </c>
      <c r="H115" s="37" t="str">
        <f>IFERROR(LOOKUP(2,1/((HISTORIAL!$O$3:$O$113=D115&amp;"|"&amp;E115)*(HISTORIAL!$F$3:$F$113&lt;&gt;"")),HISTORIAL!$G$3:$G$113),"")</f>
        <v/>
      </c>
      <c r="I115" s="37" t="str">
        <f>IFERROR(LOOKUP(2,1/((HISTORIAL!$O$3:$O$113=D115&amp;"|"&amp;E115)*(HISTORIAL!$F$3:$F$113&lt;&gt;"")),HISTORIAL!$H$3:$H$113),"")</f>
        <v/>
      </c>
      <c r="J115" s="37" t="str">
        <f>IFERROR(LOOKUP(2,1/((HISTORIAL!$O$3:$O$113=D115&amp;"|"&amp;E115)*(HISTORIAL!$F$3:$F$113&lt;&gt;"")),HISTORIAL!$I$3:$I$113),"")</f>
        <v/>
      </c>
      <c r="K115" s="58" t="str">
        <f>IFERROR(IF(OR(G115="",N115="SIN"),"--",IF(N115="SUBIR_F",IF(F115="polea",IFERROR(INDEX(CONFIG!$B$25:$B$40,MATCH(G115,CONFIG!$B$25:$B$40,0)+2),IFERROR(INDEX(CONFIG!$B$25:$B$40,MATCH(G115,CONFIG!$B$25:$B$40,0)+1),G115)),G115+5),IF(OR(N115="SUBIR",N115="SUBIR_E"),IF(F115="polea",IFERROR(INDEX(CONFIG!$B$25:$B$40,MATCH(G115,CONFIG!$B$25:$B$40,0)+1),G115),G115+2.5),IF(N115="BAJAR",IF(F115="polea",IFERROR(INDEX(CONFIG!$B$25:$B$40,MAX(1,MATCH(G115,CONFIG!$B$25:$B$40,0)-1)),G115),MAX(0,G115-2.5)),G115)))),"--")</f>
        <v>--</v>
      </c>
      <c r="L115" s="59" t="str">
        <f>IFERROR(IF(N115="SIN","--",IF(N115="MANT",IF(H115="","--",H115+1),IFERROR(VLOOKUP(CONFIG!$E$2,CONFIG!$A$6:$E$8,2,0),"--"))),"--")</f>
        <v>--</v>
      </c>
      <c r="M115" s="59" t="str">
        <f>IFERROR(IF(N115="SIN","--",IF(CONFIG!$E$2="HIP",2,IF(CONFIG!$E$2="FUE",1,2))),"--")</f>
        <v>--</v>
      </c>
      <c r="N115" s="53" t="str">
        <f>IFERROR(IF(G115="","SIN",IF(O115=1,"SUBIR_E",IF(H115&lt;IFERROR(VLOOKUP(CONFIG!$E$2,CONFIG!$A$6:$E$8,2,0),6),"BAJAR",IF(H115+I115&gt;=IFERROR(VLOOKUP(CONFIG!$E$2,CONFIG!$A$6:$E$8,3,0),12),"SUBIR_F",IF(AND(H115&gt;=IFERROR(VLOOKUP(CONFIG!$E$2,CONFIG!$A$6:$E$8,2,0),6)+2,I115&gt;=2),"SUBIR",IF(I115&gt;IFERROR(VLOOKUP(CONFIG!$E$2,CONFIG!$A$6:$E$8,5,0),3),"SUBIR","MANT")))))),"SIN")</f>
        <v>SIN</v>
      </c>
      <c r="O115" s="55">
        <f>IF(COUNTIFS(HISTORIAL!$O$3:$O$113,D115&amp;"|"&amp;E115,HISTORIAL!$F$3:$F$113,"&gt;0")&lt;2,0,IF(COUNTIFS(HISTORIAL!$O$3:$O$113,D115&amp;"|"&amp;E115,HISTORIAL!$F$3:$F$113,IFERROR(LOOKUP(2,1/((HISTORIAL!$O$3:$O$113=D115&amp;"|"&amp;E115)*(HISTORIAL!$F$3:$F$113&gt;0)),HISTORIAL!$F$3:$F$113),0))&gt;=2,IF(IFERROR(LOOKUP(2,1/((HISTORIAL!$O$3:$O$113=D115&amp;"|"&amp;E115)*(HISTORIAL!$F$3:$F$113&gt;0)),HISTORIAL!$G$3:$G$113),0)&gt;0,IF(F115&gt;0,IF(G115&lt;=IFERROR(LOOKUP(2,1/((HISTORIAL!$O$3:$O$113=D115&amp;"|"&amp;E115)*(HISTORIAL!$F$3:$F$113&gt;0)),HISTORIAL!$G$3:$G$113),0),1,0),0),0),0))</f>
        <v>0</v>
      </c>
    </row>
    <row r="116" spans="1:15" ht="14.1" customHeight="1">
      <c r="A116" s="37">
        <v>2</v>
      </c>
      <c r="B116" s="37" t="s">
        <v>280</v>
      </c>
      <c r="C116" s="37">
        <v>13</v>
      </c>
      <c r="D116" s="56" t="str">
        <f>JUEVES!$A$58</f>
        <v>Crunch</v>
      </c>
      <c r="E116" s="57" t="str">
        <f>JUEVES!$B$58</f>
        <v>Polea</v>
      </c>
      <c r="F116" s="37" t="str">
        <f>JUEVES!$C$58</f>
        <v>polea</v>
      </c>
      <c r="G116" s="37" t="str">
        <f>IFERROR(LOOKUP(2,1/((HISTORIAL!$O$3:$O$114=D116&amp;"|"&amp;E116)*(HISTORIAL!$F$3:$F$114&lt;&gt;"")),HISTORIAL!$F$3:$F$114),"")</f>
        <v/>
      </c>
      <c r="H116" s="37" t="str">
        <f>IFERROR(LOOKUP(2,1/((HISTORIAL!$O$3:$O$114=D116&amp;"|"&amp;E116)*(HISTORIAL!$F$3:$F$114&lt;&gt;"")),HISTORIAL!$G$3:$G$114),"")</f>
        <v/>
      </c>
      <c r="I116" s="37" t="str">
        <f>IFERROR(LOOKUP(2,1/((HISTORIAL!$O$3:$O$114=D116&amp;"|"&amp;E116)*(HISTORIAL!$F$3:$F$114&lt;&gt;"")),HISTORIAL!$H$3:$H$114),"")</f>
        <v/>
      </c>
      <c r="J116" s="37" t="str">
        <f>IFERROR(LOOKUP(2,1/((HISTORIAL!$O$3:$O$114=D116&amp;"|"&amp;E116)*(HISTORIAL!$F$3:$F$114&lt;&gt;"")),HISTORIAL!$I$3:$I$114),"")</f>
        <v/>
      </c>
      <c r="K116" s="58" t="str">
        <f>IFERROR(IF(OR(G116="",N116="SIN"),"--",IF(N116="SUBIR_F",IF(F116="polea",IFERROR(INDEX(CONFIG!$B$25:$B$40,MATCH(G116,CONFIG!$B$25:$B$40,0)+2),IFERROR(INDEX(CONFIG!$B$25:$B$40,MATCH(G116,CONFIG!$B$25:$B$40,0)+1),G116)),G116+5),IF(OR(N116="SUBIR",N116="SUBIR_E"),IF(F116="polea",IFERROR(INDEX(CONFIG!$B$25:$B$40,MATCH(G116,CONFIG!$B$25:$B$40,0)+1),G116),G116+2.5),IF(N116="BAJAR",IF(F116="polea",IFERROR(INDEX(CONFIG!$B$25:$B$40,MAX(1,MATCH(G116,CONFIG!$B$25:$B$40,0)-1)),G116),MAX(0,G116-2.5)),G116)))),"--")</f>
        <v>--</v>
      </c>
      <c r="L116" s="59" t="str">
        <f>IFERROR(IF(N116="SIN","--",IF(N116="MANT",IF(H116="","--",H116+1),IFERROR(VLOOKUP(CONFIG!$E$2,CONFIG!$A$6:$E$8,2,0),"--"))),"--")</f>
        <v>--</v>
      </c>
      <c r="M116" s="59" t="str">
        <f>IFERROR(IF(N116="SIN","--",IF(CONFIG!$E$2="HIP",2,IF(CONFIG!$E$2="FUE",1,2))),"--")</f>
        <v>--</v>
      </c>
      <c r="N116" s="53" t="str">
        <f>IFERROR(IF(G116="","SIN",IF(O116=1,"SUBIR_E",IF(H116&lt;IFERROR(VLOOKUP(CONFIG!$E$2,CONFIG!$A$6:$E$8,2,0),6),"BAJAR",IF(H116+I116&gt;=IFERROR(VLOOKUP(CONFIG!$E$2,CONFIG!$A$6:$E$8,3,0),12),"SUBIR_F",IF(AND(H116&gt;=IFERROR(VLOOKUP(CONFIG!$E$2,CONFIG!$A$6:$E$8,2,0),6)+2,I116&gt;=2),"SUBIR",IF(I116&gt;IFERROR(VLOOKUP(CONFIG!$E$2,CONFIG!$A$6:$E$8,5,0),3),"SUBIR","MANT")))))),"SIN")</f>
        <v>SIN</v>
      </c>
      <c r="O116" s="55">
        <f>IF(COUNTIFS(HISTORIAL!$O$3:$O$114,D116&amp;"|"&amp;E116,HISTORIAL!$F$3:$F$114,"&gt;0")&lt;2,0,IF(COUNTIFS(HISTORIAL!$O$3:$O$114,D116&amp;"|"&amp;E116,HISTORIAL!$F$3:$F$114,IFERROR(LOOKUP(2,1/((HISTORIAL!$O$3:$O$114=D116&amp;"|"&amp;E116)*(HISTORIAL!$F$3:$F$114&gt;0)),HISTORIAL!$F$3:$F$114),0))&gt;=2,IF(IFERROR(LOOKUP(2,1/((HISTORIAL!$O$3:$O$114=D116&amp;"|"&amp;E116)*(HISTORIAL!$F$3:$F$114&gt;0)),HISTORIAL!$G$3:$G$114),0)&gt;0,IF(F116&gt;0,IF(G116&lt;=IFERROR(LOOKUP(2,1/((HISTORIAL!$O$3:$O$114=D116&amp;"|"&amp;E116)*(HISTORIAL!$F$3:$F$114&gt;0)),HISTORIAL!$G$3:$G$114),0),1,0),0),0),0))</f>
        <v>0</v>
      </c>
    </row>
    <row r="117" spans="1:15" ht="14.1" customHeight="1">
      <c r="A117" s="37">
        <v>2</v>
      </c>
      <c r="B117" s="37" t="s">
        <v>281</v>
      </c>
      <c r="C117" s="37">
        <v>1</v>
      </c>
      <c r="D117" s="56" t="str">
        <f>SABADO!$A$37</f>
        <v>Pulldown</v>
      </c>
      <c r="E117" s="57" t="str">
        <f>SABADO!$B$37</f>
        <v>Polea Alta Brazos Rectos Prono</v>
      </c>
      <c r="F117" s="37" t="str">
        <f>SABADO!$C$37</f>
        <v>polea</v>
      </c>
      <c r="G117" s="37" t="str">
        <f>IFERROR(LOOKUP(2,1/((HISTORIAL!$O$3:$O$115=D117&amp;"|"&amp;E117)*(HISTORIAL!$F$3:$F$115&lt;&gt;"")),HISTORIAL!$F$3:$F$115),"")</f>
        <v/>
      </c>
      <c r="H117" s="37" t="str">
        <f>IFERROR(LOOKUP(2,1/((HISTORIAL!$O$3:$O$115=D117&amp;"|"&amp;E117)*(HISTORIAL!$F$3:$F$115&lt;&gt;"")),HISTORIAL!$G$3:$G$115),"")</f>
        <v/>
      </c>
      <c r="I117" s="37" t="str">
        <f>IFERROR(LOOKUP(2,1/((HISTORIAL!$O$3:$O$115=D117&amp;"|"&amp;E117)*(HISTORIAL!$F$3:$F$115&lt;&gt;"")),HISTORIAL!$H$3:$H$115),"")</f>
        <v/>
      </c>
      <c r="J117" s="37" t="str">
        <f>IFERROR(LOOKUP(2,1/((HISTORIAL!$O$3:$O$115=D117&amp;"|"&amp;E117)*(HISTORIAL!$F$3:$F$115&lt;&gt;"")),HISTORIAL!$I$3:$I$115),"")</f>
        <v/>
      </c>
      <c r="K117" s="58" t="str">
        <f>IFERROR(IF(OR(G117="",N117="SIN"),"--",IF(N117="SUBIR_F",IF(F117="polea",IFERROR(INDEX(CONFIG!$B$25:$B$40,MATCH(G117,CONFIG!$B$25:$B$40,0)+2),IFERROR(INDEX(CONFIG!$B$25:$B$40,MATCH(G117,CONFIG!$B$25:$B$40,0)+1),G117)),G117+5),IF(OR(N117="SUBIR",N117="SUBIR_E"),IF(F117="polea",IFERROR(INDEX(CONFIG!$B$25:$B$40,MATCH(G117,CONFIG!$B$25:$B$40,0)+1),G117),G117+2.5),IF(N117="BAJAR",IF(F117="polea",IFERROR(INDEX(CONFIG!$B$25:$B$40,MAX(1,MATCH(G117,CONFIG!$B$25:$B$40,0)-1)),G117),MAX(0,G117-2.5)),G117)))),"--")</f>
        <v>--</v>
      </c>
      <c r="L117" s="59" t="str">
        <f>IFERROR(IF(N117="SIN","--",IF(N117="MANT",IF(H117="","--",H117+1),IFERROR(VLOOKUP(CONFIG!$E$2,CONFIG!$A$6:$E$8,2,0),"--"))),"--")</f>
        <v>--</v>
      </c>
      <c r="M117" s="59" t="str">
        <f>IFERROR(IF(N117="SIN","--",IF(CONFIG!$E$2="HIP",2,IF(CONFIG!$E$2="FUE",1,2))),"--")</f>
        <v>--</v>
      </c>
      <c r="N117" s="53" t="str">
        <f>IFERROR(IF(G117="","SIN",IF(O117=1,"SUBIR_E",IF(H117&lt;IFERROR(VLOOKUP(CONFIG!$E$2,CONFIG!$A$6:$E$8,2,0),6),"BAJAR",IF(H117+I117&gt;=IFERROR(VLOOKUP(CONFIG!$E$2,CONFIG!$A$6:$E$8,3,0),12),"SUBIR_F",IF(AND(H117&gt;=IFERROR(VLOOKUP(CONFIG!$E$2,CONFIG!$A$6:$E$8,2,0),6)+2,I117&gt;=2),"SUBIR",IF(I117&gt;IFERROR(VLOOKUP(CONFIG!$E$2,CONFIG!$A$6:$E$8,5,0),3),"SUBIR","MANT")))))),"SIN")</f>
        <v>SIN</v>
      </c>
      <c r="O117" s="55">
        <f>IF(COUNTIFS(HISTORIAL!$O$3:$O$115,D117&amp;"|"&amp;E117,HISTORIAL!$F$3:$F$115,"&gt;0")&lt;2,0,IF(COUNTIFS(HISTORIAL!$O$3:$O$115,D117&amp;"|"&amp;E117,HISTORIAL!$F$3:$F$115,IFERROR(LOOKUP(2,1/((HISTORIAL!$O$3:$O$115=D117&amp;"|"&amp;E117)*(HISTORIAL!$F$3:$F$115&gt;0)),HISTORIAL!$F$3:$F$115),0))&gt;=2,IF(IFERROR(LOOKUP(2,1/((HISTORIAL!$O$3:$O$115=D117&amp;"|"&amp;E117)*(HISTORIAL!$F$3:$F$115&gt;0)),HISTORIAL!$G$3:$G$115),0)&gt;0,IF(F117&gt;0,IF(G117&lt;=IFERROR(LOOKUP(2,1/((HISTORIAL!$O$3:$O$115=D117&amp;"|"&amp;E117)*(HISTORIAL!$F$3:$F$115&gt;0)),HISTORIAL!$G$3:$G$115),0),1,0),0),0),0))</f>
        <v>0</v>
      </c>
    </row>
    <row r="118" spans="1:15" ht="14.1" customHeight="1">
      <c r="A118" s="37">
        <v>2</v>
      </c>
      <c r="B118" s="37" t="s">
        <v>281</v>
      </c>
      <c r="C118" s="37">
        <v>2</v>
      </c>
      <c r="D118" s="56" t="str">
        <f>SABADO!$A$39</f>
        <v>Remo</v>
      </c>
      <c r="E118" s="57" t="str">
        <f>SABADO!$B$39</f>
        <v>Maquina Neutro Estrecho</v>
      </c>
      <c r="F118" s="37" t="str">
        <f>SABADO!$C$39</f>
        <v>polea</v>
      </c>
      <c r="G118" s="37" t="str">
        <f>IFERROR(LOOKUP(2,1/((HISTORIAL!$O$3:$O$116=D118&amp;"|"&amp;E118)*(HISTORIAL!$F$3:$F$116&lt;&gt;"")),HISTORIAL!$F$3:$F$116),"")</f>
        <v/>
      </c>
      <c r="H118" s="37" t="str">
        <f>IFERROR(LOOKUP(2,1/((HISTORIAL!$O$3:$O$116=D118&amp;"|"&amp;E118)*(HISTORIAL!$F$3:$F$116&lt;&gt;"")),HISTORIAL!$G$3:$G$116),"")</f>
        <v/>
      </c>
      <c r="I118" s="37" t="str">
        <f>IFERROR(LOOKUP(2,1/((HISTORIAL!$O$3:$O$116=D118&amp;"|"&amp;E118)*(HISTORIAL!$F$3:$F$116&lt;&gt;"")),HISTORIAL!$H$3:$H$116),"")</f>
        <v/>
      </c>
      <c r="J118" s="37" t="str">
        <f>IFERROR(LOOKUP(2,1/((HISTORIAL!$O$3:$O$116=D118&amp;"|"&amp;E118)*(HISTORIAL!$F$3:$F$116&lt;&gt;"")),HISTORIAL!$I$3:$I$116),"")</f>
        <v/>
      </c>
      <c r="K118" s="58" t="str">
        <f>IFERROR(IF(OR(G118="",N118="SIN"),"--",IF(N118="SUBIR_F",IF(F118="polea",IFERROR(INDEX(CONFIG!$B$25:$B$40,MATCH(G118,CONFIG!$B$25:$B$40,0)+2),IFERROR(INDEX(CONFIG!$B$25:$B$40,MATCH(G118,CONFIG!$B$25:$B$40,0)+1),G118)),G118+5),IF(OR(N118="SUBIR",N118="SUBIR_E"),IF(F118="polea",IFERROR(INDEX(CONFIG!$B$25:$B$40,MATCH(G118,CONFIG!$B$25:$B$40,0)+1),G118),G118+2.5),IF(N118="BAJAR",IF(F118="polea",IFERROR(INDEX(CONFIG!$B$25:$B$40,MAX(1,MATCH(G118,CONFIG!$B$25:$B$40,0)-1)),G118),MAX(0,G118-2.5)),G118)))),"--")</f>
        <v>--</v>
      </c>
      <c r="L118" s="59" t="str">
        <f>IFERROR(IF(N118="SIN","--",IF(N118="MANT",IF(H118="","--",H118+1),IFERROR(VLOOKUP(CONFIG!$E$2,CONFIG!$A$6:$E$8,2,0),"--"))),"--")</f>
        <v>--</v>
      </c>
      <c r="M118" s="59" t="str">
        <f>IFERROR(IF(N118="SIN","--",IF(CONFIG!$E$2="HIP",2,IF(CONFIG!$E$2="FUE",1,2))),"--")</f>
        <v>--</v>
      </c>
      <c r="N118" s="53" t="str">
        <f>IFERROR(IF(G118="","SIN",IF(O118=1,"SUBIR_E",IF(H118&lt;IFERROR(VLOOKUP(CONFIG!$E$2,CONFIG!$A$6:$E$8,2,0),6),"BAJAR",IF(H118+I118&gt;=IFERROR(VLOOKUP(CONFIG!$E$2,CONFIG!$A$6:$E$8,3,0),12),"SUBIR_F",IF(AND(H118&gt;=IFERROR(VLOOKUP(CONFIG!$E$2,CONFIG!$A$6:$E$8,2,0),6)+2,I118&gt;=2),"SUBIR",IF(I118&gt;IFERROR(VLOOKUP(CONFIG!$E$2,CONFIG!$A$6:$E$8,5,0),3),"SUBIR","MANT")))))),"SIN")</f>
        <v>SIN</v>
      </c>
      <c r="O118" s="55">
        <f>IF(COUNTIFS(HISTORIAL!$O$3:$O$116,D118&amp;"|"&amp;E118,HISTORIAL!$F$3:$F$116,"&gt;0")&lt;2,0,IF(COUNTIFS(HISTORIAL!$O$3:$O$116,D118&amp;"|"&amp;E118,HISTORIAL!$F$3:$F$116,IFERROR(LOOKUP(2,1/((HISTORIAL!$O$3:$O$116=D118&amp;"|"&amp;E118)*(HISTORIAL!$F$3:$F$116&gt;0)),HISTORIAL!$F$3:$F$116),0))&gt;=2,IF(IFERROR(LOOKUP(2,1/((HISTORIAL!$O$3:$O$116=D118&amp;"|"&amp;E118)*(HISTORIAL!$F$3:$F$116&gt;0)),HISTORIAL!$G$3:$G$116),0)&gt;0,IF(F118&gt;0,IF(G118&lt;=IFERROR(LOOKUP(2,1/((HISTORIAL!$O$3:$O$116=D118&amp;"|"&amp;E118)*(HISTORIAL!$F$3:$F$116&gt;0)),HISTORIAL!$G$3:$G$116),0),1,0),0),0),0))</f>
        <v>0</v>
      </c>
    </row>
    <row r="119" spans="1:15" ht="14.1" customHeight="1">
      <c r="A119" s="37">
        <v>2</v>
      </c>
      <c r="B119" s="37" t="s">
        <v>281</v>
      </c>
      <c r="C119" s="37">
        <v>3</v>
      </c>
      <c r="D119" s="56" t="str">
        <f>SABADO!$A$40</f>
        <v>Remo</v>
      </c>
      <c r="E119" s="57" t="str">
        <f>SABADO!$B$40</f>
        <v>Maquina Neutro Ancho</v>
      </c>
      <c r="F119" s="37" t="str">
        <f>SABADO!$C$40</f>
        <v>polea</v>
      </c>
      <c r="G119" s="37" t="str">
        <f>IFERROR(LOOKUP(2,1/((HISTORIAL!$O$3:$O$117=D119&amp;"|"&amp;E119)*(HISTORIAL!$F$3:$F$117&lt;&gt;"")),HISTORIAL!$F$3:$F$117),"")</f>
        <v/>
      </c>
      <c r="H119" s="37" t="str">
        <f>IFERROR(LOOKUP(2,1/((HISTORIAL!$O$3:$O$117=D119&amp;"|"&amp;E119)*(HISTORIAL!$F$3:$F$117&lt;&gt;"")),HISTORIAL!$G$3:$G$117),"")</f>
        <v/>
      </c>
      <c r="I119" s="37" t="str">
        <f>IFERROR(LOOKUP(2,1/((HISTORIAL!$O$3:$O$117=D119&amp;"|"&amp;E119)*(HISTORIAL!$F$3:$F$117&lt;&gt;"")),HISTORIAL!$H$3:$H$117),"")</f>
        <v/>
      </c>
      <c r="J119" s="37" t="str">
        <f>IFERROR(LOOKUP(2,1/((HISTORIAL!$O$3:$O$117=D119&amp;"|"&amp;E119)*(HISTORIAL!$F$3:$F$117&lt;&gt;"")),HISTORIAL!$I$3:$I$117),"")</f>
        <v/>
      </c>
      <c r="K119" s="58" t="str">
        <f>IFERROR(IF(OR(G119="",N119="SIN"),"--",IF(N119="SUBIR_F",IF(F119="polea",IFERROR(INDEX(CONFIG!$B$25:$B$40,MATCH(G119,CONFIG!$B$25:$B$40,0)+2),IFERROR(INDEX(CONFIG!$B$25:$B$40,MATCH(G119,CONFIG!$B$25:$B$40,0)+1),G119)),G119+5),IF(OR(N119="SUBIR",N119="SUBIR_E"),IF(F119="polea",IFERROR(INDEX(CONFIG!$B$25:$B$40,MATCH(G119,CONFIG!$B$25:$B$40,0)+1),G119),G119+2.5),IF(N119="BAJAR",IF(F119="polea",IFERROR(INDEX(CONFIG!$B$25:$B$40,MAX(1,MATCH(G119,CONFIG!$B$25:$B$40,0)-1)),G119),MAX(0,G119-2.5)),G119)))),"--")</f>
        <v>--</v>
      </c>
      <c r="L119" s="59" t="str">
        <f>IFERROR(IF(N119="SIN","--",IF(N119="MANT",IF(H119="","--",H119+1),IFERROR(VLOOKUP(CONFIG!$E$2,CONFIG!$A$6:$E$8,2,0),"--"))),"--")</f>
        <v>--</v>
      </c>
      <c r="M119" s="59" t="str">
        <f>IFERROR(IF(N119="SIN","--",IF(CONFIG!$E$2="HIP",2,IF(CONFIG!$E$2="FUE",1,2))),"--")</f>
        <v>--</v>
      </c>
      <c r="N119" s="53" t="str">
        <f>IFERROR(IF(G119="","SIN",IF(O119=1,"SUBIR_E",IF(H119&lt;IFERROR(VLOOKUP(CONFIG!$E$2,CONFIG!$A$6:$E$8,2,0),6),"BAJAR",IF(H119+I119&gt;=IFERROR(VLOOKUP(CONFIG!$E$2,CONFIG!$A$6:$E$8,3,0),12),"SUBIR_F",IF(AND(H119&gt;=IFERROR(VLOOKUP(CONFIG!$E$2,CONFIG!$A$6:$E$8,2,0),6)+2,I119&gt;=2),"SUBIR",IF(I119&gt;IFERROR(VLOOKUP(CONFIG!$E$2,CONFIG!$A$6:$E$8,5,0),3),"SUBIR","MANT")))))),"SIN")</f>
        <v>SIN</v>
      </c>
      <c r="O119" s="55">
        <f>IF(COUNTIFS(HISTORIAL!$O$3:$O$117,D119&amp;"|"&amp;E119,HISTORIAL!$F$3:$F$117,"&gt;0")&lt;2,0,IF(COUNTIFS(HISTORIAL!$O$3:$O$117,D119&amp;"|"&amp;E119,HISTORIAL!$F$3:$F$117,IFERROR(LOOKUP(2,1/((HISTORIAL!$O$3:$O$117=D119&amp;"|"&amp;E119)*(HISTORIAL!$F$3:$F$117&gt;0)),HISTORIAL!$F$3:$F$117),0))&gt;=2,IF(IFERROR(LOOKUP(2,1/((HISTORIAL!$O$3:$O$117=D119&amp;"|"&amp;E119)*(HISTORIAL!$F$3:$F$117&gt;0)),HISTORIAL!$G$3:$G$117),0)&gt;0,IF(F119&gt;0,IF(G119&lt;=IFERROR(LOOKUP(2,1/((HISTORIAL!$O$3:$O$117=D119&amp;"|"&amp;E119)*(HISTORIAL!$F$3:$F$117&gt;0)),HISTORIAL!$G$3:$G$117),0),1,0),0),0),0))</f>
        <v>0</v>
      </c>
    </row>
    <row r="120" spans="1:15" ht="14.1" customHeight="1">
      <c r="A120" s="37">
        <v>2</v>
      </c>
      <c r="B120" s="37" t="s">
        <v>281</v>
      </c>
      <c r="C120" s="37">
        <v>4</v>
      </c>
      <c r="D120" s="56" t="str">
        <f>SABADO!$A$41</f>
        <v>Peck Deck Invertida</v>
      </c>
      <c r="E120" s="57" t="str">
        <f>SABADO!$B$41</f>
        <v>Maquina</v>
      </c>
      <c r="F120" s="37" t="str">
        <f>SABADO!$C$41</f>
        <v>polea</v>
      </c>
      <c r="G120" s="37" t="str">
        <f>IFERROR(LOOKUP(2,1/((HISTORIAL!$O$3:$O$118=D120&amp;"|"&amp;E120)*(HISTORIAL!$F$3:$F$118&lt;&gt;"")),HISTORIAL!$F$3:$F$118),"")</f>
        <v/>
      </c>
      <c r="H120" s="37" t="str">
        <f>IFERROR(LOOKUP(2,1/((HISTORIAL!$O$3:$O$118=D120&amp;"|"&amp;E120)*(HISTORIAL!$F$3:$F$118&lt;&gt;"")),HISTORIAL!$G$3:$G$118),"")</f>
        <v/>
      </c>
      <c r="I120" s="37" t="str">
        <f>IFERROR(LOOKUP(2,1/((HISTORIAL!$O$3:$O$118=D120&amp;"|"&amp;E120)*(HISTORIAL!$F$3:$F$118&lt;&gt;"")),HISTORIAL!$H$3:$H$118),"")</f>
        <v/>
      </c>
      <c r="J120" s="37" t="str">
        <f>IFERROR(LOOKUP(2,1/((HISTORIAL!$O$3:$O$118=D120&amp;"|"&amp;E120)*(HISTORIAL!$F$3:$F$118&lt;&gt;"")),HISTORIAL!$I$3:$I$118),"")</f>
        <v/>
      </c>
      <c r="K120" s="58" t="str">
        <f>IFERROR(IF(OR(G120="",N120="SIN"),"--",IF(N120="SUBIR_F",IF(F120="polea",IFERROR(INDEX(CONFIG!$B$25:$B$40,MATCH(G120,CONFIG!$B$25:$B$40,0)+2),IFERROR(INDEX(CONFIG!$B$25:$B$40,MATCH(G120,CONFIG!$B$25:$B$40,0)+1),G120)),G120+5),IF(OR(N120="SUBIR",N120="SUBIR_E"),IF(F120="polea",IFERROR(INDEX(CONFIG!$B$25:$B$40,MATCH(G120,CONFIG!$B$25:$B$40,0)+1),G120),G120+2.5),IF(N120="BAJAR",IF(F120="polea",IFERROR(INDEX(CONFIG!$B$25:$B$40,MAX(1,MATCH(G120,CONFIG!$B$25:$B$40,0)-1)),G120),MAX(0,G120-2.5)),G120)))),"--")</f>
        <v>--</v>
      </c>
      <c r="L120" s="59" t="str">
        <f>IFERROR(IF(N120="SIN","--",IF(N120="MANT",IF(H120="","--",H120+1),IFERROR(VLOOKUP(CONFIG!$E$2,CONFIG!$A$6:$E$8,2,0),"--"))),"--")</f>
        <v>--</v>
      </c>
      <c r="M120" s="59" t="str">
        <f>IFERROR(IF(N120="SIN","--",IF(CONFIG!$E$2="HIP",2,IF(CONFIG!$E$2="FUE",1,2))),"--")</f>
        <v>--</v>
      </c>
      <c r="N120" s="53" t="str">
        <f>IFERROR(IF(G120="","SIN",IF(O120=1,"SUBIR_E",IF(H120&lt;IFERROR(VLOOKUP(CONFIG!$E$2,CONFIG!$A$6:$E$8,2,0),6),"BAJAR",IF(H120+I120&gt;=IFERROR(VLOOKUP(CONFIG!$E$2,CONFIG!$A$6:$E$8,3,0),12),"SUBIR_F",IF(AND(H120&gt;=IFERROR(VLOOKUP(CONFIG!$E$2,CONFIG!$A$6:$E$8,2,0),6)+2,I120&gt;=2),"SUBIR",IF(I120&gt;IFERROR(VLOOKUP(CONFIG!$E$2,CONFIG!$A$6:$E$8,5,0),3),"SUBIR","MANT")))))),"SIN")</f>
        <v>SIN</v>
      </c>
      <c r="O120" s="55">
        <f>IF(COUNTIFS(HISTORIAL!$O$3:$O$118,D120&amp;"|"&amp;E120,HISTORIAL!$F$3:$F$118,"&gt;0")&lt;2,0,IF(COUNTIFS(HISTORIAL!$O$3:$O$118,D120&amp;"|"&amp;E120,HISTORIAL!$F$3:$F$118,IFERROR(LOOKUP(2,1/((HISTORIAL!$O$3:$O$118=D120&amp;"|"&amp;E120)*(HISTORIAL!$F$3:$F$118&gt;0)),HISTORIAL!$F$3:$F$118),0))&gt;=2,IF(IFERROR(LOOKUP(2,1/((HISTORIAL!$O$3:$O$118=D120&amp;"|"&amp;E120)*(HISTORIAL!$F$3:$F$118&gt;0)),HISTORIAL!$G$3:$G$118),0)&gt;0,IF(F120&gt;0,IF(G120&lt;=IFERROR(LOOKUP(2,1/((HISTORIAL!$O$3:$O$118=D120&amp;"|"&amp;E120)*(HISTORIAL!$F$3:$F$118&gt;0)),HISTORIAL!$G$3:$G$118),0),1,0),0),0),0))</f>
        <v>0</v>
      </c>
    </row>
    <row r="121" spans="1:15" ht="14.1" customHeight="1">
      <c r="A121" s="37">
        <v>2</v>
      </c>
      <c r="B121" s="37" t="s">
        <v>281</v>
      </c>
      <c r="C121" s="37">
        <v>5</v>
      </c>
      <c r="D121" s="56" t="str">
        <f>SABADO!$A$43</f>
        <v>Curl Biceps</v>
      </c>
      <c r="E121" s="57" t="str">
        <f>SABADO!$B$43</f>
        <v>Concentrado Maquina</v>
      </c>
      <c r="F121" s="37" t="str">
        <f>SABADO!$C$43</f>
        <v>polea</v>
      </c>
      <c r="G121" s="37" t="str">
        <f>IFERROR(LOOKUP(2,1/((HISTORIAL!$O$3:$O$119=D121&amp;"|"&amp;E121)*(HISTORIAL!$F$3:$F$119&lt;&gt;"")),HISTORIAL!$F$3:$F$119),"")</f>
        <v/>
      </c>
      <c r="H121" s="37" t="str">
        <f>IFERROR(LOOKUP(2,1/((HISTORIAL!$O$3:$O$119=D121&amp;"|"&amp;E121)*(HISTORIAL!$F$3:$F$119&lt;&gt;"")),HISTORIAL!$G$3:$G$119),"")</f>
        <v/>
      </c>
      <c r="I121" s="37" t="str">
        <f>IFERROR(LOOKUP(2,1/((HISTORIAL!$O$3:$O$119=D121&amp;"|"&amp;E121)*(HISTORIAL!$F$3:$F$119&lt;&gt;"")),HISTORIAL!$H$3:$H$119),"")</f>
        <v/>
      </c>
      <c r="J121" s="37" t="str">
        <f>IFERROR(LOOKUP(2,1/((HISTORIAL!$O$3:$O$119=D121&amp;"|"&amp;E121)*(HISTORIAL!$F$3:$F$119&lt;&gt;"")),HISTORIAL!$I$3:$I$119),"")</f>
        <v/>
      </c>
      <c r="K121" s="58" t="str">
        <f>IFERROR(IF(OR(G121="",N121="SIN"),"--",IF(N121="SUBIR_F",IF(F121="polea",IFERROR(INDEX(CONFIG!$B$25:$B$40,MATCH(G121,CONFIG!$B$25:$B$40,0)+2),IFERROR(INDEX(CONFIG!$B$25:$B$40,MATCH(G121,CONFIG!$B$25:$B$40,0)+1),G121)),G121+5),IF(OR(N121="SUBIR",N121="SUBIR_E"),IF(F121="polea",IFERROR(INDEX(CONFIG!$B$25:$B$40,MATCH(G121,CONFIG!$B$25:$B$40,0)+1),G121),G121+2.5),IF(N121="BAJAR",IF(F121="polea",IFERROR(INDEX(CONFIG!$B$25:$B$40,MAX(1,MATCH(G121,CONFIG!$B$25:$B$40,0)-1)),G121),MAX(0,G121-2.5)),G121)))),"--")</f>
        <v>--</v>
      </c>
      <c r="L121" s="59" t="str">
        <f>IFERROR(IF(N121="SIN","--",IF(N121="MANT",IF(H121="","--",H121+1),IFERROR(VLOOKUP(CONFIG!$E$2,CONFIG!$A$6:$E$8,2,0),"--"))),"--")</f>
        <v>--</v>
      </c>
      <c r="M121" s="59" t="str">
        <f>IFERROR(IF(N121="SIN","--",IF(CONFIG!$E$2="HIP",2,IF(CONFIG!$E$2="FUE",1,2))),"--")</f>
        <v>--</v>
      </c>
      <c r="N121" s="53" t="str">
        <f>IFERROR(IF(G121="","SIN",IF(O121=1,"SUBIR_E",IF(H121&lt;IFERROR(VLOOKUP(CONFIG!$E$2,CONFIG!$A$6:$E$8,2,0),6),"BAJAR",IF(H121+I121&gt;=IFERROR(VLOOKUP(CONFIG!$E$2,CONFIG!$A$6:$E$8,3,0),12),"SUBIR_F",IF(AND(H121&gt;=IFERROR(VLOOKUP(CONFIG!$E$2,CONFIG!$A$6:$E$8,2,0),6)+2,I121&gt;=2),"SUBIR",IF(I121&gt;IFERROR(VLOOKUP(CONFIG!$E$2,CONFIG!$A$6:$E$8,5,0),3),"SUBIR","MANT")))))),"SIN")</f>
        <v>SIN</v>
      </c>
      <c r="O121" s="55">
        <f>IF(COUNTIFS(HISTORIAL!$O$3:$O$119,D121&amp;"|"&amp;E121,HISTORIAL!$F$3:$F$119,"&gt;0")&lt;2,0,IF(COUNTIFS(HISTORIAL!$O$3:$O$119,D121&amp;"|"&amp;E121,HISTORIAL!$F$3:$F$119,IFERROR(LOOKUP(2,1/((HISTORIAL!$O$3:$O$119=D121&amp;"|"&amp;E121)*(HISTORIAL!$F$3:$F$119&gt;0)),HISTORIAL!$F$3:$F$119),0))&gt;=2,IF(IFERROR(LOOKUP(2,1/((HISTORIAL!$O$3:$O$119=D121&amp;"|"&amp;E121)*(HISTORIAL!$F$3:$F$119&gt;0)),HISTORIAL!$G$3:$G$119),0)&gt;0,IF(F121&gt;0,IF(G121&lt;=IFERROR(LOOKUP(2,1/((HISTORIAL!$O$3:$O$119=D121&amp;"|"&amp;E121)*(HISTORIAL!$F$3:$F$119&gt;0)),HISTORIAL!$G$3:$G$119),0),1,0),0),0),0))</f>
        <v>0</v>
      </c>
    </row>
    <row r="122" spans="1:15" ht="14.1" customHeight="1">
      <c r="A122" s="37">
        <v>2</v>
      </c>
      <c r="B122" s="37" t="s">
        <v>281</v>
      </c>
      <c r="C122" s="37">
        <v>6</v>
      </c>
      <c r="D122" s="56" t="str">
        <f>SABADO!$A$44</f>
        <v>Curl Martillo</v>
      </c>
      <c r="E122" s="57" t="str">
        <f>SABADO!$B$44</f>
        <v>Polea Individual</v>
      </c>
      <c r="F122" s="37" t="str">
        <f>SABADO!$C$44</f>
        <v>polea</v>
      </c>
      <c r="G122" s="37" t="str">
        <f>IFERROR(LOOKUP(2,1/((HISTORIAL!$O$3:$O$120=D122&amp;"|"&amp;E122)*(HISTORIAL!$F$3:$F$120&lt;&gt;"")),HISTORIAL!$F$3:$F$120),"")</f>
        <v/>
      </c>
      <c r="H122" s="37" t="str">
        <f>IFERROR(LOOKUP(2,1/((HISTORIAL!$O$3:$O$120=D122&amp;"|"&amp;E122)*(HISTORIAL!$F$3:$F$120&lt;&gt;"")),HISTORIAL!$G$3:$G$120),"")</f>
        <v/>
      </c>
      <c r="I122" s="37" t="str">
        <f>IFERROR(LOOKUP(2,1/((HISTORIAL!$O$3:$O$120=D122&amp;"|"&amp;E122)*(HISTORIAL!$F$3:$F$120&lt;&gt;"")),HISTORIAL!$H$3:$H$120),"")</f>
        <v/>
      </c>
      <c r="J122" s="37" t="str">
        <f>IFERROR(LOOKUP(2,1/((HISTORIAL!$O$3:$O$120=D122&amp;"|"&amp;E122)*(HISTORIAL!$F$3:$F$120&lt;&gt;"")),HISTORIAL!$I$3:$I$120),"")</f>
        <v/>
      </c>
      <c r="K122" s="58" t="str">
        <f>IFERROR(IF(OR(G122="",N122="SIN"),"--",IF(N122="SUBIR_F",IF(F122="polea",IFERROR(INDEX(CONFIG!$B$25:$B$40,MATCH(G122,CONFIG!$B$25:$B$40,0)+2),IFERROR(INDEX(CONFIG!$B$25:$B$40,MATCH(G122,CONFIG!$B$25:$B$40,0)+1),G122)),G122+5),IF(OR(N122="SUBIR",N122="SUBIR_E"),IF(F122="polea",IFERROR(INDEX(CONFIG!$B$25:$B$40,MATCH(G122,CONFIG!$B$25:$B$40,0)+1),G122),G122+2.5),IF(N122="BAJAR",IF(F122="polea",IFERROR(INDEX(CONFIG!$B$25:$B$40,MAX(1,MATCH(G122,CONFIG!$B$25:$B$40,0)-1)),G122),MAX(0,G122-2.5)),G122)))),"--")</f>
        <v>--</v>
      </c>
      <c r="L122" s="59" t="str">
        <f>IFERROR(IF(N122="SIN","--",IF(N122="MANT",IF(H122="","--",H122+1),IFERROR(VLOOKUP(CONFIG!$E$2,CONFIG!$A$6:$E$8,2,0),"--"))),"--")</f>
        <v>--</v>
      </c>
      <c r="M122" s="59" t="str">
        <f>IFERROR(IF(N122="SIN","--",IF(CONFIG!$E$2="HIP",2,IF(CONFIG!$E$2="FUE",1,2))),"--")</f>
        <v>--</v>
      </c>
      <c r="N122" s="53" t="str">
        <f>IFERROR(IF(G122="","SIN",IF(O122=1,"SUBIR_E",IF(H122&lt;IFERROR(VLOOKUP(CONFIG!$E$2,CONFIG!$A$6:$E$8,2,0),6),"BAJAR",IF(H122+I122&gt;=IFERROR(VLOOKUP(CONFIG!$E$2,CONFIG!$A$6:$E$8,3,0),12),"SUBIR_F",IF(AND(H122&gt;=IFERROR(VLOOKUP(CONFIG!$E$2,CONFIG!$A$6:$E$8,2,0),6)+2,I122&gt;=2),"SUBIR",IF(I122&gt;IFERROR(VLOOKUP(CONFIG!$E$2,CONFIG!$A$6:$E$8,5,0),3),"SUBIR","MANT")))))),"SIN")</f>
        <v>SIN</v>
      </c>
      <c r="O122" s="55">
        <f>IF(COUNTIFS(HISTORIAL!$O$3:$O$120,D122&amp;"|"&amp;E122,HISTORIAL!$F$3:$F$120,"&gt;0")&lt;2,0,IF(COUNTIFS(HISTORIAL!$O$3:$O$120,D122&amp;"|"&amp;E122,HISTORIAL!$F$3:$F$120,IFERROR(LOOKUP(2,1/((HISTORIAL!$O$3:$O$120=D122&amp;"|"&amp;E122)*(HISTORIAL!$F$3:$F$120&gt;0)),HISTORIAL!$F$3:$F$120),0))&gt;=2,IF(IFERROR(LOOKUP(2,1/((HISTORIAL!$O$3:$O$120=D122&amp;"|"&amp;E122)*(HISTORIAL!$F$3:$F$120&gt;0)),HISTORIAL!$G$3:$G$120),0)&gt;0,IF(F122&gt;0,IF(G122&lt;=IFERROR(LOOKUP(2,1/((HISTORIAL!$O$3:$O$120=D122&amp;"|"&amp;E122)*(HISTORIAL!$F$3:$F$120&gt;0)),HISTORIAL!$G$3:$G$120),0),1,0),0),0),0))</f>
        <v>0</v>
      </c>
    </row>
    <row r="123" spans="1:15" ht="14.1" customHeight="1">
      <c r="A123" s="37">
        <v>2</v>
      </c>
      <c r="B123" s="37" t="s">
        <v>281</v>
      </c>
      <c r="C123" s="37">
        <v>7</v>
      </c>
      <c r="D123" s="56" t="str">
        <f>SABADO!$A$46</f>
        <v>Curl Muneca</v>
      </c>
      <c r="E123" s="57" t="str">
        <f>SABADO!$B$46</f>
        <v>Supinado</v>
      </c>
      <c r="F123" s="37" t="str">
        <f>SABADO!$C$46</f>
        <v>mancuerna</v>
      </c>
      <c r="G123" s="37" t="str">
        <f>IFERROR(LOOKUP(2,1/((HISTORIAL!$O$3:$O$121=D123&amp;"|"&amp;E123)*(HISTORIAL!$F$3:$F$121&lt;&gt;"")),HISTORIAL!$F$3:$F$121),"")</f>
        <v/>
      </c>
      <c r="H123" s="37" t="str">
        <f>IFERROR(LOOKUP(2,1/((HISTORIAL!$O$3:$O$121=D123&amp;"|"&amp;E123)*(HISTORIAL!$F$3:$F$121&lt;&gt;"")),HISTORIAL!$G$3:$G$121),"")</f>
        <v/>
      </c>
      <c r="I123" s="37" t="str">
        <f>IFERROR(LOOKUP(2,1/((HISTORIAL!$O$3:$O$121=D123&amp;"|"&amp;E123)*(HISTORIAL!$F$3:$F$121&lt;&gt;"")),HISTORIAL!$H$3:$H$121),"")</f>
        <v/>
      </c>
      <c r="J123" s="37" t="str">
        <f>IFERROR(LOOKUP(2,1/((HISTORIAL!$O$3:$O$121=D123&amp;"|"&amp;E123)*(HISTORIAL!$F$3:$F$121&lt;&gt;"")),HISTORIAL!$I$3:$I$121),"")</f>
        <v/>
      </c>
      <c r="K123" s="58" t="str">
        <f>IFERROR(IF(OR(G123="",N123="SIN"),"--",IF(N123="SUBIR_F",IF(F123="polea",IFERROR(INDEX(CONFIG!$B$25:$B$40,MATCH(G123,CONFIG!$B$25:$B$40,0)+2),IFERROR(INDEX(CONFIG!$B$25:$B$40,MATCH(G123,CONFIG!$B$25:$B$40,0)+1),G123)),G123+5),IF(OR(N123="SUBIR",N123="SUBIR_E"),IF(F123="polea",IFERROR(INDEX(CONFIG!$B$25:$B$40,MATCH(G123,CONFIG!$B$25:$B$40,0)+1),G123),G123+2.5),IF(N123="BAJAR",IF(F123="polea",IFERROR(INDEX(CONFIG!$B$25:$B$40,MAX(1,MATCH(G123,CONFIG!$B$25:$B$40,0)-1)),G123),MAX(0,G123-2.5)),G123)))),"--")</f>
        <v>--</v>
      </c>
      <c r="L123" s="59" t="str">
        <f>IFERROR(IF(N123="SIN","--",IF(N123="MANT",IF(H123="","--",H123+1),IFERROR(VLOOKUP(CONFIG!$E$2,CONFIG!$A$6:$E$8,2,0),"--"))),"--")</f>
        <v>--</v>
      </c>
      <c r="M123" s="59" t="str">
        <f>IFERROR(IF(N123="SIN","--",IF(CONFIG!$E$2="HIP",2,IF(CONFIG!$E$2="FUE",1,2))),"--")</f>
        <v>--</v>
      </c>
      <c r="N123" s="53" t="str">
        <f>IFERROR(IF(G123="","SIN",IF(O123=1,"SUBIR_E",IF(H123&lt;IFERROR(VLOOKUP(CONFIG!$E$2,CONFIG!$A$6:$E$8,2,0),6),"BAJAR",IF(H123+I123&gt;=IFERROR(VLOOKUP(CONFIG!$E$2,CONFIG!$A$6:$E$8,3,0),12),"SUBIR_F",IF(AND(H123&gt;=IFERROR(VLOOKUP(CONFIG!$E$2,CONFIG!$A$6:$E$8,2,0),6)+2,I123&gt;=2),"SUBIR",IF(I123&gt;IFERROR(VLOOKUP(CONFIG!$E$2,CONFIG!$A$6:$E$8,5,0),3),"SUBIR","MANT")))))),"SIN")</f>
        <v>SIN</v>
      </c>
      <c r="O123" s="55">
        <f>IF(COUNTIFS(HISTORIAL!$O$3:$O$121,D123&amp;"|"&amp;E123,HISTORIAL!$F$3:$F$121,"&gt;0")&lt;2,0,IF(COUNTIFS(HISTORIAL!$O$3:$O$121,D123&amp;"|"&amp;E123,HISTORIAL!$F$3:$F$121,IFERROR(LOOKUP(2,1/((HISTORIAL!$O$3:$O$121=D123&amp;"|"&amp;E123)*(HISTORIAL!$F$3:$F$121&gt;0)),HISTORIAL!$F$3:$F$121),0))&gt;=2,IF(IFERROR(LOOKUP(2,1/((HISTORIAL!$O$3:$O$121=D123&amp;"|"&amp;E123)*(HISTORIAL!$F$3:$F$121&gt;0)),HISTORIAL!$G$3:$G$121),0)&gt;0,IF(F123&gt;0,IF(G123&lt;=IFERROR(LOOKUP(2,1/((HISTORIAL!$O$3:$O$121=D123&amp;"|"&amp;E123)*(HISTORIAL!$F$3:$F$121&gt;0)),HISTORIAL!$G$3:$G$121),0),1,0),0),0),0))</f>
        <v>0</v>
      </c>
    </row>
    <row r="124" spans="1:15" ht="14.1" customHeight="1">
      <c r="A124" s="37">
        <v>2</v>
      </c>
      <c r="B124" s="37" t="s">
        <v>281</v>
      </c>
      <c r="C124" s="37">
        <v>8</v>
      </c>
      <c r="D124" s="56" t="str">
        <f>SABADO!$A$47</f>
        <v>Curl Muneca</v>
      </c>
      <c r="E124" s="57" t="str">
        <f>SABADO!$B$47</f>
        <v>Pronado</v>
      </c>
      <c r="F124" s="37" t="str">
        <f>SABADO!$C$47</f>
        <v>mancuerna</v>
      </c>
      <c r="G124" s="37" t="str">
        <f>IFERROR(LOOKUP(2,1/((HISTORIAL!$O$3:$O$122=D124&amp;"|"&amp;E124)*(HISTORIAL!$F$3:$F$122&lt;&gt;"")),HISTORIAL!$F$3:$F$122),"")</f>
        <v/>
      </c>
      <c r="H124" s="37" t="str">
        <f>IFERROR(LOOKUP(2,1/((HISTORIAL!$O$3:$O$122=D124&amp;"|"&amp;E124)*(HISTORIAL!$F$3:$F$122&lt;&gt;"")),HISTORIAL!$G$3:$G$122),"")</f>
        <v/>
      </c>
      <c r="I124" s="37" t="str">
        <f>IFERROR(LOOKUP(2,1/((HISTORIAL!$O$3:$O$122=D124&amp;"|"&amp;E124)*(HISTORIAL!$F$3:$F$122&lt;&gt;"")),HISTORIAL!$H$3:$H$122),"")</f>
        <v/>
      </c>
      <c r="J124" s="37" t="str">
        <f>IFERROR(LOOKUP(2,1/((HISTORIAL!$O$3:$O$122=D124&amp;"|"&amp;E124)*(HISTORIAL!$F$3:$F$122&lt;&gt;"")),HISTORIAL!$I$3:$I$122),"")</f>
        <v/>
      </c>
      <c r="K124" s="58" t="str">
        <f>IFERROR(IF(OR(G124="",N124="SIN"),"--",IF(N124="SUBIR_F",IF(F124="polea",IFERROR(INDEX(CONFIG!$B$25:$B$40,MATCH(G124,CONFIG!$B$25:$B$40,0)+2),IFERROR(INDEX(CONFIG!$B$25:$B$40,MATCH(G124,CONFIG!$B$25:$B$40,0)+1),G124)),G124+5),IF(OR(N124="SUBIR",N124="SUBIR_E"),IF(F124="polea",IFERROR(INDEX(CONFIG!$B$25:$B$40,MATCH(G124,CONFIG!$B$25:$B$40,0)+1),G124),G124+2.5),IF(N124="BAJAR",IF(F124="polea",IFERROR(INDEX(CONFIG!$B$25:$B$40,MAX(1,MATCH(G124,CONFIG!$B$25:$B$40,0)-1)),G124),MAX(0,G124-2.5)),G124)))),"--")</f>
        <v>--</v>
      </c>
      <c r="L124" s="59" t="str">
        <f>IFERROR(IF(N124="SIN","--",IF(N124="MANT",IF(H124="","--",H124+1),IFERROR(VLOOKUP(CONFIG!$E$2,CONFIG!$A$6:$E$8,2,0),"--"))),"--")</f>
        <v>--</v>
      </c>
      <c r="M124" s="59" t="str">
        <f>IFERROR(IF(N124="SIN","--",IF(CONFIG!$E$2="HIP",2,IF(CONFIG!$E$2="FUE",1,2))),"--")</f>
        <v>--</v>
      </c>
      <c r="N124" s="53" t="str">
        <f>IFERROR(IF(G124="","SIN",IF(O124=1,"SUBIR_E",IF(H124&lt;IFERROR(VLOOKUP(CONFIG!$E$2,CONFIG!$A$6:$E$8,2,0),6),"BAJAR",IF(H124+I124&gt;=IFERROR(VLOOKUP(CONFIG!$E$2,CONFIG!$A$6:$E$8,3,0),12),"SUBIR_F",IF(AND(H124&gt;=IFERROR(VLOOKUP(CONFIG!$E$2,CONFIG!$A$6:$E$8,2,0),6)+2,I124&gt;=2),"SUBIR",IF(I124&gt;IFERROR(VLOOKUP(CONFIG!$E$2,CONFIG!$A$6:$E$8,5,0),3),"SUBIR","MANT")))))),"SIN")</f>
        <v>SIN</v>
      </c>
      <c r="O124" s="55">
        <f>IF(COUNTIFS(HISTORIAL!$O$3:$O$122,D124&amp;"|"&amp;E124,HISTORIAL!$F$3:$F$122,"&gt;0")&lt;2,0,IF(COUNTIFS(HISTORIAL!$O$3:$O$122,D124&amp;"|"&amp;E124,HISTORIAL!$F$3:$F$122,IFERROR(LOOKUP(2,1/((HISTORIAL!$O$3:$O$122=D124&amp;"|"&amp;E124)*(HISTORIAL!$F$3:$F$122&gt;0)),HISTORIAL!$F$3:$F$122),0))&gt;=2,IF(IFERROR(LOOKUP(2,1/((HISTORIAL!$O$3:$O$122=D124&amp;"|"&amp;E124)*(HISTORIAL!$F$3:$F$122&gt;0)),HISTORIAL!$G$3:$G$122),0)&gt;0,IF(F124&gt;0,IF(G124&lt;=IFERROR(LOOKUP(2,1/((HISTORIAL!$O$3:$O$122=D124&amp;"|"&amp;E124)*(HISTORIAL!$F$3:$F$122&gt;0)),HISTORIAL!$G$3:$G$122),0),1,0),0),0),0))</f>
        <v>0</v>
      </c>
    </row>
    <row r="125" spans="1:15" ht="14.1" customHeight="1">
      <c r="A125" s="37">
        <v>2</v>
      </c>
      <c r="B125" s="37" t="s">
        <v>281</v>
      </c>
      <c r="C125" s="37">
        <v>9</v>
      </c>
      <c r="D125" s="56" t="str">
        <f>SABADO!$A$49</f>
        <v>Elevaciones Laterales</v>
      </c>
      <c r="E125" s="57" t="str">
        <f>SABADO!$B$49</f>
        <v>Cable Polea Individual</v>
      </c>
      <c r="F125" s="37" t="str">
        <f>SABADO!$C$49</f>
        <v>polea</v>
      </c>
      <c r="G125" s="37" t="str">
        <f>IFERROR(LOOKUP(2,1/((HISTORIAL!$O$3:$O$123=D125&amp;"|"&amp;E125)*(HISTORIAL!$F$3:$F$123&lt;&gt;"")),HISTORIAL!$F$3:$F$123),"")</f>
        <v/>
      </c>
      <c r="H125" s="37" t="str">
        <f>IFERROR(LOOKUP(2,1/((HISTORIAL!$O$3:$O$123=D125&amp;"|"&amp;E125)*(HISTORIAL!$F$3:$F$123&lt;&gt;"")),HISTORIAL!$G$3:$G$123),"")</f>
        <v/>
      </c>
      <c r="I125" s="37" t="str">
        <f>IFERROR(LOOKUP(2,1/((HISTORIAL!$O$3:$O$123=D125&amp;"|"&amp;E125)*(HISTORIAL!$F$3:$F$123&lt;&gt;"")),HISTORIAL!$H$3:$H$123),"")</f>
        <v/>
      </c>
      <c r="J125" s="37" t="str">
        <f>IFERROR(LOOKUP(2,1/((HISTORIAL!$O$3:$O$123=D125&amp;"|"&amp;E125)*(HISTORIAL!$F$3:$F$123&lt;&gt;"")),HISTORIAL!$I$3:$I$123),"")</f>
        <v/>
      </c>
      <c r="K125" s="58" t="str">
        <f>IFERROR(IF(OR(G125="",N125="SIN"),"--",IF(N125="SUBIR_F",IF(F125="polea",IFERROR(INDEX(CONFIG!$B$25:$B$40,MATCH(G125,CONFIG!$B$25:$B$40,0)+2),IFERROR(INDEX(CONFIG!$B$25:$B$40,MATCH(G125,CONFIG!$B$25:$B$40,0)+1),G125)),G125+5),IF(OR(N125="SUBIR",N125="SUBIR_E"),IF(F125="polea",IFERROR(INDEX(CONFIG!$B$25:$B$40,MATCH(G125,CONFIG!$B$25:$B$40,0)+1),G125),G125+2.5),IF(N125="BAJAR",IF(F125="polea",IFERROR(INDEX(CONFIG!$B$25:$B$40,MAX(1,MATCH(G125,CONFIG!$B$25:$B$40,0)-1)),G125),MAX(0,G125-2.5)),G125)))),"--")</f>
        <v>--</v>
      </c>
      <c r="L125" s="59" t="str">
        <f>IFERROR(IF(N125="SIN","--",IF(N125="MANT",IF(H125="","--",H125+1),IFERROR(VLOOKUP(CONFIG!$E$2,CONFIG!$A$6:$E$8,2,0),"--"))),"--")</f>
        <v>--</v>
      </c>
      <c r="M125" s="59" t="str">
        <f>IFERROR(IF(N125="SIN","--",IF(CONFIG!$E$2="HIP",2,IF(CONFIG!$E$2="FUE",1,2))),"--")</f>
        <v>--</v>
      </c>
      <c r="N125" s="53" t="str">
        <f>IFERROR(IF(G125="","SIN",IF(O125=1,"SUBIR_E",IF(H125&lt;IFERROR(VLOOKUP(CONFIG!$E$2,CONFIG!$A$6:$E$8,2,0),6),"BAJAR",IF(H125+I125&gt;=IFERROR(VLOOKUP(CONFIG!$E$2,CONFIG!$A$6:$E$8,3,0),12),"SUBIR_F",IF(AND(H125&gt;=IFERROR(VLOOKUP(CONFIG!$E$2,CONFIG!$A$6:$E$8,2,0),6)+2,I125&gt;=2),"SUBIR",IF(I125&gt;IFERROR(VLOOKUP(CONFIG!$E$2,CONFIG!$A$6:$E$8,5,0),3),"SUBIR","MANT")))))),"SIN")</f>
        <v>SIN</v>
      </c>
      <c r="O125" s="55">
        <f>IF(COUNTIFS(HISTORIAL!$O$3:$O$123,D125&amp;"|"&amp;E125,HISTORIAL!$F$3:$F$123,"&gt;0")&lt;2,0,IF(COUNTIFS(HISTORIAL!$O$3:$O$123,D125&amp;"|"&amp;E125,HISTORIAL!$F$3:$F$123,IFERROR(LOOKUP(2,1/((HISTORIAL!$O$3:$O$123=D125&amp;"|"&amp;E125)*(HISTORIAL!$F$3:$F$123&gt;0)),HISTORIAL!$F$3:$F$123),0))&gt;=2,IF(IFERROR(LOOKUP(2,1/((HISTORIAL!$O$3:$O$123=D125&amp;"|"&amp;E125)*(HISTORIAL!$F$3:$F$123&gt;0)),HISTORIAL!$G$3:$G$123),0)&gt;0,IF(F125&gt;0,IF(G125&lt;=IFERROR(LOOKUP(2,1/((HISTORIAL!$O$3:$O$123=D125&amp;"|"&amp;E125)*(HISTORIAL!$F$3:$F$123&gt;0)),HISTORIAL!$G$3:$G$123),0),1,0),0),0),0))</f>
        <v>0</v>
      </c>
    </row>
    <row r="126" spans="1:15" ht="14.1" customHeight="1">
      <c r="A126" s="37">
        <v>2</v>
      </c>
      <c r="B126" s="37" t="s">
        <v>281</v>
      </c>
      <c r="C126" s="37">
        <v>10</v>
      </c>
      <c r="D126" s="56" t="str">
        <f>SABADO!$A$51</f>
        <v>Encogimientos</v>
      </c>
      <c r="E126" s="57" t="str">
        <f>SABADO!$B$51</f>
        <v>Mancuernas Trapecio</v>
      </c>
      <c r="F126" s="37" t="str">
        <f>SABADO!$C$51</f>
        <v>mancuerna</v>
      </c>
      <c r="G126" s="37" t="str">
        <f>IFERROR(LOOKUP(2,1/((HISTORIAL!$O$3:$O$124=D126&amp;"|"&amp;E126)*(HISTORIAL!$F$3:$F$124&lt;&gt;"")),HISTORIAL!$F$3:$F$124),"")</f>
        <v/>
      </c>
      <c r="H126" s="37" t="str">
        <f>IFERROR(LOOKUP(2,1/((HISTORIAL!$O$3:$O$124=D126&amp;"|"&amp;E126)*(HISTORIAL!$F$3:$F$124&lt;&gt;"")),HISTORIAL!$G$3:$G$124),"")</f>
        <v/>
      </c>
      <c r="I126" s="37" t="str">
        <f>IFERROR(LOOKUP(2,1/((HISTORIAL!$O$3:$O$124=D126&amp;"|"&amp;E126)*(HISTORIAL!$F$3:$F$124&lt;&gt;"")),HISTORIAL!$H$3:$H$124),"")</f>
        <v/>
      </c>
      <c r="J126" s="37" t="str">
        <f>IFERROR(LOOKUP(2,1/((HISTORIAL!$O$3:$O$124=D126&amp;"|"&amp;E126)*(HISTORIAL!$F$3:$F$124&lt;&gt;"")),HISTORIAL!$I$3:$I$124),"")</f>
        <v/>
      </c>
      <c r="K126" s="58" t="str">
        <f>IFERROR(IF(OR(G126="",N126="SIN"),"--",IF(N126="SUBIR_F",IF(F126="polea",IFERROR(INDEX(CONFIG!$B$25:$B$40,MATCH(G126,CONFIG!$B$25:$B$40,0)+2),IFERROR(INDEX(CONFIG!$B$25:$B$40,MATCH(G126,CONFIG!$B$25:$B$40,0)+1),G126)),G126+5),IF(OR(N126="SUBIR",N126="SUBIR_E"),IF(F126="polea",IFERROR(INDEX(CONFIG!$B$25:$B$40,MATCH(G126,CONFIG!$B$25:$B$40,0)+1),G126),G126+2.5),IF(N126="BAJAR",IF(F126="polea",IFERROR(INDEX(CONFIG!$B$25:$B$40,MAX(1,MATCH(G126,CONFIG!$B$25:$B$40,0)-1)),G126),MAX(0,G126-2.5)),G126)))),"--")</f>
        <v>--</v>
      </c>
      <c r="L126" s="59" t="str">
        <f>IFERROR(IF(N126="SIN","--",IF(N126="MANT",IF(H126="","--",H126+1),IFERROR(VLOOKUP(CONFIG!$E$2,CONFIG!$A$6:$E$8,2,0),"--"))),"--")</f>
        <v>--</v>
      </c>
      <c r="M126" s="59" t="str">
        <f>IFERROR(IF(N126="SIN","--",IF(CONFIG!$E$2="HIP",2,IF(CONFIG!$E$2="FUE",1,2))),"--")</f>
        <v>--</v>
      </c>
      <c r="N126" s="53" t="str">
        <f>IFERROR(IF(G126="","SIN",IF(O126=1,"SUBIR_E",IF(H126&lt;IFERROR(VLOOKUP(CONFIG!$E$2,CONFIG!$A$6:$E$8,2,0),6),"BAJAR",IF(H126+I126&gt;=IFERROR(VLOOKUP(CONFIG!$E$2,CONFIG!$A$6:$E$8,3,0),12),"SUBIR_F",IF(AND(H126&gt;=IFERROR(VLOOKUP(CONFIG!$E$2,CONFIG!$A$6:$E$8,2,0),6)+2,I126&gt;=2),"SUBIR",IF(I126&gt;IFERROR(VLOOKUP(CONFIG!$E$2,CONFIG!$A$6:$E$8,5,0),3),"SUBIR","MANT")))))),"SIN")</f>
        <v>SIN</v>
      </c>
      <c r="O126" s="55">
        <f>IF(COUNTIFS(HISTORIAL!$O$3:$O$124,D126&amp;"|"&amp;E126,HISTORIAL!$F$3:$F$124,"&gt;0")&lt;2,0,IF(COUNTIFS(HISTORIAL!$O$3:$O$124,D126&amp;"|"&amp;E126,HISTORIAL!$F$3:$F$124,IFERROR(LOOKUP(2,1/((HISTORIAL!$O$3:$O$124=D126&amp;"|"&amp;E126)*(HISTORIAL!$F$3:$F$124&gt;0)),HISTORIAL!$F$3:$F$124),0))&gt;=2,IF(IFERROR(LOOKUP(2,1/((HISTORIAL!$O$3:$O$124=D126&amp;"|"&amp;E126)*(HISTORIAL!$F$3:$F$124&gt;0)),HISTORIAL!$G$3:$G$124),0)&gt;0,IF(F126&gt;0,IF(G126&lt;=IFERROR(LOOKUP(2,1/((HISTORIAL!$O$3:$O$124=D126&amp;"|"&amp;E126)*(HISTORIAL!$F$3:$F$124&gt;0)),HISTORIAL!$G$3:$G$124),0),1,0),0),0),0))</f>
        <v>0</v>
      </c>
    </row>
    <row r="127" spans="1:15" ht="14.1" customHeight="1">
      <c r="A127" s="37">
        <v>2</v>
      </c>
      <c r="B127" s="37" t="s">
        <v>281</v>
      </c>
      <c r="C127" s="37">
        <v>11</v>
      </c>
      <c r="D127" s="56" t="str">
        <f>SABADO!$A$52</f>
        <v>Face Pull</v>
      </c>
      <c r="E127" s="57" t="str">
        <f>SABADO!$B$52</f>
        <v>Polea Alta Cuerda</v>
      </c>
      <c r="F127" s="37" t="str">
        <f>SABADO!$C$52</f>
        <v>polea</v>
      </c>
      <c r="G127" s="37" t="str">
        <f>IFERROR(LOOKUP(2,1/((HISTORIAL!$O$3:$O$125=D127&amp;"|"&amp;E127)*(HISTORIAL!$F$3:$F$125&lt;&gt;"")),HISTORIAL!$F$3:$F$125),"")</f>
        <v/>
      </c>
      <c r="H127" s="37" t="str">
        <f>IFERROR(LOOKUP(2,1/((HISTORIAL!$O$3:$O$125=D127&amp;"|"&amp;E127)*(HISTORIAL!$F$3:$F$125&lt;&gt;"")),HISTORIAL!$G$3:$G$125),"")</f>
        <v/>
      </c>
      <c r="I127" s="37" t="str">
        <f>IFERROR(LOOKUP(2,1/((HISTORIAL!$O$3:$O$125=D127&amp;"|"&amp;E127)*(HISTORIAL!$F$3:$F$125&lt;&gt;"")),HISTORIAL!$H$3:$H$125),"")</f>
        <v/>
      </c>
      <c r="J127" s="37" t="str">
        <f>IFERROR(LOOKUP(2,1/((HISTORIAL!$O$3:$O$125=D127&amp;"|"&amp;E127)*(HISTORIAL!$F$3:$F$125&lt;&gt;"")),HISTORIAL!$I$3:$I$125),"")</f>
        <v/>
      </c>
      <c r="K127" s="58" t="str">
        <f>IFERROR(IF(OR(G127="",N127="SIN"),"--",IF(N127="SUBIR_F",IF(F127="polea",IFERROR(INDEX(CONFIG!$B$25:$B$40,MATCH(G127,CONFIG!$B$25:$B$40,0)+2),IFERROR(INDEX(CONFIG!$B$25:$B$40,MATCH(G127,CONFIG!$B$25:$B$40,0)+1),G127)),G127+5),IF(OR(N127="SUBIR",N127="SUBIR_E"),IF(F127="polea",IFERROR(INDEX(CONFIG!$B$25:$B$40,MATCH(G127,CONFIG!$B$25:$B$40,0)+1),G127),G127+2.5),IF(N127="BAJAR",IF(F127="polea",IFERROR(INDEX(CONFIG!$B$25:$B$40,MAX(1,MATCH(G127,CONFIG!$B$25:$B$40,0)-1)),G127),MAX(0,G127-2.5)),G127)))),"--")</f>
        <v>--</v>
      </c>
      <c r="L127" s="59" t="str">
        <f>IFERROR(IF(N127="SIN","--",IF(N127="MANT",IF(H127="","--",H127+1),IFERROR(VLOOKUP(CONFIG!$E$2,CONFIG!$A$6:$E$8,2,0),"--"))),"--")</f>
        <v>--</v>
      </c>
      <c r="M127" s="59" t="str">
        <f>IFERROR(IF(N127="SIN","--",IF(CONFIG!$E$2="HIP",2,IF(CONFIG!$E$2="FUE",1,2))),"--")</f>
        <v>--</v>
      </c>
      <c r="N127" s="53" t="str">
        <f>IFERROR(IF(G127="","SIN",IF(O127=1,"SUBIR_E",IF(H127&lt;IFERROR(VLOOKUP(CONFIG!$E$2,CONFIG!$A$6:$E$8,2,0),6),"BAJAR",IF(H127+I127&gt;=IFERROR(VLOOKUP(CONFIG!$E$2,CONFIG!$A$6:$E$8,3,0),12),"SUBIR_F",IF(AND(H127&gt;=IFERROR(VLOOKUP(CONFIG!$E$2,CONFIG!$A$6:$E$8,2,0),6)+2,I127&gt;=2),"SUBIR",IF(I127&gt;IFERROR(VLOOKUP(CONFIG!$E$2,CONFIG!$A$6:$E$8,5,0),3),"SUBIR","MANT")))))),"SIN")</f>
        <v>SIN</v>
      </c>
      <c r="O127" s="55">
        <f>IF(COUNTIFS(HISTORIAL!$O$3:$O$125,D127&amp;"|"&amp;E127,HISTORIAL!$F$3:$F$125,"&gt;0")&lt;2,0,IF(COUNTIFS(HISTORIAL!$O$3:$O$125,D127&amp;"|"&amp;E127,HISTORIAL!$F$3:$F$125,IFERROR(LOOKUP(2,1/((HISTORIAL!$O$3:$O$125=D127&amp;"|"&amp;E127)*(HISTORIAL!$F$3:$F$125&gt;0)),HISTORIAL!$F$3:$F$125),0))&gt;=2,IF(IFERROR(LOOKUP(2,1/((HISTORIAL!$O$3:$O$125=D127&amp;"|"&amp;E127)*(HISTORIAL!$F$3:$F$125&gt;0)),HISTORIAL!$G$3:$G$125),0)&gt;0,IF(F127&gt;0,IF(G127&lt;=IFERROR(LOOKUP(2,1/((HISTORIAL!$O$3:$O$125=D127&amp;"|"&amp;E127)*(HISTORIAL!$F$3:$F$125&gt;0)),HISTORIAL!$G$3:$G$125),0),1,0),0),0),0))</f>
        <v>0</v>
      </c>
    </row>
    <row r="128" spans="1:15" ht="14.1" customHeight="1">
      <c r="A128" s="37">
        <v>2</v>
      </c>
      <c r="B128" s="37" t="s">
        <v>281</v>
      </c>
      <c r="C128" s="37">
        <v>12</v>
      </c>
      <c r="D128" s="56" t="str">
        <f>SABADO!$A$54</f>
        <v>Hiperextension</v>
      </c>
      <c r="E128" s="57" t="str">
        <f>SABADO!$B$54</f>
        <v>Banco Romano</v>
      </c>
      <c r="F128" s="37" t="str">
        <f>SABADO!$C$54</f>
        <v>peso_corporal</v>
      </c>
      <c r="G128" s="37" t="str">
        <f>IFERROR(LOOKUP(2,1/((HISTORIAL!$O$3:$O$126=D128&amp;"|"&amp;E128)*(HISTORIAL!$F$3:$F$126&lt;&gt;"")),HISTORIAL!$F$3:$F$126),"")</f>
        <v/>
      </c>
      <c r="H128" s="37" t="str">
        <f>IFERROR(LOOKUP(2,1/((HISTORIAL!$O$3:$O$126=D128&amp;"|"&amp;E128)*(HISTORIAL!$F$3:$F$126&lt;&gt;"")),HISTORIAL!$G$3:$G$126),"")</f>
        <v/>
      </c>
      <c r="I128" s="37" t="str">
        <f>IFERROR(LOOKUP(2,1/((HISTORIAL!$O$3:$O$126=D128&amp;"|"&amp;E128)*(HISTORIAL!$F$3:$F$126&lt;&gt;"")),HISTORIAL!$H$3:$H$126),"")</f>
        <v/>
      </c>
      <c r="J128" s="37" t="str">
        <f>IFERROR(LOOKUP(2,1/((HISTORIAL!$O$3:$O$126=D128&amp;"|"&amp;E128)*(HISTORIAL!$F$3:$F$126&lt;&gt;"")),HISTORIAL!$I$3:$I$126),"")</f>
        <v/>
      </c>
      <c r="K128" s="58" t="str">
        <f>IFERROR(IF(OR(G128="",N128="SIN"),"--",IF(N128="SUBIR_F",IF(F128="polea",IFERROR(INDEX(CONFIG!$B$25:$B$40,MATCH(G128,CONFIG!$B$25:$B$40,0)+2),IFERROR(INDEX(CONFIG!$B$25:$B$40,MATCH(G128,CONFIG!$B$25:$B$40,0)+1),G128)),G128+5),IF(OR(N128="SUBIR",N128="SUBIR_E"),IF(F128="polea",IFERROR(INDEX(CONFIG!$B$25:$B$40,MATCH(G128,CONFIG!$B$25:$B$40,0)+1),G128),G128+2.5),IF(N128="BAJAR",IF(F128="polea",IFERROR(INDEX(CONFIG!$B$25:$B$40,MAX(1,MATCH(G128,CONFIG!$B$25:$B$40,0)-1)),G128),MAX(0,G128-2.5)),G128)))),"--")</f>
        <v>--</v>
      </c>
      <c r="L128" s="59" t="str">
        <f>IFERROR(IF(N128="SIN","--",IF(N128="MANT",IF(H128="","--",H128+1),IFERROR(VLOOKUP(CONFIG!$E$2,CONFIG!$A$6:$E$8,2,0),"--"))),"--")</f>
        <v>--</v>
      </c>
      <c r="M128" s="59" t="str">
        <f>IFERROR(IF(N128="SIN","--",IF(CONFIG!$E$2="HIP",2,IF(CONFIG!$E$2="FUE",1,2))),"--")</f>
        <v>--</v>
      </c>
      <c r="N128" s="53" t="str">
        <f>IFERROR(IF(G128="","SIN",IF(O128=1,"SUBIR_E",IF(H128&lt;IFERROR(VLOOKUP(CONFIG!$E$2,CONFIG!$A$6:$E$8,2,0),6),"BAJAR",IF(H128+I128&gt;=IFERROR(VLOOKUP(CONFIG!$E$2,CONFIG!$A$6:$E$8,3,0),12),"SUBIR_F",IF(AND(H128&gt;=IFERROR(VLOOKUP(CONFIG!$E$2,CONFIG!$A$6:$E$8,2,0),6)+2,I128&gt;=2),"SUBIR",IF(I128&gt;IFERROR(VLOOKUP(CONFIG!$E$2,CONFIG!$A$6:$E$8,5,0),3),"SUBIR","MANT")))))),"SIN")</f>
        <v>SIN</v>
      </c>
      <c r="O128" s="55">
        <f>IF(COUNTIFS(HISTORIAL!$O$3:$O$126,D128&amp;"|"&amp;E128,HISTORIAL!$F$3:$F$126,"&gt;0")&lt;2,0,IF(COUNTIFS(HISTORIAL!$O$3:$O$126,D128&amp;"|"&amp;E128,HISTORIAL!$F$3:$F$126,IFERROR(LOOKUP(2,1/((HISTORIAL!$O$3:$O$126=D128&amp;"|"&amp;E128)*(HISTORIAL!$F$3:$F$126&gt;0)),HISTORIAL!$F$3:$F$126),0))&gt;=2,IF(IFERROR(LOOKUP(2,1/((HISTORIAL!$O$3:$O$126=D128&amp;"|"&amp;E128)*(HISTORIAL!$F$3:$F$126&gt;0)),HISTORIAL!$G$3:$G$126),0)&gt;0,IF(F128&gt;0,IF(G128&lt;=IFERROR(LOOKUP(2,1/((HISTORIAL!$O$3:$O$126=D128&amp;"|"&amp;E128)*(HISTORIAL!$F$3:$F$126&gt;0)),HISTORIAL!$G$3:$G$126),0),1,0),0),0),0))</f>
        <v>0</v>
      </c>
    </row>
    <row r="129" spans="1:15" ht="14.1" customHeight="1">
      <c r="A129" s="37">
        <v>2</v>
      </c>
      <c r="B129" s="37" t="s">
        <v>281</v>
      </c>
      <c r="C129" s="37">
        <v>13</v>
      </c>
      <c r="D129" s="56" t="str">
        <f>SABADO!$A$56</f>
        <v>Crunch</v>
      </c>
      <c r="E129" s="57" t="str">
        <f>SABADO!$B$56</f>
        <v>Polea</v>
      </c>
      <c r="F129" s="37" t="str">
        <f>SABADO!$C$56</f>
        <v>polea</v>
      </c>
      <c r="G129" s="37" t="str">
        <f>IFERROR(LOOKUP(2,1/((HISTORIAL!$O$3:$O$127=D129&amp;"|"&amp;E129)*(HISTORIAL!$F$3:$F$127&lt;&gt;"")),HISTORIAL!$F$3:$F$127),"")</f>
        <v/>
      </c>
      <c r="H129" s="37" t="str">
        <f>IFERROR(LOOKUP(2,1/((HISTORIAL!$O$3:$O$127=D129&amp;"|"&amp;E129)*(HISTORIAL!$F$3:$F$127&lt;&gt;"")),HISTORIAL!$G$3:$G$127),"")</f>
        <v/>
      </c>
      <c r="I129" s="37" t="str">
        <f>IFERROR(LOOKUP(2,1/((HISTORIAL!$O$3:$O$127=D129&amp;"|"&amp;E129)*(HISTORIAL!$F$3:$F$127&lt;&gt;"")),HISTORIAL!$H$3:$H$127),"")</f>
        <v/>
      </c>
      <c r="J129" s="37" t="str">
        <f>IFERROR(LOOKUP(2,1/((HISTORIAL!$O$3:$O$127=D129&amp;"|"&amp;E129)*(HISTORIAL!$F$3:$F$127&lt;&gt;"")),HISTORIAL!$I$3:$I$127),"")</f>
        <v/>
      </c>
      <c r="K129" s="58" t="str">
        <f>IFERROR(IF(OR(G129="",N129="SIN"),"--",IF(N129="SUBIR_F",IF(F129="polea",IFERROR(INDEX(CONFIG!$B$25:$B$40,MATCH(G129,CONFIG!$B$25:$B$40,0)+2),IFERROR(INDEX(CONFIG!$B$25:$B$40,MATCH(G129,CONFIG!$B$25:$B$40,0)+1),G129)),G129+5),IF(OR(N129="SUBIR",N129="SUBIR_E"),IF(F129="polea",IFERROR(INDEX(CONFIG!$B$25:$B$40,MATCH(G129,CONFIG!$B$25:$B$40,0)+1),G129),G129+2.5),IF(N129="BAJAR",IF(F129="polea",IFERROR(INDEX(CONFIG!$B$25:$B$40,MAX(1,MATCH(G129,CONFIG!$B$25:$B$40,0)-1)),G129),MAX(0,G129-2.5)),G129)))),"--")</f>
        <v>--</v>
      </c>
      <c r="L129" s="59" t="str">
        <f>IFERROR(IF(N129="SIN","--",IF(N129="MANT",IF(H129="","--",H129+1),IFERROR(VLOOKUP(CONFIG!$E$2,CONFIG!$A$6:$E$8,2,0),"--"))),"--")</f>
        <v>--</v>
      </c>
      <c r="M129" s="59" t="str">
        <f>IFERROR(IF(N129="SIN","--",IF(CONFIG!$E$2="HIP",2,IF(CONFIG!$E$2="FUE",1,2))),"--")</f>
        <v>--</v>
      </c>
      <c r="N129" s="53" t="str">
        <f>IFERROR(IF(G129="","SIN",IF(O129=1,"SUBIR_E",IF(H129&lt;IFERROR(VLOOKUP(CONFIG!$E$2,CONFIG!$A$6:$E$8,2,0),6),"BAJAR",IF(H129+I129&gt;=IFERROR(VLOOKUP(CONFIG!$E$2,CONFIG!$A$6:$E$8,3,0),12),"SUBIR_F",IF(AND(H129&gt;=IFERROR(VLOOKUP(CONFIG!$E$2,CONFIG!$A$6:$E$8,2,0),6)+2,I129&gt;=2),"SUBIR",IF(I129&gt;IFERROR(VLOOKUP(CONFIG!$E$2,CONFIG!$A$6:$E$8,5,0),3),"SUBIR","MANT")))))),"SIN")</f>
        <v>SIN</v>
      </c>
      <c r="O129" s="55">
        <f>IF(COUNTIFS(HISTORIAL!$O$3:$O$127,D129&amp;"|"&amp;E129,HISTORIAL!$F$3:$F$127,"&gt;0")&lt;2,0,IF(COUNTIFS(HISTORIAL!$O$3:$O$127,D129&amp;"|"&amp;E129,HISTORIAL!$F$3:$F$127,IFERROR(LOOKUP(2,1/((HISTORIAL!$O$3:$O$127=D129&amp;"|"&amp;E129)*(HISTORIAL!$F$3:$F$127&gt;0)),HISTORIAL!$F$3:$F$127),0))&gt;=2,IF(IFERROR(LOOKUP(2,1/((HISTORIAL!$O$3:$O$127=D129&amp;"|"&amp;E129)*(HISTORIAL!$F$3:$F$127&gt;0)),HISTORIAL!$G$3:$G$127),0)&gt;0,IF(F129&gt;0,IF(G129&lt;=IFERROR(LOOKUP(2,1/((HISTORIAL!$O$3:$O$127=D129&amp;"|"&amp;E129)*(HISTORIAL!$F$3:$F$127&gt;0)),HISTORIAL!$G$3:$G$127),0),1,0),0),0),0))</f>
        <v>0</v>
      </c>
    </row>
    <row r="130" spans="1:15" ht="14.1" customHeight="1">
      <c r="A130" s="37">
        <v>3</v>
      </c>
      <c r="B130" s="37" t="s">
        <v>277</v>
      </c>
      <c r="C130" s="37">
        <v>1</v>
      </c>
      <c r="D130" s="56" t="str">
        <f>LUNES!$A$57</f>
        <v>Press Plano</v>
      </c>
      <c r="E130" s="57" t="str">
        <f>LUNES!$B$57</f>
        <v>Barra</v>
      </c>
      <c r="F130" s="37" t="str">
        <f>LUNES!$C$57</f>
        <v>disco</v>
      </c>
      <c r="G130" s="37" t="str">
        <f>IFERROR(LOOKUP(2,1/((HISTORIAL!$O$3:$O$128=D130&amp;"|"&amp;E130)*(HISTORIAL!$F$3:$F$128&lt;&gt;"")),HISTORIAL!$F$3:$F$128),"")</f>
        <v/>
      </c>
      <c r="H130" s="37" t="str">
        <f>IFERROR(LOOKUP(2,1/((HISTORIAL!$O$3:$O$128=D130&amp;"|"&amp;E130)*(HISTORIAL!$F$3:$F$128&lt;&gt;"")),HISTORIAL!$G$3:$G$128),"")</f>
        <v/>
      </c>
      <c r="I130" s="37" t="str">
        <f>IFERROR(LOOKUP(2,1/((HISTORIAL!$O$3:$O$128=D130&amp;"|"&amp;E130)*(HISTORIAL!$F$3:$F$128&lt;&gt;"")),HISTORIAL!$H$3:$H$128),"")</f>
        <v/>
      </c>
      <c r="J130" s="37" t="str">
        <f>IFERROR(LOOKUP(2,1/((HISTORIAL!$O$3:$O$128=D130&amp;"|"&amp;E130)*(HISTORIAL!$F$3:$F$128&lt;&gt;"")),HISTORIAL!$I$3:$I$128),"")</f>
        <v/>
      </c>
      <c r="K130" s="58" t="str">
        <f>IFERROR(IF(OR(G130="",N130="SIN"),"--",IF(N130="SUBIR_F",IF(F130="polea",IFERROR(INDEX(CONFIG!$B$25:$B$40,MATCH(G130,CONFIG!$B$25:$B$40,0)+2),IFERROR(INDEX(CONFIG!$B$25:$B$40,MATCH(G130,CONFIG!$B$25:$B$40,0)+1),G130)),G130+5),IF(OR(N130="SUBIR",N130="SUBIR_E"),IF(F130="polea",IFERROR(INDEX(CONFIG!$B$25:$B$40,MATCH(G130,CONFIG!$B$25:$B$40,0)+1),G130),G130+2.5),IF(N130="BAJAR",IF(F130="polea",IFERROR(INDEX(CONFIG!$B$25:$B$40,MAX(1,MATCH(G130,CONFIG!$B$25:$B$40,0)-1)),G130),MAX(0,G130-2.5)),G130)))),"--")</f>
        <v>--</v>
      </c>
      <c r="L130" s="59" t="str">
        <f>IFERROR(IF(N130="SIN","--",IF(N130="MANT",IF(H130="","--",H130+1),IFERROR(VLOOKUP(CONFIG!$E$2,CONFIG!$A$6:$E$8,2,0),"--"))),"--")</f>
        <v>--</v>
      </c>
      <c r="M130" s="59" t="str">
        <f>IFERROR(IF(N130="SIN","--",IF(CONFIG!$E$2="HIP",2,IF(CONFIG!$E$2="FUE",1,2))),"--")</f>
        <v>--</v>
      </c>
      <c r="N130" s="53" t="str">
        <f>IFERROR(IF(G130="","SIN",IF(O130=1,"SUBIR_E",IF(H130&lt;IFERROR(VLOOKUP(CONFIG!$E$2,CONFIG!$A$6:$E$8,2,0),6),"BAJAR",IF(H130+I130&gt;=IFERROR(VLOOKUP(CONFIG!$E$2,CONFIG!$A$6:$E$8,3,0),12),"SUBIR_F",IF(AND(H130&gt;=IFERROR(VLOOKUP(CONFIG!$E$2,CONFIG!$A$6:$E$8,2,0),6)+2,I130&gt;=2),"SUBIR",IF(I130&gt;IFERROR(VLOOKUP(CONFIG!$E$2,CONFIG!$A$6:$E$8,5,0),3),"SUBIR","MANT")))))),"SIN")</f>
        <v>SIN</v>
      </c>
      <c r="O130" s="55">
        <f>IF(COUNTIFS(HISTORIAL!$O$3:$O$128,D130&amp;"|"&amp;E130,HISTORIAL!$F$3:$F$128,"&gt;0")&lt;2,0,IF(COUNTIFS(HISTORIAL!$O$3:$O$128,D130&amp;"|"&amp;E130,HISTORIAL!$F$3:$F$128,IFERROR(LOOKUP(2,1/((HISTORIAL!$O$3:$O$128=D130&amp;"|"&amp;E130)*(HISTORIAL!$F$3:$F$128&gt;0)),HISTORIAL!$F$3:$F$128),0))&gt;=2,IF(IFERROR(LOOKUP(2,1/((HISTORIAL!$O$3:$O$128=D130&amp;"|"&amp;E130)*(HISTORIAL!$F$3:$F$128&gt;0)),HISTORIAL!$G$3:$G$128),0)&gt;0,IF(F130&gt;0,IF(G130&lt;=IFERROR(LOOKUP(2,1/((HISTORIAL!$O$3:$O$128=D130&amp;"|"&amp;E130)*(HISTORIAL!$F$3:$F$128&gt;0)),HISTORIAL!$G$3:$G$128),0),1,0),0),0),0))</f>
        <v>0</v>
      </c>
    </row>
    <row r="131" spans="1:15" ht="14.1" customHeight="1">
      <c r="A131" s="37">
        <v>3</v>
      </c>
      <c r="B131" s="37" t="s">
        <v>277</v>
      </c>
      <c r="C131" s="37">
        <v>2</v>
      </c>
      <c r="D131" s="56" t="str">
        <f>LUNES!$A$59</f>
        <v>Press Inclinado</v>
      </c>
      <c r="E131" s="57" t="str">
        <f>LUNES!$B$59</f>
        <v>Mancuernas</v>
      </c>
      <c r="F131" s="37" t="str">
        <f>LUNES!$C$59</f>
        <v>mancuerna</v>
      </c>
      <c r="G131" s="37" t="str">
        <f>IFERROR(LOOKUP(2,1/((HISTORIAL!$O$3:$O$129=D131&amp;"|"&amp;E131)*(HISTORIAL!$F$3:$F$129&lt;&gt;"")),HISTORIAL!$F$3:$F$129),"")</f>
        <v/>
      </c>
      <c r="H131" s="37" t="str">
        <f>IFERROR(LOOKUP(2,1/((HISTORIAL!$O$3:$O$129=D131&amp;"|"&amp;E131)*(HISTORIAL!$F$3:$F$129&lt;&gt;"")),HISTORIAL!$G$3:$G$129),"")</f>
        <v/>
      </c>
      <c r="I131" s="37" t="str">
        <f>IFERROR(LOOKUP(2,1/((HISTORIAL!$O$3:$O$129=D131&amp;"|"&amp;E131)*(HISTORIAL!$F$3:$F$129&lt;&gt;"")),HISTORIAL!$H$3:$H$129),"")</f>
        <v/>
      </c>
      <c r="J131" s="37" t="str">
        <f>IFERROR(LOOKUP(2,1/((HISTORIAL!$O$3:$O$129=D131&amp;"|"&amp;E131)*(HISTORIAL!$F$3:$F$129&lt;&gt;"")),HISTORIAL!$I$3:$I$129),"")</f>
        <v/>
      </c>
      <c r="K131" s="58" t="str">
        <f>IFERROR(IF(OR(G131="",N131="SIN"),"--",IF(N131="SUBIR_F",IF(F131="polea",IFERROR(INDEX(CONFIG!$B$25:$B$40,MATCH(G131,CONFIG!$B$25:$B$40,0)+2),IFERROR(INDEX(CONFIG!$B$25:$B$40,MATCH(G131,CONFIG!$B$25:$B$40,0)+1),G131)),G131+5),IF(OR(N131="SUBIR",N131="SUBIR_E"),IF(F131="polea",IFERROR(INDEX(CONFIG!$B$25:$B$40,MATCH(G131,CONFIG!$B$25:$B$40,0)+1),G131),G131+2.5),IF(N131="BAJAR",IF(F131="polea",IFERROR(INDEX(CONFIG!$B$25:$B$40,MAX(1,MATCH(G131,CONFIG!$B$25:$B$40,0)-1)),G131),MAX(0,G131-2.5)),G131)))),"--")</f>
        <v>--</v>
      </c>
      <c r="L131" s="59" t="str">
        <f>IFERROR(IF(N131="SIN","--",IF(N131="MANT",IF(H131="","--",H131+1),IFERROR(VLOOKUP(CONFIG!$E$2,CONFIG!$A$6:$E$8,2,0),"--"))),"--")</f>
        <v>--</v>
      </c>
      <c r="M131" s="59" t="str">
        <f>IFERROR(IF(N131="SIN","--",IF(CONFIG!$E$2="HIP",2,IF(CONFIG!$E$2="FUE",1,2))),"--")</f>
        <v>--</v>
      </c>
      <c r="N131" s="53" t="str">
        <f>IFERROR(IF(G131="","SIN",IF(O131=1,"SUBIR_E",IF(H131&lt;IFERROR(VLOOKUP(CONFIG!$E$2,CONFIG!$A$6:$E$8,2,0),6),"BAJAR",IF(H131+I131&gt;=IFERROR(VLOOKUP(CONFIG!$E$2,CONFIG!$A$6:$E$8,3,0),12),"SUBIR_F",IF(AND(H131&gt;=IFERROR(VLOOKUP(CONFIG!$E$2,CONFIG!$A$6:$E$8,2,0),6)+2,I131&gt;=2),"SUBIR",IF(I131&gt;IFERROR(VLOOKUP(CONFIG!$E$2,CONFIG!$A$6:$E$8,5,0),3),"SUBIR","MANT")))))),"SIN")</f>
        <v>SIN</v>
      </c>
      <c r="O131" s="55">
        <f>IF(COUNTIFS(HISTORIAL!$O$3:$O$129,D131&amp;"|"&amp;E131,HISTORIAL!$F$3:$F$129,"&gt;0")&lt;2,0,IF(COUNTIFS(HISTORIAL!$O$3:$O$129,D131&amp;"|"&amp;E131,HISTORIAL!$F$3:$F$129,IFERROR(LOOKUP(2,1/((HISTORIAL!$O$3:$O$129=D131&amp;"|"&amp;E131)*(HISTORIAL!$F$3:$F$129&gt;0)),HISTORIAL!$F$3:$F$129),0))&gt;=2,IF(IFERROR(LOOKUP(2,1/((HISTORIAL!$O$3:$O$129=D131&amp;"|"&amp;E131)*(HISTORIAL!$F$3:$F$129&gt;0)),HISTORIAL!$G$3:$G$129),0)&gt;0,IF(F131&gt;0,IF(G131&lt;=IFERROR(LOOKUP(2,1/((HISTORIAL!$O$3:$O$129=D131&amp;"|"&amp;E131)*(HISTORIAL!$F$3:$F$129&gt;0)),HISTORIAL!$G$3:$G$129),0),1,0),0),0),0))</f>
        <v>0</v>
      </c>
    </row>
    <row r="132" spans="1:15" ht="14.1" customHeight="1">
      <c r="A132" s="37">
        <v>3</v>
      </c>
      <c r="B132" s="37" t="s">
        <v>277</v>
      </c>
      <c r="C132" s="37">
        <v>3</v>
      </c>
      <c r="D132" s="56" t="str">
        <f>LUNES!$A$61</f>
        <v>Fondos</v>
      </c>
      <c r="E132" s="57" t="str">
        <f>LUNES!$B$61</f>
        <v>Paralelas</v>
      </c>
      <c r="F132" s="37" t="str">
        <f>LUNES!$C$61</f>
        <v>peso_corporal</v>
      </c>
      <c r="G132" s="37">
        <f>IFERROR(LOOKUP(2,1/((HISTORIAL!$O$3:$O$130=D132&amp;"|"&amp;E132)*(HISTORIAL!$F$3:$F$130&lt;&gt;"")),HISTORIAL!$F$3:$F$130),"")</f>
        <v>0</v>
      </c>
      <c r="H132" s="37">
        <f>IFERROR(LOOKUP(2,1/((HISTORIAL!$O$3:$O$130=D132&amp;"|"&amp;E132)*(HISTORIAL!$F$3:$F$130&lt;&gt;"")),HISTORIAL!$G$3:$G$130),"")</f>
        <v>12</v>
      </c>
      <c r="I132" s="37">
        <f>IFERROR(LOOKUP(2,1/((HISTORIAL!$O$3:$O$130=D132&amp;"|"&amp;E132)*(HISTORIAL!$F$3:$F$130&lt;&gt;"")),HISTORIAL!$H$3:$H$130),"")</f>
        <v>0</v>
      </c>
      <c r="J132" s="37" t="str">
        <f>IFERROR(LOOKUP(2,1/((HISTORIAL!$O$3:$O$130=D132&amp;"|"&amp;E132)*(HISTORIAL!$F$3:$F$130&lt;&gt;"")),HISTORIAL!$I$3:$I$130),"")</f>
        <v>B</v>
      </c>
      <c r="K132" s="58">
        <f>IFERROR(IF(OR(G132="",N132="SIN"),"--",IF(N132="SUBIR_F",IF(F132="polea",IFERROR(INDEX(CONFIG!$B$25:$B$40,MATCH(G132,CONFIG!$B$25:$B$40,0)+2),IFERROR(INDEX(CONFIG!$B$25:$B$40,MATCH(G132,CONFIG!$B$25:$B$40,0)+1),G132)),G132+5),IF(OR(N132="SUBIR",N132="SUBIR_E"),IF(F132="polea",IFERROR(INDEX(CONFIG!$B$25:$B$40,MATCH(G132,CONFIG!$B$25:$B$40,0)+1),G132),G132+2.5),IF(N132="BAJAR",IF(F132="polea",IFERROR(INDEX(CONFIG!$B$25:$B$40,MAX(1,MATCH(G132,CONFIG!$B$25:$B$40,0)-1)),G132),MAX(0,G132-2.5)),G132)))),"--")</f>
        <v>5</v>
      </c>
      <c r="L132" s="59">
        <f>IFERROR(IF(N132="SIN","--",IF(N132="MANT",IF(H132="","--",H132+1),IFERROR(VLOOKUP(CONFIG!$E$2,CONFIG!$A$6:$E$8,2,0),"--"))),"--")</f>
        <v>6</v>
      </c>
      <c r="M132" s="59">
        <f>IFERROR(IF(N132="SIN","--",IF(CONFIG!$E$2="HIP",2,IF(CONFIG!$E$2="FUE",1,2))),"--")</f>
        <v>2</v>
      </c>
      <c r="N132" s="53" t="str">
        <f>IFERROR(IF(G132="","SIN",IF(O132=1,"SUBIR_E",IF(H132&lt;IFERROR(VLOOKUP(CONFIG!$E$2,CONFIG!$A$6:$E$8,2,0),6),"BAJAR",IF(H132+I132&gt;=IFERROR(VLOOKUP(CONFIG!$E$2,CONFIG!$A$6:$E$8,3,0),12),"SUBIR_F",IF(AND(H132&gt;=IFERROR(VLOOKUP(CONFIG!$E$2,CONFIG!$A$6:$E$8,2,0),6)+2,I132&gt;=2),"SUBIR",IF(I132&gt;IFERROR(VLOOKUP(CONFIG!$E$2,CONFIG!$A$6:$E$8,5,0),3),"SUBIR","MANT")))))),"SIN")</f>
        <v>SUBIR_F</v>
      </c>
      <c r="O132" s="55">
        <f>IF(COUNTIFS(HISTORIAL!$O$3:$O$130,D132&amp;"|"&amp;E132,HISTORIAL!$F$3:$F$130,"&gt;0")&lt;2,0,IF(COUNTIFS(HISTORIAL!$O$3:$O$130,D132&amp;"|"&amp;E132,HISTORIAL!$F$3:$F$130,IFERROR(LOOKUP(2,1/((HISTORIAL!$O$3:$O$130=D132&amp;"|"&amp;E132)*(HISTORIAL!$F$3:$F$130&gt;0)),HISTORIAL!$F$3:$F$130),0))&gt;=2,IF(IFERROR(LOOKUP(2,1/((HISTORIAL!$O$3:$O$130=D132&amp;"|"&amp;E132)*(HISTORIAL!$F$3:$F$130&gt;0)),HISTORIAL!$G$3:$G$130),0)&gt;0,IF(F132&gt;0,IF(G132&lt;=IFERROR(LOOKUP(2,1/((HISTORIAL!$O$3:$O$130=D132&amp;"|"&amp;E132)*(HISTORIAL!$F$3:$F$130&gt;0)),HISTORIAL!$G$3:$G$130),0),1,0),0),0),0))</f>
        <v>0</v>
      </c>
    </row>
    <row r="133" spans="1:15" ht="14.1" customHeight="1">
      <c r="A133" s="37">
        <v>3</v>
      </c>
      <c r="B133" s="37" t="s">
        <v>277</v>
      </c>
      <c r="C133" s="37">
        <v>4</v>
      </c>
      <c r="D133" s="56" t="str">
        <f>LUNES!$A$62</f>
        <v>Aperturas</v>
      </c>
      <c r="E133" s="57" t="str">
        <f>LUNES!$B$62</f>
        <v>Polea Baja Crossover</v>
      </c>
      <c r="F133" s="37" t="str">
        <f>LUNES!$C$62</f>
        <v>--</v>
      </c>
      <c r="G133" s="37" t="str">
        <f>IFERROR(LOOKUP(2,1/((HISTORIAL!$O$3:$O$131=D133&amp;"|"&amp;E133)*(HISTORIAL!$F$3:$F$131&lt;&gt;"")),HISTORIAL!$F$3:$F$131),"")</f>
        <v/>
      </c>
      <c r="H133" s="37" t="str">
        <f>IFERROR(LOOKUP(2,1/((HISTORIAL!$O$3:$O$131=D133&amp;"|"&amp;E133)*(HISTORIAL!$F$3:$F$131&lt;&gt;"")),HISTORIAL!$G$3:$G$131),"")</f>
        <v/>
      </c>
      <c r="I133" s="37" t="str">
        <f>IFERROR(LOOKUP(2,1/((HISTORIAL!$O$3:$O$131=D133&amp;"|"&amp;E133)*(HISTORIAL!$F$3:$F$131&lt;&gt;"")),HISTORIAL!$H$3:$H$131),"")</f>
        <v/>
      </c>
      <c r="J133" s="37" t="str">
        <f>IFERROR(LOOKUP(2,1/((HISTORIAL!$O$3:$O$131=D133&amp;"|"&amp;E133)*(HISTORIAL!$F$3:$F$131&lt;&gt;"")),HISTORIAL!$I$3:$I$131),"")</f>
        <v/>
      </c>
      <c r="K133" s="58" t="str">
        <f>IFERROR(IF(OR(G133="",N133="SIN"),"--",IF(N133="SUBIR_F",IF(F133="polea",IFERROR(INDEX(CONFIG!$B$25:$B$40,MATCH(G133,CONFIG!$B$25:$B$40,0)+2),IFERROR(INDEX(CONFIG!$B$25:$B$40,MATCH(G133,CONFIG!$B$25:$B$40,0)+1),G133)),G133+5),IF(OR(N133="SUBIR",N133="SUBIR_E"),IF(F133="polea",IFERROR(INDEX(CONFIG!$B$25:$B$40,MATCH(G133,CONFIG!$B$25:$B$40,0)+1),G133),G133+2.5),IF(N133="BAJAR",IF(F133="polea",IFERROR(INDEX(CONFIG!$B$25:$B$40,MAX(1,MATCH(G133,CONFIG!$B$25:$B$40,0)-1)),G133),MAX(0,G133-2.5)),G133)))),"--")</f>
        <v>--</v>
      </c>
      <c r="L133" s="59" t="str">
        <f>IFERROR(IF(N133="SIN","--",IF(N133="MANT",IF(H133="","--",H133+1),IFERROR(VLOOKUP(CONFIG!$E$2,CONFIG!$A$6:$E$8,2,0),"--"))),"--")</f>
        <v>--</v>
      </c>
      <c r="M133" s="59" t="str">
        <f>IFERROR(IF(N133="SIN","--",IF(CONFIG!$E$2="HIP",2,IF(CONFIG!$E$2="FUE",1,2))),"--")</f>
        <v>--</v>
      </c>
      <c r="N133" s="53" t="str">
        <f>IFERROR(IF(G133="","SIN",IF(O133=1,"SUBIR_E",IF(H133&lt;IFERROR(VLOOKUP(CONFIG!$E$2,CONFIG!$A$6:$E$8,2,0),6),"BAJAR",IF(H133+I133&gt;=IFERROR(VLOOKUP(CONFIG!$E$2,CONFIG!$A$6:$E$8,3,0),12),"SUBIR_F",IF(AND(H133&gt;=IFERROR(VLOOKUP(CONFIG!$E$2,CONFIG!$A$6:$E$8,2,0),6)+2,I133&gt;=2),"SUBIR",IF(I133&gt;IFERROR(VLOOKUP(CONFIG!$E$2,CONFIG!$A$6:$E$8,5,0),3),"SUBIR","MANT")))))),"SIN")</f>
        <v>SIN</v>
      </c>
      <c r="O133" s="55">
        <f>IF(COUNTIFS(HISTORIAL!$O$3:$O$131,D133&amp;"|"&amp;E133,HISTORIAL!$F$3:$F$131,"&gt;0")&lt;2,0,IF(COUNTIFS(HISTORIAL!$O$3:$O$131,D133&amp;"|"&amp;E133,HISTORIAL!$F$3:$F$131,IFERROR(LOOKUP(2,1/((HISTORIAL!$O$3:$O$131=D133&amp;"|"&amp;E133)*(HISTORIAL!$F$3:$F$131&gt;0)),HISTORIAL!$F$3:$F$131),0))&gt;=2,IF(IFERROR(LOOKUP(2,1/((HISTORIAL!$O$3:$O$131=D133&amp;"|"&amp;E133)*(HISTORIAL!$F$3:$F$131&gt;0)),HISTORIAL!$G$3:$G$131),0)&gt;0,IF(F133&gt;0,IF(G133&lt;=IFERROR(LOOKUP(2,1/((HISTORIAL!$O$3:$O$131=D133&amp;"|"&amp;E133)*(HISTORIAL!$F$3:$F$131&gt;0)),HISTORIAL!$G$3:$G$131),0),1,0),0),0),0))</f>
        <v>0</v>
      </c>
    </row>
    <row r="134" spans="1:15" ht="14.1" customHeight="1">
      <c r="A134" s="37">
        <v>3</v>
      </c>
      <c r="B134" s="37" t="s">
        <v>277</v>
      </c>
      <c r="C134" s="37">
        <v>5</v>
      </c>
      <c r="D134" s="56" t="str">
        <f>LUNES!$A$63</f>
        <v>Aperturas</v>
      </c>
      <c r="E134" s="57" t="str">
        <f>LUNES!$B$63</f>
        <v>Pec Deck Maquina</v>
      </c>
      <c r="F134" s="37" t="str">
        <f>LUNES!$C$63</f>
        <v>--</v>
      </c>
      <c r="G134" s="37" t="str">
        <f>IFERROR(LOOKUP(2,1/((HISTORIAL!$O$3:$O$132=D134&amp;"|"&amp;E134)*(HISTORIAL!$F$3:$F$132&lt;&gt;"")),HISTORIAL!$F$3:$F$132),"")</f>
        <v/>
      </c>
      <c r="H134" s="37" t="str">
        <f>IFERROR(LOOKUP(2,1/((HISTORIAL!$O$3:$O$132=D134&amp;"|"&amp;E134)*(HISTORIAL!$F$3:$F$132&lt;&gt;"")),HISTORIAL!$G$3:$G$132),"")</f>
        <v/>
      </c>
      <c r="I134" s="37" t="str">
        <f>IFERROR(LOOKUP(2,1/((HISTORIAL!$O$3:$O$132=D134&amp;"|"&amp;E134)*(HISTORIAL!$F$3:$F$132&lt;&gt;"")),HISTORIAL!$H$3:$H$132),"")</f>
        <v/>
      </c>
      <c r="J134" s="37" t="str">
        <f>IFERROR(LOOKUP(2,1/((HISTORIAL!$O$3:$O$132=D134&amp;"|"&amp;E134)*(HISTORIAL!$F$3:$F$132&lt;&gt;"")),HISTORIAL!$I$3:$I$132),"")</f>
        <v/>
      </c>
      <c r="K134" s="58" t="str">
        <f>IFERROR(IF(OR(G134="",N134="SIN"),"--",IF(N134="SUBIR_F",IF(F134="polea",IFERROR(INDEX(CONFIG!$B$25:$B$40,MATCH(G134,CONFIG!$B$25:$B$40,0)+2),IFERROR(INDEX(CONFIG!$B$25:$B$40,MATCH(G134,CONFIG!$B$25:$B$40,0)+1),G134)),G134+5),IF(OR(N134="SUBIR",N134="SUBIR_E"),IF(F134="polea",IFERROR(INDEX(CONFIG!$B$25:$B$40,MATCH(G134,CONFIG!$B$25:$B$40,0)+1),G134),G134+2.5),IF(N134="BAJAR",IF(F134="polea",IFERROR(INDEX(CONFIG!$B$25:$B$40,MAX(1,MATCH(G134,CONFIG!$B$25:$B$40,0)-1)),G134),MAX(0,G134-2.5)),G134)))),"--")</f>
        <v>--</v>
      </c>
      <c r="L134" s="59" t="str">
        <f>IFERROR(IF(N134="SIN","--",IF(N134="MANT",IF(H134="","--",H134+1),IFERROR(VLOOKUP(CONFIG!$E$2,CONFIG!$A$6:$E$8,2,0),"--"))),"--")</f>
        <v>--</v>
      </c>
      <c r="M134" s="59" t="str">
        <f>IFERROR(IF(N134="SIN","--",IF(CONFIG!$E$2="HIP",2,IF(CONFIG!$E$2="FUE",1,2))),"--")</f>
        <v>--</v>
      </c>
      <c r="N134" s="53" t="str">
        <f>IFERROR(IF(G134="","SIN",IF(O134=1,"SUBIR_E",IF(H134&lt;IFERROR(VLOOKUP(CONFIG!$E$2,CONFIG!$A$6:$E$8,2,0),6),"BAJAR",IF(H134+I134&gt;=IFERROR(VLOOKUP(CONFIG!$E$2,CONFIG!$A$6:$E$8,3,0),12),"SUBIR_F",IF(AND(H134&gt;=IFERROR(VLOOKUP(CONFIG!$E$2,CONFIG!$A$6:$E$8,2,0),6)+2,I134&gt;=2),"SUBIR",IF(I134&gt;IFERROR(VLOOKUP(CONFIG!$E$2,CONFIG!$A$6:$E$8,5,0),3),"SUBIR","MANT")))))),"SIN")</f>
        <v>SIN</v>
      </c>
      <c r="O134" s="55">
        <f>IF(COUNTIFS(HISTORIAL!$O$3:$O$132,D134&amp;"|"&amp;E134,HISTORIAL!$F$3:$F$132,"&gt;0")&lt;2,0,IF(COUNTIFS(HISTORIAL!$O$3:$O$132,D134&amp;"|"&amp;E134,HISTORIAL!$F$3:$F$132,IFERROR(LOOKUP(2,1/((HISTORIAL!$O$3:$O$132=D134&amp;"|"&amp;E134)*(HISTORIAL!$F$3:$F$132&gt;0)),HISTORIAL!$F$3:$F$132),0))&gt;=2,IF(IFERROR(LOOKUP(2,1/((HISTORIAL!$O$3:$O$132=D134&amp;"|"&amp;E134)*(HISTORIAL!$F$3:$F$132&gt;0)),HISTORIAL!$G$3:$G$132),0)&gt;0,IF(F134&gt;0,IF(G134&lt;=IFERROR(LOOKUP(2,1/((HISTORIAL!$O$3:$O$132=D134&amp;"|"&amp;E134)*(HISTORIAL!$F$3:$F$132&gt;0)),HISTORIAL!$G$3:$G$132),0),1,0),0),0),0))</f>
        <v>0</v>
      </c>
    </row>
    <row r="135" spans="1:15" ht="14.1" customHeight="1">
      <c r="A135" s="37">
        <v>3</v>
      </c>
      <c r="B135" s="37" t="s">
        <v>277</v>
      </c>
      <c r="C135" s="37">
        <v>6</v>
      </c>
      <c r="D135" s="56" t="str">
        <f>LUNES!$A$65</f>
        <v>Elevaciones Laterales</v>
      </c>
      <c r="E135" s="57" t="str">
        <f>LUNES!$B$65</f>
        <v>Cable Polea Individual</v>
      </c>
      <c r="F135" s="37" t="str">
        <f>LUNES!$C$65</f>
        <v>polea</v>
      </c>
      <c r="G135" s="37" t="str">
        <f>IFERROR(LOOKUP(2,1/((HISTORIAL!$O$3:$O$133=D135&amp;"|"&amp;E135)*(HISTORIAL!$F$3:$F$133&lt;&gt;"")),HISTORIAL!$F$3:$F$133),"")</f>
        <v/>
      </c>
      <c r="H135" s="37" t="str">
        <f>IFERROR(LOOKUP(2,1/((HISTORIAL!$O$3:$O$133=D135&amp;"|"&amp;E135)*(HISTORIAL!$F$3:$F$133&lt;&gt;"")),HISTORIAL!$G$3:$G$133),"")</f>
        <v/>
      </c>
      <c r="I135" s="37" t="str">
        <f>IFERROR(LOOKUP(2,1/((HISTORIAL!$O$3:$O$133=D135&amp;"|"&amp;E135)*(HISTORIAL!$F$3:$F$133&lt;&gt;"")),HISTORIAL!$H$3:$H$133),"")</f>
        <v/>
      </c>
      <c r="J135" s="37" t="str">
        <f>IFERROR(LOOKUP(2,1/((HISTORIAL!$O$3:$O$133=D135&amp;"|"&amp;E135)*(HISTORIAL!$F$3:$F$133&lt;&gt;"")),HISTORIAL!$I$3:$I$133),"")</f>
        <v/>
      </c>
      <c r="K135" s="58" t="str">
        <f>IFERROR(IF(OR(G135="",N135="SIN"),"--",IF(N135="SUBIR_F",IF(F135="polea",IFERROR(INDEX(CONFIG!$B$25:$B$40,MATCH(G135,CONFIG!$B$25:$B$40,0)+2),IFERROR(INDEX(CONFIG!$B$25:$B$40,MATCH(G135,CONFIG!$B$25:$B$40,0)+1),G135)),G135+5),IF(OR(N135="SUBIR",N135="SUBIR_E"),IF(F135="polea",IFERROR(INDEX(CONFIG!$B$25:$B$40,MATCH(G135,CONFIG!$B$25:$B$40,0)+1),G135),G135+2.5),IF(N135="BAJAR",IF(F135="polea",IFERROR(INDEX(CONFIG!$B$25:$B$40,MAX(1,MATCH(G135,CONFIG!$B$25:$B$40,0)-1)),G135),MAX(0,G135-2.5)),G135)))),"--")</f>
        <v>--</v>
      </c>
      <c r="L135" s="59" t="str">
        <f>IFERROR(IF(N135="SIN","--",IF(N135="MANT",IF(H135="","--",H135+1),IFERROR(VLOOKUP(CONFIG!$E$2,CONFIG!$A$6:$E$8,2,0),"--"))),"--")</f>
        <v>--</v>
      </c>
      <c r="M135" s="59" t="str">
        <f>IFERROR(IF(N135="SIN","--",IF(CONFIG!$E$2="HIP",2,IF(CONFIG!$E$2="FUE",1,2))),"--")</f>
        <v>--</v>
      </c>
      <c r="N135" s="53" t="str">
        <f>IFERROR(IF(G135="","SIN",IF(O135=1,"SUBIR_E",IF(H135&lt;IFERROR(VLOOKUP(CONFIG!$E$2,CONFIG!$A$6:$E$8,2,0),6),"BAJAR",IF(H135+I135&gt;=IFERROR(VLOOKUP(CONFIG!$E$2,CONFIG!$A$6:$E$8,3,0),12),"SUBIR_F",IF(AND(H135&gt;=IFERROR(VLOOKUP(CONFIG!$E$2,CONFIG!$A$6:$E$8,2,0),6)+2,I135&gt;=2),"SUBIR",IF(I135&gt;IFERROR(VLOOKUP(CONFIG!$E$2,CONFIG!$A$6:$E$8,5,0),3),"SUBIR","MANT")))))),"SIN")</f>
        <v>SIN</v>
      </c>
      <c r="O135" s="55">
        <f>IF(COUNTIFS(HISTORIAL!$O$3:$O$133,D135&amp;"|"&amp;E135,HISTORIAL!$F$3:$F$133,"&gt;0")&lt;2,0,IF(COUNTIFS(HISTORIAL!$O$3:$O$133,D135&amp;"|"&amp;E135,HISTORIAL!$F$3:$F$133,IFERROR(LOOKUP(2,1/((HISTORIAL!$O$3:$O$133=D135&amp;"|"&amp;E135)*(HISTORIAL!$F$3:$F$133&gt;0)),HISTORIAL!$F$3:$F$133),0))&gt;=2,IF(IFERROR(LOOKUP(2,1/((HISTORIAL!$O$3:$O$133=D135&amp;"|"&amp;E135)*(HISTORIAL!$F$3:$F$133&gt;0)),HISTORIAL!$G$3:$G$133),0)&gt;0,IF(F135&gt;0,IF(G135&lt;=IFERROR(LOOKUP(2,1/((HISTORIAL!$O$3:$O$133=D135&amp;"|"&amp;E135)*(HISTORIAL!$F$3:$F$133&gt;0)),HISTORIAL!$G$3:$G$133),0),1,0),0),0),0))</f>
        <v>0</v>
      </c>
    </row>
    <row r="136" spans="1:15" ht="14.1" customHeight="1">
      <c r="A136" s="37">
        <v>3</v>
      </c>
      <c r="B136" s="37" t="s">
        <v>277</v>
      </c>
      <c r="C136" s="37">
        <v>7</v>
      </c>
      <c r="D136" s="56" t="str">
        <f>LUNES!$A$66</f>
        <v>Press Militar</v>
      </c>
      <c r="E136" s="57" t="str">
        <f>LUNES!$B$66</f>
        <v>Mancuernas Sentado</v>
      </c>
      <c r="F136" s="37" t="str">
        <f>LUNES!$C$66</f>
        <v>mancuerna</v>
      </c>
      <c r="G136" s="37" t="str">
        <f>IFERROR(LOOKUP(2,1/((HISTORIAL!$O$3:$O$134=D136&amp;"|"&amp;E136)*(HISTORIAL!$F$3:$F$134&lt;&gt;"")),HISTORIAL!$F$3:$F$134),"")</f>
        <v/>
      </c>
      <c r="H136" s="37" t="str">
        <f>IFERROR(LOOKUP(2,1/((HISTORIAL!$O$3:$O$134=D136&amp;"|"&amp;E136)*(HISTORIAL!$F$3:$F$134&lt;&gt;"")),HISTORIAL!$G$3:$G$134),"")</f>
        <v/>
      </c>
      <c r="I136" s="37" t="str">
        <f>IFERROR(LOOKUP(2,1/((HISTORIAL!$O$3:$O$134=D136&amp;"|"&amp;E136)*(HISTORIAL!$F$3:$F$134&lt;&gt;"")),HISTORIAL!$H$3:$H$134),"")</f>
        <v/>
      </c>
      <c r="J136" s="37" t="str">
        <f>IFERROR(LOOKUP(2,1/((HISTORIAL!$O$3:$O$134=D136&amp;"|"&amp;E136)*(HISTORIAL!$F$3:$F$134&lt;&gt;"")),HISTORIAL!$I$3:$I$134),"")</f>
        <v/>
      </c>
      <c r="K136" s="58" t="str">
        <f>IFERROR(IF(OR(G136="",N136="SIN"),"--",IF(N136="SUBIR_F",IF(F136="polea",IFERROR(INDEX(CONFIG!$B$25:$B$40,MATCH(G136,CONFIG!$B$25:$B$40,0)+2),IFERROR(INDEX(CONFIG!$B$25:$B$40,MATCH(G136,CONFIG!$B$25:$B$40,0)+1),G136)),G136+5),IF(OR(N136="SUBIR",N136="SUBIR_E"),IF(F136="polea",IFERROR(INDEX(CONFIG!$B$25:$B$40,MATCH(G136,CONFIG!$B$25:$B$40,0)+1),G136),G136+2.5),IF(N136="BAJAR",IF(F136="polea",IFERROR(INDEX(CONFIG!$B$25:$B$40,MAX(1,MATCH(G136,CONFIG!$B$25:$B$40,0)-1)),G136),MAX(0,G136-2.5)),G136)))),"--")</f>
        <v>--</v>
      </c>
      <c r="L136" s="59" t="str">
        <f>IFERROR(IF(N136="SIN","--",IF(N136="MANT",IF(H136="","--",H136+1),IFERROR(VLOOKUP(CONFIG!$E$2,CONFIG!$A$6:$E$8,2,0),"--"))),"--")</f>
        <v>--</v>
      </c>
      <c r="M136" s="59" t="str">
        <f>IFERROR(IF(N136="SIN","--",IF(CONFIG!$E$2="HIP",2,IF(CONFIG!$E$2="FUE",1,2))),"--")</f>
        <v>--</v>
      </c>
      <c r="N136" s="53" t="str">
        <f>IFERROR(IF(G136="","SIN",IF(O136=1,"SUBIR_E",IF(H136&lt;IFERROR(VLOOKUP(CONFIG!$E$2,CONFIG!$A$6:$E$8,2,0),6),"BAJAR",IF(H136+I136&gt;=IFERROR(VLOOKUP(CONFIG!$E$2,CONFIG!$A$6:$E$8,3,0),12),"SUBIR_F",IF(AND(H136&gt;=IFERROR(VLOOKUP(CONFIG!$E$2,CONFIG!$A$6:$E$8,2,0),6)+2,I136&gt;=2),"SUBIR",IF(I136&gt;IFERROR(VLOOKUP(CONFIG!$E$2,CONFIG!$A$6:$E$8,5,0),3),"SUBIR","MANT")))))),"SIN")</f>
        <v>SIN</v>
      </c>
      <c r="O136" s="55">
        <f>IF(COUNTIFS(HISTORIAL!$O$3:$O$134,D136&amp;"|"&amp;E136,HISTORIAL!$F$3:$F$134,"&gt;0")&lt;2,0,IF(COUNTIFS(HISTORIAL!$O$3:$O$134,D136&amp;"|"&amp;E136,HISTORIAL!$F$3:$F$134,IFERROR(LOOKUP(2,1/((HISTORIAL!$O$3:$O$134=D136&amp;"|"&amp;E136)*(HISTORIAL!$F$3:$F$134&gt;0)),HISTORIAL!$F$3:$F$134),0))&gt;=2,IF(IFERROR(LOOKUP(2,1/((HISTORIAL!$O$3:$O$134=D136&amp;"|"&amp;E136)*(HISTORIAL!$F$3:$F$134&gt;0)),HISTORIAL!$G$3:$G$134),0)&gt;0,IF(F136&gt;0,IF(G136&lt;=IFERROR(LOOKUP(2,1/((HISTORIAL!$O$3:$O$134=D136&amp;"|"&amp;E136)*(HISTORIAL!$F$3:$F$134&gt;0)),HISTORIAL!$G$3:$G$134),0),1,0),0),0),0))</f>
        <v>0</v>
      </c>
    </row>
    <row r="137" spans="1:15" ht="14.1" customHeight="1">
      <c r="A137" s="37">
        <v>3</v>
      </c>
      <c r="B137" s="37" t="s">
        <v>277</v>
      </c>
      <c r="C137" s="37">
        <v>8</v>
      </c>
      <c r="D137" s="56" t="str">
        <f>LUNES!$A$68</f>
        <v>Extension Triceps</v>
      </c>
      <c r="E137" s="57" t="str">
        <f>LUNES!$B$68</f>
        <v>Press Neutro Polea Individual</v>
      </c>
      <c r="F137" s="37" t="str">
        <f>LUNES!$C$68</f>
        <v>--</v>
      </c>
      <c r="G137" s="37" t="str">
        <f>IFERROR(LOOKUP(2,1/((HISTORIAL!$O$3:$O$135=D137&amp;"|"&amp;E137)*(HISTORIAL!$F$3:$F$135&lt;&gt;"")),HISTORIAL!$F$3:$F$135),"")</f>
        <v/>
      </c>
      <c r="H137" s="37" t="str">
        <f>IFERROR(LOOKUP(2,1/((HISTORIAL!$O$3:$O$135=D137&amp;"|"&amp;E137)*(HISTORIAL!$F$3:$F$135&lt;&gt;"")),HISTORIAL!$G$3:$G$135),"")</f>
        <v/>
      </c>
      <c r="I137" s="37" t="str">
        <f>IFERROR(LOOKUP(2,1/((HISTORIAL!$O$3:$O$135=D137&amp;"|"&amp;E137)*(HISTORIAL!$F$3:$F$135&lt;&gt;"")),HISTORIAL!$H$3:$H$135),"")</f>
        <v/>
      </c>
      <c r="J137" s="37" t="str">
        <f>IFERROR(LOOKUP(2,1/((HISTORIAL!$O$3:$O$135=D137&amp;"|"&amp;E137)*(HISTORIAL!$F$3:$F$135&lt;&gt;"")),HISTORIAL!$I$3:$I$135),"")</f>
        <v/>
      </c>
      <c r="K137" s="58" t="str">
        <f>IFERROR(IF(OR(G137="",N137="SIN"),"--",IF(N137="SUBIR_F",IF(F137="polea",IFERROR(INDEX(CONFIG!$B$25:$B$40,MATCH(G137,CONFIG!$B$25:$B$40,0)+2),IFERROR(INDEX(CONFIG!$B$25:$B$40,MATCH(G137,CONFIG!$B$25:$B$40,0)+1),G137)),G137+5),IF(OR(N137="SUBIR",N137="SUBIR_E"),IF(F137="polea",IFERROR(INDEX(CONFIG!$B$25:$B$40,MATCH(G137,CONFIG!$B$25:$B$40,0)+1),G137),G137+2.5),IF(N137="BAJAR",IF(F137="polea",IFERROR(INDEX(CONFIG!$B$25:$B$40,MAX(1,MATCH(G137,CONFIG!$B$25:$B$40,0)-1)),G137),MAX(0,G137-2.5)),G137)))),"--")</f>
        <v>--</v>
      </c>
      <c r="L137" s="59" t="str">
        <f>IFERROR(IF(N137="SIN","--",IF(N137="MANT",IF(H137="","--",H137+1),IFERROR(VLOOKUP(CONFIG!$E$2,CONFIG!$A$6:$E$8,2,0),"--"))),"--")</f>
        <v>--</v>
      </c>
      <c r="M137" s="59" t="str">
        <f>IFERROR(IF(N137="SIN","--",IF(CONFIG!$E$2="HIP",2,IF(CONFIG!$E$2="FUE",1,2))),"--")</f>
        <v>--</v>
      </c>
      <c r="N137" s="53" t="str">
        <f>IFERROR(IF(G137="","SIN",IF(O137=1,"SUBIR_E",IF(H137&lt;IFERROR(VLOOKUP(CONFIG!$E$2,CONFIG!$A$6:$E$8,2,0),6),"BAJAR",IF(H137+I137&gt;=IFERROR(VLOOKUP(CONFIG!$E$2,CONFIG!$A$6:$E$8,3,0),12),"SUBIR_F",IF(AND(H137&gt;=IFERROR(VLOOKUP(CONFIG!$E$2,CONFIG!$A$6:$E$8,2,0),6)+2,I137&gt;=2),"SUBIR",IF(I137&gt;IFERROR(VLOOKUP(CONFIG!$E$2,CONFIG!$A$6:$E$8,5,0),3),"SUBIR","MANT")))))),"SIN")</f>
        <v>SIN</v>
      </c>
      <c r="O137" s="55">
        <f>IF(COUNTIFS(HISTORIAL!$O$3:$O$135,D137&amp;"|"&amp;E137,HISTORIAL!$F$3:$F$135,"&gt;0")&lt;2,0,IF(COUNTIFS(HISTORIAL!$O$3:$O$135,D137&amp;"|"&amp;E137,HISTORIAL!$F$3:$F$135,IFERROR(LOOKUP(2,1/((HISTORIAL!$O$3:$O$135=D137&amp;"|"&amp;E137)*(HISTORIAL!$F$3:$F$135&gt;0)),HISTORIAL!$F$3:$F$135),0))&gt;=2,IF(IFERROR(LOOKUP(2,1/((HISTORIAL!$O$3:$O$135=D137&amp;"|"&amp;E137)*(HISTORIAL!$F$3:$F$135&gt;0)),HISTORIAL!$G$3:$G$135),0)&gt;0,IF(F137&gt;0,IF(G137&lt;=IFERROR(LOOKUP(2,1/((HISTORIAL!$O$3:$O$135=D137&amp;"|"&amp;E137)*(HISTORIAL!$F$3:$F$135&gt;0)),HISTORIAL!$G$3:$G$135),0),1,0),0),0),0))</f>
        <v>0</v>
      </c>
    </row>
    <row r="138" spans="1:15" ht="14.1" customHeight="1">
      <c r="A138" s="37">
        <v>3</v>
      </c>
      <c r="B138" s="37" t="s">
        <v>277</v>
      </c>
      <c r="C138" s="37">
        <v>9</v>
      </c>
      <c r="D138" s="56" t="str">
        <f>LUNES!$A$70</f>
        <v>Extension Cuadriceps</v>
      </c>
      <c r="E138" s="57" t="str">
        <f>LUNES!$B$70</f>
        <v>Vasto Externo</v>
      </c>
      <c r="F138" s="37" t="str">
        <f>LUNES!$C$70</f>
        <v>--</v>
      </c>
      <c r="G138" s="37" t="str">
        <f>IFERROR(LOOKUP(2,1/((HISTORIAL!$O$3:$O$136=D138&amp;"|"&amp;E138)*(HISTORIAL!$F$3:$F$136&lt;&gt;"")),HISTORIAL!$F$3:$F$136),"")</f>
        <v/>
      </c>
      <c r="H138" s="37" t="str">
        <f>IFERROR(LOOKUP(2,1/((HISTORIAL!$O$3:$O$136=D138&amp;"|"&amp;E138)*(HISTORIAL!$F$3:$F$136&lt;&gt;"")),HISTORIAL!$G$3:$G$136),"")</f>
        <v/>
      </c>
      <c r="I138" s="37" t="str">
        <f>IFERROR(LOOKUP(2,1/((HISTORIAL!$O$3:$O$136=D138&amp;"|"&amp;E138)*(HISTORIAL!$F$3:$F$136&lt;&gt;"")),HISTORIAL!$H$3:$H$136),"")</f>
        <v/>
      </c>
      <c r="J138" s="37" t="str">
        <f>IFERROR(LOOKUP(2,1/((HISTORIAL!$O$3:$O$136=D138&amp;"|"&amp;E138)*(HISTORIAL!$F$3:$F$136&lt;&gt;"")),HISTORIAL!$I$3:$I$136),"")</f>
        <v/>
      </c>
      <c r="K138" s="58" t="str">
        <f>IFERROR(IF(OR(G138="",N138="SIN"),"--",IF(N138="SUBIR_F",IF(F138="polea",IFERROR(INDEX(CONFIG!$B$25:$B$40,MATCH(G138,CONFIG!$B$25:$B$40,0)+2),IFERROR(INDEX(CONFIG!$B$25:$B$40,MATCH(G138,CONFIG!$B$25:$B$40,0)+1),G138)),G138+5),IF(OR(N138="SUBIR",N138="SUBIR_E"),IF(F138="polea",IFERROR(INDEX(CONFIG!$B$25:$B$40,MATCH(G138,CONFIG!$B$25:$B$40,0)+1),G138),G138+2.5),IF(N138="BAJAR",IF(F138="polea",IFERROR(INDEX(CONFIG!$B$25:$B$40,MAX(1,MATCH(G138,CONFIG!$B$25:$B$40,0)-1)),G138),MAX(0,G138-2.5)),G138)))),"--")</f>
        <v>--</v>
      </c>
      <c r="L138" s="59" t="str">
        <f>IFERROR(IF(N138="SIN","--",IF(N138="MANT",IF(H138="","--",H138+1),IFERROR(VLOOKUP(CONFIG!$E$2,CONFIG!$A$6:$E$8,2,0),"--"))),"--")</f>
        <v>--</v>
      </c>
      <c r="M138" s="59" t="str">
        <f>IFERROR(IF(N138="SIN","--",IF(CONFIG!$E$2="HIP",2,IF(CONFIG!$E$2="FUE",1,2))),"--")</f>
        <v>--</v>
      </c>
      <c r="N138" s="53" t="str">
        <f>IFERROR(IF(G138="","SIN",IF(O138=1,"SUBIR_E",IF(H138&lt;IFERROR(VLOOKUP(CONFIG!$E$2,CONFIG!$A$6:$E$8,2,0),6),"BAJAR",IF(H138+I138&gt;=IFERROR(VLOOKUP(CONFIG!$E$2,CONFIG!$A$6:$E$8,3,0),12),"SUBIR_F",IF(AND(H138&gt;=IFERROR(VLOOKUP(CONFIG!$E$2,CONFIG!$A$6:$E$8,2,0),6)+2,I138&gt;=2),"SUBIR",IF(I138&gt;IFERROR(VLOOKUP(CONFIG!$E$2,CONFIG!$A$6:$E$8,5,0),3),"SUBIR","MANT")))))),"SIN")</f>
        <v>SIN</v>
      </c>
      <c r="O138" s="55">
        <f>IF(COUNTIFS(HISTORIAL!$O$3:$O$136,D138&amp;"|"&amp;E138,HISTORIAL!$F$3:$F$136,"&gt;0")&lt;2,0,IF(COUNTIFS(HISTORIAL!$O$3:$O$136,D138&amp;"|"&amp;E138,HISTORIAL!$F$3:$F$136,IFERROR(LOOKUP(2,1/((HISTORIAL!$O$3:$O$136=D138&amp;"|"&amp;E138)*(HISTORIAL!$F$3:$F$136&gt;0)),HISTORIAL!$F$3:$F$136),0))&gt;=2,IF(IFERROR(LOOKUP(2,1/((HISTORIAL!$O$3:$O$136=D138&amp;"|"&amp;E138)*(HISTORIAL!$F$3:$F$136&gt;0)),HISTORIAL!$G$3:$G$136),0)&gt;0,IF(F138&gt;0,IF(G138&lt;=IFERROR(LOOKUP(2,1/((HISTORIAL!$O$3:$O$136=D138&amp;"|"&amp;E138)*(HISTORIAL!$F$3:$F$136&gt;0)),HISTORIAL!$G$3:$G$136),0),1,0),0),0),0))</f>
        <v>0</v>
      </c>
    </row>
    <row r="139" spans="1:15" ht="14.1" customHeight="1">
      <c r="A139" s="37">
        <v>3</v>
      </c>
      <c r="B139" s="37" t="s">
        <v>277</v>
      </c>
      <c r="C139" s="37">
        <v>10</v>
      </c>
      <c r="D139" s="56" t="str">
        <f>LUNES!$A$72</f>
        <v>Curl Biceps</v>
      </c>
      <c r="E139" s="57" t="str">
        <f>LUNES!$B$72</f>
        <v>Inclinado Banco Mancuernas</v>
      </c>
      <c r="F139" s="37" t="str">
        <f>LUNES!$C$72</f>
        <v>mancuerna</v>
      </c>
      <c r="G139" s="37" t="str">
        <f>IFERROR(LOOKUP(2,1/((HISTORIAL!$O$3:$O$137=D139&amp;"|"&amp;E139)*(HISTORIAL!$F$3:$F$137&lt;&gt;"")),HISTORIAL!$F$3:$F$137),"")</f>
        <v/>
      </c>
      <c r="H139" s="37" t="str">
        <f>IFERROR(LOOKUP(2,1/((HISTORIAL!$O$3:$O$137=D139&amp;"|"&amp;E139)*(HISTORIAL!$F$3:$F$137&lt;&gt;"")),HISTORIAL!$G$3:$G$137),"")</f>
        <v/>
      </c>
      <c r="I139" s="37" t="str">
        <f>IFERROR(LOOKUP(2,1/((HISTORIAL!$O$3:$O$137=D139&amp;"|"&amp;E139)*(HISTORIAL!$F$3:$F$137&lt;&gt;"")),HISTORIAL!$H$3:$H$137),"")</f>
        <v/>
      </c>
      <c r="J139" s="37" t="str">
        <f>IFERROR(LOOKUP(2,1/((HISTORIAL!$O$3:$O$137=D139&amp;"|"&amp;E139)*(HISTORIAL!$F$3:$F$137&lt;&gt;"")),HISTORIAL!$I$3:$I$137),"")</f>
        <v/>
      </c>
      <c r="K139" s="58" t="str">
        <f>IFERROR(IF(OR(G139="",N139="SIN"),"--",IF(N139="SUBIR_F",IF(F139="polea",IFERROR(INDEX(CONFIG!$B$25:$B$40,MATCH(G139,CONFIG!$B$25:$B$40,0)+2),IFERROR(INDEX(CONFIG!$B$25:$B$40,MATCH(G139,CONFIG!$B$25:$B$40,0)+1),G139)),G139+5),IF(OR(N139="SUBIR",N139="SUBIR_E"),IF(F139="polea",IFERROR(INDEX(CONFIG!$B$25:$B$40,MATCH(G139,CONFIG!$B$25:$B$40,0)+1),G139),G139+2.5),IF(N139="BAJAR",IF(F139="polea",IFERROR(INDEX(CONFIG!$B$25:$B$40,MAX(1,MATCH(G139,CONFIG!$B$25:$B$40,0)-1)),G139),MAX(0,G139-2.5)),G139)))),"--")</f>
        <v>--</v>
      </c>
      <c r="L139" s="59" t="str">
        <f>IFERROR(IF(N139="SIN","--",IF(N139="MANT",IF(H139="","--",H139+1),IFERROR(VLOOKUP(CONFIG!$E$2,CONFIG!$A$6:$E$8,2,0),"--"))),"--")</f>
        <v>--</v>
      </c>
      <c r="M139" s="59" t="str">
        <f>IFERROR(IF(N139="SIN","--",IF(CONFIG!$E$2="HIP",2,IF(CONFIG!$E$2="FUE",1,2))),"--")</f>
        <v>--</v>
      </c>
      <c r="N139" s="53" t="str">
        <f>IFERROR(IF(G139="","SIN",IF(O139=1,"SUBIR_E",IF(H139&lt;IFERROR(VLOOKUP(CONFIG!$E$2,CONFIG!$A$6:$E$8,2,0),6),"BAJAR",IF(H139+I139&gt;=IFERROR(VLOOKUP(CONFIG!$E$2,CONFIG!$A$6:$E$8,3,0),12),"SUBIR_F",IF(AND(H139&gt;=IFERROR(VLOOKUP(CONFIG!$E$2,CONFIG!$A$6:$E$8,2,0),6)+2,I139&gt;=2),"SUBIR",IF(I139&gt;IFERROR(VLOOKUP(CONFIG!$E$2,CONFIG!$A$6:$E$8,5,0),3),"SUBIR","MANT")))))),"SIN")</f>
        <v>SIN</v>
      </c>
      <c r="O139" s="55">
        <f>IF(COUNTIFS(HISTORIAL!$O$3:$O$137,D139&amp;"|"&amp;E139,HISTORIAL!$F$3:$F$137,"&gt;0")&lt;2,0,IF(COUNTIFS(HISTORIAL!$O$3:$O$137,D139&amp;"|"&amp;E139,HISTORIAL!$F$3:$F$137,IFERROR(LOOKUP(2,1/((HISTORIAL!$O$3:$O$137=D139&amp;"|"&amp;E139)*(HISTORIAL!$F$3:$F$137&gt;0)),HISTORIAL!$F$3:$F$137),0))&gt;=2,IF(IFERROR(LOOKUP(2,1/((HISTORIAL!$O$3:$O$137=D139&amp;"|"&amp;E139)*(HISTORIAL!$F$3:$F$137&gt;0)),HISTORIAL!$G$3:$G$137),0)&gt;0,IF(F139&gt;0,IF(G139&lt;=IFERROR(LOOKUP(2,1/((HISTORIAL!$O$3:$O$137=D139&amp;"|"&amp;E139)*(HISTORIAL!$F$3:$F$137&gt;0)),HISTORIAL!$G$3:$G$137),0),1,0),0),0),0))</f>
        <v>0</v>
      </c>
    </row>
    <row r="140" spans="1:15" ht="14.1" customHeight="1">
      <c r="A140" s="37">
        <v>3</v>
      </c>
      <c r="B140" s="37" t="s">
        <v>277</v>
      </c>
      <c r="C140" s="37">
        <v>11</v>
      </c>
      <c r="D140" s="56" t="str">
        <f>LUNES!$A$74</f>
        <v>Crunch</v>
      </c>
      <c r="E140" s="57" t="str">
        <f>LUNES!$B$74</f>
        <v>Polea</v>
      </c>
      <c r="F140" s="37" t="str">
        <f>LUNES!$C$74</f>
        <v>polea</v>
      </c>
      <c r="G140" s="37" t="str">
        <f>IFERROR(LOOKUP(2,1/((HISTORIAL!$O$3:$O$138=D140&amp;"|"&amp;E140)*(HISTORIAL!$F$3:$F$138&lt;&gt;"")),HISTORIAL!$F$3:$F$138),"")</f>
        <v/>
      </c>
      <c r="H140" s="37" t="str">
        <f>IFERROR(LOOKUP(2,1/((HISTORIAL!$O$3:$O$138=D140&amp;"|"&amp;E140)*(HISTORIAL!$F$3:$F$138&lt;&gt;"")),HISTORIAL!$G$3:$G$138),"")</f>
        <v/>
      </c>
      <c r="I140" s="37" t="str">
        <f>IFERROR(LOOKUP(2,1/((HISTORIAL!$O$3:$O$138=D140&amp;"|"&amp;E140)*(HISTORIAL!$F$3:$F$138&lt;&gt;"")),HISTORIAL!$H$3:$H$138),"")</f>
        <v/>
      </c>
      <c r="J140" s="37" t="str">
        <f>IFERROR(LOOKUP(2,1/((HISTORIAL!$O$3:$O$138=D140&amp;"|"&amp;E140)*(HISTORIAL!$F$3:$F$138&lt;&gt;"")),HISTORIAL!$I$3:$I$138),"")</f>
        <v/>
      </c>
      <c r="K140" s="58" t="str">
        <f>IFERROR(IF(OR(G140="",N140="SIN"),"--",IF(N140="SUBIR_F",IF(F140="polea",IFERROR(INDEX(CONFIG!$B$25:$B$40,MATCH(G140,CONFIG!$B$25:$B$40,0)+2),IFERROR(INDEX(CONFIG!$B$25:$B$40,MATCH(G140,CONFIG!$B$25:$B$40,0)+1),G140)),G140+5),IF(OR(N140="SUBIR",N140="SUBIR_E"),IF(F140="polea",IFERROR(INDEX(CONFIG!$B$25:$B$40,MATCH(G140,CONFIG!$B$25:$B$40,0)+1),G140),G140+2.5),IF(N140="BAJAR",IF(F140="polea",IFERROR(INDEX(CONFIG!$B$25:$B$40,MAX(1,MATCH(G140,CONFIG!$B$25:$B$40,0)-1)),G140),MAX(0,G140-2.5)),G140)))),"--")</f>
        <v>--</v>
      </c>
      <c r="L140" s="59" t="str">
        <f>IFERROR(IF(N140="SIN","--",IF(N140="MANT",IF(H140="","--",H140+1),IFERROR(VLOOKUP(CONFIG!$E$2,CONFIG!$A$6:$E$8,2,0),"--"))),"--")</f>
        <v>--</v>
      </c>
      <c r="M140" s="59" t="str">
        <f>IFERROR(IF(N140="SIN","--",IF(CONFIG!$E$2="HIP",2,IF(CONFIG!$E$2="FUE",1,2))),"--")</f>
        <v>--</v>
      </c>
      <c r="N140" s="53" t="str">
        <f>IFERROR(IF(G140="","SIN",IF(O140=1,"SUBIR_E",IF(H140&lt;IFERROR(VLOOKUP(CONFIG!$E$2,CONFIG!$A$6:$E$8,2,0),6),"BAJAR",IF(H140+I140&gt;=IFERROR(VLOOKUP(CONFIG!$E$2,CONFIG!$A$6:$E$8,3,0),12),"SUBIR_F",IF(AND(H140&gt;=IFERROR(VLOOKUP(CONFIG!$E$2,CONFIG!$A$6:$E$8,2,0),6)+2,I140&gt;=2),"SUBIR",IF(I140&gt;IFERROR(VLOOKUP(CONFIG!$E$2,CONFIG!$A$6:$E$8,5,0),3),"SUBIR","MANT")))))),"SIN")</f>
        <v>SIN</v>
      </c>
      <c r="O140" s="55">
        <f>IF(COUNTIFS(HISTORIAL!$O$3:$O$138,D140&amp;"|"&amp;E140,HISTORIAL!$F$3:$F$138,"&gt;0")&lt;2,0,IF(COUNTIFS(HISTORIAL!$O$3:$O$138,D140&amp;"|"&amp;E140,HISTORIAL!$F$3:$F$138,IFERROR(LOOKUP(2,1/((HISTORIAL!$O$3:$O$138=D140&amp;"|"&amp;E140)*(HISTORIAL!$F$3:$F$138&gt;0)),HISTORIAL!$F$3:$F$138),0))&gt;=2,IF(IFERROR(LOOKUP(2,1/((HISTORIAL!$O$3:$O$138=D140&amp;"|"&amp;E140)*(HISTORIAL!$F$3:$F$138&gt;0)),HISTORIAL!$G$3:$G$138),0)&gt;0,IF(F140&gt;0,IF(G140&lt;=IFERROR(LOOKUP(2,1/((HISTORIAL!$O$3:$O$138=D140&amp;"|"&amp;E140)*(HISTORIAL!$F$3:$F$138&gt;0)),HISTORIAL!$G$3:$G$138),0),1,0),0),0),0))</f>
        <v>0</v>
      </c>
    </row>
    <row r="141" spans="1:15" ht="14.1" customHeight="1">
      <c r="A141" s="37">
        <v>3</v>
      </c>
      <c r="B141" s="37" t="s">
        <v>278</v>
      </c>
      <c r="C141" s="37">
        <v>1</v>
      </c>
      <c r="D141" s="56" t="str">
        <f>MARTES!$A$55</f>
        <v>Dominadas</v>
      </c>
      <c r="E141" s="57" t="str">
        <f>MARTES!$B$55</f>
        <v>Polea Alta Prono Ancho</v>
      </c>
      <c r="F141" s="37" t="str">
        <f>MARTES!$C$55</f>
        <v>peso_corporal</v>
      </c>
      <c r="G141" s="37" t="str">
        <f>IFERROR(LOOKUP(2,1/((HISTORIAL!$O$3:$O$139=D141&amp;"|"&amp;E141)*(HISTORIAL!$F$3:$F$139&lt;&gt;"")),HISTORIAL!$F$3:$F$139),"")</f>
        <v/>
      </c>
      <c r="H141" s="37" t="str">
        <f>IFERROR(LOOKUP(2,1/((HISTORIAL!$O$3:$O$139=D141&amp;"|"&amp;E141)*(HISTORIAL!$F$3:$F$139&lt;&gt;"")),HISTORIAL!$G$3:$G$139),"")</f>
        <v/>
      </c>
      <c r="I141" s="37" t="str">
        <f>IFERROR(LOOKUP(2,1/((HISTORIAL!$O$3:$O$139=D141&amp;"|"&amp;E141)*(HISTORIAL!$F$3:$F$139&lt;&gt;"")),HISTORIAL!$H$3:$H$139),"")</f>
        <v/>
      </c>
      <c r="J141" s="37" t="str">
        <f>IFERROR(LOOKUP(2,1/((HISTORIAL!$O$3:$O$139=D141&amp;"|"&amp;E141)*(HISTORIAL!$F$3:$F$139&lt;&gt;"")),HISTORIAL!$I$3:$I$139),"")</f>
        <v/>
      </c>
      <c r="K141" s="58" t="str">
        <f>IFERROR(IF(OR(G141="",N141="SIN"),"--",IF(N141="SUBIR_F",IF(F141="polea",IFERROR(INDEX(CONFIG!$B$25:$B$40,MATCH(G141,CONFIG!$B$25:$B$40,0)+2),IFERROR(INDEX(CONFIG!$B$25:$B$40,MATCH(G141,CONFIG!$B$25:$B$40,0)+1),G141)),G141+5),IF(OR(N141="SUBIR",N141="SUBIR_E"),IF(F141="polea",IFERROR(INDEX(CONFIG!$B$25:$B$40,MATCH(G141,CONFIG!$B$25:$B$40,0)+1),G141),G141+2.5),IF(N141="BAJAR",IF(F141="polea",IFERROR(INDEX(CONFIG!$B$25:$B$40,MAX(1,MATCH(G141,CONFIG!$B$25:$B$40,0)-1)),G141),MAX(0,G141-2.5)),G141)))),"--")</f>
        <v>--</v>
      </c>
      <c r="L141" s="59" t="str">
        <f>IFERROR(IF(N141="SIN","--",IF(N141="MANT",IF(H141="","--",H141+1),IFERROR(VLOOKUP(CONFIG!$E$2,CONFIG!$A$6:$E$8,2,0),"--"))),"--")</f>
        <v>--</v>
      </c>
      <c r="M141" s="59" t="str">
        <f>IFERROR(IF(N141="SIN","--",IF(CONFIG!$E$2="HIP",2,IF(CONFIG!$E$2="FUE",1,2))),"--")</f>
        <v>--</v>
      </c>
      <c r="N141" s="53" t="str">
        <f>IFERROR(IF(G141="","SIN",IF(O141=1,"SUBIR_E",IF(H141&lt;IFERROR(VLOOKUP(CONFIG!$E$2,CONFIG!$A$6:$E$8,2,0),6),"BAJAR",IF(H141+I141&gt;=IFERROR(VLOOKUP(CONFIG!$E$2,CONFIG!$A$6:$E$8,3,0),12),"SUBIR_F",IF(AND(H141&gt;=IFERROR(VLOOKUP(CONFIG!$E$2,CONFIG!$A$6:$E$8,2,0),6)+2,I141&gt;=2),"SUBIR",IF(I141&gt;IFERROR(VLOOKUP(CONFIG!$E$2,CONFIG!$A$6:$E$8,5,0),3),"SUBIR","MANT")))))),"SIN")</f>
        <v>SIN</v>
      </c>
      <c r="O141" s="55">
        <f>IF(COUNTIFS(HISTORIAL!$O$3:$O$139,D141&amp;"|"&amp;E141,HISTORIAL!$F$3:$F$139,"&gt;0")&lt;2,0,IF(COUNTIFS(HISTORIAL!$O$3:$O$139,D141&amp;"|"&amp;E141,HISTORIAL!$F$3:$F$139,IFERROR(LOOKUP(2,1/((HISTORIAL!$O$3:$O$139=D141&amp;"|"&amp;E141)*(HISTORIAL!$F$3:$F$139&gt;0)),HISTORIAL!$F$3:$F$139),0))&gt;=2,IF(IFERROR(LOOKUP(2,1/((HISTORIAL!$O$3:$O$139=D141&amp;"|"&amp;E141)*(HISTORIAL!$F$3:$F$139&gt;0)),HISTORIAL!$G$3:$G$139),0)&gt;0,IF(F141&gt;0,IF(G141&lt;=IFERROR(LOOKUP(2,1/((HISTORIAL!$O$3:$O$139=D141&amp;"|"&amp;E141)*(HISTORIAL!$F$3:$F$139&gt;0)),HISTORIAL!$G$3:$G$139),0),1,0),0),0),0))</f>
        <v>0</v>
      </c>
    </row>
    <row r="142" spans="1:15" ht="14.1" customHeight="1">
      <c r="A142" s="37">
        <v>3</v>
      </c>
      <c r="B142" s="37" t="s">
        <v>278</v>
      </c>
      <c r="C142" s="37">
        <v>2</v>
      </c>
      <c r="D142" s="56" t="str">
        <f>MARTES!$A$56</f>
        <v>Pulldown</v>
      </c>
      <c r="E142" s="57" t="str">
        <f>MARTES!$B$56</f>
        <v>Polea Alta Brazos Rectos Prono</v>
      </c>
      <c r="F142" s="37" t="str">
        <f>MARTES!$C$56</f>
        <v>polea</v>
      </c>
      <c r="G142" s="37" t="str">
        <f>IFERROR(LOOKUP(2,1/((HISTORIAL!$O$3:$O$140=D142&amp;"|"&amp;E142)*(HISTORIAL!$F$3:$F$140&lt;&gt;"")),HISTORIAL!$F$3:$F$140),"")</f>
        <v/>
      </c>
      <c r="H142" s="37" t="str">
        <f>IFERROR(LOOKUP(2,1/((HISTORIAL!$O$3:$O$140=D142&amp;"|"&amp;E142)*(HISTORIAL!$F$3:$F$140&lt;&gt;"")),HISTORIAL!$G$3:$G$140),"")</f>
        <v/>
      </c>
      <c r="I142" s="37" t="str">
        <f>IFERROR(LOOKUP(2,1/((HISTORIAL!$O$3:$O$140=D142&amp;"|"&amp;E142)*(HISTORIAL!$F$3:$F$140&lt;&gt;"")),HISTORIAL!$H$3:$H$140),"")</f>
        <v/>
      </c>
      <c r="J142" s="37" t="str">
        <f>IFERROR(LOOKUP(2,1/((HISTORIAL!$O$3:$O$140=D142&amp;"|"&amp;E142)*(HISTORIAL!$F$3:$F$140&lt;&gt;"")),HISTORIAL!$I$3:$I$140),"")</f>
        <v/>
      </c>
      <c r="K142" s="58" t="str">
        <f>IFERROR(IF(OR(G142="",N142="SIN"),"--",IF(N142="SUBIR_F",IF(F142="polea",IFERROR(INDEX(CONFIG!$B$25:$B$40,MATCH(G142,CONFIG!$B$25:$B$40,0)+2),IFERROR(INDEX(CONFIG!$B$25:$B$40,MATCH(G142,CONFIG!$B$25:$B$40,0)+1),G142)),G142+5),IF(OR(N142="SUBIR",N142="SUBIR_E"),IF(F142="polea",IFERROR(INDEX(CONFIG!$B$25:$B$40,MATCH(G142,CONFIG!$B$25:$B$40,0)+1),G142),G142+2.5),IF(N142="BAJAR",IF(F142="polea",IFERROR(INDEX(CONFIG!$B$25:$B$40,MAX(1,MATCH(G142,CONFIG!$B$25:$B$40,0)-1)),G142),MAX(0,G142-2.5)),G142)))),"--")</f>
        <v>--</v>
      </c>
      <c r="L142" s="59" t="str">
        <f>IFERROR(IF(N142="SIN","--",IF(N142="MANT",IF(H142="","--",H142+1),IFERROR(VLOOKUP(CONFIG!$E$2,CONFIG!$A$6:$E$8,2,0),"--"))),"--")</f>
        <v>--</v>
      </c>
      <c r="M142" s="59" t="str">
        <f>IFERROR(IF(N142="SIN","--",IF(CONFIG!$E$2="HIP",2,IF(CONFIG!$E$2="FUE",1,2))),"--")</f>
        <v>--</v>
      </c>
      <c r="N142" s="53" t="str">
        <f>IFERROR(IF(G142="","SIN",IF(O142=1,"SUBIR_E",IF(H142&lt;IFERROR(VLOOKUP(CONFIG!$E$2,CONFIG!$A$6:$E$8,2,0),6),"BAJAR",IF(H142+I142&gt;=IFERROR(VLOOKUP(CONFIG!$E$2,CONFIG!$A$6:$E$8,3,0),12),"SUBIR_F",IF(AND(H142&gt;=IFERROR(VLOOKUP(CONFIG!$E$2,CONFIG!$A$6:$E$8,2,0),6)+2,I142&gt;=2),"SUBIR",IF(I142&gt;IFERROR(VLOOKUP(CONFIG!$E$2,CONFIG!$A$6:$E$8,5,0),3),"SUBIR","MANT")))))),"SIN")</f>
        <v>SIN</v>
      </c>
      <c r="O142" s="55">
        <f>IF(COUNTIFS(HISTORIAL!$O$3:$O$140,D142&amp;"|"&amp;E142,HISTORIAL!$F$3:$F$140,"&gt;0")&lt;2,0,IF(COUNTIFS(HISTORIAL!$O$3:$O$140,D142&amp;"|"&amp;E142,HISTORIAL!$F$3:$F$140,IFERROR(LOOKUP(2,1/((HISTORIAL!$O$3:$O$140=D142&amp;"|"&amp;E142)*(HISTORIAL!$F$3:$F$140&gt;0)),HISTORIAL!$F$3:$F$140),0))&gt;=2,IF(IFERROR(LOOKUP(2,1/((HISTORIAL!$O$3:$O$140=D142&amp;"|"&amp;E142)*(HISTORIAL!$F$3:$F$140&gt;0)),HISTORIAL!$G$3:$G$140),0)&gt;0,IF(F142&gt;0,IF(G142&lt;=IFERROR(LOOKUP(2,1/((HISTORIAL!$O$3:$O$140=D142&amp;"|"&amp;E142)*(HISTORIAL!$F$3:$F$140&gt;0)),HISTORIAL!$G$3:$G$140),0),1,0),0),0),0))</f>
        <v>0</v>
      </c>
    </row>
    <row r="143" spans="1:15" ht="14.1" customHeight="1">
      <c r="A143" s="37">
        <v>3</v>
      </c>
      <c r="B143" s="37" t="s">
        <v>278</v>
      </c>
      <c r="C143" s="37">
        <v>3</v>
      </c>
      <c r="D143" s="56" t="str">
        <f>MARTES!$A$58</f>
        <v>Remo</v>
      </c>
      <c r="E143" s="57" t="str">
        <f>MARTES!$B$58</f>
        <v>Maquina Hammer Neutro Unilateral</v>
      </c>
      <c r="F143" s="37" t="str">
        <f>MARTES!$C$58</f>
        <v>polea</v>
      </c>
      <c r="G143" s="37" t="str">
        <f>IFERROR(LOOKUP(2,1/((HISTORIAL!$O$3:$O$141=D143&amp;"|"&amp;E143)*(HISTORIAL!$F$3:$F$141&lt;&gt;"")),HISTORIAL!$F$3:$F$141),"")</f>
        <v/>
      </c>
      <c r="H143" s="37" t="str">
        <f>IFERROR(LOOKUP(2,1/((HISTORIAL!$O$3:$O$141=D143&amp;"|"&amp;E143)*(HISTORIAL!$F$3:$F$141&lt;&gt;"")),HISTORIAL!$G$3:$G$141),"")</f>
        <v/>
      </c>
      <c r="I143" s="37" t="str">
        <f>IFERROR(LOOKUP(2,1/((HISTORIAL!$O$3:$O$141=D143&amp;"|"&amp;E143)*(HISTORIAL!$F$3:$F$141&lt;&gt;"")),HISTORIAL!$H$3:$H$141),"")</f>
        <v/>
      </c>
      <c r="J143" s="37" t="str">
        <f>IFERROR(LOOKUP(2,1/((HISTORIAL!$O$3:$O$141=D143&amp;"|"&amp;E143)*(HISTORIAL!$F$3:$F$141&lt;&gt;"")),HISTORIAL!$I$3:$I$141),"")</f>
        <v/>
      </c>
      <c r="K143" s="58" t="str">
        <f>IFERROR(IF(OR(G143="",N143="SIN"),"--",IF(N143="SUBIR_F",IF(F143="polea",IFERROR(INDEX(CONFIG!$B$25:$B$40,MATCH(G143,CONFIG!$B$25:$B$40,0)+2),IFERROR(INDEX(CONFIG!$B$25:$B$40,MATCH(G143,CONFIG!$B$25:$B$40,0)+1),G143)),G143+5),IF(OR(N143="SUBIR",N143="SUBIR_E"),IF(F143="polea",IFERROR(INDEX(CONFIG!$B$25:$B$40,MATCH(G143,CONFIG!$B$25:$B$40,0)+1),G143),G143+2.5),IF(N143="BAJAR",IF(F143="polea",IFERROR(INDEX(CONFIG!$B$25:$B$40,MAX(1,MATCH(G143,CONFIG!$B$25:$B$40,0)-1)),G143),MAX(0,G143-2.5)),G143)))),"--")</f>
        <v>--</v>
      </c>
      <c r="L143" s="59" t="str">
        <f>IFERROR(IF(N143="SIN","--",IF(N143="MANT",IF(H143="","--",H143+1),IFERROR(VLOOKUP(CONFIG!$E$2,CONFIG!$A$6:$E$8,2,0),"--"))),"--")</f>
        <v>--</v>
      </c>
      <c r="M143" s="59" t="str">
        <f>IFERROR(IF(N143="SIN","--",IF(CONFIG!$E$2="HIP",2,IF(CONFIG!$E$2="FUE",1,2))),"--")</f>
        <v>--</v>
      </c>
      <c r="N143" s="53" t="str">
        <f>IFERROR(IF(G143="","SIN",IF(O143=1,"SUBIR_E",IF(H143&lt;IFERROR(VLOOKUP(CONFIG!$E$2,CONFIG!$A$6:$E$8,2,0),6),"BAJAR",IF(H143+I143&gt;=IFERROR(VLOOKUP(CONFIG!$E$2,CONFIG!$A$6:$E$8,3,0),12),"SUBIR_F",IF(AND(H143&gt;=IFERROR(VLOOKUP(CONFIG!$E$2,CONFIG!$A$6:$E$8,2,0),6)+2,I143&gt;=2),"SUBIR",IF(I143&gt;IFERROR(VLOOKUP(CONFIG!$E$2,CONFIG!$A$6:$E$8,5,0),3),"SUBIR","MANT")))))),"SIN")</f>
        <v>SIN</v>
      </c>
      <c r="O143" s="55">
        <f>IF(COUNTIFS(HISTORIAL!$O$3:$O$141,D143&amp;"|"&amp;E143,HISTORIAL!$F$3:$F$141,"&gt;0")&lt;2,0,IF(COUNTIFS(HISTORIAL!$O$3:$O$141,D143&amp;"|"&amp;E143,HISTORIAL!$F$3:$F$141,IFERROR(LOOKUP(2,1/((HISTORIAL!$O$3:$O$141=D143&amp;"|"&amp;E143)*(HISTORIAL!$F$3:$F$141&gt;0)),HISTORIAL!$F$3:$F$141),0))&gt;=2,IF(IFERROR(LOOKUP(2,1/((HISTORIAL!$O$3:$O$141=D143&amp;"|"&amp;E143)*(HISTORIAL!$F$3:$F$141&gt;0)),HISTORIAL!$G$3:$G$141),0)&gt;0,IF(F143&gt;0,IF(G143&lt;=IFERROR(LOOKUP(2,1/((HISTORIAL!$O$3:$O$141=D143&amp;"|"&amp;E143)*(HISTORIAL!$F$3:$F$141&gt;0)),HISTORIAL!$G$3:$G$141),0),1,0),0),0),0))</f>
        <v>0</v>
      </c>
    </row>
    <row r="144" spans="1:15" ht="14.1" customHeight="1">
      <c r="A144" s="37">
        <v>3</v>
      </c>
      <c r="B144" s="37" t="s">
        <v>278</v>
      </c>
      <c r="C144" s="37">
        <v>4</v>
      </c>
      <c r="D144" s="56" t="str">
        <f>MARTES!$A$59</f>
        <v>Remo</v>
      </c>
      <c r="E144" s="57" t="str">
        <f>MARTES!$B$59</f>
        <v>Maquina Prono</v>
      </c>
      <c r="F144" s="37" t="str">
        <f>MARTES!$C$59</f>
        <v>polea</v>
      </c>
      <c r="G144" s="37" t="str">
        <f>IFERROR(LOOKUP(2,1/((HISTORIAL!$O$3:$O$142=D144&amp;"|"&amp;E144)*(HISTORIAL!$F$3:$F$142&lt;&gt;"")),HISTORIAL!$F$3:$F$142),"")</f>
        <v/>
      </c>
      <c r="H144" s="37" t="str">
        <f>IFERROR(LOOKUP(2,1/((HISTORIAL!$O$3:$O$142=D144&amp;"|"&amp;E144)*(HISTORIAL!$F$3:$F$142&lt;&gt;"")),HISTORIAL!$G$3:$G$142),"")</f>
        <v/>
      </c>
      <c r="I144" s="37" t="str">
        <f>IFERROR(LOOKUP(2,1/((HISTORIAL!$O$3:$O$142=D144&amp;"|"&amp;E144)*(HISTORIAL!$F$3:$F$142&lt;&gt;"")),HISTORIAL!$H$3:$H$142),"")</f>
        <v/>
      </c>
      <c r="J144" s="37" t="str">
        <f>IFERROR(LOOKUP(2,1/((HISTORIAL!$O$3:$O$142=D144&amp;"|"&amp;E144)*(HISTORIAL!$F$3:$F$142&lt;&gt;"")),HISTORIAL!$I$3:$I$142),"")</f>
        <v/>
      </c>
      <c r="K144" s="58" t="str">
        <f>IFERROR(IF(OR(G144="",N144="SIN"),"--",IF(N144="SUBIR_F",IF(F144="polea",IFERROR(INDEX(CONFIG!$B$25:$B$40,MATCH(G144,CONFIG!$B$25:$B$40,0)+2),IFERROR(INDEX(CONFIG!$B$25:$B$40,MATCH(G144,CONFIG!$B$25:$B$40,0)+1),G144)),G144+5),IF(OR(N144="SUBIR",N144="SUBIR_E"),IF(F144="polea",IFERROR(INDEX(CONFIG!$B$25:$B$40,MATCH(G144,CONFIG!$B$25:$B$40,0)+1),G144),G144+2.5),IF(N144="BAJAR",IF(F144="polea",IFERROR(INDEX(CONFIG!$B$25:$B$40,MAX(1,MATCH(G144,CONFIG!$B$25:$B$40,0)-1)),G144),MAX(0,G144-2.5)),G144)))),"--")</f>
        <v>--</v>
      </c>
      <c r="L144" s="59" t="str">
        <f>IFERROR(IF(N144="SIN","--",IF(N144="MANT",IF(H144="","--",H144+1),IFERROR(VLOOKUP(CONFIG!$E$2,CONFIG!$A$6:$E$8,2,0),"--"))),"--")</f>
        <v>--</v>
      </c>
      <c r="M144" s="59" t="str">
        <f>IFERROR(IF(N144="SIN","--",IF(CONFIG!$E$2="HIP",2,IF(CONFIG!$E$2="FUE",1,2))),"--")</f>
        <v>--</v>
      </c>
      <c r="N144" s="53" t="str">
        <f>IFERROR(IF(G144="","SIN",IF(O144=1,"SUBIR_E",IF(H144&lt;IFERROR(VLOOKUP(CONFIG!$E$2,CONFIG!$A$6:$E$8,2,0),6),"BAJAR",IF(H144+I144&gt;=IFERROR(VLOOKUP(CONFIG!$E$2,CONFIG!$A$6:$E$8,3,0),12),"SUBIR_F",IF(AND(H144&gt;=IFERROR(VLOOKUP(CONFIG!$E$2,CONFIG!$A$6:$E$8,2,0),6)+2,I144&gt;=2),"SUBIR",IF(I144&gt;IFERROR(VLOOKUP(CONFIG!$E$2,CONFIG!$A$6:$E$8,5,0),3),"SUBIR","MANT")))))),"SIN")</f>
        <v>SIN</v>
      </c>
      <c r="O144" s="55">
        <f>IF(COUNTIFS(HISTORIAL!$O$3:$O$142,D144&amp;"|"&amp;E144,HISTORIAL!$F$3:$F$142,"&gt;0")&lt;2,0,IF(COUNTIFS(HISTORIAL!$O$3:$O$142,D144&amp;"|"&amp;E144,HISTORIAL!$F$3:$F$142,IFERROR(LOOKUP(2,1/((HISTORIAL!$O$3:$O$142=D144&amp;"|"&amp;E144)*(HISTORIAL!$F$3:$F$142&gt;0)),HISTORIAL!$F$3:$F$142),0))&gt;=2,IF(IFERROR(LOOKUP(2,1/((HISTORIAL!$O$3:$O$142=D144&amp;"|"&amp;E144)*(HISTORIAL!$F$3:$F$142&gt;0)),HISTORIAL!$G$3:$G$142),0)&gt;0,IF(F144&gt;0,IF(G144&lt;=IFERROR(LOOKUP(2,1/((HISTORIAL!$O$3:$O$142=D144&amp;"|"&amp;E144)*(HISTORIAL!$F$3:$F$142&gt;0)),HISTORIAL!$G$3:$G$142),0),1,0),0),0),0))</f>
        <v>0</v>
      </c>
    </row>
    <row r="145" spans="1:15" ht="14.1" customHeight="1">
      <c r="A145" s="37">
        <v>3</v>
      </c>
      <c r="B145" s="37" t="s">
        <v>278</v>
      </c>
      <c r="C145" s="37">
        <v>5</v>
      </c>
      <c r="D145" s="56" t="str">
        <f>MARTES!$A$61</f>
        <v>Curl Biceps</v>
      </c>
      <c r="E145" s="57" t="str">
        <f>MARTES!$B$61</f>
        <v>Inclinado Banco Mancuernas</v>
      </c>
      <c r="F145" s="37" t="str">
        <f>MARTES!$C$61</f>
        <v>mancuerna</v>
      </c>
      <c r="G145" s="37" t="str">
        <f>IFERROR(LOOKUP(2,1/((HISTORIAL!$O$3:$O$143=D145&amp;"|"&amp;E145)*(HISTORIAL!$F$3:$F$143&lt;&gt;"")),HISTORIAL!$F$3:$F$143),"")</f>
        <v/>
      </c>
      <c r="H145" s="37" t="str">
        <f>IFERROR(LOOKUP(2,1/((HISTORIAL!$O$3:$O$143=D145&amp;"|"&amp;E145)*(HISTORIAL!$F$3:$F$143&lt;&gt;"")),HISTORIAL!$G$3:$G$143),"")</f>
        <v/>
      </c>
      <c r="I145" s="37" t="str">
        <f>IFERROR(LOOKUP(2,1/((HISTORIAL!$O$3:$O$143=D145&amp;"|"&amp;E145)*(HISTORIAL!$F$3:$F$143&lt;&gt;"")),HISTORIAL!$H$3:$H$143),"")</f>
        <v/>
      </c>
      <c r="J145" s="37" t="str">
        <f>IFERROR(LOOKUP(2,1/((HISTORIAL!$O$3:$O$143=D145&amp;"|"&amp;E145)*(HISTORIAL!$F$3:$F$143&lt;&gt;"")),HISTORIAL!$I$3:$I$143),"")</f>
        <v/>
      </c>
      <c r="K145" s="58" t="str">
        <f>IFERROR(IF(OR(G145="",N145="SIN"),"--",IF(N145="SUBIR_F",IF(F145="polea",IFERROR(INDEX(CONFIG!$B$25:$B$40,MATCH(G145,CONFIG!$B$25:$B$40,0)+2),IFERROR(INDEX(CONFIG!$B$25:$B$40,MATCH(G145,CONFIG!$B$25:$B$40,0)+1),G145)),G145+5),IF(OR(N145="SUBIR",N145="SUBIR_E"),IF(F145="polea",IFERROR(INDEX(CONFIG!$B$25:$B$40,MATCH(G145,CONFIG!$B$25:$B$40,0)+1),G145),G145+2.5),IF(N145="BAJAR",IF(F145="polea",IFERROR(INDEX(CONFIG!$B$25:$B$40,MAX(1,MATCH(G145,CONFIG!$B$25:$B$40,0)-1)),G145),MAX(0,G145-2.5)),G145)))),"--")</f>
        <v>--</v>
      </c>
      <c r="L145" s="59" t="str">
        <f>IFERROR(IF(N145="SIN","--",IF(N145="MANT",IF(H145="","--",H145+1),IFERROR(VLOOKUP(CONFIG!$E$2,CONFIG!$A$6:$E$8,2,0),"--"))),"--")</f>
        <v>--</v>
      </c>
      <c r="M145" s="59" t="str">
        <f>IFERROR(IF(N145="SIN","--",IF(CONFIG!$E$2="HIP",2,IF(CONFIG!$E$2="FUE",1,2))),"--")</f>
        <v>--</v>
      </c>
      <c r="N145" s="53" t="str">
        <f>IFERROR(IF(G145="","SIN",IF(O145=1,"SUBIR_E",IF(H145&lt;IFERROR(VLOOKUP(CONFIG!$E$2,CONFIG!$A$6:$E$8,2,0),6),"BAJAR",IF(H145+I145&gt;=IFERROR(VLOOKUP(CONFIG!$E$2,CONFIG!$A$6:$E$8,3,0),12),"SUBIR_F",IF(AND(H145&gt;=IFERROR(VLOOKUP(CONFIG!$E$2,CONFIG!$A$6:$E$8,2,0),6)+2,I145&gt;=2),"SUBIR",IF(I145&gt;IFERROR(VLOOKUP(CONFIG!$E$2,CONFIG!$A$6:$E$8,5,0),3),"SUBIR","MANT")))))),"SIN")</f>
        <v>SIN</v>
      </c>
      <c r="O145" s="55">
        <f>IF(COUNTIFS(HISTORIAL!$O$3:$O$143,D145&amp;"|"&amp;E145,HISTORIAL!$F$3:$F$143,"&gt;0")&lt;2,0,IF(COUNTIFS(HISTORIAL!$O$3:$O$143,D145&amp;"|"&amp;E145,HISTORIAL!$F$3:$F$143,IFERROR(LOOKUP(2,1/((HISTORIAL!$O$3:$O$143=D145&amp;"|"&amp;E145)*(HISTORIAL!$F$3:$F$143&gt;0)),HISTORIAL!$F$3:$F$143),0))&gt;=2,IF(IFERROR(LOOKUP(2,1/((HISTORIAL!$O$3:$O$143=D145&amp;"|"&amp;E145)*(HISTORIAL!$F$3:$F$143&gt;0)),HISTORIAL!$G$3:$G$143),0)&gt;0,IF(F145&gt;0,IF(G145&lt;=IFERROR(LOOKUP(2,1/((HISTORIAL!$O$3:$O$143=D145&amp;"|"&amp;E145)*(HISTORIAL!$F$3:$F$143&gt;0)),HISTORIAL!$G$3:$G$143),0),1,0),0),0),0))</f>
        <v>0</v>
      </c>
    </row>
    <row r="146" spans="1:15" ht="14.1" customHeight="1">
      <c r="A146" s="37">
        <v>3</v>
      </c>
      <c r="B146" s="37" t="s">
        <v>278</v>
      </c>
      <c r="C146" s="37">
        <v>6</v>
      </c>
      <c r="D146" s="56" t="str">
        <f>MARTES!$A$62</f>
        <v>Curl Biceps</v>
      </c>
      <c r="E146" s="57" t="str">
        <f>MARTES!$B$62</f>
        <v>Polea Baja Supino</v>
      </c>
      <c r="F146" s="37" t="str">
        <f>MARTES!$C$62</f>
        <v>polea</v>
      </c>
      <c r="G146" s="37" t="str">
        <f>IFERROR(LOOKUP(2,1/((HISTORIAL!$O$3:$O$144=D146&amp;"|"&amp;E146)*(HISTORIAL!$F$3:$F$144&lt;&gt;"")),HISTORIAL!$F$3:$F$144),"")</f>
        <v/>
      </c>
      <c r="H146" s="37" t="str">
        <f>IFERROR(LOOKUP(2,1/((HISTORIAL!$O$3:$O$144=D146&amp;"|"&amp;E146)*(HISTORIAL!$F$3:$F$144&lt;&gt;"")),HISTORIAL!$G$3:$G$144),"")</f>
        <v/>
      </c>
      <c r="I146" s="37" t="str">
        <f>IFERROR(LOOKUP(2,1/((HISTORIAL!$O$3:$O$144=D146&amp;"|"&amp;E146)*(HISTORIAL!$F$3:$F$144&lt;&gt;"")),HISTORIAL!$H$3:$H$144),"")</f>
        <v/>
      </c>
      <c r="J146" s="37" t="str">
        <f>IFERROR(LOOKUP(2,1/((HISTORIAL!$O$3:$O$144=D146&amp;"|"&amp;E146)*(HISTORIAL!$F$3:$F$144&lt;&gt;"")),HISTORIAL!$I$3:$I$144),"")</f>
        <v/>
      </c>
      <c r="K146" s="58" t="str">
        <f>IFERROR(IF(OR(G146="",N146="SIN"),"--",IF(N146="SUBIR_F",IF(F146="polea",IFERROR(INDEX(CONFIG!$B$25:$B$40,MATCH(G146,CONFIG!$B$25:$B$40,0)+2),IFERROR(INDEX(CONFIG!$B$25:$B$40,MATCH(G146,CONFIG!$B$25:$B$40,0)+1),G146)),G146+5),IF(OR(N146="SUBIR",N146="SUBIR_E"),IF(F146="polea",IFERROR(INDEX(CONFIG!$B$25:$B$40,MATCH(G146,CONFIG!$B$25:$B$40,0)+1),G146),G146+2.5),IF(N146="BAJAR",IF(F146="polea",IFERROR(INDEX(CONFIG!$B$25:$B$40,MAX(1,MATCH(G146,CONFIG!$B$25:$B$40,0)-1)),G146),MAX(0,G146-2.5)),G146)))),"--")</f>
        <v>--</v>
      </c>
      <c r="L146" s="59" t="str">
        <f>IFERROR(IF(N146="SIN","--",IF(N146="MANT",IF(H146="","--",H146+1),IFERROR(VLOOKUP(CONFIG!$E$2,CONFIG!$A$6:$E$8,2,0),"--"))),"--")</f>
        <v>--</v>
      </c>
      <c r="M146" s="59" t="str">
        <f>IFERROR(IF(N146="SIN","--",IF(CONFIG!$E$2="HIP",2,IF(CONFIG!$E$2="FUE",1,2))),"--")</f>
        <v>--</v>
      </c>
      <c r="N146" s="53" t="str">
        <f>IFERROR(IF(G146="","SIN",IF(O146=1,"SUBIR_E",IF(H146&lt;IFERROR(VLOOKUP(CONFIG!$E$2,CONFIG!$A$6:$E$8,2,0),6),"BAJAR",IF(H146+I146&gt;=IFERROR(VLOOKUP(CONFIG!$E$2,CONFIG!$A$6:$E$8,3,0),12),"SUBIR_F",IF(AND(H146&gt;=IFERROR(VLOOKUP(CONFIG!$E$2,CONFIG!$A$6:$E$8,2,0),6)+2,I146&gt;=2),"SUBIR",IF(I146&gt;IFERROR(VLOOKUP(CONFIG!$E$2,CONFIG!$A$6:$E$8,5,0),3),"SUBIR","MANT")))))),"SIN")</f>
        <v>SIN</v>
      </c>
      <c r="O146" s="55">
        <f>IF(COUNTIFS(HISTORIAL!$O$3:$O$144,D146&amp;"|"&amp;E146,HISTORIAL!$F$3:$F$144,"&gt;0")&lt;2,0,IF(COUNTIFS(HISTORIAL!$O$3:$O$144,D146&amp;"|"&amp;E146,HISTORIAL!$F$3:$F$144,IFERROR(LOOKUP(2,1/((HISTORIAL!$O$3:$O$144=D146&amp;"|"&amp;E146)*(HISTORIAL!$F$3:$F$144&gt;0)),HISTORIAL!$F$3:$F$144),0))&gt;=2,IF(IFERROR(LOOKUP(2,1/((HISTORIAL!$O$3:$O$144=D146&amp;"|"&amp;E146)*(HISTORIAL!$F$3:$F$144&gt;0)),HISTORIAL!$G$3:$G$144),0)&gt;0,IF(F146&gt;0,IF(G146&lt;=IFERROR(LOOKUP(2,1/((HISTORIAL!$O$3:$O$144=D146&amp;"|"&amp;E146)*(HISTORIAL!$F$3:$F$144&gt;0)),HISTORIAL!$G$3:$G$144),0),1,0),0),0),0))</f>
        <v>0</v>
      </c>
    </row>
    <row r="147" spans="1:15" ht="14.1" customHeight="1">
      <c r="A147" s="37">
        <v>3</v>
      </c>
      <c r="B147" s="37" t="s">
        <v>278</v>
      </c>
      <c r="C147" s="37">
        <v>7</v>
      </c>
      <c r="D147" s="56" t="str">
        <f>MARTES!$A$64</f>
        <v>Curl Muneca</v>
      </c>
      <c r="E147" s="57" t="str">
        <f>MARTES!$B$64</f>
        <v>Supinado</v>
      </c>
      <c r="F147" s="37" t="str">
        <f>MARTES!$C$64</f>
        <v>mancuerna</v>
      </c>
      <c r="G147" s="37" t="str">
        <f>IFERROR(LOOKUP(2,1/((HISTORIAL!$O$3:$O$145=D147&amp;"|"&amp;E147)*(HISTORIAL!$F$3:$F$145&lt;&gt;"")),HISTORIAL!$F$3:$F$145),"")</f>
        <v/>
      </c>
      <c r="H147" s="37" t="str">
        <f>IFERROR(LOOKUP(2,1/((HISTORIAL!$O$3:$O$145=D147&amp;"|"&amp;E147)*(HISTORIAL!$F$3:$F$145&lt;&gt;"")),HISTORIAL!$G$3:$G$145),"")</f>
        <v/>
      </c>
      <c r="I147" s="37" t="str">
        <f>IFERROR(LOOKUP(2,1/((HISTORIAL!$O$3:$O$145=D147&amp;"|"&amp;E147)*(HISTORIAL!$F$3:$F$145&lt;&gt;"")),HISTORIAL!$H$3:$H$145),"")</f>
        <v/>
      </c>
      <c r="J147" s="37" t="str">
        <f>IFERROR(LOOKUP(2,1/((HISTORIAL!$O$3:$O$145=D147&amp;"|"&amp;E147)*(HISTORIAL!$F$3:$F$145&lt;&gt;"")),HISTORIAL!$I$3:$I$145),"")</f>
        <v/>
      </c>
      <c r="K147" s="58" t="str">
        <f>IFERROR(IF(OR(G147="",N147="SIN"),"--",IF(N147="SUBIR_F",IF(F147="polea",IFERROR(INDEX(CONFIG!$B$25:$B$40,MATCH(G147,CONFIG!$B$25:$B$40,0)+2),IFERROR(INDEX(CONFIG!$B$25:$B$40,MATCH(G147,CONFIG!$B$25:$B$40,0)+1),G147)),G147+5),IF(OR(N147="SUBIR",N147="SUBIR_E"),IF(F147="polea",IFERROR(INDEX(CONFIG!$B$25:$B$40,MATCH(G147,CONFIG!$B$25:$B$40,0)+1),G147),G147+2.5),IF(N147="BAJAR",IF(F147="polea",IFERROR(INDEX(CONFIG!$B$25:$B$40,MAX(1,MATCH(G147,CONFIG!$B$25:$B$40,0)-1)),G147),MAX(0,G147-2.5)),G147)))),"--")</f>
        <v>--</v>
      </c>
      <c r="L147" s="59" t="str">
        <f>IFERROR(IF(N147="SIN","--",IF(N147="MANT",IF(H147="","--",H147+1),IFERROR(VLOOKUP(CONFIG!$E$2,CONFIG!$A$6:$E$8,2,0),"--"))),"--")</f>
        <v>--</v>
      </c>
      <c r="M147" s="59" t="str">
        <f>IFERROR(IF(N147="SIN","--",IF(CONFIG!$E$2="HIP",2,IF(CONFIG!$E$2="FUE",1,2))),"--")</f>
        <v>--</v>
      </c>
      <c r="N147" s="53" t="str">
        <f>IFERROR(IF(G147="","SIN",IF(O147=1,"SUBIR_E",IF(H147&lt;IFERROR(VLOOKUP(CONFIG!$E$2,CONFIG!$A$6:$E$8,2,0),6),"BAJAR",IF(H147+I147&gt;=IFERROR(VLOOKUP(CONFIG!$E$2,CONFIG!$A$6:$E$8,3,0),12),"SUBIR_F",IF(AND(H147&gt;=IFERROR(VLOOKUP(CONFIG!$E$2,CONFIG!$A$6:$E$8,2,0),6)+2,I147&gt;=2),"SUBIR",IF(I147&gt;IFERROR(VLOOKUP(CONFIG!$E$2,CONFIG!$A$6:$E$8,5,0),3),"SUBIR","MANT")))))),"SIN")</f>
        <v>SIN</v>
      </c>
      <c r="O147" s="55">
        <f>IF(COUNTIFS(HISTORIAL!$O$3:$O$145,D147&amp;"|"&amp;E147,HISTORIAL!$F$3:$F$145,"&gt;0")&lt;2,0,IF(COUNTIFS(HISTORIAL!$O$3:$O$145,D147&amp;"|"&amp;E147,HISTORIAL!$F$3:$F$145,IFERROR(LOOKUP(2,1/((HISTORIAL!$O$3:$O$145=D147&amp;"|"&amp;E147)*(HISTORIAL!$F$3:$F$145&gt;0)),HISTORIAL!$F$3:$F$145),0))&gt;=2,IF(IFERROR(LOOKUP(2,1/((HISTORIAL!$O$3:$O$145=D147&amp;"|"&amp;E147)*(HISTORIAL!$F$3:$F$145&gt;0)),HISTORIAL!$G$3:$G$145),0)&gt;0,IF(F147&gt;0,IF(G147&lt;=IFERROR(LOOKUP(2,1/((HISTORIAL!$O$3:$O$145=D147&amp;"|"&amp;E147)*(HISTORIAL!$F$3:$F$145&gt;0)),HISTORIAL!$G$3:$G$145),0),1,0),0),0),0))</f>
        <v>0</v>
      </c>
    </row>
    <row r="148" spans="1:15" ht="14.1" customHeight="1">
      <c r="A148" s="37">
        <v>3</v>
      </c>
      <c r="B148" s="37" t="s">
        <v>278</v>
      </c>
      <c r="C148" s="37">
        <v>8</v>
      </c>
      <c r="D148" s="56" t="str">
        <f>MARTES!$A$65</f>
        <v>Curl Muneca</v>
      </c>
      <c r="E148" s="57" t="str">
        <f>MARTES!$B$65</f>
        <v>Pronado</v>
      </c>
      <c r="F148" s="37" t="str">
        <f>MARTES!$C$65</f>
        <v>mancuerna</v>
      </c>
      <c r="G148" s="37" t="str">
        <f>IFERROR(LOOKUP(2,1/((HISTORIAL!$O$3:$O$146=D148&amp;"|"&amp;E148)*(HISTORIAL!$F$3:$F$146&lt;&gt;"")),HISTORIAL!$F$3:$F$146),"")</f>
        <v/>
      </c>
      <c r="H148" s="37" t="str">
        <f>IFERROR(LOOKUP(2,1/((HISTORIAL!$O$3:$O$146=D148&amp;"|"&amp;E148)*(HISTORIAL!$F$3:$F$146&lt;&gt;"")),HISTORIAL!$G$3:$G$146),"")</f>
        <v/>
      </c>
      <c r="I148" s="37" t="str">
        <f>IFERROR(LOOKUP(2,1/((HISTORIAL!$O$3:$O$146=D148&amp;"|"&amp;E148)*(HISTORIAL!$F$3:$F$146&lt;&gt;"")),HISTORIAL!$H$3:$H$146),"")</f>
        <v/>
      </c>
      <c r="J148" s="37" t="str">
        <f>IFERROR(LOOKUP(2,1/((HISTORIAL!$O$3:$O$146=D148&amp;"|"&amp;E148)*(HISTORIAL!$F$3:$F$146&lt;&gt;"")),HISTORIAL!$I$3:$I$146),"")</f>
        <v/>
      </c>
      <c r="K148" s="58" t="str">
        <f>IFERROR(IF(OR(G148="",N148="SIN"),"--",IF(N148="SUBIR_F",IF(F148="polea",IFERROR(INDEX(CONFIG!$B$25:$B$40,MATCH(G148,CONFIG!$B$25:$B$40,0)+2),IFERROR(INDEX(CONFIG!$B$25:$B$40,MATCH(G148,CONFIG!$B$25:$B$40,0)+1),G148)),G148+5),IF(OR(N148="SUBIR",N148="SUBIR_E"),IF(F148="polea",IFERROR(INDEX(CONFIG!$B$25:$B$40,MATCH(G148,CONFIG!$B$25:$B$40,0)+1),G148),G148+2.5),IF(N148="BAJAR",IF(F148="polea",IFERROR(INDEX(CONFIG!$B$25:$B$40,MAX(1,MATCH(G148,CONFIG!$B$25:$B$40,0)-1)),G148),MAX(0,G148-2.5)),G148)))),"--")</f>
        <v>--</v>
      </c>
      <c r="L148" s="59" t="str">
        <f>IFERROR(IF(N148="SIN","--",IF(N148="MANT",IF(H148="","--",H148+1),IFERROR(VLOOKUP(CONFIG!$E$2,CONFIG!$A$6:$E$8,2,0),"--"))),"--")</f>
        <v>--</v>
      </c>
      <c r="M148" s="59" t="str">
        <f>IFERROR(IF(N148="SIN","--",IF(CONFIG!$E$2="HIP",2,IF(CONFIG!$E$2="FUE",1,2))),"--")</f>
        <v>--</v>
      </c>
      <c r="N148" s="53" t="str">
        <f>IFERROR(IF(G148="","SIN",IF(O148=1,"SUBIR_E",IF(H148&lt;IFERROR(VLOOKUP(CONFIG!$E$2,CONFIG!$A$6:$E$8,2,0),6),"BAJAR",IF(H148+I148&gt;=IFERROR(VLOOKUP(CONFIG!$E$2,CONFIG!$A$6:$E$8,3,0),12),"SUBIR_F",IF(AND(H148&gt;=IFERROR(VLOOKUP(CONFIG!$E$2,CONFIG!$A$6:$E$8,2,0),6)+2,I148&gt;=2),"SUBIR",IF(I148&gt;IFERROR(VLOOKUP(CONFIG!$E$2,CONFIG!$A$6:$E$8,5,0),3),"SUBIR","MANT")))))),"SIN")</f>
        <v>SIN</v>
      </c>
      <c r="O148" s="55">
        <f>IF(COUNTIFS(HISTORIAL!$O$3:$O$146,D148&amp;"|"&amp;E148,HISTORIAL!$F$3:$F$146,"&gt;0")&lt;2,0,IF(COUNTIFS(HISTORIAL!$O$3:$O$146,D148&amp;"|"&amp;E148,HISTORIAL!$F$3:$F$146,IFERROR(LOOKUP(2,1/((HISTORIAL!$O$3:$O$146=D148&amp;"|"&amp;E148)*(HISTORIAL!$F$3:$F$146&gt;0)),HISTORIAL!$F$3:$F$146),0))&gt;=2,IF(IFERROR(LOOKUP(2,1/((HISTORIAL!$O$3:$O$146=D148&amp;"|"&amp;E148)*(HISTORIAL!$F$3:$F$146&gt;0)),HISTORIAL!$G$3:$G$146),0)&gt;0,IF(F148&gt;0,IF(G148&lt;=IFERROR(LOOKUP(2,1/((HISTORIAL!$O$3:$O$146=D148&amp;"|"&amp;E148)*(HISTORIAL!$F$3:$F$146&gt;0)),HISTORIAL!$G$3:$G$146),0),1,0),0),0),0))</f>
        <v>0</v>
      </c>
    </row>
    <row r="149" spans="1:15" ht="14.1" customHeight="1">
      <c r="A149" s="37">
        <v>3</v>
      </c>
      <c r="B149" s="37" t="s">
        <v>278</v>
      </c>
      <c r="C149" s="37">
        <v>9</v>
      </c>
      <c r="D149" s="56" t="str">
        <f>MARTES!$A$67</f>
        <v>Farmer Carry</v>
      </c>
      <c r="E149" s="57" t="str">
        <f>MARTES!$B$67</f>
        <v>Libre</v>
      </c>
      <c r="F149" s="37" t="str">
        <f>MARTES!$C$67</f>
        <v>mancuerna</v>
      </c>
      <c r="G149" s="37" t="str">
        <f>IFERROR(LOOKUP(2,1/((HISTORIAL!$O$3:$O$147=D149&amp;"|"&amp;E149)*(HISTORIAL!$F$3:$F$147&lt;&gt;"")),HISTORIAL!$F$3:$F$147),"")</f>
        <v/>
      </c>
      <c r="H149" s="37" t="str">
        <f>IFERROR(LOOKUP(2,1/((HISTORIAL!$O$3:$O$147=D149&amp;"|"&amp;E149)*(HISTORIAL!$F$3:$F$147&lt;&gt;"")),HISTORIAL!$G$3:$G$147),"")</f>
        <v/>
      </c>
      <c r="I149" s="37" t="str">
        <f>IFERROR(LOOKUP(2,1/((HISTORIAL!$O$3:$O$147=D149&amp;"|"&amp;E149)*(HISTORIAL!$F$3:$F$147&lt;&gt;"")),HISTORIAL!$H$3:$H$147),"")</f>
        <v/>
      </c>
      <c r="J149" s="37" t="str">
        <f>IFERROR(LOOKUP(2,1/((HISTORIAL!$O$3:$O$147=D149&amp;"|"&amp;E149)*(HISTORIAL!$F$3:$F$147&lt;&gt;"")),HISTORIAL!$I$3:$I$147),"")</f>
        <v/>
      </c>
      <c r="K149" s="58" t="str">
        <f>IFERROR(IF(OR(G149="",N149="SIN"),"--",IF(N149="SUBIR_F",IF(F149="polea",IFERROR(INDEX(CONFIG!$B$25:$B$40,MATCH(G149,CONFIG!$B$25:$B$40,0)+2),IFERROR(INDEX(CONFIG!$B$25:$B$40,MATCH(G149,CONFIG!$B$25:$B$40,0)+1),G149)),G149+5),IF(OR(N149="SUBIR",N149="SUBIR_E"),IF(F149="polea",IFERROR(INDEX(CONFIG!$B$25:$B$40,MATCH(G149,CONFIG!$B$25:$B$40,0)+1),G149),G149+2.5),IF(N149="BAJAR",IF(F149="polea",IFERROR(INDEX(CONFIG!$B$25:$B$40,MAX(1,MATCH(G149,CONFIG!$B$25:$B$40,0)-1)),G149),MAX(0,G149-2.5)),G149)))),"--")</f>
        <v>--</v>
      </c>
      <c r="L149" s="59" t="str">
        <f>IFERROR(IF(N149="SIN","--",IF(N149="MANT",IF(H149="","--",H149+1),IFERROR(VLOOKUP(CONFIG!$E$2,CONFIG!$A$6:$E$8,2,0),"--"))),"--")</f>
        <v>--</v>
      </c>
      <c r="M149" s="59" t="str">
        <f>IFERROR(IF(N149="SIN","--",IF(CONFIG!$E$2="HIP",2,IF(CONFIG!$E$2="FUE",1,2))),"--")</f>
        <v>--</v>
      </c>
      <c r="N149" s="53" t="str">
        <f>IFERROR(IF(G149="","SIN",IF(O149=1,"SUBIR_E",IF(H149&lt;IFERROR(VLOOKUP(CONFIG!$E$2,CONFIG!$A$6:$E$8,2,0),6),"BAJAR",IF(H149+I149&gt;=IFERROR(VLOOKUP(CONFIG!$E$2,CONFIG!$A$6:$E$8,3,0),12),"SUBIR_F",IF(AND(H149&gt;=IFERROR(VLOOKUP(CONFIG!$E$2,CONFIG!$A$6:$E$8,2,0),6)+2,I149&gt;=2),"SUBIR",IF(I149&gt;IFERROR(VLOOKUP(CONFIG!$E$2,CONFIG!$A$6:$E$8,5,0),3),"SUBIR","MANT")))))),"SIN")</f>
        <v>SIN</v>
      </c>
      <c r="O149" s="55">
        <f>IF(COUNTIFS(HISTORIAL!$O$3:$O$147,D149&amp;"|"&amp;E149,HISTORIAL!$F$3:$F$147,"&gt;0")&lt;2,0,IF(COUNTIFS(HISTORIAL!$O$3:$O$147,D149&amp;"|"&amp;E149,HISTORIAL!$F$3:$F$147,IFERROR(LOOKUP(2,1/((HISTORIAL!$O$3:$O$147=D149&amp;"|"&amp;E149)*(HISTORIAL!$F$3:$F$147&gt;0)),HISTORIAL!$F$3:$F$147),0))&gt;=2,IF(IFERROR(LOOKUP(2,1/((HISTORIAL!$O$3:$O$147=D149&amp;"|"&amp;E149)*(HISTORIAL!$F$3:$F$147&gt;0)),HISTORIAL!$G$3:$G$147),0)&gt;0,IF(F149&gt;0,IF(G149&lt;=IFERROR(LOOKUP(2,1/((HISTORIAL!$O$3:$O$147=D149&amp;"|"&amp;E149)*(HISTORIAL!$F$3:$F$147&gt;0)),HISTORIAL!$G$3:$G$147),0),1,0),0),0),0))</f>
        <v>0</v>
      </c>
    </row>
    <row r="150" spans="1:15" ht="14.1" customHeight="1">
      <c r="A150" s="37">
        <v>3</v>
      </c>
      <c r="B150" s="37" t="s">
        <v>278</v>
      </c>
      <c r="C150" s="37">
        <v>10</v>
      </c>
      <c r="D150" s="56" t="str">
        <f>MARTES!$A$69</f>
        <v>Skullcrusher</v>
      </c>
      <c r="E150" s="57" t="str">
        <f>MARTES!$B$69</f>
        <v>Mancuerna Tumbado</v>
      </c>
      <c r="F150" s="37" t="str">
        <f>MARTES!$C$69</f>
        <v>--</v>
      </c>
      <c r="G150" s="37" t="str">
        <f>IFERROR(LOOKUP(2,1/((HISTORIAL!$O$3:$O$148=D150&amp;"|"&amp;E150)*(HISTORIAL!$F$3:$F$148&lt;&gt;"")),HISTORIAL!$F$3:$F$148),"")</f>
        <v/>
      </c>
      <c r="H150" s="37" t="str">
        <f>IFERROR(LOOKUP(2,1/((HISTORIAL!$O$3:$O$148=D150&amp;"|"&amp;E150)*(HISTORIAL!$F$3:$F$148&lt;&gt;"")),HISTORIAL!$G$3:$G$148),"")</f>
        <v/>
      </c>
      <c r="I150" s="37" t="str">
        <f>IFERROR(LOOKUP(2,1/((HISTORIAL!$O$3:$O$148=D150&amp;"|"&amp;E150)*(HISTORIAL!$F$3:$F$148&lt;&gt;"")),HISTORIAL!$H$3:$H$148),"")</f>
        <v/>
      </c>
      <c r="J150" s="37" t="str">
        <f>IFERROR(LOOKUP(2,1/((HISTORIAL!$O$3:$O$148=D150&amp;"|"&amp;E150)*(HISTORIAL!$F$3:$F$148&lt;&gt;"")),HISTORIAL!$I$3:$I$148),"")</f>
        <v/>
      </c>
      <c r="K150" s="58" t="str">
        <f>IFERROR(IF(OR(G150="",N150="SIN"),"--",IF(N150="SUBIR_F",IF(F150="polea",IFERROR(INDEX(CONFIG!$B$25:$B$40,MATCH(G150,CONFIG!$B$25:$B$40,0)+2),IFERROR(INDEX(CONFIG!$B$25:$B$40,MATCH(G150,CONFIG!$B$25:$B$40,0)+1),G150)),G150+5),IF(OR(N150="SUBIR",N150="SUBIR_E"),IF(F150="polea",IFERROR(INDEX(CONFIG!$B$25:$B$40,MATCH(G150,CONFIG!$B$25:$B$40,0)+1),G150),G150+2.5),IF(N150="BAJAR",IF(F150="polea",IFERROR(INDEX(CONFIG!$B$25:$B$40,MAX(1,MATCH(G150,CONFIG!$B$25:$B$40,0)-1)),G150),MAX(0,G150-2.5)),G150)))),"--")</f>
        <v>--</v>
      </c>
      <c r="L150" s="59" t="str">
        <f>IFERROR(IF(N150="SIN","--",IF(N150="MANT",IF(H150="","--",H150+1),IFERROR(VLOOKUP(CONFIG!$E$2,CONFIG!$A$6:$E$8,2,0),"--"))),"--")</f>
        <v>--</v>
      </c>
      <c r="M150" s="59" t="str">
        <f>IFERROR(IF(N150="SIN","--",IF(CONFIG!$E$2="HIP",2,IF(CONFIG!$E$2="FUE",1,2))),"--")</f>
        <v>--</v>
      </c>
      <c r="N150" s="53" t="str">
        <f>IFERROR(IF(G150="","SIN",IF(O150=1,"SUBIR_E",IF(H150&lt;IFERROR(VLOOKUP(CONFIG!$E$2,CONFIG!$A$6:$E$8,2,0),6),"BAJAR",IF(H150+I150&gt;=IFERROR(VLOOKUP(CONFIG!$E$2,CONFIG!$A$6:$E$8,3,0),12),"SUBIR_F",IF(AND(H150&gt;=IFERROR(VLOOKUP(CONFIG!$E$2,CONFIG!$A$6:$E$8,2,0),6)+2,I150&gt;=2),"SUBIR",IF(I150&gt;IFERROR(VLOOKUP(CONFIG!$E$2,CONFIG!$A$6:$E$8,5,0),3),"SUBIR","MANT")))))),"SIN")</f>
        <v>SIN</v>
      </c>
      <c r="O150" s="55">
        <f>IF(COUNTIFS(HISTORIAL!$O$3:$O$148,D150&amp;"|"&amp;E150,HISTORIAL!$F$3:$F$148,"&gt;0")&lt;2,0,IF(COUNTIFS(HISTORIAL!$O$3:$O$148,D150&amp;"|"&amp;E150,HISTORIAL!$F$3:$F$148,IFERROR(LOOKUP(2,1/((HISTORIAL!$O$3:$O$148=D150&amp;"|"&amp;E150)*(HISTORIAL!$F$3:$F$148&gt;0)),HISTORIAL!$F$3:$F$148),0))&gt;=2,IF(IFERROR(LOOKUP(2,1/((HISTORIAL!$O$3:$O$148=D150&amp;"|"&amp;E150)*(HISTORIAL!$F$3:$F$148&gt;0)),HISTORIAL!$G$3:$G$148),0)&gt;0,IF(F150&gt;0,IF(G150&lt;=IFERROR(LOOKUP(2,1/((HISTORIAL!$O$3:$O$148=D150&amp;"|"&amp;E150)*(HISTORIAL!$F$3:$F$148&gt;0)),HISTORIAL!$G$3:$G$148),0),1,0),0),0),0))</f>
        <v>0</v>
      </c>
    </row>
    <row r="151" spans="1:15" ht="14.1" customHeight="1">
      <c r="A151" s="37">
        <v>3</v>
      </c>
      <c r="B151" s="37" t="s">
        <v>278</v>
      </c>
      <c r="C151" s="37">
        <v>11</v>
      </c>
      <c r="D151" s="56" t="str">
        <f>MARTES!$A$71</f>
        <v>Crunch</v>
      </c>
      <c r="E151" s="57" t="str">
        <f>MARTES!$B$71</f>
        <v>Polea</v>
      </c>
      <c r="F151" s="37" t="str">
        <f>MARTES!$C$71</f>
        <v>polea</v>
      </c>
      <c r="G151" s="37" t="str">
        <f>IFERROR(LOOKUP(2,1/((HISTORIAL!$O$3:$O$149=D151&amp;"|"&amp;E151)*(HISTORIAL!$F$3:$F$149&lt;&gt;"")),HISTORIAL!$F$3:$F$149),"")</f>
        <v/>
      </c>
      <c r="H151" s="37" t="str">
        <f>IFERROR(LOOKUP(2,1/((HISTORIAL!$O$3:$O$149=D151&amp;"|"&amp;E151)*(HISTORIAL!$F$3:$F$149&lt;&gt;"")),HISTORIAL!$G$3:$G$149),"")</f>
        <v/>
      </c>
      <c r="I151" s="37" t="str">
        <f>IFERROR(LOOKUP(2,1/((HISTORIAL!$O$3:$O$149=D151&amp;"|"&amp;E151)*(HISTORIAL!$F$3:$F$149&lt;&gt;"")),HISTORIAL!$H$3:$H$149),"")</f>
        <v/>
      </c>
      <c r="J151" s="37" t="str">
        <f>IFERROR(LOOKUP(2,1/((HISTORIAL!$O$3:$O$149=D151&amp;"|"&amp;E151)*(HISTORIAL!$F$3:$F$149&lt;&gt;"")),HISTORIAL!$I$3:$I$149),"")</f>
        <v/>
      </c>
      <c r="K151" s="58" t="str">
        <f>IFERROR(IF(OR(G151="",N151="SIN"),"--",IF(N151="SUBIR_F",IF(F151="polea",IFERROR(INDEX(CONFIG!$B$25:$B$40,MATCH(G151,CONFIG!$B$25:$B$40,0)+2),IFERROR(INDEX(CONFIG!$B$25:$B$40,MATCH(G151,CONFIG!$B$25:$B$40,0)+1),G151)),G151+5),IF(OR(N151="SUBIR",N151="SUBIR_E"),IF(F151="polea",IFERROR(INDEX(CONFIG!$B$25:$B$40,MATCH(G151,CONFIG!$B$25:$B$40,0)+1),G151),G151+2.5),IF(N151="BAJAR",IF(F151="polea",IFERROR(INDEX(CONFIG!$B$25:$B$40,MAX(1,MATCH(G151,CONFIG!$B$25:$B$40,0)-1)),G151),MAX(0,G151-2.5)),G151)))),"--")</f>
        <v>--</v>
      </c>
      <c r="L151" s="59" t="str">
        <f>IFERROR(IF(N151="SIN","--",IF(N151="MANT",IF(H151="","--",H151+1),IFERROR(VLOOKUP(CONFIG!$E$2,CONFIG!$A$6:$E$8,2,0),"--"))),"--")</f>
        <v>--</v>
      </c>
      <c r="M151" s="59" t="str">
        <f>IFERROR(IF(N151="SIN","--",IF(CONFIG!$E$2="HIP",2,IF(CONFIG!$E$2="FUE",1,2))),"--")</f>
        <v>--</v>
      </c>
      <c r="N151" s="53" t="str">
        <f>IFERROR(IF(G151="","SIN",IF(O151=1,"SUBIR_E",IF(H151&lt;IFERROR(VLOOKUP(CONFIG!$E$2,CONFIG!$A$6:$E$8,2,0),6),"BAJAR",IF(H151+I151&gt;=IFERROR(VLOOKUP(CONFIG!$E$2,CONFIG!$A$6:$E$8,3,0),12),"SUBIR_F",IF(AND(H151&gt;=IFERROR(VLOOKUP(CONFIG!$E$2,CONFIG!$A$6:$E$8,2,0),6)+2,I151&gt;=2),"SUBIR",IF(I151&gt;IFERROR(VLOOKUP(CONFIG!$E$2,CONFIG!$A$6:$E$8,5,0),3),"SUBIR","MANT")))))),"SIN")</f>
        <v>SIN</v>
      </c>
      <c r="O151" s="55">
        <f>IF(COUNTIFS(HISTORIAL!$O$3:$O$149,D151&amp;"|"&amp;E151,HISTORIAL!$F$3:$F$149,"&gt;0")&lt;2,0,IF(COUNTIFS(HISTORIAL!$O$3:$O$149,D151&amp;"|"&amp;E151,HISTORIAL!$F$3:$F$149,IFERROR(LOOKUP(2,1/((HISTORIAL!$O$3:$O$149=D151&amp;"|"&amp;E151)*(HISTORIAL!$F$3:$F$149&gt;0)),HISTORIAL!$F$3:$F$149),0))&gt;=2,IF(IFERROR(LOOKUP(2,1/((HISTORIAL!$O$3:$O$149=D151&amp;"|"&amp;E151)*(HISTORIAL!$F$3:$F$149&gt;0)),HISTORIAL!$G$3:$G$149),0)&gt;0,IF(F151&gt;0,IF(G151&lt;=IFERROR(LOOKUP(2,1/((HISTORIAL!$O$3:$O$149=D151&amp;"|"&amp;E151)*(HISTORIAL!$F$3:$F$149&gt;0)),HISTORIAL!$G$3:$G$149),0),1,0),0),0),0))</f>
        <v>0</v>
      </c>
    </row>
    <row r="152" spans="1:15" ht="14.1" customHeight="1">
      <c r="A152" s="37">
        <v>3</v>
      </c>
      <c r="B152" s="37" t="s">
        <v>279</v>
      </c>
      <c r="C152" s="37">
        <v>1</v>
      </c>
      <c r="D152" s="56" t="str">
        <f>MIERCOLES!$A$56</f>
        <v>Curl Femoral</v>
      </c>
      <c r="E152" s="57" t="str">
        <f>MIERCOLES!$B$56</f>
        <v>Tumbado Maquina</v>
      </c>
      <c r="F152" s="37" t="str">
        <f>MIERCOLES!$C$56</f>
        <v>polea</v>
      </c>
      <c r="G152" s="37" t="str">
        <f>IFERROR(LOOKUP(2,1/((HISTORIAL!$O$3:$O$150=D152&amp;"|"&amp;E152)*(HISTORIAL!$F$3:$F$150&lt;&gt;"")),HISTORIAL!$F$3:$F$150),"")</f>
        <v/>
      </c>
      <c r="H152" s="37" t="str">
        <f>IFERROR(LOOKUP(2,1/((HISTORIAL!$O$3:$O$150=D152&amp;"|"&amp;E152)*(HISTORIAL!$F$3:$F$150&lt;&gt;"")),HISTORIAL!$G$3:$G$150),"")</f>
        <v/>
      </c>
      <c r="I152" s="37" t="str">
        <f>IFERROR(LOOKUP(2,1/((HISTORIAL!$O$3:$O$150=D152&amp;"|"&amp;E152)*(HISTORIAL!$F$3:$F$150&lt;&gt;"")),HISTORIAL!$H$3:$H$150),"")</f>
        <v/>
      </c>
      <c r="J152" s="37" t="str">
        <f>IFERROR(LOOKUP(2,1/((HISTORIAL!$O$3:$O$150=D152&amp;"|"&amp;E152)*(HISTORIAL!$F$3:$F$150&lt;&gt;"")),HISTORIAL!$I$3:$I$150),"")</f>
        <v/>
      </c>
      <c r="K152" s="58" t="str">
        <f>IFERROR(IF(OR(G152="",N152="SIN"),"--",IF(N152="SUBIR_F",IF(F152="polea",IFERROR(INDEX(CONFIG!$B$25:$B$40,MATCH(G152,CONFIG!$B$25:$B$40,0)+2),IFERROR(INDEX(CONFIG!$B$25:$B$40,MATCH(G152,CONFIG!$B$25:$B$40,0)+1),G152)),G152+5),IF(OR(N152="SUBIR",N152="SUBIR_E"),IF(F152="polea",IFERROR(INDEX(CONFIG!$B$25:$B$40,MATCH(G152,CONFIG!$B$25:$B$40,0)+1),G152),G152+2.5),IF(N152="BAJAR",IF(F152="polea",IFERROR(INDEX(CONFIG!$B$25:$B$40,MAX(1,MATCH(G152,CONFIG!$B$25:$B$40,0)-1)),G152),MAX(0,G152-2.5)),G152)))),"--")</f>
        <v>--</v>
      </c>
      <c r="L152" s="59" t="str">
        <f>IFERROR(IF(N152="SIN","--",IF(N152="MANT",IF(H152="","--",H152+1),IFERROR(VLOOKUP(CONFIG!$E$2,CONFIG!$A$6:$E$8,2,0),"--"))),"--")</f>
        <v>--</v>
      </c>
      <c r="M152" s="59" t="str">
        <f>IFERROR(IF(N152="SIN","--",IF(CONFIG!$E$2="HIP",2,IF(CONFIG!$E$2="FUE",1,2))),"--")</f>
        <v>--</v>
      </c>
      <c r="N152" s="53" t="str">
        <f>IFERROR(IF(G152="","SIN",IF(O152=1,"SUBIR_E",IF(H152&lt;IFERROR(VLOOKUP(CONFIG!$E$2,CONFIG!$A$6:$E$8,2,0),6),"BAJAR",IF(H152+I152&gt;=IFERROR(VLOOKUP(CONFIG!$E$2,CONFIG!$A$6:$E$8,3,0),12),"SUBIR_F",IF(AND(H152&gt;=IFERROR(VLOOKUP(CONFIG!$E$2,CONFIG!$A$6:$E$8,2,0),6)+2,I152&gt;=2),"SUBIR",IF(I152&gt;IFERROR(VLOOKUP(CONFIG!$E$2,CONFIG!$A$6:$E$8,5,0),3),"SUBIR","MANT")))))),"SIN")</f>
        <v>SIN</v>
      </c>
      <c r="O152" s="55">
        <f>IF(COUNTIFS(HISTORIAL!$O$3:$O$150,D152&amp;"|"&amp;E152,HISTORIAL!$F$3:$F$150,"&gt;0")&lt;2,0,IF(COUNTIFS(HISTORIAL!$O$3:$O$150,D152&amp;"|"&amp;E152,HISTORIAL!$F$3:$F$150,IFERROR(LOOKUP(2,1/((HISTORIAL!$O$3:$O$150=D152&amp;"|"&amp;E152)*(HISTORIAL!$F$3:$F$150&gt;0)),HISTORIAL!$F$3:$F$150),0))&gt;=2,IF(IFERROR(LOOKUP(2,1/((HISTORIAL!$O$3:$O$150=D152&amp;"|"&amp;E152)*(HISTORIAL!$F$3:$F$150&gt;0)),HISTORIAL!$G$3:$G$150),0)&gt;0,IF(F152&gt;0,IF(G152&lt;=IFERROR(LOOKUP(2,1/((HISTORIAL!$O$3:$O$150=D152&amp;"|"&amp;E152)*(HISTORIAL!$F$3:$F$150&gt;0)),HISTORIAL!$G$3:$G$150),0),1,0),0),0),0))</f>
        <v>0</v>
      </c>
    </row>
    <row r="153" spans="1:15" ht="14.1" customHeight="1">
      <c r="A153" s="37">
        <v>3</v>
      </c>
      <c r="B153" s="37" t="s">
        <v>279</v>
      </c>
      <c r="C153" s="37">
        <v>2</v>
      </c>
      <c r="D153" s="56" t="str">
        <f>MIERCOLES!$A$57</f>
        <v>Curl Femoral</v>
      </c>
      <c r="E153" s="57" t="str">
        <f>MIERCOLES!$B$57</f>
        <v>Sentado Maquina</v>
      </c>
      <c r="F153" s="37" t="str">
        <f>MIERCOLES!$C$57</f>
        <v>polea</v>
      </c>
      <c r="G153" s="37" t="str">
        <f>IFERROR(LOOKUP(2,1/((HISTORIAL!$O$3:$O$151=D153&amp;"|"&amp;E153)*(HISTORIAL!$F$3:$F$151&lt;&gt;"")),HISTORIAL!$F$3:$F$151),"")</f>
        <v/>
      </c>
      <c r="H153" s="37" t="str">
        <f>IFERROR(LOOKUP(2,1/((HISTORIAL!$O$3:$O$151=D153&amp;"|"&amp;E153)*(HISTORIAL!$F$3:$F$151&lt;&gt;"")),HISTORIAL!$G$3:$G$151),"")</f>
        <v/>
      </c>
      <c r="I153" s="37" t="str">
        <f>IFERROR(LOOKUP(2,1/((HISTORIAL!$O$3:$O$151=D153&amp;"|"&amp;E153)*(HISTORIAL!$F$3:$F$151&lt;&gt;"")),HISTORIAL!$H$3:$H$151),"")</f>
        <v/>
      </c>
      <c r="J153" s="37" t="str">
        <f>IFERROR(LOOKUP(2,1/((HISTORIAL!$O$3:$O$151=D153&amp;"|"&amp;E153)*(HISTORIAL!$F$3:$F$151&lt;&gt;"")),HISTORIAL!$I$3:$I$151),"")</f>
        <v/>
      </c>
      <c r="K153" s="58" t="str">
        <f>IFERROR(IF(OR(G153="",N153="SIN"),"--",IF(N153="SUBIR_F",IF(F153="polea",IFERROR(INDEX(CONFIG!$B$25:$B$40,MATCH(G153,CONFIG!$B$25:$B$40,0)+2),IFERROR(INDEX(CONFIG!$B$25:$B$40,MATCH(G153,CONFIG!$B$25:$B$40,0)+1),G153)),G153+5),IF(OR(N153="SUBIR",N153="SUBIR_E"),IF(F153="polea",IFERROR(INDEX(CONFIG!$B$25:$B$40,MATCH(G153,CONFIG!$B$25:$B$40,0)+1),G153),G153+2.5),IF(N153="BAJAR",IF(F153="polea",IFERROR(INDEX(CONFIG!$B$25:$B$40,MAX(1,MATCH(G153,CONFIG!$B$25:$B$40,0)-1)),G153),MAX(0,G153-2.5)),G153)))),"--")</f>
        <v>--</v>
      </c>
      <c r="L153" s="59" t="str">
        <f>IFERROR(IF(N153="SIN","--",IF(N153="MANT",IF(H153="","--",H153+1),IFERROR(VLOOKUP(CONFIG!$E$2,CONFIG!$A$6:$E$8,2,0),"--"))),"--")</f>
        <v>--</v>
      </c>
      <c r="M153" s="59" t="str">
        <f>IFERROR(IF(N153="SIN","--",IF(CONFIG!$E$2="HIP",2,IF(CONFIG!$E$2="FUE",1,2))),"--")</f>
        <v>--</v>
      </c>
      <c r="N153" s="53" t="str">
        <f>IFERROR(IF(G153="","SIN",IF(O153=1,"SUBIR_E",IF(H153&lt;IFERROR(VLOOKUP(CONFIG!$E$2,CONFIG!$A$6:$E$8,2,0),6),"BAJAR",IF(H153+I153&gt;=IFERROR(VLOOKUP(CONFIG!$E$2,CONFIG!$A$6:$E$8,3,0),12),"SUBIR_F",IF(AND(H153&gt;=IFERROR(VLOOKUP(CONFIG!$E$2,CONFIG!$A$6:$E$8,2,0),6)+2,I153&gt;=2),"SUBIR",IF(I153&gt;IFERROR(VLOOKUP(CONFIG!$E$2,CONFIG!$A$6:$E$8,5,0),3),"SUBIR","MANT")))))),"SIN")</f>
        <v>SIN</v>
      </c>
      <c r="O153" s="55">
        <f>IF(COUNTIFS(HISTORIAL!$O$3:$O$151,D153&amp;"|"&amp;E153,HISTORIAL!$F$3:$F$151,"&gt;0")&lt;2,0,IF(COUNTIFS(HISTORIAL!$O$3:$O$151,D153&amp;"|"&amp;E153,HISTORIAL!$F$3:$F$151,IFERROR(LOOKUP(2,1/((HISTORIAL!$O$3:$O$151=D153&amp;"|"&amp;E153)*(HISTORIAL!$F$3:$F$151&gt;0)),HISTORIAL!$F$3:$F$151),0))&gt;=2,IF(IFERROR(LOOKUP(2,1/((HISTORIAL!$O$3:$O$151=D153&amp;"|"&amp;E153)*(HISTORIAL!$F$3:$F$151&gt;0)),HISTORIAL!$G$3:$G$151),0)&gt;0,IF(F153&gt;0,IF(G153&lt;=IFERROR(LOOKUP(2,1/((HISTORIAL!$O$3:$O$151=D153&amp;"|"&amp;E153)*(HISTORIAL!$F$3:$F$151&gt;0)),HISTORIAL!$G$3:$G$151),0),1,0),0),0),0))</f>
        <v>0</v>
      </c>
    </row>
    <row r="154" spans="1:15" ht="14.1" customHeight="1">
      <c r="A154" s="37">
        <v>3</v>
      </c>
      <c r="B154" s="37" t="s">
        <v>279</v>
      </c>
      <c r="C154" s="37">
        <v>3</v>
      </c>
      <c r="D154" s="56" t="str">
        <f>MIERCOLES!$A$58</f>
        <v>Curl Rumano</v>
      </c>
      <c r="E154" s="57" t="str">
        <f>MIERCOLES!$B$58</f>
        <v>Mancuernas</v>
      </c>
      <c r="F154" s="37" t="str">
        <f>MIERCOLES!$C$58</f>
        <v>mancuerna</v>
      </c>
      <c r="G154" s="37" t="str">
        <f>IFERROR(LOOKUP(2,1/((HISTORIAL!$O$3:$O$152=D154&amp;"|"&amp;E154)*(HISTORIAL!$F$3:$F$152&lt;&gt;"")),HISTORIAL!$F$3:$F$152),"")</f>
        <v/>
      </c>
      <c r="H154" s="37" t="str">
        <f>IFERROR(LOOKUP(2,1/((HISTORIAL!$O$3:$O$152=D154&amp;"|"&amp;E154)*(HISTORIAL!$F$3:$F$152&lt;&gt;"")),HISTORIAL!$G$3:$G$152),"")</f>
        <v/>
      </c>
      <c r="I154" s="37" t="str">
        <f>IFERROR(LOOKUP(2,1/((HISTORIAL!$O$3:$O$152=D154&amp;"|"&amp;E154)*(HISTORIAL!$F$3:$F$152&lt;&gt;"")),HISTORIAL!$H$3:$H$152),"")</f>
        <v/>
      </c>
      <c r="J154" s="37" t="str">
        <f>IFERROR(LOOKUP(2,1/((HISTORIAL!$O$3:$O$152=D154&amp;"|"&amp;E154)*(HISTORIAL!$F$3:$F$152&lt;&gt;"")),HISTORIAL!$I$3:$I$152),"")</f>
        <v/>
      </c>
      <c r="K154" s="58" t="str">
        <f>IFERROR(IF(OR(G154="",N154="SIN"),"--",IF(N154="SUBIR_F",IF(F154="polea",IFERROR(INDEX(CONFIG!$B$25:$B$40,MATCH(G154,CONFIG!$B$25:$B$40,0)+2),IFERROR(INDEX(CONFIG!$B$25:$B$40,MATCH(G154,CONFIG!$B$25:$B$40,0)+1),G154)),G154+5),IF(OR(N154="SUBIR",N154="SUBIR_E"),IF(F154="polea",IFERROR(INDEX(CONFIG!$B$25:$B$40,MATCH(G154,CONFIG!$B$25:$B$40,0)+1),G154),G154+2.5),IF(N154="BAJAR",IF(F154="polea",IFERROR(INDEX(CONFIG!$B$25:$B$40,MAX(1,MATCH(G154,CONFIG!$B$25:$B$40,0)-1)),G154),MAX(0,G154-2.5)),G154)))),"--")</f>
        <v>--</v>
      </c>
      <c r="L154" s="59" t="str">
        <f>IFERROR(IF(N154="SIN","--",IF(N154="MANT",IF(H154="","--",H154+1),IFERROR(VLOOKUP(CONFIG!$E$2,CONFIG!$A$6:$E$8,2,0),"--"))),"--")</f>
        <v>--</v>
      </c>
      <c r="M154" s="59" t="str">
        <f>IFERROR(IF(N154="SIN","--",IF(CONFIG!$E$2="HIP",2,IF(CONFIG!$E$2="FUE",1,2))),"--")</f>
        <v>--</v>
      </c>
      <c r="N154" s="53" t="str">
        <f>IFERROR(IF(G154="","SIN",IF(O154=1,"SUBIR_E",IF(H154&lt;IFERROR(VLOOKUP(CONFIG!$E$2,CONFIG!$A$6:$E$8,2,0),6),"BAJAR",IF(H154+I154&gt;=IFERROR(VLOOKUP(CONFIG!$E$2,CONFIG!$A$6:$E$8,3,0),12),"SUBIR_F",IF(AND(H154&gt;=IFERROR(VLOOKUP(CONFIG!$E$2,CONFIG!$A$6:$E$8,2,0),6)+2,I154&gt;=2),"SUBIR",IF(I154&gt;IFERROR(VLOOKUP(CONFIG!$E$2,CONFIG!$A$6:$E$8,5,0),3),"SUBIR","MANT")))))),"SIN")</f>
        <v>SIN</v>
      </c>
      <c r="O154" s="55">
        <f>IF(COUNTIFS(HISTORIAL!$O$3:$O$152,D154&amp;"|"&amp;E154,HISTORIAL!$F$3:$F$152,"&gt;0")&lt;2,0,IF(COUNTIFS(HISTORIAL!$O$3:$O$152,D154&amp;"|"&amp;E154,HISTORIAL!$F$3:$F$152,IFERROR(LOOKUP(2,1/((HISTORIAL!$O$3:$O$152=D154&amp;"|"&amp;E154)*(HISTORIAL!$F$3:$F$152&gt;0)),HISTORIAL!$F$3:$F$152),0))&gt;=2,IF(IFERROR(LOOKUP(2,1/((HISTORIAL!$O$3:$O$152=D154&amp;"|"&amp;E154)*(HISTORIAL!$F$3:$F$152&gt;0)),HISTORIAL!$G$3:$G$152),0)&gt;0,IF(F154&gt;0,IF(G154&lt;=IFERROR(LOOKUP(2,1/((HISTORIAL!$O$3:$O$152=D154&amp;"|"&amp;E154)*(HISTORIAL!$F$3:$F$152&gt;0)),HISTORIAL!$G$3:$G$152),0),1,0),0),0),0))</f>
        <v>0</v>
      </c>
    </row>
    <row r="155" spans="1:15" ht="14.1" customHeight="1">
      <c r="A155" s="37">
        <v>3</v>
      </c>
      <c r="B155" s="37" t="s">
        <v>279</v>
      </c>
      <c r="C155" s="37">
        <v>4</v>
      </c>
      <c r="D155" s="56" t="str">
        <f>MIERCOLES!$A$60</f>
        <v>Sentadilla</v>
      </c>
      <c r="E155" s="57" t="str">
        <f>MIERCOLES!$B$60</f>
        <v>Multipower Cuna Talones</v>
      </c>
      <c r="F155" s="37" t="str">
        <f>MIERCOLES!$C$60</f>
        <v>--</v>
      </c>
      <c r="G155" s="37" t="str">
        <f>IFERROR(LOOKUP(2,1/((HISTORIAL!$O$3:$O$153=D155&amp;"|"&amp;E155)*(HISTORIAL!$F$3:$F$153&lt;&gt;"")),HISTORIAL!$F$3:$F$153),"")</f>
        <v/>
      </c>
      <c r="H155" s="37" t="str">
        <f>IFERROR(LOOKUP(2,1/((HISTORIAL!$O$3:$O$153=D155&amp;"|"&amp;E155)*(HISTORIAL!$F$3:$F$153&lt;&gt;"")),HISTORIAL!$G$3:$G$153),"")</f>
        <v/>
      </c>
      <c r="I155" s="37" t="str">
        <f>IFERROR(LOOKUP(2,1/((HISTORIAL!$O$3:$O$153=D155&amp;"|"&amp;E155)*(HISTORIAL!$F$3:$F$153&lt;&gt;"")),HISTORIAL!$H$3:$H$153),"")</f>
        <v/>
      </c>
      <c r="J155" s="37" t="str">
        <f>IFERROR(LOOKUP(2,1/((HISTORIAL!$O$3:$O$153=D155&amp;"|"&amp;E155)*(HISTORIAL!$F$3:$F$153&lt;&gt;"")),HISTORIAL!$I$3:$I$153),"")</f>
        <v/>
      </c>
      <c r="K155" s="58" t="str">
        <f>IFERROR(IF(OR(G155="",N155="SIN"),"--",IF(N155="SUBIR_F",IF(F155="polea",IFERROR(INDEX(CONFIG!$B$25:$B$40,MATCH(G155,CONFIG!$B$25:$B$40,0)+2),IFERROR(INDEX(CONFIG!$B$25:$B$40,MATCH(G155,CONFIG!$B$25:$B$40,0)+1),G155)),G155+5),IF(OR(N155="SUBIR",N155="SUBIR_E"),IF(F155="polea",IFERROR(INDEX(CONFIG!$B$25:$B$40,MATCH(G155,CONFIG!$B$25:$B$40,0)+1),G155),G155+2.5),IF(N155="BAJAR",IF(F155="polea",IFERROR(INDEX(CONFIG!$B$25:$B$40,MAX(1,MATCH(G155,CONFIG!$B$25:$B$40,0)-1)),G155),MAX(0,G155-2.5)),G155)))),"--")</f>
        <v>--</v>
      </c>
      <c r="L155" s="59" t="str">
        <f>IFERROR(IF(N155="SIN","--",IF(N155="MANT",IF(H155="","--",H155+1),IFERROR(VLOOKUP(CONFIG!$E$2,CONFIG!$A$6:$E$8,2,0),"--"))),"--")</f>
        <v>--</v>
      </c>
      <c r="M155" s="59" t="str">
        <f>IFERROR(IF(N155="SIN","--",IF(CONFIG!$E$2="HIP",2,IF(CONFIG!$E$2="FUE",1,2))),"--")</f>
        <v>--</v>
      </c>
      <c r="N155" s="53" t="str">
        <f>IFERROR(IF(G155="","SIN",IF(O155=1,"SUBIR_E",IF(H155&lt;IFERROR(VLOOKUP(CONFIG!$E$2,CONFIG!$A$6:$E$8,2,0),6),"BAJAR",IF(H155+I155&gt;=IFERROR(VLOOKUP(CONFIG!$E$2,CONFIG!$A$6:$E$8,3,0),12),"SUBIR_F",IF(AND(H155&gt;=IFERROR(VLOOKUP(CONFIG!$E$2,CONFIG!$A$6:$E$8,2,0),6)+2,I155&gt;=2),"SUBIR",IF(I155&gt;IFERROR(VLOOKUP(CONFIG!$E$2,CONFIG!$A$6:$E$8,5,0),3),"SUBIR","MANT")))))),"SIN")</f>
        <v>SIN</v>
      </c>
      <c r="O155" s="55">
        <f>IF(COUNTIFS(HISTORIAL!$O$3:$O$153,D155&amp;"|"&amp;E155,HISTORIAL!$F$3:$F$153,"&gt;0")&lt;2,0,IF(COUNTIFS(HISTORIAL!$O$3:$O$153,D155&amp;"|"&amp;E155,HISTORIAL!$F$3:$F$153,IFERROR(LOOKUP(2,1/((HISTORIAL!$O$3:$O$153=D155&amp;"|"&amp;E155)*(HISTORIAL!$F$3:$F$153&gt;0)),HISTORIAL!$F$3:$F$153),0))&gt;=2,IF(IFERROR(LOOKUP(2,1/((HISTORIAL!$O$3:$O$153=D155&amp;"|"&amp;E155)*(HISTORIAL!$F$3:$F$153&gt;0)),HISTORIAL!$G$3:$G$153),0)&gt;0,IF(F155&gt;0,IF(G155&lt;=IFERROR(LOOKUP(2,1/((HISTORIAL!$O$3:$O$153=D155&amp;"|"&amp;E155)*(HISTORIAL!$F$3:$F$153&gt;0)),HISTORIAL!$G$3:$G$153),0),1,0),0),0),0))</f>
        <v>0</v>
      </c>
    </row>
    <row r="156" spans="1:15" ht="14.1" customHeight="1">
      <c r="A156" s="37">
        <v>3</v>
      </c>
      <c r="B156" s="37" t="s">
        <v>279</v>
      </c>
      <c r="C156" s="37">
        <v>5</v>
      </c>
      <c r="D156" s="56" t="str">
        <f>MIERCOLES!$A$61</f>
        <v>Prensa Pierna</v>
      </c>
      <c r="E156" s="57" t="str">
        <f>MIERCOLES!$B$61</f>
        <v>Individual Horizontal</v>
      </c>
      <c r="F156" s="37" t="str">
        <f>MIERCOLES!$C$61</f>
        <v>--</v>
      </c>
      <c r="G156" s="37" t="str">
        <f>IFERROR(LOOKUP(2,1/((HISTORIAL!$O$3:$O$154=D156&amp;"|"&amp;E156)*(HISTORIAL!$F$3:$F$154&lt;&gt;"")),HISTORIAL!$F$3:$F$154),"")</f>
        <v/>
      </c>
      <c r="H156" s="37" t="str">
        <f>IFERROR(LOOKUP(2,1/((HISTORIAL!$O$3:$O$154=D156&amp;"|"&amp;E156)*(HISTORIAL!$F$3:$F$154&lt;&gt;"")),HISTORIAL!$G$3:$G$154),"")</f>
        <v/>
      </c>
      <c r="I156" s="37" t="str">
        <f>IFERROR(LOOKUP(2,1/((HISTORIAL!$O$3:$O$154=D156&amp;"|"&amp;E156)*(HISTORIAL!$F$3:$F$154&lt;&gt;"")),HISTORIAL!$H$3:$H$154),"")</f>
        <v/>
      </c>
      <c r="J156" s="37" t="str">
        <f>IFERROR(LOOKUP(2,1/((HISTORIAL!$O$3:$O$154=D156&amp;"|"&amp;E156)*(HISTORIAL!$F$3:$F$154&lt;&gt;"")),HISTORIAL!$I$3:$I$154),"")</f>
        <v/>
      </c>
      <c r="K156" s="58" t="str">
        <f>IFERROR(IF(OR(G156="",N156="SIN"),"--",IF(N156="SUBIR_F",IF(F156="polea",IFERROR(INDEX(CONFIG!$B$25:$B$40,MATCH(G156,CONFIG!$B$25:$B$40,0)+2),IFERROR(INDEX(CONFIG!$B$25:$B$40,MATCH(G156,CONFIG!$B$25:$B$40,0)+1),G156)),G156+5),IF(OR(N156="SUBIR",N156="SUBIR_E"),IF(F156="polea",IFERROR(INDEX(CONFIG!$B$25:$B$40,MATCH(G156,CONFIG!$B$25:$B$40,0)+1),G156),G156+2.5),IF(N156="BAJAR",IF(F156="polea",IFERROR(INDEX(CONFIG!$B$25:$B$40,MAX(1,MATCH(G156,CONFIG!$B$25:$B$40,0)-1)),G156),MAX(0,G156-2.5)),G156)))),"--")</f>
        <v>--</v>
      </c>
      <c r="L156" s="59" t="str">
        <f>IFERROR(IF(N156="SIN","--",IF(N156="MANT",IF(H156="","--",H156+1),IFERROR(VLOOKUP(CONFIG!$E$2,CONFIG!$A$6:$E$8,2,0),"--"))),"--")</f>
        <v>--</v>
      </c>
      <c r="M156" s="59" t="str">
        <f>IFERROR(IF(N156="SIN","--",IF(CONFIG!$E$2="HIP",2,IF(CONFIG!$E$2="FUE",1,2))),"--")</f>
        <v>--</v>
      </c>
      <c r="N156" s="53" t="str">
        <f>IFERROR(IF(G156="","SIN",IF(O156=1,"SUBIR_E",IF(H156&lt;IFERROR(VLOOKUP(CONFIG!$E$2,CONFIG!$A$6:$E$8,2,0),6),"BAJAR",IF(H156+I156&gt;=IFERROR(VLOOKUP(CONFIG!$E$2,CONFIG!$A$6:$E$8,3,0),12),"SUBIR_F",IF(AND(H156&gt;=IFERROR(VLOOKUP(CONFIG!$E$2,CONFIG!$A$6:$E$8,2,0),6)+2,I156&gt;=2),"SUBIR",IF(I156&gt;IFERROR(VLOOKUP(CONFIG!$E$2,CONFIG!$A$6:$E$8,5,0),3),"SUBIR","MANT")))))),"SIN")</f>
        <v>SIN</v>
      </c>
      <c r="O156" s="55">
        <f>IF(COUNTIFS(HISTORIAL!$O$3:$O$154,D156&amp;"|"&amp;E156,HISTORIAL!$F$3:$F$154,"&gt;0")&lt;2,0,IF(COUNTIFS(HISTORIAL!$O$3:$O$154,D156&amp;"|"&amp;E156,HISTORIAL!$F$3:$F$154,IFERROR(LOOKUP(2,1/((HISTORIAL!$O$3:$O$154=D156&amp;"|"&amp;E156)*(HISTORIAL!$F$3:$F$154&gt;0)),HISTORIAL!$F$3:$F$154),0))&gt;=2,IF(IFERROR(LOOKUP(2,1/((HISTORIAL!$O$3:$O$154=D156&amp;"|"&amp;E156)*(HISTORIAL!$F$3:$F$154&gt;0)),HISTORIAL!$G$3:$G$154),0)&gt;0,IF(F156&gt;0,IF(G156&lt;=IFERROR(LOOKUP(2,1/((HISTORIAL!$O$3:$O$154=D156&amp;"|"&amp;E156)*(HISTORIAL!$F$3:$F$154&gt;0)),HISTORIAL!$G$3:$G$154),0),1,0),0),0),0))</f>
        <v>0</v>
      </c>
    </row>
    <row r="157" spans="1:15" ht="14.1" customHeight="1">
      <c r="A157" s="37">
        <v>3</v>
      </c>
      <c r="B157" s="37" t="s">
        <v>279</v>
      </c>
      <c r="C157" s="37">
        <v>6</v>
      </c>
      <c r="D157" s="56" t="str">
        <f>MIERCOLES!$A$62</f>
        <v>Extension Cuadriceps</v>
      </c>
      <c r="E157" s="57" t="str">
        <f>MIERCOLES!$B$62</f>
        <v>Vasto Externo</v>
      </c>
      <c r="F157" s="37" t="str">
        <f>MIERCOLES!$C$62</f>
        <v>--</v>
      </c>
      <c r="G157" s="37" t="str">
        <f>IFERROR(LOOKUP(2,1/((HISTORIAL!$O$3:$O$155=D157&amp;"|"&amp;E157)*(HISTORIAL!$F$3:$F$155&lt;&gt;"")),HISTORIAL!$F$3:$F$155),"")</f>
        <v/>
      </c>
      <c r="H157" s="37" t="str">
        <f>IFERROR(LOOKUP(2,1/((HISTORIAL!$O$3:$O$155=D157&amp;"|"&amp;E157)*(HISTORIAL!$F$3:$F$155&lt;&gt;"")),HISTORIAL!$G$3:$G$155),"")</f>
        <v/>
      </c>
      <c r="I157" s="37" t="str">
        <f>IFERROR(LOOKUP(2,1/((HISTORIAL!$O$3:$O$155=D157&amp;"|"&amp;E157)*(HISTORIAL!$F$3:$F$155&lt;&gt;"")),HISTORIAL!$H$3:$H$155),"")</f>
        <v/>
      </c>
      <c r="J157" s="37" t="str">
        <f>IFERROR(LOOKUP(2,1/((HISTORIAL!$O$3:$O$155=D157&amp;"|"&amp;E157)*(HISTORIAL!$F$3:$F$155&lt;&gt;"")),HISTORIAL!$I$3:$I$155),"")</f>
        <v/>
      </c>
      <c r="K157" s="58" t="str">
        <f>IFERROR(IF(OR(G157="",N157="SIN"),"--",IF(N157="SUBIR_F",IF(F157="polea",IFERROR(INDEX(CONFIG!$B$25:$B$40,MATCH(G157,CONFIG!$B$25:$B$40,0)+2),IFERROR(INDEX(CONFIG!$B$25:$B$40,MATCH(G157,CONFIG!$B$25:$B$40,0)+1),G157)),G157+5),IF(OR(N157="SUBIR",N157="SUBIR_E"),IF(F157="polea",IFERROR(INDEX(CONFIG!$B$25:$B$40,MATCH(G157,CONFIG!$B$25:$B$40,0)+1),G157),G157+2.5),IF(N157="BAJAR",IF(F157="polea",IFERROR(INDEX(CONFIG!$B$25:$B$40,MAX(1,MATCH(G157,CONFIG!$B$25:$B$40,0)-1)),G157),MAX(0,G157-2.5)),G157)))),"--")</f>
        <v>--</v>
      </c>
      <c r="L157" s="59" t="str">
        <f>IFERROR(IF(N157="SIN","--",IF(N157="MANT",IF(H157="","--",H157+1),IFERROR(VLOOKUP(CONFIG!$E$2,CONFIG!$A$6:$E$8,2,0),"--"))),"--")</f>
        <v>--</v>
      </c>
      <c r="M157" s="59" t="str">
        <f>IFERROR(IF(N157="SIN","--",IF(CONFIG!$E$2="HIP",2,IF(CONFIG!$E$2="FUE",1,2))),"--")</f>
        <v>--</v>
      </c>
      <c r="N157" s="53" t="str">
        <f>IFERROR(IF(G157="","SIN",IF(O157=1,"SUBIR_E",IF(H157&lt;IFERROR(VLOOKUP(CONFIG!$E$2,CONFIG!$A$6:$E$8,2,0),6),"BAJAR",IF(H157+I157&gt;=IFERROR(VLOOKUP(CONFIG!$E$2,CONFIG!$A$6:$E$8,3,0),12),"SUBIR_F",IF(AND(H157&gt;=IFERROR(VLOOKUP(CONFIG!$E$2,CONFIG!$A$6:$E$8,2,0),6)+2,I157&gt;=2),"SUBIR",IF(I157&gt;IFERROR(VLOOKUP(CONFIG!$E$2,CONFIG!$A$6:$E$8,5,0),3),"SUBIR","MANT")))))),"SIN")</f>
        <v>SIN</v>
      </c>
      <c r="O157" s="55">
        <f>IF(COUNTIFS(HISTORIAL!$O$3:$O$155,D157&amp;"|"&amp;E157,HISTORIAL!$F$3:$F$155,"&gt;0")&lt;2,0,IF(COUNTIFS(HISTORIAL!$O$3:$O$155,D157&amp;"|"&amp;E157,HISTORIAL!$F$3:$F$155,IFERROR(LOOKUP(2,1/((HISTORIAL!$O$3:$O$155=D157&amp;"|"&amp;E157)*(HISTORIAL!$F$3:$F$155&gt;0)),HISTORIAL!$F$3:$F$155),0))&gt;=2,IF(IFERROR(LOOKUP(2,1/((HISTORIAL!$O$3:$O$155=D157&amp;"|"&amp;E157)*(HISTORIAL!$F$3:$F$155&gt;0)),HISTORIAL!$G$3:$G$155),0)&gt;0,IF(F157&gt;0,IF(G157&lt;=IFERROR(LOOKUP(2,1/((HISTORIAL!$O$3:$O$155=D157&amp;"|"&amp;E157)*(HISTORIAL!$F$3:$F$155&gt;0)),HISTORIAL!$G$3:$G$155),0),1,0),0),0),0))</f>
        <v>0</v>
      </c>
    </row>
    <row r="158" spans="1:15" ht="14.1" customHeight="1">
      <c r="A158" s="37">
        <v>3</v>
      </c>
      <c r="B158" s="37" t="s">
        <v>279</v>
      </c>
      <c r="C158" s="37">
        <v>7</v>
      </c>
      <c r="D158" s="56" t="str">
        <f>MIERCOLES!$A$63</f>
        <v>Extension Cuadriceps</v>
      </c>
      <c r="E158" s="57" t="str">
        <f>MIERCOLES!$B$63</f>
        <v>Vasto Interno</v>
      </c>
      <c r="F158" s="37" t="str">
        <f>MIERCOLES!$C$63</f>
        <v>--</v>
      </c>
      <c r="G158" s="37" t="str">
        <f>IFERROR(LOOKUP(2,1/((HISTORIAL!$O$3:$O$156=D158&amp;"|"&amp;E158)*(HISTORIAL!$F$3:$F$156&lt;&gt;"")),HISTORIAL!$F$3:$F$156),"")</f>
        <v/>
      </c>
      <c r="H158" s="37" t="str">
        <f>IFERROR(LOOKUP(2,1/((HISTORIAL!$O$3:$O$156=D158&amp;"|"&amp;E158)*(HISTORIAL!$F$3:$F$156&lt;&gt;"")),HISTORIAL!$G$3:$G$156),"")</f>
        <v/>
      </c>
      <c r="I158" s="37" t="str">
        <f>IFERROR(LOOKUP(2,1/((HISTORIAL!$O$3:$O$156=D158&amp;"|"&amp;E158)*(HISTORIAL!$F$3:$F$156&lt;&gt;"")),HISTORIAL!$H$3:$H$156),"")</f>
        <v/>
      </c>
      <c r="J158" s="37" t="str">
        <f>IFERROR(LOOKUP(2,1/((HISTORIAL!$O$3:$O$156=D158&amp;"|"&amp;E158)*(HISTORIAL!$F$3:$F$156&lt;&gt;"")),HISTORIAL!$I$3:$I$156),"")</f>
        <v/>
      </c>
      <c r="K158" s="58" t="str">
        <f>IFERROR(IF(OR(G158="",N158="SIN"),"--",IF(N158="SUBIR_F",IF(F158="polea",IFERROR(INDEX(CONFIG!$B$25:$B$40,MATCH(G158,CONFIG!$B$25:$B$40,0)+2),IFERROR(INDEX(CONFIG!$B$25:$B$40,MATCH(G158,CONFIG!$B$25:$B$40,0)+1),G158)),G158+5),IF(OR(N158="SUBIR",N158="SUBIR_E"),IF(F158="polea",IFERROR(INDEX(CONFIG!$B$25:$B$40,MATCH(G158,CONFIG!$B$25:$B$40,0)+1),G158),G158+2.5),IF(N158="BAJAR",IF(F158="polea",IFERROR(INDEX(CONFIG!$B$25:$B$40,MAX(1,MATCH(G158,CONFIG!$B$25:$B$40,0)-1)),G158),MAX(0,G158-2.5)),G158)))),"--")</f>
        <v>--</v>
      </c>
      <c r="L158" s="59" t="str">
        <f>IFERROR(IF(N158="SIN","--",IF(N158="MANT",IF(H158="","--",H158+1),IFERROR(VLOOKUP(CONFIG!$E$2,CONFIG!$A$6:$E$8,2,0),"--"))),"--")</f>
        <v>--</v>
      </c>
      <c r="M158" s="59" t="str">
        <f>IFERROR(IF(N158="SIN","--",IF(CONFIG!$E$2="HIP",2,IF(CONFIG!$E$2="FUE",1,2))),"--")</f>
        <v>--</v>
      </c>
      <c r="N158" s="53" t="str">
        <f>IFERROR(IF(G158="","SIN",IF(O158=1,"SUBIR_E",IF(H158&lt;IFERROR(VLOOKUP(CONFIG!$E$2,CONFIG!$A$6:$E$8,2,0),6),"BAJAR",IF(H158+I158&gt;=IFERROR(VLOOKUP(CONFIG!$E$2,CONFIG!$A$6:$E$8,3,0),12),"SUBIR_F",IF(AND(H158&gt;=IFERROR(VLOOKUP(CONFIG!$E$2,CONFIG!$A$6:$E$8,2,0),6)+2,I158&gt;=2),"SUBIR",IF(I158&gt;IFERROR(VLOOKUP(CONFIG!$E$2,CONFIG!$A$6:$E$8,5,0),3),"SUBIR","MANT")))))),"SIN")</f>
        <v>SIN</v>
      </c>
      <c r="O158" s="55">
        <f>IF(COUNTIFS(HISTORIAL!$O$3:$O$156,D158&amp;"|"&amp;E158,HISTORIAL!$F$3:$F$156,"&gt;0")&lt;2,0,IF(COUNTIFS(HISTORIAL!$O$3:$O$156,D158&amp;"|"&amp;E158,HISTORIAL!$F$3:$F$156,IFERROR(LOOKUP(2,1/((HISTORIAL!$O$3:$O$156=D158&amp;"|"&amp;E158)*(HISTORIAL!$F$3:$F$156&gt;0)),HISTORIAL!$F$3:$F$156),0))&gt;=2,IF(IFERROR(LOOKUP(2,1/((HISTORIAL!$O$3:$O$156=D158&amp;"|"&amp;E158)*(HISTORIAL!$F$3:$F$156&gt;0)),HISTORIAL!$G$3:$G$156),0)&gt;0,IF(F158&gt;0,IF(G158&lt;=IFERROR(LOOKUP(2,1/((HISTORIAL!$O$3:$O$156=D158&amp;"|"&amp;E158)*(HISTORIAL!$F$3:$F$156&gt;0)),HISTORIAL!$G$3:$G$156),0),1,0),0),0),0))</f>
        <v>0</v>
      </c>
    </row>
    <row r="159" spans="1:15" ht="14.1" customHeight="1">
      <c r="A159" s="37">
        <v>3</v>
      </c>
      <c r="B159" s="37" t="s">
        <v>279</v>
      </c>
      <c r="C159" s="37">
        <v>8</v>
      </c>
      <c r="D159" s="56" t="str">
        <f>MIERCOLES!$A$65</f>
        <v>Elevacion Gemelo</v>
      </c>
      <c r="E159" s="57" t="str">
        <f>MIERCOLES!$B$65</f>
        <v>Sentado</v>
      </c>
      <c r="F159" s="37" t="str">
        <f>MIERCOLES!$C$65</f>
        <v>disco</v>
      </c>
      <c r="G159" s="37" t="str">
        <f>IFERROR(LOOKUP(2,1/((HISTORIAL!$O$3:$O$157=D159&amp;"|"&amp;E159)*(HISTORIAL!$F$3:$F$157&lt;&gt;"")),HISTORIAL!$F$3:$F$157),"")</f>
        <v/>
      </c>
      <c r="H159" s="37" t="str">
        <f>IFERROR(LOOKUP(2,1/((HISTORIAL!$O$3:$O$157=D159&amp;"|"&amp;E159)*(HISTORIAL!$F$3:$F$157&lt;&gt;"")),HISTORIAL!$G$3:$G$157),"")</f>
        <v/>
      </c>
      <c r="I159" s="37" t="str">
        <f>IFERROR(LOOKUP(2,1/((HISTORIAL!$O$3:$O$157=D159&amp;"|"&amp;E159)*(HISTORIAL!$F$3:$F$157&lt;&gt;"")),HISTORIAL!$H$3:$H$157),"")</f>
        <v/>
      </c>
      <c r="J159" s="37" t="str">
        <f>IFERROR(LOOKUP(2,1/((HISTORIAL!$O$3:$O$157=D159&amp;"|"&amp;E159)*(HISTORIAL!$F$3:$F$157&lt;&gt;"")),HISTORIAL!$I$3:$I$157),"")</f>
        <v/>
      </c>
      <c r="K159" s="58" t="str">
        <f>IFERROR(IF(OR(G159="",N159="SIN"),"--",IF(N159="SUBIR_F",IF(F159="polea",IFERROR(INDEX(CONFIG!$B$25:$B$40,MATCH(G159,CONFIG!$B$25:$B$40,0)+2),IFERROR(INDEX(CONFIG!$B$25:$B$40,MATCH(G159,CONFIG!$B$25:$B$40,0)+1),G159)),G159+5),IF(OR(N159="SUBIR",N159="SUBIR_E"),IF(F159="polea",IFERROR(INDEX(CONFIG!$B$25:$B$40,MATCH(G159,CONFIG!$B$25:$B$40,0)+1),G159),G159+2.5),IF(N159="BAJAR",IF(F159="polea",IFERROR(INDEX(CONFIG!$B$25:$B$40,MAX(1,MATCH(G159,CONFIG!$B$25:$B$40,0)-1)),G159),MAX(0,G159-2.5)),G159)))),"--")</f>
        <v>--</v>
      </c>
      <c r="L159" s="59" t="str">
        <f>IFERROR(IF(N159="SIN","--",IF(N159="MANT",IF(H159="","--",H159+1),IFERROR(VLOOKUP(CONFIG!$E$2,CONFIG!$A$6:$E$8,2,0),"--"))),"--")</f>
        <v>--</v>
      </c>
      <c r="M159" s="59" t="str">
        <f>IFERROR(IF(N159="SIN","--",IF(CONFIG!$E$2="HIP",2,IF(CONFIG!$E$2="FUE",1,2))),"--")</f>
        <v>--</v>
      </c>
      <c r="N159" s="53" t="str">
        <f>IFERROR(IF(G159="","SIN",IF(O159=1,"SUBIR_E",IF(H159&lt;IFERROR(VLOOKUP(CONFIG!$E$2,CONFIG!$A$6:$E$8,2,0),6),"BAJAR",IF(H159+I159&gt;=IFERROR(VLOOKUP(CONFIG!$E$2,CONFIG!$A$6:$E$8,3,0),12),"SUBIR_F",IF(AND(H159&gt;=IFERROR(VLOOKUP(CONFIG!$E$2,CONFIG!$A$6:$E$8,2,0),6)+2,I159&gt;=2),"SUBIR",IF(I159&gt;IFERROR(VLOOKUP(CONFIG!$E$2,CONFIG!$A$6:$E$8,5,0),3),"SUBIR","MANT")))))),"SIN")</f>
        <v>SIN</v>
      </c>
      <c r="O159" s="55">
        <f>IF(COUNTIFS(HISTORIAL!$O$3:$O$157,D159&amp;"|"&amp;E159,HISTORIAL!$F$3:$F$157,"&gt;0")&lt;2,0,IF(COUNTIFS(HISTORIAL!$O$3:$O$157,D159&amp;"|"&amp;E159,HISTORIAL!$F$3:$F$157,IFERROR(LOOKUP(2,1/((HISTORIAL!$O$3:$O$157=D159&amp;"|"&amp;E159)*(HISTORIAL!$F$3:$F$157&gt;0)),HISTORIAL!$F$3:$F$157),0))&gt;=2,IF(IFERROR(LOOKUP(2,1/((HISTORIAL!$O$3:$O$157=D159&amp;"|"&amp;E159)*(HISTORIAL!$F$3:$F$157&gt;0)),HISTORIAL!$G$3:$G$157),0)&gt;0,IF(F159&gt;0,IF(G159&lt;=IFERROR(LOOKUP(2,1/((HISTORIAL!$O$3:$O$157=D159&amp;"|"&amp;E159)*(HISTORIAL!$F$3:$F$157&gt;0)),HISTORIAL!$G$3:$G$157),0),1,0),0),0),0))</f>
        <v>0</v>
      </c>
    </row>
    <row r="160" spans="1:15" ht="14.1" customHeight="1">
      <c r="A160" s="37">
        <v>3</v>
      </c>
      <c r="B160" s="37" t="s">
        <v>279</v>
      </c>
      <c r="C160" s="37">
        <v>9</v>
      </c>
      <c r="D160" s="56" t="str">
        <f>MIERCOLES!$A$66</f>
        <v>Elevacion Gemelo</v>
      </c>
      <c r="E160" s="57" t="str">
        <f>MIERCOLES!$B$66</f>
        <v>De Pie</v>
      </c>
      <c r="F160" s="37" t="str">
        <f>MIERCOLES!$C$66</f>
        <v>disco</v>
      </c>
      <c r="G160" s="37" t="str">
        <f>IFERROR(LOOKUP(2,1/((HISTORIAL!$O$3:$O$158=D160&amp;"|"&amp;E160)*(HISTORIAL!$F$3:$F$158&lt;&gt;"")),HISTORIAL!$F$3:$F$158),"")</f>
        <v/>
      </c>
      <c r="H160" s="37" t="str">
        <f>IFERROR(LOOKUP(2,1/((HISTORIAL!$O$3:$O$158=D160&amp;"|"&amp;E160)*(HISTORIAL!$F$3:$F$158&lt;&gt;"")),HISTORIAL!$G$3:$G$158),"")</f>
        <v/>
      </c>
      <c r="I160" s="37" t="str">
        <f>IFERROR(LOOKUP(2,1/((HISTORIAL!$O$3:$O$158=D160&amp;"|"&amp;E160)*(HISTORIAL!$F$3:$F$158&lt;&gt;"")),HISTORIAL!$H$3:$H$158),"")</f>
        <v/>
      </c>
      <c r="J160" s="37" t="str">
        <f>IFERROR(LOOKUP(2,1/((HISTORIAL!$O$3:$O$158=D160&amp;"|"&amp;E160)*(HISTORIAL!$F$3:$F$158&lt;&gt;"")),HISTORIAL!$I$3:$I$158),"")</f>
        <v/>
      </c>
      <c r="K160" s="58" t="str">
        <f>IFERROR(IF(OR(G160="",N160="SIN"),"--",IF(N160="SUBIR_F",IF(F160="polea",IFERROR(INDEX(CONFIG!$B$25:$B$40,MATCH(G160,CONFIG!$B$25:$B$40,0)+2),IFERROR(INDEX(CONFIG!$B$25:$B$40,MATCH(G160,CONFIG!$B$25:$B$40,0)+1),G160)),G160+5),IF(OR(N160="SUBIR",N160="SUBIR_E"),IF(F160="polea",IFERROR(INDEX(CONFIG!$B$25:$B$40,MATCH(G160,CONFIG!$B$25:$B$40,0)+1),G160),G160+2.5),IF(N160="BAJAR",IF(F160="polea",IFERROR(INDEX(CONFIG!$B$25:$B$40,MAX(1,MATCH(G160,CONFIG!$B$25:$B$40,0)-1)),G160),MAX(0,G160-2.5)),G160)))),"--")</f>
        <v>--</v>
      </c>
      <c r="L160" s="59" t="str">
        <f>IFERROR(IF(N160="SIN","--",IF(N160="MANT",IF(H160="","--",H160+1),IFERROR(VLOOKUP(CONFIG!$E$2,CONFIG!$A$6:$E$8,2,0),"--"))),"--")</f>
        <v>--</v>
      </c>
      <c r="M160" s="59" t="str">
        <f>IFERROR(IF(N160="SIN","--",IF(CONFIG!$E$2="HIP",2,IF(CONFIG!$E$2="FUE",1,2))),"--")</f>
        <v>--</v>
      </c>
      <c r="N160" s="53" t="str">
        <f>IFERROR(IF(G160="","SIN",IF(O160=1,"SUBIR_E",IF(H160&lt;IFERROR(VLOOKUP(CONFIG!$E$2,CONFIG!$A$6:$E$8,2,0),6),"BAJAR",IF(H160+I160&gt;=IFERROR(VLOOKUP(CONFIG!$E$2,CONFIG!$A$6:$E$8,3,0),12),"SUBIR_F",IF(AND(H160&gt;=IFERROR(VLOOKUP(CONFIG!$E$2,CONFIG!$A$6:$E$8,2,0),6)+2,I160&gt;=2),"SUBIR",IF(I160&gt;IFERROR(VLOOKUP(CONFIG!$E$2,CONFIG!$A$6:$E$8,5,0),3),"SUBIR","MANT")))))),"SIN")</f>
        <v>SIN</v>
      </c>
      <c r="O160" s="55">
        <f>IF(COUNTIFS(HISTORIAL!$O$3:$O$158,D160&amp;"|"&amp;E160,HISTORIAL!$F$3:$F$158,"&gt;0")&lt;2,0,IF(COUNTIFS(HISTORIAL!$O$3:$O$158,D160&amp;"|"&amp;E160,HISTORIAL!$F$3:$F$158,IFERROR(LOOKUP(2,1/((HISTORIAL!$O$3:$O$158=D160&amp;"|"&amp;E160)*(HISTORIAL!$F$3:$F$158&gt;0)),HISTORIAL!$F$3:$F$158),0))&gt;=2,IF(IFERROR(LOOKUP(2,1/((HISTORIAL!$O$3:$O$158=D160&amp;"|"&amp;E160)*(HISTORIAL!$F$3:$F$158&gt;0)),HISTORIAL!$G$3:$G$158),0)&gt;0,IF(F160&gt;0,IF(G160&lt;=IFERROR(LOOKUP(2,1/((HISTORIAL!$O$3:$O$158=D160&amp;"|"&amp;E160)*(HISTORIAL!$F$3:$F$158&gt;0)),HISTORIAL!$G$3:$G$158),0),1,0),0),0),0))</f>
        <v>0</v>
      </c>
    </row>
    <row r="161" spans="1:15" ht="14.1" customHeight="1">
      <c r="A161" s="37">
        <v>3</v>
      </c>
      <c r="B161" s="37" t="s">
        <v>279</v>
      </c>
      <c r="C161" s="37">
        <v>10</v>
      </c>
      <c r="D161" s="56" t="str">
        <f>MIERCOLES!$A$68</f>
        <v>Hiperextension</v>
      </c>
      <c r="E161" s="57" t="str">
        <f>MIERCOLES!$B$68</f>
        <v>Banco Romano</v>
      </c>
      <c r="F161" s="37" t="str">
        <f>MIERCOLES!$C$68</f>
        <v>peso_corporal</v>
      </c>
      <c r="G161" s="37" t="str">
        <f>IFERROR(LOOKUP(2,1/((HISTORIAL!$O$3:$O$159=D161&amp;"|"&amp;E161)*(HISTORIAL!$F$3:$F$159&lt;&gt;"")),HISTORIAL!$F$3:$F$159),"")</f>
        <v/>
      </c>
      <c r="H161" s="37" t="str">
        <f>IFERROR(LOOKUP(2,1/((HISTORIAL!$O$3:$O$159=D161&amp;"|"&amp;E161)*(HISTORIAL!$F$3:$F$159&lt;&gt;"")),HISTORIAL!$G$3:$G$159),"")</f>
        <v/>
      </c>
      <c r="I161" s="37" t="str">
        <f>IFERROR(LOOKUP(2,1/((HISTORIAL!$O$3:$O$159=D161&amp;"|"&amp;E161)*(HISTORIAL!$F$3:$F$159&lt;&gt;"")),HISTORIAL!$H$3:$H$159),"")</f>
        <v/>
      </c>
      <c r="J161" s="37" t="str">
        <f>IFERROR(LOOKUP(2,1/((HISTORIAL!$O$3:$O$159=D161&amp;"|"&amp;E161)*(HISTORIAL!$F$3:$F$159&lt;&gt;"")),HISTORIAL!$I$3:$I$159),"")</f>
        <v/>
      </c>
      <c r="K161" s="58" t="str">
        <f>IFERROR(IF(OR(G161="",N161="SIN"),"--",IF(N161="SUBIR_F",IF(F161="polea",IFERROR(INDEX(CONFIG!$B$25:$B$40,MATCH(G161,CONFIG!$B$25:$B$40,0)+2),IFERROR(INDEX(CONFIG!$B$25:$B$40,MATCH(G161,CONFIG!$B$25:$B$40,0)+1),G161)),G161+5),IF(OR(N161="SUBIR",N161="SUBIR_E"),IF(F161="polea",IFERROR(INDEX(CONFIG!$B$25:$B$40,MATCH(G161,CONFIG!$B$25:$B$40,0)+1),G161),G161+2.5),IF(N161="BAJAR",IF(F161="polea",IFERROR(INDEX(CONFIG!$B$25:$B$40,MAX(1,MATCH(G161,CONFIG!$B$25:$B$40,0)-1)),G161),MAX(0,G161-2.5)),G161)))),"--")</f>
        <v>--</v>
      </c>
      <c r="L161" s="59" t="str">
        <f>IFERROR(IF(N161="SIN","--",IF(N161="MANT",IF(H161="","--",H161+1),IFERROR(VLOOKUP(CONFIG!$E$2,CONFIG!$A$6:$E$8,2,0),"--"))),"--")</f>
        <v>--</v>
      </c>
      <c r="M161" s="59" t="str">
        <f>IFERROR(IF(N161="SIN","--",IF(CONFIG!$E$2="HIP",2,IF(CONFIG!$E$2="FUE",1,2))),"--")</f>
        <v>--</v>
      </c>
      <c r="N161" s="53" t="str">
        <f>IFERROR(IF(G161="","SIN",IF(O161=1,"SUBIR_E",IF(H161&lt;IFERROR(VLOOKUP(CONFIG!$E$2,CONFIG!$A$6:$E$8,2,0),6),"BAJAR",IF(H161+I161&gt;=IFERROR(VLOOKUP(CONFIG!$E$2,CONFIG!$A$6:$E$8,3,0),12),"SUBIR_F",IF(AND(H161&gt;=IFERROR(VLOOKUP(CONFIG!$E$2,CONFIG!$A$6:$E$8,2,0),6)+2,I161&gt;=2),"SUBIR",IF(I161&gt;IFERROR(VLOOKUP(CONFIG!$E$2,CONFIG!$A$6:$E$8,5,0),3),"SUBIR","MANT")))))),"SIN")</f>
        <v>SIN</v>
      </c>
      <c r="O161" s="55">
        <f>IF(COUNTIFS(HISTORIAL!$O$3:$O$159,D161&amp;"|"&amp;E161,HISTORIAL!$F$3:$F$159,"&gt;0")&lt;2,0,IF(COUNTIFS(HISTORIAL!$O$3:$O$159,D161&amp;"|"&amp;E161,HISTORIAL!$F$3:$F$159,IFERROR(LOOKUP(2,1/((HISTORIAL!$O$3:$O$159=D161&amp;"|"&amp;E161)*(HISTORIAL!$F$3:$F$159&gt;0)),HISTORIAL!$F$3:$F$159),0))&gt;=2,IF(IFERROR(LOOKUP(2,1/((HISTORIAL!$O$3:$O$159=D161&amp;"|"&amp;E161)*(HISTORIAL!$F$3:$F$159&gt;0)),HISTORIAL!$G$3:$G$159),0)&gt;0,IF(F161&gt;0,IF(G161&lt;=IFERROR(LOOKUP(2,1/((HISTORIAL!$O$3:$O$159=D161&amp;"|"&amp;E161)*(HISTORIAL!$F$3:$F$159&gt;0)),HISTORIAL!$G$3:$G$159),0),1,0),0),0),0))</f>
        <v>0</v>
      </c>
    </row>
    <row r="162" spans="1:15" ht="14.1" customHeight="1">
      <c r="A162" s="37">
        <v>3</v>
      </c>
      <c r="B162" s="37" t="s">
        <v>279</v>
      </c>
      <c r="C162" s="37">
        <v>11</v>
      </c>
      <c r="D162" s="56" t="str">
        <f>MIERCOLES!$A$69</f>
        <v>Peso Muerto Parcial</v>
      </c>
      <c r="E162" s="57" t="str">
        <f>MIERCOLES!$B$69</f>
        <v>Barra</v>
      </c>
      <c r="F162" s="37" t="str">
        <f>MIERCOLES!$C$69</f>
        <v>disco</v>
      </c>
      <c r="G162" s="37" t="str">
        <f>IFERROR(LOOKUP(2,1/((HISTORIAL!$O$3:$O$160=D162&amp;"|"&amp;E162)*(HISTORIAL!$F$3:$F$160&lt;&gt;"")),HISTORIAL!$F$3:$F$160),"")</f>
        <v/>
      </c>
      <c r="H162" s="37" t="str">
        <f>IFERROR(LOOKUP(2,1/((HISTORIAL!$O$3:$O$160=D162&amp;"|"&amp;E162)*(HISTORIAL!$F$3:$F$160&lt;&gt;"")),HISTORIAL!$G$3:$G$160),"")</f>
        <v/>
      </c>
      <c r="I162" s="37" t="str">
        <f>IFERROR(LOOKUP(2,1/((HISTORIAL!$O$3:$O$160=D162&amp;"|"&amp;E162)*(HISTORIAL!$F$3:$F$160&lt;&gt;"")),HISTORIAL!$H$3:$H$160),"")</f>
        <v/>
      </c>
      <c r="J162" s="37" t="str">
        <f>IFERROR(LOOKUP(2,1/((HISTORIAL!$O$3:$O$160=D162&amp;"|"&amp;E162)*(HISTORIAL!$F$3:$F$160&lt;&gt;"")),HISTORIAL!$I$3:$I$160),"")</f>
        <v/>
      </c>
      <c r="K162" s="58" t="str">
        <f>IFERROR(IF(OR(G162="",N162="SIN"),"--",IF(N162="SUBIR_F",IF(F162="polea",IFERROR(INDEX(CONFIG!$B$25:$B$40,MATCH(G162,CONFIG!$B$25:$B$40,0)+2),IFERROR(INDEX(CONFIG!$B$25:$B$40,MATCH(G162,CONFIG!$B$25:$B$40,0)+1),G162)),G162+5),IF(OR(N162="SUBIR",N162="SUBIR_E"),IF(F162="polea",IFERROR(INDEX(CONFIG!$B$25:$B$40,MATCH(G162,CONFIG!$B$25:$B$40,0)+1),G162),G162+2.5),IF(N162="BAJAR",IF(F162="polea",IFERROR(INDEX(CONFIG!$B$25:$B$40,MAX(1,MATCH(G162,CONFIG!$B$25:$B$40,0)-1)),G162),MAX(0,G162-2.5)),G162)))),"--")</f>
        <v>--</v>
      </c>
      <c r="L162" s="59" t="str">
        <f>IFERROR(IF(N162="SIN","--",IF(N162="MANT",IF(H162="","--",H162+1),IFERROR(VLOOKUP(CONFIG!$E$2,CONFIG!$A$6:$E$8,2,0),"--"))),"--")</f>
        <v>--</v>
      </c>
      <c r="M162" s="59" t="str">
        <f>IFERROR(IF(N162="SIN","--",IF(CONFIG!$E$2="HIP",2,IF(CONFIG!$E$2="FUE",1,2))),"--")</f>
        <v>--</v>
      </c>
      <c r="N162" s="53" t="str">
        <f>IFERROR(IF(G162="","SIN",IF(O162=1,"SUBIR_E",IF(H162&lt;IFERROR(VLOOKUP(CONFIG!$E$2,CONFIG!$A$6:$E$8,2,0),6),"BAJAR",IF(H162+I162&gt;=IFERROR(VLOOKUP(CONFIG!$E$2,CONFIG!$A$6:$E$8,3,0),12),"SUBIR_F",IF(AND(H162&gt;=IFERROR(VLOOKUP(CONFIG!$E$2,CONFIG!$A$6:$E$8,2,0),6)+2,I162&gt;=2),"SUBIR",IF(I162&gt;IFERROR(VLOOKUP(CONFIG!$E$2,CONFIG!$A$6:$E$8,5,0),3),"SUBIR","MANT")))))),"SIN")</f>
        <v>SIN</v>
      </c>
      <c r="O162" s="55">
        <f>IF(COUNTIFS(HISTORIAL!$O$3:$O$160,D162&amp;"|"&amp;E162,HISTORIAL!$F$3:$F$160,"&gt;0")&lt;2,0,IF(COUNTIFS(HISTORIAL!$O$3:$O$160,D162&amp;"|"&amp;E162,HISTORIAL!$F$3:$F$160,IFERROR(LOOKUP(2,1/((HISTORIAL!$O$3:$O$160=D162&amp;"|"&amp;E162)*(HISTORIAL!$F$3:$F$160&gt;0)),HISTORIAL!$F$3:$F$160),0))&gt;=2,IF(IFERROR(LOOKUP(2,1/((HISTORIAL!$O$3:$O$160=D162&amp;"|"&amp;E162)*(HISTORIAL!$F$3:$F$160&gt;0)),HISTORIAL!$G$3:$G$160),0)&gt;0,IF(F162&gt;0,IF(G162&lt;=IFERROR(LOOKUP(2,1/((HISTORIAL!$O$3:$O$160=D162&amp;"|"&amp;E162)*(HISTORIAL!$F$3:$F$160&gt;0)),HISTORIAL!$G$3:$G$160),0),1,0),0),0),0))</f>
        <v>0</v>
      </c>
    </row>
    <row r="163" spans="1:15" ht="14.1" customHeight="1">
      <c r="A163" s="37">
        <v>3</v>
      </c>
      <c r="B163" s="37" t="s">
        <v>279</v>
      </c>
      <c r="C163" s="37">
        <v>12</v>
      </c>
      <c r="D163" s="56" t="str">
        <f>MIERCOLES!$A$71</f>
        <v>Crunch</v>
      </c>
      <c r="E163" s="57" t="str">
        <f>MIERCOLES!$B$71</f>
        <v>Polea</v>
      </c>
      <c r="F163" s="37" t="str">
        <f>MIERCOLES!$C$71</f>
        <v>polea</v>
      </c>
      <c r="G163" s="37" t="str">
        <f>IFERROR(LOOKUP(2,1/((HISTORIAL!$O$3:$O$161=D163&amp;"|"&amp;E163)*(HISTORIAL!$F$3:$F$161&lt;&gt;"")),HISTORIAL!$F$3:$F$161),"")</f>
        <v/>
      </c>
      <c r="H163" s="37" t="str">
        <f>IFERROR(LOOKUP(2,1/((HISTORIAL!$O$3:$O$161=D163&amp;"|"&amp;E163)*(HISTORIAL!$F$3:$F$161&lt;&gt;"")),HISTORIAL!$G$3:$G$161),"")</f>
        <v/>
      </c>
      <c r="I163" s="37" t="str">
        <f>IFERROR(LOOKUP(2,1/((HISTORIAL!$O$3:$O$161=D163&amp;"|"&amp;E163)*(HISTORIAL!$F$3:$F$161&lt;&gt;"")),HISTORIAL!$H$3:$H$161),"")</f>
        <v/>
      </c>
      <c r="J163" s="37" t="str">
        <f>IFERROR(LOOKUP(2,1/((HISTORIAL!$O$3:$O$161=D163&amp;"|"&amp;E163)*(HISTORIAL!$F$3:$F$161&lt;&gt;"")),HISTORIAL!$I$3:$I$161),"")</f>
        <v/>
      </c>
      <c r="K163" s="58" t="str">
        <f>IFERROR(IF(OR(G163="",N163="SIN"),"--",IF(N163="SUBIR_F",IF(F163="polea",IFERROR(INDEX(CONFIG!$B$25:$B$40,MATCH(G163,CONFIG!$B$25:$B$40,0)+2),IFERROR(INDEX(CONFIG!$B$25:$B$40,MATCH(G163,CONFIG!$B$25:$B$40,0)+1),G163)),G163+5),IF(OR(N163="SUBIR",N163="SUBIR_E"),IF(F163="polea",IFERROR(INDEX(CONFIG!$B$25:$B$40,MATCH(G163,CONFIG!$B$25:$B$40,0)+1),G163),G163+2.5),IF(N163="BAJAR",IF(F163="polea",IFERROR(INDEX(CONFIG!$B$25:$B$40,MAX(1,MATCH(G163,CONFIG!$B$25:$B$40,0)-1)),G163),MAX(0,G163-2.5)),G163)))),"--")</f>
        <v>--</v>
      </c>
      <c r="L163" s="59" t="str">
        <f>IFERROR(IF(N163="SIN","--",IF(N163="MANT",IF(H163="","--",H163+1),IFERROR(VLOOKUP(CONFIG!$E$2,CONFIG!$A$6:$E$8,2,0),"--"))),"--")</f>
        <v>--</v>
      </c>
      <c r="M163" s="59" t="str">
        <f>IFERROR(IF(N163="SIN","--",IF(CONFIG!$E$2="HIP",2,IF(CONFIG!$E$2="FUE",1,2))),"--")</f>
        <v>--</v>
      </c>
      <c r="N163" s="53" t="str">
        <f>IFERROR(IF(G163="","SIN",IF(O163=1,"SUBIR_E",IF(H163&lt;IFERROR(VLOOKUP(CONFIG!$E$2,CONFIG!$A$6:$E$8,2,0),6),"BAJAR",IF(H163+I163&gt;=IFERROR(VLOOKUP(CONFIG!$E$2,CONFIG!$A$6:$E$8,3,0),12),"SUBIR_F",IF(AND(H163&gt;=IFERROR(VLOOKUP(CONFIG!$E$2,CONFIG!$A$6:$E$8,2,0),6)+2,I163&gt;=2),"SUBIR",IF(I163&gt;IFERROR(VLOOKUP(CONFIG!$E$2,CONFIG!$A$6:$E$8,5,0),3),"SUBIR","MANT")))))),"SIN")</f>
        <v>SIN</v>
      </c>
      <c r="O163" s="55">
        <f>IF(COUNTIFS(HISTORIAL!$O$3:$O$161,D163&amp;"|"&amp;E163,HISTORIAL!$F$3:$F$161,"&gt;0")&lt;2,0,IF(COUNTIFS(HISTORIAL!$O$3:$O$161,D163&amp;"|"&amp;E163,HISTORIAL!$F$3:$F$161,IFERROR(LOOKUP(2,1/((HISTORIAL!$O$3:$O$161=D163&amp;"|"&amp;E163)*(HISTORIAL!$F$3:$F$161&gt;0)),HISTORIAL!$F$3:$F$161),0))&gt;=2,IF(IFERROR(LOOKUP(2,1/((HISTORIAL!$O$3:$O$161=D163&amp;"|"&amp;E163)*(HISTORIAL!$F$3:$F$161&gt;0)),HISTORIAL!$G$3:$G$161),0)&gt;0,IF(F163&gt;0,IF(G163&lt;=IFERROR(LOOKUP(2,1/((HISTORIAL!$O$3:$O$161=D163&amp;"|"&amp;E163)*(HISTORIAL!$F$3:$F$161&gt;0)),HISTORIAL!$G$3:$G$161),0),1,0),0),0),0))</f>
        <v>0</v>
      </c>
    </row>
    <row r="164" spans="1:15" ht="14.1" customHeight="1">
      <c r="A164" s="37">
        <v>3</v>
      </c>
      <c r="B164" s="37" t="s">
        <v>279</v>
      </c>
      <c r="C164" s="37">
        <v>13</v>
      </c>
      <c r="D164" s="56" t="str">
        <f>MIERCOLES!$A$72</f>
        <v>Plancha</v>
      </c>
      <c r="E164" s="57" t="str">
        <f>MIERCOLES!$B$72</f>
        <v>Abdominal</v>
      </c>
      <c r="F164" s="37" t="str">
        <f>MIERCOLES!$C$72</f>
        <v>--</v>
      </c>
      <c r="G164" s="37" t="str">
        <f>IFERROR(LOOKUP(2,1/((HISTORIAL!$O$3:$O$162=D164&amp;"|"&amp;E164)*(HISTORIAL!$F$3:$F$162&lt;&gt;"")),HISTORIAL!$F$3:$F$162),"")</f>
        <v/>
      </c>
      <c r="H164" s="37" t="str">
        <f>IFERROR(LOOKUP(2,1/((HISTORIAL!$O$3:$O$162=D164&amp;"|"&amp;E164)*(HISTORIAL!$F$3:$F$162&lt;&gt;"")),HISTORIAL!$G$3:$G$162),"")</f>
        <v/>
      </c>
      <c r="I164" s="37" t="str">
        <f>IFERROR(LOOKUP(2,1/((HISTORIAL!$O$3:$O$162=D164&amp;"|"&amp;E164)*(HISTORIAL!$F$3:$F$162&lt;&gt;"")),HISTORIAL!$H$3:$H$162),"")</f>
        <v/>
      </c>
      <c r="J164" s="37" t="str">
        <f>IFERROR(LOOKUP(2,1/((HISTORIAL!$O$3:$O$162=D164&amp;"|"&amp;E164)*(HISTORIAL!$F$3:$F$162&lt;&gt;"")),HISTORIAL!$I$3:$I$162),"")</f>
        <v/>
      </c>
      <c r="K164" s="58" t="str">
        <f>IFERROR(IF(OR(G164="",N164="SIN"),"--",IF(N164="SUBIR_F",IF(F164="polea",IFERROR(INDEX(CONFIG!$B$25:$B$40,MATCH(G164,CONFIG!$B$25:$B$40,0)+2),IFERROR(INDEX(CONFIG!$B$25:$B$40,MATCH(G164,CONFIG!$B$25:$B$40,0)+1),G164)),G164+5),IF(OR(N164="SUBIR",N164="SUBIR_E"),IF(F164="polea",IFERROR(INDEX(CONFIG!$B$25:$B$40,MATCH(G164,CONFIG!$B$25:$B$40,0)+1),G164),G164+2.5),IF(N164="BAJAR",IF(F164="polea",IFERROR(INDEX(CONFIG!$B$25:$B$40,MAX(1,MATCH(G164,CONFIG!$B$25:$B$40,0)-1)),G164),MAX(0,G164-2.5)),G164)))),"--")</f>
        <v>--</v>
      </c>
      <c r="L164" s="59" t="str">
        <f>IFERROR(IF(N164="SIN","--",IF(N164="MANT",IF(H164="","--",H164+1),IFERROR(VLOOKUP(CONFIG!$E$2,CONFIG!$A$6:$E$8,2,0),"--"))),"--")</f>
        <v>--</v>
      </c>
      <c r="M164" s="59" t="str">
        <f>IFERROR(IF(N164="SIN","--",IF(CONFIG!$E$2="HIP",2,IF(CONFIG!$E$2="FUE",1,2))),"--")</f>
        <v>--</v>
      </c>
      <c r="N164" s="53" t="str">
        <f>IFERROR(IF(G164="","SIN",IF(O164=1,"SUBIR_E",IF(H164&lt;IFERROR(VLOOKUP(CONFIG!$E$2,CONFIG!$A$6:$E$8,2,0),6),"BAJAR",IF(H164+I164&gt;=IFERROR(VLOOKUP(CONFIG!$E$2,CONFIG!$A$6:$E$8,3,0),12),"SUBIR_F",IF(AND(H164&gt;=IFERROR(VLOOKUP(CONFIG!$E$2,CONFIG!$A$6:$E$8,2,0),6)+2,I164&gt;=2),"SUBIR",IF(I164&gt;IFERROR(VLOOKUP(CONFIG!$E$2,CONFIG!$A$6:$E$8,5,0),3),"SUBIR","MANT")))))),"SIN")</f>
        <v>SIN</v>
      </c>
      <c r="O164" s="55">
        <f>IF(COUNTIFS(HISTORIAL!$O$3:$O$162,D164&amp;"|"&amp;E164,HISTORIAL!$F$3:$F$162,"&gt;0")&lt;2,0,IF(COUNTIFS(HISTORIAL!$O$3:$O$162,D164&amp;"|"&amp;E164,HISTORIAL!$F$3:$F$162,IFERROR(LOOKUP(2,1/((HISTORIAL!$O$3:$O$162=D164&amp;"|"&amp;E164)*(HISTORIAL!$F$3:$F$162&gt;0)),HISTORIAL!$F$3:$F$162),0))&gt;=2,IF(IFERROR(LOOKUP(2,1/((HISTORIAL!$O$3:$O$162=D164&amp;"|"&amp;E164)*(HISTORIAL!$F$3:$F$162&gt;0)),HISTORIAL!$G$3:$G$162),0)&gt;0,IF(F164&gt;0,IF(G164&lt;=IFERROR(LOOKUP(2,1/((HISTORIAL!$O$3:$O$162=D164&amp;"|"&amp;E164)*(HISTORIAL!$F$3:$F$162&gt;0)),HISTORIAL!$G$3:$G$162),0),1,0),0),0),0))</f>
        <v>0</v>
      </c>
    </row>
    <row r="165" spans="1:15" ht="14.1" customHeight="1">
      <c r="A165" s="37">
        <v>3</v>
      </c>
      <c r="B165" s="37" t="s">
        <v>279</v>
      </c>
      <c r="C165" s="37">
        <v>14</v>
      </c>
      <c r="D165" s="56" t="str">
        <f>MIERCOLES!$A$73</f>
        <v>Rueda Abdominal</v>
      </c>
      <c r="E165" s="57" t="str">
        <f>MIERCOLES!$B$73</f>
        <v>Ab Wheel</v>
      </c>
      <c r="F165" s="37" t="str">
        <f>MIERCOLES!$C$73</f>
        <v>--</v>
      </c>
      <c r="G165" s="37" t="str">
        <f>IFERROR(LOOKUP(2,1/((HISTORIAL!$O$3:$O$163=D165&amp;"|"&amp;E165)*(HISTORIAL!$F$3:$F$163&lt;&gt;"")),HISTORIAL!$F$3:$F$163),"")</f>
        <v/>
      </c>
      <c r="H165" s="37" t="str">
        <f>IFERROR(LOOKUP(2,1/((HISTORIAL!$O$3:$O$163=D165&amp;"|"&amp;E165)*(HISTORIAL!$F$3:$F$163&lt;&gt;"")),HISTORIAL!$G$3:$G$163),"")</f>
        <v/>
      </c>
      <c r="I165" s="37" t="str">
        <f>IFERROR(LOOKUP(2,1/((HISTORIAL!$O$3:$O$163=D165&amp;"|"&amp;E165)*(HISTORIAL!$F$3:$F$163&lt;&gt;"")),HISTORIAL!$H$3:$H$163),"")</f>
        <v/>
      </c>
      <c r="J165" s="37" t="str">
        <f>IFERROR(LOOKUP(2,1/((HISTORIAL!$O$3:$O$163=D165&amp;"|"&amp;E165)*(HISTORIAL!$F$3:$F$163&lt;&gt;"")),HISTORIAL!$I$3:$I$163),"")</f>
        <v/>
      </c>
      <c r="K165" s="58" t="str">
        <f>IFERROR(IF(OR(G165="",N165="SIN"),"--",IF(N165="SUBIR_F",IF(F165="polea",IFERROR(INDEX(CONFIG!$B$25:$B$40,MATCH(G165,CONFIG!$B$25:$B$40,0)+2),IFERROR(INDEX(CONFIG!$B$25:$B$40,MATCH(G165,CONFIG!$B$25:$B$40,0)+1),G165)),G165+5),IF(OR(N165="SUBIR",N165="SUBIR_E"),IF(F165="polea",IFERROR(INDEX(CONFIG!$B$25:$B$40,MATCH(G165,CONFIG!$B$25:$B$40,0)+1),G165),G165+2.5),IF(N165="BAJAR",IF(F165="polea",IFERROR(INDEX(CONFIG!$B$25:$B$40,MAX(1,MATCH(G165,CONFIG!$B$25:$B$40,0)-1)),G165),MAX(0,G165-2.5)),G165)))),"--")</f>
        <v>--</v>
      </c>
      <c r="L165" s="59" t="str">
        <f>IFERROR(IF(N165="SIN","--",IF(N165="MANT",IF(H165="","--",H165+1),IFERROR(VLOOKUP(CONFIG!$E$2,CONFIG!$A$6:$E$8,2,0),"--"))),"--")</f>
        <v>--</v>
      </c>
      <c r="M165" s="59" t="str">
        <f>IFERROR(IF(N165="SIN","--",IF(CONFIG!$E$2="HIP",2,IF(CONFIG!$E$2="FUE",1,2))),"--")</f>
        <v>--</v>
      </c>
      <c r="N165" s="53" t="str">
        <f>IFERROR(IF(G165="","SIN",IF(O165=1,"SUBIR_E",IF(H165&lt;IFERROR(VLOOKUP(CONFIG!$E$2,CONFIG!$A$6:$E$8,2,0),6),"BAJAR",IF(H165+I165&gt;=IFERROR(VLOOKUP(CONFIG!$E$2,CONFIG!$A$6:$E$8,3,0),12),"SUBIR_F",IF(AND(H165&gt;=IFERROR(VLOOKUP(CONFIG!$E$2,CONFIG!$A$6:$E$8,2,0),6)+2,I165&gt;=2),"SUBIR",IF(I165&gt;IFERROR(VLOOKUP(CONFIG!$E$2,CONFIG!$A$6:$E$8,5,0),3),"SUBIR","MANT")))))),"SIN")</f>
        <v>SIN</v>
      </c>
      <c r="O165" s="55">
        <f>IF(COUNTIFS(HISTORIAL!$O$3:$O$163,D165&amp;"|"&amp;E165,HISTORIAL!$F$3:$F$163,"&gt;0")&lt;2,0,IF(COUNTIFS(HISTORIAL!$O$3:$O$163,D165&amp;"|"&amp;E165,HISTORIAL!$F$3:$F$163,IFERROR(LOOKUP(2,1/((HISTORIAL!$O$3:$O$163=D165&amp;"|"&amp;E165)*(HISTORIAL!$F$3:$F$163&gt;0)),HISTORIAL!$F$3:$F$163),0))&gt;=2,IF(IFERROR(LOOKUP(2,1/((HISTORIAL!$O$3:$O$163=D165&amp;"|"&amp;E165)*(HISTORIAL!$F$3:$F$163&gt;0)),HISTORIAL!$G$3:$G$163),0)&gt;0,IF(F165&gt;0,IF(G165&lt;=IFERROR(LOOKUP(2,1/((HISTORIAL!$O$3:$O$163=D165&amp;"|"&amp;E165)*(HISTORIAL!$F$3:$F$163&gt;0)),HISTORIAL!$G$3:$G$163),0),1,0),0),0),0))</f>
        <v>0</v>
      </c>
    </row>
    <row r="166" spans="1:15" ht="14.1" customHeight="1">
      <c r="A166" s="37">
        <v>3</v>
      </c>
      <c r="B166" s="37" t="s">
        <v>279</v>
      </c>
      <c r="C166" s="37">
        <v>15</v>
      </c>
      <c r="D166" s="56" t="str">
        <f>MIERCOLES!$A$74</f>
        <v>Elevacion Piernas</v>
      </c>
      <c r="E166" s="57" t="str">
        <f>MIERCOLES!$B$74</f>
        <v>Colgado</v>
      </c>
      <c r="F166" s="37" t="str">
        <f>MIERCOLES!$C$74</f>
        <v>peso_corporal</v>
      </c>
      <c r="G166" s="37" t="str">
        <f>IFERROR(LOOKUP(2,1/((HISTORIAL!$O$3:$O$164=D166&amp;"|"&amp;E166)*(HISTORIAL!$F$3:$F$164&lt;&gt;"")),HISTORIAL!$F$3:$F$164),"")</f>
        <v/>
      </c>
      <c r="H166" s="37" t="str">
        <f>IFERROR(LOOKUP(2,1/((HISTORIAL!$O$3:$O$164=D166&amp;"|"&amp;E166)*(HISTORIAL!$F$3:$F$164&lt;&gt;"")),HISTORIAL!$G$3:$G$164),"")</f>
        <v/>
      </c>
      <c r="I166" s="37" t="str">
        <f>IFERROR(LOOKUP(2,1/((HISTORIAL!$O$3:$O$164=D166&amp;"|"&amp;E166)*(HISTORIAL!$F$3:$F$164&lt;&gt;"")),HISTORIAL!$H$3:$H$164),"")</f>
        <v/>
      </c>
      <c r="J166" s="37" t="str">
        <f>IFERROR(LOOKUP(2,1/((HISTORIAL!$O$3:$O$164=D166&amp;"|"&amp;E166)*(HISTORIAL!$F$3:$F$164&lt;&gt;"")),HISTORIAL!$I$3:$I$164),"")</f>
        <v/>
      </c>
      <c r="K166" s="58" t="str">
        <f>IFERROR(IF(OR(G166="",N166="SIN"),"--",IF(N166="SUBIR_F",IF(F166="polea",IFERROR(INDEX(CONFIG!$B$25:$B$40,MATCH(G166,CONFIG!$B$25:$B$40,0)+2),IFERROR(INDEX(CONFIG!$B$25:$B$40,MATCH(G166,CONFIG!$B$25:$B$40,0)+1),G166)),G166+5),IF(OR(N166="SUBIR",N166="SUBIR_E"),IF(F166="polea",IFERROR(INDEX(CONFIG!$B$25:$B$40,MATCH(G166,CONFIG!$B$25:$B$40,0)+1),G166),G166+2.5),IF(N166="BAJAR",IF(F166="polea",IFERROR(INDEX(CONFIG!$B$25:$B$40,MAX(1,MATCH(G166,CONFIG!$B$25:$B$40,0)-1)),G166),MAX(0,G166-2.5)),G166)))),"--")</f>
        <v>--</v>
      </c>
      <c r="L166" s="59" t="str">
        <f>IFERROR(IF(N166="SIN","--",IF(N166="MANT",IF(H166="","--",H166+1),IFERROR(VLOOKUP(CONFIG!$E$2,CONFIG!$A$6:$E$8,2,0),"--"))),"--")</f>
        <v>--</v>
      </c>
      <c r="M166" s="59" t="str">
        <f>IFERROR(IF(N166="SIN","--",IF(CONFIG!$E$2="HIP",2,IF(CONFIG!$E$2="FUE",1,2))),"--")</f>
        <v>--</v>
      </c>
      <c r="N166" s="53" t="str">
        <f>IFERROR(IF(G166="","SIN",IF(O166=1,"SUBIR_E",IF(H166&lt;IFERROR(VLOOKUP(CONFIG!$E$2,CONFIG!$A$6:$E$8,2,0),6),"BAJAR",IF(H166+I166&gt;=IFERROR(VLOOKUP(CONFIG!$E$2,CONFIG!$A$6:$E$8,3,0),12),"SUBIR_F",IF(AND(H166&gt;=IFERROR(VLOOKUP(CONFIG!$E$2,CONFIG!$A$6:$E$8,2,0),6)+2,I166&gt;=2),"SUBIR",IF(I166&gt;IFERROR(VLOOKUP(CONFIG!$E$2,CONFIG!$A$6:$E$8,5,0),3),"SUBIR","MANT")))))),"SIN")</f>
        <v>SIN</v>
      </c>
      <c r="O166" s="55">
        <f>IF(COUNTIFS(HISTORIAL!$O$3:$O$164,D166&amp;"|"&amp;E166,HISTORIAL!$F$3:$F$164,"&gt;0")&lt;2,0,IF(COUNTIFS(HISTORIAL!$O$3:$O$164,D166&amp;"|"&amp;E166,HISTORIAL!$F$3:$F$164,IFERROR(LOOKUP(2,1/((HISTORIAL!$O$3:$O$164=D166&amp;"|"&amp;E166)*(HISTORIAL!$F$3:$F$164&gt;0)),HISTORIAL!$F$3:$F$164),0))&gt;=2,IF(IFERROR(LOOKUP(2,1/((HISTORIAL!$O$3:$O$164=D166&amp;"|"&amp;E166)*(HISTORIAL!$F$3:$F$164&gt;0)),HISTORIAL!$G$3:$G$164),0)&gt;0,IF(F166&gt;0,IF(G166&lt;=IFERROR(LOOKUP(2,1/((HISTORIAL!$O$3:$O$164=D166&amp;"|"&amp;E166)*(HISTORIAL!$F$3:$F$164&gt;0)),HISTORIAL!$G$3:$G$164),0),1,0),0),0),0))</f>
        <v>0</v>
      </c>
    </row>
    <row r="167" spans="1:15" ht="14.1" customHeight="1">
      <c r="A167" s="37">
        <v>3</v>
      </c>
      <c r="B167" s="37" t="s">
        <v>280</v>
      </c>
      <c r="C167" s="37">
        <v>1</v>
      </c>
      <c r="D167" s="56" t="str">
        <f>JUEVES!$A$62</f>
        <v>Press Militar</v>
      </c>
      <c r="E167" s="57" t="str">
        <f>JUEVES!$B$62</f>
        <v>Multipower</v>
      </c>
      <c r="F167" s="37" t="str">
        <f>JUEVES!$C$62</f>
        <v>--</v>
      </c>
      <c r="G167" s="37" t="str">
        <f>IFERROR(LOOKUP(2,1/((HISTORIAL!$O$3:$O$165=D167&amp;"|"&amp;E167)*(HISTORIAL!$F$3:$F$165&lt;&gt;"")),HISTORIAL!$F$3:$F$165),"")</f>
        <v/>
      </c>
      <c r="H167" s="37" t="str">
        <f>IFERROR(LOOKUP(2,1/((HISTORIAL!$O$3:$O$165=D167&amp;"|"&amp;E167)*(HISTORIAL!$F$3:$F$165&lt;&gt;"")),HISTORIAL!$G$3:$G$165),"")</f>
        <v/>
      </c>
      <c r="I167" s="37" t="str">
        <f>IFERROR(LOOKUP(2,1/((HISTORIAL!$O$3:$O$165=D167&amp;"|"&amp;E167)*(HISTORIAL!$F$3:$F$165&lt;&gt;"")),HISTORIAL!$H$3:$H$165),"")</f>
        <v/>
      </c>
      <c r="J167" s="37" t="str">
        <f>IFERROR(LOOKUP(2,1/((HISTORIAL!$O$3:$O$165=D167&amp;"|"&amp;E167)*(HISTORIAL!$F$3:$F$165&lt;&gt;"")),HISTORIAL!$I$3:$I$165),"")</f>
        <v/>
      </c>
      <c r="K167" s="58" t="str">
        <f>IFERROR(IF(OR(G167="",N167="SIN"),"--",IF(N167="SUBIR_F",IF(F167="polea",IFERROR(INDEX(CONFIG!$B$25:$B$40,MATCH(G167,CONFIG!$B$25:$B$40,0)+2),IFERROR(INDEX(CONFIG!$B$25:$B$40,MATCH(G167,CONFIG!$B$25:$B$40,0)+1),G167)),G167+5),IF(OR(N167="SUBIR",N167="SUBIR_E"),IF(F167="polea",IFERROR(INDEX(CONFIG!$B$25:$B$40,MATCH(G167,CONFIG!$B$25:$B$40,0)+1),G167),G167+2.5),IF(N167="BAJAR",IF(F167="polea",IFERROR(INDEX(CONFIG!$B$25:$B$40,MAX(1,MATCH(G167,CONFIG!$B$25:$B$40,0)-1)),G167),MAX(0,G167-2.5)),G167)))),"--")</f>
        <v>--</v>
      </c>
      <c r="L167" s="59" t="str">
        <f>IFERROR(IF(N167="SIN","--",IF(N167="MANT",IF(H167="","--",H167+1),IFERROR(VLOOKUP(CONFIG!$E$2,CONFIG!$A$6:$E$8,2,0),"--"))),"--")</f>
        <v>--</v>
      </c>
      <c r="M167" s="59" t="str">
        <f>IFERROR(IF(N167="SIN","--",IF(CONFIG!$E$2="HIP",2,IF(CONFIG!$E$2="FUE",1,2))),"--")</f>
        <v>--</v>
      </c>
      <c r="N167" s="53" t="str">
        <f>IFERROR(IF(G167="","SIN",IF(O167=1,"SUBIR_E",IF(H167&lt;IFERROR(VLOOKUP(CONFIG!$E$2,CONFIG!$A$6:$E$8,2,0),6),"BAJAR",IF(H167+I167&gt;=IFERROR(VLOOKUP(CONFIG!$E$2,CONFIG!$A$6:$E$8,3,0),12),"SUBIR_F",IF(AND(H167&gt;=IFERROR(VLOOKUP(CONFIG!$E$2,CONFIG!$A$6:$E$8,2,0),6)+2,I167&gt;=2),"SUBIR",IF(I167&gt;IFERROR(VLOOKUP(CONFIG!$E$2,CONFIG!$A$6:$E$8,5,0),3),"SUBIR","MANT")))))),"SIN")</f>
        <v>SIN</v>
      </c>
      <c r="O167" s="55">
        <f>IF(COUNTIFS(HISTORIAL!$O$3:$O$165,D167&amp;"|"&amp;E167,HISTORIAL!$F$3:$F$165,"&gt;0")&lt;2,0,IF(COUNTIFS(HISTORIAL!$O$3:$O$165,D167&amp;"|"&amp;E167,HISTORIAL!$F$3:$F$165,IFERROR(LOOKUP(2,1/((HISTORIAL!$O$3:$O$165=D167&amp;"|"&amp;E167)*(HISTORIAL!$F$3:$F$165&gt;0)),HISTORIAL!$F$3:$F$165),0))&gt;=2,IF(IFERROR(LOOKUP(2,1/((HISTORIAL!$O$3:$O$165=D167&amp;"|"&amp;E167)*(HISTORIAL!$F$3:$F$165&gt;0)),HISTORIAL!$G$3:$G$165),0)&gt;0,IF(F167&gt;0,IF(G167&lt;=IFERROR(LOOKUP(2,1/((HISTORIAL!$O$3:$O$165=D167&amp;"|"&amp;E167)*(HISTORIAL!$F$3:$F$165&gt;0)),HISTORIAL!$G$3:$G$165),0),1,0),0),0),0))</f>
        <v>0</v>
      </c>
    </row>
    <row r="168" spans="1:15" ht="14.1" customHeight="1">
      <c r="A168" s="37">
        <v>3</v>
      </c>
      <c r="B168" s="37" t="s">
        <v>280</v>
      </c>
      <c r="C168" s="37">
        <v>2</v>
      </c>
      <c r="D168" s="56" t="str">
        <f>JUEVES!$A$63</f>
        <v>Elevaciones Laterales</v>
      </c>
      <c r="E168" s="57" t="str">
        <f>JUEVES!$B$63</f>
        <v>Drop Set Maquina</v>
      </c>
      <c r="F168" s="37" t="str">
        <f>JUEVES!$C$63</f>
        <v>--</v>
      </c>
      <c r="G168" s="37" t="str">
        <f>IFERROR(LOOKUP(2,1/((HISTORIAL!$O$3:$O$166=D168&amp;"|"&amp;E168)*(HISTORIAL!$F$3:$F$166&lt;&gt;"")),HISTORIAL!$F$3:$F$166),"")</f>
        <v/>
      </c>
      <c r="H168" s="37" t="str">
        <f>IFERROR(LOOKUP(2,1/((HISTORIAL!$O$3:$O$166=D168&amp;"|"&amp;E168)*(HISTORIAL!$F$3:$F$166&lt;&gt;"")),HISTORIAL!$G$3:$G$166),"")</f>
        <v/>
      </c>
      <c r="I168" s="37" t="str">
        <f>IFERROR(LOOKUP(2,1/((HISTORIAL!$O$3:$O$166=D168&amp;"|"&amp;E168)*(HISTORIAL!$F$3:$F$166&lt;&gt;"")),HISTORIAL!$H$3:$H$166),"")</f>
        <v/>
      </c>
      <c r="J168" s="37" t="str">
        <f>IFERROR(LOOKUP(2,1/((HISTORIAL!$O$3:$O$166=D168&amp;"|"&amp;E168)*(HISTORIAL!$F$3:$F$166&lt;&gt;"")),HISTORIAL!$I$3:$I$166),"")</f>
        <v/>
      </c>
      <c r="K168" s="58" t="str">
        <f>IFERROR(IF(OR(G168="",N168="SIN"),"--",IF(N168="SUBIR_F",IF(F168="polea",IFERROR(INDEX(CONFIG!$B$25:$B$40,MATCH(G168,CONFIG!$B$25:$B$40,0)+2),IFERROR(INDEX(CONFIG!$B$25:$B$40,MATCH(G168,CONFIG!$B$25:$B$40,0)+1),G168)),G168+5),IF(OR(N168="SUBIR",N168="SUBIR_E"),IF(F168="polea",IFERROR(INDEX(CONFIG!$B$25:$B$40,MATCH(G168,CONFIG!$B$25:$B$40,0)+1),G168),G168+2.5),IF(N168="BAJAR",IF(F168="polea",IFERROR(INDEX(CONFIG!$B$25:$B$40,MAX(1,MATCH(G168,CONFIG!$B$25:$B$40,0)-1)),G168),MAX(0,G168-2.5)),G168)))),"--")</f>
        <v>--</v>
      </c>
      <c r="L168" s="59" t="str">
        <f>IFERROR(IF(N168="SIN","--",IF(N168="MANT",IF(H168="","--",H168+1),IFERROR(VLOOKUP(CONFIG!$E$2,CONFIG!$A$6:$E$8,2,0),"--"))),"--")</f>
        <v>--</v>
      </c>
      <c r="M168" s="59" t="str">
        <f>IFERROR(IF(N168="SIN","--",IF(CONFIG!$E$2="HIP",2,IF(CONFIG!$E$2="FUE",1,2))),"--")</f>
        <v>--</v>
      </c>
      <c r="N168" s="53" t="str">
        <f>IFERROR(IF(G168="","SIN",IF(O168=1,"SUBIR_E",IF(H168&lt;IFERROR(VLOOKUP(CONFIG!$E$2,CONFIG!$A$6:$E$8,2,0),6),"BAJAR",IF(H168+I168&gt;=IFERROR(VLOOKUP(CONFIG!$E$2,CONFIG!$A$6:$E$8,3,0),12),"SUBIR_F",IF(AND(H168&gt;=IFERROR(VLOOKUP(CONFIG!$E$2,CONFIG!$A$6:$E$8,2,0),6)+2,I168&gt;=2),"SUBIR",IF(I168&gt;IFERROR(VLOOKUP(CONFIG!$E$2,CONFIG!$A$6:$E$8,5,0),3),"SUBIR","MANT")))))),"SIN")</f>
        <v>SIN</v>
      </c>
      <c r="O168" s="55">
        <f>IF(COUNTIFS(HISTORIAL!$O$3:$O$166,D168&amp;"|"&amp;E168,HISTORIAL!$F$3:$F$166,"&gt;0")&lt;2,0,IF(COUNTIFS(HISTORIAL!$O$3:$O$166,D168&amp;"|"&amp;E168,HISTORIAL!$F$3:$F$166,IFERROR(LOOKUP(2,1/((HISTORIAL!$O$3:$O$166=D168&amp;"|"&amp;E168)*(HISTORIAL!$F$3:$F$166&gt;0)),HISTORIAL!$F$3:$F$166),0))&gt;=2,IF(IFERROR(LOOKUP(2,1/((HISTORIAL!$O$3:$O$166=D168&amp;"|"&amp;E168)*(HISTORIAL!$F$3:$F$166&gt;0)),HISTORIAL!$G$3:$G$166),0)&gt;0,IF(F168&gt;0,IF(G168&lt;=IFERROR(LOOKUP(2,1/((HISTORIAL!$O$3:$O$166=D168&amp;"|"&amp;E168)*(HISTORIAL!$F$3:$F$166&gt;0)),HISTORIAL!$G$3:$G$166),0),1,0),0),0),0))</f>
        <v>0</v>
      </c>
    </row>
    <row r="169" spans="1:15" ht="14.1" customHeight="1">
      <c r="A169" s="37">
        <v>3</v>
      </c>
      <c r="B169" s="37" t="s">
        <v>280</v>
      </c>
      <c r="C169" s="37">
        <v>3</v>
      </c>
      <c r="D169" s="56" t="str">
        <f>JUEVES!$A$65</f>
        <v>Pajaro</v>
      </c>
      <c r="E169" s="57" t="str">
        <f>JUEVES!$B$65</f>
        <v>Elevacion Posterior</v>
      </c>
      <c r="F169" s="37" t="str">
        <f>JUEVES!$C$65</f>
        <v>mancuerna</v>
      </c>
      <c r="G169" s="37" t="str">
        <f>IFERROR(LOOKUP(2,1/((HISTORIAL!$O$3:$O$167=D169&amp;"|"&amp;E169)*(HISTORIAL!$F$3:$F$167&lt;&gt;"")),HISTORIAL!$F$3:$F$167),"")</f>
        <v/>
      </c>
      <c r="H169" s="37" t="str">
        <f>IFERROR(LOOKUP(2,1/((HISTORIAL!$O$3:$O$167=D169&amp;"|"&amp;E169)*(HISTORIAL!$F$3:$F$167&lt;&gt;"")),HISTORIAL!$G$3:$G$167),"")</f>
        <v/>
      </c>
      <c r="I169" s="37" t="str">
        <f>IFERROR(LOOKUP(2,1/((HISTORIAL!$O$3:$O$167=D169&amp;"|"&amp;E169)*(HISTORIAL!$F$3:$F$167&lt;&gt;"")),HISTORIAL!$H$3:$H$167),"")</f>
        <v/>
      </c>
      <c r="J169" s="37" t="str">
        <f>IFERROR(LOOKUP(2,1/((HISTORIAL!$O$3:$O$167=D169&amp;"|"&amp;E169)*(HISTORIAL!$F$3:$F$167&lt;&gt;"")),HISTORIAL!$I$3:$I$167),"")</f>
        <v/>
      </c>
      <c r="K169" s="58" t="str">
        <f>IFERROR(IF(OR(G169="",N169="SIN"),"--",IF(N169="SUBIR_F",IF(F169="polea",IFERROR(INDEX(CONFIG!$B$25:$B$40,MATCH(G169,CONFIG!$B$25:$B$40,0)+2),IFERROR(INDEX(CONFIG!$B$25:$B$40,MATCH(G169,CONFIG!$B$25:$B$40,0)+1),G169)),G169+5),IF(OR(N169="SUBIR",N169="SUBIR_E"),IF(F169="polea",IFERROR(INDEX(CONFIG!$B$25:$B$40,MATCH(G169,CONFIG!$B$25:$B$40,0)+1),G169),G169+2.5),IF(N169="BAJAR",IF(F169="polea",IFERROR(INDEX(CONFIG!$B$25:$B$40,MAX(1,MATCH(G169,CONFIG!$B$25:$B$40,0)-1)),G169),MAX(0,G169-2.5)),G169)))),"--")</f>
        <v>--</v>
      </c>
      <c r="L169" s="59" t="str">
        <f>IFERROR(IF(N169="SIN","--",IF(N169="MANT",IF(H169="","--",H169+1),IFERROR(VLOOKUP(CONFIG!$E$2,CONFIG!$A$6:$E$8,2,0),"--"))),"--")</f>
        <v>--</v>
      </c>
      <c r="M169" s="59" t="str">
        <f>IFERROR(IF(N169="SIN","--",IF(CONFIG!$E$2="HIP",2,IF(CONFIG!$E$2="FUE",1,2))),"--")</f>
        <v>--</v>
      </c>
      <c r="N169" s="53" t="str">
        <f>IFERROR(IF(G169="","SIN",IF(O169=1,"SUBIR_E",IF(H169&lt;IFERROR(VLOOKUP(CONFIG!$E$2,CONFIG!$A$6:$E$8,2,0),6),"BAJAR",IF(H169+I169&gt;=IFERROR(VLOOKUP(CONFIG!$E$2,CONFIG!$A$6:$E$8,3,0),12),"SUBIR_F",IF(AND(H169&gt;=IFERROR(VLOOKUP(CONFIG!$E$2,CONFIG!$A$6:$E$8,2,0),6)+2,I169&gt;=2),"SUBIR",IF(I169&gt;IFERROR(VLOOKUP(CONFIG!$E$2,CONFIG!$A$6:$E$8,5,0),3),"SUBIR","MANT")))))),"SIN")</f>
        <v>SIN</v>
      </c>
      <c r="O169" s="55">
        <f>IF(COUNTIFS(HISTORIAL!$O$3:$O$167,D169&amp;"|"&amp;E169,HISTORIAL!$F$3:$F$167,"&gt;0")&lt;2,0,IF(COUNTIFS(HISTORIAL!$O$3:$O$167,D169&amp;"|"&amp;E169,HISTORIAL!$F$3:$F$167,IFERROR(LOOKUP(2,1/((HISTORIAL!$O$3:$O$167=D169&amp;"|"&amp;E169)*(HISTORIAL!$F$3:$F$167&gt;0)),HISTORIAL!$F$3:$F$167),0))&gt;=2,IF(IFERROR(LOOKUP(2,1/((HISTORIAL!$O$3:$O$167=D169&amp;"|"&amp;E169)*(HISTORIAL!$F$3:$F$167&gt;0)),HISTORIAL!$G$3:$G$167),0)&gt;0,IF(F169&gt;0,IF(G169&lt;=IFERROR(LOOKUP(2,1/((HISTORIAL!$O$3:$O$167=D169&amp;"|"&amp;E169)*(HISTORIAL!$F$3:$F$167&gt;0)),HISTORIAL!$G$3:$G$167),0),1,0),0),0),0))</f>
        <v>0</v>
      </c>
    </row>
    <row r="170" spans="1:15" ht="14.1" customHeight="1">
      <c r="A170" s="37">
        <v>3</v>
      </c>
      <c r="B170" s="37" t="s">
        <v>280</v>
      </c>
      <c r="C170" s="37">
        <v>4</v>
      </c>
      <c r="D170" s="56" t="str">
        <f>JUEVES!$A$66</f>
        <v>Peck Deck Invertida</v>
      </c>
      <c r="E170" s="57" t="str">
        <f>JUEVES!$B$66</f>
        <v>Maquina</v>
      </c>
      <c r="F170" s="37" t="str">
        <f>JUEVES!$C$66</f>
        <v>polea</v>
      </c>
      <c r="G170" s="37" t="str">
        <f>IFERROR(LOOKUP(2,1/((HISTORIAL!$O$3:$O$168=D170&amp;"|"&amp;E170)*(HISTORIAL!$F$3:$F$168&lt;&gt;"")),HISTORIAL!$F$3:$F$168),"")</f>
        <v/>
      </c>
      <c r="H170" s="37" t="str">
        <f>IFERROR(LOOKUP(2,1/((HISTORIAL!$O$3:$O$168=D170&amp;"|"&amp;E170)*(HISTORIAL!$F$3:$F$168&lt;&gt;"")),HISTORIAL!$G$3:$G$168),"")</f>
        <v/>
      </c>
      <c r="I170" s="37" t="str">
        <f>IFERROR(LOOKUP(2,1/((HISTORIAL!$O$3:$O$168=D170&amp;"|"&amp;E170)*(HISTORIAL!$F$3:$F$168&lt;&gt;"")),HISTORIAL!$H$3:$H$168),"")</f>
        <v/>
      </c>
      <c r="J170" s="37" t="str">
        <f>IFERROR(LOOKUP(2,1/((HISTORIAL!$O$3:$O$168=D170&amp;"|"&amp;E170)*(HISTORIAL!$F$3:$F$168&lt;&gt;"")),HISTORIAL!$I$3:$I$168),"")</f>
        <v/>
      </c>
      <c r="K170" s="58" t="str">
        <f>IFERROR(IF(OR(G170="",N170="SIN"),"--",IF(N170="SUBIR_F",IF(F170="polea",IFERROR(INDEX(CONFIG!$B$25:$B$40,MATCH(G170,CONFIG!$B$25:$B$40,0)+2),IFERROR(INDEX(CONFIG!$B$25:$B$40,MATCH(G170,CONFIG!$B$25:$B$40,0)+1),G170)),G170+5),IF(OR(N170="SUBIR",N170="SUBIR_E"),IF(F170="polea",IFERROR(INDEX(CONFIG!$B$25:$B$40,MATCH(G170,CONFIG!$B$25:$B$40,0)+1),G170),G170+2.5),IF(N170="BAJAR",IF(F170="polea",IFERROR(INDEX(CONFIG!$B$25:$B$40,MAX(1,MATCH(G170,CONFIG!$B$25:$B$40,0)-1)),G170),MAX(0,G170-2.5)),G170)))),"--")</f>
        <v>--</v>
      </c>
      <c r="L170" s="59" t="str">
        <f>IFERROR(IF(N170="SIN","--",IF(N170="MANT",IF(H170="","--",H170+1),IFERROR(VLOOKUP(CONFIG!$E$2,CONFIG!$A$6:$E$8,2,0),"--"))),"--")</f>
        <v>--</v>
      </c>
      <c r="M170" s="59" t="str">
        <f>IFERROR(IF(N170="SIN","--",IF(CONFIG!$E$2="HIP",2,IF(CONFIG!$E$2="FUE",1,2))),"--")</f>
        <v>--</v>
      </c>
      <c r="N170" s="53" t="str">
        <f>IFERROR(IF(G170="","SIN",IF(O170=1,"SUBIR_E",IF(H170&lt;IFERROR(VLOOKUP(CONFIG!$E$2,CONFIG!$A$6:$E$8,2,0),6),"BAJAR",IF(H170+I170&gt;=IFERROR(VLOOKUP(CONFIG!$E$2,CONFIG!$A$6:$E$8,3,0),12),"SUBIR_F",IF(AND(H170&gt;=IFERROR(VLOOKUP(CONFIG!$E$2,CONFIG!$A$6:$E$8,2,0),6)+2,I170&gt;=2),"SUBIR",IF(I170&gt;IFERROR(VLOOKUP(CONFIG!$E$2,CONFIG!$A$6:$E$8,5,0),3),"SUBIR","MANT")))))),"SIN")</f>
        <v>SIN</v>
      </c>
      <c r="O170" s="55">
        <f>IF(COUNTIFS(HISTORIAL!$O$3:$O$168,D170&amp;"|"&amp;E170,HISTORIAL!$F$3:$F$168,"&gt;0")&lt;2,0,IF(COUNTIFS(HISTORIAL!$O$3:$O$168,D170&amp;"|"&amp;E170,HISTORIAL!$F$3:$F$168,IFERROR(LOOKUP(2,1/((HISTORIAL!$O$3:$O$168=D170&amp;"|"&amp;E170)*(HISTORIAL!$F$3:$F$168&gt;0)),HISTORIAL!$F$3:$F$168),0))&gt;=2,IF(IFERROR(LOOKUP(2,1/((HISTORIAL!$O$3:$O$168=D170&amp;"|"&amp;E170)*(HISTORIAL!$F$3:$F$168&gt;0)),HISTORIAL!$G$3:$G$168),0)&gt;0,IF(F170&gt;0,IF(G170&lt;=IFERROR(LOOKUP(2,1/((HISTORIAL!$O$3:$O$168=D170&amp;"|"&amp;E170)*(HISTORIAL!$F$3:$F$168&gt;0)),HISTORIAL!$G$3:$G$168),0),1,0),0),0),0))</f>
        <v>0</v>
      </c>
    </row>
    <row r="171" spans="1:15" ht="14.1" customHeight="1">
      <c r="A171" s="37">
        <v>3</v>
      </c>
      <c r="B171" s="37" t="s">
        <v>280</v>
      </c>
      <c r="C171" s="37">
        <v>5</v>
      </c>
      <c r="D171" s="56" t="str">
        <f>JUEVES!$A$67</f>
        <v>Elevaciones Posteriores</v>
      </c>
      <c r="E171" s="57" t="str">
        <f>JUEVES!$B$67</f>
        <v>Polea Individual</v>
      </c>
      <c r="F171" s="37" t="str">
        <f>JUEVES!$C$67</f>
        <v>polea</v>
      </c>
      <c r="G171" s="37" t="str">
        <f>IFERROR(LOOKUP(2,1/((HISTORIAL!$O$3:$O$169=D171&amp;"|"&amp;E171)*(HISTORIAL!$F$3:$F$169&lt;&gt;"")),HISTORIAL!$F$3:$F$169),"")</f>
        <v/>
      </c>
      <c r="H171" s="37" t="str">
        <f>IFERROR(LOOKUP(2,1/((HISTORIAL!$O$3:$O$169=D171&amp;"|"&amp;E171)*(HISTORIAL!$F$3:$F$169&lt;&gt;"")),HISTORIAL!$G$3:$G$169),"")</f>
        <v/>
      </c>
      <c r="I171" s="37" t="str">
        <f>IFERROR(LOOKUP(2,1/((HISTORIAL!$O$3:$O$169=D171&amp;"|"&amp;E171)*(HISTORIAL!$F$3:$F$169&lt;&gt;"")),HISTORIAL!$H$3:$H$169),"")</f>
        <v/>
      </c>
      <c r="J171" s="37" t="str">
        <f>IFERROR(LOOKUP(2,1/((HISTORIAL!$O$3:$O$169=D171&amp;"|"&amp;E171)*(HISTORIAL!$F$3:$F$169&lt;&gt;"")),HISTORIAL!$I$3:$I$169),"")</f>
        <v/>
      </c>
      <c r="K171" s="58" t="str">
        <f>IFERROR(IF(OR(G171="",N171="SIN"),"--",IF(N171="SUBIR_F",IF(F171="polea",IFERROR(INDEX(CONFIG!$B$25:$B$40,MATCH(G171,CONFIG!$B$25:$B$40,0)+2),IFERROR(INDEX(CONFIG!$B$25:$B$40,MATCH(G171,CONFIG!$B$25:$B$40,0)+1),G171)),G171+5),IF(OR(N171="SUBIR",N171="SUBIR_E"),IF(F171="polea",IFERROR(INDEX(CONFIG!$B$25:$B$40,MATCH(G171,CONFIG!$B$25:$B$40,0)+1),G171),G171+2.5),IF(N171="BAJAR",IF(F171="polea",IFERROR(INDEX(CONFIG!$B$25:$B$40,MAX(1,MATCH(G171,CONFIG!$B$25:$B$40,0)-1)),G171),MAX(0,G171-2.5)),G171)))),"--")</f>
        <v>--</v>
      </c>
      <c r="L171" s="59" t="str">
        <f>IFERROR(IF(N171="SIN","--",IF(N171="MANT",IF(H171="","--",H171+1),IFERROR(VLOOKUP(CONFIG!$E$2,CONFIG!$A$6:$E$8,2,0),"--"))),"--")</f>
        <v>--</v>
      </c>
      <c r="M171" s="59" t="str">
        <f>IFERROR(IF(N171="SIN","--",IF(CONFIG!$E$2="HIP",2,IF(CONFIG!$E$2="FUE",1,2))),"--")</f>
        <v>--</v>
      </c>
      <c r="N171" s="53" t="str">
        <f>IFERROR(IF(G171="","SIN",IF(O171=1,"SUBIR_E",IF(H171&lt;IFERROR(VLOOKUP(CONFIG!$E$2,CONFIG!$A$6:$E$8,2,0),6),"BAJAR",IF(H171+I171&gt;=IFERROR(VLOOKUP(CONFIG!$E$2,CONFIG!$A$6:$E$8,3,0),12),"SUBIR_F",IF(AND(H171&gt;=IFERROR(VLOOKUP(CONFIG!$E$2,CONFIG!$A$6:$E$8,2,0),6)+2,I171&gt;=2),"SUBIR",IF(I171&gt;IFERROR(VLOOKUP(CONFIG!$E$2,CONFIG!$A$6:$E$8,5,0),3),"SUBIR","MANT")))))),"SIN")</f>
        <v>SIN</v>
      </c>
      <c r="O171" s="55">
        <f>IF(COUNTIFS(HISTORIAL!$O$3:$O$169,D171&amp;"|"&amp;E171,HISTORIAL!$F$3:$F$169,"&gt;0")&lt;2,0,IF(COUNTIFS(HISTORIAL!$O$3:$O$169,D171&amp;"|"&amp;E171,HISTORIAL!$F$3:$F$169,IFERROR(LOOKUP(2,1/((HISTORIAL!$O$3:$O$169=D171&amp;"|"&amp;E171)*(HISTORIAL!$F$3:$F$169&gt;0)),HISTORIAL!$F$3:$F$169),0))&gt;=2,IF(IFERROR(LOOKUP(2,1/((HISTORIAL!$O$3:$O$169=D171&amp;"|"&amp;E171)*(HISTORIAL!$F$3:$F$169&gt;0)),HISTORIAL!$G$3:$G$169),0)&gt;0,IF(F171&gt;0,IF(G171&lt;=IFERROR(LOOKUP(2,1/((HISTORIAL!$O$3:$O$169=D171&amp;"|"&amp;E171)*(HISTORIAL!$F$3:$F$169&gt;0)),HISTORIAL!$G$3:$G$169),0),1,0),0),0),0))</f>
        <v>0</v>
      </c>
    </row>
    <row r="172" spans="1:15" ht="14.1" customHeight="1">
      <c r="A172" s="37">
        <v>3</v>
      </c>
      <c r="B172" s="37" t="s">
        <v>280</v>
      </c>
      <c r="C172" s="37">
        <v>6</v>
      </c>
      <c r="D172" s="56" t="str">
        <f>JUEVES!$A$70</f>
        <v>Press Plano</v>
      </c>
      <c r="E172" s="57" t="str">
        <f>JUEVES!$B$70</f>
        <v>Mancuernas</v>
      </c>
      <c r="F172" s="37" t="str">
        <f>JUEVES!$C$70</f>
        <v>mancuerna</v>
      </c>
      <c r="G172" s="37" t="str">
        <f>IFERROR(LOOKUP(2,1/((HISTORIAL!$O$3:$O$170=D172&amp;"|"&amp;E172)*(HISTORIAL!$F$3:$F$170&lt;&gt;"")),HISTORIAL!$F$3:$F$170),"")</f>
        <v/>
      </c>
      <c r="H172" s="37" t="str">
        <f>IFERROR(LOOKUP(2,1/((HISTORIAL!$O$3:$O$170=D172&amp;"|"&amp;E172)*(HISTORIAL!$F$3:$F$170&lt;&gt;"")),HISTORIAL!$G$3:$G$170),"")</f>
        <v/>
      </c>
      <c r="I172" s="37" t="str">
        <f>IFERROR(LOOKUP(2,1/((HISTORIAL!$O$3:$O$170=D172&amp;"|"&amp;E172)*(HISTORIAL!$F$3:$F$170&lt;&gt;"")),HISTORIAL!$H$3:$H$170),"")</f>
        <v/>
      </c>
      <c r="J172" s="37" t="str">
        <f>IFERROR(LOOKUP(2,1/((HISTORIAL!$O$3:$O$170=D172&amp;"|"&amp;E172)*(HISTORIAL!$F$3:$F$170&lt;&gt;"")),HISTORIAL!$I$3:$I$170),"")</f>
        <v/>
      </c>
      <c r="K172" s="58" t="str">
        <f>IFERROR(IF(OR(G172="",N172="SIN"),"--",IF(N172="SUBIR_F",IF(F172="polea",IFERROR(INDEX(CONFIG!$B$25:$B$40,MATCH(G172,CONFIG!$B$25:$B$40,0)+2),IFERROR(INDEX(CONFIG!$B$25:$B$40,MATCH(G172,CONFIG!$B$25:$B$40,0)+1),G172)),G172+5),IF(OR(N172="SUBIR",N172="SUBIR_E"),IF(F172="polea",IFERROR(INDEX(CONFIG!$B$25:$B$40,MATCH(G172,CONFIG!$B$25:$B$40,0)+1),G172),G172+2.5),IF(N172="BAJAR",IF(F172="polea",IFERROR(INDEX(CONFIG!$B$25:$B$40,MAX(1,MATCH(G172,CONFIG!$B$25:$B$40,0)-1)),G172),MAX(0,G172-2.5)),G172)))),"--")</f>
        <v>--</v>
      </c>
      <c r="L172" s="59" t="str">
        <f>IFERROR(IF(N172="SIN","--",IF(N172="MANT",IF(H172="","--",H172+1),IFERROR(VLOOKUP(CONFIG!$E$2,CONFIG!$A$6:$E$8,2,0),"--"))),"--")</f>
        <v>--</v>
      </c>
      <c r="M172" s="59" t="str">
        <f>IFERROR(IF(N172="SIN","--",IF(CONFIG!$E$2="HIP",2,IF(CONFIG!$E$2="FUE",1,2))),"--")</f>
        <v>--</v>
      </c>
      <c r="N172" s="53" t="str">
        <f>IFERROR(IF(G172="","SIN",IF(O172=1,"SUBIR_E",IF(H172&lt;IFERROR(VLOOKUP(CONFIG!$E$2,CONFIG!$A$6:$E$8,2,0),6),"BAJAR",IF(H172+I172&gt;=IFERROR(VLOOKUP(CONFIG!$E$2,CONFIG!$A$6:$E$8,3,0),12),"SUBIR_F",IF(AND(H172&gt;=IFERROR(VLOOKUP(CONFIG!$E$2,CONFIG!$A$6:$E$8,2,0),6)+2,I172&gt;=2),"SUBIR",IF(I172&gt;IFERROR(VLOOKUP(CONFIG!$E$2,CONFIG!$A$6:$E$8,5,0),3),"SUBIR","MANT")))))),"SIN")</f>
        <v>SIN</v>
      </c>
      <c r="O172" s="55">
        <f>IF(COUNTIFS(HISTORIAL!$O$3:$O$170,D172&amp;"|"&amp;E172,HISTORIAL!$F$3:$F$170,"&gt;0")&lt;2,0,IF(COUNTIFS(HISTORIAL!$O$3:$O$170,D172&amp;"|"&amp;E172,HISTORIAL!$F$3:$F$170,IFERROR(LOOKUP(2,1/((HISTORIAL!$O$3:$O$170=D172&amp;"|"&amp;E172)*(HISTORIAL!$F$3:$F$170&gt;0)),HISTORIAL!$F$3:$F$170),0))&gt;=2,IF(IFERROR(LOOKUP(2,1/((HISTORIAL!$O$3:$O$170=D172&amp;"|"&amp;E172)*(HISTORIAL!$F$3:$F$170&gt;0)),HISTORIAL!$G$3:$G$170),0)&gt;0,IF(F172&gt;0,IF(G172&lt;=IFERROR(LOOKUP(2,1/((HISTORIAL!$O$3:$O$170=D172&amp;"|"&amp;E172)*(HISTORIAL!$F$3:$F$170&gt;0)),HISTORIAL!$G$3:$G$170),0),1,0),0),0),0))</f>
        <v>0</v>
      </c>
    </row>
    <row r="173" spans="1:15" ht="14.1" customHeight="1">
      <c r="A173" s="37">
        <v>3</v>
      </c>
      <c r="B173" s="37" t="s">
        <v>280</v>
      </c>
      <c r="C173" s="37">
        <v>7</v>
      </c>
      <c r="D173" s="56" t="str">
        <f>JUEVES!$A$72</f>
        <v>Press Inclinado</v>
      </c>
      <c r="E173" s="57" t="str">
        <f>JUEVES!$B$72</f>
        <v>Multipower</v>
      </c>
      <c r="F173" s="37" t="str">
        <f>JUEVES!$C$72</f>
        <v>disco</v>
      </c>
      <c r="G173" s="37" t="str">
        <f>IFERROR(LOOKUP(2,1/((HISTORIAL!$O$3:$O$171=D173&amp;"|"&amp;E173)*(HISTORIAL!$F$3:$F$171&lt;&gt;"")),HISTORIAL!$F$3:$F$171),"")</f>
        <v/>
      </c>
      <c r="H173" s="37" t="str">
        <f>IFERROR(LOOKUP(2,1/((HISTORIAL!$O$3:$O$171=D173&amp;"|"&amp;E173)*(HISTORIAL!$F$3:$F$171&lt;&gt;"")),HISTORIAL!$G$3:$G$171),"")</f>
        <v/>
      </c>
      <c r="I173" s="37" t="str">
        <f>IFERROR(LOOKUP(2,1/((HISTORIAL!$O$3:$O$171=D173&amp;"|"&amp;E173)*(HISTORIAL!$F$3:$F$171&lt;&gt;"")),HISTORIAL!$H$3:$H$171),"")</f>
        <v/>
      </c>
      <c r="J173" s="37" t="str">
        <f>IFERROR(LOOKUP(2,1/((HISTORIAL!$O$3:$O$171=D173&amp;"|"&amp;E173)*(HISTORIAL!$F$3:$F$171&lt;&gt;"")),HISTORIAL!$I$3:$I$171),"")</f>
        <v/>
      </c>
      <c r="K173" s="58" t="str">
        <f>IFERROR(IF(OR(G173="",N173="SIN"),"--",IF(N173="SUBIR_F",IF(F173="polea",IFERROR(INDEX(CONFIG!$B$25:$B$40,MATCH(G173,CONFIG!$B$25:$B$40,0)+2),IFERROR(INDEX(CONFIG!$B$25:$B$40,MATCH(G173,CONFIG!$B$25:$B$40,0)+1),G173)),G173+5),IF(OR(N173="SUBIR",N173="SUBIR_E"),IF(F173="polea",IFERROR(INDEX(CONFIG!$B$25:$B$40,MATCH(G173,CONFIG!$B$25:$B$40,0)+1),G173),G173+2.5),IF(N173="BAJAR",IF(F173="polea",IFERROR(INDEX(CONFIG!$B$25:$B$40,MAX(1,MATCH(G173,CONFIG!$B$25:$B$40,0)-1)),G173),MAX(0,G173-2.5)),G173)))),"--")</f>
        <v>--</v>
      </c>
      <c r="L173" s="59" t="str">
        <f>IFERROR(IF(N173="SIN","--",IF(N173="MANT",IF(H173="","--",H173+1),IFERROR(VLOOKUP(CONFIG!$E$2,CONFIG!$A$6:$E$8,2,0),"--"))),"--")</f>
        <v>--</v>
      </c>
      <c r="M173" s="59" t="str">
        <f>IFERROR(IF(N173="SIN","--",IF(CONFIG!$E$2="HIP",2,IF(CONFIG!$E$2="FUE",1,2))),"--")</f>
        <v>--</v>
      </c>
      <c r="N173" s="53" t="str">
        <f>IFERROR(IF(G173="","SIN",IF(O173=1,"SUBIR_E",IF(H173&lt;IFERROR(VLOOKUP(CONFIG!$E$2,CONFIG!$A$6:$E$8,2,0),6),"BAJAR",IF(H173+I173&gt;=IFERROR(VLOOKUP(CONFIG!$E$2,CONFIG!$A$6:$E$8,3,0),12),"SUBIR_F",IF(AND(H173&gt;=IFERROR(VLOOKUP(CONFIG!$E$2,CONFIG!$A$6:$E$8,2,0),6)+2,I173&gt;=2),"SUBIR",IF(I173&gt;IFERROR(VLOOKUP(CONFIG!$E$2,CONFIG!$A$6:$E$8,5,0),3),"SUBIR","MANT")))))),"SIN")</f>
        <v>SIN</v>
      </c>
      <c r="O173" s="55">
        <f>IF(COUNTIFS(HISTORIAL!$O$3:$O$171,D173&amp;"|"&amp;E173,HISTORIAL!$F$3:$F$171,"&gt;0")&lt;2,0,IF(COUNTIFS(HISTORIAL!$O$3:$O$171,D173&amp;"|"&amp;E173,HISTORIAL!$F$3:$F$171,IFERROR(LOOKUP(2,1/((HISTORIAL!$O$3:$O$171=D173&amp;"|"&amp;E173)*(HISTORIAL!$F$3:$F$171&gt;0)),HISTORIAL!$F$3:$F$171),0))&gt;=2,IF(IFERROR(LOOKUP(2,1/((HISTORIAL!$O$3:$O$171=D173&amp;"|"&amp;E173)*(HISTORIAL!$F$3:$F$171&gt;0)),HISTORIAL!$G$3:$G$171),0)&gt;0,IF(F173&gt;0,IF(G173&lt;=IFERROR(LOOKUP(2,1/((HISTORIAL!$O$3:$O$171=D173&amp;"|"&amp;E173)*(HISTORIAL!$F$3:$F$171&gt;0)),HISTORIAL!$G$3:$G$171),0),1,0),0),0),0))</f>
        <v>0</v>
      </c>
    </row>
    <row r="174" spans="1:15" ht="14.1" customHeight="1">
      <c r="A174" s="37">
        <v>3</v>
      </c>
      <c r="B174" s="37" t="s">
        <v>280</v>
      </c>
      <c r="C174" s="37">
        <v>8</v>
      </c>
      <c r="D174" s="56" t="str">
        <f>JUEVES!$A$74</f>
        <v>Aperturas</v>
      </c>
      <c r="E174" s="57" t="str">
        <f>JUEVES!$B$74</f>
        <v>Pec Deck Maquina</v>
      </c>
      <c r="F174" s="37" t="str">
        <f>JUEVES!$C$74</f>
        <v>--</v>
      </c>
      <c r="G174" s="37" t="str">
        <f>IFERROR(LOOKUP(2,1/((HISTORIAL!$O$3:$O$172=D174&amp;"|"&amp;E174)*(HISTORIAL!$F$3:$F$172&lt;&gt;"")),HISTORIAL!$F$3:$F$172),"")</f>
        <v/>
      </c>
      <c r="H174" s="37" t="str">
        <f>IFERROR(LOOKUP(2,1/((HISTORIAL!$O$3:$O$172=D174&amp;"|"&amp;E174)*(HISTORIAL!$F$3:$F$172&lt;&gt;"")),HISTORIAL!$G$3:$G$172),"")</f>
        <v/>
      </c>
      <c r="I174" s="37" t="str">
        <f>IFERROR(LOOKUP(2,1/((HISTORIAL!$O$3:$O$172=D174&amp;"|"&amp;E174)*(HISTORIAL!$F$3:$F$172&lt;&gt;"")),HISTORIAL!$H$3:$H$172),"")</f>
        <v/>
      </c>
      <c r="J174" s="37" t="str">
        <f>IFERROR(LOOKUP(2,1/((HISTORIAL!$O$3:$O$172=D174&amp;"|"&amp;E174)*(HISTORIAL!$F$3:$F$172&lt;&gt;"")),HISTORIAL!$I$3:$I$172),"")</f>
        <v/>
      </c>
      <c r="K174" s="58" t="str">
        <f>IFERROR(IF(OR(G174="",N174="SIN"),"--",IF(N174="SUBIR_F",IF(F174="polea",IFERROR(INDEX(CONFIG!$B$25:$B$40,MATCH(G174,CONFIG!$B$25:$B$40,0)+2),IFERROR(INDEX(CONFIG!$B$25:$B$40,MATCH(G174,CONFIG!$B$25:$B$40,0)+1),G174)),G174+5),IF(OR(N174="SUBIR",N174="SUBIR_E"),IF(F174="polea",IFERROR(INDEX(CONFIG!$B$25:$B$40,MATCH(G174,CONFIG!$B$25:$B$40,0)+1),G174),G174+2.5),IF(N174="BAJAR",IF(F174="polea",IFERROR(INDEX(CONFIG!$B$25:$B$40,MAX(1,MATCH(G174,CONFIG!$B$25:$B$40,0)-1)),G174),MAX(0,G174-2.5)),G174)))),"--")</f>
        <v>--</v>
      </c>
      <c r="L174" s="59" t="str">
        <f>IFERROR(IF(N174="SIN","--",IF(N174="MANT",IF(H174="","--",H174+1),IFERROR(VLOOKUP(CONFIG!$E$2,CONFIG!$A$6:$E$8,2,0),"--"))),"--")</f>
        <v>--</v>
      </c>
      <c r="M174" s="59" t="str">
        <f>IFERROR(IF(N174="SIN","--",IF(CONFIG!$E$2="HIP",2,IF(CONFIG!$E$2="FUE",1,2))),"--")</f>
        <v>--</v>
      </c>
      <c r="N174" s="53" t="str">
        <f>IFERROR(IF(G174="","SIN",IF(O174=1,"SUBIR_E",IF(H174&lt;IFERROR(VLOOKUP(CONFIG!$E$2,CONFIG!$A$6:$E$8,2,0),6),"BAJAR",IF(H174+I174&gt;=IFERROR(VLOOKUP(CONFIG!$E$2,CONFIG!$A$6:$E$8,3,0),12),"SUBIR_F",IF(AND(H174&gt;=IFERROR(VLOOKUP(CONFIG!$E$2,CONFIG!$A$6:$E$8,2,0),6)+2,I174&gt;=2),"SUBIR",IF(I174&gt;IFERROR(VLOOKUP(CONFIG!$E$2,CONFIG!$A$6:$E$8,5,0),3),"SUBIR","MANT")))))),"SIN")</f>
        <v>SIN</v>
      </c>
      <c r="O174" s="55">
        <f>IF(COUNTIFS(HISTORIAL!$O$3:$O$172,D174&amp;"|"&amp;E174,HISTORIAL!$F$3:$F$172,"&gt;0")&lt;2,0,IF(COUNTIFS(HISTORIAL!$O$3:$O$172,D174&amp;"|"&amp;E174,HISTORIAL!$F$3:$F$172,IFERROR(LOOKUP(2,1/((HISTORIAL!$O$3:$O$172=D174&amp;"|"&amp;E174)*(HISTORIAL!$F$3:$F$172&gt;0)),HISTORIAL!$F$3:$F$172),0))&gt;=2,IF(IFERROR(LOOKUP(2,1/((HISTORIAL!$O$3:$O$172=D174&amp;"|"&amp;E174)*(HISTORIAL!$F$3:$F$172&gt;0)),HISTORIAL!$G$3:$G$172),0)&gt;0,IF(F174&gt;0,IF(G174&lt;=IFERROR(LOOKUP(2,1/((HISTORIAL!$O$3:$O$172=D174&amp;"|"&amp;E174)*(HISTORIAL!$F$3:$F$172&gt;0)),HISTORIAL!$G$3:$G$172),0),1,0),0),0),0))</f>
        <v>0</v>
      </c>
    </row>
    <row r="175" spans="1:15" ht="14.1" customHeight="1">
      <c r="A175" s="37">
        <v>3</v>
      </c>
      <c r="B175" s="37" t="s">
        <v>280</v>
      </c>
      <c r="C175" s="37">
        <v>9</v>
      </c>
      <c r="D175" s="56" t="str">
        <f>JUEVES!$A$76</f>
        <v>Press Polea</v>
      </c>
      <c r="E175" s="57" t="str">
        <f>JUEVES!$B$76</f>
        <v>Barra Recta Diagonal Arriba</v>
      </c>
      <c r="F175" s="37" t="str">
        <f>JUEVES!$C$76</f>
        <v>polea</v>
      </c>
      <c r="G175" s="37" t="str">
        <f>IFERROR(LOOKUP(2,1/((HISTORIAL!$O$3:$O$173=D175&amp;"|"&amp;E175)*(HISTORIAL!$F$3:$F$173&lt;&gt;"")),HISTORIAL!$F$3:$F$173),"")</f>
        <v/>
      </c>
      <c r="H175" s="37" t="str">
        <f>IFERROR(LOOKUP(2,1/((HISTORIAL!$O$3:$O$173=D175&amp;"|"&amp;E175)*(HISTORIAL!$F$3:$F$173&lt;&gt;"")),HISTORIAL!$G$3:$G$173),"")</f>
        <v/>
      </c>
      <c r="I175" s="37" t="str">
        <f>IFERROR(LOOKUP(2,1/((HISTORIAL!$O$3:$O$173=D175&amp;"|"&amp;E175)*(HISTORIAL!$F$3:$F$173&lt;&gt;"")),HISTORIAL!$H$3:$H$173),"")</f>
        <v/>
      </c>
      <c r="J175" s="37" t="str">
        <f>IFERROR(LOOKUP(2,1/((HISTORIAL!$O$3:$O$173=D175&amp;"|"&amp;E175)*(HISTORIAL!$F$3:$F$173&lt;&gt;"")),HISTORIAL!$I$3:$I$173),"")</f>
        <v/>
      </c>
      <c r="K175" s="58" t="str">
        <f>IFERROR(IF(OR(G175="",N175="SIN"),"--",IF(N175="SUBIR_F",IF(F175="polea",IFERROR(INDEX(CONFIG!$B$25:$B$40,MATCH(G175,CONFIG!$B$25:$B$40,0)+2),IFERROR(INDEX(CONFIG!$B$25:$B$40,MATCH(G175,CONFIG!$B$25:$B$40,0)+1),G175)),G175+5),IF(OR(N175="SUBIR",N175="SUBIR_E"),IF(F175="polea",IFERROR(INDEX(CONFIG!$B$25:$B$40,MATCH(G175,CONFIG!$B$25:$B$40,0)+1),G175),G175+2.5),IF(N175="BAJAR",IF(F175="polea",IFERROR(INDEX(CONFIG!$B$25:$B$40,MAX(1,MATCH(G175,CONFIG!$B$25:$B$40,0)-1)),G175),MAX(0,G175-2.5)),G175)))),"--")</f>
        <v>--</v>
      </c>
      <c r="L175" s="59" t="str">
        <f>IFERROR(IF(N175="SIN","--",IF(N175="MANT",IF(H175="","--",H175+1),IFERROR(VLOOKUP(CONFIG!$E$2,CONFIG!$A$6:$E$8,2,0),"--"))),"--")</f>
        <v>--</v>
      </c>
      <c r="M175" s="59" t="str">
        <f>IFERROR(IF(N175="SIN","--",IF(CONFIG!$E$2="HIP",2,IF(CONFIG!$E$2="FUE",1,2))),"--")</f>
        <v>--</v>
      </c>
      <c r="N175" s="53" t="str">
        <f>IFERROR(IF(G175="","SIN",IF(O175=1,"SUBIR_E",IF(H175&lt;IFERROR(VLOOKUP(CONFIG!$E$2,CONFIG!$A$6:$E$8,2,0),6),"BAJAR",IF(H175+I175&gt;=IFERROR(VLOOKUP(CONFIG!$E$2,CONFIG!$A$6:$E$8,3,0),12),"SUBIR_F",IF(AND(H175&gt;=IFERROR(VLOOKUP(CONFIG!$E$2,CONFIG!$A$6:$E$8,2,0),6)+2,I175&gt;=2),"SUBIR",IF(I175&gt;IFERROR(VLOOKUP(CONFIG!$E$2,CONFIG!$A$6:$E$8,5,0),3),"SUBIR","MANT")))))),"SIN")</f>
        <v>SIN</v>
      </c>
      <c r="O175" s="55">
        <f>IF(COUNTIFS(HISTORIAL!$O$3:$O$173,D175&amp;"|"&amp;E175,HISTORIAL!$F$3:$F$173,"&gt;0")&lt;2,0,IF(COUNTIFS(HISTORIAL!$O$3:$O$173,D175&amp;"|"&amp;E175,HISTORIAL!$F$3:$F$173,IFERROR(LOOKUP(2,1/((HISTORIAL!$O$3:$O$173=D175&amp;"|"&amp;E175)*(HISTORIAL!$F$3:$F$173&gt;0)),HISTORIAL!$F$3:$F$173),0))&gt;=2,IF(IFERROR(LOOKUP(2,1/((HISTORIAL!$O$3:$O$173=D175&amp;"|"&amp;E175)*(HISTORIAL!$F$3:$F$173&gt;0)),HISTORIAL!$G$3:$G$173),0)&gt;0,IF(F175&gt;0,IF(G175&lt;=IFERROR(LOOKUP(2,1/((HISTORIAL!$O$3:$O$173=D175&amp;"|"&amp;E175)*(HISTORIAL!$F$3:$F$173&gt;0)),HISTORIAL!$G$3:$G$173),0),1,0),0),0),0))</f>
        <v>0</v>
      </c>
    </row>
    <row r="176" spans="1:15" ht="14.1" customHeight="1">
      <c r="A176" s="37">
        <v>3</v>
      </c>
      <c r="B176" s="37" t="s">
        <v>280</v>
      </c>
      <c r="C176" s="37">
        <v>10</v>
      </c>
      <c r="D176" s="56" t="str">
        <f>JUEVES!$A$77</f>
        <v>Extension Triceps</v>
      </c>
      <c r="E176" s="57" t="str">
        <f>JUEVES!$B$77</f>
        <v>Polea Sobre Cabeza</v>
      </c>
      <c r="F176" s="37" t="str">
        <f>JUEVES!$C$77</f>
        <v>--</v>
      </c>
      <c r="G176" s="37" t="str">
        <f>IFERROR(LOOKUP(2,1/((HISTORIAL!$O$3:$O$174=D176&amp;"|"&amp;E176)*(HISTORIAL!$F$3:$F$174&lt;&gt;"")),HISTORIAL!$F$3:$F$174),"")</f>
        <v/>
      </c>
      <c r="H176" s="37" t="str">
        <f>IFERROR(LOOKUP(2,1/((HISTORIAL!$O$3:$O$174=D176&amp;"|"&amp;E176)*(HISTORIAL!$F$3:$F$174&lt;&gt;"")),HISTORIAL!$G$3:$G$174),"")</f>
        <v/>
      </c>
      <c r="I176" s="37" t="str">
        <f>IFERROR(LOOKUP(2,1/((HISTORIAL!$O$3:$O$174=D176&amp;"|"&amp;E176)*(HISTORIAL!$F$3:$F$174&lt;&gt;"")),HISTORIAL!$H$3:$H$174),"")</f>
        <v/>
      </c>
      <c r="J176" s="37" t="str">
        <f>IFERROR(LOOKUP(2,1/((HISTORIAL!$O$3:$O$174=D176&amp;"|"&amp;E176)*(HISTORIAL!$F$3:$F$174&lt;&gt;"")),HISTORIAL!$I$3:$I$174),"")</f>
        <v/>
      </c>
      <c r="K176" s="58" t="str">
        <f>IFERROR(IF(OR(G176="",N176="SIN"),"--",IF(N176="SUBIR_F",IF(F176="polea",IFERROR(INDEX(CONFIG!$B$25:$B$40,MATCH(G176,CONFIG!$B$25:$B$40,0)+2),IFERROR(INDEX(CONFIG!$B$25:$B$40,MATCH(G176,CONFIG!$B$25:$B$40,0)+1),G176)),G176+5),IF(OR(N176="SUBIR",N176="SUBIR_E"),IF(F176="polea",IFERROR(INDEX(CONFIG!$B$25:$B$40,MATCH(G176,CONFIG!$B$25:$B$40,0)+1),G176),G176+2.5),IF(N176="BAJAR",IF(F176="polea",IFERROR(INDEX(CONFIG!$B$25:$B$40,MAX(1,MATCH(G176,CONFIG!$B$25:$B$40,0)-1)),G176),MAX(0,G176-2.5)),G176)))),"--")</f>
        <v>--</v>
      </c>
      <c r="L176" s="59" t="str">
        <f>IFERROR(IF(N176="SIN","--",IF(N176="MANT",IF(H176="","--",H176+1),IFERROR(VLOOKUP(CONFIG!$E$2,CONFIG!$A$6:$E$8,2,0),"--"))),"--")</f>
        <v>--</v>
      </c>
      <c r="M176" s="59" t="str">
        <f>IFERROR(IF(N176="SIN","--",IF(CONFIG!$E$2="HIP",2,IF(CONFIG!$E$2="FUE",1,2))),"--")</f>
        <v>--</v>
      </c>
      <c r="N176" s="53" t="str">
        <f>IFERROR(IF(G176="","SIN",IF(O176=1,"SUBIR_E",IF(H176&lt;IFERROR(VLOOKUP(CONFIG!$E$2,CONFIG!$A$6:$E$8,2,0),6),"BAJAR",IF(H176+I176&gt;=IFERROR(VLOOKUP(CONFIG!$E$2,CONFIG!$A$6:$E$8,3,0),12),"SUBIR_F",IF(AND(H176&gt;=IFERROR(VLOOKUP(CONFIG!$E$2,CONFIG!$A$6:$E$8,2,0),6)+2,I176&gt;=2),"SUBIR",IF(I176&gt;IFERROR(VLOOKUP(CONFIG!$E$2,CONFIG!$A$6:$E$8,5,0),3),"SUBIR","MANT")))))),"SIN")</f>
        <v>SIN</v>
      </c>
      <c r="O176" s="55">
        <f>IF(COUNTIFS(HISTORIAL!$O$3:$O$174,D176&amp;"|"&amp;E176,HISTORIAL!$F$3:$F$174,"&gt;0")&lt;2,0,IF(COUNTIFS(HISTORIAL!$O$3:$O$174,D176&amp;"|"&amp;E176,HISTORIAL!$F$3:$F$174,IFERROR(LOOKUP(2,1/((HISTORIAL!$O$3:$O$174=D176&amp;"|"&amp;E176)*(HISTORIAL!$F$3:$F$174&gt;0)),HISTORIAL!$F$3:$F$174),0))&gt;=2,IF(IFERROR(LOOKUP(2,1/((HISTORIAL!$O$3:$O$174=D176&amp;"|"&amp;E176)*(HISTORIAL!$F$3:$F$174&gt;0)),HISTORIAL!$G$3:$G$174),0)&gt;0,IF(F176&gt;0,IF(G176&lt;=IFERROR(LOOKUP(2,1/((HISTORIAL!$O$3:$O$174=D176&amp;"|"&amp;E176)*(HISTORIAL!$F$3:$F$174&gt;0)),HISTORIAL!$G$3:$G$174),0),1,0),0),0),0))</f>
        <v>0</v>
      </c>
    </row>
    <row r="177" spans="1:15" ht="14.1" customHeight="1">
      <c r="A177" s="37">
        <v>3</v>
      </c>
      <c r="B177" s="37" t="s">
        <v>280</v>
      </c>
      <c r="C177" s="37">
        <v>11</v>
      </c>
      <c r="D177" s="56" t="str">
        <f>JUEVES!$A$79</f>
        <v>Extension Cuadriceps</v>
      </c>
      <c r="E177" s="57" t="str">
        <f>JUEVES!$B$79</f>
        <v>Vasto Interno</v>
      </c>
      <c r="F177" s="37" t="str">
        <f>JUEVES!$C$79</f>
        <v>--</v>
      </c>
      <c r="G177" s="37" t="str">
        <f>IFERROR(LOOKUP(2,1/((HISTORIAL!$O$3:$O$175=D177&amp;"|"&amp;E177)*(HISTORIAL!$F$3:$F$175&lt;&gt;"")),HISTORIAL!$F$3:$F$175),"")</f>
        <v/>
      </c>
      <c r="H177" s="37" t="str">
        <f>IFERROR(LOOKUP(2,1/((HISTORIAL!$O$3:$O$175=D177&amp;"|"&amp;E177)*(HISTORIAL!$F$3:$F$175&lt;&gt;"")),HISTORIAL!$G$3:$G$175),"")</f>
        <v/>
      </c>
      <c r="I177" s="37" t="str">
        <f>IFERROR(LOOKUP(2,1/((HISTORIAL!$O$3:$O$175=D177&amp;"|"&amp;E177)*(HISTORIAL!$F$3:$F$175&lt;&gt;"")),HISTORIAL!$H$3:$H$175),"")</f>
        <v/>
      </c>
      <c r="J177" s="37" t="str">
        <f>IFERROR(LOOKUP(2,1/((HISTORIAL!$O$3:$O$175=D177&amp;"|"&amp;E177)*(HISTORIAL!$F$3:$F$175&lt;&gt;"")),HISTORIAL!$I$3:$I$175),"")</f>
        <v/>
      </c>
      <c r="K177" s="58" t="str">
        <f>IFERROR(IF(OR(G177="",N177="SIN"),"--",IF(N177="SUBIR_F",IF(F177="polea",IFERROR(INDEX(CONFIG!$B$25:$B$40,MATCH(G177,CONFIG!$B$25:$B$40,0)+2),IFERROR(INDEX(CONFIG!$B$25:$B$40,MATCH(G177,CONFIG!$B$25:$B$40,0)+1),G177)),G177+5),IF(OR(N177="SUBIR",N177="SUBIR_E"),IF(F177="polea",IFERROR(INDEX(CONFIG!$B$25:$B$40,MATCH(G177,CONFIG!$B$25:$B$40,0)+1),G177),G177+2.5),IF(N177="BAJAR",IF(F177="polea",IFERROR(INDEX(CONFIG!$B$25:$B$40,MAX(1,MATCH(G177,CONFIG!$B$25:$B$40,0)-1)),G177),MAX(0,G177-2.5)),G177)))),"--")</f>
        <v>--</v>
      </c>
      <c r="L177" s="59" t="str">
        <f>IFERROR(IF(N177="SIN","--",IF(N177="MANT",IF(H177="","--",H177+1),IFERROR(VLOOKUP(CONFIG!$E$2,CONFIG!$A$6:$E$8,2,0),"--"))),"--")</f>
        <v>--</v>
      </c>
      <c r="M177" s="59" t="str">
        <f>IFERROR(IF(N177="SIN","--",IF(CONFIG!$E$2="HIP",2,IF(CONFIG!$E$2="FUE",1,2))),"--")</f>
        <v>--</v>
      </c>
      <c r="N177" s="53" t="str">
        <f>IFERROR(IF(G177="","SIN",IF(O177=1,"SUBIR_E",IF(H177&lt;IFERROR(VLOOKUP(CONFIG!$E$2,CONFIG!$A$6:$E$8,2,0),6),"BAJAR",IF(H177+I177&gt;=IFERROR(VLOOKUP(CONFIG!$E$2,CONFIG!$A$6:$E$8,3,0),12),"SUBIR_F",IF(AND(H177&gt;=IFERROR(VLOOKUP(CONFIG!$E$2,CONFIG!$A$6:$E$8,2,0),6)+2,I177&gt;=2),"SUBIR",IF(I177&gt;IFERROR(VLOOKUP(CONFIG!$E$2,CONFIG!$A$6:$E$8,5,0),3),"SUBIR","MANT")))))),"SIN")</f>
        <v>SIN</v>
      </c>
      <c r="O177" s="55">
        <f>IF(COUNTIFS(HISTORIAL!$O$3:$O$175,D177&amp;"|"&amp;E177,HISTORIAL!$F$3:$F$175,"&gt;0")&lt;2,0,IF(COUNTIFS(HISTORIAL!$O$3:$O$175,D177&amp;"|"&amp;E177,HISTORIAL!$F$3:$F$175,IFERROR(LOOKUP(2,1/((HISTORIAL!$O$3:$O$175=D177&amp;"|"&amp;E177)*(HISTORIAL!$F$3:$F$175&gt;0)),HISTORIAL!$F$3:$F$175),0))&gt;=2,IF(IFERROR(LOOKUP(2,1/((HISTORIAL!$O$3:$O$175=D177&amp;"|"&amp;E177)*(HISTORIAL!$F$3:$F$175&gt;0)),HISTORIAL!$G$3:$G$175),0)&gt;0,IF(F177&gt;0,IF(G177&lt;=IFERROR(LOOKUP(2,1/((HISTORIAL!$O$3:$O$175=D177&amp;"|"&amp;E177)*(HISTORIAL!$F$3:$F$175&gt;0)),HISTORIAL!$G$3:$G$175),0),1,0),0),0),0))</f>
        <v>0</v>
      </c>
    </row>
    <row r="178" spans="1:15" ht="14.1" customHeight="1">
      <c r="A178" s="37">
        <v>3</v>
      </c>
      <c r="B178" s="37" t="s">
        <v>280</v>
      </c>
      <c r="C178" s="37">
        <v>12</v>
      </c>
      <c r="D178" s="56" t="str">
        <f>JUEVES!$A$81</f>
        <v>Curl Biceps</v>
      </c>
      <c r="E178" s="57" t="str">
        <f>JUEVES!$B$81</f>
        <v>Concentrado Maquina</v>
      </c>
      <c r="F178" s="37" t="str">
        <f>JUEVES!$C$81</f>
        <v>polea</v>
      </c>
      <c r="G178" s="37" t="str">
        <f>IFERROR(LOOKUP(2,1/((HISTORIAL!$O$3:$O$176=D178&amp;"|"&amp;E178)*(HISTORIAL!$F$3:$F$176&lt;&gt;"")),HISTORIAL!$F$3:$F$176),"")</f>
        <v/>
      </c>
      <c r="H178" s="37" t="str">
        <f>IFERROR(LOOKUP(2,1/((HISTORIAL!$O$3:$O$176=D178&amp;"|"&amp;E178)*(HISTORIAL!$F$3:$F$176&lt;&gt;"")),HISTORIAL!$G$3:$G$176),"")</f>
        <v/>
      </c>
      <c r="I178" s="37" t="str">
        <f>IFERROR(LOOKUP(2,1/((HISTORIAL!$O$3:$O$176=D178&amp;"|"&amp;E178)*(HISTORIAL!$F$3:$F$176&lt;&gt;"")),HISTORIAL!$H$3:$H$176),"")</f>
        <v/>
      </c>
      <c r="J178" s="37" t="str">
        <f>IFERROR(LOOKUP(2,1/((HISTORIAL!$O$3:$O$176=D178&amp;"|"&amp;E178)*(HISTORIAL!$F$3:$F$176&lt;&gt;"")),HISTORIAL!$I$3:$I$176),"")</f>
        <v/>
      </c>
      <c r="K178" s="58" t="str">
        <f>IFERROR(IF(OR(G178="",N178="SIN"),"--",IF(N178="SUBIR_F",IF(F178="polea",IFERROR(INDEX(CONFIG!$B$25:$B$40,MATCH(G178,CONFIG!$B$25:$B$40,0)+2),IFERROR(INDEX(CONFIG!$B$25:$B$40,MATCH(G178,CONFIG!$B$25:$B$40,0)+1),G178)),G178+5),IF(OR(N178="SUBIR",N178="SUBIR_E"),IF(F178="polea",IFERROR(INDEX(CONFIG!$B$25:$B$40,MATCH(G178,CONFIG!$B$25:$B$40,0)+1),G178),G178+2.5),IF(N178="BAJAR",IF(F178="polea",IFERROR(INDEX(CONFIG!$B$25:$B$40,MAX(1,MATCH(G178,CONFIG!$B$25:$B$40,0)-1)),G178),MAX(0,G178-2.5)),G178)))),"--")</f>
        <v>--</v>
      </c>
      <c r="L178" s="59" t="str">
        <f>IFERROR(IF(N178="SIN","--",IF(N178="MANT",IF(H178="","--",H178+1),IFERROR(VLOOKUP(CONFIG!$E$2,CONFIG!$A$6:$E$8,2,0),"--"))),"--")</f>
        <v>--</v>
      </c>
      <c r="M178" s="59" t="str">
        <f>IFERROR(IF(N178="SIN","--",IF(CONFIG!$E$2="HIP",2,IF(CONFIG!$E$2="FUE",1,2))),"--")</f>
        <v>--</v>
      </c>
      <c r="N178" s="53" t="str">
        <f>IFERROR(IF(G178="","SIN",IF(O178=1,"SUBIR_E",IF(H178&lt;IFERROR(VLOOKUP(CONFIG!$E$2,CONFIG!$A$6:$E$8,2,0),6),"BAJAR",IF(H178+I178&gt;=IFERROR(VLOOKUP(CONFIG!$E$2,CONFIG!$A$6:$E$8,3,0),12),"SUBIR_F",IF(AND(H178&gt;=IFERROR(VLOOKUP(CONFIG!$E$2,CONFIG!$A$6:$E$8,2,0),6)+2,I178&gt;=2),"SUBIR",IF(I178&gt;IFERROR(VLOOKUP(CONFIG!$E$2,CONFIG!$A$6:$E$8,5,0),3),"SUBIR","MANT")))))),"SIN")</f>
        <v>SIN</v>
      </c>
      <c r="O178" s="55">
        <f>IF(COUNTIFS(HISTORIAL!$O$3:$O$176,D178&amp;"|"&amp;E178,HISTORIAL!$F$3:$F$176,"&gt;0")&lt;2,0,IF(COUNTIFS(HISTORIAL!$O$3:$O$176,D178&amp;"|"&amp;E178,HISTORIAL!$F$3:$F$176,IFERROR(LOOKUP(2,1/((HISTORIAL!$O$3:$O$176=D178&amp;"|"&amp;E178)*(HISTORIAL!$F$3:$F$176&gt;0)),HISTORIAL!$F$3:$F$176),0))&gt;=2,IF(IFERROR(LOOKUP(2,1/((HISTORIAL!$O$3:$O$176=D178&amp;"|"&amp;E178)*(HISTORIAL!$F$3:$F$176&gt;0)),HISTORIAL!$G$3:$G$176),0)&gt;0,IF(F178&gt;0,IF(G178&lt;=IFERROR(LOOKUP(2,1/((HISTORIAL!$O$3:$O$176=D178&amp;"|"&amp;E178)*(HISTORIAL!$F$3:$F$176&gt;0)),HISTORIAL!$G$3:$G$176),0),1,0),0),0),0))</f>
        <v>0</v>
      </c>
    </row>
    <row r="179" spans="1:15" ht="14.1" customHeight="1">
      <c r="A179" s="37">
        <v>3</v>
      </c>
      <c r="B179" s="37" t="s">
        <v>280</v>
      </c>
      <c r="C179" s="37">
        <v>13</v>
      </c>
      <c r="D179" s="56" t="str">
        <f>JUEVES!$A$83</f>
        <v>Crunch</v>
      </c>
      <c r="E179" s="57" t="str">
        <f>JUEVES!$B$83</f>
        <v>Polea</v>
      </c>
      <c r="F179" s="37" t="str">
        <f>JUEVES!$C$83</f>
        <v>polea</v>
      </c>
      <c r="G179" s="37" t="str">
        <f>IFERROR(LOOKUP(2,1/((HISTORIAL!$O$3:$O$177=D179&amp;"|"&amp;E179)*(HISTORIAL!$F$3:$F$177&lt;&gt;"")),HISTORIAL!$F$3:$F$177),"")</f>
        <v/>
      </c>
      <c r="H179" s="37" t="str">
        <f>IFERROR(LOOKUP(2,1/((HISTORIAL!$O$3:$O$177=D179&amp;"|"&amp;E179)*(HISTORIAL!$F$3:$F$177&lt;&gt;"")),HISTORIAL!$G$3:$G$177),"")</f>
        <v/>
      </c>
      <c r="I179" s="37" t="str">
        <f>IFERROR(LOOKUP(2,1/((HISTORIAL!$O$3:$O$177=D179&amp;"|"&amp;E179)*(HISTORIAL!$F$3:$F$177&lt;&gt;"")),HISTORIAL!$H$3:$H$177),"")</f>
        <v/>
      </c>
      <c r="J179" s="37" t="str">
        <f>IFERROR(LOOKUP(2,1/((HISTORIAL!$O$3:$O$177=D179&amp;"|"&amp;E179)*(HISTORIAL!$F$3:$F$177&lt;&gt;"")),HISTORIAL!$I$3:$I$177),"")</f>
        <v/>
      </c>
      <c r="K179" s="58" t="str">
        <f>IFERROR(IF(OR(G179="",N179="SIN"),"--",IF(N179="SUBIR_F",IF(F179="polea",IFERROR(INDEX(CONFIG!$B$25:$B$40,MATCH(G179,CONFIG!$B$25:$B$40,0)+2),IFERROR(INDEX(CONFIG!$B$25:$B$40,MATCH(G179,CONFIG!$B$25:$B$40,0)+1),G179)),G179+5),IF(OR(N179="SUBIR",N179="SUBIR_E"),IF(F179="polea",IFERROR(INDEX(CONFIG!$B$25:$B$40,MATCH(G179,CONFIG!$B$25:$B$40,0)+1),G179),G179+2.5),IF(N179="BAJAR",IF(F179="polea",IFERROR(INDEX(CONFIG!$B$25:$B$40,MAX(1,MATCH(G179,CONFIG!$B$25:$B$40,0)-1)),G179),MAX(0,G179-2.5)),G179)))),"--")</f>
        <v>--</v>
      </c>
      <c r="L179" s="59" t="str">
        <f>IFERROR(IF(N179="SIN","--",IF(N179="MANT",IF(H179="","--",H179+1),IFERROR(VLOOKUP(CONFIG!$E$2,CONFIG!$A$6:$E$8,2,0),"--"))),"--")</f>
        <v>--</v>
      </c>
      <c r="M179" s="59" t="str">
        <f>IFERROR(IF(N179="SIN","--",IF(CONFIG!$E$2="HIP",2,IF(CONFIG!$E$2="FUE",1,2))),"--")</f>
        <v>--</v>
      </c>
      <c r="N179" s="53" t="str">
        <f>IFERROR(IF(G179="","SIN",IF(O179=1,"SUBIR_E",IF(H179&lt;IFERROR(VLOOKUP(CONFIG!$E$2,CONFIG!$A$6:$E$8,2,0),6),"BAJAR",IF(H179+I179&gt;=IFERROR(VLOOKUP(CONFIG!$E$2,CONFIG!$A$6:$E$8,3,0),12),"SUBIR_F",IF(AND(H179&gt;=IFERROR(VLOOKUP(CONFIG!$E$2,CONFIG!$A$6:$E$8,2,0),6)+2,I179&gt;=2),"SUBIR",IF(I179&gt;IFERROR(VLOOKUP(CONFIG!$E$2,CONFIG!$A$6:$E$8,5,0),3),"SUBIR","MANT")))))),"SIN")</f>
        <v>SIN</v>
      </c>
      <c r="O179" s="55">
        <f>IF(COUNTIFS(HISTORIAL!$O$3:$O$177,D179&amp;"|"&amp;E179,HISTORIAL!$F$3:$F$177,"&gt;0")&lt;2,0,IF(COUNTIFS(HISTORIAL!$O$3:$O$177,D179&amp;"|"&amp;E179,HISTORIAL!$F$3:$F$177,IFERROR(LOOKUP(2,1/((HISTORIAL!$O$3:$O$177=D179&amp;"|"&amp;E179)*(HISTORIAL!$F$3:$F$177&gt;0)),HISTORIAL!$F$3:$F$177),0))&gt;=2,IF(IFERROR(LOOKUP(2,1/((HISTORIAL!$O$3:$O$177=D179&amp;"|"&amp;E179)*(HISTORIAL!$F$3:$F$177&gt;0)),HISTORIAL!$G$3:$G$177),0)&gt;0,IF(F179&gt;0,IF(G179&lt;=IFERROR(LOOKUP(2,1/((HISTORIAL!$O$3:$O$177=D179&amp;"|"&amp;E179)*(HISTORIAL!$F$3:$F$177&gt;0)),HISTORIAL!$G$3:$G$177),0),1,0),0),0),0))</f>
        <v>0</v>
      </c>
    </row>
    <row r="180" spans="1:15" ht="14.1" customHeight="1">
      <c r="A180" s="37">
        <v>3</v>
      </c>
      <c r="B180" s="37" t="s">
        <v>281</v>
      </c>
      <c r="C180" s="37">
        <v>1</v>
      </c>
      <c r="D180" s="56" t="str">
        <f>SABADO!$A$61</f>
        <v>Pulldown</v>
      </c>
      <c r="E180" s="57" t="str">
        <f>SABADO!$B$61</f>
        <v>Polea Alta Brazos Rectos Prono</v>
      </c>
      <c r="F180" s="37" t="str">
        <f>SABADO!$C$61</f>
        <v>polea</v>
      </c>
      <c r="G180" s="37" t="str">
        <f>IFERROR(LOOKUP(2,1/((HISTORIAL!$O$3:$O$178=D180&amp;"|"&amp;E180)*(HISTORIAL!$F$3:$F$178&lt;&gt;"")),HISTORIAL!$F$3:$F$178),"")</f>
        <v/>
      </c>
      <c r="H180" s="37" t="str">
        <f>IFERROR(LOOKUP(2,1/((HISTORIAL!$O$3:$O$178=D180&amp;"|"&amp;E180)*(HISTORIAL!$F$3:$F$178&lt;&gt;"")),HISTORIAL!$G$3:$G$178),"")</f>
        <v/>
      </c>
      <c r="I180" s="37" t="str">
        <f>IFERROR(LOOKUP(2,1/((HISTORIAL!$O$3:$O$178=D180&amp;"|"&amp;E180)*(HISTORIAL!$F$3:$F$178&lt;&gt;"")),HISTORIAL!$H$3:$H$178),"")</f>
        <v/>
      </c>
      <c r="J180" s="37" t="str">
        <f>IFERROR(LOOKUP(2,1/((HISTORIAL!$O$3:$O$178=D180&amp;"|"&amp;E180)*(HISTORIAL!$F$3:$F$178&lt;&gt;"")),HISTORIAL!$I$3:$I$178),"")</f>
        <v/>
      </c>
      <c r="K180" s="58" t="str">
        <f>IFERROR(IF(OR(G180="",N180="SIN"),"--",IF(N180="SUBIR_F",IF(F180="polea",IFERROR(INDEX(CONFIG!$B$25:$B$40,MATCH(G180,CONFIG!$B$25:$B$40,0)+2),IFERROR(INDEX(CONFIG!$B$25:$B$40,MATCH(G180,CONFIG!$B$25:$B$40,0)+1),G180)),G180+5),IF(OR(N180="SUBIR",N180="SUBIR_E"),IF(F180="polea",IFERROR(INDEX(CONFIG!$B$25:$B$40,MATCH(G180,CONFIG!$B$25:$B$40,0)+1),G180),G180+2.5),IF(N180="BAJAR",IF(F180="polea",IFERROR(INDEX(CONFIG!$B$25:$B$40,MAX(1,MATCH(G180,CONFIG!$B$25:$B$40,0)-1)),G180),MAX(0,G180-2.5)),G180)))),"--")</f>
        <v>--</v>
      </c>
      <c r="L180" s="59" t="str">
        <f>IFERROR(IF(N180="SIN","--",IF(N180="MANT",IF(H180="","--",H180+1),IFERROR(VLOOKUP(CONFIG!$E$2,CONFIG!$A$6:$E$8,2,0),"--"))),"--")</f>
        <v>--</v>
      </c>
      <c r="M180" s="59" t="str">
        <f>IFERROR(IF(N180="SIN","--",IF(CONFIG!$E$2="HIP",2,IF(CONFIG!$E$2="FUE",1,2))),"--")</f>
        <v>--</v>
      </c>
      <c r="N180" s="53" t="str">
        <f>IFERROR(IF(G180="","SIN",IF(O180=1,"SUBIR_E",IF(H180&lt;IFERROR(VLOOKUP(CONFIG!$E$2,CONFIG!$A$6:$E$8,2,0),6),"BAJAR",IF(H180+I180&gt;=IFERROR(VLOOKUP(CONFIG!$E$2,CONFIG!$A$6:$E$8,3,0),12),"SUBIR_F",IF(AND(H180&gt;=IFERROR(VLOOKUP(CONFIG!$E$2,CONFIG!$A$6:$E$8,2,0),6)+2,I180&gt;=2),"SUBIR",IF(I180&gt;IFERROR(VLOOKUP(CONFIG!$E$2,CONFIG!$A$6:$E$8,5,0),3),"SUBIR","MANT")))))),"SIN")</f>
        <v>SIN</v>
      </c>
      <c r="O180" s="55">
        <f>IF(COUNTIFS(HISTORIAL!$O$3:$O$178,D180&amp;"|"&amp;E180,HISTORIAL!$F$3:$F$178,"&gt;0")&lt;2,0,IF(COUNTIFS(HISTORIAL!$O$3:$O$178,D180&amp;"|"&amp;E180,HISTORIAL!$F$3:$F$178,IFERROR(LOOKUP(2,1/((HISTORIAL!$O$3:$O$178=D180&amp;"|"&amp;E180)*(HISTORIAL!$F$3:$F$178&gt;0)),HISTORIAL!$F$3:$F$178),0))&gt;=2,IF(IFERROR(LOOKUP(2,1/((HISTORIAL!$O$3:$O$178=D180&amp;"|"&amp;E180)*(HISTORIAL!$F$3:$F$178&gt;0)),HISTORIAL!$G$3:$G$178),0)&gt;0,IF(F180&gt;0,IF(G180&lt;=IFERROR(LOOKUP(2,1/((HISTORIAL!$O$3:$O$178=D180&amp;"|"&amp;E180)*(HISTORIAL!$F$3:$F$178&gt;0)),HISTORIAL!$G$3:$G$178),0),1,0),0),0),0))</f>
        <v>0</v>
      </c>
    </row>
    <row r="181" spans="1:15" ht="14.1" customHeight="1">
      <c r="A181" s="37">
        <v>3</v>
      </c>
      <c r="B181" s="37" t="s">
        <v>281</v>
      </c>
      <c r="C181" s="37">
        <v>2</v>
      </c>
      <c r="D181" s="56" t="str">
        <f>SABADO!$A$63</f>
        <v>Remo</v>
      </c>
      <c r="E181" s="57" t="str">
        <f>SABADO!$B$63</f>
        <v>Maquina Neutro Estrecho</v>
      </c>
      <c r="F181" s="37" t="str">
        <f>SABADO!$C$63</f>
        <v>polea</v>
      </c>
      <c r="G181" s="37" t="str">
        <f>IFERROR(LOOKUP(2,1/((HISTORIAL!$O$3:$O$179=D181&amp;"|"&amp;E181)*(HISTORIAL!$F$3:$F$179&lt;&gt;"")),HISTORIAL!$F$3:$F$179),"")</f>
        <v/>
      </c>
      <c r="H181" s="37" t="str">
        <f>IFERROR(LOOKUP(2,1/((HISTORIAL!$O$3:$O$179=D181&amp;"|"&amp;E181)*(HISTORIAL!$F$3:$F$179&lt;&gt;"")),HISTORIAL!$G$3:$G$179),"")</f>
        <v/>
      </c>
      <c r="I181" s="37" t="str">
        <f>IFERROR(LOOKUP(2,1/((HISTORIAL!$O$3:$O$179=D181&amp;"|"&amp;E181)*(HISTORIAL!$F$3:$F$179&lt;&gt;"")),HISTORIAL!$H$3:$H$179),"")</f>
        <v/>
      </c>
      <c r="J181" s="37" t="str">
        <f>IFERROR(LOOKUP(2,1/((HISTORIAL!$O$3:$O$179=D181&amp;"|"&amp;E181)*(HISTORIAL!$F$3:$F$179&lt;&gt;"")),HISTORIAL!$I$3:$I$179),"")</f>
        <v/>
      </c>
      <c r="K181" s="58" t="str">
        <f>IFERROR(IF(OR(G181="",N181="SIN"),"--",IF(N181="SUBIR_F",IF(F181="polea",IFERROR(INDEX(CONFIG!$B$25:$B$40,MATCH(G181,CONFIG!$B$25:$B$40,0)+2),IFERROR(INDEX(CONFIG!$B$25:$B$40,MATCH(G181,CONFIG!$B$25:$B$40,0)+1),G181)),G181+5),IF(OR(N181="SUBIR",N181="SUBIR_E"),IF(F181="polea",IFERROR(INDEX(CONFIG!$B$25:$B$40,MATCH(G181,CONFIG!$B$25:$B$40,0)+1),G181),G181+2.5),IF(N181="BAJAR",IF(F181="polea",IFERROR(INDEX(CONFIG!$B$25:$B$40,MAX(1,MATCH(G181,CONFIG!$B$25:$B$40,0)-1)),G181),MAX(0,G181-2.5)),G181)))),"--")</f>
        <v>--</v>
      </c>
      <c r="L181" s="59" t="str">
        <f>IFERROR(IF(N181="SIN","--",IF(N181="MANT",IF(H181="","--",H181+1),IFERROR(VLOOKUP(CONFIG!$E$2,CONFIG!$A$6:$E$8,2,0),"--"))),"--")</f>
        <v>--</v>
      </c>
      <c r="M181" s="59" t="str">
        <f>IFERROR(IF(N181="SIN","--",IF(CONFIG!$E$2="HIP",2,IF(CONFIG!$E$2="FUE",1,2))),"--")</f>
        <v>--</v>
      </c>
      <c r="N181" s="53" t="str">
        <f>IFERROR(IF(G181="","SIN",IF(O181=1,"SUBIR_E",IF(H181&lt;IFERROR(VLOOKUP(CONFIG!$E$2,CONFIG!$A$6:$E$8,2,0),6),"BAJAR",IF(H181+I181&gt;=IFERROR(VLOOKUP(CONFIG!$E$2,CONFIG!$A$6:$E$8,3,0),12),"SUBIR_F",IF(AND(H181&gt;=IFERROR(VLOOKUP(CONFIG!$E$2,CONFIG!$A$6:$E$8,2,0),6)+2,I181&gt;=2),"SUBIR",IF(I181&gt;IFERROR(VLOOKUP(CONFIG!$E$2,CONFIG!$A$6:$E$8,5,0),3),"SUBIR","MANT")))))),"SIN")</f>
        <v>SIN</v>
      </c>
      <c r="O181" s="55">
        <f>IF(COUNTIFS(HISTORIAL!$O$3:$O$179,D181&amp;"|"&amp;E181,HISTORIAL!$F$3:$F$179,"&gt;0")&lt;2,0,IF(COUNTIFS(HISTORIAL!$O$3:$O$179,D181&amp;"|"&amp;E181,HISTORIAL!$F$3:$F$179,IFERROR(LOOKUP(2,1/((HISTORIAL!$O$3:$O$179=D181&amp;"|"&amp;E181)*(HISTORIAL!$F$3:$F$179&gt;0)),HISTORIAL!$F$3:$F$179),0))&gt;=2,IF(IFERROR(LOOKUP(2,1/((HISTORIAL!$O$3:$O$179=D181&amp;"|"&amp;E181)*(HISTORIAL!$F$3:$F$179&gt;0)),HISTORIAL!$G$3:$G$179),0)&gt;0,IF(F181&gt;0,IF(G181&lt;=IFERROR(LOOKUP(2,1/((HISTORIAL!$O$3:$O$179=D181&amp;"|"&amp;E181)*(HISTORIAL!$F$3:$F$179&gt;0)),HISTORIAL!$G$3:$G$179),0),1,0),0),0),0))</f>
        <v>0</v>
      </c>
    </row>
    <row r="182" spans="1:15" ht="14.1" customHeight="1">
      <c r="A182" s="37">
        <v>3</v>
      </c>
      <c r="B182" s="37" t="s">
        <v>281</v>
      </c>
      <c r="C182" s="37">
        <v>3</v>
      </c>
      <c r="D182" s="56" t="str">
        <f>SABADO!$A$64</f>
        <v>Remo</v>
      </c>
      <c r="E182" s="57" t="str">
        <f>SABADO!$B$64</f>
        <v>Maquina Neutro Ancho</v>
      </c>
      <c r="F182" s="37" t="str">
        <f>SABADO!$C$64</f>
        <v>polea</v>
      </c>
      <c r="G182" s="37" t="str">
        <f>IFERROR(LOOKUP(2,1/((HISTORIAL!$O$3:$O$180=D182&amp;"|"&amp;E182)*(HISTORIAL!$F$3:$F$180&lt;&gt;"")),HISTORIAL!$F$3:$F$180),"")</f>
        <v/>
      </c>
      <c r="H182" s="37" t="str">
        <f>IFERROR(LOOKUP(2,1/((HISTORIAL!$O$3:$O$180=D182&amp;"|"&amp;E182)*(HISTORIAL!$F$3:$F$180&lt;&gt;"")),HISTORIAL!$G$3:$G$180),"")</f>
        <v/>
      </c>
      <c r="I182" s="37" t="str">
        <f>IFERROR(LOOKUP(2,1/((HISTORIAL!$O$3:$O$180=D182&amp;"|"&amp;E182)*(HISTORIAL!$F$3:$F$180&lt;&gt;"")),HISTORIAL!$H$3:$H$180),"")</f>
        <v/>
      </c>
      <c r="J182" s="37" t="str">
        <f>IFERROR(LOOKUP(2,1/((HISTORIAL!$O$3:$O$180=D182&amp;"|"&amp;E182)*(HISTORIAL!$F$3:$F$180&lt;&gt;"")),HISTORIAL!$I$3:$I$180),"")</f>
        <v/>
      </c>
      <c r="K182" s="58" t="str">
        <f>IFERROR(IF(OR(G182="",N182="SIN"),"--",IF(N182="SUBIR_F",IF(F182="polea",IFERROR(INDEX(CONFIG!$B$25:$B$40,MATCH(G182,CONFIG!$B$25:$B$40,0)+2),IFERROR(INDEX(CONFIG!$B$25:$B$40,MATCH(G182,CONFIG!$B$25:$B$40,0)+1),G182)),G182+5),IF(OR(N182="SUBIR",N182="SUBIR_E"),IF(F182="polea",IFERROR(INDEX(CONFIG!$B$25:$B$40,MATCH(G182,CONFIG!$B$25:$B$40,0)+1),G182),G182+2.5),IF(N182="BAJAR",IF(F182="polea",IFERROR(INDEX(CONFIG!$B$25:$B$40,MAX(1,MATCH(G182,CONFIG!$B$25:$B$40,0)-1)),G182),MAX(0,G182-2.5)),G182)))),"--")</f>
        <v>--</v>
      </c>
      <c r="L182" s="59" t="str">
        <f>IFERROR(IF(N182="SIN","--",IF(N182="MANT",IF(H182="","--",H182+1),IFERROR(VLOOKUP(CONFIG!$E$2,CONFIG!$A$6:$E$8,2,0),"--"))),"--")</f>
        <v>--</v>
      </c>
      <c r="M182" s="59" t="str">
        <f>IFERROR(IF(N182="SIN","--",IF(CONFIG!$E$2="HIP",2,IF(CONFIG!$E$2="FUE",1,2))),"--")</f>
        <v>--</v>
      </c>
      <c r="N182" s="53" t="str">
        <f>IFERROR(IF(G182="","SIN",IF(O182=1,"SUBIR_E",IF(H182&lt;IFERROR(VLOOKUP(CONFIG!$E$2,CONFIG!$A$6:$E$8,2,0),6),"BAJAR",IF(H182+I182&gt;=IFERROR(VLOOKUP(CONFIG!$E$2,CONFIG!$A$6:$E$8,3,0),12),"SUBIR_F",IF(AND(H182&gt;=IFERROR(VLOOKUP(CONFIG!$E$2,CONFIG!$A$6:$E$8,2,0),6)+2,I182&gt;=2),"SUBIR",IF(I182&gt;IFERROR(VLOOKUP(CONFIG!$E$2,CONFIG!$A$6:$E$8,5,0),3),"SUBIR","MANT")))))),"SIN")</f>
        <v>SIN</v>
      </c>
      <c r="O182" s="55">
        <f>IF(COUNTIFS(HISTORIAL!$O$3:$O$180,D182&amp;"|"&amp;E182,HISTORIAL!$F$3:$F$180,"&gt;0")&lt;2,0,IF(COUNTIFS(HISTORIAL!$O$3:$O$180,D182&amp;"|"&amp;E182,HISTORIAL!$F$3:$F$180,IFERROR(LOOKUP(2,1/((HISTORIAL!$O$3:$O$180=D182&amp;"|"&amp;E182)*(HISTORIAL!$F$3:$F$180&gt;0)),HISTORIAL!$F$3:$F$180),0))&gt;=2,IF(IFERROR(LOOKUP(2,1/((HISTORIAL!$O$3:$O$180=D182&amp;"|"&amp;E182)*(HISTORIAL!$F$3:$F$180&gt;0)),HISTORIAL!$G$3:$G$180),0)&gt;0,IF(F182&gt;0,IF(G182&lt;=IFERROR(LOOKUP(2,1/((HISTORIAL!$O$3:$O$180=D182&amp;"|"&amp;E182)*(HISTORIAL!$F$3:$F$180&gt;0)),HISTORIAL!$G$3:$G$180),0),1,0),0),0),0))</f>
        <v>0</v>
      </c>
    </row>
    <row r="183" spans="1:15" ht="14.1" customHeight="1">
      <c r="A183" s="37">
        <v>3</v>
      </c>
      <c r="B183" s="37" t="s">
        <v>281</v>
      </c>
      <c r="C183" s="37">
        <v>4</v>
      </c>
      <c r="D183" s="56" t="str">
        <f>SABADO!$A$65</f>
        <v>Peck Deck Invertida</v>
      </c>
      <c r="E183" s="57" t="str">
        <f>SABADO!$B$65</f>
        <v>Maquina</v>
      </c>
      <c r="F183" s="37" t="str">
        <f>SABADO!$C$65</f>
        <v>polea</v>
      </c>
      <c r="G183" s="37" t="str">
        <f>IFERROR(LOOKUP(2,1/((HISTORIAL!$O$3:$O$181=D183&amp;"|"&amp;E183)*(HISTORIAL!$F$3:$F$181&lt;&gt;"")),HISTORIAL!$F$3:$F$181),"")</f>
        <v/>
      </c>
      <c r="H183" s="37" t="str">
        <f>IFERROR(LOOKUP(2,1/((HISTORIAL!$O$3:$O$181=D183&amp;"|"&amp;E183)*(HISTORIAL!$F$3:$F$181&lt;&gt;"")),HISTORIAL!$G$3:$G$181),"")</f>
        <v/>
      </c>
      <c r="I183" s="37" t="str">
        <f>IFERROR(LOOKUP(2,1/((HISTORIAL!$O$3:$O$181=D183&amp;"|"&amp;E183)*(HISTORIAL!$F$3:$F$181&lt;&gt;"")),HISTORIAL!$H$3:$H$181),"")</f>
        <v/>
      </c>
      <c r="J183" s="37" t="str">
        <f>IFERROR(LOOKUP(2,1/((HISTORIAL!$O$3:$O$181=D183&amp;"|"&amp;E183)*(HISTORIAL!$F$3:$F$181&lt;&gt;"")),HISTORIAL!$I$3:$I$181),"")</f>
        <v/>
      </c>
      <c r="K183" s="58" t="str">
        <f>IFERROR(IF(OR(G183="",N183="SIN"),"--",IF(N183="SUBIR_F",IF(F183="polea",IFERROR(INDEX(CONFIG!$B$25:$B$40,MATCH(G183,CONFIG!$B$25:$B$40,0)+2),IFERROR(INDEX(CONFIG!$B$25:$B$40,MATCH(G183,CONFIG!$B$25:$B$40,0)+1),G183)),G183+5),IF(OR(N183="SUBIR",N183="SUBIR_E"),IF(F183="polea",IFERROR(INDEX(CONFIG!$B$25:$B$40,MATCH(G183,CONFIG!$B$25:$B$40,0)+1),G183),G183+2.5),IF(N183="BAJAR",IF(F183="polea",IFERROR(INDEX(CONFIG!$B$25:$B$40,MAX(1,MATCH(G183,CONFIG!$B$25:$B$40,0)-1)),G183),MAX(0,G183-2.5)),G183)))),"--")</f>
        <v>--</v>
      </c>
      <c r="L183" s="59" t="str">
        <f>IFERROR(IF(N183="SIN","--",IF(N183="MANT",IF(H183="","--",H183+1),IFERROR(VLOOKUP(CONFIG!$E$2,CONFIG!$A$6:$E$8,2,0),"--"))),"--")</f>
        <v>--</v>
      </c>
      <c r="M183" s="59" t="str">
        <f>IFERROR(IF(N183="SIN","--",IF(CONFIG!$E$2="HIP",2,IF(CONFIG!$E$2="FUE",1,2))),"--")</f>
        <v>--</v>
      </c>
      <c r="N183" s="53" t="str">
        <f>IFERROR(IF(G183="","SIN",IF(O183=1,"SUBIR_E",IF(H183&lt;IFERROR(VLOOKUP(CONFIG!$E$2,CONFIG!$A$6:$E$8,2,0),6),"BAJAR",IF(H183+I183&gt;=IFERROR(VLOOKUP(CONFIG!$E$2,CONFIG!$A$6:$E$8,3,0),12),"SUBIR_F",IF(AND(H183&gt;=IFERROR(VLOOKUP(CONFIG!$E$2,CONFIG!$A$6:$E$8,2,0),6)+2,I183&gt;=2),"SUBIR",IF(I183&gt;IFERROR(VLOOKUP(CONFIG!$E$2,CONFIG!$A$6:$E$8,5,0),3),"SUBIR","MANT")))))),"SIN")</f>
        <v>SIN</v>
      </c>
      <c r="O183" s="55">
        <f>IF(COUNTIFS(HISTORIAL!$O$3:$O$181,D183&amp;"|"&amp;E183,HISTORIAL!$F$3:$F$181,"&gt;0")&lt;2,0,IF(COUNTIFS(HISTORIAL!$O$3:$O$181,D183&amp;"|"&amp;E183,HISTORIAL!$F$3:$F$181,IFERROR(LOOKUP(2,1/((HISTORIAL!$O$3:$O$181=D183&amp;"|"&amp;E183)*(HISTORIAL!$F$3:$F$181&gt;0)),HISTORIAL!$F$3:$F$181),0))&gt;=2,IF(IFERROR(LOOKUP(2,1/((HISTORIAL!$O$3:$O$181=D183&amp;"|"&amp;E183)*(HISTORIAL!$F$3:$F$181&gt;0)),HISTORIAL!$G$3:$G$181),0)&gt;0,IF(F183&gt;0,IF(G183&lt;=IFERROR(LOOKUP(2,1/((HISTORIAL!$O$3:$O$181=D183&amp;"|"&amp;E183)*(HISTORIAL!$F$3:$F$181&gt;0)),HISTORIAL!$G$3:$G$181),0),1,0),0),0),0))</f>
        <v>0</v>
      </c>
    </row>
    <row r="184" spans="1:15" ht="14.1" customHeight="1">
      <c r="A184" s="37">
        <v>3</v>
      </c>
      <c r="B184" s="37" t="s">
        <v>281</v>
      </c>
      <c r="C184" s="37">
        <v>5</v>
      </c>
      <c r="D184" s="56" t="str">
        <f>SABADO!$A$67</f>
        <v>Curl Biceps</v>
      </c>
      <c r="E184" s="57" t="str">
        <f>SABADO!$B$67</f>
        <v>Concentrado Maquina</v>
      </c>
      <c r="F184" s="37" t="str">
        <f>SABADO!$C$67</f>
        <v>polea</v>
      </c>
      <c r="G184" s="37" t="str">
        <f>IFERROR(LOOKUP(2,1/((HISTORIAL!$O$3:$O$182=D184&amp;"|"&amp;E184)*(HISTORIAL!$F$3:$F$182&lt;&gt;"")),HISTORIAL!$F$3:$F$182),"")</f>
        <v/>
      </c>
      <c r="H184" s="37" t="str">
        <f>IFERROR(LOOKUP(2,1/((HISTORIAL!$O$3:$O$182=D184&amp;"|"&amp;E184)*(HISTORIAL!$F$3:$F$182&lt;&gt;"")),HISTORIAL!$G$3:$G$182),"")</f>
        <v/>
      </c>
      <c r="I184" s="37" t="str">
        <f>IFERROR(LOOKUP(2,1/((HISTORIAL!$O$3:$O$182=D184&amp;"|"&amp;E184)*(HISTORIAL!$F$3:$F$182&lt;&gt;"")),HISTORIAL!$H$3:$H$182),"")</f>
        <v/>
      </c>
      <c r="J184" s="37" t="str">
        <f>IFERROR(LOOKUP(2,1/((HISTORIAL!$O$3:$O$182=D184&amp;"|"&amp;E184)*(HISTORIAL!$F$3:$F$182&lt;&gt;"")),HISTORIAL!$I$3:$I$182),"")</f>
        <v/>
      </c>
      <c r="K184" s="58" t="str">
        <f>IFERROR(IF(OR(G184="",N184="SIN"),"--",IF(N184="SUBIR_F",IF(F184="polea",IFERROR(INDEX(CONFIG!$B$25:$B$40,MATCH(G184,CONFIG!$B$25:$B$40,0)+2),IFERROR(INDEX(CONFIG!$B$25:$B$40,MATCH(G184,CONFIG!$B$25:$B$40,0)+1),G184)),G184+5),IF(OR(N184="SUBIR",N184="SUBIR_E"),IF(F184="polea",IFERROR(INDEX(CONFIG!$B$25:$B$40,MATCH(G184,CONFIG!$B$25:$B$40,0)+1),G184),G184+2.5),IF(N184="BAJAR",IF(F184="polea",IFERROR(INDEX(CONFIG!$B$25:$B$40,MAX(1,MATCH(G184,CONFIG!$B$25:$B$40,0)-1)),G184),MAX(0,G184-2.5)),G184)))),"--")</f>
        <v>--</v>
      </c>
      <c r="L184" s="59" t="str">
        <f>IFERROR(IF(N184="SIN","--",IF(N184="MANT",IF(H184="","--",H184+1),IFERROR(VLOOKUP(CONFIG!$E$2,CONFIG!$A$6:$E$8,2,0),"--"))),"--")</f>
        <v>--</v>
      </c>
      <c r="M184" s="59" t="str">
        <f>IFERROR(IF(N184="SIN","--",IF(CONFIG!$E$2="HIP",2,IF(CONFIG!$E$2="FUE",1,2))),"--")</f>
        <v>--</v>
      </c>
      <c r="N184" s="53" t="str">
        <f>IFERROR(IF(G184="","SIN",IF(O184=1,"SUBIR_E",IF(H184&lt;IFERROR(VLOOKUP(CONFIG!$E$2,CONFIG!$A$6:$E$8,2,0),6),"BAJAR",IF(H184+I184&gt;=IFERROR(VLOOKUP(CONFIG!$E$2,CONFIG!$A$6:$E$8,3,0),12),"SUBIR_F",IF(AND(H184&gt;=IFERROR(VLOOKUP(CONFIG!$E$2,CONFIG!$A$6:$E$8,2,0),6)+2,I184&gt;=2),"SUBIR",IF(I184&gt;IFERROR(VLOOKUP(CONFIG!$E$2,CONFIG!$A$6:$E$8,5,0),3),"SUBIR","MANT")))))),"SIN")</f>
        <v>SIN</v>
      </c>
      <c r="O184" s="55">
        <f>IF(COUNTIFS(HISTORIAL!$O$3:$O$182,D184&amp;"|"&amp;E184,HISTORIAL!$F$3:$F$182,"&gt;0")&lt;2,0,IF(COUNTIFS(HISTORIAL!$O$3:$O$182,D184&amp;"|"&amp;E184,HISTORIAL!$F$3:$F$182,IFERROR(LOOKUP(2,1/((HISTORIAL!$O$3:$O$182=D184&amp;"|"&amp;E184)*(HISTORIAL!$F$3:$F$182&gt;0)),HISTORIAL!$F$3:$F$182),0))&gt;=2,IF(IFERROR(LOOKUP(2,1/((HISTORIAL!$O$3:$O$182=D184&amp;"|"&amp;E184)*(HISTORIAL!$F$3:$F$182&gt;0)),HISTORIAL!$G$3:$G$182),0)&gt;0,IF(F184&gt;0,IF(G184&lt;=IFERROR(LOOKUP(2,1/((HISTORIAL!$O$3:$O$182=D184&amp;"|"&amp;E184)*(HISTORIAL!$F$3:$F$182&gt;0)),HISTORIAL!$G$3:$G$182),0),1,0),0),0),0))</f>
        <v>0</v>
      </c>
    </row>
    <row r="185" spans="1:15" ht="14.1" customHeight="1">
      <c r="A185" s="37">
        <v>3</v>
      </c>
      <c r="B185" s="37" t="s">
        <v>281</v>
      </c>
      <c r="C185" s="37">
        <v>6</v>
      </c>
      <c r="D185" s="56" t="str">
        <f>SABADO!$A$68</f>
        <v>Curl Martillo</v>
      </c>
      <c r="E185" s="57" t="str">
        <f>SABADO!$B$68</f>
        <v>Polea Individual</v>
      </c>
      <c r="F185" s="37" t="str">
        <f>SABADO!$C$68</f>
        <v>polea</v>
      </c>
      <c r="G185" s="37" t="str">
        <f>IFERROR(LOOKUP(2,1/((HISTORIAL!$O$3:$O$183=D185&amp;"|"&amp;E185)*(HISTORIAL!$F$3:$F$183&lt;&gt;"")),HISTORIAL!$F$3:$F$183),"")</f>
        <v/>
      </c>
      <c r="H185" s="37" t="str">
        <f>IFERROR(LOOKUP(2,1/((HISTORIAL!$O$3:$O$183=D185&amp;"|"&amp;E185)*(HISTORIAL!$F$3:$F$183&lt;&gt;"")),HISTORIAL!$G$3:$G$183),"")</f>
        <v/>
      </c>
      <c r="I185" s="37" t="str">
        <f>IFERROR(LOOKUP(2,1/((HISTORIAL!$O$3:$O$183=D185&amp;"|"&amp;E185)*(HISTORIAL!$F$3:$F$183&lt;&gt;"")),HISTORIAL!$H$3:$H$183),"")</f>
        <v/>
      </c>
      <c r="J185" s="37" t="str">
        <f>IFERROR(LOOKUP(2,1/((HISTORIAL!$O$3:$O$183=D185&amp;"|"&amp;E185)*(HISTORIAL!$F$3:$F$183&lt;&gt;"")),HISTORIAL!$I$3:$I$183),"")</f>
        <v/>
      </c>
      <c r="K185" s="58" t="str">
        <f>IFERROR(IF(OR(G185="",N185="SIN"),"--",IF(N185="SUBIR_F",IF(F185="polea",IFERROR(INDEX(CONFIG!$B$25:$B$40,MATCH(G185,CONFIG!$B$25:$B$40,0)+2),IFERROR(INDEX(CONFIG!$B$25:$B$40,MATCH(G185,CONFIG!$B$25:$B$40,0)+1),G185)),G185+5),IF(OR(N185="SUBIR",N185="SUBIR_E"),IF(F185="polea",IFERROR(INDEX(CONFIG!$B$25:$B$40,MATCH(G185,CONFIG!$B$25:$B$40,0)+1),G185),G185+2.5),IF(N185="BAJAR",IF(F185="polea",IFERROR(INDEX(CONFIG!$B$25:$B$40,MAX(1,MATCH(G185,CONFIG!$B$25:$B$40,0)-1)),G185),MAX(0,G185-2.5)),G185)))),"--")</f>
        <v>--</v>
      </c>
      <c r="L185" s="59" t="str">
        <f>IFERROR(IF(N185="SIN","--",IF(N185="MANT",IF(H185="","--",H185+1),IFERROR(VLOOKUP(CONFIG!$E$2,CONFIG!$A$6:$E$8,2,0),"--"))),"--")</f>
        <v>--</v>
      </c>
      <c r="M185" s="59" t="str">
        <f>IFERROR(IF(N185="SIN","--",IF(CONFIG!$E$2="HIP",2,IF(CONFIG!$E$2="FUE",1,2))),"--")</f>
        <v>--</v>
      </c>
      <c r="N185" s="53" t="str">
        <f>IFERROR(IF(G185="","SIN",IF(O185=1,"SUBIR_E",IF(H185&lt;IFERROR(VLOOKUP(CONFIG!$E$2,CONFIG!$A$6:$E$8,2,0),6),"BAJAR",IF(H185+I185&gt;=IFERROR(VLOOKUP(CONFIG!$E$2,CONFIG!$A$6:$E$8,3,0),12),"SUBIR_F",IF(AND(H185&gt;=IFERROR(VLOOKUP(CONFIG!$E$2,CONFIG!$A$6:$E$8,2,0),6)+2,I185&gt;=2),"SUBIR",IF(I185&gt;IFERROR(VLOOKUP(CONFIG!$E$2,CONFIG!$A$6:$E$8,5,0),3),"SUBIR","MANT")))))),"SIN")</f>
        <v>SIN</v>
      </c>
      <c r="O185" s="55">
        <f>IF(COUNTIFS(HISTORIAL!$O$3:$O$183,D185&amp;"|"&amp;E185,HISTORIAL!$F$3:$F$183,"&gt;0")&lt;2,0,IF(COUNTIFS(HISTORIAL!$O$3:$O$183,D185&amp;"|"&amp;E185,HISTORIAL!$F$3:$F$183,IFERROR(LOOKUP(2,1/((HISTORIAL!$O$3:$O$183=D185&amp;"|"&amp;E185)*(HISTORIAL!$F$3:$F$183&gt;0)),HISTORIAL!$F$3:$F$183),0))&gt;=2,IF(IFERROR(LOOKUP(2,1/((HISTORIAL!$O$3:$O$183=D185&amp;"|"&amp;E185)*(HISTORIAL!$F$3:$F$183&gt;0)),HISTORIAL!$G$3:$G$183),0)&gt;0,IF(F185&gt;0,IF(G185&lt;=IFERROR(LOOKUP(2,1/((HISTORIAL!$O$3:$O$183=D185&amp;"|"&amp;E185)*(HISTORIAL!$F$3:$F$183&gt;0)),HISTORIAL!$G$3:$G$183),0),1,0),0),0),0))</f>
        <v>0</v>
      </c>
    </row>
    <row r="186" spans="1:15" ht="14.1" customHeight="1">
      <c r="A186" s="37">
        <v>3</v>
      </c>
      <c r="B186" s="37" t="s">
        <v>281</v>
      </c>
      <c r="C186" s="37">
        <v>7</v>
      </c>
      <c r="D186" s="56" t="str">
        <f>SABADO!$A$70</f>
        <v>Curl Muneca</v>
      </c>
      <c r="E186" s="57" t="str">
        <f>SABADO!$B$70</f>
        <v>Supinado</v>
      </c>
      <c r="F186" s="37" t="str">
        <f>SABADO!$C$70</f>
        <v>mancuerna</v>
      </c>
      <c r="G186" s="37" t="str">
        <f>IFERROR(LOOKUP(2,1/((HISTORIAL!$O$3:$O$184=D186&amp;"|"&amp;E186)*(HISTORIAL!$F$3:$F$184&lt;&gt;"")),HISTORIAL!$F$3:$F$184),"")</f>
        <v/>
      </c>
      <c r="H186" s="37" t="str">
        <f>IFERROR(LOOKUP(2,1/((HISTORIAL!$O$3:$O$184=D186&amp;"|"&amp;E186)*(HISTORIAL!$F$3:$F$184&lt;&gt;"")),HISTORIAL!$G$3:$G$184),"")</f>
        <v/>
      </c>
      <c r="I186" s="37" t="str">
        <f>IFERROR(LOOKUP(2,1/((HISTORIAL!$O$3:$O$184=D186&amp;"|"&amp;E186)*(HISTORIAL!$F$3:$F$184&lt;&gt;"")),HISTORIAL!$H$3:$H$184),"")</f>
        <v/>
      </c>
      <c r="J186" s="37" t="str">
        <f>IFERROR(LOOKUP(2,1/((HISTORIAL!$O$3:$O$184=D186&amp;"|"&amp;E186)*(HISTORIAL!$F$3:$F$184&lt;&gt;"")),HISTORIAL!$I$3:$I$184),"")</f>
        <v/>
      </c>
      <c r="K186" s="58" t="str">
        <f>IFERROR(IF(OR(G186="",N186="SIN"),"--",IF(N186="SUBIR_F",IF(F186="polea",IFERROR(INDEX(CONFIG!$B$25:$B$40,MATCH(G186,CONFIG!$B$25:$B$40,0)+2),IFERROR(INDEX(CONFIG!$B$25:$B$40,MATCH(G186,CONFIG!$B$25:$B$40,0)+1),G186)),G186+5),IF(OR(N186="SUBIR",N186="SUBIR_E"),IF(F186="polea",IFERROR(INDEX(CONFIG!$B$25:$B$40,MATCH(G186,CONFIG!$B$25:$B$40,0)+1),G186),G186+2.5),IF(N186="BAJAR",IF(F186="polea",IFERROR(INDEX(CONFIG!$B$25:$B$40,MAX(1,MATCH(G186,CONFIG!$B$25:$B$40,0)-1)),G186),MAX(0,G186-2.5)),G186)))),"--")</f>
        <v>--</v>
      </c>
      <c r="L186" s="59" t="str">
        <f>IFERROR(IF(N186="SIN","--",IF(N186="MANT",IF(H186="","--",H186+1),IFERROR(VLOOKUP(CONFIG!$E$2,CONFIG!$A$6:$E$8,2,0),"--"))),"--")</f>
        <v>--</v>
      </c>
      <c r="M186" s="59" t="str">
        <f>IFERROR(IF(N186="SIN","--",IF(CONFIG!$E$2="HIP",2,IF(CONFIG!$E$2="FUE",1,2))),"--")</f>
        <v>--</v>
      </c>
      <c r="N186" s="53" t="str">
        <f>IFERROR(IF(G186="","SIN",IF(O186=1,"SUBIR_E",IF(H186&lt;IFERROR(VLOOKUP(CONFIG!$E$2,CONFIG!$A$6:$E$8,2,0),6),"BAJAR",IF(H186+I186&gt;=IFERROR(VLOOKUP(CONFIG!$E$2,CONFIG!$A$6:$E$8,3,0),12),"SUBIR_F",IF(AND(H186&gt;=IFERROR(VLOOKUP(CONFIG!$E$2,CONFIG!$A$6:$E$8,2,0),6)+2,I186&gt;=2),"SUBIR",IF(I186&gt;IFERROR(VLOOKUP(CONFIG!$E$2,CONFIG!$A$6:$E$8,5,0),3),"SUBIR","MANT")))))),"SIN")</f>
        <v>SIN</v>
      </c>
      <c r="O186" s="55">
        <f>IF(COUNTIFS(HISTORIAL!$O$3:$O$184,D186&amp;"|"&amp;E186,HISTORIAL!$F$3:$F$184,"&gt;0")&lt;2,0,IF(COUNTIFS(HISTORIAL!$O$3:$O$184,D186&amp;"|"&amp;E186,HISTORIAL!$F$3:$F$184,IFERROR(LOOKUP(2,1/((HISTORIAL!$O$3:$O$184=D186&amp;"|"&amp;E186)*(HISTORIAL!$F$3:$F$184&gt;0)),HISTORIAL!$F$3:$F$184),0))&gt;=2,IF(IFERROR(LOOKUP(2,1/((HISTORIAL!$O$3:$O$184=D186&amp;"|"&amp;E186)*(HISTORIAL!$F$3:$F$184&gt;0)),HISTORIAL!$G$3:$G$184),0)&gt;0,IF(F186&gt;0,IF(G186&lt;=IFERROR(LOOKUP(2,1/((HISTORIAL!$O$3:$O$184=D186&amp;"|"&amp;E186)*(HISTORIAL!$F$3:$F$184&gt;0)),HISTORIAL!$G$3:$G$184),0),1,0),0),0),0))</f>
        <v>0</v>
      </c>
    </row>
    <row r="187" spans="1:15" ht="14.1" customHeight="1">
      <c r="A187" s="37">
        <v>3</v>
      </c>
      <c r="B187" s="37" t="s">
        <v>281</v>
      </c>
      <c r="C187" s="37">
        <v>8</v>
      </c>
      <c r="D187" s="56" t="str">
        <f>SABADO!$A$71</f>
        <v>Curl Muneca</v>
      </c>
      <c r="E187" s="57" t="str">
        <f>SABADO!$B$71</f>
        <v>Pronado</v>
      </c>
      <c r="F187" s="37" t="str">
        <f>SABADO!$C$71</f>
        <v>mancuerna</v>
      </c>
      <c r="G187" s="37" t="str">
        <f>IFERROR(LOOKUP(2,1/((HISTORIAL!$O$3:$O$185=D187&amp;"|"&amp;E187)*(HISTORIAL!$F$3:$F$185&lt;&gt;"")),HISTORIAL!$F$3:$F$185),"")</f>
        <v/>
      </c>
      <c r="H187" s="37" t="str">
        <f>IFERROR(LOOKUP(2,1/((HISTORIAL!$O$3:$O$185=D187&amp;"|"&amp;E187)*(HISTORIAL!$F$3:$F$185&lt;&gt;"")),HISTORIAL!$G$3:$G$185),"")</f>
        <v/>
      </c>
      <c r="I187" s="37" t="str">
        <f>IFERROR(LOOKUP(2,1/((HISTORIAL!$O$3:$O$185=D187&amp;"|"&amp;E187)*(HISTORIAL!$F$3:$F$185&lt;&gt;"")),HISTORIAL!$H$3:$H$185),"")</f>
        <v/>
      </c>
      <c r="J187" s="37" t="str">
        <f>IFERROR(LOOKUP(2,1/((HISTORIAL!$O$3:$O$185=D187&amp;"|"&amp;E187)*(HISTORIAL!$F$3:$F$185&lt;&gt;"")),HISTORIAL!$I$3:$I$185),"")</f>
        <v/>
      </c>
      <c r="K187" s="58" t="str">
        <f>IFERROR(IF(OR(G187="",N187="SIN"),"--",IF(N187="SUBIR_F",IF(F187="polea",IFERROR(INDEX(CONFIG!$B$25:$B$40,MATCH(G187,CONFIG!$B$25:$B$40,0)+2),IFERROR(INDEX(CONFIG!$B$25:$B$40,MATCH(G187,CONFIG!$B$25:$B$40,0)+1),G187)),G187+5),IF(OR(N187="SUBIR",N187="SUBIR_E"),IF(F187="polea",IFERROR(INDEX(CONFIG!$B$25:$B$40,MATCH(G187,CONFIG!$B$25:$B$40,0)+1),G187),G187+2.5),IF(N187="BAJAR",IF(F187="polea",IFERROR(INDEX(CONFIG!$B$25:$B$40,MAX(1,MATCH(G187,CONFIG!$B$25:$B$40,0)-1)),G187),MAX(0,G187-2.5)),G187)))),"--")</f>
        <v>--</v>
      </c>
      <c r="L187" s="59" t="str">
        <f>IFERROR(IF(N187="SIN","--",IF(N187="MANT",IF(H187="","--",H187+1),IFERROR(VLOOKUP(CONFIG!$E$2,CONFIG!$A$6:$E$8,2,0),"--"))),"--")</f>
        <v>--</v>
      </c>
      <c r="M187" s="59" t="str">
        <f>IFERROR(IF(N187="SIN","--",IF(CONFIG!$E$2="HIP",2,IF(CONFIG!$E$2="FUE",1,2))),"--")</f>
        <v>--</v>
      </c>
      <c r="N187" s="53" t="str">
        <f>IFERROR(IF(G187="","SIN",IF(O187=1,"SUBIR_E",IF(H187&lt;IFERROR(VLOOKUP(CONFIG!$E$2,CONFIG!$A$6:$E$8,2,0),6),"BAJAR",IF(H187+I187&gt;=IFERROR(VLOOKUP(CONFIG!$E$2,CONFIG!$A$6:$E$8,3,0),12),"SUBIR_F",IF(AND(H187&gt;=IFERROR(VLOOKUP(CONFIG!$E$2,CONFIG!$A$6:$E$8,2,0),6)+2,I187&gt;=2),"SUBIR",IF(I187&gt;IFERROR(VLOOKUP(CONFIG!$E$2,CONFIG!$A$6:$E$8,5,0),3),"SUBIR","MANT")))))),"SIN")</f>
        <v>SIN</v>
      </c>
      <c r="O187" s="55">
        <f>IF(COUNTIFS(HISTORIAL!$O$3:$O$185,D187&amp;"|"&amp;E187,HISTORIAL!$F$3:$F$185,"&gt;0")&lt;2,0,IF(COUNTIFS(HISTORIAL!$O$3:$O$185,D187&amp;"|"&amp;E187,HISTORIAL!$F$3:$F$185,IFERROR(LOOKUP(2,1/((HISTORIAL!$O$3:$O$185=D187&amp;"|"&amp;E187)*(HISTORIAL!$F$3:$F$185&gt;0)),HISTORIAL!$F$3:$F$185),0))&gt;=2,IF(IFERROR(LOOKUP(2,1/((HISTORIAL!$O$3:$O$185=D187&amp;"|"&amp;E187)*(HISTORIAL!$F$3:$F$185&gt;0)),HISTORIAL!$G$3:$G$185),0)&gt;0,IF(F187&gt;0,IF(G187&lt;=IFERROR(LOOKUP(2,1/((HISTORIAL!$O$3:$O$185=D187&amp;"|"&amp;E187)*(HISTORIAL!$F$3:$F$185&gt;0)),HISTORIAL!$G$3:$G$185),0),1,0),0),0),0))</f>
        <v>0</v>
      </c>
    </row>
    <row r="188" spans="1:15" ht="14.1" customHeight="1">
      <c r="A188" s="37">
        <v>3</v>
      </c>
      <c r="B188" s="37" t="s">
        <v>281</v>
      </c>
      <c r="C188" s="37">
        <v>9</v>
      </c>
      <c r="D188" s="56" t="str">
        <f>SABADO!$A$73</f>
        <v>Elevaciones Laterales</v>
      </c>
      <c r="E188" s="57" t="str">
        <f>SABADO!$B$73</f>
        <v>Cable Polea Individual</v>
      </c>
      <c r="F188" s="37" t="str">
        <f>SABADO!$C$73</f>
        <v>polea</v>
      </c>
      <c r="G188" s="37" t="str">
        <f>IFERROR(LOOKUP(2,1/((HISTORIAL!$O$3:$O$186=D188&amp;"|"&amp;E188)*(HISTORIAL!$F$3:$F$186&lt;&gt;"")),HISTORIAL!$F$3:$F$186),"")</f>
        <v/>
      </c>
      <c r="H188" s="37" t="str">
        <f>IFERROR(LOOKUP(2,1/((HISTORIAL!$O$3:$O$186=D188&amp;"|"&amp;E188)*(HISTORIAL!$F$3:$F$186&lt;&gt;"")),HISTORIAL!$G$3:$G$186),"")</f>
        <v/>
      </c>
      <c r="I188" s="37" t="str">
        <f>IFERROR(LOOKUP(2,1/((HISTORIAL!$O$3:$O$186=D188&amp;"|"&amp;E188)*(HISTORIAL!$F$3:$F$186&lt;&gt;"")),HISTORIAL!$H$3:$H$186),"")</f>
        <v/>
      </c>
      <c r="J188" s="37" t="str">
        <f>IFERROR(LOOKUP(2,1/((HISTORIAL!$O$3:$O$186=D188&amp;"|"&amp;E188)*(HISTORIAL!$F$3:$F$186&lt;&gt;"")),HISTORIAL!$I$3:$I$186),"")</f>
        <v/>
      </c>
      <c r="K188" s="58" t="str">
        <f>IFERROR(IF(OR(G188="",N188="SIN"),"--",IF(N188="SUBIR_F",IF(F188="polea",IFERROR(INDEX(CONFIG!$B$25:$B$40,MATCH(G188,CONFIG!$B$25:$B$40,0)+2),IFERROR(INDEX(CONFIG!$B$25:$B$40,MATCH(G188,CONFIG!$B$25:$B$40,0)+1),G188)),G188+5),IF(OR(N188="SUBIR",N188="SUBIR_E"),IF(F188="polea",IFERROR(INDEX(CONFIG!$B$25:$B$40,MATCH(G188,CONFIG!$B$25:$B$40,0)+1),G188),G188+2.5),IF(N188="BAJAR",IF(F188="polea",IFERROR(INDEX(CONFIG!$B$25:$B$40,MAX(1,MATCH(G188,CONFIG!$B$25:$B$40,0)-1)),G188),MAX(0,G188-2.5)),G188)))),"--")</f>
        <v>--</v>
      </c>
      <c r="L188" s="59" t="str">
        <f>IFERROR(IF(N188="SIN","--",IF(N188="MANT",IF(H188="","--",H188+1),IFERROR(VLOOKUP(CONFIG!$E$2,CONFIG!$A$6:$E$8,2,0),"--"))),"--")</f>
        <v>--</v>
      </c>
      <c r="M188" s="59" t="str">
        <f>IFERROR(IF(N188="SIN","--",IF(CONFIG!$E$2="HIP",2,IF(CONFIG!$E$2="FUE",1,2))),"--")</f>
        <v>--</v>
      </c>
      <c r="N188" s="53" t="str">
        <f>IFERROR(IF(G188="","SIN",IF(O188=1,"SUBIR_E",IF(H188&lt;IFERROR(VLOOKUP(CONFIG!$E$2,CONFIG!$A$6:$E$8,2,0),6),"BAJAR",IF(H188+I188&gt;=IFERROR(VLOOKUP(CONFIG!$E$2,CONFIG!$A$6:$E$8,3,0),12),"SUBIR_F",IF(AND(H188&gt;=IFERROR(VLOOKUP(CONFIG!$E$2,CONFIG!$A$6:$E$8,2,0),6)+2,I188&gt;=2),"SUBIR",IF(I188&gt;IFERROR(VLOOKUP(CONFIG!$E$2,CONFIG!$A$6:$E$8,5,0),3),"SUBIR","MANT")))))),"SIN")</f>
        <v>SIN</v>
      </c>
      <c r="O188" s="55">
        <f>IF(COUNTIFS(HISTORIAL!$O$3:$O$186,D188&amp;"|"&amp;E188,HISTORIAL!$F$3:$F$186,"&gt;0")&lt;2,0,IF(COUNTIFS(HISTORIAL!$O$3:$O$186,D188&amp;"|"&amp;E188,HISTORIAL!$F$3:$F$186,IFERROR(LOOKUP(2,1/((HISTORIAL!$O$3:$O$186=D188&amp;"|"&amp;E188)*(HISTORIAL!$F$3:$F$186&gt;0)),HISTORIAL!$F$3:$F$186),0))&gt;=2,IF(IFERROR(LOOKUP(2,1/((HISTORIAL!$O$3:$O$186=D188&amp;"|"&amp;E188)*(HISTORIAL!$F$3:$F$186&gt;0)),HISTORIAL!$G$3:$G$186),0)&gt;0,IF(F188&gt;0,IF(G188&lt;=IFERROR(LOOKUP(2,1/((HISTORIAL!$O$3:$O$186=D188&amp;"|"&amp;E188)*(HISTORIAL!$F$3:$F$186&gt;0)),HISTORIAL!$G$3:$G$186),0),1,0),0),0),0))</f>
        <v>0</v>
      </c>
    </row>
    <row r="189" spans="1:15" ht="14.1" customHeight="1">
      <c r="A189" s="37">
        <v>3</v>
      </c>
      <c r="B189" s="37" t="s">
        <v>281</v>
      </c>
      <c r="C189" s="37">
        <v>10</v>
      </c>
      <c r="D189" s="56" t="str">
        <f>SABADO!$A$75</f>
        <v>Encogimientos</v>
      </c>
      <c r="E189" s="57" t="str">
        <f>SABADO!$B$75</f>
        <v>Mancuernas Trapecio</v>
      </c>
      <c r="F189" s="37" t="str">
        <f>SABADO!$C$75</f>
        <v>mancuerna</v>
      </c>
      <c r="G189" s="37" t="str">
        <f>IFERROR(LOOKUP(2,1/((HISTORIAL!$O$3:$O$187=D189&amp;"|"&amp;E189)*(HISTORIAL!$F$3:$F$187&lt;&gt;"")),HISTORIAL!$F$3:$F$187),"")</f>
        <v/>
      </c>
      <c r="H189" s="37" t="str">
        <f>IFERROR(LOOKUP(2,1/((HISTORIAL!$O$3:$O$187=D189&amp;"|"&amp;E189)*(HISTORIAL!$F$3:$F$187&lt;&gt;"")),HISTORIAL!$G$3:$G$187),"")</f>
        <v/>
      </c>
      <c r="I189" s="37" t="str">
        <f>IFERROR(LOOKUP(2,1/((HISTORIAL!$O$3:$O$187=D189&amp;"|"&amp;E189)*(HISTORIAL!$F$3:$F$187&lt;&gt;"")),HISTORIAL!$H$3:$H$187),"")</f>
        <v/>
      </c>
      <c r="J189" s="37" t="str">
        <f>IFERROR(LOOKUP(2,1/((HISTORIAL!$O$3:$O$187=D189&amp;"|"&amp;E189)*(HISTORIAL!$F$3:$F$187&lt;&gt;"")),HISTORIAL!$I$3:$I$187),"")</f>
        <v/>
      </c>
      <c r="K189" s="58" t="str">
        <f>IFERROR(IF(OR(G189="",N189="SIN"),"--",IF(N189="SUBIR_F",IF(F189="polea",IFERROR(INDEX(CONFIG!$B$25:$B$40,MATCH(G189,CONFIG!$B$25:$B$40,0)+2),IFERROR(INDEX(CONFIG!$B$25:$B$40,MATCH(G189,CONFIG!$B$25:$B$40,0)+1),G189)),G189+5),IF(OR(N189="SUBIR",N189="SUBIR_E"),IF(F189="polea",IFERROR(INDEX(CONFIG!$B$25:$B$40,MATCH(G189,CONFIG!$B$25:$B$40,0)+1),G189),G189+2.5),IF(N189="BAJAR",IF(F189="polea",IFERROR(INDEX(CONFIG!$B$25:$B$40,MAX(1,MATCH(G189,CONFIG!$B$25:$B$40,0)-1)),G189),MAX(0,G189-2.5)),G189)))),"--")</f>
        <v>--</v>
      </c>
      <c r="L189" s="59" t="str">
        <f>IFERROR(IF(N189="SIN","--",IF(N189="MANT",IF(H189="","--",H189+1),IFERROR(VLOOKUP(CONFIG!$E$2,CONFIG!$A$6:$E$8,2,0),"--"))),"--")</f>
        <v>--</v>
      </c>
      <c r="M189" s="59" t="str">
        <f>IFERROR(IF(N189="SIN","--",IF(CONFIG!$E$2="HIP",2,IF(CONFIG!$E$2="FUE",1,2))),"--")</f>
        <v>--</v>
      </c>
      <c r="N189" s="53" t="str">
        <f>IFERROR(IF(G189="","SIN",IF(O189=1,"SUBIR_E",IF(H189&lt;IFERROR(VLOOKUP(CONFIG!$E$2,CONFIG!$A$6:$E$8,2,0),6),"BAJAR",IF(H189+I189&gt;=IFERROR(VLOOKUP(CONFIG!$E$2,CONFIG!$A$6:$E$8,3,0),12),"SUBIR_F",IF(AND(H189&gt;=IFERROR(VLOOKUP(CONFIG!$E$2,CONFIG!$A$6:$E$8,2,0),6)+2,I189&gt;=2),"SUBIR",IF(I189&gt;IFERROR(VLOOKUP(CONFIG!$E$2,CONFIG!$A$6:$E$8,5,0),3),"SUBIR","MANT")))))),"SIN")</f>
        <v>SIN</v>
      </c>
      <c r="O189" s="55">
        <f>IF(COUNTIFS(HISTORIAL!$O$3:$O$187,D189&amp;"|"&amp;E189,HISTORIAL!$F$3:$F$187,"&gt;0")&lt;2,0,IF(COUNTIFS(HISTORIAL!$O$3:$O$187,D189&amp;"|"&amp;E189,HISTORIAL!$F$3:$F$187,IFERROR(LOOKUP(2,1/((HISTORIAL!$O$3:$O$187=D189&amp;"|"&amp;E189)*(HISTORIAL!$F$3:$F$187&gt;0)),HISTORIAL!$F$3:$F$187),0))&gt;=2,IF(IFERROR(LOOKUP(2,1/((HISTORIAL!$O$3:$O$187=D189&amp;"|"&amp;E189)*(HISTORIAL!$F$3:$F$187&gt;0)),HISTORIAL!$G$3:$G$187),0)&gt;0,IF(F189&gt;0,IF(G189&lt;=IFERROR(LOOKUP(2,1/((HISTORIAL!$O$3:$O$187=D189&amp;"|"&amp;E189)*(HISTORIAL!$F$3:$F$187&gt;0)),HISTORIAL!$G$3:$G$187),0),1,0),0),0),0))</f>
        <v>0</v>
      </c>
    </row>
    <row r="190" spans="1:15" ht="14.1" customHeight="1">
      <c r="A190" s="37">
        <v>3</v>
      </c>
      <c r="B190" s="37" t="s">
        <v>281</v>
      </c>
      <c r="C190" s="37">
        <v>11</v>
      </c>
      <c r="D190" s="56" t="str">
        <f>SABADO!$A$76</f>
        <v>Face Pull</v>
      </c>
      <c r="E190" s="57" t="str">
        <f>SABADO!$B$76</f>
        <v>Polea Alta Cuerda</v>
      </c>
      <c r="F190" s="37" t="str">
        <f>SABADO!$C$76</f>
        <v>polea</v>
      </c>
      <c r="G190" s="37" t="str">
        <f>IFERROR(LOOKUP(2,1/((HISTORIAL!$O$3:$O$188=D190&amp;"|"&amp;E190)*(HISTORIAL!$F$3:$F$188&lt;&gt;"")),HISTORIAL!$F$3:$F$188),"")</f>
        <v/>
      </c>
      <c r="H190" s="37" t="str">
        <f>IFERROR(LOOKUP(2,1/((HISTORIAL!$O$3:$O$188=D190&amp;"|"&amp;E190)*(HISTORIAL!$F$3:$F$188&lt;&gt;"")),HISTORIAL!$G$3:$G$188),"")</f>
        <v/>
      </c>
      <c r="I190" s="37" t="str">
        <f>IFERROR(LOOKUP(2,1/((HISTORIAL!$O$3:$O$188=D190&amp;"|"&amp;E190)*(HISTORIAL!$F$3:$F$188&lt;&gt;"")),HISTORIAL!$H$3:$H$188),"")</f>
        <v/>
      </c>
      <c r="J190" s="37" t="str">
        <f>IFERROR(LOOKUP(2,1/((HISTORIAL!$O$3:$O$188=D190&amp;"|"&amp;E190)*(HISTORIAL!$F$3:$F$188&lt;&gt;"")),HISTORIAL!$I$3:$I$188),"")</f>
        <v/>
      </c>
      <c r="K190" s="58" t="str">
        <f>IFERROR(IF(OR(G190="",N190="SIN"),"--",IF(N190="SUBIR_F",IF(F190="polea",IFERROR(INDEX(CONFIG!$B$25:$B$40,MATCH(G190,CONFIG!$B$25:$B$40,0)+2),IFERROR(INDEX(CONFIG!$B$25:$B$40,MATCH(G190,CONFIG!$B$25:$B$40,0)+1),G190)),G190+5),IF(OR(N190="SUBIR",N190="SUBIR_E"),IF(F190="polea",IFERROR(INDEX(CONFIG!$B$25:$B$40,MATCH(G190,CONFIG!$B$25:$B$40,0)+1),G190),G190+2.5),IF(N190="BAJAR",IF(F190="polea",IFERROR(INDEX(CONFIG!$B$25:$B$40,MAX(1,MATCH(G190,CONFIG!$B$25:$B$40,0)-1)),G190),MAX(0,G190-2.5)),G190)))),"--")</f>
        <v>--</v>
      </c>
      <c r="L190" s="59" t="str">
        <f>IFERROR(IF(N190="SIN","--",IF(N190="MANT",IF(H190="","--",H190+1),IFERROR(VLOOKUP(CONFIG!$E$2,CONFIG!$A$6:$E$8,2,0),"--"))),"--")</f>
        <v>--</v>
      </c>
      <c r="M190" s="59" t="str">
        <f>IFERROR(IF(N190="SIN","--",IF(CONFIG!$E$2="HIP",2,IF(CONFIG!$E$2="FUE",1,2))),"--")</f>
        <v>--</v>
      </c>
      <c r="N190" s="53" t="str">
        <f>IFERROR(IF(G190="","SIN",IF(O190=1,"SUBIR_E",IF(H190&lt;IFERROR(VLOOKUP(CONFIG!$E$2,CONFIG!$A$6:$E$8,2,0),6),"BAJAR",IF(H190+I190&gt;=IFERROR(VLOOKUP(CONFIG!$E$2,CONFIG!$A$6:$E$8,3,0),12),"SUBIR_F",IF(AND(H190&gt;=IFERROR(VLOOKUP(CONFIG!$E$2,CONFIG!$A$6:$E$8,2,0),6)+2,I190&gt;=2),"SUBIR",IF(I190&gt;IFERROR(VLOOKUP(CONFIG!$E$2,CONFIG!$A$6:$E$8,5,0),3),"SUBIR","MANT")))))),"SIN")</f>
        <v>SIN</v>
      </c>
      <c r="O190" s="55">
        <f>IF(COUNTIFS(HISTORIAL!$O$3:$O$188,D190&amp;"|"&amp;E190,HISTORIAL!$F$3:$F$188,"&gt;0")&lt;2,0,IF(COUNTIFS(HISTORIAL!$O$3:$O$188,D190&amp;"|"&amp;E190,HISTORIAL!$F$3:$F$188,IFERROR(LOOKUP(2,1/((HISTORIAL!$O$3:$O$188=D190&amp;"|"&amp;E190)*(HISTORIAL!$F$3:$F$188&gt;0)),HISTORIAL!$F$3:$F$188),0))&gt;=2,IF(IFERROR(LOOKUP(2,1/((HISTORIAL!$O$3:$O$188=D190&amp;"|"&amp;E190)*(HISTORIAL!$F$3:$F$188&gt;0)),HISTORIAL!$G$3:$G$188),0)&gt;0,IF(F190&gt;0,IF(G190&lt;=IFERROR(LOOKUP(2,1/((HISTORIAL!$O$3:$O$188=D190&amp;"|"&amp;E190)*(HISTORIAL!$F$3:$F$188&gt;0)),HISTORIAL!$G$3:$G$188),0),1,0),0),0),0))</f>
        <v>0</v>
      </c>
    </row>
    <row r="191" spans="1:15" ht="14.1" customHeight="1">
      <c r="A191" s="37">
        <v>3</v>
      </c>
      <c r="B191" s="37" t="s">
        <v>281</v>
      </c>
      <c r="C191" s="37">
        <v>12</v>
      </c>
      <c r="D191" s="56" t="str">
        <f>SABADO!$A$78</f>
        <v>Hiperextension</v>
      </c>
      <c r="E191" s="57" t="str">
        <f>SABADO!$B$78</f>
        <v>Banco Romano</v>
      </c>
      <c r="F191" s="37" t="str">
        <f>SABADO!$C$78</f>
        <v>peso_corporal</v>
      </c>
      <c r="G191" s="37" t="str">
        <f>IFERROR(LOOKUP(2,1/((HISTORIAL!$O$3:$O$189=D191&amp;"|"&amp;E191)*(HISTORIAL!$F$3:$F$189&lt;&gt;"")),HISTORIAL!$F$3:$F$189),"")</f>
        <v/>
      </c>
      <c r="H191" s="37" t="str">
        <f>IFERROR(LOOKUP(2,1/((HISTORIAL!$O$3:$O$189=D191&amp;"|"&amp;E191)*(HISTORIAL!$F$3:$F$189&lt;&gt;"")),HISTORIAL!$G$3:$G$189),"")</f>
        <v/>
      </c>
      <c r="I191" s="37" t="str">
        <f>IFERROR(LOOKUP(2,1/((HISTORIAL!$O$3:$O$189=D191&amp;"|"&amp;E191)*(HISTORIAL!$F$3:$F$189&lt;&gt;"")),HISTORIAL!$H$3:$H$189),"")</f>
        <v/>
      </c>
      <c r="J191" s="37" t="str">
        <f>IFERROR(LOOKUP(2,1/((HISTORIAL!$O$3:$O$189=D191&amp;"|"&amp;E191)*(HISTORIAL!$F$3:$F$189&lt;&gt;"")),HISTORIAL!$I$3:$I$189),"")</f>
        <v/>
      </c>
      <c r="K191" s="58" t="str">
        <f>IFERROR(IF(OR(G191="",N191="SIN"),"--",IF(N191="SUBIR_F",IF(F191="polea",IFERROR(INDEX(CONFIG!$B$25:$B$40,MATCH(G191,CONFIG!$B$25:$B$40,0)+2),IFERROR(INDEX(CONFIG!$B$25:$B$40,MATCH(G191,CONFIG!$B$25:$B$40,0)+1),G191)),G191+5),IF(OR(N191="SUBIR",N191="SUBIR_E"),IF(F191="polea",IFERROR(INDEX(CONFIG!$B$25:$B$40,MATCH(G191,CONFIG!$B$25:$B$40,0)+1),G191),G191+2.5),IF(N191="BAJAR",IF(F191="polea",IFERROR(INDEX(CONFIG!$B$25:$B$40,MAX(1,MATCH(G191,CONFIG!$B$25:$B$40,0)-1)),G191),MAX(0,G191-2.5)),G191)))),"--")</f>
        <v>--</v>
      </c>
      <c r="L191" s="59" t="str">
        <f>IFERROR(IF(N191="SIN","--",IF(N191="MANT",IF(H191="","--",H191+1),IFERROR(VLOOKUP(CONFIG!$E$2,CONFIG!$A$6:$E$8,2,0),"--"))),"--")</f>
        <v>--</v>
      </c>
      <c r="M191" s="59" t="str">
        <f>IFERROR(IF(N191="SIN","--",IF(CONFIG!$E$2="HIP",2,IF(CONFIG!$E$2="FUE",1,2))),"--")</f>
        <v>--</v>
      </c>
      <c r="N191" s="53" t="str">
        <f>IFERROR(IF(G191="","SIN",IF(O191=1,"SUBIR_E",IF(H191&lt;IFERROR(VLOOKUP(CONFIG!$E$2,CONFIG!$A$6:$E$8,2,0),6),"BAJAR",IF(H191+I191&gt;=IFERROR(VLOOKUP(CONFIG!$E$2,CONFIG!$A$6:$E$8,3,0),12),"SUBIR_F",IF(AND(H191&gt;=IFERROR(VLOOKUP(CONFIG!$E$2,CONFIG!$A$6:$E$8,2,0),6)+2,I191&gt;=2),"SUBIR",IF(I191&gt;IFERROR(VLOOKUP(CONFIG!$E$2,CONFIG!$A$6:$E$8,5,0),3),"SUBIR","MANT")))))),"SIN")</f>
        <v>SIN</v>
      </c>
      <c r="O191" s="55">
        <f>IF(COUNTIFS(HISTORIAL!$O$3:$O$189,D191&amp;"|"&amp;E191,HISTORIAL!$F$3:$F$189,"&gt;0")&lt;2,0,IF(COUNTIFS(HISTORIAL!$O$3:$O$189,D191&amp;"|"&amp;E191,HISTORIAL!$F$3:$F$189,IFERROR(LOOKUP(2,1/((HISTORIAL!$O$3:$O$189=D191&amp;"|"&amp;E191)*(HISTORIAL!$F$3:$F$189&gt;0)),HISTORIAL!$F$3:$F$189),0))&gt;=2,IF(IFERROR(LOOKUP(2,1/((HISTORIAL!$O$3:$O$189=D191&amp;"|"&amp;E191)*(HISTORIAL!$F$3:$F$189&gt;0)),HISTORIAL!$G$3:$G$189),0)&gt;0,IF(F191&gt;0,IF(G191&lt;=IFERROR(LOOKUP(2,1/((HISTORIAL!$O$3:$O$189=D191&amp;"|"&amp;E191)*(HISTORIAL!$F$3:$F$189&gt;0)),HISTORIAL!$G$3:$G$189),0),1,0),0),0),0))</f>
        <v>0</v>
      </c>
    </row>
    <row r="192" spans="1:15" ht="14.1" customHeight="1">
      <c r="A192" s="37">
        <v>3</v>
      </c>
      <c r="B192" s="37" t="s">
        <v>281</v>
      </c>
      <c r="C192" s="37">
        <v>13</v>
      </c>
      <c r="D192" s="56" t="str">
        <f>SABADO!$A$80</f>
        <v>Crunch</v>
      </c>
      <c r="E192" s="57" t="str">
        <f>SABADO!$B$80</f>
        <v>Polea</v>
      </c>
      <c r="F192" s="37" t="str">
        <f>SABADO!$C$80</f>
        <v>polea</v>
      </c>
      <c r="G192" s="37" t="str">
        <f>IFERROR(LOOKUP(2,1/((HISTORIAL!$O$3:$O$190=D192&amp;"|"&amp;E192)*(HISTORIAL!$F$3:$F$190&lt;&gt;"")),HISTORIAL!$F$3:$F$190),"")</f>
        <v/>
      </c>
      <c r="H192" s="37" t="str">
        <f>IFERROR(LOOKUP(2,1/((HISTORIAL!$O$3:$O$190=D192&amp;"|"&amp;E192)*(HISTORIAL!$F$3:$F$190&lt;&gt;"")),HISTORIAL!$G$3:$G$190),"")</f>
        <v/>
      </c>
      <c r="I192" s="37" t="str">
        <f>IFERROR(LOOKUP(2,1/((HISTORIAL!$O$3:$O$190=D192&amp;"|"&amp;E192)*(HISTORIAL!$F$3:$F$190&lt;&gt;"")),HISTORIAL!$H$3:$H$190),"")</f>
        <v/>
      </c>
      <c r="J192" s="37" t="str">
        <f>IFERROR(LOOKUP(2,1/((HISTORIAL!$O$3:$O$190=D192&amp;"|"&amp;E192)*(HISTORIAL!$F$3:$F$190&lt;&gt;"")),HISTORIAL!$I$3:$I$190),"")</f>
        <v/>
      </c>
      <c r="K192" s="58" t="str">
        <f>IFERROR(IF(OR(G192="",N192="SIN"),"--",IF(N192="SUBIR_F",IF(F192="polea",IFERROR(INDEX(CONFIG!$B$25:$B$40,MATCH(G192,CONFIG!$B$25:$B$40,0)+2),IFERROR(INDEX(CONFIG!$B$25:$B$40,MATCH(G192,CONFIG!$B$25:$B$40,0)+1),G192)),G192+5),IF(OR(N192="SUBIR",N192="SUBIR_E"),IF(F192="polea",IFERROR(INDEX(CONFIG!$B$25:$B$40,MATCH(G192,CONFIG!$B$25:$B$40,0)+1),G192),G192+2.5),IF(N192="BAJAR",IF(F192="polea",IFERROR(INDEX(CONFIG!$B$25:$B$40,MAX(1,MATCH(G192,CONFIG!$B$25:$B$40,0)-1)),G192),MAX(0,G192-2.5)),G192)))),"--")</f>
        <v>--</v>
      </c>
      <c r="L192" s="59" t="str">
        <f>IFERROR(IF(N192="SIN","--",IF(N192="MANT",IF(H192="","--",H192+1),IFERROR(VLOOKUP(CONFIG!$E$2,CONFIG!$A$6:$E$8,2,0),"--"))),"--")</f>
        <v>--</v>
      </c>
      <c r="M192" s="59" t="str">
        <f>IFERROR(IF(N192="SIN","--",IF(CONFIG!$E$2="HIP",2,IF(CONFIG!$E$2="FUE",1,2))),"--")</f>
        <v>--</v>
      </c>
      <c r="N192" s="53" t="str">
        <f>IFERROR(IF(G192="","SIN",IF(O192=1,"SUBIR_E",IF(H192&lt;IFERROR(VLOOKUP(CONFIG!$E$2,CONFIG!$A$6:$E$8,2,0),6),"BAJAR",IF(H192+I192&gt;=IFERROR(VLOOKUP(CONFIG!$E$2,CONFIG!$A$6:$E$8,3,0),12),"SUBIR_F",IF(AND(H192&gt;=IFERROR(VLOOKUP(CONFIG!$E$2,CONFIG!$A$6:$E$8,2,0),6)+2,I192&gt;=2),"SUBIR",IF(I192&gt;IFERROR(VLOOKUP(CONFIG!$E$2,CONFIG!$A$6:$E$8,5,0),3),"SUBIR","MANT")))))),"SIN")</f>
        <v>SIN</v>
      </c>
      <c r="O192" s="55">
        <f>IF(COUNTIFS(HISTORIAL!$O$3:$O$190,D192&amp;"|"&amp;E192,HISTORIAL!$F$3:$F$190,"&gt;0")&lt;2,0,IF(COUNTIFS(HISTORIAL!$O$3:$O$190,D192&amp;"|"&amp;E192,HISTORIAL!$F$3:$F$190,IFERROR(LOOKUP(2,1/((HISTORIAL!$O$3:$O$190=D192&amp;"|"&amp;E192)*(HISTORIAL!$F$3:$F$190&gt;0)),HISTORIAL!$F$3:$F$190),0))&gt;=2,IF(IFERROR(LOOKUP(2,1/((HISTORIAL!$O$3:$O$190=D192&amp;"|"&amp;E192)*(HISTORIAL!$F$3:$F$190&gt;0)),HISTORIAL!$G$3:$G$190),0)&gt;0,IF(F192&gt;0,IF(G192&lt;=IFERROR(LOOKUP(2,1/((HISTORIAL!$O$3:$O$190=D192&amp;"|"&amp;E192)*(HISTORIAL!$F$3:$F$190&gt;0)),HISTORIAL!$G$3:$G$190),0),1,0),0),0),0))</f>
        <v>0</v>
      </c>
    </row>
    <row r="193" spans="1:15" ht="14.1" customHeight="1">
      <c r="A193" s="37">
        <v>4</v>
      </c>
      <c r="B193" s="37" t="s">
        <v>277</v>
      </c>
      <c r="C193" s="37">
        <v>1</v>
      </c>
      <c r="D193" s="56" t="str">
        <f>LUNES!$A$79</f>
        <v>Press Plano</v>
      </c>
      <c r="E193" s="57" t="str">
        <f>LUNES!$B$79</f>
        <v>Barra</v>
      </c>
      <c r="F193" s="37" t="str">
        <f>LUNES!$C$79</f>
        <v>disco</v>
      </c>
      <c r="G193" s="37" t="str">
        <f>IFERROR(LOOKUP(2,1/((HISTORIAL!$O$3:$O$191=D193&amp;"|"&amp;E193)*(HISTORIAL!$F$3:$F$191&lt;&gt;"")),HISTORIAL!$F$3:$F$191),"")</f>
        <v/>
      </c>
      <c r="H193" s="37" t="str">
        <f>IFERROR(LOOKUP(2,1/((HISTORIAL!$O$3:$O$191=D193&amp;"|"&amp;E193)*(HISTORIAL!$F$3:$F$191&lt;&gt;"")),HISTORIAL!$G$3:$G$191),"")</f>
        <v/>
      </c>
      <c r="I193" s="37" t="str">
        <f>IFERROR(LOOKUP(2,1/((HISTORIAL!$O$3:$O$191=D193&amp;"|"&amp;E193)*(HISTORIAL!$F$3:$F$191&lt;&gt;"")),HISTORIAL!$H$3:$H$191),"")</f>
        <v/>
      </c>
      <c r="J193" s="37" t="str">
        <f>IFERROR(LOOKUP(2,1/((HISTORIAL!$O$3:$O$191=D193&amp;"|"&amp;E193)*(HISTORIAL!$F$3:$F$191&lt;&gt;"")),HISTORIAL!$I$3:$I$191),"")</f>
        <v/>
      </c>
      <c r="K193" s="58" t="str">
        <f>IFERROR(IF(OR(G193="",N193="SIN"),"--",IF(N193="SUBIR_F",IF(F193="polea",IFERROR(INDEX(CONFIG!$B$25:$B$40,MATCH(G193,CONFIG!$B$25:$B$40,0)+2),IFERROR(INDEX(CONFIG!$B$25:$B$40,MATCH(G193,CONFIG!$B$25:$B$40,0)+1),G193)),G193+5),IF(OR(N193="SUBIR",N193="SUBIR_E"),IF(F193="polea",IFERROR(INDEX(CONFIG!$B$25:$B$40,MATCH(G193,CONFIG!$B$25:$B$40,0)+1),G193),G193+2.5),IF(N193="BAJAR",IF(F193="polea",IFERROR(INDEX(CONFIG!$B$25:$B$40,MAX(1,MATCH(G193,CONFIG!$B$25:$B$40,0)-1)),G193),MAX(0,G193-2.5)),G193)))),"--")</f>
        <v>--</v>
      </c>
      <c r="L193" s="59" t="str">
        <f>IFERROR(IF(N193="SIN","--",IF(N193="MANT",IF(H193="","--",H193+1),IFERROR(VLOOKUP(CONFIG!$E$2,CONFIG!$A$6:$E$8,2,0),"--"))),"--")</f>
        <v>--</v>
      </c>
      <c r="M193" s="59" t="str">
        <f>IFERROR(IF(N193="SIN","--",IF(CONFIG!$E$2="HIP",2,IF(CONFIG!$E$2="FUE",1,2))),"--")</f>
        <v>--</v>
      </c>
      <c r="N193" s="53" t="str">
        <f>IFERROR(IF(G193="","SIN",IF(O193=1,"SUBIR_E",IF(H193&lt;IFERROR(VLOOKUP(CONFIG!$E$2,CONFIG!$A$6:$E$8,2,0),6),"BAJAR",IF(H193+I193&gt;=IFERROR(VLOOKUP(CONFIG!$E$2,CONFIG!$A$6:$E$8,3,0),12),"SUBIR_F",IF(AND(H193&gt;=IFERROR(VLOOKUP(CONFIG!$E$2,CONFIG!$A$6:$E$8,2,0),6)+2,I193&gt;=2),"SUBIR",IF(I193&gt;IFERROR(VLOOKUP(CONFIG!$E$2,CONFIG!$A$6:$E$8,5,0),3),"SUBIR","MANT")))))),"SIN")</f>
        <v>SIN</v>
      </c>
      <c r="O193" s="55">
        <f>IF(COUNTIFS(HISTORIAL!$O$3:$O$191,D193&amp;"|"&amp;E193,HISTORIAL!$F$3:$F$191,"&gt;0")&lt;2,0,IF(COUNTIFS(HISTORIAL!$O$3:$O$191,D193&amp;"|"&amp;E193,HISTORIAL!$F$3:$F$191,IFERROR(LOOKUP(2,1/((HISTORIAL!$O$3:$O$191=D193&amp;"|"&amp;E193)*(HISTORIAL!$F$3:$F$191&gt;0)),HISTORIAL!$F$3:$F$191),0))&gt;=2,IF(IFERROR(LOOKUP(2,1/((HISTORIAL!$O$3:$O$191=D193&amp;"|"&amp;E193)*(HISTORIAL!$F$3:$F$191&gt;0)),HISTORIAL!$G$3:$G$191),0)&gt;0,IF(F193&gt;0,IF(G193&lt;=IFERROR(LOOKUP(2,1/((HISTORIAL!$O$3:$O$191=D193&amp;"|"&amp;E193)*(HISTORIAL!$F$3:$F$191&gt;0)),HISTORIAL!$G$3:$G$191),0),1,0),0),0),0))</f>
        <v>0</v>
      </c>
    </row>
    <row r="194" spans="1:15" ht="14.1" customHeight="1">
      <c r="A194" s="37">
        <v>4</v>
      </c>
      <c r="B194" s="37" t="s">
        <v>277</v>
      </c>
      <c r="C194" s="37">
        <v>2</v>
      </c>
      <c r="D194" s="56" t="str">
        <f>LUNES!$A$81</f>
        <v>Press Inclinado</v>
      </c>
      <c r="E194" s="57" t="str">
        <f>LUNES!$B$81</f>
        <v>Mancuernas</v>
      </c>
      <c r="F194" s="37" t="str">
        <f>LUNES!$C$81</f>
        <v>mancuerna</v>
      </c>
      <c r="G194" s="37" t="str">
        <f>IFERROR(LOOKUP(2,1/((HISTORIAL!$O$3:$O$192=D194&amp;"|"&amp;E194)*(HISTORIAL!$F$3:$F$192&lt;&gt;"")),HISTORIAL!$F$3:$F$192),"")</f>
        <v/>
      </c>
      <c r="H194" s="37" t="str">
        <f>IFERROR(LOOKUP(2,1/((HISTORIAL!$O$3:$O$192=D194&amp;"|"&amp;E194)*(HISTORIAL!$F$3:$F$192&lt;&gt;"")),HISTORIAL!$G$3:$G$192),"")</f>
        <v/>
      </c>
      <c r="I194" s="37" t="str">
        <f>IFERROR(LOOKUP(2,1/((HISTORIAL!$O$3:$O$192=D194&amp;"|"&amp;E194)*(HISTORIAL!$F$3:$F$192&lt;&gt;"")),HISTORIAL!$H$3:$H$192),"")</f>
        <v/>
      </c>
      <c r="J194" s="37" t="str">
        <f>IFERROR(LOOKUP(2,1/((HISTORIAL!$O$3:$O$192=D194&amp;"|"&amp;E194)*(HISTORIAL!$F$3:$F$192&lt;&gt;"")),HISTORIAL!$I$3:$I$192),"")</f>
        <v/>
      </c>
      <c r="K194" s="58" t="str">
        <f>IFERROR(IF(OR(G194="",N194="SIN"),"--",IF(N194="SUBIR_F",IF(F194="polea",IFERROR(INDEX(CONFIG!$B$25:$B$40,MATCH(G194,CONFIG!$B$25:$B$40,0)+2),IFERROR(INDEX(CONFIG!$B$25:$B$40,MATCH(G194,CONFIG!$B$25:$B$40,0)+1),G194)),G194+5),IF(OR(N194="SUBIR",N194="SUBIR_E"),IF(F194="polea",IFERROR(INDEX(CONFIG!$B$25:$B$40,MATCH(G194,CONFIG!$B$25:$B$40,0)+1),G194),G194+2.5),IF(N194="BAJAR",IF(F194="polea",IFERROR(INDEX(CONFIG!$B$25:$B$40,MAX(1,MATCH(G194,CONFIG!$B$25:$B$40,0)-1)),G194),MAX(0,G194-2.5)),G194)))),"--")</f>
        <v>--</v>
      </c>
      <c r="L194" s="59" t="str">
        <f>IFERROR(IF(N194="SIN","--",IF(N194="MANT",IF(H194="","--",H194+1),IFERROR(VLOOKUP(CONFIG!$E$2,CONFIG!$A$6:$E$8,2,0),"--"))),"--")</f>
        <v>--</v>
      </c>
      <c r="M194" s="59" t="str">
        <f>IFERROR(IF(N194="SIN","--",IF(CONFIG!$E$2="HIP",2,IF(CONFIG!$E$2="FUE",1,2))),"--")</f>
        <v>--</v>
      </c>
      <c r="N194" s="53" t="str">
        <f>IFERROR(IF(G194="","SIN",IF(O194=1,"SUBIR_E",IF(H194&lt;IFERROR(VLOOKUP(CONFIG!$E$2,CONFIG!$A$6:$E$8,2,0),6),"BAJAR",IF(H194+I194&gt;=IFERROR(VLOOKUP(CONFIG!$E$2,CONFIG!$A$6:$E$8,3,0),12),"SUBIR_F",IF(AND(H194&gt;=IFERROR(VLOOKUP(CONFIG!$E$2,CONFIG!$A$6:$E$8,2,0),6)+2,I194&gt;=2),"SUBIR",IF(I194&gt;IFERROR(VLOOKUP(CONFIG!$E$2,CONFIG!$A$6:$E$8,5,0),3),"SUBIR","MANT")))))),"SIN")</f>
        <v>SIN</v>
      </c>
      <c r="O194" s="55">
        <f>IF(COUNTIFS(HISTORIAL!$O$3:$O$192,D194&amp;"|"&amp;E194,HISTORIAL!$F$3:$F$192,"&gt;0")&lt;2,0,IF(COUNTIFS(HISTORIAL!$O$3:$O$192,D194&amp;"|"&amp;E194,HISTORIAL!$F$3:$F$192,IFERROR(LOOKUP(2,1/((HISTORIAL!$O$3:$O$192=D194&amp;"|"&amp;E194)*(HISTORIAL!$F$3:$F$192&gt;0)),HISTORIAL!$F$3:$F$192),0))&gt;=2,IF(IFERROR(LOOKUP(2,1/((HISTORIAL!$O$3:$O$192=D194&amp;"|"&amp;E194)*(HISTORIAL!$F$3:$F$192&gt;0)),HISTORIAL!$G$3:$G$192),0)&gt;0,IF(F194&gt;0,IF(G194&lt;=IFERROR(LOOKUP(2,1/((HISTORIAL!$O$3:$O$192=D194&amp;"|"&amp;E194)*(HISTORIAL!$F$3:$F$192&gt;0)),HISTORIAL!$G$3:$G$192),0),1,0),0),0),0))</f>
        <v>0</v>
      </c>
    </row>
    <row r="195" spans="1:15" ht="14.1" customHeight="1">
      <c r="A195" s="37">
        <v>4</v>
      </c>
      <c r="B195" s="37" t="s">
        <v>277</v>
      </c>
      <c r="C195" s="37">
        <v>3</v>
      </c>
      <c r="D195" s="56" t="str">
        <f>LUNES!$A$83</f>
        <v>Fondos</v>
      </c>
      <c r="E195" s="57" t="str">
        <f>LUNES!$B$83</f>
        <v>Paralelas</v>
      </c>
      <c r="F195" s="37" t="str">
        <f>LUNES!$C$83</f>
        <v>peso_corporal</v>
      </c>
      <c r="G195" s="37">
        <f>IFERROR(LOOKUP(2,1/((HISTORIAL!$O$3:$O$193=D195&amp;"|"&amp;E195)*(HISTORIAL!$F$3:$F$193&lt;&gt;"")),HISTORIAL!$F$3:$F$193),"")</f>
        <v>0</v>
      </c>
      <c r="H195" s="37">
        <f>IFERROR(LOOKUP(2,1/((HISTORIAL!$O$3:$O$193=D195&amp;"|"&amp;E195)*(HISTORIAL!$F$3:$F$193&lt;&gt;"")),HISTORIAL!$G$3:$G$193),"")</f>
        <v>12</v>
      </c>
      <c r="I195" s="37">
        <f>IFERROR(LOOKUP(2,1/((HISTORIAL!$O$3:$O$193=D195&amp;"|"&amp;E195)*(HISTORIAL!$F$3:$F$193&lt;&gt;"")),HISTORIAL!$H$3:$H$193),"")</f>
        <v>0</v>
      </c>
      <c r="J195" s="37" t="str">
        <f>IFERROR(LOOKUP(2,1/((HISTORIAL!$O$3:$O$193=D195&amp;"|"&amp;E195)*(HISTORIAL!$F$3:$F$193&lt;&gt;"")),HISTORIAL!$I$3:$I$193),"")</f>
        <v>B</v>
      </c>
      <c r="K195" s="58">
        <f>IFERROR(IF(OR(G195="",N195="SIN"),"--",IF(N195="SUBIR_F",IF(F195="polea",IFERROR(INDEX(CONFIG!$B$25:$B$40,MATCH(G195,CONFIG!$B$25:$B$40,0)+2),IFERROR(INDEX(CONFIG!$B$25:$B$40,MATCH(G195,CONFIG!$B$25:$B$40,0)+1),G195)),G195+5),IF(OR(N195="SUBIR",N195="SUBIR_E"),IF(F195="polea",IFERROR(INDEX(CONFIG!$B$25:$B$40,MATCH(G195,CONFIG!$B$25:$B$40,0)+1),G195),G195+2.5),IF(N195="BAJAR",IF(F195="polea",IFERROR(INDEX(CONFIG!$B$25:$B$40,MAX(1,MATCH(G195,CONFIG!$B$25:$B$40,0)-1)),G195),MAX(0,G195-2.5)),G195)))),"--")</f>
        <v>5</v>
      </c>
      <c r="L195" s="59">
        <f>IFERROR(IF(N195="SIN","--",IF(N195="MANT",IF(H195="","--",H195+1),IFERROR(VLOOKUP(CONFIG!$E$2,CONFIG!$A$6:$E$8,2,0),"--"))),"--")</f>
        <v>6</v>
      </c>
      <c r="M195" s="59">
        <f>IFERROR(IF(N195="SIN","--",IF(CONFIG!$E$2="HIP",2,IF(CONFIG!$E$2="FUE",1,2))),"--")</f>
        <v>2</v>
      </c>
      <c r="N195" s="53" t="str">
        <f>IFERROR(IF(G195="","SIN",IF(O195=1,"SUBIR_E",IF(H195&lt;IFERROR(VLOOKUP(CONFIG!$E$2,CONFIG!$A$6:$E$8,2,0),6),"BAJAR",IF(H195+I195&gt;=IFERROR(VLOOKUP(CONFIG!$E$2,CONFIG!$A$6:$E$8,3,0),12),"SUBIR_F",IF(AND(H195&gt;=IFERROR(VLOOKUP(CONFIG!$E$2,CONFIG!$A$6:$E$8,2,0),6)+2,I195&gt;=2),"SUBIR",IF(I195&gt;IFERROR(VLOOKUP(CONFIG!$E$2,CONFIG!$A$6:$E$8,5,0),3),"SUBIR","MANT")))))),"SIN")</f>
        <v>SUBIR_F</v>
      </c>
      <c r="O195" s="55">
        <f>IF(COUNTIFS(HISTORIAL!$O$3:$O$193,D195&amp;"|"&amp;E195,HISTORIAL!$F$3:$F$193,"&gt;0")&lt;2,0,IF(COUNTIFS(HISTORIAL!$O$3:$O$193,D195&amp;"|"&amp;E195,HISTORIAL!$F$3:$F$193,IFERROR(LOOKUP(2,1/((HISTORIAL!$O$3:$O$193=D195&amp;"|"&amp;E195)*(HISTORIAL!$F$3:$F$193&gt;0)),HISTORIAL!$F$3:$F$193),0))&gt;=2,IF(IFERROR(LOOKUP(2,1/((HISTORIAL!$O$3:$O$193=D195&amp;"|"&amp;E195)*(HISTORIAL!$F$3:$F$193&gt;0)),HISTORIAL!$G$3:$G$193),0)&gt;0,IF(F195&gt;0,IF(G195&lt;=IFERROR(LOOKUP(2,1/((HISTORIAL!$O$3:$O$193=D195&amp;"|"&amp;E195)*(HISTORIAL!$F$3:$F$193&gt;0)),HISTORIAL!$G$3:$G$193),0),1,0),0),0),0))</f>
        <v>0</v>
      </c>
    </row>
    <row r="196" spans="1:15" ht="14.1" customHeight="1">
      <c r="A196" s="37">
        <v>4</v>
      </c>
      <c r="B196" s="37" t="s">
        <v>277</v>
      </c>
      <c r="C196" s="37">
        <v>4</v>
      </c>
      <c r="D196" s="56" t="str">
        <f>LUNES!$A$84</f>
        <v>Aperturas</v>
      </c>
      <c r="E196" s="57" t="str">
        <f>LUNES!$B$84</f>
        <v>Polea Baja Crossover</v>
      </c>
      <c r="F196" s="37" t="str">
        <f>LUNES!$C$84</f>
        <v>--</v>
      </c>
      <c r="G196" s="37" t="str">
        <f>IFERROR(LOOKUP(2,1/((HISTORIAL!$O$3:$O$194=D196&amp;"|"&amp;E196)*(HISTORIAL!$F$3:$F$194&lt;&gt;"")),HISTORIAL!$F$3:$F$194),"")</f>
        <v/>
      </c>
      <c r="H196" s="37" t="str">
        <f>IFERROR(LOOKUP(2,1/((HISTORIAL!$O$3:$O$194=D196&amp;"|"&amp;E196)*(HISTORIAL!$F$3:$F$194&lt;&gt;"")),HISTORIAL!$G$3:$G$194),"")</f>
        <v/>
      </c>
      <c r="I196" s="37" t="str">
        <f>IFERROR(LOOKUP(2,1/((HISTORIAL!$O$3:$O$194=D196&amp;"|"&amp;E196)*(HISTORIAL!$F$3:$F$194&lt;&gt;"")),HISTORIAL!$H$3:$H$194),"")</f>
        <v/>
      </c>
      <c r="J196" s="37" t="str">
        <f>IFERROR(LOOKUP(2,1/((HISTORIAL!$O$3:$O$194=D196&amp;"|"&amp;E196)*(HISTORIAL!$F$3:$F$194&lt;&gt;"")),HISTORIAL!$I$3:$I$194),"")</f>
        <v/>
      </c>
      <c r="K196" s="58" t="str">
        <f>IFERROR(IF(OR(G196="",N196="SIN"),"--",IF(N196="SUBIR_F",IF(F196="polea",IFERROR(INDEX(CONFIG!$B$25:$B$40,MATCH(G196,CONFIG!$B$25:$B$40,0)+2),IFERROR(INDEX(CONFIG!$B$25:$B$40,MATCH(G196,CONFIG!$B$25:$B$40,0)+1),G196)),G196+5),IF(OR(N196="SUBIR",N196="SUBIR_E"),IF(F196="polea",IFERROR(INDEX(CONFIG!$B$25:$B$40,MATCH(G196,CONFIG!$B$25:$B$40,0)+1),G196),G196+2.5),IF(N196="BAJAR",IF(F196="polea",IFERROR(INDEX(CONFIG!$B$25:$B$40,MAX(1,MATCH(G196,CONFIG!$B$25:$B$40,0)-1)),G196),MAX(0,G196-2.5)),G196)))),"--")</f>
        <v>--</v>
      </c>
      <c r="L196" s="59" t="str">
        <f>IFERROR(IF(N196="SIN","--",IF(N196="MANT",IF(H196="","--",H196+1),IFERROR(VLOOKUP(CONFIG!$E$2,CONFIG!$A$6:$E$8,2,0),"--"))),"--")</f>
        <v>--</v>
      </c>
      <c r="M196" s="59" t="str">
        <f>IFERROR(IF(N196="SIN","--",IF(CONFIG!$E$2="HIP",2,IF(CONFIG!$E$2="FUE",1,2))),"--")</f>
        <v>--</v>
      </c>
      <c r="N196" s="53" t="str">
        <f>IFERROR(IF(G196="","SIN",IF(O196=1,"SUBIR_E",IF(H196&lt;IFERROR(VLOOKUP(CONFIG!$E$2,CONFIG!$A$6:$E$8,2,0),6),"BAJAR",IF(H196+I196&gt;=IFERROR(VLOOKUP(CONFIG!$E$2,CONFIG!$A$6:$E$8,3,0),12),"SUBIR_F",IF(AND(H196&gt;=IFERROR(VLOOKUP(CONFIG!$E$2,CONFIG!$A$6:$E$8,2,0),6)+2,I196&gt;=2),"SUBIR",IF(I196&gt;IFERROR(VLOOKUP(CONFIG!$E$2,CONFIG!$A$6:$E$8,5,0),3),"SUBIR","MANT")))))),"SIN")</f>
        <v>SIN</v>
      </c>
      <c r="O196" s="55">
        <f>IF(COUNTIFS(HISTORIAL!$O$3:$O$194,D196&amp;"|"&amp;E196,HISTORIAL!$F$3:$F$194,"&gt;0")&lt;2,0,IF(COUNTIFS(HISTORIAL!$O$3:$O$194,D196&amp;"|"&amp;E196,HISTORIAL!$F$3:$F$194,IFERROR(LOOKUP(2,1/((HISTORIAL!$O$3:$O$194=D196&amp;"|"&amp;E196)*(HISTORIAL!$F$3:$F$194&gt;0)),HISTORIAL!$F$3:$F$194),0))&gt;=2,IF(IFERROR(LOOKUP(2,1/((HISTORIAL!$O$3:$O$194=D196&amp;"|"&amp;E196)*(HISTORIAL!$F$3:$F$194&gt;0)),HISTORIAL!$G$3:$G$194),0)&gt;0,IF(F196&gt;0,IF(G196&lt;=IFERROR(LOOKUP(2,1/((HISTORIAL!$O$3:$O$194=D196&amp;"|"&amp;E196)*(HISTORIAL!$F$3:$F$194&gt;0)),HISTORIAL!$G$3:$G$194),0),1,0),0),0),0))</f>
        <v>0</v>
      </c>
    </row>
    <row r="197" spans="1:15" ht="14.1" customHeight="1">
      <c r="A197" s="37">
        <v>4</v>
      </c>
      <c r="B197" s="37" t="s">
        <v>277</v>
      </c>
      <c r="C197" s="37">
        <v>5</v>
      </c>
      <c r="D197" s="56" t="str">
        <f>LUNES!$A$85</f>
        <v>Aperturas</v>
      </c>
      <c r="E197" s="57" t="str">
        <f>LUNES!$B$85</f>
        <v>Pec Deck Maquina</v>
      </c>
      <c r="F197" s="37" t="str">
        <f>LUNES!$C$85</f>
        <v>--</v>
      </c>
      <c r="G197" s="37" t="str">
        <f>IFERROR(LOOKUP(2,1/((HISTORIAL!$O$3:$O$195=D197&amp;"|"&amp;E197)*(HISTORIAL!$F$3:$F$195&lt;&gt;"")),HISTORIAL!$F$3:$F$195),"")</f>
        <v/>
      </c>
      <c r="H197" s="37" t="str">
        <f>IFERROR(LOOKUP(2,1/((HISTORIAL!$O$3:$O$195=D197&amp;"|"&amp;E197)*(HISTORIAL!$F$3:$F$195&lt;&gt;"")),HISTORIAL!$G$3:$G$195),"")</f>
        <v/>
      </c>
      <c r="I197" s="37" t="str">
        <f>IFERROR(LOOKUP(2,1/((HISTORIAL!$O$3:$O$195=D197&amp;"|"&amp;E197)*(HISTORIAL!$F$3:$F$195&lt;&gt;"")),HISTORIAL!$H$3:$H$195),"")</f>
        <v/>
      </c>
      <c r="J197" s="37" t="str">
        <f>IFERROR(LOOKUP(2,1/((HISTORIAL!$O$3:$O$195=D197&amp;"|"&amp;E197)*(HISTORIAL!$F$3:$F$195&lt;&gt;"")),HISTORIAL!$I$3:$I$195),"")</f>
        <v/>
      </c>
      <c r="K197" s="58" t="str">
        <f>IFERROR(IF(OR(G197="",N197="SIN"),"--",IF(N197="SUBIR_F",IF(F197="polea",IFERROR(INDEX(CONFIG!$B$25:$B$40,MATCH(G197,CONFIG!$B$25:$B$40,0)+2),IFERROR(INDEX(CONFIG!$B$25:$B$40,MATCH(G197,CONFIG!$B$25:$B$40,0)+1),G197)),G197+5),IF(OR(N197="SUBIR",N197="SUBIR_E"),IF(F197="polea",IFERROR(INDEX(CONFIG!$B$25:$B$40,MATCH(G197,CONFIG!$B$25:$B$40,0)+1),G197),G197+2.5),IF(N197="BAJAR",IF(F197="polea",IFERROR(INDEX(CONFIG!$B$25:$B$40,MAX(1,MATCH(G197,CONFIG!$B$25:$B$40,0)-1)),G197),MAX(0,G197-2.5)),G197)))),"--")</f>
        <v>--</v>
      </c>
      <c r="L197" s="59" t="str">
        <f>IFERROR(IF(N197="SIN","--",IF(N197="MANT",IF(H197="","--",H197+1),IFERROR(VLOOKUP(CONFIG!$E$2,CONFIG!$A$6:$E$8,2,0),"--"))),"--")</f>
        <v>--</v>
      </c>
      <c r="M197" s="59" t="str">
        <f>IFERROR(IF(N197="SIN","--",IF(CONFIG!$E$2="HIP",2,IF(CONFIG!$E$2="FUE",1,2))),"--")</f>
        <v>--</v>
      </c>
      <c r="N197" s="53" t="str">
        <f>IFERROR(IF(G197="","SIN",IF(O197=1,"SUBIR_E",IF(H197&lt;IFERROR(VLOOKUP(CONFIG!$E$2,CONFIG!$A$6:$E$8,2,0),6),"BAJAR",IF(H197+I197&gt;=IFERROR(VLOOKUP(CONFIG!$E$2,CONFIG!$A$6:$E$8,3,0),12),"SUBIR_F",IF(AND(H197&gt;=IFERROR(VLOOKUP(CONFIG!$E$2,CONFIG!$A$6:$E$8,2,0),6)+2,I197&gt;=2),"SUBIR",IF(I197&gt;IFERROR(VLOOKUP(CONFIG!$E$2,CONFIG!$A$6:$E$8,5,0),3),"SUBIR","MANT")))))),"SIN")</f>
        <v>SIN</v>
      </c>
      <c r="O197" s="55">
        <f>IF(COUNTIFS(HISTORIAL!$O$3:$O$195,D197&amp;"|"&amp;E197,HISTORIAL!$F$3:$F$195,"&gt;0")&lt;2,0,IF(COUNTIFS(HISTORIAL!$O$3:$O$195,D197&amp;"|"&amp;E197,HISTORIAL!$F$3:$F$195,IFERROR(LOOKUP(2,1/((HISTORIAL!$O$3:$O$195=D197&amp;"|"&amp;E197)*(HISTORIAL!$F$3:$F$195&gt;0)),HISTORIAL!$F$3:$F$195),0))&gt;=2,IF(IFERROR(LOOKUP(2,1/((HISTORIAL!$O$3:$O$195=D197&amp;"|"&amp;E197)*(HISTORIAL!$F$3:$F$195&gt;0)),HISTORIAL!$G$3:$G$195),0)&gt;0,IF(F197&gt;0,IF(G197&lt;=IFERROR(LOOKUP(2,1/((HISTORIAL!$O$3:$O$195=D197&amp;"|"&amp;E197)*(HISTORIAL!$F$3:$F$195&gt;0)),HISTORIAL!$G$3:$G$195),0),1,0),0),0),0))</f>
        <v>0</v>
      </c>
    </row>
    <row r="198" spans="1:15" ht="14.1" customHeight="1">
      <c r="A198" s="37">
        <v>4</v>
      </c>
      <c r="B198" s="37" t="s">
        <v>277</v>
      </c>
      <c r="C198" s="37">
        <v>6</v>
      </c>
      <c r="D198" s="56" t="str">
        <f>LUNES!$A$87</f>
        <v>Elevaciones Laterales</v>
      </c>
      <c r="E198" s="57" t="str">
        <f>LUNES!$B$87</f>
        <v>Cable Polea Individual</v>
      </c>
      <c r="F198" s="37" t="str">
        <f>LUNES!$C$87</f>
        <v>polea</v>
      </c>
      <c r="G198" s="37" t="str">
        <f>IFERROR(LOOKUP(2,1/((HISTORIAL!$O$3:$O$196=D198&amp;"|"&amp;E198)*(HISTORIAL!$F$3:$F$196&lt;&gt;"")),HISTORIAL!$F$3:$F$196),"")</f>
        <v/>
      </c>
      <c r="H198" s="37" t="str">
        <f>IFERROR(LOOKUP(2,1/((HISTORIAL!$O$3:$O$196=D198&amp;"|"&amp;E198)*(HISTORIAL!$F$3:$F$196&lt;&gt;"")),HISTORIAL!$G$3:$G$196),"")</f>
        <v/>
      </c>
      <c r="I198" s="37" t="str">
        <f>IFERROR(LOOKUP(2,1/((HISTORIAL!$O$3:$O$196=D198&amp;"|"&amp;E198)*(HISTORIAL!$F$3:$F$196&lt;&gt;"")),HISTORIAL!$H$3:$H$196),"")</f>
        <v/>
      </c>
      <c r="J198" s="37" t="str">
        <f>IFERROR(LOOKUP(2,1/((HISTORIAL!$O$3:$O$196=D198&amp;"|"&amp;E198)*(HISTORIAL!$F$3:$F$196&lt;&gt;"")),HISTORIAL!$I$3:$I$196),"")</f>
        <v/>
      </c>
      <c r="K198" s="58" t="str">
        <f>IFERROR(IF(OR(G198="",N198="SIN"),"--",IF(N198="SUBIR_F",IF(F198="polea",IFERROR(INDEX(CONFIG!$B$25:$B$40,MATCH(G198,CONFIG!$B$25:$B$40,0)+2),IFERROR(INDEX(CONFIG!$B$25:$B$40,MATCH(G198,CONFIG!$B$25:$B$40,0)+1),G198)),G198+5),IF(OR(N198="SUBIR",N198="SUBIR_E"),IF(F198="polea",IFERROR(INDEX(CONFIG!$B$25:$B$40,MATCH(G198,CONFIG!$B$25:$B$40,0)+1),G198),G198+2.5),IF(N198="BAJAR",IF(F198="polea",IFERROR(INDEX(CONFIG!$B$25:$B$40,MAX(1,MATCH(G198,CONFIG!$B$25:$B$40,0)-1)),G198),MAX(0,G198-2.5)),G198)))),"--")</f>
        <v>--</v>
      </c>
      <c r="L198" s="59" t="str">
        <f>IFERROR(IF(N198="SIN","--",IF(N198="MANT",IF(H198="","--",H198+1),IFERROR(VLOOKUP(CONFIG!$E$2,CONFIG!$A$6:$E$8,2,0),"--"))),"--")</f>
        <v>--</v>
      </c>
      <c r="M198" s="59" t="str">
        <f>IFERROR(IF(N198="SIN","--",IF(CONFIG!$E$2="HIP",2,IF(CONFIG!$E$2="FUE",1,2))),"--")</f>
        <v>--</v>
      </c>
      <c r="N198" s="53" t="str">
        <f>IFERROR(IF(G198="","SIN",IF(O198=1,"SUBIR_E",IF(H198&lt;IFERROR(VLOOKUP(CONFIG!$E$2,CONFIG!$A$6:$E$8,2,0),6),"BAJAR",IF(H198+I198&gt;=IFERROR(VLOOKUP(CONFIG!$E$2,CONFIG!$A$6:$E$8,3,0),12),"SUBIR_F",IF(AND(H198&gt;=IFERROR(VLOOKUP(CONFIG!$E$2,CONFIG!$A$6:$E$8,2,0),6)+2,I198&gt;=2),"SUBIR",IF(I198&gt;IFERROR(VLOOKUP(CONFIG!$E$2,CONFIG!$A$6:$E$8,5,0),3),"SUBIR","MANT")))))),"SIN")</f>
        <v>SIN</v>
      </c>
      <c r="O198" s="55">
        <f>IF(COUNTIFS(HISTORIAL!$O$3:$O$196,D198&amp;"|"&amp;E198,HISTORIAL!$F$3:$F$196,"&gt;0")&lt;2,0,IF(COUNTIFS(HISTORIAL!$O$3:$O$196,D198&amp;"|"&amp;E198,HISTORIAL!$F$3:$F$196,IFERROR(LOOKUP(2,1/((HISTORIAL!$O$3:$O$196=D198&amp;"|"&amp;E198)*(HISTORIAL!$F$3:$F$196&gt;0)),HISTORIAL!$F$3:$F$196),0))&gt;=2,IF(IFERROR(LOOKUP(2,1/((HISTORIAL!$O$3:$O$196=D198&amp;"|"&amp;E198)*(HISTORIAL!$F$3:$F$196&gt;0)),HISTORIAL!$G$3:$G$196),0)&gt;0,IF(F198&gt;0,IF(G198&lt;=IFERROR(LOOKUP(2,1/((HISTORIAL!$O$3:$O$196=D198&amp;"|"&amp;E198)*(HISTORIAL!$F$3:$F$196&gt;0)),HISTORIAL!$G$3:$G$196),0),1,0),0),0),0))</f>
        <v>0</v>
      </c>
    </row>
    <row r="199" spans="1:15" ht="14.1" customHeight="1">
      <c r="A199" s="37">
        <v>4</v>
      </c>
      <c r="B199" s="37" t="s">
        <v>277</v>
      </c>
      <c r="C199" s="37">
        <v>7</v>
      </c>
      <c r="D199" s="56" t="str">
        <f>LUNES!$A$88</f>
        <v>Press Militar</v>
      </c>
      <c r="E199" s="57" t="str">
        <f>LUNES!$B$88</f>
        <v>Mancuernas Sentado</v>
      </c>
      <c r="F199" s="37" t="str">
        <f>LUNES!$C$88</f>
        <v>mancuerna</v>
      </c>
      <c r="G199" s="37" t="str">
        <f>IFERROR(LOOKUP(2,1/((HISTORIAL!$O$3:$O$197=D199&amp;"|"&amp;E199)*(HISTORIAL!$F$3:$F$197&lt;&gt;"")),HISTORIAL!$F$3:$F$197),"")</f>
        <v/>
      </c>
      <c r="H199" s="37" t="str">
        <f>IFERROR(LOOKUP(2,1/((HISTORIAL!$O$3:$O$197=D199&amp;"|"&amp;E199)*(HISTORIAL!$F$3:$F$197&lt;&gt;"")),HISTORIAL!$G$3:$G$197),"")</f>
        <v/>
      </c>
      <c r="I199" s="37" t="str">
        <f>IFERROR(LOOKUP(2,1/((HISTORIAL!$O$3:$O$197=D199&amp;"|"&amp;E199)*(HISTORIAL!$F$3:$F$197&lt;&gt;"")),HISTORIAL!$H$3:$H$197),"")</f>
        <v/>
      </c>
      <c r="J199" s="37" t="str">
        <f>IFERROR(LOOKUP(2,1/((HISTORIAL!$O$3:$O$197=D199&amp;"|"&amp;E199)*(HISTORIAL!$F$3:$F$197&lt;&gt;"")),HISTORIAL!$I$3:$I$197),"")</f>
        <v/>
      </c>
      <c r="K199" s="58" t="str">
        <f>IFERROR(IF(OR(G199="",N199="SIN"),"--",IF(N199="SUBIR_F",IF(F199="polea",IFERROR(INDEX(CONFIG!$B$25:$B$40,MATCH(G199,CONFIG!$B$25:$B$40,0)+2),IFERROR(INDEX(CONFIG!$B$25:$B$40,MATCH(G199,CONFIG!$B$25:$B$40,0)+1),G199)),G199+5),IF(OR(N199="SUBIR",N199="SUBIR_E"),IF(F199="polea",IFERROR(INDEX(CONFIG!$B$25:$B$40,MATCH(G199,CONFIG!$B$25:$B$40,0)+1),G199),G199+2.5),IF(N199="BAJAR",IF(F199="polea",IFERROR(INDEX(CONFIG!$B$25:$B$40,MAX(1,MATCH(G199,CONFIG!$B$25:$B$40,0)-1)),G199),MAX(0,G199-2.5)),G199)))),"--")</f>
        <v>--</v>
      </c>
      <c r="L199" s="59" t="str">
        <f>IFERROR(IF(N199="SIN","--",IF(N199="MANT",IF(H199="","--",H199+1),IFERROR(VLOOKUP(CONFIG!$E$2,CONFIG!$A$6:$E$8,2,0),"--"))),"--")</f>
        <v>--</v>
      </c>
      <c r="M199" s="59" t="str">
        <f>IFERROR(IF(N199="SIN","--",IF(CONFIG!$E$2="HIP",2,IF(CONFIG!$E$2="FUE",1,2))),"--")</f>
        <v>--</v>
      </c>
      <c r="N199" s="53" t="str">
        <f>IFERROR(IF(G199="","SIN",IF(O199=1,"SUBIR_E",IF(H199&lt;IFERROR(VLOOKUP(CONFIG!$E$2,CONFIG!$A$6:$E$8,2,0),6),"BAJAR",IF(H199+I199&gt;=IFERROR(VLOOKUP(CONFIG!$E$2,CONFIG!$A$6:$E$8,3,0),12),"SUBIR_F",IF(AND(H199&gt;=IFERROR(VLOOKUP(CONFIG!$E$2,CONFIG!$A$6:$E$8,2,0),6)+2,I199&gt;=2),"SUBIR",IF(I199&gt;IFERROR(VLOOKUP(CONFIG!$E$2,CONFIG!$A$6:$E$8,5,0),3),"SUBIR","MANT")))))),"SIN")</f>
        <v>SIN</v>
      </c>
      <c r="O199" s="55">
        <f>IF(COUNTIFS(HISTORIAL!$O$3:$O$197,D199&amp;"|"&amp;E199,HISTORIAL!$F$3:$F$197,"&gt;0")&lt;2,0,IF(COUNTIFS(HISTORIAL!$O$3:$O$197,D199&amp;"|"&amp;E199,HISTORIAL!$F$3:$F$197,IFERROR(LOOKUP(2,1/((HISTORIAL!$O$3:$O$197=D199&amp;"|"&amp;E199)*(HISTORIAL!$F$3:$F$197&gt;0)),HISTORIAL!$F$3:$F$197),0))&gt;=2,IF(IFERROR(LOOKUP(2,1/((HISTORIAL!$O$3:$O$197=D199&amp;"|"&amp;E199)*(HISTORIAL!$F$3:$F$197&gt;0)),HISTORIAL!$G$3:$G$197),0)&gt;0,IF(F199&gt;0,IF(G199&lt;=IFERROR(LOOKUP(2,1/((HISTORIAL!$O$3:$O$197=D199&amp;"|"&amp;E199)*(HISTORIAL!$F$3:$F$197&gt;0)),HISTORIAL!$G$3:$G$197),0),1,0),0),0),0))</f>
        <v>0</v>
      </c>
    </row>
    <row r="200" spans="1:15" ht="14.1" customHeight="1">
      <c r="A200" s="37">
        <v>4</v>
      </c>
      <c r="B200" s="37" t="s">
        <v>277</v>
      </c>
      <c r="C200" s="37">
        <v>8</v>
      </c>
      <c r="D200" s="56" t="str">
        <f>LUNES!$A$90</f>
        <v>Extension Triceps</v>
      </c>
      <c r="E200" s="57" t="str">
        <f>LUNES!$B$90</f>
        <v>Press Neutro Polea Individual</v>
      </c>
      <c r="F200" s="37" t="str">
        <f>LUNES!$C$90</f>
        <v>--</v>
      </c>
      <c r="G200" s="37" t="str">
        <f>IFERROR(LOOKUP(2,1/((HISTORIAL!$O$3:$O$198=D200&amp;"|"&amp;E200)*(HISTORIAL!$F$3:$F$198&lt;&gt;"")),HISTORIAL!$F$3:$F$198),"")</f>
        <v/>
      </c>
      <c r="H200" s="37" t="str">
        <f>IFERROR(LOOKUP(2,1/((HISTORIAL!$O$3:$O$198=D200&amp;"|"&amp;E200)*(HISTORIAL!$F$3:$F$198&lt;&gt;"")),HISTORIAL!$G$3:$G$198),"")</f>
        <v/>
      </c>
      <c r="I200" s="37" t="str">
        <f>IFERROR(LOOKUP(2,1/((HISTORIAL!$O$3:$O$198=D200&amp;"|"&amp;E200)*(HISTORIAL!$F$3:$F$198&lt;&gt;"")),HISTORIAL!$H$3:$H$198),"")</f>
        <v/>
      </c>
      <c r="J200" s="37" t="str">
        <f>IFERROR(LOOKUP(2,1/((HISTORIAL!$O$3:$O$198=D200&amp;"|"&amp;E200)*(HISTORIAL!$F$3:$F$198&lt;&gt;"")),HISTORIAL!$I$3:$I$198),"")</f>
        <v/>
      </c>
      <c r="K200" s="58" t="str">
        <f>IFERROR(IF(OR(G200="",N200="SIN"),"--",IF(N200="SUBIR_F",IF(F200="polea",IFERROR(INDEX(CONFIG!$B$25:$B$40,MATCH(G200,CONFIG!$B$25:$B$40,0)+2),IFERROR(INDEX(CONFIG!$B$25:$B$40,MATCH(G200,CONFIG!$B$25:$B$40,0)+1),G200)),G200+5),IF(OR(N200="SUBIR",N200="SUBIR_E"),IF(F200="polea",IFERROR(INDEX(CONFIG!$B$25:$B$40,MATCH(G200,CONFIG!$B$25:$B$40,0)+1),G200),G200+2.5),IF(N200="BAJAR",IF(F200="polea",IFERROR(INDEX(CONFIG!$B$25:$B$40,MAX(1,MATCH(G200,CONFIG!$B$25:$B$40,0)-1)),G200),MAX(0,G200-2.5)),G200)))),"--")</f>
        <v>--</v>
      </c>
      <c r="L200" s="59" t="str">
        <f>IFERROR(IF(N200="SIN","--",IF(N200="MANT",IF(H200="","--",H200+1),IFERROR(VLOOKUP(CONFIG!$E$2,CONFIG!$A$6:$E$8,2,0),"--"))),"--")</f>
        <v>--</v>
      </c>
      <c r="M200" s="59" t="str">
        <f>IFERROR(IF(N200="SIN","--",IF(CONFIG!$E$2="HIP",2,IF(CONFIG!$E$2="FUE",1,2))),"--")</f>
        <v>--</v>
      </c>
      <c r="N200" s="53" t="str">
        <f>IFERROR(IF(G200="","SIN",IF(O200=1,"SUBIR_E",IF(H200&lt;IFERROR(VLOOKUP(CONFIG!$E$2,CONFIG!$A$6:$E$8,2,0),6),"BAJAR",IF(H200+I200&gt;=IFERROR(VLOOKUP(CONFIG!$E$2,CONFIG!$A$6:$E$8,3,0),12),"SUBIR_F",IF(AND(H200&gt;=IFERROR(VLOOKUP(CONFIG!$E$2,CONFIG!$A$6:$E$8,2,0),6)+2,I200&gt;=2),"SUBIR",IF(I200&gt;IFERROR(VLOOKUP(CONFIG!$E$2,CONFIG!$A$6:$E$8,5,0),3),"SUBIR","MANT")))))),"SIN")</f>
        <v>SIN</v>
      </c>
      <c r="O200" s="55">
        <f>IF(COUNTIFS(HISTORIAL!$O$3:$O$198,D200&amp;"|"&amp;E200,HISTORIAL!$F$3:$F$198,"&gt;0")&lt;2,0,IF(COUNTIFS(HISTORIAL!$O$3:$O$198,D200&amp;"|"&amp;E200,HISTORIAL!$F$3:$F$198,IFERROR(LOOKUP(2,1/((HISTORIAL!$O$3:$O$198=D200&amp;"|"&amp;E200)*(HISTORIAL!$F$3:$F$198&gt;0)),HISTORIAL!$F$3:$F$198),0))&gt;=2,IF(IFERROR(LOOKUP(2,1/((HISTORIAL!$O$3:$O$198=D200&amp;"|"&amp;E200)*(HISTORIAL!$F$3:$F$198&gt;0)),HISTORIAL!$G$3:$G$198),0)&gt;0,IF(F200&gt;0,IF(G200&lt;=IFERROR(LOOKUP(2,1/((HISTORIAL!$O$3:$O$198=D200&amp;"|"&amp;E200)*(HISTORIAL!$F$3:$F$198&gt;0)),HISTORIAL!$G$3:$G$198),0),1,0),0),0),0))</f>
        <v>0</v>
      </c>
    </row>
    <row r="201" spans="1:15" ht="14.1" customHeight="1">
      <c r="A201" s="37">
        <v>4</v>
      </c>
      <c r="B201" s="37" t="s">
        <v>277</v>
      </c>
      <c r="C201" s="37">
        <v>9</v>
      </c>
      <c r="D201" s="56" t="str">
        <f>LUNES!$A$92</f>
        <v>Extension Cuadriceps</v>
      </c>
      <c r="E201" s="57" t="str">
        <f>LUNES!$B$92</f>
        <v>Vasto Externo</v>
      </c>
      <c r="F201" s="37" t="str">
        <f>LUNES!$C$92</f>
        <v>--</v>
      </c>
      <c r="G201" s="37" t="str">
        <f>IFERROR(LOOKUP(2,1/((HISTORIAL!$O$3:$O$199=D201&amp;"|"&amp;E201)*(HISTORIAL!$F$3:$F$199&lt;&gt;"")),HISTORIAL!$F$3:$F$199),"")</f>
        <v/>
      </c>
      <c r="H201" s="37" t="str">
        <f>IFERROR(LOOKUP(2,1/((HISTORIAL!$O$3:$O$199=D201&amp;"|"&amp;E201)*(HISTORIAL!$F$3:$F$199&lt;&gt;"")),HISTORIAL!$G$3:$G$199),"")</f>
        <v/>
      </c>
      <c r="I201" s="37" t="str">
        <f>IFERROR(LOOKUP(2,1/((HISTORIAL!$O$3:$O$199=D201&amp;"|"&amp;E201)*(HISTORIAL!$F$3:$F$199&lt;&gt;"")),HISTORIAL!$H$3:$H$199),"")</f>
        <v/>
      </c>
      <c r="J201" s="37" t="str">
        <f>IFERROR(LOOKUP(2,1/((HISTORIAL!$O$3:$O$199=D201&amp;"|"&amp;E201)*(HISTORIAL!$F$3:$F$199&lt;&gt;"")),HISTORIAL!$I$3:$I$199),"")</f>
        <v/>
      </c>
      <c r="K201" s="58" t="str">
        <f>IFERROR(IF(OR(G201="",N201="SIN"),"--",IF(N201="SUBIR_F",IF(F201="polea",IFERROR(INDEX(CONFIG!$B$25:$B$40,MATCH(G201,CONFIG!$B$25:$B$40,0)+2),IFERROR(INDEX(CONFIG!$B$25:$B$40,MATCH(G201,CONFIG!$B$25:$B$40,0)+1),G201)),G201+5),IF(OR(N201="SUBIR",N201="SUBIR_E"),IF(F201="polea",IFERROR(INDEX(CONFIG!$B$25:$B$40,MATCH(G201,CONFIG!$B$25:$B$40,0)+1),G201),G201+2.5),IF(N201="BAJAR",IF(F201="polea",IFERROR(INDEX(CONFIG!$B$25:$B$40,MAX(1,MATCH(G201,CONFIG!$B$25:$B$40,0)-1)),G201),MAX(0,G201-2.5)),G201)))),"--")</f>
        <v>--</v>
      </c>
      <c r="L201" s="59" t="str">
        <f>IFERROR(IF(N201="SIN","--",IF(N201="MANT",IF(H201="","--",H201+1),IFERROR(VLOOKUP(CONFIG!$E$2,CONFIG!$A$6:$E$8,2,0),"--"))),"--")</f>
        <v>--</v>
      </c>
      <c r="M201" s="59" t="str">
        <f>IFERROR(IF(N201="SIN","--",IF(CONFIG!$E$2="HIP",2,IF(CONFIG!$E$2="FUE",1,2))),"--")</f>
        <v>--</v>
      </c>
      <c r="N201" s="53" t="str">
        <f>IFERROR(IF(G201="","SIN",IF(O201=1,"SUBIR_E",IF(H201&lt;IFERROR(VLOOKUP(CONFIG!$E$2,CONFIG!$A$6:$E$8,2,0),6),"BAJAR",IF(H201+I201&gt;=IFERROR(VLOOKUP(CONFIG!$E$2,CONFIG!$A$6:$E$8,3,0),12),"SUBIR_F",IF(AND(H201&gt;=IFERROR(VLOOKUP(CONFIG!$E$2,CONFIG!$A$6:$E$8,2,0),6)+2,I201&gt;=2),"SUBIR",IF(I201&gt;IFERROR(VLOOKUP(CONFIG!$E$2,CONFIG!$A$6:$E$8,5,0),3),"SUBIR","MANT")))))),"SIN")</f>
        <v>SIN</v>
      </c>
      <c r="O201" s="55">
        <f>IF(COUNTIFS(HISTORIAL!$O$3:$O$199,D201&amp;"|"&amp;E201,HISTORIAL!$F$3:$F$199,"&gt;0")&lt;2,0,IF(COUNTIFS(HISTORIAL!$O$3:$O$199,D201&amp;"|"&amp;E201,HISTORIAL!$F$3:$F$199,IFERROR(LOOKUP(2,1/((HISTORIAL!$O$3:$O$199=D201&amp;"|"&amp;E201)*(HISTORIAL!$F$3:$F$199&gt;0)),HISTORIAL!$F$3:$F$199),0))&gt;=2,IF(IFERROR(LOOKUP(2,1/((HISTORIAL!$O$3:$O$199=D201&amp;"|"&amp;E201)*(HISTORIAL!$F$3:$F$199&gt;0)),HISTORIAL!$G$3:$G$199),0)&gt;0,IF(F201&gt;0,IF(G201&lt;=IFERROR(LOOKUP(2,1/((HISTORIAL!$O$3:$O$199=D201&amp;"|"&amp;E201)*(HISTORIAL!$F$3:$F$199&gt;0)),HISTORIAL!$G$3:$G$199),0),1,0),0),0),0))</f>
        <v>0</v>
      </c>
    </row>
    <row r="202" spans="1:15" ht="14.1" customHeight="1">
      <c r="A202" s="37">
        <v>4</v>
      </c>
      <c r="B202" s="37" t="s">
        <v>277</v>
      </c>
      <c r="C202" s="37">
        <v>10</v>
      </c>
      <c r="D202" s="56" t="str">
        <f>LUNES!$A$94</f>
        <v>Curl Biceps</v>
      </c>
      <c r="E202" s="57" t="str">
        <f>LUNES!$B$94</f>
        <v>Inclinado Banco Mancuernas</v>
      </c>
      <c r="F202" s="37" t="str">
        <f>LUNES!$C$94</f>
        <v>mancuerna</v>
      </c>
      <c r="G202" s="37" t="str">
        <f>IFERROR(LOOKUP(2,1/((HISTORIAL!$O$3:$O$200=D202&amp;"|"&amp;E202)*(HISTORIAL!$F$3:$F$200&lt;&gt;"")),HISTORIAL!$F$3:$F$200),"")</f>
        <v/>
      </c>
      <c r="H202" s="37" t="str">
        <f>IFERROR(LOOKUP(2,1/((HISTORIAL!$O$3:$O$200=D202&amp;"|"&amp;E202)*(HISTORIAL!$F$3:$F$200&lt;&gt;"")),HISTORIAL!$G$3:$G$200),"")</f>
        <v/>
      </c>
      <c r="I202" s="37" t="str">
        <f>IFERROR(LOOKUP(2,1/((HISTORIAL!$O$3:$O$200=D202&amp;"|"&amp;E202)*(HISTORIAL!$F$3:$F$200&lt;&gt;"")),HISTORIAL!$H$3:$H$200),"")</f>
        <v/>
      </c>
      <c r="J202" s="37" t="str">
        <f>IFERROR(LOOKUP(2,1/((HISTORIAL!$O$3:$O$200=D202&amp;"|"&amp;E202)*(HISTORIAL!$F$3:$F$200&lt;&gt;"")),HISTORIAL!$I$3:$I$200),"")</f>
        <v/>
      </c>
      <c r="K202" s="58" t="str">
        <f>IFERROR(IF(OR(G202="",N202="SIN"),"--",IF(N202="SUBIR_F",IF(F202="polea",IFERROR(INDEX(CONFIG!$B$25:$B$40,MATCH(G202,CONFIG!$B$25:$B$40,0)+2),IFERROR(INDEX(CONFIG!$B$25:$B$40,MATCH(G202,CONFIG!$B$25:$B$40,0)+1),G202)),G202+5),IF(OR(N202="SUBIR",N202="SUBIR_E"),IF(F202="polea",IFERROR(INDEX(CONFIG!$B$25:$B$40,MATCH(G202,CONFIG!$B$25:$B$40,0)+1),G202),G202+2.5),IF(N202="BAJAR",IF(F202="polea",IFERROR(INDEX(CONFIG!$B$25:$B$40,MAX(1,MATCH(G202,CONFIG!$B$25:$B$40,0)-1)),G202),MAX(0,G202-2.5)),G202)))),"--")</f>
        <v>--</v>
      </c>
      <c r="L202" s="59" t="str">
        <f>IFERROR(IF(N202="SIN","--",IF(N202="MANT",IF(H202="","--",H202+1),IFERROR(VLOOKUP(CONFIG!$E$2,CONFIG!$A$6:$E$8,2,0),"--"))),"--")</f>
        <v>--</v>
      </c>
      <c r="M202" s="59" t="str">
        <f>IFERROR(IF(N202="SIN","--",IF(CONFIG!$E$2="HIP",2,IF(CONFIG!$E$2="FUE",1,2))),"--")</f>
        <v>--</v>
      </c>
      <c r="N202" s="53" t="str">
        <f>IFERROR(IF(G202="","SIN",IF(O202=1,"SUBIR_E",IF(H202&lt;IFERROR(VLOOKUP(CONFIG!$E$2,CONFIG!$A$6:$E$8,2,0),6),"BAJAR",IF(H202+I202&gt;=IFERROR(VLOOKUP(CONFIG!$E$2,CONFIG!$A$6:$E$8,3,0),12),"SUBIR_F",IF(AND(H202&gt;=IFERROR(VLOOKUP(CONFIG!$E$2,CONFIG!$A$6:$E$8,2,0),6)+2,I202&gt;=2),"SUBIR",IF(I202&gt;IFERROR(VLOOKUP(CONFIG!$E$2,CONFIG!$A$6:$E$8,5,0),3),"SUBIR","MANT")))))),"SIN")</f>
        <v>SIN</v>
      </c>
      <c r="O202" s="55">
        <f>IF(COUNTIFS(HISTORIAL!$O$3:$O$200,D202&amp;"|"&amp;E202,HISTORIAL!$F$3:$F$200,"&gt;0")&lt;2,0,IF(COUNTIFS(HISTORIAL!$O$3:$O$200,D202&amp;"|"&amp;E202,HISTORIAL!$F$3:$F$200,IFERROR(LOOKUP(2,1/((HISTORIAL!$O$3:$O$200=D202&amp;"|"&amp;E202)*(HISTORIAL!$F$3:$F$200&gt;0)),HISTORIAL!$F$3:$F$200),0))&gt;=2,IF(IFERROR(LOOKUP(2,1/((HISTORIAL!$O$3:$O$200=D202&amp;"|"&amp;E202)*(HISTORIAL!$F$3:$F$200&gt;0)),HISTORIAL!$G$3:$G$200),0)&gt;0,IF(F202&gt;0,IF(G202&lt;=IFERROR(LOOKUP(2,1/((HISTORIAL!$O$3:$O$200=D202&amp;"|"&amp;E202)*(HISTORIAL!$F$3:$F$200&gt;0)),HISTORIAL!$G$3:$G$200),0),1,0),0),0),0))</f>
        <v>0</v>
      </c>
    </row>
    <row r="203" spans="1:15" ht="14.1" customHeight="1">
      <c r="A203" s="37">
        <v>4</v>
      </c>
      <c r="B203" s="37" t="s">
        <v>277</v>
      </c>
      <c r="C203" s="37">
        <v>11</v>
      </c>
      <c r="D203" s="56" t="str">
        <f>LUNES!$A$96</f>
        <v>Crunch</v>
      </c>
      <c r="E203" s="57" t="str">
        <f>LUNES!$B$96</f>
        <v>Polea</v>
      </c>
      <c r="F203" s="37" t="str">
        <f>LUNES!$C$96</f>
        <v>polea</v>
      </c>
      <c r="G203" s="37" t="str">
        <f>IFERROR(LOOKUP(2,1/((HISTORIAL!$O$3:$O$201=D203&amp;"|"&amp;E203)*(HISTORIAL!$F$3:$F$201&lt;&gt;"")),HISTORIAL!$F$3:$F$201),"")</f>
        <v/>
      </c>
      <c r="H203" s="37" t="str">
        <f>IFERROR(LOOKUP(2,1/((HISTORIAL!$O$3:$O$201=D203&amp;"|"&amp;E203)*(HISTORIAL!$F$3:$F$201&lt;&gt;"")),HISTORIAL!$G$3:$G$201),"")</f>
        <v/>
      </c>
      <c r="I203" s="37" t="str">
        <f>IFERROR(LOOKUP(2,1/((HISTORIAL!$O$3:$O$201=D203&amp;"|"&amp;E203)*(HISTORIAL!$F$3:$F$201&lt;&gt;"")),HISTORIAL!$H$3:$H$201),"")</f>
        <v/>
      </c>
      <c r="J203" s="37" t="str">
        <f>IFERROR(LOOKUP(2,1/((HISTORIAL!$O$3:$O$201=D203&amp;"|"&amp;E203)*(HISTORIAL!$F$3:$F$201&lt;&gt;"")),HISTORIAL!$I$3:$I$201),"")</f>
        <v/>
      </c>
      <c r="K203" s="58" t="str">
        <f>IFERROR(IF(OR(G203="",N203="SIN"),"--",IF(N203="SUBIR_F",IF(F203="polea",IFERROR(INDEX(CONFIG!$B$25:$B$40,MATCH(G203,CONFIG!$B$25:$B$40,0)+2),IFERROR(INDEX(CONFIG!$B$25:$B$40,MATCH(G203,CONFIG!$B$25:$B$40,0)+1),G203)),G203+5),IF(OR(N203="SUBIR",N203="SUBIR_E"),IF(F203="polea",IFERROR(INDEX(CONFIG!$B$25:$B$40,MATCH(G203,CONFIG!$B$25:$B$40,0)+1),G203),G203+2.5),IF(N203="BAJAR",IF(F203="polea",IFERROR(INDEX(CONFIG!$B$25:$B$40,MAX(1,MATCH(G203,CONFIG!$B$25:$B$40,0)-1)),G203),MAX(0,G203-2.5)),G203)))),"--")</f>
        <v>--</v>
      </c>
      <c r="L203" s="59" t="str">
        <f>IFERROR(IF(N203="SIN","--",IF(N203="MANT",IF(H203="","--",H203+1),IFERROR(VLOOKUP(CONFIG!$E$2,CONFIG!$A$6:$E$8,2,0),"--"))),"--")</f>
        <v>--</v>
      </c>
      <c r="M203" s="59" t="str">
        <f>IFERROR(IF(N203="SIN","--",IF(CONFIG!$E$2="HIP",2,IF(CONFIG!$E$2="FUE",1,2))),"--")</f>
        <v>--</v>
      </c>
      <c r="N203" s="53" t="str">
        <f>IFERROR(IF(G203="","SIN",IF(O203=1,"SUBIR_E",IF(H203&lt;IFERROR(VLOOKUP(CONFIG!$E$2,CONFIG!$A$6:$E$8,2,0),6),"BAJAR",IF(H203+I203&gt;=IFERROR(VLOOKUP(CONFIG!$E$2,CONFIG!$A$6:$E$8,3,0),12),"SUBIR_F",IF(AND(H203&gt;=IFERROR(VLOOKUP(CONFIG!$E$2,CONFIG!$A$6:$E$8,2,0),6)+2,I203&gt;=2),"SUBIR",IF(I203&gt;IFERROR(VLOOKUP(CONFIG!$E$2,CONFIG!$A$6:$E$8,5,0),3),"SUBIR","MANT")))))),"SIN")</f>
        <v>SIN</v>
      </c>
      <c r="O203" s="55">
        <f>IF(COUNTIFS(HISTORIAL!$O$3:$O$201,D203&amp;"|"&amp;E203,HISTORIAL!$F$3:$F$201,"&gt;0")&lt;2,0,IF(COUNTIFS(HISTORIAL!$O$3:$O$201,D203&amp;"|"&amp;E203,HISTORIAL!$F$3:$F$201,IFERROR(LOOKUP(2,1/((HISTORIAL!$O$3:$O$201=D203&amp;"|"&amp;E203)*(HISTORIAL!$F$3:$F$201&gt;0)),HISTORIAL!$F$3:$F$201),0))&gt;=2,IF(IFERROR(LOOKUP(2,1/((HISTORIAL!$O$3:$O$201=D203&amp;"|"&amp;E203)*(HISTORIAL!$F$3:$F$201&gt;0)),HISTORIAL!$G$3:$G$201),0)&gt;0,IF(F203&gt;0,IF(G203&lt;=IFERROR(LOOKUP(2,1/((HISTORIAL!$O$3:$O$201=D203&amp;"|"&amp;E203)*(HISTORIAL!$F$3:$F$201&gt;0)),HISTORIAL!$G$3:$G$201),0),1,0),0),0),0))</f>
        <v>0</v>
      </c>
    </row>
    <row r="204" spans="1:15" ht="14.1" customHeight="1">
      <c r="A204" s="37">
        <v>4</v>
      </c>
      <c r="B204" s="37" t="s">
        <v>278</v>
      </c>
      <c r="C204" s="37">
        <v>1</v>
      </c>
      <c r="D204" s="56" t="str">
        <f>MARTES!$A$76</f>
        <v>Jalon</v>
      </c>
      <c r="E204" s="57" t="str">
        <f>MARTES!$B$76</f>
        <v>Polea Alta Prono Ancho</v>
      </c>
      <c r="F204" s="37" t="str">
        <f>MARTES!$C$76</f>
        <v>polea</v>
      </c>
      <c r="G204" s="37" t="str">
        <f>IFERROR(LOOKUP(2,1/((HISTORIAL!$O$3:$O$202=D204&amp;"|"&amp;E204)*(HISTORIAL!$F$3:$F$202&lt;&gt;"")),HISTORIAL!$F$3:$F$202),"")</f>
        <v/>
      </c>
      <c r="H204" s="37" t="str">
        <f>IFERROR(LOOKUP(2,1/((HISTORIAL!$O$3:$O$202=D204&amp;"|"&amp;E204)*(HISTORIAL!$F$3:$F$202&lt;&gt;"")),HISTORIAL!$G$3:$G$202),"")</f>
        <v/>
      </c>
      <c r="I204" s="37" t="str">
        <f>IFERROR(LOOKUP(2,1/((HISTORIAL!$O$3:$O$202=D204&amp;"|"&amp;E204)*(HISTORIAL!$F$3:$F$202&lt;&gt;"")),HISTORIAL!$H$3:$H$202),"")</f>
        <v/>
      </c>
      <c r="J204" s="37" t="str">
        <f>IFERROR(LOOKUP(2,1/((HISTORIAL!$O$3:$O$202=D204&amp;"|"&amp;E204)*(HISTORIAL!$F$3:$F$202&lt;&gt;"")),HISTORIAL!$I$3:$I$202),"")</f>
        <v/>
      </c>
      <c r="K204" s="58" t="str">
        <f>IFERROR(IF(OR(G204="",N204="SIN"),"--",IF(N204="SUBIR_F",IF(F204="polea",IFERROR(INDEX(CONFIG!$B$25:$B$40,MATCH(G204,CONFIG!$B$25:$B$40,0)+2),IFERROR(INDEX(CONFIG!$B$25:$B$40,MATCH(G204,CONFIG!$B$25:$B$40,0)+1),G204)),G204+5),IF(OR(N204="SUBIR",N204="SUBIR_E"),IF(F204="polea",IFERROR(INDEX(CONFIG!$B$25:$B$40,MATCH(G204,CONFIG!$B$25:$B$40,0)+1),G204),G204+2.5),IF(N204="BAJAR",IF(F204="polea",IFERROR(INDEX(CONFIG!$B$25:$B$40,MAX(1,MATCH(G204,CONFIG!$B$25:$B$40,0)-1)),G204),MAX(0,G204-2.5)),G204)))),"--")</f>
        <v>--</v>
      </c>
      <c r="L204" s="59" t="str">
        <f>IFERROR(IF(N204="SIN","--",IF(N204="MANT",IF(H204="","--",H204+1),IFERROR(VLOOKUP(CONFIG!$E$2,CONFIG!$A$6:$E$8,2,0),"--"))),"--")</f>
        <v>--</v>
      </c>
      <c r="M204" s="59" t="str">
        <f>IFERROR(IF(N204="SIN","--",IF(CONFIG!$E$2="HIP",2,IF(CONFIG!$E$2="FUE",1,2))),"--")</f>
        <v>--</v>
      </c>
      <c r="N204" s="53" t="str">
        <f>IFERROR(IF(G204="","SIN",IF(O204=1,"SUBIR_E",IF(H204&lt;IFERROR(VLOOKUP(CONFIG!$E$2,CONFIG!$A$6:$E$8,2,0),6),"BAJAR",IF(H204+I204&gt;=IFERROR(VLOOKUP(CONFIG!$E$2,CONFIG!$A$6:$E$8,3,0),12),"SUBIR_F",IF(AND(H204&gt;=IFERROR(VLOOKUP(CONFIG!$E$2,CONFIG!$A$6:$E$8,2,0),6)+2,I204&gt;=2),"SUBIR",IF(I204&gt;IFERROR(VLOOKUP(CONFIG!$E$2,CONFIG!$A$6:$E$8,5,0),3),"SUBIR","MANT")))))),"SIN")</f>
        <v>SIN</v>
      </c>
      <c r="O204" s="55">
        <f>IF(COUNTIFS(HISTORIAL!$O$3:$O$202,D204&amp;"|"&amp;E204,HISTORIAL!$F$3:$F$202,"&gt;0")&lt;2,0,IF(COUNTIFS(HISTORIAL!$O$3:$O$202,D204&amp;"|"&amp;E204,HISTORIAL!$F$3:$F$202,IFERROR(LOOKUP(2,1/((HISTORIAL!$O$3:$O$202=D204&amp;"|"&amp;E204)*(HISTORIAL!$F$3:$F$202&gt;0)),HISTORIAL!$F$3:$F$202),0))&gt;=2,IF(IFERROR(LOOKUP(2,1/((HISTORIAL!$O$3:$O$202=D204&amp;"|"&amp;E204)*(HISTORIAL!$F$3:$F$202&gt;0)),HISTORIAL!$G$3:$G$202),0)&gt;0,IF(F204&gt;0,IF(G204&lt;=IFERROR(LOOKUP(2,1/((HISTORIAL!$O$3:$O$202=D204&amp;"|"&amp;E204)*(HISTORIAL!$F$3:$F$202&gt;0)),HISTORIAL!$G$3:$G$202),0),1,0),0),0),0))</f>
        <v>0</v>
      </c>
    </row>
    <row r="205" spans="1:15" ht="14.1" customHeight="1">
      <c r="A205" s="37">
        <v>4</v>
      </c>
      <c r="B205" s="37" t="s">
        <v>278</v>
      </c>
      <c r="C205" s="37">
        <v>2</v>
      </c>
      <c r="D205" s="56" t="str">
        <f>MARTES!$A$77</f>
        <v>Jalon</v>
      </c>
      <c r="E205" s="57" t="str">
        <f>MARTES!$B$77</f>
        <v>Polea Alta Supino Estrecho</v>
      </c>
      <c r="F205" s="37" t="str">
        <f>MARTES!$C$77</f>
        <v>polea</v>
      </c>
      <c r="G205" s="37" t="str">
        <f>IFERROR(LOOKUP(2,1/((HISTORIAL!$O$3:$O$203=D205&amp;"|"&amp;E205)*(HISTORIAL!$F$3:$F$203&lt;&gt;"")),HISTORIAL!$F$3:$F$203),"")</f>
        <v/>
      </c>
      <c r="H205" s="37" t="str">
        <f>IFERROR(LOOKUP(2,1/((HISTORIAL!$O$3:$O$203=D205&amp;"|"&amp;E205)*(HISTORIAL!$F$3:$F$203&lt;&gt;"")),HISTORIAL!$G$3:$G$203),"")</f>
        <v/>
      </c>
      <c r="I205" s="37" t="str">
        <f>IFERROR(LOOKUP(2,1/((HISTORIAL!$O$3:$O$203=D205&amp;"|"&amp;E205)*(HISTORIAL!$F$3:$F$203&lt;&gt;"")),HISTORIAL!$H$3:$H$203),"")</f>
        <v/>
      </c>
      <c r="J205" s="37" t="str">
        <f>IFERROR(LOOKUP(2,1/((HISTORIAL!$O$3:$O$203=D205&amp;"|"&amp;E205)*(HISTORIAL!$F$3:$F$203&lt;&gt;"")),HISTORIAL!$I$3:$I$203),"")</f>
        <v/>
      </c>
      <c r="K205" s="58" t="str">
        <f>IFERROR(IF(OR(G205="",N205="SIN"),"--",IF(N205="SUBIR_F",IF(F205="polea",IFERROR(INDEX(CONFIG!$B$25:$B$40,MATCH(G205,CONFIG!$B$25:$B$40,0)+2),IFERROR(INDEX(CONFIG!$B$25:$B$40,MATCH(G205,CONFIG!$B$25:$B$40,0)+1),G205)),G205+5),IF(OR(N205="SUBIR",N205="SUBIR_E"),IF(F205="polea",IFERROR(INDEX(CONFIG!$B$25:$B$40,MATCH(G205,CONFIG!$B$25:$B$40,0)+1),G205),G205+2.5),IF(N205="BAJAR",IF(F205="polea",IFERROR(INDEX(CONFIG!$B$25:$B$40,MAX(1,MATCH(G205,CONFIG!$B$25:$B$40,0)-1)),G205),MAX(0,G205-2.5)),G205)))),"--")</f>
        <v>--</v>
      </c>
      <c r="L205" s="59" t="str">
        <f>IFERROR(IF(N205="SIN","--",IF(N205="MANT",IF(H205="","--",H205+1),IFERROR(VLOOKUP(CONFIG!$E$2,CONFIG!$A$6:$E$8,2,0),"--"))),"--")</f>
        <v>--</v>
      </c>
      <c r="M205" s="59" t="str">
        <f>IFERROR(IF(N205="SIN","--",IF(CONFIG!$E$2="HIP",2,IF(CONFIG!$E$2="FUE",1,2))),"--")</f>
        <v>--</v>
      </c>
      <c r="N205" s="53" t="str">
        <f>IFERROR(IF(G205="","SIN",IF(O205=1,"SUBIR_E",IF(H205&lt;IFERROR(VLOOKUP(CONFIG!$E$2,CONFIG!$A$6:$E$8,2,0),6),"BAJAR",IF(H205+I205&gt;=IFERROR(VLOOKUP(CONFIG!$E$2,CONFIG!$A$6:$E$8,3,0),12),"SUBIR_F",IF(AND(H205&gt;=IFERROR(VLOOKUP(CONFIG!$E$2,CONFIG!$A$6:$E$8,2,0),6)+2,I205&gt;=2),"SUBIR",IF(I205&gt;IFERROR(VLOOKUP(CONFIG!$E$2,CONFIG!$A$6:$E$8,5,0),3),"SUBIR","MANT")))))),"SIN")</f>
        <v>SIN</v>
      </c>
      <c r="O205" s="55">
        <f>IF(COUNTIFS(HISTORIAL!$O$3:$O$203,D205&amp;"|"&amp;E205,HISTORIAL!$F$3:$F$203,"&gt;0")&lt;2,0,IF(COUNTIFS(HISTORIAL!$O$3:$O$203,D205&amp;"|"&amp;E205,HISTORIAL!$F$3:$F$203,IFERROR(LOOKUP(2,1/((HISTORIAL!$O$3:$O$203=D205&amp;"|"&amp;E205)*(HISTORIAL!$F$3:$F$203&gt;0)),HISTORIAL!$F$3:$F$203),0))&gt;=2,IF(IFERROR(LOOKUP(2,1/((HISTORIAL!$O$3:$O$203=D205&amp;"|"&amp;E205)*(HISTORIAL!$F$3:$F$203&gt;0)),HISTORIAL!$G$3:$G$203),0)&gt;0,IF(F205&gt;0,IF(G205&lt;=IFERROR(LOOKUP(2,1/((HISTORIAL!$O$3:$O$203=D205&amp;"|"&amp;E205)*(HISTORIAL!$F$3:$F$203&gt;0)),HISTORIAL!$G$3:$G$203),0),1,0),0),0),0))</f>
        <v>0</v>
      </c>
    </row>
    <row r="206" spans="1:15" ht="14.1" customHeight="1">
      <c r="A206" s="37">
        <v>4</v>
      </c>
      <c r="B206" s="37" t="s">
        <v>278</v>
      </c>
      <c r="C206" s="37">
        <v>3</v>
      </c>
      <c r="D206" s="56" t="str">
        <f>MARTES!$A$79</f>
        <v>Remo</v>
      </c>
      <c r="E206" s="57" t="str">
        <f>MARTES!$B$79</f>
        <v>Polea Baja Ancho Supino Trapecio</v>
      </c>
      <c r="F206" s="37" t="str">
        <f>MARTES!$C$79</f>
        <v>polea</v>
      </c>
      <c r="G206" s="37" t="str">
        <f>IFERROR(LOOKUP(2,1/((HISTORIAL!$O$3:$O$204=D206&amp;"|"&amp;E206)*(HISTORIAL!$F$3:$F$204&lt;&gt;"")),HISTORIAL!$F$3:$F$204),"")</f>
        <v/>
      </c>
      <c r="H206" s="37" t="str">
        <f>IFERROR(LOOKUP(2,1/((HISTORIAL!$O$3:$O$204=D206&amp;"|"&amp;E206)*(HISTORIAL!$F$3:$F$204&lt;&gt;"")),HISTORIAL!$G$3:$G$204),"")</f>
        <v/>
      </c>
      <c r="I206" s="37" t="str">
        <f>IFERROR(LOOKUP(2,1/((HISTORIAL!$O$3:$O$204=D206&amp;"|"&amp;E206)*(HISTORIAL!$F$3:$F$204&lt;&gt;"")),HISTORIAL!$H$3:$H$204),"")</f>
        <v/>
      </c>
      <c r="J206" s="37" t="str">
        <f>IFERROR(LOOKUP(2,1/((HISTORIAL!$O$3:$O$204=D206&amp;"|"&amp;E206)*(HISTORIAL!$F$3:$F$204&lt;&gt;"")),HISTORIAL!$I$3:$I$204),"")</f>
        <v/>
      </c>
      <c r="K206" s="58" t="str">
        <f>IFERROR(IF(OR(G206="",N206="SIN"),"--",IF(N206="SUBIR_F",IF(F206="polea",IFERROR(INDEX(CONFIG!$B$25:$B$40,MATCH(G206,CONFIG!$B$25:$B$40,0)+2),IFERROR(INDEX(CONFIG!$B$25:$B$40,MATCH(G206,CONFIG!$B$25:$B$40,0)+1),G206)),G206+5),IF(OR(N206="SUBIR",N206="SUBIR_E"),IF(F206="polea",IFERROR(INDEX(CONFIG!$B$25:$B$40,MATCH(G206,CONFIG!$B$25:$B$40,0)+1),G206),G206+2.5),IF(N206="BAJAR",IF(F206="polea",IFERROR(INDEX(CONFIG!$B$25:$B$40,MAX(1,MATCH(G206,CONFIG!$B$25:$B$40,0)-1)),G206),MAX(0,G206-2.5)),G206)))),"--")</f>
        <v>--</v>
      </c>
      <c r="L206" s="59" t="str">
        <f>IFERROR(IF(N206="SIN","--",IF(N206="MANT",IF(H206="","--",H206+1),IFERROR(VLOOKUP(CONFIG!$E$2,CONFIG!$A$6:$E$8,2,0),"--"))),"--")</f>
        <v>--</v>
      </c>
      <c r="M206" s="59" t="str">
        <f>IFERROR(IF(N206="SIN","--",IF(CONFIG!$E$2="HIP",2,IF(CONFIG!$E$2="FUE",1,2))),"--")</f>
        <v>--</v>
      </c>
      <c r="N206" s="53" t="str">
        <f>IFERROR(IF(G206="","SIN",IF(O206=1,"SUBIR_E",IF(H206&lt;IFERROR(VLOOKUP(CONFIG!$E$2,CONFIG!$A$6:$E$8,2,0),6),"BAJAR",IF(H206+I206&gt;=IFERROR(VLOOKUP(CONFIG!$E$2,CONFIG!$A$6:$E$8,3,0),12),"SUBIR_F",IF(AND(H206&gt;=IFERROR(VLOOKUP(CONFIG!$E$2,CONFIG!$A$6:$E$8,2,0),6)+2,I206&gt;=2),"SUBIR",IF(I206&gt;IFERROR(VLOOKUP(CONFIG!$E$2,CONFIG!$A$6:$E$8,5,0),3),"SUBIR","MANT")))))),"SIN")</f>
        <v>SIN</v>
      </c>
      <c r="O206" s="55">
        <f>IF(COUNTIFS(HISTORIAL!$O$3:$O$204,D206&amp;"|"&amp;E206,HISTORIAL!$F$3:$F$204,"&gt;0")&lt;2,0,IF(COUNTIFS(HISTORIAL!$O$3:$O$204,D206&amp;"|"&amp;E206,HISTORIAL!$F$3:$F$204,IFERROR(LOOKUP(2,1/((HISTORIAL!$O$3:$O$204=D206&amp;"|"&amp;E206)*(HISTORIAL!$F$3:$F$204&gt;0)),HISTORIAL!$F$3:$F$204),0))&gt;=2,IF(IFERROR(LOOKUP(2,1/((HISTORIAL!$O$3:$O$204=D206&amp;"|"&amp;E206)*(HISTORIAL!$F$3:$F$204&gt;0)),HISTORIAL!$G$3:$G$204),0)&gt;0,IF(F206&gt;0,IF(G206&lt;=IFERROR(LOOKUP(2,1/((HISTORIAL!$O$3:$O$204=D206&amp;"|"&amp;E206)*(HISTORIAL!$F$3:$F$204&gt;0)),HISTORIAL!$G$3:$G$204),0),1,0),0),0),0))</f>
        <v>0</v>
      </c>
    </row>
    <row r="207" spans="1:15" ht="14.1" customHeight="1">
      <c r="A207" s="37">
        <v>4</v>
      </c>
      <c r="B207" s="37" t="s">
        <v>278</v>
      </c>
      <c r="C207" s="37">
        <v>4</v>
      </c>
      <c r="D207" s="56" t="str">
        <f>MARTES!$A$80</f>
        <v>Remo</v>
      </c>
      <c r="E207" s="57" t="str">
        <f>MARTES!$B$80</f>
        <v>Polea Individual</v>
      </c>
      <c r="F207" s="37" t="str">
        <f>MARTES!$C$80</f>
        <v>polea</v>
      </c>
      <c r="G207" s="37" t="str">
        <f>IFERROR(LOOKUP(2,1/((HISTORIAL!$O$3:$O$205=D207&amp;"|"&amp;E207)*(HISTORIAL!$F$3:$F$205&lt;&gt;"")),HISTORIAL!$F$3:$F$205),"")</f>
        <v/>
      </c>
      <c r="H207" s="37" t="str">
        <f>IFERROR(LOOKUP(2,1/((HISTORIAL!$O$3:$O$205=D207&amp;"|"&amp;E207)*(HISTORIAL!$F$3:$F$205&lt;&gt;"")),HISTORIAL!$G$3:$G$205),"")</f>
        <v/>
      </c>
      <c r="I207" s="37" t="str">
        <f>IFERROR(LOOKUP(2,1/((HISTORIAL!$O$3:$O$205=D207&amp;"|"&amp;E207)*(HISTORIAL!$F$3:$F$205&lt;&gt;"")),HISTORIAL!$H$3:$H$205),"")</f>
        <v/>
      </c>
      <c r="J207" s="37" t="str">
        <f>IFERROR(LOOKUP(2,1/((HISTORIAL!$O$3:$O$205=D207&amp;"|"&amp;E207)*(HISTORIAL!$F$3:$F$205&lt;&gt;"")),HISTORIAL!$I$3:$I$205),"")</f>
        <v/>
      </c>
      <c r="K207" s="58" t="str">
        <f>IFERROR(IF(OR(G207="",N207="SIN"),"--",IF(N207="SUBIR_F",IF(F207="polea",IFERROR(INDEX(CONFIG!$B$25:$B$40,MATCH(G207,CONFIG!$B$25:$B$40,0)+2),IFERROR(INDEX(CONFIG!$B$25:$B$40,MATCH(G207,CONFIG!$B$25:$B$40,0)+1),G207)),G207+5),IF(OR(N207="SUBIR",N207="SUBIR_E"),IF(F207="polea",IFERROR(INDEX(CONFIG!$B$25:$B$40,MATCH(G207,CONFIG!$B$25:$B$40,0)+1),G207),G207+2.5),IF(N207="BAJAR",IF(F207="polea",IFERROR(INDEX(CONFIG!$B$25:$B$40,MAX(1,MATCH(G207,CONFIG!$B$25:$B$40,0)-1)),G207),MAX(0,G207-2.5)),G207)))),"--")</f>
        <v>--</v>
      </c>
      <c r="L207" s="59" t="str">
        <f>IFERROR(IF(N207="SIN","--",IF(N207="MANT",IF(H207="","--",H207+1),IFERROR(VLOOKUP(CONFIG!$E$2,CONFIG!$A$6:$E$8,2,0),"--"))),"--")</f>
        <v>--</v>
      </c>
      <c r="M207" s="59" t="str">
        <f>IFERROR(IF(N207="SIN","--",IF(CONFIG!$E$2="HIP",2,IF(CONFIG!$E$2="FUE",1,2))),"--")</f>
        <v>--</v>
      </c>
      <c r="N207" s="53" t="str">
        <f>IFERROR(IF(G207="","SIN",IF(O207=1,"SUBIR_E",IF(H207&lt;IFERROR(VLOOKUP(CONFIG!$E$2,CONFIG!$A$6:$E$8,2,0),6),"BAJAR",IF(H207+I207&gt;=IFERROR(VLOOKUP(CONFIG!$E$2,CONFIG!$A$6:$E$8,3,0),12),"SUBIR_F",IF(AND(H207&gt;=IFERROR(VLOOKUP(CONFIG!$E$2,CONFIG!$A$6:$E$8,2,0),6)+2,I207&gt;=2),"SUBIR",IF(I207&gt;IFERROR(VLOOKUP(CONFIG!$E$2,CONFIG!$A$6:$E$8,5,0),3),"SUBIR","MANT")))))),"SIN")</f>
        <v>SIN</v>
      </c>
      <c r="O207" s="55">
        <f>IF(COUNTIFS(HISTORIAL!$O$3:$O$205,D207&amp;"|"&amp;E207,HISTORIAL!$F$3:$F$205,"&gt;0")&lt;2,0,IF(COUNTIFS(HISTORIAL!$O$3:$O$205,D207&amp;"|"&amp;E207,HISTORIAL!$F$3:$F$205,IFERROR(LOOKUP(2,1/((HISTORIAL!$O$3:$O$205=D207&amp;"|"&amp;E207)*(HISTORIAL!$F$3:$F$205&gt;0)),HISTORIAL!$F$3:$F$205),0))&gt;=2,IF(IFERROR(LOOKUP(2,1/((HISTORIAL!$O$3:$O$205=D207&amp;"|"&amp;E207)*(HISTORIAL!$F$3:$F$205&gt;0)),HISTORIAL!$G$3:$G$205),0)&gt;0,IF(F207&gt;0,IF(G207&lt;=IFERROR(LOOKUP(2,1/((HISTORIAL!$O$3:$O$205=D207&amp;"|"&amp;E207)*(HISTORIAL!$F$3:$F$205&gt;0)),HISTORIAL!$G$3:$G$205),0),1,0),0),0),0))</f>
        <v>0</v>
      </c>
    </row>
    <row r="208" spans="1:15" ht="14.1" customHeight="1">
      <c r="A208" s="37">
        <v>4</v>
      </c>
      <c r="B208" s="37" t="s">
        <v>278</v>
      </c>
      <c r="C208" s="37">
        <v>5</v>
      </c>
      <c r="D208" s="56" t="str">
        <f>MARTES!$A$82</f>
        <v>Curl Biceps</v>
      </c>
      <c r="E208" s="57" t="str">
        <f>MARTES!$B$82</f>
        <v>Concentrado Maquina</v>
      </c>
      <c r="F208" s="37" t="str">
        <f>MARTES!$C$82</f>
        <v>polea</v>
      </c>
      <c r="G208" s="37" t="str">
        <f>IFERROR(LOOKUP(2,1/((HISTORIAL!$O$3:$O$206=D208&amp;"|"&amp;E208)*(HISTORIAL!$F$3:$F$206&lt;&gt;"")),HISTORIAL!$F$3:$F$206),"")</f>
        <v/>
      </c>
      <c r="H208" s="37" t="str">
        <f>IFERROR(LOOKUP(2,1/((HISTORIAL!$O$3:$O$206=D208&amp;"|"&amp;E208)*(HISTORIAL!$F$3:$F$206&lt;&gt;"")),HISTORIAL!$G$3:$G$206),"")</f>
        <v/>
      </c>
      <c r="I208" s="37" t="str">
        <f>IFERROR(LOOKUP(2,1/((HISTORIAL!$O$3:$O$206=D208&amp;"|"&amp;E208)*(HISTORIAL!$F$3:$F$206&lt;&gt;"")),HISTORIAL!$H$3:$H$206),"")</f>
        <v/>
      </c>
      <c r="J208" s="37" t="str">
        <f>IFERROR(LOOKUP(2,1/((HISTORIAL!$O$3:$O$206=D208&amp;"|"&amp;E208)*(HISTORIAL!$F$3:$F$206&lt;&gt;"")),HISTORIAL!$I$3:$I$206),"")</f>
        <v/>
      </c>
      <c r="K208" s="58" t="str">
        <f>IFERROR(IF(OR(G208="",N208="SIN"),"--",IF(N208="SUBIR_F",IF(F208="polea",IFERROR(INDEX(CONFIG!$B$25:$B$40,MATCH(G208,CONFIG!$B$25:$B$40,0)+2),IFERROR(INDEX(CONFIG!$B$25:$B$40,MATCH(G208,CONFIG!$B$25:$B$40,0)+1),G208)),G208+5),IF(OR(N208="SUBIR",N208="SUBIR_E"),IF(F208="polea",IFERROR(INDEX(CONFIG!$B$25:$B$40,MATCH(G208,CONFIG!$B$25:$B$40,0)+1),G208),G208+2.5),IF(N208="BAJAR",IF(F208="polea",IFERROR(INDEX(CONFIG!$B$25:$B$40,MAX(1,MATCH(G208,CONFIG!$B$25:$B$40,0)-1)),G208),MAX(0,G208-2.5)),G208)))),"--")</f>
        <v>--</v>
      </c>
      <c r="L208" s="59" t="str">
        <f>IFERROR(IF(N208="SIN","--",IF(N208="MANT",IF(H208="","--",H208+1),IFERROR(VLOOKUP(CONFIG!$E$2,CONFIG!$A$6:$E$8,2,0),"--"))),"--")</f>
        <v>--</v>
      </c>
      <c r="M208" s="59" t="str">
        <f>IFERROR(IF(N208="SIN","--",IF(CONFIG!$E$2="HIP",2,IF(CONFIG!$E$2="FUE",1,2))),"--")</f>
        <v>--</v>
      </c>
      <c r="N208" s="53" t="str">
        <f>IFERROR(IF(G208="","SIN",IF(O208=1,"SUBIR_E",IF(H208&lt;IFERROR(VLOOKUP(CONFIG!$E$2,CONFIG!$A$6:$E$8,2,0),6),"BAJAR",IF(H208+I208&gt;=IFERROR(VLOOKUP(CONFIG!$E$2,CONFIG!$A$6:$E$8,3,0),12),"SUBIR_F",IF(AND(H208&gt;=IFERROR(VLOOKUP(CONFIG!$E$2,CONFIG!$A$6:$E$8,2,0),6)+2,I208&gt;=2),"SUBIR",IF(I208&gt;IFERROR(VLOOKUP(CONFIG!$E$2,CONFIG!$A$6:$E$8,5,0),3),"SUBIR","MANT")))))),"SIN")</f>
        <v>SIN</v>
      </c>
      <c r="O208" s="55">
        <f>IF(COUNTIFS(HISTORIAL!$O$3:$O$206,D208&amp;"|"&amp;E208,HISTORIAL!$F$3:$F$206,"&gt;0")&lt;2,0,IF(COUNTIFS(HISTORIAL!$O$3:$O$206,D208&amp;"|"&amp;E208,HISTORIAL!$F$3:$F$206,IFERROR(LOOKUP(2,1/((HISTORIAL!$O$3:$O$206=D208&amp;"|"&amp;E208)*(HISTORIAL!$F$3:$F$206&gt;0)),HISTORIAL!$F$3:$F$206),0))&gt;=2,IF(IFERROR(LOOKUP(2,1/((HISTORIAL!$O$3:$O$206=D208&amp;"|"&amp;E208)*(HISTORIAL!$F$3:$F$206&gt;0)),HISTORIAL!$G$3:$G$206),0)&gt;0,IF(F208&gt;0,IF(G208&lt;=IFERROR(LOOKUP(2,1/((HISTORIAL!$O$3:$O$206=D208&amp;"|"&amp;E208)*(HISTORIAL!$F$3:$F$206&gt;0)),HISTORIAL!$G$3:$G$206),0),1,0),0),0),0))</f>
        <v>0</v>
      </c>
    </row>
    <row r="209" spans="1:15" ht="14.1" customHeight="1">
      <c r="A209" s="37">
        <v>4</v>
      </c>
      <c r="B209" s="37" t="s">
        <v>278</v>
      </c>
      <c r="C209" s="37">
        <v>6</v>
      </c>
      <c r="D209" s="56" t="str">
        <f>MARTES!$A$83</f>
        <v>Curl Martillo</v>
      </c>
      <c r="E209" s="57" t="str">
        <f>MARTES!$B$83</f>
        <v>Polea Individual</v>
      </c>
      <c r="F209" s="37" t="str">
        <f>MARTES!$C$83</f>
        <v>polea</v>
      </c>
      <c r="G209" s="37" t="str">
        <f>IFERROR(LOOKUP(2,1/((HISTORIAL!$O$3:$O$207=D209&amp;"|"&amp;E209)*(HISTORIAL!$F$3:$F$207&lt;&gt;"")),HISTORIAL!$F$3:$F$207),"")</f>
        <v/>
      </c>
      <c r="H209" s="37" t="str">
        <f>IFERROR(LOOKUP(2,1/((HISTORIAL!$O$3:$O$207=D209&amp;"|"&amp;E209)*(HISTORIAL!$F$3:$F$207&lt;&gt;"")),HISTORIAL!$G$3:$G$207),"")</f>
        <v/>
      </c>
      <c r="I209" s="37" t="str">
        <f>IFERROR(LOOKUP(2,1/((HISTORIAL!$O$3:$O$207=D209&amp;"|"&amp;E209)*(HISTORIAL!$F$3:$F$207&lt;&gt;"")),HISTORIAL!$H$3:$H$207),"")</f>
        <v/>
      </c>
      <c r="J209" s="37" t="str">
        <f>IFERROR(LOOKUP(2,1/((HISTORIAL!$O$3:$O$207=D209&amp;"|"&amp;E209)*(HISTORIAL!$F$3:$F$207&lt;&gt;"")),HISTORIAL!$I$3:$I$207),"")</f>
        <v/>
      </c>
      <c r="K209" s="58" t="str">
        <f>IFERROR(IF(OR(G209="",N209="SIN"),"--",IF(N209="SUBIR_F",IF(F209="polea",IFERROR(INDEX(CONFIG!$B$25:$B$40,MATCH(G209,CONFIG!$B$25:$B$40,0)+2),IFERROR(INDEX(CONFIG!$B$25:$B$40,MATCH(G209,CONFIG!$B$25:$B$40,0)+1),G209)),G209+5),IF(OR(N209="SUBIR",N209="SUBIR_E"),IF(F209="polea",IFERROR(INDEX(CONFIG!$B$25:$B$40,MATCH(G209,CONFIG!$B$25:$B$40,0)+1),G209),G209+2.5),IF(N209="BAJAR",IF(F209="polea",IFERROR(INDEX(CONFIG!$B$25:$B$40,MAX(1,MATCH(G209,CONFIG!$B$25:$B$40,0)-1)),G209),MAX(0,G209-2.5)),G209)))),"--")</f>
        <v>--</v>
      </c>
      <c r="L209" s="59" t="str">
        <f>IFERROR(IF(N209="SIN","--",IF(N209="MANT",IF(H209="","--",H209+1),IFERROR(VLOOKUP(CONFIG!$E$2,CONFIG!$A$6:$E$8,2,0),"--"))),"--")</f>
        <v>--</v>
      </c>
      <c r="M209" s="59" t="str">
        <f>IFERROR(IF(N209="SIN","--",IF(CONFIG!$E$2="HIP",2,IF(CONFIG!$E$2="FUE",1,2))),"--")</f>
        <v>--</v>
      </c>
      <c r="N209" s="53" t="str">
        <f>IFERROR(IF(G209="","SIN",IF(O209=1,"SUBIR_E",IF(H209&lt;IFERROR(VLOOKUP(CONFIG!$E$2,CONFIG!$A$6:$E$8,2,0),6),"BAJAR",IF(H209+I209&gt;=IFERROR(VLOOKUP(CONFIG!$E$2,CONFIG!$A$6:$E$8,3,0),12),"SUBIR_F",IF(AND(H209&gt;=IFERROR(VLOOKUP(CONFIG!$E$2,CONFIG!$A$6:$E$8,2,0),6)+2,I209&gt;=2),"SUBIR",IF(I209&gt;IFERROR(VLOOKUP(CONFIG!$E$2,CONFIG!$A$6:$E$8,5,0),3),"SUBIR","MANT")))))),"SIN")</f>
        <v>SIN</v>
      </c>
      <c r="O209" s="55">
        <f>IF(COUNTIFS(HISTORIAL!$O$3:$O$207,D209&amp;"|"&amp;E209,HISTORIAL!$F$3:$F$207,"&gt;0")&lt;2,0,IF(COUNTIFS(HISTORIAL!$O$3:$O$207,D209&amp;"|"&amp;E209,HISTORIAL!$F$3:$F$207,IFERROR(LOOKUP(2,1/((HISTORIAL!$O$3:$O$207=D209&amp;"|"&amp;E209)*(HISTORIAL!$F$3:$F$207&gt;0)),HISTORIAL!$F$3:$F$207),0))&gt;=2,IF(IFERROR(LOOKUP(2,1/((HISTORIAL!$O$3:$O$207=D209&amp;"|"&amp;E209)*(HISTORIAL!$F$3:$F$207&gt;0)),HISTORIAL!$G$3:$G$207),0)&gt;0,IF(F209&gt;0,IF(G209&lt;=IFERROR(LOOKUP(2,1/((HISTORIAL!$O$3:$O$207=D209&amp;"|"&amp;E209)*(HISTORIAL!$F$3:$F$207&gt;0)),HISTORIAL!$G$3:$G$207),0),1,0),0),0),0))</f>
        <v>0</v>
      </c>
    </row>
    <row r="210" spans="1:15" ht="14.1" customHeight="1">
      <c r="A210" s="37">
        <v>4</v>
      </c>
      <c r="B210" s="37" t="s">
        <v>278</v>
      </c>
      <c r="C210" s="37">
        <v>7</v>
      </c>
      <c r="D210" s="56" t="str">
        <f>MARTES!$A$85</f>
        <v>Curl Muneca</v>
      </c>
      <c r="E210" s="57" t="str">
        <f>MARTES!$B$85</f>
        <v>Sulek Polea</v>
      </c>
      <c r="F210" s="37" t="str">
        <f>MARTES!$C$85</f>
        <v>polea</v>
      </c>
      <c r="G210" s="37" t="str">
        <f>IFERROR(LOOKUP(2,1/((HISTORIAL!$O$3:$O$208=D210&amp;"|"&amp;E210)*(HISTORIAL!$F$3:$F$208&lt;&gt;"")),HISTORIAL!$F$3:$F$208),"")</f>
        <v/>
      </c>
      <c r="H210" s="37" t="str">
        <f>IFERROR(LOOKUP(2,1/((HISTORIAL!$O$3:$O$208=D210&amp;"|"&amp;E210)*(HISTORIAL!$F$3:$F$208&lt;&gt;"")),HISTORIAL!$G$3:$G$208),"")</f>
        <v/>
      </c>
      <c r="I210" s="37" t="str">
        <f>IFERROR(LOOKUP(2,1/((HISTORIAL!$O$3:$O$208=D210&amp;"|"&amp;E210)*(HISTORIAL!$F$3:$F$208&lt;&gt;"")),HISTORIAL!$H$3:$H$208),"")</f>
        <v/>
      </c>
      <c r="J210" s="37" t="str">
        <f>IFERROR(LOOKUP(2,1/((HISTORIAL!$O$3:$O$208=D210&amp;"|"&amp;E210)*(HISTORIAL!$F$3:$F$208&lt;&gt;"")),HISTORIAL!$I$3:$I$208),"")</f>
        <v/>
      </c>
      <c r="K210" s="58" t="str">
        <f>IFERROR(IF(OR(G210="",N210="SIN"),"--",IF(N210="SUBIR_F",IF(F210="polea",IFERROR(INDEX(CONFIG!$B$25:$B$40,MATCH(G210,CONFIG!$B$25:$B$40,0)+2),IFERROR(INDEX(CONFIG!$B$25:$B$40,MATCH(G210,CONFIG!$B$25:$B$40,0)+1),G210)),G210+5),IF(OR(N210="SUBIR",N210="SUBIR_E"),IF(F210="polea",IFERROR(INDEX(CONFIG!$B$25:$B$40,MATCH(G210,CONFIG!$B$25:$B$40,0)+1),G210),G210+2.5),IF(N210="BAJAR",IF(F210="polea",IFERROR(INDEX(CONFIG!$B$25:$B$40,MAX(1,MATCH(G210,CONFIG!$B$25:$B$40,0)-1)),G210),MAX(0,G210-2.5)),G210)))),"--")</f>
        <v>--</v>
      </c>
      <c r="L210" s="59" t="str">
        <f>IFERROR(IF(N210="SIN","--",IF(N210="MANT",IF(H210="","--",H210+1),IFERROR(VLOOKUP(CONFIG!$E$2,CONFIG!$A$6:$E$8,2,0),"--"))),"--")</f>
        <v>--</v>
      </c>
      <c r="M210" s="59" t="str">
        <f>IFERROR(IF(N210="SIN","--",IF(CONFIG!$E$2="HIP",2,IF(CONFIG!$E$2="FUE",1,2))),"--")</f>
        <v>--</v>
      </c>
      <c r="N210" s="53" t="str">
        <f>IFERROR(IF(G210="","SIN",IF(O210=1,"SUBIR_E",IF(H210&lt;IFERROR(VLOOKUP(CONFIG!$E$2,CONFIG!$A$6:$E$8,2,0),6),"BAJAR",IF(H210+I210&gt;=IFERROR(VLOOKUP(CONFIG!$E$2,CONFIG!$A$6:$E$8,3,0),12),"SUBIR_F",IF(AND(H210&gt;=IFERROR(VLOOKUP(CONFIG!$E$2,CONFIG!$A$6:$E$8,2,0),6)+2,I210&gt;=2),"SUBIR",IF(I210&gt;IFERROR(VLOOKUP(CONFIG!$E$2,CONFIG!$A$6:$E$8,5,0),3),"SUBIR","MANT")))))),"SIN")</f>
        <v>SIN</v>
      </c>
      <c r="O210" s="55">
        <f>IF(COUNTIFS(HISTORIAL!$O$3:$O$208,D210&amp;"|"&amp;E210,HISTORIAL!$F$3:$F$208,"&gt;0")&lt;2,0,IF(COUNTIFS(HISTORIAL!$O$3:$O$208,D210&amp;"|"&amp;E210,HISTORIAL!$F$3:$F$208,IFERROR(LOOKUP(2,1/((HISTORIAL!$O$3:$O$208=D210&amp;"|"&amp;E210)*(HISTORIAL!$F$3:$F$208&gt;0)),HISTORIAL!$F$3:$F$208),0))&gt;=2,IF(IFERROR(LOOKUP(2,1/((HISTORIAL!$O$3:$O$208=D210&amp;"|"&amp;E210)*(HISTORIAL!$F$3:$F$208&gt;0)),HISTORIAL!$G$3:$G$208),0)&gt;0,IF(F210&gt;0,IF(G210&lt;=IFERROR(LOOKUP(2,1/((HISTORIAL!$O$3:$O$208=D210&amp;"|"&amp;E210)*(HISTORIAL!$F$3:$F$208&gt;0)),HISTORIAL!$G$3:$G$208),0),1,0),0),0),0))</f>
        <v>0</v>
      </c>
    </row>
    <row r="211" spans="1:15" ht="14.1" customHeight="1">
      <c r="A211" s="37">
        <v>4</v>
      </c>
      <c r="B211" s="37" t="s">
        <v>278</v>
      </c>
      <c r="C211" s="37">
        <v>8</v>
      </c>
      <c r="D211" s="56" t="str">
        <f>MARTES!$A$86</f>
        <v>Curl Muneca</v>
      </c>
      <c r="E211" s="57" t="str">
        <f>MARTES!$B$86</f>
        <v>Pronado</v>
      </c>
      <c r="F211" s="37" t="str">
        <f>MARTES!$C$86</f>
        <v>mancuerna</v>
      </c>
      <c r="G211" s="37" t="str">
        <f>IFERROR(LOOKUP(2,1/((HISTORIAL!$O$3:$O$209=D211&amp;"|"&amp;E211)*(HISTORIAL!$F$3:$F$209&lt;&gt;"")),HISTORIAL!$F$3:$F$209),"")</f>
        <v/>
      </c>
      <c r="H211" s="37" t="str">
        <f>IFERROR(LOOKUP(2,1/((HISTORIAL!$O$3:$O$209=D211&amp;"|"&amp;E211)*(HISTORIAL!$F$3:$F$209&lt;&gt;"")),HISTORIAL!$G$3:$G$209),"")</f>
        <v/>
      </c>
      <c r="I211" s="37" t="str">
        <f>IFERROR(LOOKUP(2,1/((HISTORIAL!$O$3:$O$209=D211&amp;"|"&amp;E211)*(HISTORIAL!$F$3:$F$209&lt;&gt;"")),HISTORIAL!$H$3:$H$209),"")</f>
        <v/>
      </c>
      <c r="J211" s="37" t="str">
        <f>IFERROR(LOOKUP(2,1/((HISTORIAL!$O$3:$O$209=D211&amp;"|"&amp;E211)*(HISTORIAL!$F$3:$F$209&lt;&gt;"")),HISTORIAL!$I$3:$I$209),"")</f>
        <v/>
      </c>
      <c r="K211" s="58" t="str">
        <f>IFERROR(IF(OR(G211="",N211="SIN"),"--",IF(N211="SUBIR_F",IF(F211="polea",IFERROR(INDEX(CONFIG!$B$25:$B$40,MATCH(G211,CONFIG!$B$25:$B$40,0)+2),IFERROR(INDEX(CONFIG!$B$25:$B$40,MATCH(G211,CONFIG!$B$25:$B$40,0)+1),G211)),G211+5),IF(OR(N211="SUBIR",N211="SUBIR_E"),IF(F211="polea",IFERROR(INDEX(CONFIG!$B$25:$B$40,MATCH(G211,CONFIG!$B$25:$B$40,0)+1),G211),G211+2.5),IF(N211="BAJAR",IF(F211="polea",IFERROR(INDEX(CONFIG!$B$25:$B$40,MAX(1,MATCH(G211,CONFIG!$B$25:$B$40,0)-1)),G211),MAX(0,G211-2.5)),G211)))),"--")</f>
        <v>--</v>
      </c>
      <c r="L211" s="59" t="str">
        <f>IFERROR(IF(N211="SIN","--",IF(N211="MANT",IF(H211="","--",H211+1),IFERROR(VLOOKUP(CONFIG!$E$2,CONFIG!$A$6:$E$8,2,0),"--"))),"--")</f>
        <v>--</v>
      </c>
      <c r="M211" s="59" t="str">
        <f>IFERROR(IF(N211="SIN","--",IF(CONFIG!$E$2="HIP",2,IF(CONFIG!$E$2="FUE",1,2))),"--")</f>
        <v>--</v>
      </c>
      <c r="N211" s="53" t="str">
        <f>IFERROR(IF(G211="","SIN",IF(O211=1,"SUBIR_E",IF(H211&lt;IFERROR(VLOOKUP(CONFIG!$E$2,CONFIG!$A$6:$E$8,2,0),6),"BAJAR",IF(H211+I211&gt;=IFERROR(VLOOKUP(CONFIG!$E$2,CONFIG!$A$6:$E$8,3,0),12),"SUBIR_F",IF(AND(H211&gt;=IFERROR(VLOOKUP(CONFIG!$E$2,CONFIG!$A$6:$E$8,2,0),6)+2,I211&gt;=2),"SUBIR",IF(I211&gt;IFERROR(VLOOKUP(CONFIG!$E$2,CONFIG!$A$6:$E$8,5,0),3),"SUBIR","MANT")))))),"SIN")</f>
        <v>SIN</v>
      </c>
      <c r="O211" s="55">
        <f>IF(COUNTIFS(HISTORIAL!$O$3:$O$209,D211&amp;"|"&amp;E211,HISTORIAL!$F$3:$F$209,"&gt;0")&lt;2,0,IF(COUNTIFS(HISTORIAL!$O$3:$O$209,D211&amp;"|"&amp;E211,HISTORIAL!$F$3:$F$209,IFERROR(LOOKUP(2,1/((HISTORIAL!$O$3:$O$209=D211&amp;"|"&amp;E211)*(HISTORIAL!$F$3:$F$209&gt;0)),HISTORIAL!$F$3:$F$209),0))&gt;=2,IF(IFERROR(LOOKUP(2,1/((HISTORIAL!$O$3:$O$209=D211&amp;"|"&amp;E211)*(HISTORIAL!$F$3:$F$209&gt;0)),HISTORIAL!$G$3:$G$209),0)&gt;0,IF(F211&gt;0,IF(G211&lt;=IFERROR(LOOKUP(2,1/((HISTORIAL!$O$3:$O$209=D211&amp;"|"&amp;E211)*(HISTORIAL!$F$3:$F$209&gt;0)),HISTORIAL!$G$3:$G$209),0),1,0),0),0),0))</f>
        <v>0</v>
      </c>
    </row>
    <row r="212" spans="1:15" ht="14.1" customHeight="1">
      <c r="A212" s="37">
        <v>4</v>
      </c>
      <c r="B212" s="37" t="s">
        <v>278</v>
      </c>
      <c r="C212" s="37">
        <v>9</v>
      </c>
      <c r="D212" s="56" t="str">
        <f>MARTES!$A$88</f>
        <v>Farmer Carry</v>
      </c>
      <c r="E212" s="57" t="str">
        <f>MARTES!$B$88</f>
        <v>Libre</v>
      </c>
      <c r="F212" s="37" t="str">
        <f>MARTES!$C$88</f>
        <v>mancuerna</v>
      </c>
      <c r="G212" s="37" t="str">
        <f>IFERROR(LOOKUP(2,1/((HISTORIAL!$O$3:$O$210=D212&amp;"|"&amp;E212)*(HISTORIAL!$F$3:$F$210&lt;&gt;"")),HISTORIAL!$F$3:$F$210),"")</f>
        <v/>
      </c>
      <c r="H212" s="37" t="str">
        <f>IFERROR(LOOKUP(2,1/((HISTORIAL!$O$3:$O$210=D212&amp;"|"&amp;E212)*(HISTORIAL!$F$3:$F$210&lt;&gt;"")),HISTORIAL!$G$3:$G$210),"")</f>
        <v/>
      </c>
      <c r="I212" s="37" t="str">
        <f>IFERROR(LOOKUP(2,1/((HISTORIAL!$O$3:$O$210=D212&amp;"|"&amp;E212)*(HISTORIAL!$F$3:$F$210&lt;&gt;"")),HISTORIAL!$H$3:$H$210),"")</f>
        <v/>
      </c>
      <c r="J212" s="37" t="str">
        <f>IFERROR(LOOKUP(2,1/((HISTORIAL!$O$3:$O$210=D212&amp;"|"&amp;E212)*(HISTORIAL!$F$3:$F$210&lt;&gt;"")),HISTORIAL!$I$3:$I$210),"")</f>
        <v/>
      </c>
      <c r="K212" s="58" t="str">
        <f>IFERROR(IF(OR(G212="",N212="SIN"),"--",IF(N212="SUBIR_F",IF(F212="polea",IFERROR(INDEX(CONFIG!$B$25:$B$40,MATCH(G212,CONFIG!$B$25:$B$40,0)+2),IFERROR(INDEX(CONFIG!$B$25:$B$40,MATCH(G212,CONFIG!$B$25:$B$40,0)+1),G212)),G212+5),IF(OR(N212="SUBIR",N212="SUBIR_E"),IF(F212="polea",IFERROR(INDEX(CONFIG!$B$25:$B$40,MATCH(G212,CONFIG!$B$25:$B$40,0)+1),G212),G212+2.5),IF(N212="BAJAR",IF(F212="polea",IFERROR(INDEX(CONFIG!$B$25:$B$40,MAX(1,MATCH(G212,CONFIG!$B$25:$B$40,0)-1)),G212),MAX(0,G212-2.5)),G212)))),"--")</f>
        <v>--</v>
      </c>
      <c r="L212" s="59" t="str">
        <f>IFERROR(IF(N212="SIN","--",IF(N212="MANT",IF(H212="","--",H212+1),IFERROR(VLOOKUP(CONFIG!$E$2,CONFIG!$A$6:$E$8,2,0),"--"))),"--")</f>
        <v>--</v>
      </c>
      <c r="M212" s="59" t="str">
        <f>IFERROR(IF(N212="SIN","--",IF(CONFIG!$E$2="HIP",2,IF(CONFIG!$E$2="FUE",1,2))),"--")</f>
        <v>--</v>
      </c>
      <c r="N212" s="53" t="str">
        <f>IFERROR(IF(G212="","SIN",IF(O212=1,"SUBIR_E",IF(H212&lt;IFERROR(VLOOKUP(CONFIG!$E$2,CONFIG!$A$6:$E$8,2,0),6),"BAJAR",IF(H212+I212&gt;=IFERROR(VLOOKUP(CONFIG!$E$2,CONFIG!$A$6:$E$8,3,0),12),"SUBIR_F",IF(AND(H212&gt;=IFERROR(VLOOKUP(CONFIG!$E$2,CONFIG!$A$6:$E$8,2,0),6)+2,I212&gt;=2),"SUBIR",IF(I212&gt;IFERROR(VLOOKUP(CONFIG!$E$2,CONFIG!$A$6:$E$8,5,0),3),"SUBIR","MANT")))))),"SIN")</f>
        <v>SIN</v>
      </c>
      <c r="O212" s="55">
        <f>IF(COUNTIFS(HISTORIAL!$O$3:$O$210,D212&amp;"|"&amp;E212,HISTORIAL!$F$3:$F$210,"&gt;0")&lt;2,0,IF(COUNTIFS(HISTORIAL!$O$3:$O$210,D212&amp;"|"&amp;E212,HISTORIAL!$F$3:$F$210,IFERROR(LOOKUP(2,1/((HISTORIAL!$O$3:$O$210=D212&amp;"|"&amp;E212)*(HISTORIAL!$F$3:$F$210&gt;0)),HISTORIAL!$F$3:$F$210),0))&gt;=2,IF(IFERROR(LOOKUP(2,1/((HISTORIAL!$O$3:$O$210=D212&amp;"|"&amp;E212)*(HISTORIAL!$F$3:$F$210&gt;0)),HISTORIAL!$G$3:$G$210),0)&gt;0,IF(F212&gt;0,IF(G212&lt;=IFERROR(LOOKUP(2,1/((HISTORIAL!$O$3:$O$210=D212&amp;"|"&amp;E212)*(HISTORIAL!$F$3:$F$210&gt;0)),HISTORIAL!$G$3:$G$210),0),1,0),0),0),0))</f>
        <v>0</v>
      </c>
    </row>
    <row r="213" spans="1:15" ht="14.1" customHeight="1">
      <c r="A213" s="37">
        <v>4</v>
      </c>
      <c r="B213" s="37" t="s">
        <v>278</v>
      </c>
      <c r="C213" s="37">
        <v>10</v>
      </c>
      <c r="D213" s="56" t="str">
        <f>MARTES!$A$90</f>
        <v>Extension Triceps</v>
      </c>
      <c r="E213" s="57" t="str">
        <f>MARTES!$B$90</f>
        <v>Extension Polea Individual</v>
      </c>
      <c r="F213" s="37" t="str">
        <f>MARTES!$C$90</f>
        <v>polea</v>
      </c>
      <c r="G213" s="37" t="str">
        <f>IFERROR(LOOKUP(2,1/((HISTORIAL!$O$3:$O$211=D213&amp;"|"&amp;E213)*(HISTORIAL!$F$3:$F$211&lt;&gt;"")),HISTORIAL!$F$3:$F$211),"")</f>
        <v/>
      </c>
      <c r="H213" s="37" t="str">
        <f>IFERROR(LOOKUP(2,1/((HISTORIAL!$O$3:$O$211=D213&amp;"|"&amp;E213)*(HISTORIAL!$F$3:$F$211&lt;&gt;"")),HISTORIAL!$G$3:$G$211),"")</f>
        <v/>
      </c>
      <c r="I213" s="37" t="str">
        <f>IFERROR(LOOKUP(2,1/((HISTORIAL!$O$3:$O$211=D213&amp;"|"&amp;E213)*(HISTORIAL!$F$3:$F$211&lt;&gt;"")),HISTORIAL!$H$3:$H$211),"")</f>
        <v/>
      </c>
      <c r="J213" s="37" t="str">
        <f>IFERROR(LOOKUP(2,1/((HISTORIAL!$O$3:$O$211=D213&amp;"|"&amp;E213)*(HISTORIAL!$F$3:$F$211&lt;&gt;"")),HISTORIAL!$I$3:$I$211),"")</f>
        <v/>
      </c>
      <c r="K213" s="58" t="str">
        <f>IFERROR(IF(OR(G213="",N213="SIN"),"--",IF(N213="SUBIR_F",IF(F213="polea",IFERROR(INDEX(CONFIG!$B$25:$B$40,MATCH(G213,CONFIG!$B$25:$B$40,0)+2),IFERROR(INDEX(CONFIG!$B$25:$B$40,MATCH(G213,CONFIG!$B$25:$B$40,0)+1),G213)),G213+5),IF(OR(N213="SUBIR",N213="SUBIR_E"),IF(F213="polea",IFERROR(INDEX(CONFIG!$B$25:$B$40,MATCH(G213,CONFIG!$B$25:$B$40,0)+1),G213),G213+2.5),IF(N213="BAJAR",IF(F213="polea",IFERROR(INDEX(CONFIG!$B$25:$B$40,MAX(1,MATCH(G213,CONFIG!$B$25:$B$40,0)-1)),G213),MAX(0,G213-2.5)),G213)))),"--")</f>
        <v>--</v>
      </c>
      <c r="L213" s="59" t="str">
        <f>IFERROR(IF(N213="SIN","--",IF(N213="MANT",IF(H213="","--",H213+1),IFERROR(VLOOKUP(CONFIG!$E$2,CONFIG!$A$6:$E$8,2,0),"--"))),"--")</f>
        <v>--</v>
      </c>
      <c r="M213" s="59" t="str">
        <f>IFERROR(IF(N213="SIN","--",IF(CONFIG!$E$2="HIP",2,IF(CONFIG!$E$2="FUE",1,2))),"--")</f>
        <v>--</v>
      </c>
      <c r="N213" s="53" t="str">
        <f>IFERROR(IF(G213="","SIN",IF(O213=1,"SUBIR_E",IF(H213&lt;IFERROR(VLOOKUP(CONFIG!$E$2,CONFIG!$A$6:$E$8,2,0),6),"BAJAR",IF(H213+I213&gt;=IFERROR(VLOOKUP(CONFIG!$E$2,CONFIG!$A$6:$E$8,3,0),12),"SUBIR_F",IF(AND(H213&gt;=IFERROR(VLOOKUP(CONFIG!$E$2,CONFIG!$A$6:$E$8,2,0),6)+2,I213&gt;=2),"SUBIR",IF(I213&gt;IFERROR(VLOOKUP(CONFIG!$E$2,CONFIG!$A$6:$E$8,5,0),3),"SUBIR","MANT")))))),"SIN")</f>
        <v>SIN</v>
      </c>
      <c r="O213" s="55">
        <f>IF(COUNTIFS(HISTORIAL!$O$3:$O$211,D213&amp;"|"&amp;E213,HISTORIAL!$F$3:$F$211,"&gt;0")&lt;2,0,IF(COUNTIFS(HISTORIAL!$O$3:$O$211,D213&amp;"|"&amp;E213,HISTORIAL!$F$3:$F$211,IFERROR(LOOKUP(2,1/((HISTORIAL!$O$3:$O$211=D213&amp;"|"&amp;E213)*(HISTORIAL!$F$3:$F$211&gt;0)),HISTORIAL!$F$3:$F$211),0))&gt;=2,IF(IFERROR(LOOKUP(2,1/((HISTORIAL!$O$3:$O$211=D213&amp;"|"&amp;E213)*(HISTORIAL!$F$3:$F$211&gt;0)),HISTORIAL!$G$3:$G$211),0)&gt;0,IF(F213&gt;0,IF(G213&lt;=IFERROR(LOOKUP(2,1/((HISTORIAL!$O$3:$O$211=D213&amp;"|"&amp;E213)*(HISTORIAL!$F$3:$F$211&gt;0)),HISTORIAL!$G$3:$G$211),0),1,0),0),0),0))</f>
        <v>0</v>
      </c>
    </row>
    <row r="214" spans="1:15" ht="14.1" customHeight="1">
      <c r="A214" s="37">
        <v>4</v>
      </c>
      <c r="B214" s="37" t="s">
        <v>278</v>
      </c>
      <c r="C214" s="37">
        <v>11</v>
      </c>
      <c r="D214" s="56" t="str">
        <f>MARTES!$A$92</f>
        <v>Crunch</v>
      </c>
      <c r="E214" s="57" t="str">
        <f>MARTES!$B$92</f>
        <v>Polea</v>
      </c>
      <c r="F214" s="37" t="str">
        <f>MARTES!$C$92</f>
        <v>polea</v>
      </c>
      <c r="G214" s="37" t="str">
        <f>IFERROR(LOOKUP(2,1/((HISTORIAL!$O$3:$O$212=D214&amp;"|"&amp;E214)*(HISTORIAL!$F$3:$F$212&lt;&gt;"")),HISTORIAL!$F$3:$F$212),"")</f>
        <v/>
      </c>
      <c r="H214" s="37" t="str">
        <f>IFERROR(LOOKUP(2,1/((HISTORIAL!$O$3:$O$212=D214&amp;"|"&amp;E214)*(HISTORIAL!$F$3:$F$212&lt;&gt;"")),HISTORIAL!$G$3:$G$212),"")</f>
        <v/>
      </c>
      <c r="I214" s="37" t="str">
        <f>IFERROR(LOOKUP(2,1/((HISTORIAL!$O$3:$O$212=D214&amp;"|"&amp;E214)*(HISTORIAL!$F$3:$F$212&lt;&gt;"")),HISTORIAL!$H$3:$H$212),"")</f>
        <v/>
      </c>
      <c r="J214" s="37" t="str">
        <f>IFERROR(LOOKUP(2,1/((HISTORIAL!$O$3:$O$212=D214&amp;"|"&amp;E214)*(HISTORIAL!$F$3:$F$212&lt;&gt;"")),HISTORIAL!$I$3:$I$212),"")</f>
        <v/>
      </c>
      <c r="K214" s="58" t="str">
        <f>IFERROR(IF(OR(G214="",N214="SIN"),"--",IF(N214="SUBIR_F",IF(F214="polea",IFERROR(INDEX(CONFIG!$B$25:$B$40,MATCH(G214,CONFIG!$B$25:$B$40,0)+2),IFERROR(INDEX(CONFIG!$B$25:$B$40,MATCH(G214,CONFIG!$B$25:$B$40,0)+1),G214)),G214+5),IF(OR(N214="SUBIR",N214="SUBIR_E"),IF(F214="polea",IFERROR(INDEX(CONFIG!$B$25:$B$40,MATCH(G214,CONFIG!$B$25:$B$40,0)+1),G214),G214+2.5),IF(N214="BAJAR",IF(F214="polea",IFERROR(INDEX(CONFIG!$B$25:$B$40,MAX(1,MATCH(G214,CONFIG!$B$25:$B$40,0)-1)),G214),MAX(0,G214-2.5)),G214)))),"--")</f>
        <v>--</v>
      </c>
      <c r="L214" s="59" t="str">
        <f>IFERROR(IF(N214="SIN","--",IF(N214="MANT",IF(H214="","--",H214+1),IFERROR(VLOOKUP(CONFIG!$E$2,CONFIG!$A$6:$E$8,2,0),"--"))),"--")</f>
        <v>--</v>
      </c>
      <c r="M214" s="59" t="str">
        <f>IFERROR(IF(N214="SIN","--",IF(CONFIG!$E$2="HIP",2,IF(CONFIG!$E$2="FUE",1,2))),"--")</f>
        <v>--</v>
      </c>
      <c r="N214" s="53" t="str">
        <f>IFERROR(IF(G214="","SIN",IF(O214=1,"SUBIR_E",IF(H214&lt;IFERROR(VLOOKUP(CONFIG!$E$2,CONFIG!$A$6:$E$8,2,0),6),"BAJAR",IF(H214+I214&gt;=IFERROR(VLOOKUP(CONFIG!$E$2,CONFIG!$A$6:$E$8,3,0),12),"SUBIR_F",IF(AND(H214&gt;=IFERROR(VLOOKUP(CONFIG!$E$2,CONFIG!$A$6:$E$8,2,0),6)+2,I214&gt;=2),"SUBIR",IF(I214&gt;IFERROR(VLOOKUP(CONFIG!$E$2,CONFIG!$A$6:$E$8,5,0),3),"SUBIR","MANT")))))),"SIN")</f>
        <v>SIN</v>
      </c>
      <c r="O214" s="55">
        <f>IF(COUNTIFS(HISTORIAL!$O$3:$O$212,D214&amp;"|"&amp;E214,HISTORIAL!$F$3:$F$212,"&gt;0")&lt;2,0,IF(COUNTIFS(HISTORIAL!$O$3:$O$212,D214&amp;"|"&amp;E214,HISTORIAL!$F$3:$F$212,IFERROR(LOOKUP(2,1/((HISTORIAL!$O$3:$O$212=D214&amp;"|"&amp;E214)*(HISTORIAL!$F$3:$F$212&gt;0)),HISTORIAL!$F$3:$F$212),0))&gt;=2,IF(IFERROR(LOOKUP(2,1/((HISTORIAL!$O$3:$O$212=D214&amp;"|"&amp;E214)*(HISTORIAL!$F$3:$F$212&gt;0)),HISTORIAL!$G$3:$G$212),0)&gt;0,IF(F214&gt;0,IF(G214&lt;=IFERROR(LOOKUP(2,1/((HISTORIAL!$O$3:$O$212=D214&amp;"|"&amp;E214)*(HISTORIAL!$F$3:$F$212&gt;0)),HISTORIAL!$G$3:$G$212),0),1,0),0),0),0))</f>
        <v>0</v>
      </c>
    </row>
    <row r="215" spans="1:15" ht="14.1" customHeight="1">
      <c r="A215" s="37">
        <v>4</v>
      </c>
      <c r="B215" s="37" t="s">
        <v>279</v>
      </c>
      <c r="C215" s="37">
        <v>1</v>
      </c>
      <c r="D215" s="56" t="str">
        <f>MIERCOLES!$A$78</f>
        <v>Curl Femoral</v>
      </c>
      <c r="E215" s="57" t="str">
        <f>MIERCOLES!$B$78</f>
        <v>Tumbado Maquina</v>
      </c>
      <c r="F215" s="37" t="str">
        <f>MIERCOLES!$C$78</f>
        <v>polea</v>
      </c>
      <c r="G215" s="37" t="str">
        <f>IFERROR(LOOKUP(2,1/((HISTORIAL!$O$3:$O$213=D215&amp;"|"&amp;E215)*(HISTORIAL!$F$3:$F$213&lt;&gt;"")),HISTORIAL!$F$3:$F$213),"")</f>
        <v/>
      </c>
      <c r="H215" s="37" t="str">
        <f>IFERROR(LOOKUP(2,1/((HISTORIAL!$O$3:$O$213=D215&amp;"|"&amp;E215)*(HISTORIAL!$F$3:$F$213&lt;&gt;"")),HISTORIAL!$G$3:$G$213),"")</f>
        <v/>
      </c>
      <c r="I215" s="37" t="str">
        <f>IFERROR(LOOKUP(2,1/((HISTORIAL!$O$3:$O$213=D215&amp;"|"&amp;E215)*(HISTORIAL!$F$3:$F$213&lt;&gt;"")),HISTORIAL!$H$3:$H$213),"")</f>
        <v/>
      </c>
      <c r="J215" s="37" t="str">
        <f>IFERROR(LOOKUP(2,1/((HISTORIAL!$O$3:$O$213=D215&amp;"|"&amp;E215)*(HISTORIAL!$F$3:$F$213&lt;&gt;"")),HISTORIAL!$I$3:$I$213),"")</f>
        <v/>
      </c>
      <c r="K215" s="58" t="str">
        <f>IFERROR(IF(OR(G215="",N215="SIN"),"--",IF(N215="SUBIR_F",IF(F215="polea",IFERROR(INDEX(CONFIG!$B$25:$B$40,MATCH(G215,CONFIG!$B$25:$B$40,0)+2),IFERROR(INDEX(CONFIG!$B$25:$B$40,MATCH(G215,CONFIG!$B$25:$B$40,0)+1),G215)),G215+5),IF(OR(N215="SUBIR",N215="SUBIR_E"),IF(F215="polea",IFERROR(INDEX(CONFIG!$B$25:$B$40,MATCH(G215,CONFIG!$B$25:$B$40,0)+1),G215),G215+2.5),IF(N215="BAJAR",IF(F215="polea",IFERROR(INDEX(CONFIG!$B$25:$B$40,MAX(1,MATCH(G215,CONFIG!$B$25:$B$40,0)-1)),G215),MAX(0,G215-2.5)),G215)))),"--")</f>
        <v>--</v>
      </c>
      <c r="L215" s="59" t="str">
        <f>IFERROR(IF(N215="SIN","--",IF(N215="MANT",IF(H215="","--",H215+1),IFERROR(VLOOKUP(CONFIG!$E$2,CONFIG!$A$6:$E$8,2,0),"--"))),"--")</f>
        <v>--</v>
      </c>
      <c r="M215" s="59" t="str">
        <f>IFERROR(IF(N215="SIN","--",IF(CONFIG!$E$2="HIP",2,IF(CONFIG!$E$2="FUE",1,2))),"--")</f>
        <v>--</v>
      </c>
      <c r="N215" s="53" t="str">
        <f>IFERROR(IF(G215="","SIN",IF(O215=1,"SUBIR_E",IF(H215&lt;IFERROR(VLOOKUP(CONFIG!$E$2,CONFIG!$A$6:$E$8,2,0),6),"BAJAR",IF(H215+I215&gt;=IFERROR(VLOOKUP(CONFIG!$E$2,CONFIG!$A$6:$E$8,3,0),12),"SUBIR_F",IF(AND(H215&gt;=IFERROR(VLOOKUP(CONFIG!$E$2,CONFIG!$A$6:$E$8,2,0),6)+2,I215&gt;=2),"SUBIR",IF(I215&gt;IFERROR(VLOOKUP(CONFIG!$E$2,CONFIG!$A$6:$E$8,5,0),3),"SUBIR","MANT")))))),"SIN")</f>
        <v>SIN</v>
      </c>
      <c r="O215" s="55">
        <f>IF(COUNTIFS(HISTORIAL!$O$3:$O$213,D215&amp;"|"&amp;E215,HISTORIAL!$F$3:$F$213,"&gt;0")&lt;2,0,IF(COUNTIFS(HISTORIAL!$O$3:$O$213,D215&amp;"|"&amp;E215,HISTORIAL!$F$3:$F$213,IFERROR(LOOKUP(2,1/((HISTORIAL!$O$3:$O$213=D215&amp;"|"&amp;E215)*(HISTORIAL!$F$3:$F$213&gt;0)),HISTORIAL!$F$3:$F$213),0))&gt;=2,IF(IFERROR(LOOKUP(2,1/((HISTORIAL!$O$3:$O$213=D215&amp;"|"&amp;E215)*(HISTORIAL!$F$3:$F$213&gt;0)),HISTORIAL!$G$3:$G$213),0)&gt;0,IF(F215&gt;0,IF(G215&lt;=IFERROR(LOOKUP(2,1/((HISTORIAL!$O$3:$O$213=D215&amp;"|"&amp;E215)*(HISTORIAL!$F$3:$F$213&gt;0)),HISTORIAL!$G$3:$G$213),0),1,0),0),0),0))</f>
        <v>0</v>
      </c>
    </row>
    <row r="216" spans="1:15" ht="14.1" customHeight="1">
      <c r="A216" s="37">
        <v>4</v>
      </c>
      <c r="B216" s="37" t="s">
        <v>279</v>
      </c>
      <c r="C216" s="37">
        <v>2</v>
      </c>
      <c r="D216" s="56" t="str">
        <f>MIERCOLES!$A$79</f>
        <v>Curl Femoral</v>
      </c>
      <c r="E216" s="57" t="str">
        <f>MIERCOLES!$B$79</f>
        <v>Sentado Maquina</v>
      </c>
      <c r="F216" s="37" t="str">
        <f>MIERCOLES!$C$79</f>
        <v>polea</v>
      </c>
      <c r="G216" s="37" t="str">
        <f>IFERROR(LOOKUP(2,1/((HISTORIAL!$O$3:$O$214=D216&amp;"|"&amp;E216)*(HISTORIAL!$F$3:$F$214&lt;&gt;"")),HISTORIAL!$F$3:$F$214),"")</f>
        <v/>
      </c>
      <c r="H216" s="37" t="str">
        <f>IFERROR(LOOKUP(2,1/((HISTORIAL!$O$3:$O$214=D216&amp;"|"&amp;E216)*(HISTORIAL!$F$3:$F$214&lt;&gt;"")),HISTORIAL!$G$3:$G$214),"")</f>
        <v/>
      </c>
      <c r="I216" s="37" t="str">
        <f>IFERROR(LOOKUP(2,1/((HISTORIAL!$O$3:$O$214=D216&amp;"|"&amp;E216)*(HISTORIAL!$F$3:$F$214&lt;&gt;"")),HISTORIAL!$H$3:$H$214),"")</f>
        <v/>
      </c>
      <c r="J216" s="37" t="str">
        <f>IFERROR(LOOKUP(2,1/((HISTORIAL!$O$3:$O$214=D216&amp;"|"&amp;E216)*(HISTORIAL!$F$3:$F$214&lt;&gt;"")),HISTORIAL!$I$3:$I$214),"")</f>
        <v/>
      </c>
      <c r="K216" s="58" t="str">
        <f>IFERROR(IF(OR(G216="",N216="SIN"),"--",IF(N216="SUBIR_F",IF(F216="polea",IFERROR(INDEX(CONFIG!$B$25:$B$40,MATCH(G216,CONFIG!$B$25:$B$40,0)+2),IFERROR(INDEX(CONFIG!$B$25:$B$40,MATCH(G216,CONFIG!$B$25:$B$40,0)+1),G216)),G216+5),IF(OR(N216="SUBIR",N216="SUBIR_E"),IF(F216="polea",IFERROR(INDEX(CONFIG!$B$25:$B$40,MATCH(G216,CONFIG!$B$25:$B$40,0)+1),G216),G216+2.5),IF(N216="BAJAR",IF(F216="polea",IFERROR(INDEX(CONFIG!$B$25:$B$40,MAX(1,MATCH(G216,CONFIG!$B$25:$B$40,0)-1)),G216),MAX(0,G216-2.5)),G216)))),"--")</f>
        <v>--</v>
      </c>
      <c r="L216" s="59" t="str">
        <f>IFERROR(IF(N216="SIN","--",IF(N216="MANT",IF(H216="","--",H216+1),IFERROR(VLOOKUP(CONFIG!$E$2,CONFIG!$A$6:$E$8,2,0),"--"))),"--")</f>
        <v>--</v>
      </c>
      <c r="M216" s="59" t="str">
        <f>IFERROR(IF(N216="SIN","--",IF(CONFIG!$E$2="HIP",2,IF(CONFIG!$E$2="FUE",1,2))),"--")</f>
        <v>--</v>
      </c>
      <c r="N216" s="53" t="str">
        <f>IFERROR(IF(G216="","SIN",IF(O216=1,"SUBIR_E",IF(H216&lt;IFERROR(VLOOKUP(CONFIG!$E$2,CONFIG!$A$6:$E$8,2,0),6),"BAJAR",IF(H216+I216&gt;=IFERROR(VLOOKUP(CONFIG!$E$2,CONFIG!$A$6:$E$8,3,0),12),"SUBIR_F",IF(AND(H216&gt;=IFERROR(VLOOKUP(CONFIG!$E$2,CONFIG!$A$6:$E$8,2,0),6)+2,I216&gt;=2),"SUBIR",IF(I216&gt;IFERROR(VLOOKUP(CONFIG!$E$2,CONFIG!$A$6:$E$8,5,0),3),"SUBIR","MANT")))))),"SIN")</f>
        <v>SIN</v>
      </c>
      <c r="O216" s="55">
        <f>IF(COUNTIFS(HISTORIAL!$O$3:$O$214,D216&amp;"|"&amp;E216,HISTORIAL!$F$3:$F$214,"&gt;0")&lt;2,0,IF(COUNTIFS(HISTORIAL!$O$3:$O$214,D216&amp;"|"&amp;E216,HISTORIAL!$F$3:$F$214,IFERROR(LOOKUP(2,1/((HISTORIAL!$O$3:$O$214=D216&amp;"|"&amp;E216)*(HISTORIAL!$F$3:$F$214&gt;0)),HISTORIAL!$F$3:$F$214),0))&gt;=2,IF(IFERROR(LOOKUP(2,1/((HISTORIAL!$O$3:$O$214=D216&amp;"|"&amp;E216)*(HISTORIAL!$F$3:$F$214&gt;0)),HISTORIAL!$G$3:$G$214),0)&gt;0,IF(F216&gt;0,IF(G216&lt;=IFERROR(LOOKUP(2,1/((HISTORIAL!$O$3:$O$214=D216&amp;"|"&amp;E216)*(HISTORIAL!$F$3:$F$214&gt;0)),HISTORIAL!$G$3:$G$214),0),1,0),0),0),0))</f>
        <v>0</v>
      </c>
    </row>
    <row r="217" spans="1:15" ht="14.1" customHeight="1">
      <c r="A217" s="37">
        <v>4</v>
      </c>
      <c r="B217" s="37" t="s">
        <v>279</v>
      </c>
      <c r="C217" s="37">
        <v>3</v>
      </c>
      <c r="D217" s="56" t="str">
        <f>MIERCOLES!$A$80</f>
        <v>Curl Rumano</v>
      </c>
      <c r="E217" s="57" t="str">
        <f>MIERCOLES!$B$80</f>
        <v>Mancuernas</v>
      </c>
      <c r="F217" s="37" t="str">
        <f>MIERCOLES!$C$80</f>
        <v>mancuerna</v>
      </c>
      <c r="G217" s="37" t="str">
        <f>IFERROR(LOOKUP(2,1/((HISTORIAL!$O$3:$O$215=D217&amp;"|"&amp;E217)*(HISTORIAL!$F$3:$F$215&lt;&gt;"")),HISTORIAL!$F$3:$F$215),"")</f>
        <v/>
      </c>
      <c r="H217" s="37" t="str">
        <f>IFERROR(LOOKUP(2,1/((HISTORIAL!$O$3:$O$215=D217&amp;"|"&amp;E217)*(HISTORIAL!$F$3:$F$215&lt;&gt;"")),HISTORIAL!$G$3:$G$215),"")</f>
        <v/>
      </c>
      <c r="I217" s="37" t="str">
        <f>IFERROR(LOOKUP(2,1/((HISTORIAL!$O$3:$O$215=D217&amp;"|"&amp;E217)*(HISTORIAL!$F$3:$F$215&lt;&gt;"")),HISTORIAL!$H$3:$H$215),"")</f>
        <v/>
      </c>
      <c r="J217" s="37" t="str">
        <f>IFERROR(LOOKUP(2,1/((HISTORIAL!$O$3:$O$215=D217&amp;"|"&amp;E217)*(HISTORIAL!$F$3:$F$215&lt;&gt;"")),HISTORIAL!$I$3:$I$215),"")</f>
        <v/>
      </c>
      <c r="K217" s="58" t="str">
        <f>IFERROR(IF(OR(G217="",N217="SIN"),"--",IF(N217="SUBIR_F",IF(F217="polea",IFERROR(INDEX(CONFIG!$B$25:$B$40,MATCH(G217,CONFIG!$B$25:$B$40,0)+2),IFERROR(INDEX(CONFIG!$B$25:$B$40,MATCH(G217,CONFIG!$B$25:$B$40,0)+1),G217)),G217+5),IF(OR(N217="SUBIR",N217="SUBIR_E"),IF(F217="polea",IFERROR(INDEX(CONFIG!$B$25:$B$40,MATCH(G217,CONFIG!$B$25:$B$40,0)+1),G217),G217+2.5),IF(N217="BAJAR",IF(F217="polea",IFERROR(INDEX(CONFIG!$B$25:$B$40,MAX(1,MATCH(G217,CONFIG!$B$25:$B$40,0)-1)),G217),MAX(0,G217-2.5)),G217)))),"--")</f>
        <v>--</v>
      </c>
      <c r="L217" s="59" t="str">
        <f>IFERROR(IF(N217="SIN","--",IF(N217="MANT",IF(H217="","--",H217+1),IFERROR(VLOOKUP(CONFIG!$E$2,CONFIG!$A$6:$E$8,2,0),"--"))),"--")</f>
        <v>--</v>
      </c>
      <c r="M217" s="59" t="str">
        <f>IFERROR(IF(N217="SIN","--",IF(CONFIG!$E$2="HIP",2,IF(CONFIG!$E$2="FUE",1,2))),"--")</f>
        <v>--</v>
      </c>
      <c r="N217" s="53" t="str">
        <f>IFERROR(IF(G217="","SIN",IF(O217=1,"SUBIR_E",IF(H217&lt;IFERROR(VLOOKUP(CONFIG!$E$2,CONFIG!$A$6:$E$8,2,0),6),"BAJAR",IF(H217+I217&gt;=IFERROR(VLOOKUP(CONFIG!$E$2,CONFIG!$A$6:$E$8,3,0),12),"SUBIR_F",IF(AND(H217&gt;=IFERROR(VLOOKUP(CONFIG!$E$2,CONFIG!$A$6:$E$8,2,0),6)+2,I217&gt;=2),"SUBIR",IF(I217&gt;IFERROR(VLOOKUP(CONFIG!$E$2,CONFIG!$A$6:$E$8,5,0),3),"SUBIR","MANT")))))),"SIN")</f>
        <v>SIN</v>
      </c>
      <c r="O217" s="55">
        <f>IF(COUNTIFS(HISTORIAL!$O$3:$O$215,D217&amp;"|"&amp;E217,HISTORIAL!$F$3:$F$215,"&gt;0")&lt;2,0,IF(COUNTIFS(HISTORIAL!$O$3:$O$215,D217&amp;"|"&amp;E217,HISTORIAL!$F$3:$F$215,IFERROR(LOOKUP(2,1/((HISTORIAL!$O$3:$O$215=D217&amp;"|"&amp;E217)*(HISTORIAL!$F$3:$F$215&gt;0)),HISTORIAL!$F$3:$F$215),0))&gt;=2,IF(IFERROR(LOOKUP(2,1/((HISTORIAL!$O$3:$O$215=D217&amp;"|"&amp;E217)*(HISTORIAL!$F$3:$F$215&gt;0)),HISTORIAL!$G$3:$G$215),0)&gt;0,IF(F217&gt;0,IF(G217&lt;=IFERROR(LOOKUP(2,1/((HISTORIAL!$O$3:$O$215=D217&amp;"|"&amp;E217)*(HISTORIAL!$F$3:$F$215&gt;0)),HISTORIAL!$G$3:$G$215),0),1,0),0),0),0))</f>
        <v>0</v>
      </c>
    </row>
    <row r="218" spans="1:15" ht="14.1" customHeight="1">
      <c r="A218" s="37">
        <v>4</v>
      </c>
      <c r="B218" s="37" t="s">
        <v>279</v>
      </c>
      <c r="C218" s="37">
        <v>4</v>
      </c>
      <c r="D218" s="56" t="str">
        <f>MIERCOLES!$A$82</f>
        <v>Sentadilla</v>
      </c>
      <c r="E218" s="57" t="str">
        <f>MIERCOLES!$B$82</f>
        <v>Multipower Cuna Talones</v>
      </c>
      <c r="F218" s="37" t="str">
        <f>MIERCOLES!$C$82</f>
        <v>--</v>
      </c>
      <c r="G218" s="37" t="str">
        <f>IFERROR(LOOKUP(2,1/((HISTORIAL!$O$3:$O$216=D218&amp;"|"&amp;E218)*(HISTORIAL!$F$3:$F$216&lt;&gt;"")),HISTORIAL!$F$3:$F$216),"")</f>
        <v/>
      </c>
      <c r="H218" s="37" t="str">
        <f>IFERROR(LOOKUP(2,1/((HISTORIAL!$O$3:$O$216=D218&amp;"|"&amp;E218)*(HISTORIAL!$F$3:$F$216&lt;&gt;"")),HISTORIAL!$G$3:$G$216),"")</f>
        <v/>
      </c>
      <c r="I218" s="37" t="str">
        <f>IFERROR(LOOKUP(2,1/((HISTORIAL!$O$3:$O$216=D218&amp;"|"&amp;E218)*(HISTORIAL!$F$3:$F$216&lt;&gt;"")),HISTORIAL!$H$3:$H$216),"")</f>
        <v/>
      </c>
      <c r="J218" s="37" t="str">
        <f>IFERROR(LOOKUP(2,1/((HISTORIAL!$O$3:$O$216=D218&amp;"|"&amp;E218)*(HISTORIAL!$F$3:$F$216&lt;&gt;"")),HISTORIAL!$I$3:$I$216),"")</f>
        <v/>
      </c>
      <c r="K218" s="58" t="str">
        <f>IFERROR(IF(OR(G218="",N218="SIN"),"--",IF(N218="SUBIR_F",IF(F218="polea",IFERROR(INDEX(CONFIG!$B$25:$B$40,MATCH(G218,CONFIG!$B$25:$B$40,0)+2),IFERROR(INDEX(CONFIG!$B$25:$B$40,MATCH(G218,CONFIG!$B$25:$B$40,0)+1),G218)),G218+5),IF(OR(N218="SUBIR",N218="SUBIR_E"),IF(F218="polea",IFERROR(INDEX(CONFIG!$B$25:$B$40,MATCH(G218,CONFIG!$B$25:$B$40,0)+1),G218),G218+2.5),IF(N218="BAJAR",IF(F218="polea",IFERROR(INDEX(CONFIG!$B$25:$B$40,MAX(1,MATCH(G218,CONFIG!$B$25:$B$40,0)-1)),G218),MAX(0,G218-2.5)),G218)))),"--")</f>
        <v>--</v>
      </c>
      <c r="L218" s="59" t="str">
        <f>IFERROR(IF(N218="SIN","--",IF(N218="MANT",IF(H218="","--",H218+1),IFERROR(VLOOKUP(CONFIG!$E$2,CONFIG!$A$6:$E$8,2,0),"--"))),"--")</f>
        <v>--</v>
      </c>
      <c r="M218" s="59" t="str">
        <f>IFERROR(IF(N218="SIN","--",IF(CONFIG!$E$2="HIP",2,IF(CONFIG!$E$2="FUE",1,2))),"--")</f>
        <v>--</v>
      </c>
      <c r="N218" s="53" t="str">
        <f>IFERROR(IF(G218="","SIN",IF(O218=1,"SUBIR_E",IF(H218&lt;IFERROR(VLOOKUP(CONFIG!$E$2,CONFIG!$A$6:$E$8,2,0),6),"BAJAR",IF(H218+I218&gt;=IFERROR(VLOOKUP(CONFIG!$E$2,CONFIG!$A$6:$E$8,3,0),12),"SUBIR_F",IF(AND(H218&gt;=IFERROR(VLOOKUP(CONFIG!$E$2,CONFIG!$A$6:$E$8,2,0),6)+2,I218&gt;=2),"SUBIR",IF(I218&gt;IFERROR(VLOOKUP(CONFIG!$E$2,CONFIG!$A$6:$E$8,5,0),3),"SUBIR","MANT")))))),"SIN")</f>
        <v>SIN</v>
      </c>
      <c r="O218" s="55">
        <f>IF(COUNTIFS(HISTORIAL!$O$3:$O$216,D218&amp;"|"&amp;E218,HISTORIAL!$F$3:$F$216,"&gt;0")&lt;2,0,IF(COUNTIFS(HISTORIAL!$O$3:$O$216,D218&amp;"|"&amp;E218,HISTORIAL!$F$3:$F$216,IFERROR(LOOKUP(2,1/((HISTORIAL!$O$3:$O$216=D218&amp;"|"&amp;E218)*(HISTORIAL!$F$3:$F$216&gt;0)),HISTORIAL!$F$3:$F$216),0))&gt;=2,IF(IFERROR(LOOKUP(2,1/((HISTORIAL!$O$3:$O$216=D218&amp;"|"&amp;E218)*(HISTORIAL!$F$3:$F$216&gt;0)),HISTORIAL!$G$3:$G$216),0)&gt;0,IF(F218&gt;0,IF(G218&lt;=IFERROR(LOOKUP(2,1/((HISTORIAL!$O$3:$O$216=D218&amp;"|"&amp;E218)*(HISTORIAL!$F$3:$F$216&gt;0)),HISTORIAL!$G$3:$G$216),0),1,0),0),0),0))</f>
        <v>0</v>
      </c>
    </row>
    <row r="219" spans="1:15" ht="14.1" customHeight="1">
      <c r="A219" s="37">
        <v>4</v>
      </c>
      <c r="B219" s="37" t="s">
        <v>279</v>
      </c>
      <c r="C219" s="37">
        <v>5</v>
      </c>
      <c r="D219" s="56" t="str">
        <f>MIERCOLES!$A$83</f>
        <v>Prensa Pierna</v>
      </c>
      <c r="E219" s="57" t="str">
        <f>MIERCOLES!$B$83</f>
        <v>Individual Horizontal</v>
      </c>
      <c r="F219" s="37" t="str">
        <f>MIERCOLES!$C$83</f>
        <v>--</v>
      </c>
      <c r="G219" s="37" t="str">
        <f>IFERROR(LOOKUP(2,1/((HISTORIAL!$O$3:$O$217=D219&amp;"|"&amp;E219)*(HISTORIAL!$F$3:$F$217&lt;&gt;"")),HISTORIAL!$F$3:$F$217),"")</f>
        <v/>
      </c>
      <c r="H219" s="37" t="str">
        <f>IFERROR(LOOKUP(2,1/((HISTORIAL!$O$3:$O$217=D219&amp;"|"&amp;E219)*(HISTORIAL!$F$3:$F$217&lt;&gt;"")),HISTORIAL!$G$3:$G$217),"")</f>
        <v/>
      </c>
      <c r="I219" s="37" t="str">
        <f>IFERROR(LOOKUP(2,1/((HISTORIAL!$O$3:$O$217=D219&amp;"|"&amp;E219)*(HISTORIAL!$F$3:$F$217&lt;&gt;"")),HISTORIAL!$H$3:$H$217),"")</f>
        <v/>
      </c>
      <c r="J219" s="37" t="str">
        <f>IFERROR(LOOKUP(2,1/((HISTORIAL!$O$3:$O$217=D219&amp;"|"&amp;E219)*(HISTORIAL!$F$3:$F$217&lt;&gt;"")),HISTORIAL!$I$3:$I$217),"")</f>
        <v/>
      </c>
      <c r="K219" s="58" t="str">
        <f>IFERROR(IF(OR(G219="",N219="SIN"),"--",IF(N219="SUBIR_F",IF(F219="polea",IFERROR(INDEX(CONFIG!$B$25:$B$40,MATCH(G219,CONFIG!$B$25:$B$40,0)+2),IFERROR(INDEX(CONFIG!$B$25:$B$40,MATCH(G219,CONFIG!$B$25:$B$40,0)+1),G219)),G219+5),IF(OR(N219="SUBIR",N219="SUBIR_E"),IF(F219="polea",IFERROR(INDEX(CONFIG!$B$25:$B$40,MATCH(G219,CONFIG!$B$25:$B$40,0)+1),G219),G219+2.5),IF(N219="BAJAR",IF(F219="polea",IFERROR(INDEX(CONFIG!$B$25:$B$40,MAX(1,MATCH(G219,CONFIG!$B$25:$B$40,0)-1)),G219),MAX(0,G219-2.5)),G219)))),"--")</f>
        <v>--</v>
      </c>
      <c r="L219" s="59" t="str">
        <f>IFERROR(IF(N219="SIN","--",IF(N219="MANT",IF(H219="","--",H219+1),IFERROR(VLOOKUP(CONFIG!$E$2,CONFIG!$A$6:$E$8,2,0),"--"))),"--")</f>
        <v>--</v>
      </c>
      <c r="M219" s="59" t="str">
        <f>IFERROR(IF(N219="SIN","--",IF(CONFIG!$E$2="HIP",2,IF(CONFIG!$E$2="FUE",1,2))),"--")</f>
        <v>--</v>
      </c>
      <c r="N219" s="53" t="str">
        <f>IFERROR(IF(G219="","SIN",IF(O219=1,"SUBIR_E",IF(H219&lt;IFERROR(VLOOKUP(CONFIG!$E$2,CONFIG!$A$6:$E$8,2,0),6),"BAJAR",IF(H219+I219&gt;=IFERROR(VLOOKUP(CONFIG!$E$2,CONFIG!$A$6:$E$8,3,0),12),"SUBIR_F",IF(AND(H219&gt;=IFERROR(VLOOKUP(CONFIG!$E$2,CONFIG!$A$6:$E$8,2,0),6)+2,I219&gt;=2),"SUBIR",IF(I219&gt;IFERROR(VLOOKUP(CONFIG!$E$2,CONFIG!$A$6:$E$8,5,0),3),"SUBIR","MANT")))))),"SIN")</f>
        <v>SIN</v>
      </c>
      <c r="O219" s="55">
        <f>IF(COUNTIFS(HISTORIAL!$O$3:$O$217,D219&amp;"|"&amp;E219,HISTORIAL!$F$3:$F$217,"&gt;0")&lt;2,0,IF(COUNTIFS(HISTORIAL!$O$3:$O$217,D219&amp;"|"&amp;E219,HISTORIAL!$F$3:$F$217,IFERROR(LOOKUP(2,1/((HISTORIAL!$O$3:$O$217=D219&amp;"|"&amp;E219)*(HISTORIAL!$F$3:$F$217&gt;0)),HISTORIAL!$F$3:$F$217),0))&gt;=2,IF(IFERROR(LOOKUP(2,1/((HISTORIAL!$O$3:$O$217=D219&amp;"|"&amp;E219)*(HISTORIAL!$F$3:$F$217&gt;0)),HISTORIAL!$G$3:$G$217),0)&gt;0,IF(F219&gt;0,IF(G219&lt;=IFERROR(LOOKUP(2,1/((HISTORIAL!$O$3:$O$217=D219&amp;"|"&amp;E219)*(HISTORIAL!$F$3:$F$217&gt;0)),HISTORIAL!$G$3:$G$217),0),1,0),0),0),0))</f>
        <v>0</v>
      </c>
    </row>
    <row r="220" spans="1:15" ht="14.1" customHeight="1">
      <c r="A220" s="37">
        <v>4</v>
      </c>
      <c r="B220" s="37" t="s">
        <v>279</v>
      </c>
      <c r="C220" s="37">
        <v>6</v>
      </c>
      <c r="D220" s="56" t="str">
        <f>MIERCOLES!$A$84</f>
        <v>Extension Cuadriceps</v>
      </c>
      <c r="E220" s="57" t="str">
        <f>MIERCOLES!$B$84</f>
        <v>Vasto Externo</v>
      </c>
      <c r="F220" s="37" t="str">
        <f>MIERCOLES!$C$84</f>
        <v>--</v>
      </c>
      <c r="G220" s="37" t="str">
        <f>IFERROR(LOOKUP(2,1/((HISTORIAL!$O$3:$O$218=D220&amp;"|"&amp;E220)*(HISTORIAL!$F$3:$F$218&lt;&gt;"")),HISTORIAL!$F$3:$F$218),"")</f>
        <v/>
      </c>
      <c r="H220" s="37" t="str">
        <f>IFERROR(LOOKUP(2,1/((HISTORIAL!$O$3:$O$218=D220&amp;"|"&amp;E220)*(HISTORIAL!$F$3:$F$218&lt;&gt;"")),HISTORIAL!$G$3:$G$218),"")</f>
        <v/>
      </c>
      <c r="I220" s="37" t="str">
        <f>IFERROR(LOOKUP(2,1/((HISTORIAL!$O$3:$O$218=D220&amp;"|"&amp;E220)*(HISTORIAL!$F$3:$F$218&lt;&gt;"")),HISTORIAL!$H$3:$H$218),"")</f>
        <v/>
      </c>
      <c r="J220" s="37" t="str">
        <f>IFERROR(LOOKUP(2,1/((HISTORIAL!$O$3:$O$218=D220&amp;"|"&amp;E220)*(HISTORIAL!$F$3:$F$218&lt;&gt;"")),HISTORIAL!$I$3:$I$218),"")</f>
        <v/>
      </c>
      <c r="K220" s="58" t="str">
        <f>IFERROR(IF(OR(G220="",N220="SIN"),"--",IF(N220="SUBIR_F",IF(F220="polea",IFERROR(INDEX(CONFIG!$B$25:$B$40,MATCH(G220,CONFIG!$B$25:$B$40,0)+2),IFERROR(INDEX(CONFIG!$B$25:$B$40,MATCH(G220,CONFIG!$B$25:$B$40,0)+1),G220)),G220+5),IF(OR(N220="SUBIR",N220="SUBIR_E"),IF(F220="polea",IFERROR(INDEX(CONFIG!$B$25:$B$40,MATCH(G220,CONFIG!$B$25:$B$40,0)+1),G220),G220+2.5),IF(N220="BAJAR",IF(F220="polea",IFERROR(INDEX(CONFIG!$B$25:$B$40,MAX(1,MATCH(G220,CONFIG!$B$25:$B$40,0)-1)),G220),MAX(0,G220-2.5)),G220)))),"--")</f>
        <v>--</v>
      </c>
      <c r="L220" s="59" t="str">
        <f>IFERROR(IF(N220="SIN","--",IF(N220="MANT",IF(H220="","--",H220+1),IFERROR(VLOOKUP(CONFIG!$E$2,CONFIG!$A$6:$E$8,2,0),"--"))),"--")</f>
        <v>--</v>
      </c>
      <c r="M220" s="59" t="str">
        <f>IFERROR(IF(N220="SIN","--",IF(CONFIG!$E$2="HIP",2,IF(CONFIG!$E$2="FUE",1,2))),"--")</f>
        <v>--</v>
      </c>
      <c r="N220" s="53" t="str">
        <f>IFERROR(IF(G220="","SIN",IF(O220=1,"SUBIR_E",IF(H220&lt;IFERROR(VLOOKUP(CONFIG!$E$2,CONFIG!$A$6:$E$8,2,0),6),"BAJAR",IF(H220+I220&gt;=IFERROR(VLOOKUP(CONFIG!$E$2,CONFIG!$A$6:$E$8,3,0),12),"SUBIR_F",IF(AND(H220&gt;=IFERROR(VLOOKUP(CONFIG!$E$2,CONFIG!$A$6:$E$8,2,0),6)+2,I220&gt;=2),"SUBIR",IF(I220&gt;IFERROR(VLOOKUP(CONFIG!$E$2,CONFIG!$A$6:$E$8,5,0),3),"SUBIR","MANT")))))),"SIN")</f>
        <v>SIN</v>
      </c>
      <c r="O220" s="55">
        <f>IF(COUNTIFS(HISTORIAL!$O$3:$O$218,D220&amp;"|"&amp;E220,HISTORIAL!$F$3:$F$218,"&gt;0")&lt;2,0,IF(COUNTIFS(HISTORIAL!$O$3:$O$218,D220&amp;"|"&amp;E220,HISTORIAL!$F$3:$F$218,IFERROR(LOOKUP(2,1/((HISTORIAL!$O$3:$O$218=D220&amp;"|"&amp;E220)*(HISTORIAL!$F$3:$F$218&gt;0)),HISTORIAL!$F$3:$F$218),0))&gt;=2,IF(IFERROR(LOOKUP(2,1/((HISTORIAL!$O$3:$O$218=D220&amp;"|"&amp;E220)*(HISTORIAL!$F$3:$F$218&gt;0)),HISTORIAL!$G$3:$G$218),0)&gt;0,IF(F220&gt;0,IF(G220&lt;=IFERROR(LOOKUP(2,1/((HISTORIAL!$O$3:$O$218=D220&amp;"|"&amp;E220)*(HISTORIAL!$F$3:$F$218&gt;0)),HISTORIAL!$G$3:$G$218),0),1,0),0),0),0))</f>
        <v>0</v>
      </c>
    </row>
    <row r="221" spans="1:15" ht="14.1" customHeight="1">
      <c r="A221" s="37">
        <v>4</v>
      </c>
      <c r="B221" s="37" t="s">
        <v>279</v>
      </c>
      <c r="C221" s="37">
        <v>7</v>
      </c>
      <c r="D221" s="56" t="str">
        <f>MIERCOLES!$A$85</f>
        <v>Extension Cuadriceps</v>
      </c>
      <c r="E221" s="57" t="str">
        <f>MIERCOLES!$B$85</f>
        <v>Vasto Interno</v>
      </c>
      <c r="F221" s="37" t="str">
        <f>MIERCOLES!$C$85</f>
        <v>--</v>
      </c>
      <c r="G221" s="37" t="str">
        <f>IFERROR(LOOKUP(2,1/((HISTORIAL!$O$3:$O$219=D221&amp;"|"&amp;E221)*(HISTORIAL!$F$3:$F$219&lt;&gt;"")),HISTORIAL!$F$3:$F$219),"")</f>
        <v/>
      </c>
      <c r="H221" s="37" t="str">
        <f>IFERROR(LOOKUP(2,1/((HISTORIAL!$O$3:$O$219=D221&amp;"|"&amp;E221)*(HISTORIAL!$F$3:$F$219&lt;&gt;"")),HISTORIAL!$G$3:$G$219),"")</f>
        <v/>
      </c>
      <c r="I221" s="37" t="str">
        <f>IFERROR(LOOKUP(2,1/((HISTORIAL!$O$3:$O$219=D221&amp;"|"&amp;E221)*(HISTORIAL!$F$3:$F$219&lt;&gt;"")),HISTORIAL!$H$3:$H$219),"")</f>
        <v/>
      </c>
      <c r="J221" s="37" t="str">
        <f>IFERROR(LOOKUP(2,1/((HISTORIAL!$O$3:$O$219=D221&amp;"|"&amp;E221)*(HISTORIAL!$F$3:$F$219&lt;&gt;"")),HISTORIAL!$I$3:$I$219),"")</f>
        <v/>
      </c>
      <c r="K221" s="58" t="str">
        <f>IFERROR(IF(OR(G221="",N221="SIN"),"--",IF(N221="SUBIR_F",IF(F221="polea",IFERROR(INDEX(CONFIG!$B$25:$B$40,MATCH(G221,CONFIG!$B$25:$B$40,0)+2),IFERROR(INDEX(CONFIG!$B$25:$B$40,MATCH(G221,CONFIG!$B$25:$B$40,0)+1),G221)),G221+5),IF(OR(N221="SUBIR",N221="SUBIR_E"),IF(F221="polea",IFERROR(INDEX(CONFIG!$B$25:$B$40,MATCH(G221,CONFIG!$B$25:$B$40,0)+1),G221),G221+2.5),IF(N221="BAJAR",IF(F221="polea",IFERROR(INDEX(CONFIG!$B$25:$B$40,MAX(1,MATCH(G221,CONFIG!$B$25:$B$40,0)-1)),G221),MAX(0,G221-2.5)),G221)))),"--")</f>
        <v>--</v>
      </c>
      <c r="L221" s="59" t="str">
        <f>IFERROR(IF(N221="SIN","--",IF(N221="MANT",IF(H221="","--",H221+1),IFERROR(VLOOKUP(CONFIG!$E$2,CONFIG!$A$6:$E$8,2,0),"--"))),"--")</f>
        <v>--</v>
      </c>
      <c r="M221" s="59" t="str">
        <f>IFERROR(IF(N221="SIN","--",IF(CONFIG!$E$2="HIP",2,IF(CONFIG!$E$2="FUE",1,2))),"--")</f>
        <v>--</v>
      </c>
      <c r="N221" s="53" t="str">
        <f>IFERROR(IF(G221="","SIN",IF(O221=1,"SUBIR_E",IF(H221&lt;IFERROR(VLOOKUP(CONFIG!$E$2,CONFIG!$A$6:$E$8,2,0),6),"BAJAR",IF(H221+I221&gt;=IFERROR(VLOOKUP(CONFIG!$E$2,CONFIG!$A$6:$E$8,3,0),12),"SUBIR_F",IF(AND(H221&gt;=IFERROR(VLOOKUP(CONFIG!$E$2,CONFIG!$A$6:$E$8,2,0),6)+2,I221&gt;=2),"SUBIR",IF(I221&gt;IFERROR(VLOOKUP(CONFIG!$E$2,CONFIG!$A$6:$E$8,5,0),3),"SUBIR","MANT")))))),"SIN")</f>
        <v>SIN</v>
      </c>
      <c r="O221" s="55">
        <f>IF(COUNTIFS(HISTORIAL!$O$3:$O$219,D221&amp;"|"&amp;E221,HISTORIAL!$F$3:$F$219,"&gt;0")&lt;2,0,IF(COUNTIFS(HISTORIAL!$O$3:$O$219,D221&amp;"|"&amp;E221,HISTORIAL!$F$3:$F$219,IFERROR(LOOKUP(2,1/((HISTORIAL!$O$3:$O$219=D221&amp;"|"&amp;E221)*(HISTORIAL!$F$3:$F$219&gt;0)),HISTORIAL!$F$3:$F$219),0))&gt;=2,IF(IFERROR(LOOKUP(2,1/((HISTORIAL!$O$3:$O$219=D221&amp;"|"&amp;E221)*(HISTORIAL!$F$3:$F$219&gt;0)),HISTORIAL!$G$3:$G$219),0)&gt;0,IF(F221&gt;0,IF(G221&lt;=IFERROR(LOOKUP(2,1/((HISTORIAL!$O$3:$O$219=D221&amp;"|"&amp;E221)*(HISTORIAL!$F$3:$F$219&gt;0)),HISTORIAL!$G$3:$G$219),0),1,0),0),0),0))</f>
        <v>0</v>
      </c>
    </row>
    <row r="222" spans="1:15" ht="14.1" customHeight="1">
      <c r="A222" s="37">
        <v>4</v>
      </c>
      <c r="B222" s="37" t="s">
        <v>279</v>
      </c>
      <c r="C222" s="37">
        <v>8</v>
      </c>
      <c r="D222" s="56" t="str">
        <f>MIERCOLES!$A$87</f>
        <v>Elevacion Gemelo</v>
      </c>
      <c r="E222" s="57" t="str">
        <f>MIERCOLES!$B$87</f>
        <v>Sentado</v>
      </c>
      <c r="F222" s="37" t="str">
        <f>MIERCOLES!$C$87</f>
        <v>disco</v>
      </c>
      <c r="G222" s="37" t="str">
        <f>IFERROR(LOOKUP(2,1/((HISTORIAL!$O$3:$O$220=D222&amp;"|"&amp;E222)*(HISTORIAL!$F$3:$F$220&lt;&gt;"")),HISTORIAL!$F$3:$F$220),"")</f>
        <v/>
      </c>
      <c r="H222" s="37" t="str">
        <f>IFERROR(LOOKUP(2,1/((HISTORIAL!$O$3:$O$220=D222&amp;"|"&amp;E222)*(HISTORIAL!$F$3:$F$220&lt;&gt;"")),HISTORIAL!$G$3:$G$220),"")</f>
        <v/>
      </c>
      <c r="I222" s="37" t="str">
        <f>IFERROR(LOOKUP(2,1/((HISTORIAL!$O$3:$O$220=D222&amp;"|"&amp;E222)*(HISTORIAL!$F$3:$F$220&lt;&gt;"")),HISTORIAL!$H$3:$H$220),"")</f>
        <v/>
      </c>
      <c r="J222" s="37" t="str">
        <f>IFERROR(LOOKUP(2,1/((HISTORIAL!$O$3:$O$220=D222&amp;"|"&amp;E222)*(HISTORIAL!$F$3:$F$220&lt;&gt;"")),HISTORIAL!$I$3:$I$220),"")</f>
        <v/>
      </c>
      <c r="K222" s="58" t="str">
        <f>IFERROR(IF(OR(G222="",N222="SIN"),"--",IF(N222="SUBIR_F",IF(F222="polea",IFERROR(INDEX(CONFIG!$B$25:$B$40,MATCH(G222,CONFIG!$B$25:$B$40,0)+2),IFERROR(INDEX(CONFIG!$B$25:$B$40,MATCH(G222,CONFIG!$B$25:$B$40,0)+1),G222)),G222+5),IF(OR(N222="SUBIR",N222="SUBIR_E"),IF(F222="polea",IFERROR(INDEX(CONFIG!$B$25:$B$40,MATCH(G222,CONFIG!$B$25:$B$40,0)+1),G222),G222+2.5),IF(N222="BAJAR",IF(F222="polea",IFERROR(INDEX(CONFIG!$B$25:$B$40,MAX(1,MATCH(G222,CONFIG!$B$25:$B$40,0)-1)),G222),MAX(0,G222-2.5)),G222)))),"--")</f>
        <v>--</v>
      </c>
      <c r="L222" s="59" t="str">
        <f>IFERROR(IF(N222="SIN","--",IF(N222="MANT",IF(H222="","--",H222+1),IFERROR(VLOOKUP(CONFIG!$E$2,CONFIG!$A$6:$E$8,2,0),"--"))),"--")</f>
        <v>--</v>
      </c>
      <c r="M222" s="59" t="str">
        <f>IFERROR(IF(N222="SIN","--",IF(CONFIG!$E$2="HIP",2,IF(CONFIG!$E$2="FUE",1,2))),"--")</f>
        <v>--</v>
      </c>
      <c r="N222" s="53" t="str">
        <f>IFERROR(IF(G222="","SIN",IF(O222=1,"SUBIR_E",IF(H222&lt;IFERROR(VLOOKUP(CONFIG!$E$2,CONFIG!$A$6:$E$8,2,0),6),"BAJAR",IF(H222+I222&gt;=IFERROR(VLOOKUP(CONFIG!$E$2,CONFIG!$A$6:$E$8,3,0),12),"SUBIR_F",IF(AND(H222&gt;=IFERROR(VLOOKUP(CONFIG!$E$2,CONFIG!$A$6:$E$8,2,0),6)+2,I222&gt;=2),"SUBIR",IF(I222&gt;IFERROR(VLOOKUP(CONFIG!$E$2,CONFIG!$A$6:$E$8,5,0),3),"SUBIR","MANT")))))),"SIN")</f>
        <v>SIN</v>
      </c>
      <c r="O222" s="55">
        <f>IF(COUNTIFS(HISTORIAL!$O$3:$O$220,D222&amp;"|"&amp;E222,HISTORIAL!$F$3:$F$220,"&gt;0")&lt;2,0,IF(COUNTIFS(HISTORIAL!$O$3:$O$220,D222&amp;"|"&amp;E222,HISTORIAL!$F$3:$F$220,IFERROR(LOOKUP(2,1/((HISTORIAL!$O$3:$O$220=D222&amp;"|"&amp;E222)*(HISTORIAL!$F$3:$F$220&gt;0)),HISTORIAL!$F$3:$F$220),0))&gt;=2,IF(IFERROR(LOOKUP(2,1/((HISTORIAL!$O$3:$O$220=D222&amp;"|"&amp;E222)*(HISTORIAL!$F$3:$F$220&gt;0)),HISTORIAL!$G$3:$G$220),0)&gt;0,IF(F222&gt;0,IF(G222&lt;=IFERROR(LOOKUP(2,1/((HISTORIAL!$O$3:$O$220=D222&amp;"|"&amp;E222)*(HISTORIAL!$F$3:$F$220&gt;0)),HISTORIAL!$G$3:$G$220),0),1,0),0),0),0))</f>
        <v>0</v>
      </c>
    </row>
    <row r="223" spans="1:15" ht="14.1" customHeight="1">
      <c r="A223" s="37">
        <v>4</v>
      </c>
      <c r="B223" s="37" t="s">
        <v>279</v>
      </c>
      <c r="C223" s="37">
        <v>9</v>
      </c>
      <c r="D223" s="56" t="str">
        <f>MIERCOLES!$A$88</f>
        <v>Elevacion Gemelo</v>
      </c>
      <c r="E223" s="57" t="str">
        <f>MIERCOLES!$B$88</f>
        <v>De Pie</v>
      </c>
      <c r="F223" s="37" t="str">
        <f>MIERCOLES!$C$88</f>
        <v>disco</v>
      </c>
      <c r="G223" s="37" t="str">
        <f>IFERROR(LOOKUP(2,1/((HISTORIAL!$O$3:$O$221=D223&amp;"|"&amp;E223)*(HISTORIAL!$F$3:$F$221&lt;&gt;"")),HISTORIAL!$F$3:$F$221),"")</f>
        <v/>
      </c>
      <c r="H223" s="37" t="str">
        <f>IFERROR(LOOKUP(2,1/((HISTORIAL!$O$3:$O$221=D223&amp;"|"&amp;E223)*(HISTORIAL!$F$3:$F$221&lt;&gt;"")),HISTORIAL!$G$3:$G$221),"")</f>
        <v/>
      </c>
      <c r="I223" s="37" t="str">
        <f>IFERROR(LOOKUP(2,1/((HISTORIAL!$O$3:$O$221=D223&amp;"|"&amp;E223)*(HISTORIAL!$F$3:$F$221&lt;&gt;"")),HISTORIAL!$H$3:$H$221),"")</f>
        <v/>
      </c>
      <c r="J223" s="37" t="str">
        <f>IFERROR(LOOKUP(2,1/((HISTORIAL!$O$3:$O$221=D223&amp;"|"&amp;E223)*(HISTORIAL!$F$3:$F$221&lt;&gt;"")),HISTORIAL!$I$3:$I$221),"")</f>
        <v/>
      </c>
      <c r="K223" s="58" t="str">
        <f>IFERROR(IF(OR(G223="",N223="SIN"),"--",IF(N223="SUBIR_F",IF(F223="polea",IFERROR(INDEX(CONFIG!$B$25:$B$40,MATCH(G223,CONFIG!$B$25:$B$40,0)+2),IFERROR(INDEX(CONFIG!$B$25:$B$40,MATCH(G223,CONFIG!$B$25:$B$40,0)+1),G223)),G223+5),IF(OR(N223="SUBIR",N223="SUBIR_E"),IF(F223="polea",IFERROR(INDEX(CONFIG!$B$25:$B$40,MATCH(G223,CONFIG!$B$25:$B$40,0)+1),G223),G223+2.5),IF(N223="BAJAR",IF(F223="polea",IFERROR(INDEX(CONFIG!$B$25:$B$40,MAX(1,MATCH(G223,CONFIG!$B$25:$B$40,0)-1)),G223),MAX(0,G223-2.5)),G223)))),"--")</f>
        <v>--</v>
      </c>
      <c r="L223" s="59" t="str">
        <f>IFERROR(IF(N223="SIN","--",IF(N223="MANT",IF(H223="","--",H223+1),IFERROR(VLOOKUP(CONFIG!$E$2,CONFIG!$A$6:$E$8,2,0),"--"))),"--")</f>
        <v>--</v>
      </c>
      <c r="M223" s="59" t="str">
        <f>IFERROR(IF(N223="SIN","--",IF(CONFIG!$E$2="HIP",2,IF(CONFIG!$E$2="FUE",1,2))),"--")</f>
        <v>--</v>
      </c>
      <c r="N223" s="53" t="str">
        <f>IFERROR(IF(G223="","SIN",IF(O223=1,"SUBIR_E",IF(H223&lt;IFERROR(VLOOKUP(CONFIG!$E$2,CONFIG!$A$6:$E$8,2,0),6),"BAJAR",IF(H223+I223&gt;=IFERROR(VLOOKUP(CONFIG!$E$2,CONFIG!$A$6:$E$8,3,0),12),"SUBIR_F",IF(AND(H223&gt;=IFERROR(VLOOKUP(CONFIG!$E$2,CONFIG!$A$6:$E$8,2,0),6)+2,I223&gt;=2),"SUBIR",IF(I223&gt;IFERROR(VLOOKUP(CONFIG!$E$2,CONFIG!$A$6:$E$8,5,0),3),"SUBIR","MANT")))))),"SIN")</f>
        <v>SIN</v>
      </c>
      <c r="O223" s="55">
        <f>IF(COUNTIFS(HISTORIAL!$O$3:$O$221,D223&amp;"|"&amp;E223,HISTORIAL!$F$3:$F$221,"&gt;0")&lt;2,0,IF(COUNTIFS(HISTORIAL!$O$3:$O$221,D223&amp;"|"&amp;E223,HISTORIAL!$F$3:$F$221,IFERROR(LOOKUP(2,1/((HISTORIAL!$O$3:$O$221=D223&amp;"|"&amp;E223)*(HISTORIAL!$F$3:$F$221&gt;0)),HISTORIAL!$F$3:$F$221),0))&gt;=2,IF(IFERROR(LOOKUP(2,1/((HISTORIAL!$O$3:$O$221=D223&amp;"|"&amp;E223)*(HISTORIAL!$F$3:$F$221&gt;0)),HISTORIAL!$G$3:$G$221),0)&gt;0,IF(F223&gt;0,IF(G223&lt;=IFERROR(LOOKUP(2,1/((HISTORIAL!$O$3:$O$221=D223&amp;"|"&amp;E223)*(HISTORIAL!$F$3:$F$221&gt;0)),HISTORIAL!$G$3:$G$221),0),1,0),0),0),0))</f>
        <v>0</v>
      </c>
    </row>
    <row r="224" spans="1:15" ht="14.1" customHeight="1">
      <c r="A224" s="37">
        <v>4</v>
      </c>
      <c r="B224" s="37" t="s">
        <v>279</v>
      </c>
      <c r="C224" s="37">
        <v>10</v>
      </c>
      <c r="D224" s="56" t="str">
        <f>MIERCOLES!$A$90</f>
        <v>Hiperextension</v>
      </c>
      <c r="E224" s="57" t="str">
        <f>MIERCOLES!$B$90</f>
        <v>Banco Romano</v>
      </c>
      <c r="F224" s="37" t="str">
        <f>MIERCOLES!$C$90</f>
        <v>peso_corporal</v>
      </c>
      <c r="G224" s="37" t="str">
        <f>IFERROR(LOOKUP(2,1/((HISTORIAL!$O$3:$O$222=D224&amp;"|"&amp;E224)*(HISTORIAL!$F$3:$F$222&lt;&gt;"")),HISTORIAL!$F$3:$F$222),"")</f>
        <v/>
      </c>
      <c r="H224" s="37" t="str">
        <f>IFERROR(LOOKUP(2,1/((HISTORIAL!$O$3:$O$222=D224&amp;"|"&amp;E224)*(HISTORIAL!$F$3:$F$222&lt;&gt;"")),HISTORIAL!$G$3:$G$222),"")</f>
        <v/>
      </c>
      <c r="I224" s="37" t="str">
        <f>IFERROR(LOOKUP(2,1/((HISTORIAL!$O$3:$O$222=D224&amp;"|"&amp;E224)*(HISTORIAL!$F$3:$F$222&lt;&gt;"")),HISTORIAL!$H$3:$H$222),"")</f>
        <v/>
      </c>
      <c r="J224" s="37" t="str">
        <f>IFERROR(LOOKUP(2,1/((HISTORIAL!$O$3:$O$222=D224&amp;"|"&amp;E224)*(HISTORIAL!$F$3:$F$222&lt;&gt;"")),HISTORIAL!$I$3:$I$222),"")</f>
        <v/>
      </c>
      <c r="K224" s="58" t="str">
        <f>IFERROR(IF(OR(G224="",N224="SIN"),"--",IF(N224="SUBIR_F",IF(F224="polea",IFERROR(INDEX(CONFIG!$B$25:$B$40,MATCH(G224,CONFIG!$B$25:$B$40,0)+2),IFERROR(INDEX(CONFIG!$B$25:$B$40,MATCH(G224,CONFIG!$B$25:$B$40,0)+1),G224)),G224+5),IF(OR(N224="SUBIR",N224="SUBIR_E"),IF(F224="polea",IFERROR(INDEX(CONFIG!$B$25:$B$40,MATCH(G224,CONFIG!$B$25:$B$40,0)+1),G224),G224+2.5),IF(N224="BAJAR",IF(F224="polea",IFERROR(INDEX(CONFIG!$B$25:$B$40,MAX(1,MATCH(G224,CONFIG!$B$25:$B$40,0)-1)),G224),MAX(0,G224-2.5)),G224)))),"--")</f>
        <v>--</v>
      </c>
      <c r="L224" s="59" t="str">
        <f>IFERROR(IF(N224="SIN","--",IF(N224="MANT",IF(H224="","--",H224+1),IFERROR(VLOOKUP(CONFIG!$E$2,CONFIG!$A$6:$E$8,2,0),"--"))),"--")</f>
        <v>--</v>
      </c>
      <c r="M224" s="59" t="str">
        <f>IFERROR(IF(N224="SIN","--",IF(CONFIG!$E$2="HIP",2,IF(CONFIG!$E$2="FUE",1,2))),"--")</f>
        <v>--</v>
      </c>
      <c r="N224" s="53" t="str">
        <f>IFERROR(IF(G224="","SIN",IF(O224=1,"SUBIR_E",IF(H224&lt;IFERROR(VLOOKUP(CONFIG!$E$2,CONFIG!$A$6:$E$8,2,0),6),"BAJAR",IF(H224+I224&gt;=IFERROR(VLOOKUP(CONFIG!$E$2,CONFIG!$A$6:$E$8,3,0),12),"SUBIR_F",IF(AND(H224&gt;=IFERROR(VLOOKUP(CONFIG!$E$2,CONFIG!$A$6:$E$8,2,0),6)+2,I224&gt;=2),"SUBIR",IF(I224&gt;IFERROR(VLOOKUP(CONFIG!$E$2,CONFIG!$A$6:$E$8,5,0),3),"SUBIR","MANT")))))),"SIN")</f>
        <v>SIN</v>
      </c>
      <c r="O224" s="55">
        <f>IF(COUNTIFS(HISTORIAL!$O$3:$O$222,D224&amp;"|"&amp;E224,HISTORIAL!$F$3:$F$222,"&gt;0")&lt;2,0,IF(COUNTIFS(HISTORIAL!$O$3:$O$222,D224&amp;"|"&amp;E224,HISTORIAL!$F$3:$F$222,IFERROR(LOOKUP(2,1/((HISTORIAL!$O$3:$O$222=D224&amp;"|"&amp;E224)*(HISTORIAL!$F$3:$F$222&gt;0)),HISTORIAL!$F$3:$F$222),0))&gt;=2,IF(IFERROR(LOOKUP(2,1/((HISTORIAL!$O$3:$O$222=D224&amp;"|"&amp;E224)*(HISTORIAL!$F$3:$F$222&gt;0)),HISTORIAL!$G$3:$G$222),0)&gt;0,IF(F224&gt;0,IF(G224&lt;=IFERROR(LOOKUP(2,1/((HISTORIAL!$O$3:$O$222=D224&amp;"|"&amp;E224)*(HISTORIAL!$F$3:$F$222&gt;0)),HISTORIAL!$G$3:$G$222),0),1,0),0),0),0))</f>
        <v>0</v>
      </c>
    </row>
    <row r="225" spans="1:15" ht="14.1" customHeight="1">
      <c r="A225" s="37">
        <v>4</v>
      </c>
      <c r="B225" s="37" t="s">
        <v>279</v>
      </c>
      <c r="C225" s="37">
        <v>11</v>
      </c>
      <c r="D225" s="56" t="str">
        <f>MIERCOLES!$A$91</f>
        <v>Peso Muerto Parcial</v>
      </c>
      <c r="E225" s="57" t="str">
        <f>MIERCOLES!$B$91</f>
        <v>Barra</v>
      </c>
      <c r="F225" s="37" t="str">
        <f>MIERCOLES!$C$91</f>
        <v>disco</v>
      </c>
      <c r="G225" s="37" t="str">
        <f>IFERROR(LOOKUP(2,1/((HISTORIAL!$O$3:$O$223=D225&amp;"|"&amp;E225)*(HISTORIAL!$F$3:$F$223&lt;&gt;"")),HISTORIAL!$F$3:$F$223),"")</f>
        <v/>
      </c>
      <c r="H225" s="37" t="str">
        <f>IFERROR(LOOKUP(2,1/((HISTORIAL!$O$3:$O$223=D225&amp;"|"&amp;E225)*(HISTORIAL!$F$3:$F$223&lt;&gt;"")),HISTORIAL!$G$3:$G$223),"")</f>
        <v/>
      </c>
      <c r="I225" s="37" t="str">
        <f>IFERROR(LOOKUP(2,1/((HISTORIAL!$O$3:$O$223=D225&amp;"|"&amp;E225)*(HISTORIAL!$F$3:$F$223&lt;&gt;"")),HISTORIAL!$H$3:$H$223),"")</f>
        <v/>
      </c>
      <c r="J225" s="37" t="str">
        <f>IFERROR(LOOKUP(2,1/((HISTORIAL!$O$3:$O$223=D225&amp;"|"&amp;E225)*(HISTORIAL!$F$3:$F$223&lt;&gt;"")),HISTORIAL!$I$3:$I$223),"")</f>
        <v/>
      </c>
      <c r="K225" s="58" t="str">
        <f>IFERROR(IF(OR(G225="",N225="SIN"),"--",IF(N225="SUBIR_F",IF(F225="polea",IFERROR(INDEX(CONFIG!$B$25:$B$40,MATCH(G225,CONFIG!$B$25:$B$40,0)+2),IFERROR(INDEX(CONFIG!$B$25:$B$40,MATCH(G225,CONFIG!$B$25:$B$40,0)+1),G225)),G225+5),IF(OR(N225="SUBIR",N225="SUBIR_E"),IF(F225="polea",IFERROR(INDEX(CONFIG!$B$25:$B$40,MATCH(G225,CONFIG!$B$25:$B$40,0)+1),G225),G225+2.5),IF(N225="BAJAR",IF(F225="polea",IFERROR(INDEX(CONFIG!$B$25:$B$40,MAX(1,MATCH(G225,CONFIG!$B$25:$B$40,0)-1)),G225),MAX(0,G225-2.5)),G225)))),"--")</f>
        <v>--</v>
      </c>
      <c r="L225" s="59" t="str">
        <f>IFERROR(IF(N225="SIN","--",IF(N225="MANT",IF(H225="","--",H225+1),IFERROR(VLOOKUP(CONFIG!$E$2,CONFIG!$A$6:$E$8,2,0),"--"))),"--")</f>
        <v>--</v>
      </c>
      <c r="M225" s="59" t="str">
        <f>IFERROR(IF(N225="SIN","--",IF(CONFIG!$E$2="HIP",2,IF(CONFIG!$E$2="FUE",1,2))),"--")</f>
        <v>--</v>
      </c>
      <c r="N225" s="53" t="str">
        <f>IFERROR(IF(G225="","SIN",IF(O225=1,"SUBIR_E",IF(H225&lt;IFERROR(VLOOKUP(CONFIG!$E$2,CONFIG!$A$6:$E$8,2,0),6),"BAJAR",IF(H225+I225&gt;=IFERROR(VLOOKUP(CONFIG!$E$2,CONFIG!$A$6:$E$8,3,0),12),"SUBIR_F",IF(AND(H225&gt;=IFERROR(VLOOKUP(CONFIG!$E$2,CONFIG!$A$6:$E$8,2,0),6)+2,I225&gt;=2),"SUBIR",IF(I225&gt;IFERROR(VLOOKUP(CONFIG!$E$2,CONFIG!$A$6:$E$8,5,0),3),"SUBIR","MANT")))))),"SIN")</f>
        <v>SIN</v>
      </c>
      <c r="O225" s="55">
        <f>IF(COUNTIFS(HISTORIAL!$O$3:$O$223,D225&amp;"|"&amp;E225,HISTORIAL!$F$3:$F$223,"&gt;0")&lt;2,0,IF(COUNTIFS(HISTORIAL!$O$3:$O$223,D225&amp;"|"&amp;E225,HISTORIAL!$F$3:$F$223,IFERROR(LOOKUP(2,1/((HISTORIAL!$O$3:$O$223=D225&amp;"|"&amp;E225)*(HISTORIAL!$F$3:$F$223&gt;0)),HISTORIAL!$F$3:$F$223),0))&gt;=2,IF(IFERROR(LOOKUP(2,1/((HISTORIAL!$O$3:$O$223=D225&amp;"|"&amp;E225)*(HISTORIAL!$F$3:$F$223&gt;0)),HISTORIAL!$G$3:$G$223),0)&gt;0,IF(F225&gt;0,IF(G225&lt;=IFERROR(LOOKUP(2,1/((HISTORIAL!$O$3:$O$223=D225&amp;"|"&amp;E225)*(HISTORIAL!$F$3:$F$223&gt;0)),HISTORIAL!$G$3:$G$223),0),1,0),0),0),0))</f>
        <v>0</v>
      </c>
    </row>
    <row r="226" spans="1:15" ht="14.1" customHeight="1">
      <c r="A226" s="37">
        <v>4</v>
      </c>
      <c r="B226" s="37" t="s">
        <v>279</v>
      </c>
      <c r="C226" s="37">
        <v>12</v>
      </c>
      <c r="D226" s="56" t="str">
        <f>MIERCOLES!$A$93</f>
        <v>Crunch</v>
      </c>
      <c r="E226" s="57" t="str">
        <f>MIERCOLES!$B$93</f>
        <v>Polea</v>
      </c>
      <c r="F226" s="37" t="str">
        <f>MIERCOLES!$C$93</f>
        <v>polea</v>
      </c>
      <c r="G226" s="37" t="str">
        <f>IFERROR(LOOKUP(2,1/((HISTORIAL!$O$3:$O$224=D226&amp;"|"&amp;E226)*(HISTORIAL!$F$3:$F$224&lt;&gt;"")),HISTORIAL!$F$3:$F$224),"")</f>
        <v/>
      </c>
      <c r="H226" s="37" t="str">
        <f>IFERROR(LOOKUP(2,1/((HISTORIAL!$O$3:$O$224=D226&amp;"|"&amp;E226)*(HISTORIAL!$F$3:$F$224&lt;&gt;"")),HISTORIAL!$G$3:$G$224),"")</f>
        <v/>
      </c>
      <c r="I226" s="37" t="str">
        <f>IFERROR(LOOKUP(2,1/((HISTORIAL!$O$3:$O$224=D226&amp;"|"&amp;E226)*(HISTORIAL!$F$3:$F$224&lt;&gt;"")),HISTORIAL!$H$3:$H$224),"")</f>
        <v/>
      </c>
      <c r="J226" s="37" t="str">
        <f>IFERROR(LOOKUP(2,1/((HISTORIAL!$O$3:$O$224=D226&amp;"|"&amp;E226)*(HISTORIAL!$F$3:$F$224&lt;&gt;"")),HISTORIAL!$I$3:$I$224),"")</f>
        <v/>
      </c>
      <c r="K226" s="58" t="str">
        <f>IFERROR(IF(OR(G226="",N226="SIN"),"--",IF(N226="SUBIR_F",IF(F226="polea",IFERROR(INDEX(CONFIG!$B$25:$B$40,MATCH(G226,CONFIG!$B$25:$B$40,0)+2),IFERROR(INDEX(CONFIG!$B$25:$B$40,MATCH(G226,CONFIG!$B$25:$B$40,0)+1),G226)),G226+5),IF(OR(N226="SUBIR",N226="SUBIR_E"),IF(F226="polea",IFERROR(INDEX(CONFIG!$B$25:$B$40,MATCH(G226,CONFIG!$B$25:$B$40,0)+1),G226),G226+2.5),IF(N226="BAJAR",IF(F226="polea",IFERROR(INDEX(CONFIG!$B$25:$B$40,MAX(1,MATCH(G226,CONFIG!$B$25:$B$40,0)-1)),G226),MAX(0,G226-2.5)),G226)))),"--")</f>
        <v>--</v>
      </c>
      <c r="L226" s="59" t="str">
        <f>IFERROR(IF(N226="SIN","--",IF(N226="MANT",IF(H226="","--",H226+1),IFERROR(VLOOKUP(CONFIG!$E$2,CONFIG!$A$6:$E$8,2,0),"--"))),"--")</f>
        <v>--</v>
      </c>
      <c r="M226" s="59" t="str">
        <f>IFERROR(IF(N226="SIN","--",IF(CONFIG!$E$2="HIP",2,IF(CONFIG!$E$2="FUE",1,2))),"--")</f>
        <v>--</v>
      </c>
      <c r="N226" s="53" t="str">
        <f>IFERROR(IF(G226="","SIN",IF(O226=1,"SUBIR_E",IF(H226&lt;IFERROR(VLOOKUP(CONFIG!$E$2,CONFIG!$A$6:$E$8,2,0),6),"BAJAR",IF(H226+I226&gt;=IFERROR(VLOOKUP(CONFIG!$E$2,CONFIG!$A$6:$E$8,3,0),12),"SUBIR_F",IF(AND(H226&gt;=IFERROR(VLOOKUP(CONFIG!$E$2,CONFIG!$A$6:$E$8,2,0),6)+2,I226&gt;=2),"SUBIR",IF(I226&gt;IFERROR(VLOOKUP(CONFIG!$E$2,CONFIG!$A$6:$E$8,5,0),3),"SUBIR","MANT")))))),"SIN")</f>
        <v>SIN</v>
      </c>
      <c r="O226" s="55">
        <f>IF(COUNTIFS(HISTORIAL!$O$3:$O$224,D226&amp;"|"&amp;E226,HISTORIAL!$F$3:$F$224,"&gt;0")&lt;2,0,IF(COUNTIFS(HISTORIAL!$O$3:$O$224,D226&amp;"|"&amp;E226,HISTORIAL!$F$3:$F$224,IFERROR(LOOKUP(2,1/((HISTORIAL!$O$3:$O$224=D226&amp;"|"&amp;E226)*(HISTORIAL!$F$3:$F$224&gt;0)),HISTORIAL!$F$3:$F$224),0))&gt;=2,IF(IFERROR(LOOKUP(2,1/((HISTORIAL!$O$3:$O$224=D226&amp;"|"&amp;E226)*(HISTORIAL!$F$3:$F$224&gt;0)),HISTORIAL!$G$3:$G$224),0)&gt;0,IF(F226&gt;0,IF(G226&lt;=IFERROR(LOOKUP(2,1/((HISTORIAL!$O$3:$O$224=D226&amp;"|"&amp;E226)*(HISTORIAL!$F$3:$F$224&gt;0)),HISTORIAL!$G$3:$G$224),0),1,0),0),0),0))</f>
        <v>0</v>
      </c>
    </row>
    <row r="227" spans="1:15" ht="14.1" customHeight="1">
      <c r="A227" s="37">
        <v>4</v>
      </c>
      <c r="B227" s="37" t="s">
        <v>279</v>
      </c>
      <c r="C227" s="37">
        <v>13</v>
      </c>
      <c r="D227" s="56" t="str">
        <f>MIERCOLES!$A$94</f>
        <v>Plancha</v>
      </c>
      <c r="E227" s="57" t="str">
        <f>MIERCOLES!$B$94</f>
        <v>Abdominal</v>
      </c>
      <c r="F227" s="37" t="str">
        <f>MIERCOLES!$C$94</f>
        <v>--</v>
      </c>
      <c r="G227" s="37" t="str">
        <f>IFERROR(LOOKUP(2,1/((HISTORIAL!$O$3:$O$225=D227&amp;"|"&amp;E227)*(HISTORIAL!$F$3:$F$225&lt;&gt;"")),HISTORIAL!$F$3:$F$225),"")</f>
        <v/>
      </c>
      <c r="H227" s="37" t="str">
        <f>IFERROR(LOOKUP(2,1/((HISTORIAL!$O$3:$O$225=D227&amp;"|"&amp;E227)*(HISTORIAL!$F$3:$F$225&lt;&gt;"")),HISTORIAL!$G$3:$G$225),"")</f>
        <v/>
      </c>
      <c r="I227" s="37" t="str">
        <f>IFERROR(LOOKUP(2,1/((HISTORIAL!$O$3:$O$225=D227&amp;"|"&amp;E227)*(HISTORIAL!$F$3:$F$225&lt;&gt;"")),HISTORIAL!$H$3:$H$225),"")</f>
        <v/>
      </c>
      <c r="J227" s="37" t="str">
        <f>IFERROR(LOOKUP(2,1/((HISTORIAL!$O$3:$O$225=D227&amp;"|"&amp;E227)*(HISTORIAL!$F$3:$F$225&lt;&gt;"")),HISTORIAL!$I$3:$I$225),"")</f>
        <v/>
      </c>
      <c r="K227" s="58" t="str">
        <f>IFERROR(IF(OR(G227="",N227="SIN"),"--",IF(N227="SUBIR_F",IF(F227="polea",IFERROR(INDEX(CONFIG!$B$25:$B$40,MATCH(G227,CONFIG!$B$25:$B$40,0)+2),IFERROR(INDEX(CONFIG!$B$25:$B$40,MATCH(G227,CONFIG!$B$25:$B$40,0)+1),G227)),G227+5),IF(OR(N227="SUBIR",N227="SUBIR_E"),IF(F227="polea",IFERROR(INDEX(CONFIG!$B$25:$B$40,MATCH(G227,CONFIG!$B$25:$B$40,0)+1),G227),G227+2.5),IF(N227="BAJAR",IF(F227="polea",IFERROR(INDEX(CONFIG!$B$25:$B$40,MAX(1,MATCH(G227,CONFIG!$B$25:$B$40,0)-1)),G227),MAX(0,G227-2.5)),G227)))),"--")</f>
        <v>--</v>
      </c>
      <c r="L227" s="59" t="str">
        <f>IFERROR(IF(N227="SIN","--",IF(N227="MANT",IF(H227="","--",H227+1),IFERROR(VLOOKUP(CONFIG!$E$2,CONFIG!$A$6:$E$8,2,0),"--"))),"--")</f>
        <v>--</v>
      </c>
      <c r="M227" s="59" t="str">
        <f>IFERROR(IF(N227="SIN","--",IF(CONFIG!$E$2="HIP",2,IF(CONFIG!$E$2="FUE",1,2))),"--")</f>
        <v>--</v>
      </c>
      <c r="N227" s="53" t="str">
        <f>IFERROR(IF(G227="","SIN",IF(O227=1,"SUBIR_E",IF(H227&lt;IFERROR(VLOOKUP(CONFIG!$E$2,CONFIG!$A$6:$E$8,2,0),6),"BAJAR",IF(H227+I227&gt;=IFERROR(VLOOKUP(CONFIG!$E$2,CONFIG!$A$6:$E$8,3,0),12),"SUBIR_F",IF(AND(H227&gt;=IFERROR(VLOOKUP(CONFIG!$E$2,CONFIG!$A$6:$E$8,2,0),6)+2,I227&gt;=2),"SUBIR",IF(I227&gt;IFERROR(VLOOKUP(CONFIG!$E$2,CONFIG!$A$6:$E$8,5,0),3),"SUBIR","MANT")))))),"SIN")</f>
        <v>SIN</v>
      </c>
      <c r="O227" s="55">
        <f>IF(COUNTIFS(HISTORIAL!$O$3:$O$225,D227&amp;"|"&amp;E227,HISTORIAL!$F$3:$F$225,"&gt;0")&lt;2,0,IF(COUNTIFS(HISTORIAL!$O$3:$O$225,D227&amp;"|"&amp;E227,HISTORIAL!$F$3:$F$225,IFERROR(LOOKUP(2,1/((HISTORIAL!$O$3:$O$225=D227&amp;"|"&amp;E227)*(HISTORIAL!$F$3:$F$225&gt;0)),HISTORIAL!$F$3:$F$225),0))&gt;=2,IF(IFERROR(LOOKUP(2,1/((HISTORIAL!$O$3:$O$225=D227&amp;"|"&amp;E227)*(HISTORIAL!$F$3:$F$225&gt;0)),HISTORIAL!$G$3:$G$225),0)&gt;0,IF(F227&gt;0,IF(G227&lt;=IFERROR(LOOKUP(2,1/((HISTORIAL!$O$3:$O$225=D227&amp;"|"&amp;E227)*(HISTORIAL!$F$3:$F$225&gt;0)),HISTORIAL!$G$3:$G$225),0),1,0),0),0),0))</f>
        <v>0</v>
      </c>
    </row>
    <row r="228" spans="1:15" ht="14.1" customHeight="1">
      <c r="A228" s="37">
        <v>4</v>
      </c>
      <c r="B228" s="37" t="s">
        <v>279</v>
      </c>
      <c r="C228" s="37">
        <v>14</v>
      </c>
      <c r="D228" s="56" t="str">
        <f>MIERCOLES!$A$95</f>
        <v>Rueda Abdominal</v>
      </c>
      <c r="E228" s="57" t="str">
        <f>MIERCOLES!$B$95</f>
        <v>Ab Wheel</v>
      </c>
      <c r="F228" s="37" t="str">
        <f>MIERCOLES!$C$95</f>
        <v>--</v>
      </c>
      <c r="G228" s="37" t="str">
        <f>IFERROR(LOOKUP(2,1/((HISTORIAL!$O$3:$O$226=D228&amp;"|"&amp;E228)*(HISTORIAL!$F$3:$F$226&lt;&gt;"")),HISTORIAL!$F$3:$F$226),"")</f>
        <v/>
      </c>
      <c r="H228" s="37" t="str">
        <f>IFERROR(LOOKUP(2,1/((HISTORIAL!$O$3:$O$226=D228&amp;"|"&amp;E228)*(HISTORIAL!$F$3:$F$226&lt;&gt;"")),HISTORIAL!$G$3:$G$226),"")</f>
        <v/>
      </c>
      <c r="I228" s="37" t="str">
        <f>IFERROR(LOOKUP(2,1/((HISTORIAL!$O$3:$O$226=D228&amp;"|"&amp;E228)*(HISTORIAL!$F$3:$F$226&lt;&gt;"")),HISTORIAL!$H$3:$H$226),"")</f>
        <v/>
      </c>
      <c r="J228" s="37" t="str">
        <f>IFERROR(LOOKUP(2,1/((HISTORIAL!$O$3:$O$226=D228&amp;"|"&amp;E228)*(HISTORIAL!$F$3:$F$226&lt;&gt;"")),HISTORIAL!$I$3:$I$226),"")</f>
        <v/>
      </c>
      <c r="K228" s="58" t="str">
        <f>IFERROR(IF(OR(G228="",N228="SIN"),"--",IF(N228="SUBIR_F",IF(F228="polea",IFERROR(INDEX(CONFIG!$B$25:$B$40,MATCH(G228,CONFIG!$B$25:$B$40,0)+2),IFERROR(INDEX(CONFIG!$B$25:$B$40,MATCH(G228,CONFIG!$B$25:$B$40,0)+1),G228)),G228+5),IF(OR(N228="SUBIR",N228="SUBIR_E"),IF(F228="polea",IFERROR(INDEX(CONFIG!$B$25:$B$40,MATCH(G228,CONFIG!$B$25:$B$40,0)+1),G228),G228+2.5),IF(N228="BAJAR",IF(F228="polea",IFERROR(INDEX(CONFIG!$B$25:$B$40,MAX(1,MATCH(G228,CONFIG!$B$25:$B$40,0)-1)),G228),MAX(0,G228-2.5)),G228)))),"--")</f>
        <v>--</v>
      </c>
      <c r="L228" s="59" t="str">
        <f>IFERROR(IF(N228="SIN","--",IF(N228="MANT",IF(H228="","--",H228+1),IFERROR(VLOOKUP(CONFIG!$E$2,CONFIG!$A$6:$E$8,2,0),"--"))),"--")</f>
        <v>--</v>
      </c>
      <c r="M228" s="59" t="str">
        <f>IFERROR(IF(N228="SIN","--",IF(CONFIG!$E$2="HIP",2,IF(CONFIG!$E$2="FUE",1,2))),"--")</f>
        <v>--</v>
      </c>
      <c r="N228" s="53" t="str">
        <f>IFERROR(IF(G228="","SIN",IF(O228=1,"SUBIR_E",IF(H228&lt;IFERROR(VLOOKUP(CONFIG!$E$2,CONFIG!$A$6:$E$8,2,0),6),"BAJAR",IF(H228+I228&gt;=IFERROR(VLOOKUP(CONFIG!$E$2,CONFIG!$A$6:$E$8,3,0),12),"SUBIR_F",IF(AND(H228&gt;=IFERROR(VLOOKUP(CONFIG!$E$2,CONFIG!$A$6:$E$8,2,0),6)+2,I228&gt;=2),"SUBIR",IF(I228&gt;IFERROR(VLOOKUP(CONFIG!$E$2,CONFIG!$A$6:$E$8,5,0),3),"SUBIR","MANT")))))),"SIN")</f>
        <v>SIN</v>
      </c>
      <c r="O228" s="55">
        <f>IF(COUNTIFS(HISTORIAL!$O$3:$O$226,D228&amp;"|"&amp;E228,HISTORIAL!$F$3:$F$226,"&gt;0")&lt;2,0,IF(COUNTIFS(HISTORIAL!$O$3:$O$226,D228&amp;"|"&amp;E228,HISTORIAL!$F$3:$F$226,IFERROR(LOOKUP(2,1/((HISTORIAL!$O$3:$O$226=D228&amp;"|"&amp;E228)*(HISTORIAL!$F$3:$F$226&gt;0)),HISTORIAL!$F$3:$F$226),0))&gt;=2,IF(IFERROR(LOOKUP(2,1/((HISTORIAL!$O$3:$O$226=D228&amp;"|"&amp;E228)*(HISTORIAL!$F$3:$F$226&gt;0)),HISTORIAL!$G$3:$G$226),0)&gt;0,IF(F228&gt;0,IF(G228&lt;=IFERROR(LOOKUP(2,1/((HISTORIAL!$O$3:$O$226=D228&amp;"|"&amp;E228)*(HISTORIAL!$F$3:$F$226&gt;0)),HISTORIAL!$G$3:$G$226),0),1,0),0),0),0))</f>
        <v>0</v>
      </c>
    </row>
    <row r="229" spans="1:15" ht="14.1" customHeight="1">
      <c r="A229" s="37">
        <v>4</v>
      </c>
      <c r="B229" s="37" t="s">
        <v>279</v>
      </c>
      <c r="C229" s="37">
        <v>15</v>
      </c>
      <c r="D229" s="56" t="str">
        <f>MIERCOLES!$A$96</f>
        <v>Elevacion Piernas</v>
      </c>
      <c r="E229" s="57" t="str">
        <f>MIERCOLES!$B$96</f>
        <v>Colgado</v>
      </c>
      <c r="F229" s="37" t="str">
        <f>MIERCOLES!$C$96</f>
        <v>peso_corporal</v>
      </c>
      <c r="G229" s="37" t="str">
        <f>IFERROR(LOOKUP(2,1/((HISTORIAL!$O$3:$O$227=D229&amp;"|"&amp;E229)*(HISTORIAL!$F$3:$F$227&lt;&gt;"")),HISTORIAL!$F$3:$F$227),"")</f>
        <v/>
      </c>
      <c r="H229" s="37" t="str">
        <f>IFERROR(LOOKUP(2,1/((HISTORIAL!$O$3:$O$227=D229&amp;"|"&amp;E229)*(HISTORIAL!$F$3:$F$227&lt;&gt;"")),HISTORIAL!$G$3:$G$227),"")</f>
        <v/>
      </c>
      <c r="I229" s="37" t="str">
        <f>IFERROR(LOOKUP(2,1/((HISTORIAL!$O$3:$O$227=D229&amp;"|"&amp;E229)*(HISTORIAL!$F$3:$F$227&lt;&gt;"")),HISTORIAL!$H$3:$H$227),"")</f>
        <v/>
      </c>
      <c r="J229" s="37" t="str">
        <f>IFERROR(LOOKUP(2,1/((HISTORIAL!$O$3:$O$227=D229&amp;"|"&amp;E229)*(HISTORIAL!$F$3:$F$227&lt;&gt;"")),HISTORIAL!$I$3:$I$227),"")</f>
        <v/>
      </c>
      <c r="K229" s="58" t="str">
        <f>IFERROR(IF(OR(G229="",N229="SIN"),"--",IF(N229="SUBIR_F",IF(F229="polea",IFERROR(INDEX(CONFIG!$B$25:$B$40,MATCH(G229,CONFIG!$B$25:$B$40,0)+2),IFERROR(INDEX(CONFIG!$B$25:$B$40,MATCH(G229,CONFIG!$B$25:$B$40,0)+1),G229)),G229+5),IF(OR(N229="SUBIR",N229="SUBIR_E"),IF(F229="polea",IFERROR(INDEX(CONFIG!$B$25:$B$40,MATCH(G229,CONFIG!$B$25:$B$40,0)+1),G229),G229+2.5),IF(N229="BAJAR",IF(F229="polea",IFERROR(INDEX(CONFIG!$B$25:$B$40,MAX(1,MATCH(G229,CONFIG!$B$25:$B$40,0)-1)),G229),MAX(0,G229-2.5)),G229)))),"--")</f>
        <v>--</v>
      </c>
      <c r="L229" s="59" t="str">
        <f>IFERROR(IF(N229="SIN","--",IF(N229="MANT",IF(H229="","--",H229+1),IFERROR(VLOOKUP(CONFIG!$E$2,CONFIG!$A$6:$E$8,2,0),"--"))),"--")</f>
        <v>--</v>
      </c>
      <c r="M229" s="59" t="str">
        <f>IFERROR(IF(N229="SIN","--",IF(CONFIG!$E$2="HIP",2,IF(CONFIG!$E$2="FUE",1,2))),"--")</f>
        <v>--</v>
      </c>
      <c r="N229" s="53" t="str">
        <f>IFERROR(IF(G229="","SIN",IF(O229=1,"SUBIR_E",IF(H229&lt;IFERROR(VLOOKUP(CONFIG!$E$2,CONFIG!$A$6:$E$8,2,0),6),"BAJAR",IF(H229+I229&gt;=IFERROR(VLOOKUP(CONFIG!$E$2,CONFIG!$A$6:$E$8,3,0),12),"SUBIR_F",IF(AND(H229&gt;=IFERROR(VLOOKUP(CONFIG!$E$2,CONFIG!$A$6:$E$8,2,0),6)+2,I229&gt;=2),"SUBIR",IF(I229&gt;IFERROR(VLOOKUP(CONFIG!$E$2,CONFIG!$A$6:$E$8,5,0),3),"SUBIR","MANT")))))),"SIN")</f>
        <v>SIN</v>
      </c>
      <c r="O229" s="55">
        <f>IF(COUNTIFS(HISTORIAL!$O$3:$O$227,D229&amp;"|"&amp;E229,HISTORIAL!$F$3:$F$227,"&gt;0")&lt;2,0,IF(COUNTIFS(HISTORIAL!$O$3:$O$227,D229&amp;"|"&amp;E229,HISTORIAL!$F$3:$F$227,IFERROR(LOOKUP(2,1/((HISTORIAL!$O$3:$O$227=D229&amp;"|"&amp;E229)*(HISTORIAL!$F$3:$F$227&gt;0)),HISTORIAL!$F$3:$F$227),0))&gt;=2,IF(IFERROR(LOOKUP(2,1/((HISTORIAL!$O$3:$O$227=D229&amp;"|"&amp;E229)*(HISTORIAL!$F$3:$F$227&gt;0)),HISTORIAL!$G$3:$G$227),0)&gt;0,IF(F229&gt;0,IF(G229&lt;=IFERROR(LOOKUP(2,1/((HISTORIAL!$O$3:$O$227=D229&amp;"|"&amp;E229)*(HISTORIAL!$F$3:$F$227&gt;0)),HISTORIAL!$G$3:$G$227),0),1,0),0),0),0))</f>
        <v>0</v>
      </c>
    </row>
    <row r="230" spans="1:15" ht="14.1" customHeight="1">
      <c r="A230" s="37">
        <v>4</v>
      </c>
      <c r="B230" s="37" t="s">
        <v>280</v>
      </c>
      <c r="C230" s="37">
        <v>1</v>
      </c>
      <c r="D230" s="56" t="str">
        <f>JUEVES!$A$87</f>
        <v>Press Militar</v>
      </c>
      <c r="E230" s="57" t="str">
        <f>JUEVES!$B$87</f>
        <v>Multipower</v>
      </c>
      <c r="F230" s="37" t="str">
        <f>JUEVES!$C$87</f>
        <v>--</v>
      </c>
      <c r="G230" s="37" t="str">
        <f>IFERROR(LOOKUP(2,1/((HISTORIAL!$O$3:$O$228=D230&amp;"|"&amp;E230)*(HISTORIAL!$F$3:$F$228&lt;&gt;"")),HISTORIAL!$F$3:$F$228),"")</f>
        <v/>
      </c>
      <c r="H230" s="37" t="str">
        <f>IFERROR(LOOKUP(2,1/((HISTORIAL!$O$3:$O$228=D230&amp;"|"&amp;E230)*(HISTORIAL!$F$3:$F$228&lt;&gt;"")),HISTORIAL!$G$3:$G$228),"")</f>
        <v/>
      </c>
      <c r="I230" s="37" t="str">
        <f>IFERROR(LOOKUP(2,1/((HISTORIAL!$O$3:$O$228=D230&amp;"|"&amp;E230)*(HISTORIAL!$F$3:$F$228&lt;&gt;"")),HISTORIAL!$H$3:$H$228),"")</f>
        <v/>
      </c>
      <c r="J230" s="37" t="str">
        <f>IFERROR(LOOKUP(2,1/((HISTORIAL!$O$3:$O$228=D230&amp;"|"&amp;E230)*(HISTORIAL!$F$3:$F$228&lt;&gt;"")),HISTORIAL!$I$3:$I$228),"")</f>
        <v/>
      </c>
      <c r="K230" s="58" t="str">
        <f>IFERROR(IF(OR(G230="",N230="SIN"),"--",IF(N230="SUBIR_F",IF(F230="polea",IFERROR(INDEX(CONFIG!$B$25:$B$40,MATCH(G230,CONFIG!$B$25:$B$40,0)+2),IFERROR(INDEX(CONFIG!$B$25:$B$40,MATCH(G230,CONFIG!$B$25:$B$40,0)+1),G230)),G230+5),IF(OR(N230="SUBIR",N230="SUBIR_E"),IF(F230="polea",IFERROR(INDEX(CONFIG!$B$25:$B$40,MATCH(G230,CONFIG!$B$25:$B$40,0)+1),G230),G230+2.5),IF(N230="BAJAR",IF(F230="polea",IFERROR(INDEX(CONFIG!$B$25:$B$40,MAX(1,MATCH(G230,CONFIG!$B$25:$B$40,0)-1)),G230),MAX(0,G230-2.5)),G230)))),"--")</f>
        <v>--</v>
      </c>
      <c r="L230" s="59" t="str">
        <f>IFERROR(IF(N230="SIN","--",IF(N230="MANT",IF(H230="","--",H230+1),IFERROR(VLOOKUP(CONFIG!$E$2,CONFIG!$A$6:$E$8,2,0),"--"))),"--")</f>
        <v>--</v>
      </c>
      <c r="M230" s="59" t="str">
        <f>IFERROR(IF(N230="SIN","--",IF(CONFIG!$E$2="HIP",2,IF(CONFIG!$E$2="FUE",1,2))),"--")</f>
        <v>--</v>
      </c>
      <c r="N230" s="53" t="str">
        <f>IFERROR(IF(G230="","SIN",IF(O230=1,"SUBIR_E",IF(H230&lt;IFERROR(VLOOKUP(CONFIG!$E$2,CONFIG!$A$6:$E$8,2,0),6),"BAJAR",IF(H230+I230&gt;=IFERROR(VLOOKUP(CONFIG!$E$2,CONFIG!$A$6:$E$8,3,0),12),"SUBIR_F",IF(AND(H230&gt;=IFERROR(VLOOKUP(CONFIG!$E$2,CONFIG!$A$6:$E$8,2,0),6)+2,I230&gt;=2),"SUBIR",IF(I230&gt;IFERROR(VLOOKUP(CONFIG!$E$2,CONFIG!$A$6:$E$8,5,0),3),"SUBIR","MANT")))))),"SIN")</f>
        <v>SIN</v>
      </c>
      <c r="O230" s="55">
        <f>IF(COUNTIFS(HISTORIAL!$O$3:$O$228,D230&amp;"|"&amp;E230,HISTORIAL!$F$3:$F$228,"&gt;0")&lt;2,0,IF(COUNTIFS(HISTORIAL!$O$3:$O$228,D230&amp;"|"&amp;E230,HISTORIAL!$F$3:$F$228,IFERROR(LOOKUP(2,1/((HISTORIAL!$O$3:$O$228=D230&amp;"|"&amp;E230)*(HISTORIAL!$F$3:$F$228&gt;0)),HISTORIAL!$F$3:$F$228),0))&gt;=2,IF(IFERROR(LOOKUP(2,1/((HISTORIAL!$O$3:$O$228=D230&amp;"|"&amp;E230)*(HISTORIAL!$F$3:$F$228&gt;0)),HISTORIAL!$G$3:$G$228),0)&gt;0,IF(F230&gt;0,IF(G230&lt;=IFERROR(LOOKUP(2,1/((HISTORIAL!$O$3:$O$228=D230&amp;"|"&amp;E230)*(HISTORIAL!$F$3:$F$228&gt;0)),HISTORIAL!$G$3:$G$228),0),1,0),0),0),0))</f>
        <v>0</v>
      </c>
    </row>
    <row r="231" spans="1:15" ht="14.1" customHeight="1">
      <c r="A231" s="37">
        <v>4</v>
      </c>
      <c r="B231" s="37" t="s">
        <v>280</v>
      </c>
      <c r="C231" s="37">
        <v>2</v>
      </c>
      <c r="D231" s="56" t="str">
        <f>JUEVES!$A$88</f>
        <v>Elevaciones Laterales</v>
      </c>
      <c r="E231" s="57" t="str">
        <f>JUEVES!$B$88</f>
        <v>Drop Set Maquina</v>
      </c>
      <c r="F231" s="37" t="str">
        <f>JUEVES!$C$88</f>
        <v>--</v>
      </c>
      <c r="G231" s="37" t="str">
        <f>IFERROR(LOOKUP(2,1/((HISTORIAL!$O$3:$O$229=D231&amp;"|"&amp;E231)*(HISTORIAL!$F$3:$F$229&lt;&gt;"")),HISTORIAL!$F$3:$F$229),"")</f>
        <v/>
      </c>
      <c r="H231" s="37" t="str">
        <f>IFERROR(LOOKUP(2,1/((HISTORIAL!$O$3:$O$229=D231&amp;"|"&amp;E231)*(HISTORIAL!$F$3:$F$229&lt;&gt;"")),HISTORIAL!$G$3:$G$229),"")</f>
        <v/>
      </c>
      <c r="I231" s="37" t="str">
        <f>IFERROR(LOOKUP(2,1/((HISTORIAL!$O$3:$O$229=D231&amp;"|"&amp;E231)*(HISTORIAL!$F$3:$F$229&lt;&gt;"")),HISTORIAL!$H$3:$H$229),"")</f>
        <v/>
      </c>
      <c r="J231" s="37" t="str">
        <f>IFERROR(LOOKUP(2,1/((HISTORIAL!$O$3:$O$229=D231&amp;"|"&amp;E231)*(HISTORIAL!$F$3:$F$229&lt;&gt;"")),HISTORIAL!$I$3:$I$229),"")</f>
        <v/>
      </c>
      <c r="K231" s="58" t="str">
        <f>IFERROR(IF(OR(G231="",N231="SIN"),"--",IF(N231="SUBIR_F",IF(F231="polea",IFERROR(INDEX(CONFIG!$B$25:$B$40,MATCH(G231,CONFIG!$B$25:$B$40,0)+2),IFERROR(INDEX(CONFIG!$B$25:$B$40,MATCH(G231,CONFIG!$B$25:$B$40,0)+1),G231)),G231+5),IF(OR(N231="SUBIR",N231="SUBIR_E"),IF(F231="polea",IFERROR(INDEX(CONFIG!$B$25:$B$40,MATCH(G231,CONFIG!$B$25:$B$40,0)+1),G231),G231+2.5),IF(N231="BAJAR",IF(F231="polea",IFERROR(INDEX(CONFIG!$B$25:$B$40,MAX(1,MATCH(G231,CONFIG!$B$25:$B$40,0)-1)),G231),MAX(0,G231-2.5)),G231)))),"--")</f>
        <v>--</v>
      </c>
      <c r="L231" s="59" t="str">
        <f>IFERROR(IF(N231="SIN","--",IF(N231="MANT",IF(H231="","--",H231+1),IFERROR(VLOOKUP(CONFIG!$E$2,CONFIG!$A$6:$E$8,2,0),"--"))),"--")</f>
        <v>--</v>
      </c>
      <c r="M231" s="59" t="str">
        <f>IFERROR(IF(N231="SIN","--",IF(CONFIG!$E$2="HIP",2,IF(CONFIG!$E$2="FUE",1,2))),"--")</f>
        <v>--</v>
      </c>
      <c r="N231" s="53" t="str">
        <f>IFERROR(IF(G231="","SIN",IF(O231=1,"SUBIR_E",IF(H231&lt;IFERROR(VLOOKUP(CONFIG!$E$2,CONFIG!$A$6:$E$8,2,0),6),"BAJAR",IF(H231+I231&gt;=IFERROR(VLOOKUP(CONFIG!$E$2,CONFIG!$A$6:$E$8,3,0),12),"SUBIR_F",IF(AND(H231&gt;=IFERROR(VLOOKUP(CONFIG!$E$2,CONFIG!$A$6:$E$8,2,0),6)+2,I231&gt;=2),"SUBIR",IF(I231&gt;IFERROR(VLOOKUP(CONFIG!$E$2,CONFIG!$A$6:$E$8,5,0),3),"SUBIR","MANT")))))),"SIN")</f>
        <v>SIN</v>
      </c>
      <c r="O231" s="55">
        <f>IF(COUNTIFS(HISTORIAL!$O$3:$O$229,D231&amp;"|"&amp;E231,HISTORIAL!$F$3:$F$229,"&gt;0")&lt;2,0,IF(COUNTIFS(HISTORIAL!$O$3:$O$229,D231&amp;"|"&amp;E231,HISTORIAL!$F$3:$F$229,IFERROR(LOOKUP(2,1/((HISTORIAL!$O$3:$O$229=D231&amp;"|"&amp;E231)*(HISTORIAL!$F$3:$F$229&gt;0)),HISTORIAL!$F$3:$F$229),0))&gt;=2,IF(IFERROR(LOOKUP(2,1/((HISTORIAL!$O$3:$O$229=D231&amp;"|"&amp;E231)*(HISTORIAL!$F$3:$F$229&gt;0)),HISTORIAL!$G$3:$G$229),0)&gt;0,IF(F231&gt;0,IF(G231&lt;=IFERROR(LOOKUP(2,1/((HISTORIAL!$O$3:$O$229=D231&amp;"|"&amp;E231)*(HISTORIAL!$F$3:$F$229&gt;0)),HISTORIAL!$G$3:$G$229),0),1,0),0),0),0))</f>
        <v>0</v>
      </c>
    </row>
    <row r="232" spans="1:15" ht="14.1" customHeight="1">
      <c r="A232" s="37">
        <v>4</v>
      </c>
      <c r="B232" s="37" t="s">
        <v>280</v>
      </c>
      <c r="C232" s="37">
        <v>3</v>
      </c>
      <c r="D232" s="56" t="str">
        <f>JUEVES!$A$90</f>
        <v>Pajaro</v>
      </c>
      <c r="E232" s="57" t="str">
        <f>JUEVES!$B$90</f>
        <v>Elevacion Posterior</v>
      </c>
      <c r="F232" s="37" t="str">
        <f>JUEVES!$C$90</f>
        <v>mancuerna</v>
      </c>
      <c r="G232" s="37" t="str">
        <f>IFERROR(LOOKUP(2,1/((HISTORIAL!$O$3:$O$230=D232&amp;"|"&amp;E232)*(HISTORIAL!$F$3:$F$230&lt;&gt;"")),HISTORIAL!$F$3:$F$230),"")</f>
        <v/>
      </c>
      <c r="H232" s="37" t="str">
        <f>IFERROR(LOOKUP(2,1/((HISTORIAL!$O$3:$O$230=D232&amp;"|"&amp;E232)*(HISTORIAL!$F$3:$F$230&lt;&gt;"")),HISTORIAL!$G$3:$G$230),"")</f>
        <v/>
      </c>
      <c r="I232" s="37" t="str">
        <f>IFERROR(LOOKUP(2,1/((HISTORIAL!$O$3:$O$230=D232&amp;"|"&amp;E232)*(HISTORIAL!$F$3:$F$230&lt;&gt;"")),HISTORIAL!$H$3:$H$230),"")</f>
        <v/>
      </c>
      <c r="J232" s="37" t="str">
        <f>IFERROR(LOOKUP(2,1/((HISTORIAL!$O$3:$O$230=D232&amp;"|"&amp;E232)*(HISTORIAL!$F$3:$F$230&lt;&gt;"")),HISTORIAL!$I$3:$I$230),"")</f>
        <v/>
      </c>
      <c r="K232" s="58" t="str">
        <f>IFERROR(IF(OR(G232="",N232="SIN"),"--",IF(N232="SUBIR_F",IF(F232="polea",IFERROR(INDEX(CONFIG!$B$25:$B$40,MATCH(G232,CONFIG!$B$25:$B$40,0)+2),IFERROR(INDEX(CONFIG!$B$25:$B$40,MATCH(G232,CONFIG!$B$25:$B$40,0)+1),G232)),G232+5),IF(OR(N232="SUBIR",N232="SUBIR_E"),IF(F232="polea",IFERROR(INDEX(CONFIG!$B$25:$B$40,MATCH(G232,CONFIG!$B$25:$B$40,0)+1),G232),G232+2.5),IF(N232="BAJAR",IF(F232="polea",IFERROR(INDEX(CONFIG!$B$25:$B$40,MAX(1,MATCH(G232,CONFIG!$B$25:$B$40,0)-1)),G232),MAX(0,G232-2.5)),G232)))),"--")</f>
        <v>--</v>
      </c>
      <c r="L232" s="59" t="str">
        <f>IFERROR(IF(N232="SIN","--",IF(N232="MANT",IF(H232="","--",H232+1),IFERROR(VLOOKUP(CONFIG!$E$2,CONFIG!$A$6:$E$8,2,0),"--"))),"--")</f>
        <v>--</v>
      </c>
      <c r="M232" s="59" t="str">
        <f>IFERROR(IF(N232="SIN","--",IF(CONFIG!$E$2="HIP",2,IF(CONFIG!$E$2="FUE",1,2))),"--")</f>
        <v>--</v>
      </c>
      <c r="N232" s="53" t="str">
        <f>IFERROR(IF(G232="","SIN",IF(O232=1,"SUBIR_E",IF(H232&lt;IFERROR(VLOOKUP(CONFIG!$E$2,CONFIG!$A$6:$E$8,2,0),6),"BAJAR",IF(H232+I232&gt;=IFERROR(VLOOKUP(CONFIG!$E$2,CONFIG!$A$6:$E$8,3,0),12),"SUBIR_F",IF(AND(H232&gt;=IFERROR(VLOOKUP(CONFIG!$E$2,CONFIG!$A$6:$E$8,2,0),6)+2,I232&gt;=2),"SUBIR",IF(I232&gt;IFERROR(VLOOKUP(CONFIG!$E$2,CONFIG!$A$6:$E$8,5,0),3),"SUBIR","MANT")))))),"SIN")</f>
        <v>SIN</v>
      </c>
      <c r="O232" s="55">
        <f>IF(COUNTIFS(HISTORIAL!$O$3:$O$230,D232&amp;"|"&amp;E232,HISTORIAL!$F$3:$F$230,"&gt;0")&lt;2,0,IF(COUNTIFS(HISTORIAL!$O$3:$O$230,D232&amp;"|"&amp;E232,HISTORIAL!$F$3:$F$230,IFERROR(LOOKUP(2,1/((HISTORIAL!$O$3:$O$230=D232&amp;"|"&amp;E232)*(HISTORIAL!$F$3:$F$230&gt;0)),HISTORIAL!$F$3:$F$230),0))&gt;=2,IF(IFERROR(LOOKUP(2,1/((HISTORIAL!$O$3:$O$230=D232&amp;"|"&amp;E232)*(HISTORIAL!$F$3:$F$230&gt;0)),HISTORIAL!$G$3:$G$230),0)&gt;0,IF(F232&gt;0,IF(G232&lt;=IFERROR(LOOKUP(2,1/((HISTORIAL!$O$3:$O$230=D232&amp;"|"&amp;E232)*(HISTORIAL!$F$3:$F$230&gt;0)),HISTORIAL!$G$3:$G$230),0),1,0),0),0),0))</f>
        <v>0</v>
      </c>
    </row>
    <row r="233" spans="1:15" ht="14.1" customHeight="1">
      <c r="A233" s="37">
        <v>4</v>
      </c>
      <c r="B233" s="37" t="s">
        <v>280</v>
      </c>
      <c r="C233" s="37">
        <v>4</v>
      </c>
      <c r="D233" s="56" t="str">
        <f>JUEVES!$A$91</f>
        <v>Peck Deck Invertida</v>
      </c>
      <c r="E233" s="57" t="str">
        <f>JUEVES!$B$91</f>
        <v>Maquina</v>
      </c>
      <c r="F233" s="37" t="str">
        <f>JUEVES!$C$91</f>
        <v>polea</v>
      </c>
      <c r="G233" s="37" t="str">
        <f>IFERROR(LOOKUP(2,1/((HISTORIAL!$O$3:$O$231=D233&amp;"|"&amp;E233)*(HISTORIAL!$F$3:$F$231&lt;&gt;"")),HISTORIAL!$F$3:$F$231),"")</f>
        <v/>
      </c>
      <c r="H233" s="37" t="str">
        <f>IFERROR(LOOKUP(2,1/((HISTORIAL!$O$3:$O$231=D233&amp;"|"&amp;E233)*(HISTORIAL!$F$3:$F$231&lt;&gt;"")),HISTORIAL!$G$3:$G$231),"")</f>
        <v/>
      </c>
      <c r="I233" s="37" t="str">
        <f>IFERROR(LOOKUP(2,1/((HISTORIAL!$O$3:$O$231=D233&amp;"|"&amp;E233)*(HISTORIAL!$F$3:$F$231&lt;&gt;"")),HISTORIAL!$H$3:$H$231),"")</f>
        <v/>
      </c>
      <c r="J233" s="37" t="str">
        <f>IFERROR(LOOKUP(2,1/((HISTORIAL!$O$3:$O$231=D233&amp;"|"&amp;E233)*(HISTORIAL!$F$3:$F$231&lt;&gt;"")),HISTORIAL!$I$3:$I$231),"")</f>
        <v/>
      </c>
      <c r="K233" s="58" t="str">
        <f>IFERROR(IF(OR(G233="",N233="SIN"),"--",IF(N233="SUBIR_F",IF(F233="polea",IFERROR(INDEX(CONFIG!$B$25:$B$40,MATCH(G233,CONFIG!$B$25:$B$40,0)+2),IFERROR(INDEX(CONFIG!$B$25:$B$40,MATCH(G233,CONFIG!$B$25:$B$40,0)+1),G233)),G233+5),IF(OR(N233="SUBIR",N233="SUBIR_E"),IF(F233="polea",IFERROR(INDEX(CONFIG!$B$25:$B$40,MATCH(G233,CONFIG!$B$25:$B$40,0)+1),G233),G233+2.5),IF(N233="BAJAR",IF(F233="polea",IFERROR(INDEX(CONFIG!$B$25:$B$40,MAX(1,MATCH(G233,CONFIG!$B$25:$B$40,0)-1)),G233),MAX(0,G233-2.5)),G233)))),"--")</f>
        <v>--</v>
      </c>
      <c r="L233" s="59" t="str">
        <f>IFERROR(IF(N233="SIN","--",IF(N233="MANT",IF(H233="","--",H233+1),IFERROR(VLOOKUP(CONFIG!$E$2,CONFIG!$A$6:$E$8,2,0),"--"))),"--")</f>
        <v>--</v>
      </c>
      <c r="M233" s="59" t="str">
        <f>IFERROR(IF(N233="SIN","--",IF(CONFIG!$E$2="HIP",2,IF(CONFIG!$E$2="FUE",1,2))),"--")</f>
        <v>--</v>
      </c>
      <c r="N233" s="53" t="str">
        <f>IFERROR(IF(G233="","SIN",IF(O233=1,"SUBIR_E",IF(H233&lt;IFERROR(VLOOKUP(CONFIG!$E$2,CONFIG!$A$6:$E$8,2,0),6),"BAJAR",IF(H233+I233&gt;=IFERROR(VLOOKUP(CONFIG!$E$2,CONFIG!$A$6:$E$8,3,0),12),"SUBIR_F",IF(AND(H233&gt;=IFERROR(VLOOKUP(CONFIG!$E$2,CONFIG!$A$6:$E$8,2,0),6)+2,I233&gt;=2),"SUBIR",IF(I233&gt;IFERROR(VLOOKUP(CONFIG!$E$2,CONFIG!$A$6:$E$8,5,0),3),"SUBIR","MANT")))))),"SIN")</f>
        <v>SIN</v>
      </c>
      <c r="O233" s="55">
        <f>IF(COUNTIFS(HISTORIAL!$O$3:$O$231,D233&amp;"|"&amp;E233,HISTORIAL!$F$3:$F$231,"&gt;0")&lt;2,0,IF(COUNTIFS(HISTORIAL!$O$3:$O$231,D233&amp;"|"&amp;E233,HISTORIAL!$F$3:$F$231,IFERROR(LOOKUP(2,1/((HISTORIAL!$O$3:$O$231=D233&amp;"|"&amp;E233)*(HISTORIAL!$F$3:$F$231&gt;0)),HISTORIAL!$F$3:$F$231),0))&gt;=2,IF(IFERROR(LOOKUP(2,1/((HISTORIAL!$O$3:$O$231=D233&amp;"|"&amp;E233)*(HISTORIAL!$F$3:$F$231&gt;0)),HISTORIAL!$G$3:$G$231),0)&gt;0,IF(F233&gt;0,IF(G233&lt;=IFERROR(LOOKUP(2,1/((HISTORIAL!$O$3:$O$231=D233&amp;"|"&amp;E233)*(HISTORIAL!$F$3:$F$231&gt;0)),HISTORIAL!$G$3:$G$231),0),1,0),0),0),0))</f>
        <v>0</v>
      </c>
    </row>
    <row r="234" spans="1:15" ht="14.1" customHeight="1">
      <c r="A234" s="37">
        <v>4</v>
      </c>
      <c r="B234" s="37" t="s">
        <v>280</v>
      </c>
      <c r="C234" s="37">
        <v>5</v>
      </c>
      <c r="D234" s="56" t="str">
        <f>JUEVES!$A$92</f>
        <v>Elevaciones Posteriores</v>
      </c>
      <c r="E234" s="57" t="str">
        <f>JUEVES!$B$92</f>
        <v>Polea Individual</v>
      </c>
      <c r="F234" s="37" t="str">
        <f>JUEVES!$C$92</f>
        <v>polea</v>
      </c>
      <c r="G234" s="37" t="str">
        <f>IFERROR(LOOKUP(2,1/((HISTORIAL!$O$3:$O$232=D234&amp;"|"&amp;E234)*(HISTORIAL!$F$3:$F$232&lt;&gt;"")),HISTORIAL!$F$3:$F$232),"")</f>
        <v/>
      </c>
      <c r="H234" s="37" t="str">
        <f>IFERROR(LOOKUP(2,1/((HISTORIAL!$O$3:$O$232=D234&amp;"|"&amp;E234)*(HISTORIAL!$F$3:$F$232&lt;&gt;"")),HISTORIAL!$G$3:$G$232),"")</f>
        <v/>
      </c>
      <c r="I234" s="37" t="str">
        <f>IFERROR(LOOKUP(2,1/((HISTORIAL!$O$3:$O$232=D234&amp;"|"&amp;E234)*(HISTORIAL!$F$3:$F$232&lt;&gt;"")),HISTORIAL!$H$3:$H$232),"")</f>
        <v/>
      </c>
      <c r="J234" s="37" t="str">
        <f>IFERROR(LOOKUP(2,1/((HISTORIAL!$O$3:$O$232=D234&amp;"|"&amp;E234)*(HISTORIAL!$F$3:$F$232&lt;&gt;"")),HISTORIAL!$I$3:$I$232),"")</f>
        <v/>
      </c>
      <c r="K234" s="58" t="str">
        <f>IFERROR(IF(OR(G234="",N234="SIN"),"--",IF(N234="SUBIR_F",IF(F234="polea",IFERROR(INDEX(CONFIG!$B$25:$B$40,MATCH(G234,CONFIG!$B$25:$B$40,0)+2),IFERROR(INDEX(CONFIG!$B$25:$B$40,MATCH(G234,CONFIG!$B$25:$B$40,0)+1),G234)),G234+5),IF(OR(N234="SUBIR",N234="SUBIR_E"),IF(F234="polea",IFERROR(INDEX(CONFIG!$B$25:$B$40,MATCH(G234,CONFIG!$B$25:$B$40,0)+1),G234),G234+2.5),IF(N234="BAJAR",IF(F234="polea",IFERROR(INDEX(CONFIG!$B$25:$B$40,MAX(1,MATCH(G234,CONFIG!$B$25:$B$40,0)-1)),G234),MAX(0,G234-2.5)),G234)))),"--")</f>
        <v>--</v>
      </c>
      <c r="L234" s="59" t="str">
        <f>IFERROR(IF(N234="SIN","--",IF(N234="MANT",IF(H234="","--",H234+1),IFERROR(VLOOKUP(CONFIG!$E$2,CONFIG!$A$6:$E$8,2,0),"--"))),"--")</f>
        <v>--</v>
      </c>
      <c r="M234" s="59" t="str">
        <f>IFERROR(IF(N234="SIN","--",IF(CONFIG!$E$2="HIP",2,IF(CONFIG!$E$2="FUE",1,2))),"--")</f>
        <v>--</v>
      </c>
      <c r="N234" s="53" t="str">
        <f>IFERROR(IF(G234="","SIN",IF(O234=1,"SUBIR_E",IF(H234&lt;IFERROR(VLOOKUP(CONFIG!$E$2,CONFIG!$A$6:$E$8,2,0),6),"BAJAR",IF(H234+I234&gt;=IFERROR(VLOOKUP(CONFIG!$E$2,CONFIG!$A$6:$E$8,3,0),12),"SUBIR_F",IF(AND(H234&gt;=IFERROR(VLOOKUP(CONFIG!$E$2,CONFIG!$A$6:$E$8,2,0),6)+2,I234&gt;=2),"SUBIR",IF(I234&gt;IFERROR(VLOOKUP(CONFIG!$E$2,CONFIG!$A$6:$E$8,5,0),3),"SUBIR","MANT")))))),"SIN")</f>
        <v>SIN</v>
      </c>
      <c r="O234" s="55">
        <f>IF(COUNTIFS(HISTORIAL!$O$3:$O$232,D234&amp;"|"&amp;E234,HISTORIAL!$F$3:$F$232,"&gt;0")&lt;2,0,IF(COUNTIFS(HISTORIAL!$O$3:$O$232,D234&amp;"|"&amp;E234,HISTORIAL!$F$3:$F$232,IFERROR(LOOKUP(2,1/((HISTORIAL!$O$3:$O$232=D234&amp;"|"&amp;E234)*(HISTORIAL!$F$3:$F$232&gt;0)),HISTORIAL!$F$3:$F$232),0))&gt;=2,IF(IFERROR(LOOKUP(2,1/((HISTORIAL!$O$3:$O$232=D234&amp;"|"&amp;E234)*(HISTORIAL!$F$3:$F$232&gt;0)),HISTORIAL!$G$3:$G$232),0)&gt;0,IF(F234&gt;0,IF(G234&lt;=IFERROR(LOOKUP(2,1/((HISTORIAL!$O$3:$O$232=D234&amp;"|"&amp;E234)*(HISTORIAL!$F$3:$F$232&gt;0)),HISTORIAL!$G$3:$G$232),0),1,0),0),0),0))</f>
        <v>0</v>
      </c>
    </row>
    <row r="235" spans="1:15" ht="14.1" customHeight="1">
      <c r="A235" s="37">
        <v>4</v>
      </c>
      <c r="B235" s="37" t="s">
        <v>280</v>
      </c>
      <c r="C235" s="37">
        <v>6</v>
      </c>
      <c r="D235" s="56" t="str">
        <f>JUEVES!$A$95</f>
        <v>Press Plano</v>
      </c>
      <c r="E235" s="57" t="str">
        <f>JUEVES!$B$95</f>
        <v>Mancuernas</v>
      </c>
      <c r="F235" s="37" t="str">
        <f>JUEVES!$C$95</f>
        <v>mancuerna</v>
      </c>
      <c r="G235" s="37" t="str">
        <f>IFERROR(LOOKUP(2,1/((HISTORIAL!$O$3:$O$233=D235&amp;"|"&amp;E235)*(HISTORIAL!$F$3:$F$233&lt;&gt;"")),HISTORIAL!$F$3:$F$233),"")</f>
        <v/>
      </c>
      <c r="H235" s="37" t="str">
        <f>IFERROR(LOOKUP(2,1/((HISTORIAL!$O$3:$O$233=D235&amp;"|"&amp;E235)*(HISTORIAL!$F$3:$F$233&lt;&gt;"")),HISTORIAL!$G$3:$G$233),"")</f>
        <v/>
      </c>
      <c r="I235" s="37" t="str">
        <f>IFERROR(LOOKUP(2,1/((HISTORIAL!$O$3:$O$233=D235&amp;"|"&amp;E235)*(HISTORIAL!$F$3:$F$233&lt;&gt;"")),HISTORIAL!$H$3:$H$233),"")</f>
        <v/>
      </c>
      <c r="J235" s="37" t="str">
        <f>IFERROR(LOOKUP(2,1/((HISTORIAL!$O$3:$O$233=D235&amp;"|"&amp;E235)*(HISTORIAL!$F$3:$F$233&lt;&gt;"")),HISTORIAL!$I$3:$I$233),"")</f>
        <v/>
      </c>
      <c r="K235" s="58" t="str">
        <f>IFERROR(IF(OR(G235="",N235="SIN"),"--",IF(N235="SUBIR_F",IF(F235="polea",IFERROR(INDEX(CONFIG!$B$25:$B$40,MATCH(G235,CONFIG!$B$25:$B$40,0)+2),IFERROR(INDEX(CONFIG!$B$25:$B$40,MATCH(G235,CONFIG!$B$25:$B$40,0)+1),G235)),G235+5),IF(OR(N235="SUBIR",N235="SUBIR_E"),IF(F235="polea",IFERROR(INDEX(CONFIG!$B$25:$B$40,MATCH(G235,CONFIG!$B$25:$B$40,0)+1),G235),G235+2.5),IF(N235="BAJAR",IF(F235="polea",IFERROR(INDEX(CONFIG!$B$25:$B$40,MAX(1,MATCH(G235,CONFIG!$B$25:$B$40,0)-1)),G235),MAX(0,G235-2.5)),G235)))),"--")</f>
        <v>--</v>
      </c>
      <c r="L235" s="59" t="str">
        <f>IFERROR(IF(N235="SIN","--",IF(N235="MANT",IF(H235="","--",H235+1),IFERROR(VLOOKUP(CONFIG!$E$2,CONFIG!$A$6:$E$8,2,0),"--"))),"--")</f>
        <v>--</v>
      </c>
      <c r="M235" s="59" t="str">
        <f>IFERROR(IF(N235="SIN","--",IF(CONFIG!$E$2="HIP",2,IF(CONFIG!$E$2="FUE",1,2))),"--")</f>
        <v>--</v>
      </c>
      <c r="N235" s="53" t="str">
        <f>IFERROR(IF(G235="","SIN",IF(O235=1,"SUBIR_E",IF(H235&lt;IFERROR(VLOOKUP(CONFIG!$E$2,CONFIG!$A$6:$E$8,2,0),6),"BAJAR",IF(H235+I235&gt;=IFERROR(VLOOKUP(CONFIG!$E$2,CONFIG!$A$6:$E$8,3,0),12),"SUBIR_F",IF(AND(H235&gt;=IFERROR(VLOOKUP(CONFIG!$E$2,CONFIG!$A$6:$E$8,2,0),6)+2,I235&gt;=2),"SUBIR",IF(I235&gt;IFERROR(VLOOKUP(CONFIG!$E$2,CONFIG!$A$6:$E$8,5,0),3),"SUBIR","MANT")))))),"SIN")</f>
        <v>SIN</v>
      </c>
      <c r="O235" s="55">
        <f>IF(COUNTIFS(HISTORIAL!$O$3:$O$233,D235&amp;"|"&amp;E235,HISTORIAL!$F$3:$F$233,"&gt;0")&lt;2,0,IF(COUNTIFS(HISTORIAL!$O$3:$O$233,D235&amp;"|"&amp;E235,HISTORIAL!$F$3:$F$233,IFERROR(LOOKUP(2,1/((HISTORIAL!$O$3:$O$233=D235&amp;"|"&amp;E235)*(HISTORIAL!$F$3:$F$233&gt;0)),HISTORIAL!$F$3:$F$233),0))&gt;=2,IF(IFERROR(LOOKUP(2,1/((HISTORIAL!$O$3:$O$233=D235&amp;"|"&amp;E235)*(HISTORIAL!$F$3:$F$233&gt;0)),HISTORIAL!$G$3:$G$233),0)&gt;0,IF(F235&gt;0,IF(G235&lt;=IFERROR(LOOKUP(2,1/((HISTORIAL!$O$3:$O$233=D235&amp;"|"&amp;E235)*(HISTORIAL!$F$3:$F$233&gt;0)),HISTORIAL!$G$3:$G$233),0),1,0),0),0),0))</f>
        <v>0</v>
      </c>
    </row>
    <row r="236" spans="1:15" ht="14.1" customHeight="1">
      <c r="A236" s="37">
        <v>4</v>
      </c>
      <c r="B236" s="37" t="s">
        <v>280</v>
      </c>
      <c r="C236" s="37">
        <v>7</v>
      </c>
      <c r="D236" s="56" t="str">
        <f>JUEVES!$A$97</f>
        <v>Press Inclinado</v>
      </c>
      <c r="E236" s="57" t="str">
        <f>JUEVES!$B$97</f>
        <v>Multipower</v>
      </c>
      <c r="F236" s="37" t="str">
        <f>JUEVES!$C$97</f>
        <v>disco</v>
      </c>
      <c r="G236" s="37" t="str">
        <f>IFERROR(LOOKUP(2,1/((HISTORIAL!$O$3:$O$234=D236&amp;"|"&amp;E236)*(HISTORIAL!$F$3:$F$234&lt;&gt;"")),HISTORIAL!$F$3:$F$234),"")</f>
        <v/>
      </c>
      <c r="H236" s="37" t="str">
        <f>IFERROR(LOOKUP(2,1/((HISTORIAL!$O$3:$O$234=D236&amp;"|"&amp;E236)*(HISTORIAL!$F$3:$F$234&lt;&gt;"")),HISTORIAL!$G$3:$G$234),"")</f>
        <v/>
      </c>
      <c r="I236" s="37" t="str">
        <f>IFERROR(LOOKUP(2,1/((HISTORIAL!$O$3:$O$234=D236&amp;"|"&amp;E236)*(HISTORIAL!$F$3:$F$234&lt;&gt;"")),HISTORIAL!$H$3:$H$234),"")</f>
        <v/>
      </c>
      <c r="J236" s="37" t="str">
        <f>IFERROR(LOOKUP(2,1/((HISTORIAL!$O$3:$O$234=D236&amp;"|"&amp;E236)*(HISTORIAL!$F$3:$F$234&lt;&gt;"")),HISTORIAL!$I$3:$I$234),"")</f>
        <v/>
      </c>
      <c r="K236" s="58" t="str">
        <f>IFERROR(IF(OR(G236="",N236="SIN"),"--",IF(N236="SUBIR_F",IF(F236="polea",IFERROR(INDEX(CONFIG!$B$25:$B$40,MATCH(G236,CONFIG!$B$25:$B$40,0)+2),IFERROR(INDEX(CONFIG!$B$25:$B$40,MATCH(G236,CONFIG!$B$25:$B$40,0)+1),G236)),G236+5),IF(OR(N236="SUBIR",N236="SUBIR_E"),IF(F236="polea",IFERROR(INDEX(CONFIG!$B$25:$B$40,MATCH(G236,CONFIG!$B$25:$B$40,0)+1),G236),G236+2.5),IF(N236="BAJAR",IF(F236="polea",IFERROR(INDEX(CONFIG!$B$25:$B$40,MAX(1,MATCH(G236,CONFIG!$B$25:$B$40,0)-1)),G236),MAX(0,G236-2.5)),G236)))),"--")</f>
        <v>--</v>
      </c>
      <c r="L236" s="59" t="str">
        <f>IFERROR(IF(N236="SIN","--",IF(N236="MANT",IF(H236="","--",H236+1),IFERROR(VLOOKUP(CONFIG!$E$2,CONFIG!$A$6:$E$8,2,0),"--"))),"--")</f>
        <v>--</v>
      </c>
      <c r="M236" s="59" t="str">
        <f>IFERROR(IF(N236="SIN","--",IF(CONFIG!$E$2="HIP",2,IF(CONFIG!$E$2="FUE",1,2))),"--")</f>
        <v>--</v>
      </c>
      <c r="N236" s="53" t="str">
        <f>IFERROR(IF(G236="","SIN",IF(O236=1,"SUBIR_E",IF(H236&lt;IFERROR(VLOOKUP(CONFIG!$E$2,CONFIG!$A$6:$E$8,2,0),6),"BAJAR",IF(H236+I236&gt;=IFERROR(VLOOKUP(CONFIG!$E$2,CONFIG!$A$6:$E$8,3,0),12),"SUBIR_F",IF(AND(H236&gt;=IFERROR(VLOOKUP(CONFIG!$E$2,CONFIG!$A$6:$E$8,2,0),6)+2,I236&gt;=2),"SUBIR",IF(I236&gt;IFERROR(VLOOKUP(CONFIG!$E$2,CONFIG!$A$6:$E$8,5,0),3),"SUBIR","MANT")))))),"SIN")</f>
        <v>SIN</v>
      </c>
      <c r="O236" s="55">
        <f>IF(COUNTIFS(HISTORIAL!$O$3:$O$234,D236&amp;"|"&amp;E236,HISTORIAL!$F$3:$F$234,"&gt;0")&lt;2,0,IF(COUNTIFS(HISTORIAL!$O$3:$O$234,D236&amp;"|"&amp;E236,HISTORIAL!$F$3:$F$234,IFERROR(LOOKUP(2,1/((HISTORIAL!$O$3:$O$234=D236&amp;"|"&amp;E236)*(HISTORIAL!$F$3:$F$234&gt;0)),HISTORIAL!$F$3:$F$234),0))&gt;=2,IF(IFERROR(LOOKUP(2,1/((HISTORIAL!$O$3:$O$234=D236&amp;"|"&amp;E236)*(HISTORIAL!$F$3:$F$234&gt;0)),HISTORIAL!$G$3:$G$234),0)&gt;0,IF(F236&gt;0,IF(G236&lt;=IFERROR(LOOKUP(2,1/((HISTORIAL!$O$3:$O$234=D236&amp;"|"&amp;E236)*(HISTORIAL!$F$3:$F$234&gt;0)),HISTORIAL!$G$3:$G$234),0),1,0),0),0),0))</f>
        <v>0</v>
      </c>
    </row>
    <row r="237" spans="1:15" ht="14.1" customHeight="1">
      <c r="A237" s="37">
        <v>4</v>
      </c>
      <c r="B237" s="37" t="s">
        <v>280</v>
      </c>
      <c r="C237" s="37">
        <v>8</v>
      </c>
      <c r="D237" s="56" t="str">
        <f>JUEVES!$A$99</f>
        <v>Aperturas</v>
      </c>
      <c r="E237" s="57" t="str">
        <f>JUEVES!$B$99</f>
        <v>Pec Deck Maquina</v>
      </c>
      <c r="F237" s="37" t="str">
        <f>JUEVES!$C$99</f>
        <v>--</v>
      </c>
      <c r="G237" s="37" t="str">
        <f>IFERROR(LOOKUP(2,1/((HISTORIAL!$O$3:$O$235=D237&amp;"|"&amp;E237)*(HISTORIAL!$F$3:$F$235&lt;&gt;"")),HISTORIAL!$F$3:$F$235),"")</f>
        <v/>
      </c>
      <c r="H237" s="37" t="str">
        <f>IFERROR(LOOKUP(2,1/((HISTORIAL!$O$3:$O$235=D237&amp;"|"&amp;E237)*(HISTORIAL!$F$3:$F$235&lt;&gt;"")),HISTORIAL!$G$3:$G$235),"")</f>
        <v/>
      </c>
      <c r="I237" s="37" t="str">
        <f>IFERROR(LOOKUP(2,1/((HISTORIAL!$O$3:$O$235=D237&amp;"|"&amp;E237)*(HISTORIAL!$F$3:$F$235&lt;&gt;"")),HISTORIAL!$H$3:$H$235),"")</f>
        <v/>
      </c>
      <c r="J237" s="37" t="str">
        <f>IFERROR(LOOKUP(2,1/((HISTORIAL!$O$3:$O$235=D237&amp;"|"&amp;E237)*(HISTORIAL!$F$3:$F$235&lt;&gt;"")),HISTORIAL!$I$3:$I$235),"")</f>
        <v/>
      </c>
      <c r="K237" s="58" t="str">
        <f>IFERROR(IF(OR(G237="",N237="SIN"),"--",IF(N237="SUBIR_F",IF(F237="polea",IFERROR(INDEX(CONFIG!$B$25:$B$40,MATCH(G237,CONFIG!$B$25:$B$40,0)+2),IFERROR(INDEX(CONFIG!$B$25:$B$40,MATCH(G237,CONFIG!$B$25:$B$40,0)+1),G237)),G237+5),IF(OR(N237="SUBIR",N237="SUBIR_E"),IF(F237="polea",IFERROR(INDEX(CONFIG!$B$25:$B$40,MATCH(G237,CONFIG!$B$25:$B$40,0)+1),G237),G237+2.5),IF(N237="BAJAR",IF(F237="polea",IFERROR(INDEX(CONFIG!$B$25:$B$40,MAX(1,MATCH(G237,CONFIG!$B$25:$B$40,0)-1)),G237),MAX(0,G237-2.5)),G237)))),"--")</f>
        <v>--</v>
      </c>
      <c r="L237" s="59" t="str">
        <f>IFERROR(IF(N237="SIN","--",IF(N237="MANT",IF(H237="","--",H237+1),IFERROR(VLOOKUP(CONFIG!$E$2,CONFIG!$A$6:$E$8,2,0),"--"))),"--")</f>
        <v>--</v>
      </c>
      <c r="M237" s="59" t="str">
        <f>IFERROR(IF(N237="SIN","--",IF(CONFIG!$E$2="HIP",2,IF(CONFIG!$E$2="FUE",1,2))),"--")</f>
        <v>--</v>
      </c>
      <c r="N237" s="53" t="str">
        <f>IFERROR(IF(G237="","SIN",IF(O237=1,"SUBIR_E",IF(H237&lt;IFERROR(VLOOKUP(CONFIG!$E$2,CONFIG!$A$6:$E$8,2,0),6),"BAJAR",IF(H237+I237&gt;=IFERROR(VLOOKUP(CONFIG!$E$2,CONFIG!$A$6:$E$8,3,0),12),"SUBIR_F",IF(AND(H237&gt;=IFERROR(VLOOKUP(CONFIG!$E$2,CONFIG!$A$6:$E$8,2,0),6)+2,I237&gt;=2),"SUBIR",IF(I237&gt;IFERROR(VLOOKUP(CONFIG!$E$2,CONFIG!$A$6:$E$8,5,0),3),"SUBIR","MANT")))))),"SIN")</f>
        <v>SIN</v>
      </c>
      <c r="O237" s="55">
        <f>IF(COUNTIFS(HISTORIAL!$O$3:$O$235,D237&amp;"|"&amp;E237,HISTORIAL!$F$3:$F$235,"&gt;0")&lt;2,0,IF(COUNTIFS(HISTORIAL!$O$3:$O$235,D237&amp;"|"&amp;E237,HISTORIAL!$F$3:$F$235,IFERROR(LOOKUP(2,1/((HISTORIAL!$O$3:$O$235=D237&amp;"|"&amp;E237)*(HISTORIAL!$F$3:$F$235&gt;0)),HISTORIAL!$F$3:$F$235),0))&gt;=2,IF(IFERROR(LOOKUP(2,1/((HISTORIAL!$O$3:$O$235=D237&amp;"|"&amp;E237)*(HISTORIAL!$F$3:$F$235&gt;0)),HISTORIAL!$G$3:$G$235),0)&gt;0,IF(F237&gt;0,IF(G237&lt;=IFERROR(LOOKUP(2,1/((HISTORIAL!$O$3:$O$235=D237&amp;"|"&amp;E237)*(HISTORIAL!$F$3:$F$235&gt;0)),HISTORIAL!$G$3:$G$235),0),1,0),0),0),0))</f>
        <v>0</v>
      </c>
    </row>
    <row r="238" spans="1:15" ht="14.1" customHeight="1">
      <c r="A238" s="37">
        <v>4</v>
      </c>
      <c r="B238" s="37" t="s">
        <v>280</v>
      </c>
      <c r="C238" s="37">
        <v>9</v>
      </c>
      <c r="D238" s="56" t="str">
        <f>JUEVES!$A$101</f>
        <v>Press Polea</v>
      </c>
      <c r="E238" s="57" t="str">
        <f>JUEVES!$B$101</f>
        <v>Barra Recta Diagonal Arriba</v>
      </c>
      <c r="F238" s="37" t="str">
        <f>JUEVES!$C$101</f>
        <v>polea</v>
      </c>
      <c r="G238" s="37" t="str">
        <f>IFERROR(LOOKUP(2,1/((HISTORIAL!$O$3:$O$236=D238&amp;"|"&amp;E238)*(HISTORIAL!$F$3:$F$236&lt;&gt;"")),HISTORIAL!$F$3:$F$236),"")</f>
        <v/>
      </c>
      <c r="H238" s="37" t="str">
        <f>IFERROR(LOOKUP(2,1/((HISTORIAL!$O$3:$O$236=D238&amp;"|"&amp;E238)*(HISTORIAL!$F$3:$F$236&lt;&gt;"")),HISTORIAL!$G$3:$G$236),"")</f>
        <v/>
      </c>
      <c r="I238" s="37" t="str">
        <f>IFERROR(LOOKUP(2,1/((HISTORIAL!$O$3:$O$236=D238&amp;"|"&amp;E238)*(HISTORIAL!$F$3:$F$236&lt;&gt;"")),HISTORIAL!$H$3:$H$236),"")</f>
        <v/>
      </c>
      <c r="J238" s="37" t="str">
        <f>IFERROR(LOOKUP(2,1/((HISTORIAL!$O$3:$O$236=D238&amp;"|"&amp;E238)*(HISTORIAL!$F$3:$F$236&lt;&gt;"")),HISTORIAL!$I$3:$I$236),"")</f>
        <v/>
      </c>
      <c r="K238" s="58" t="str">
        <f>IFERROR(IF(OR(G238="",N238="SIN"),"--",IF(N238="SUBIR_F",IF(F238="polea",IFERROR(INDEX(CONFIG!$B$25:$B$40,MATCH(G238,CONFIG!$B$25:$B$40,0)+2),IFERROR(INDEX(CONFIG!$B$25:$B$40,MATCH(G238,CONFIG!$B$25:$B$40,0)+1),G238)),G238+5),IF(OR(N238="SUBIR",N238="SUBIR_E"),IF(F238="polea",IFERROR(INDEX(CONFIG!$B$25:$B$40,MATCH(G238,CONFIG!$B$25:$B$40,0)+1),G238),G238+2.5),IF(N238="BAJAR",IF(F238="polea",IFERROR(INDEX(CONFIG!$B$25:$B$40,MAX(1,MATCH(G238,CONFIG!$B$25:$B$40,0)-1)),G238),MAX(0,G238-2.5)),G238)))),"--")</f>
        <v>--</v>
      </c>
      <c r="L238" s="59" t="str">
        <f>IFERROR(IF(N238="SIN","--",IF(N238="MANT",IF(H238="","--",H238+1),IFERROR(VLOOKUP(CONFIG!$E$2,CONFIG!$A$6:$E$8,2,0),"--"))),"--")</f>
        <v>--</v>
      </c>
      <c r="M238" s="59" t="str">
        <f>IFERROR(IF(N238="SIN","--",IF(CONFIG!$E$2="HIP",2,IF(CONFIG!$E$2="FUE",1,2))),"--")</f>
        <v>--</v>
      </c>
      <c r="N238" s="53" t="str">
        <f>IFERROR(IF(G238="","SIN",IF(O238=1,"SUBIR_E",IF(H238&lt;IFERROR(VLOOKUP(CONFIG!$E$2,CONFIG!$A$6:$E$8,2,0),6),"BAJAR",IF(H238+I238&gt;=IFERROR(VLOOKUP(CONFIG!$E$2,CONFIG!$A$6:$E$8,3,0),12),"SUBIR_F",IF(AND(H238&gt;=IFERROR(VLOOKUP(CONFIG!$E$2,CONFIG!$A$6:$E$8,2,0),6)+2,I238&gt;=2),"SUBIR",IF(I238&gt;IFERROR(VLOOKUP(CONFIG!$E$2,CONFIG!$A$6:$E$8,5,0),3),"SUBIR","MANT")))))),"SIN")</f>
        <v>SIN</v>
      </c>
      <c r="O238" s="55">
        <f>IF(COUNTIFS(HISTORIAL!$O$3:$O$236,D238&amp;"|"&amp;E238,HISTORIAL!$F$3:$F$236,"&gt;0")&lt;2,0,IF(COUNTIFS(HISTORIAL!$O$3:$O$236,D238&amp;"|"&amp;E238,HISTORIAL!$F$3:$F$236,IFERROR(LOOKUP(2,1/((HISTORIAL!$O$3:$O$236=D238&amp;"|"&amp;E238)*(HISTORIAL!$F$3:$F$236&gt;0)),HISTORIAL!$F$3:$F$236),0))&gt;=2,IF(IFERROR(LOOKUP(2,1/((HISTORIAL!$O$3:$O$236=D238&amp;"|"&amp;E238)*(HISTORIAL!$F$3:$F$236&gt;0)),HISTORIAL!$G$3:$G$236),0)&gt;0,IF(F238&gt;0,IF(G238&lt;=IFERROR(LOOKUP(2,1/((HISTORIAL!$O$3:$O$236=D238&amp;"|"&amp;E238)*(HISTORIAL!$F$3:$F$236&gt;0)),HISTORIAL!$G$3:$G$236),0),1,0),0),0),0))</f>
        <v>0</v>
      </c>
    </row>
    <row r="239" spans="1:15" ht="14.1" customHeight="1">
      <c r="A239" s="37">
        <v>4</v>
      </c>
      <c r="B239" s="37" t="s">
        <v>280</v>
      </c>
      <c r="C239" s="37">
        <v>10</v>
      </c>
      <c r="D239" s="56" t="str">
        <f>JUEVES!$A$102</f>
        <v>Extension Triceps</v>
      </c>
      <c r="E239" s="57" t="str">
        <f>JUEVES!$B$102</f>
        <v>Polea Sobre Cabeza</v>
      </c>
      <c r="F239" s="37" t="str">
        <f>JUEVES!$C$102</f>
        <v>--</v>
      </c>
      <c r="G239" s="37" t="str">
        <f>IFERROR(LOOKUP(2,1/((HISTORIAL!$O$3:$O$237=D239&amp;"|"&amp;E239)*(HISTORIAL!$F$3:$F$237&lt;&gt;"")),HISTORIAL!$F$3:$F$237),"")</f>
        <v/>
      </c>
      <c r="H239" s="37" t="str">
        <f>IFERROR(LOOKUP(2,1/((HISTORIAL!$O$3:$O$237=D239&amp;"|"&amp;E239)*(HISTORIAL!$F$3:$F$237&lt;&gt;"")),HISTORIAL!$G$3:$G$237),"")</f>
        <v/>
      </c>
      <c r="I239" s="37" t="str">
        <f>IFERROR(LOOKUP(2,1/((HISTORIAL!$O$3:$O$237=D239&amp;"|"&amp;E239)*(HISTORIAL!$F$3:$F$237&lt;&gt;"")),HISTORIAL!$H$3:$H$237),"")</f>
        <v/>
      </c>
      <c r="J239" s="37" t="str">
        <f>IFERROR(LOOKUP(2,1/((HISTORIAL!$O$3:$O$237=D239&amp;"|"&amp;E239)*(HISTORIAL!$F$3:$F$237&lt;&gt;"")),HISTORIAL!$I$3:$I$237),"")</f>
        <v/>
      </c>
      <c r="K239" s="58" t="str">
        <f>IFERROR(IF(OR(G239="",N239="SIN"),"--",IF(N239="SUBIR_F",IF(F239="polea",IFERROR(INDEX(CONFIG!$B$25:$B$40,MATCH(G239,CONFIG!$B$25:$B$40,0)+2),IFERROR(INDEX(CONFIG!$B$25:$B$40,MATCH(G239,CONFIG!$B$25:$B$40,0)+1),G239)),G239+5),IF(OR(N239="SUBIR",N239="SUBIR_E"),IF(F239="polea",IFERROR(INDEX(CONFIG!$B$25:$B$40,MATCH(G239,CONFIG!$B$25:$B$40,0)+1),G239),G239+2.5),IF(N239="BAJAR",IF(F239="polea",IFERROR(INDEX(CONFIG!$B$25:$B$40,MAX(1,MATCH(G239,CONFIG!$B$25:$B$40,0)-1)),G239),MAX(0,G239-2.5)),G239)))),"--")</f>
        <v>--</v>
      </c>
      <c r="L239" s="59" t="str">
        <f>IFERROR(IF(N239="SIN","--",IF(N239="MANT",IF(H239="","--",H239+1),IFERROR(VLOOKUP(CONFIG!$E$2,CONFIG!$A$6:$E$8,2,0),"--"))),"--")</f>
        <v>--</v>
      </c>
      <c r="M239" s="59" t="str">
        <f>IFERROR(IF(N239="SIN","--",IF(CONFIG!$E$2="HIP",2,IF(CONFIG!$E$2="FUE",1,2))),"--")</f>
        <v>--</v>
      </c>
      <c r="N239" s="53" t="str">
        <f>IFERROR(IF(G239="","SIN",IF(O239=1,"SUBIR_E",IF(H239&lt;IFERROR(VLOOKUP(CONFIG!$E$2,CONFIG!$A$6:$E$8,2,0),6),"BAJAR",IF(H239+I239&gt;=IFERROR(VLOOKUP(CONFIG!$E$2,CONFIG!$A$6:$E$8,3,0),12),"SUBIR_F",IF(AND(H239&gt;=IFERROR(VLOOKUP(CONFIG!$E$2,CONFIG!$A$6:$E$8,2,0),6)+2,I239&gt;=2),"SUBIR",IF(I239&gt;IFERROR(VLOOKUP(CONFIG!$E$2,CONFIG!$A$6:$E$8,5,0),3),"SUBIR","MANT")))))),"SIN")</f>
        <v>SIN</v>
      </c>
      <c r="O239" s="55">
        <f>IF(COUNTIFS(HISTORIAL!$O$3:$O$237,D239&amp;"|"&amp;E239,HISTORIAL!$F$3:$F$237,"&gt;0")&lt;2,0,IF(COUNTIFS(HISTORIAL!$O$3:$O$237,D239&amp;"|"&amp;E239,HISTORIAL!$F$3:$F$237,IFERROR(LOOKUP(2,1/((HISTORIAL!$O$3:$O$237=D239&amp;"|"&amp;E239)*(HISTORIAL!$F$3:$F$237&gt;0)),HISTORIAL!$F$3:$F$237),0))&gt;=2,IF(IFERROR(LOOKUP(2,1/((HISTORIAL!$O$3:$O$237=D239&amp;"|"&amp;E239)*(HISTORIAL!$F$3:$F$237&gt;0)),HISTORIAL!$G$3:$G$237),0)&gt;0,IF(F239&gt;0,IF(G239&lt;=IFERROR(LOOKUP(2,1/((HISTORIAL!$O$3:$O$237=D239&amp;"|"&amp;E239)*(HISTORIAL!$F$3:$F$237&gt;0)),HISTORIAL!$G$3:$G$237),0),1,0),0),0),0))</f>
        <v>0</v>
      </c>
    </row>
    <row r="240" spans="1:15" ht="14.1" customHeight="1">
      <c r="A240" s="37">
        <v>4</v>
      </c>
      <c r="B240" s="37" t="s">
        <v>280</v>
      </c>
      <c r="C240" s="37">
        <v>11</v>
      </c>
      <c r="D240" s="56" t="str">
        <f>JUEVES!$A$104</f>
        <v>Extension Cuadriceps</v>
      </c>
      <c r="E240" s="57" t="str">
        <f>JUEVES!$B$104</f>
        <v>Vasto Interno</v>
      </c>
      <c r="F240" s="37" t="str">
        <f>JUEVES!$C$104</f>
        <v>--</v>
      </c>
      <c r="G240" s="37" t="str">
        <f>IFERROR(LOOKUP(2,1/((HISTORIAL!$O$3:$O$238=D240&amp;"|"&amp;E240)*(HISTORIAL!$F$3:$F$238&lt;&gt;"")),HISTORIAL!$F$3:$F$238),"")</f>
        <v/>
      </c>
      <c r="H240" s="37" t="str">
        <f>IFERROR(LOOKUP(2,1/((HISTORIAL!$O$3:$O$238=D240&amp;"|"&amp;E240)*(HISTORIAL!$F$3:$F$238&lt;&gt;"")),HISTORIAL!$G$3:$G$238),"")</f>
        <v/>
      </c>
      <c r="I240" s="37" t="str">
        <f>IFERROR(LOOKUP(2,1/((HISTORIAL!$O$3:$O$238=D240&amp;"|"&amp;E240)*(HISTORIAL!$F$3:$F$238&lt;&gt;"")),HISTORIAL!$H$3:$H$238),"")</f>
        <v/>
      </c>
      <c r="J240" s="37" t="str">
        <f>IFERROR(LOOKUP(2,1/((HISTORIAL!$O$3:$O$238=D240&amp;"|"&amp;E240)*(HISTORIAL!$F$3:$F$238&lt;&gt;"")),HISTORIAL!$I$3:$I$238),"")</f>
        <v/>
      </c>
      <c r="K240" s="58" t="str">
        <f>IFERROR(IF(OR(G240="",N240="SIN"),"--",IF(N240="SUBIR_F",IF(F240="polea",IFERROR(INDEX(CONFIG!$B$25:$B$40,MATCH(G240,CONFIG!$B$25:$B$40,0)+2),IFERROR(INDEX(CONFIG!$B$25:$B$40,MATCH(G240,CONFIG!$B$25:$B$40,0)+1),G240)),G240+5),IF(OR(N240="SUBIR",N240="SUBIR_E"),IF(F240="polea",IFERROR(INDEX(CONFIG!$B$25:$B$40,MATCH(G240,CONFIG!$B$25:$B$40,0)+1),G240),G240+2.5),IF(N240="BAJAR",IF(F240="polea",IFERROR(INDEX(CONFIG!$B$25:$B$40,MAX(1,MATCH(G240,CONFIG!$B$25:$B$40,0)-1)),G240),MAX(0,G240-2.5)),G240)))),"--")</f>
        <v>--</v>
      </c>
      <c r="L240" s="59" t="str">
        <f>IFERROR(IF(N240="SIN","--",IF(N240="MANT",IF(H240="","--",H240+1),IFERROR(VLOOKUP(CONFIG!$E$2,CONFIG!$A$6:$E$8,2,0),"--"))),"--")</f>
        <v>--</v>
      </c>
      <c r="M240" s="59" t="str">
        <f>IFERROR(IF(N240="SIN","--",IF(CONFIG!$E$2="HIP",2,IF(CONFIG!$E$2="FUE",1,2))),"--")</f>
        <v>--</v>
      </c>
      <c r="N240" s="53" t="str">
        <f>IFERROR(IF(G240="","SIN",IF(O240=1,"SUBIR_E",IF(H240&lt;IFERROR(VLOOKUP(CONFIG!$E$2,CONFIG!$A$6:$E$8,2,0),6),"BAJAR",IF(H240+I240&gt;=IFERROR(VLOOKUP(CONFIG!$E$2,CONFIG!$A$6:$E$8,3,0),12),"SUBIR_F",IF(AND(H240&gt;=IFERROR(VLOOKUP(CONFIG!$E$2,CONFIG!$A$6:$E$8,2,0),6)+2,I240&gt;=2),"SUBIR",IF(I240&gt;IFERROR(VLOOKUP(CONFIG!$E$2,CONFIG!$A$6:$E$8,5,0),3),"SUBIR","MANT")))))),"SIN")</f>
        <v>SIN</v>
      </c>
      <c r="O240" s="55">
        <f>IF(COUNTIFS(HISTORIAL!$O$3:$O$238,D240&amp;"|"&amp;E240,HISTORIAL!$F$3:$F$238,"&gt;0")&lt;2,0,IF(COUNTIFS(HISTORIAL!$O$3:$O$238,D240&amp;"|"&amp;E240,HISTORIAL!$F$3:$F$238,IFERROR(LOOKUP(2,1/((HISTORIAL!$O$3:$O$238=D240&amp;"|"&amp;E240)*(HISTORIAL!$F$3:$F$238&gt;0)),HISTORIAL!$F$3:$F$238),0))&gt;=2,IF(IFERROR(LOOKUP(2,1/((HISTORIAL!$O$3:$O$238=D240&amp;"|"&amp;E240)*(HISTORIAL!$F$3:$F$238&gt;0)),HISTORIAL!$G$3:$G$238),0)&gt;0,IF(F240&gt;0,IF(G240&lt;=IFERROR(LOOKUP(2,1/((HISTORIAL!$O$3:$O$238=D240&amp;"|"&amp;E240)*(HISTORIAL!$F$3:$F$238&gt;0)),HISTORIAL!$G$3:$G$238),0),1,0),0),0),0))</f>
        <v>0</v>
      </c>
    </row>
    <row r="241" spans="1:15" ht="14.1" customHeight="1">
      <c r="A241" s="37">
        <v>4</v>
      </c>
      <c r="B241" s="37" t="s">
        <v>280</v>
      </c>
      <c r="C241" s="37">
        <v>12</v>
      </c>
      <c r="D241" s="56" t="str">
        <f>JUEVES!$A$106</f>
        <v>Curl Biceps</v>
      </c>
      <c r="E241" s="57" t="str">
        <f>JUEVES!$B$106</f>
        <v>Concentrado Maquina</v>
      </c>
      <c r="F241" s="37" t="str">
        <f>JUEVES!$C$106</f>
        <v>polea</v>
      </c>
      <c r="G241" s="37">
        <f>IFERROR(LOOKUP(2,1/((HISTORIAL!$O$3:$O$239=D241&amp;"|"&amp;E241)*(HISTORIAL!$F$3:$F$239&lt;&gt;"")),HISTORIAL!$F$3:$F$239),"")</f>
        <v>40</v>
      </c>
      <c r="H241" s="37">
        <f>IFERROR(LOOKUP(2,1/((HISTORIAL!$O$3:$O$239=D241&amp;"|"&amp;E241)*(HISTORIAL!$F$3:$F$239&lt;&gt;"")),HISTORIAL!$G$3:$G$239),"")</f>
        <v>6</v>
      </c>
      <c r="I241" s="37">
        <f>IFERROR(LOOKUP(2,1/((HISTORIAL!$O$3:$O$239=D241&amp;"|"&amp;E241)*(HISTORIAL!$F$3:$F$239&lt;&gt;"")),HISTORIAL!$H$3:$H$239),"")</f>
        <v>0</v>
      </c>
      <c r="J241" s="37" t="str">
        <f>IFERROR(LOOKUP(2,1/((HISTORIAL!$O$3:$O$239=D241&amp;"|"&amp;E241)*(HISTORIAL!$F$3:$F$239&lt;&gt;"")),HISTORIAL!$I$3:$I$239),"")</f>
        <v>B</v>
      </c>
      <c r="K241" s="58">
        <f>IFERROR(IF(OR(G241="",N241="SIN"),"--",IF(N241="SUBIR_F",IF(F241="polea",IFERROR(INDEX(CONFIG!$B$25:$B$40,MATCH(G241,CONFIG!$B$25:$B$40,0)+2),IFERROR(INDEX(CONFIG!$B$25:$B$40,MATCH(G241,CONFIG!$B$25:$B$40,0)+1),G241)),G241+5),IF(OR(N241="SUBIR",N241="SUBIR_E"),IF(F241="polea",IFERROR(INDEX(CONFIG!$B$25:$B$40,MATCH(G241,CONFIG!$B$25:$B$40,0)+1),G241),G241+2.5),IF(N241="BAJAR",IF(F241="polea",IFERROR(INDEX(CONFIG!$B$25:$B$40,MAX(1,MATCH(G241,CONFIG!$B$25:$B$40,0)-1)),G241),MAX(0,G241-2.5)),G241)))),"--")</f>
        <v>40</v>
      </c>
      <c r="L241" s="59">
        <f>IFERROR(IF(N241="SIN","--",IF(N241="MANT",IF(H241="","--",H241+1),IFERROR(VLOOKUP(CONFIG!$E$2,CONFIG!$A$6:$E$8,2,0),"--"))),"--")</f>
        <v>7</v>
      </c>
      <c r="M241" s="59">
        <f>IFERROR(IF(N241="SIN","--",IF(CONFIG!$E$2="HIP",2,IF(CONFIG!$E$2="FUE",1,2))),"--")</f>
        <v>2</v>
      </c>
      <c r="N241" s="53" t="str">
        <f>IFERROR(IF(G241="","SIN",IF(O241=1,"SUBIR_E",IF(H241&lt;IFERROR(VLOOKUP(CONFIG!$E$2,CONFIG!$A$6:$E$8,2,0),6),"BAJAR",IF(H241+I241&gt;=IFERROR(VLOOKUP(CONFIG!$E$2,CONFIG!$A$6:$E$8,3,0),12),"SUBIR_F",IF(AND(H241&gt;=IFERROR(VLOOKUP(CONFIG!$E$2,CONFIG!$A$6:$E$8,2,0),6)+2,I241&gt;=2),"SUBIR",IF(I241&gt;IFERROR(VLOOKUP(CONFIG!$E$2,CONFIG!$A$6:$E$8,5,0),3),"SUBIR","MANT")))))),"SIN")</f>
        <v>MANT</v>
      </c>
      <c r="O241" s="55">
        <f>IF(COUNTIFS(HISTORIAL!$O$3:$O$239,D241&amp;"|"&amp;E241,HISTORIAL!$F$3:$F$239,"&gt;0")&lt;2,0,IF(COUNTIFS(HISTORIAL!$O$3:$O$239,D241&amp;"|"&amp;E241,HISTORIAL!$F$3:$F$239,IFERROR(LOOKUP(2,1/((HISTORIAL!$O$3:$O$239=D241&amp;"|"&amp;E241)*(HISTORIAL!$F$3:$F$239&gt;0)),HISTORIAL!$F$3:$F$239),0))&gt;=2,IF(IFERROR(LOOKUP(2,1/((HISTORIAL!$O$3:$O$239=D241&amp;"|"&amp;E241)*(HISTORIAL!$F$3:$F$239&gt;0)),HISTORIAL!$G$3:$G$239),0)&gt;0,IF(F241&gt;0,IF(G241&lt;=IFERROR(LOOKUP(2,1/((HISTORIAL!$O$3:$O$239=D241&amp;"|"&amp;E241)*(HISTORIAL!$F$3:$F$239&gt;0)),HISTORIAL!$G$3:$G$239),0),1,0),0),0),0))</f>
        <v>0</v>
      </c>
    </row>
    <row r="242" spans="1:15" ht="14.1" customHeight="1">
      <c r="A242" s="37">
        <v>4</v>
      </c>
      <c r="B242" s="37" t="s">
        <v>280</v>
      </c>
      <c r="C242" s="37">
        <v>13</v>
      </c>
      <c r="D242" s="56" t="str">
        <f>JUEVES!$A$108</f>
        <v>Crunch</v>
      </c>
      <c r="E242" s="57" t="str">
        <f>JUEVES!$B$108</f>
        <v>Polea</v>
      </c>
      <c r="F242" s="37" t="str">
        <f>JUEVES!$C$108</f>
        <v>polea</v>
      </c>
      <c r="G242" s="37" t="str">
        <f>IFERROR(LOOKUP(2,1/((HISTORIAL!$O$3:$O$240=D242&amp;"|"&amp;E242)*(HISTORIAL!$F$3:$F$240&lt;&gt;"")),HISTORIAL!$F$3:$F$240),"")</f>
        <v/>
      </c>
      <c r="H242" s="37" t="str">
        <f>IFERROR(LOOKUP(2,1/((HISTORIAL!$O$3:$O$240=D242&amp;"|"&amp;E242)*(HISTORIAL!$F$3:$F$240&lt;&gt;"")),HISTORIAL!$G$3:$G$240),"")</f>
        <v/>
      </c>
      <c r="I242" s="37" t="str">
        <f>IFERROR(LOOKUP(2,1/((HISTORIAL!$O$3:$O$240=D242&amp;"|"&amp;E242)*(HISTORIAL!$F$3:$F$240&lt;&gt;"")),HISTORIAL!$H$3:$H$240),"")</f>
        <v/>
      </c>
      <c r="J242" s="37" t="str">
        <f>IFERROR(LOOKUP(2,1/((HISTORIAL!$O$3:$O$240=D242&amp;"|"&amp;E242)*(HISTORIAL!$F$3:$F$240&lt;&gt;"")),HISTORIAL!$I$3:$I$240),"")</f>
        <v/>
      </c>
      <c r="K242" s="58" t="str">
        <f>IFERROR(IF(OR(G242="",N242="SIN"),"--",IF(N242="SUBIR_F",IF(F242="polea",IFERROR(INDEX(CONFIG!$B$25:$B$40,MATCH(G242,CONFIG!$B$25:$B$40,0)+2),IFERROR(INDEX(CONFIG!$B$25:$B$40,MATCH(G242,CONFIG!$B$25:$B$40,0)+1),G242)),G242+5),IF(OR(N242="SUBIR",N242="SUBIR_E"),IF(F242="polea",IFERROR(INDEX(CONFIG!$B$25:$B$40,MATCH(G242,CONFIG!$B$25:$B$40,0)+1),G242),G242+2.5),IF(N242="BAJAR",IF(F242="polea",IFERROR(INDEX(CONFIG!$B$25:$B$40,MAX(1,MATCH(G242,CONFIG!$B$25:$B$40,0)-1)),G242),MAX(0,G242-2.5)),G242)))),"--")</f>
        <v>--</v>
      </c>
      <c r="L242" s="59" t="str">
        <f>IFERROR(IF(N242="SIN","--",IF(N242="MANT",IF(H242="","--",H242+1),IFERROR(VLOOKUP(CONFIG!$E$2,CONFIG!$A$6:$E$8,2,0),"--"))),"--")</f>
        <v>--</v>
      </c>
      <c r="M242" s="59" t="str">
        <f>IFERROR(IF(N242="SIN","--",IF(CONFIG!$E$2="HIP",2,IF(CONFIG!$E$2="FUE",1,2))),"--")</f>
        <v>--</v>
      </c>
      <c r="N242" s="53" t="str">
        <f>IFERROR(IF(G242="","SIN",IF(O242=1,"SUBIR_E",IF(H242&lt;IFERROR(VLOOKUP(CONFIG!$E$2,CONFIG!$A$6:$E$8,2,0),6),"BAJAR",IF(H242+I242&gt;=IFERROR(VLOOKUP(CONFIG!$E$2,CONFIG!$A$6:$E$8,3,0),12),"SUBIR_F",IF(AND(H242&gt;=IFERROR(VLOOKUP(CONFIG!$E$2,CONFIG!$A$6:$E$8,2,0),6)+2,I242&gt;=2),"SUBIR",IF(I242&gt;IFERROR(VLOOKUP(CONFIG!$E$2,CONFIG!$A$6:$E$8,5,0),3),"SUBIR","MANT")))))),"SIN")</f>
        <v>SIN</v>
      </c>
      <c r="O242" s="55">
        <f>IF(COUNTIFS(HISTORIAL!$O$3:$O$240,D242&amp;"|"&amp;E242,HISTORIAL!$F$3:$F$240,"&gt;0")&lt;2,0,IF(COUNTIFS(HISTORIAL!$O$3:$O$240,D242&amp;"|"&amp;E242,HISTORIAL!$F$3:$F$240,IFERROR(LOOKUP(2,1/((HISTORIAL!$O$3:$O$240=D242&amp;"|"&amp;E242)*(HISTORIAL!$F$3:$F$240&gt;0)),HISTORIAL!$F$3:$F$240),0))&gt;=2,IF(IFERROR(LOOKUP(2,1/((HISTORIAL!$O$3:$O$240=D242&amp;"|"&amp;E242)*(HISTORIAL!$F$3:$F$240&gt;0)),HISTORIAL!$G$3:$G$240),0)&gt;0,IF(F242&gt;0,IF(G242&lt;=IFERROR(LOOKUP(2,1/((HISTORIAL!$O$3:$O$240=D242&amp;"|"&amp;E242)*(HISTORIAL!$F$3:$F$240&gt;0)),HISTORIAL!$G$3:$G$240),0),1,0),0),0),0))</f>
        <v>0</v>
      </c>
    </row>
    <row r="243" spans="1:15" ht="14.1" customHeight="1">
      <c r="A243" s="37">
        <v>4</v>
      </c>
      <c r="B243" s="37" t="s">
        <v>281</v>
      </c>
      <c r="C243" s="37">
        <v>1</v>
      </c>
      <c r="D243" s="56" t="str">
        <f>SABADO!$A$85</f>
        <v>Pulldown</v>
      </c>
      <c r="E243" s="57" t="str">
        <f>SABADO!$B$85</f>
        <v>Polea Alta Brazos Rectos Prono</v>
      </c>
      <c r="F243" s="37" t="str">
        <f>SABADO!$C$85</f>
        <v>polea</v>
      </c>
      <c r="G243" s="37" t="str">
        <f>IFERROR(LOOKUP(2,1/((HISTORIAL!$O$3:$O$241=D243&amp;"|"&amp;E243)*(HISTORIAL!$F$3:$F$241&lt;&gt;"")),HISTORIAL!$F$3:$F$241),"")</f>
        <v/>
      </c>
      <c r="H243" s="37" t="str">
        <f>IFERROR(LOOKUP(2,1/((HISTORIAL!$O$3:$O$241=D243&amp;"|"&amp;E243)*(HISTORIAL!$F$3:$F$241&lt;&gt;"")),HISTORIAL!$G$3:$G$241),"")</f>
        <v/>
      </c>
      <c r="I243" s="37" t="str">
        <f>IFERROR(LOOKUP(2,1/((HISTORIAL!$O$3:$O$241=D243&amp;"|"&amp;E243)*(HISTORIAL!$F$3:$F$241&lt;&gt;"")),HISTORIAL!$H$3:$H$241),"")</f>
        <v/>
      </c>
      <c r="J243" s="37" t="str">
        <f>IFERROR(LOOKUP(2,1/((HISTORIAL!$O$3:$O$241=D243&amp;"|"&amp;E243)*(HISTORIAL!$F$3:$F$241&lt;&gt;"")),HISTORIAL!$I$3:$I$241),"")</f>
        <v/>
      </c>
      <c r="K243" s="58" t="str">
        <f>IFERROR(IF(OR(G243="",N243="SIN"),"--",IF(N243="SUBIR_F",IF(F243="polea",IFERROR(INDEX(CONFIG!$B$25:$B$40,MATCH(G243,CONFIG!$B$25:$B$40,0)+2),IFERROR(INDEX(CONFIG!$B$25:$B$40,MATCH(G243,CONFIG!$B$25:$B$40,0)+1),G243)),G243+5),IF(OR(N243="SUBIR",N243="SUBIR_E"),IF(F243="polea",IFERROR(INDEX(CONFIG!$B$25:$B$40,MATCH(G243,CONFIG!$B$25:$B$40,0)+1),G243),G243+2.5),IF(N243="BAJAR",IF(F243="polea",IFERROR(INDEX(CONFIG!$B$25:$B$40,MAX(1,MATCH(G243,CONFIG!$B$25:$B$40,0)-1)),G243),MAX(0,G243-2.5)),G243)))),"--")</f>
        <v>--</v>
      </c>
      <c r="L243" s="59" t="str">
        <f>IFERROR(IF(N243="SIN","--",IF(N243="MANT",IF(H243="","--",H243+1),IFERROR(VLOOKUP(CONFIG!$E$2,CONFIG!$A$6:$E$8,2,0),"--"))),"--")</f>
        <v>--</v>
      </c>
      <c r="M243" s="59" t="str">
        <f>IFERROR(IF(N243="SIN","--",IF(CONFIG!$E$2="HIP",2,IF(CONFIG!$E$2="FUE",1,2))),"--")</f>
        <v>--</v>
      </c>
      <c r="N243" s="53" t="str">
        <f>IFERROR(IF(G243="","SIN",IF(O243=1,"SUBIR_E",IF(H243&lt;IFERROR(VLOOKUP(CONFIG!$E$2,CONFIG!$A$6:$E$8,2,0),6),"BAJAR",IF(H243+I243&gt;=IFERROR(VLOOKUP(CONFIG!$E$2,CONFIG!$A$6:$E$8,3,0),12),"SUBIR_F",IF(AND(H243&gt;=IFERROR(VLOOKUP(CONFIG!$E$2,CONFIG!$A$6:$E$8,2,0),6)+2,I243&gt;=2),"SUBIR",IF(I243&gt;IFERROR(VLOOKUP(CONFIG!$E$2,CONFIG!$A$6:$E$8,5,0),3),"SUBIR","MANT")))))),"SIN")</f>
        <v>SIN</v>
      </c>
      <c r="O243" s="55">
        <f>IF(COUNTIFS(HISTORIAL!$O$3:$O$241,D243&amp;"|"&amp;E243,HISTORIAL!$F$3:$F$241,"&gt;0")&lt;2,0,IF(COUNTIFS(HISTORIAL!$O$3:$O$241,D243&amp;"|"&amp;E243,HISTORIAL!$F$3:$F$241,IFERROR(LOOKUP(2,1/((HISTORIAL!$O$3:$O$241=D243&amp;"|"&amp;E243)*(HISTORIAL!$F$3:$F$241&gt;0)),HISTORIAL!$F$3:$F$241),0))&gt;=2,IF(IFERROR(LOOKUP(2,1/((HISTORIAL!$O$3:$O$241=D243&amp;"|"&amp;E243)*(HISTORIAL!$F$3:$F$241&gt;0)),HISTORIAL!$G$3:$G$241),0)&gt;0,IF(F243&gt;0,IF(G243&lt;=IFERROR(LOOKUP(2,1/((HISTORIAL!$O$3:$O$241=D243&amp;"|"&amp;E243)*(HISTORIAL!$F$3:$F$241&gt;0)),HISTORIAL!$G$3:$G$241),0),1,0),0),0),0))</f>
        <v>0</v>
      </c>
    </row>
    <row r="244" spans="1:15" ht="14.1" customHeight="1">
      <c r="A244" s="37">
        <v>4</v>
      </c>
      <c r="B244" s="37" t="s">
        <v>281</v>
      </c>
      <c r="C244" s="37">
        <v>2</v>
      </c>
      <c r="D244" s="56" t="str">
        <f>SABADO!$A$87</f>
        <v>Remo</v>
      </c>
      <c r="E244" s="57" t="str">
        <f>SABADO!$B$87</f>
        <v>Maquina Neutro Estrecho</v>
      </c>
      <c r="F244" s="37" t="str">
        <f>SABADO!$C$87</f>
        <v>polea</v>
      </c>
      <c r="G244" s="37" t="str">
        <f>IFERROR(LOOKUP(2,1/((HISTORIAL!$O$3:$O$242=D244&amp;"|"&amp;E244)*(HISTORIAL!$F$3:$F$242&lt;&gt;"")),HISTORIAL!$F$3:$F$242),"")</f>
        <v/>
      </c>
      <c r="H244" s="37" t="str">
        <f>IFERROR(LOOKUP(2,1/((HISTORIAL!$O$3:$O$242=D244&amp;"|"&amp;E244)*(HISTORIAL!$F$3:$F$242&lt;&gt;"")),HISTORIAL!$G$3:$G$242),"")</f>
        <v/>
      </c>
      <c r="I244" s="37" t="str">
        <f>IFERROR(LOOKUP(2,1/((HISTORIAL!$O$3:$O$242=D244&amp;"|"&amp;E244)*(HISTORIAL!$F$3:$F$242&lt;&gt;"")),HISTORIAL!$H$3:$H$242),"")</f>
        <v/>
      </c>
      <c r="J244" s="37" t="str">
        <f>IFERROR(LOOKUP(2,1/((HISTORIAL!$O$3:$O$242=D244&amp;"|"&amp;E244)*(HISTORIAL!$F$3:$F$242&lt;&gt;"")),HISTORIAL!$I$3:$I$242),"")</f>
        <v/>
      </c>
      <c r="K244" s="58" t="str">
        <f>IFERROR(IF(OR(G244="",N244="SIN"),"--",IF(N244="SUBIR_F",IF(F244="polea",IFERROR(INDEX(CONFIG!$B$25:$B$40,MATCH(G244,CONFIG!$B$25:$B$40,0)+2),IFERROR(INDEX(CONFIG!$B$25:$B$40,MATCH(G244,CONFIG!$B$25:$B$40,0)+1),G244)),G244+5),IF(OR(N244="SUBIR",N244="SUBIR_E"),IF(F244="polea",IFERROR(INDEX(CONFIG!$B$25:$B$40,MATCH(G244,CONFIG!$B$25:$B$40,0)+1),G244),G244+2.5),IF(N244="BAJAR",IF(F244="polea",IFERROR(INDEX(CONFIG!$B$25:$B$40,MAX(1,MATCH(G244,CONFIG!$B$25:$B$40,0)-1)),G244),MAX(0,G244-2.5)),G244)))),"--")</f>
        <v>--</v>
      </c>
      <c r="L244" s="59" t="str">
        <f>IFERROR(IF(N244="SIN","--",IF(N244="MANT",IF(H244="","--",H244+1),IFERROR(VLOOKUP(CONFIG!$E$2,CONFIG!$A$6:$E$8,2,0),"--"))),"--")</f>
        <v>--</v>
      </c>
      <c r="M244" s="59" t="str">
        <f>IFERROR(IF(N244="SIN","--",IF(CONFIG!$E$2="HIP",2,IF(CONFIG!$E$2="FUE",1,2))),"--")</f>
        <v>--</v>
      </c>
      <c r="N244" s="53" t="str">
        <f>IFERROR(IF(G244="","SIN",IF(O244=1,"SUBIR_E",IF(H244&lt;IFERROR(VLOOKUP(CONFIG!$E$2,CONFIG!$A$6:$E$8,2,0),6),"BAJAR",IF(H244+I244&gt;=IFERROR(VLOOKUP(CONFIG!$E$2,CONFIG!$A$6:$E$8,3,0),12),"SUBIR_F",IF(AND(H244&gt;=IFERROR(VLOOKUP(CONFIG!$E$2,CONFIG!$A$6:$E$8,2,0),6)+2,I244&gt;=2),"SUBIR",IF(I244&gt;IFERROR(VLOOKUP(CONFIG!$E$2,CONFIG!$A$6:$E$8,5,0),3),"SUBIR","MANT")))))),"SIN")</f>
        <v>SIN</v>
      </c>
      <c r="O244" s="55">
        <f>IF(COUNTIFS(HISTORIAL!$O$3:$O$242,D244&amp;"|"&amp;E244,HISTORIAL!$F$3:$F$242,"&gt;0")&lt;2,0,IF(COUNTIFS(HISTORIAL!$O$3:$O$242,D244&amp;"|"&amp;E244,HISTORIAL!$F$3:$F$242,IFERROR(LOOKUP(2,1/((HISTORIAL!$O$3:$O$242=D244&amp;"|"&amp;E244)*(HISTORIAL!$F$3:$F$242&gt;0)),HISTORIAL!$F$3:$F$242),0))&gt;=2,IF(IFERROR(LOOKUP(2,1/((HISTORIAL!$O$3:$O$242=D244&amp;"|"&amp;E244)*(HISTORIAL!$F$3:$F$242&gt;0)),HISTORIAL!$G$3:$G$242),0)&gt;0,IF(F244&gt;0,IF(G244&lt;=IFERROR(LOOKUP(2,1/((HISTORIAL!$O$3:$O$242=D244&amp;"|"&amp;E244)*(HISTORIAL!$F$3:$F$242&gt;0)),HISTORIAL!$G$3:$G$242),0),1,0),0),0),0))</f>
        <v>0</v>
      </c>
    </row>
    <row r="245" spans="1:15" ht="14.1" customHeight="1">
      <c r="A245" s="37">
        <v>4</v>
      </c>
      <c r="B245" s="37" t="s">
        <v>281</v>
      </c>
      <c r="C245" s="37">
        <v>3</v>
      </c>
      <c r="D245" s="56" t="str">
        <f>SABADO!$A$88</f>
        <v>Remo</v>
      </c>
      <c r="E245" s="57" t="str">
        <f>SABADO!$B$88</f>
        <v>Maquina Neutro Ancho</v>
      </c>
      <c r="F245" s="37" t="str">
        <f>SABADO!$C$88</f>
        <v>polea</v>
      </c>
      <c r="G245" s="37" t="str">
        <f>IFERROR(LOOKUP(2,1/((HISTORIAL!$O$3:$O$243=D245&amp;"|"&amp;E245)*(HISTORIAL!$F$3:$F$243&lt;&gt;"")),HISTORIAL!$F$3:$F$243),"")</f>
        <v/>
      </c>
      <c r="H245" s="37" t="str">
        <f>IFERROR(LOOKUP(2,1/((HISTORIAL!$O$3:$O$243=D245&amp;"|"&amp;E245)*(HISTORIAL!$F$3:$F$243&lt;&gt;"")),HISTORIAL!$G$3:$G$243),"")</f>
        <v/>
      </c>
      <c r="I245" s="37" t="str">
        <f>IFERROR(LOOKUP(2,1/((HISTORIAL!$O$3:$O$243=D245&amp;"|"&amp;E245)*(HISTORIAL!$F$3:$F$243&lt;&gt;"")),HISTORIAL!$H$3:$H$243),"")</f>
        <v/>
      </c>
      <c r="J245" s="37" t="str">
        <f>IFERROR(LOOKUP(2,1/((HISTORIAL!$O$3:$O$243=D245&amp;"|"&amp;E245)*(HISTORIAL!$F$3:$F$243&lt;&gt;"")),HISTORIAL!$I$3:$I$243),"")</f>
        <v/>
      </c>
      <c r="K245" s="58" t="str">
        <f>IFERROR(IF(OR(G245="",N245="SIN"),"--",IF(N245="SUBIR_F",IF(F245="polea",IFERROR(INDEX(CONFIG!$B$25:$B$40,MATCH(G245,CONFIG!$B$25:$B$40,0)+2),IFERROR(INDEX(CONFIG!$B$25:$B$40,MATCH(G245,CONFIG!$B$25:$B$40,0)+1),G245)),G245+5),IF(OR(N245="SUBIR",N245="SUBIR_E"),IF(F245="polea",IFERROR(INDEX(CONFIG!$B$25:$B$40,MATCH(G245,CONFIG!$B$25:$B$40,0)+1),G245),G245+2.5),IF(N245="BAJAR",IF(F245="polea",IFERROR(INDEX(CONFIG!$B$25:$B$40,MAX(1,MATCH(G245,CONFIG!$B$25:$B$40,0)-1)),G245),MAX(0,G245-2.5)),G245)))),"--")</f>
        <v>--</v>
      </c>
      <c r="L245" s="59" t="str">
        <f>IFERROR(IF(N245="SIN","--",IF(N245="MANT",IF(H245="","--",H245+1),IFERROR(VLOOKUP(CONFIG!$E$2,CONFIG!$A$6:$E$8,2,0),"--"))),"--")</f>
        <v>--</v>
      </c>
      <c r="M245" s="59" t="str">
        <f>IFERROR(IF(N245="SIN","--",IF(CONFIG!$E$2="HIP",2,IF(CONFIG!$E$2="FUE",1,2))),"--")</f>
        <v>--</v>
      </c>
      <c r="N245" s="53" t="str">
        <f>IFERROR(IF(G245="","SIN",IF(O245=1,"SUBIR_E",IF(H245&lt;IFERROR(VLOOKUP(CONFIG!$E$2,CONFIG!$A$6:$E$8,2,0),6),"BAJAR",IF(H245+I245&gt;=IFERROR(VLOOKUP(CONFIG!$E$2,CONFIG!$A$6:$E$8,3,0),12),"SUBIR_F",IF(AND(H245&gt;=IFERROR(VLOOKUP(CONFIG!$E$2,CONFIG!$A$6:$E$8,2,0),6)+2,I245&gt;=2),"SUBIR",IF(I245&gt;IFERROR(VLOOKUP(CONFIG!$E$2,CONFIG!$A$6:$E$8,5,0),3),"SUBIR","MANT")))))),"SIN")</f>
        <v>SIN</v>
      </c>
      <c r="O245" s="55">
        <f>IF(COUNTIFS(HISTORIAL!$O$3:$O$243,D245&amp;"|"&amp;E245,HISTORIAL!$F$3:$F$243,"&gt;0")&lt;2,0,IF(COUNTIFS(HISTORIAL!$O$3:$O$243,D245&amp;"|"&amp;E245,HISTORIAL!$F$3:$F$243,IFERROR(LOOKUP(2,1/((HISTORIAL!$O$3:$O$243=D245&amp;"|"&amp;E245)*(HISTORIAL!$F$3:$F$243&gt;0)),HISTORIAL!$F$3:$F$243),0))&gt;=2,IF(IFERROR(LOOKUP(2,1/((HISTORIAL!$O$3:$O$243=D245&amp;"|"&amp;E245)*(HISTORIAL!$F$3:$F$243&gt;0)),HISTORIAL!$G$3:$G$243),0)&gt;0,IF(F245&gt;0,IF(G245&lt;=IFERROR(LOOKUP(2,1/((HISTORIAL!$O$3:$O$243=D245&amp;"|"&amp;E245)*(HISTORIAL!$F$3:$F$243&gt;0)),HISTORIAL!$G$3:$G$243),0),1,0),0),0),0))</f>
        <v>0</v>
      </c>
    </row>
    <row r="246" spans="1:15" ht="14.1" customHeight="1">
      <c r="A246" s="37">
        <v>4</v>
      </c>
      <c r="B246" s="37" t="s">
        <v>281</v>
      </c>
      <c r="C246" s="37">
        <v>4</v>
      </c>
      <c r="D246" s="56" t="str">
        <f>SABADO!$A$89</f>
        <v>Peck Deck Invertida</v>
      </c>
      <c r="E246" s="57" t="str">
        <f>SABADO!$B$89</f>
        <v>Maquina</v>
      </c>
      <c r="F246" s="37" t="str">
        <f>SABADO!$C$89</f>
        <v>polea</v>
      </c>
      <c r="G246" s="37" t="str">
        <f>IFERROR(LOOKUP(2,1/((HISTORIAL!$O$3:$O$244=D246&amp;"|"&amp;E246)*(HISTORIAL!$F$3:$F$244&lt;&gt;"")),HISTORIAL!$F$3:$F$244),"")</f>
        <v/>
      </c>
      <c r="H246" s="37" t="str">
        <f>IFERROR(LOOKUP(2,1/((HISTORIAL!$O$3:$O$244=D246&amp;"|"&amp;E246)*(HISTORIAL!$F$3:$F$244&lt;&gt;"")),HISTORIAL!$G$3:$G$244),"")</f>
        <v/>
      </c>
      <c r="I246" s="37" t="str">
        <f>IFERROR(LOOKUP(2,1/((HISTORIAL!$O$3:$O$244=D246&amp;"|"&amp;E246)*(HISTORIAL!$F$3:$F$244&lt;&gt;"")),HISTORIAL!$H$3:$H$244),"")</f>
        <v/>
      </c>
      <c r="J246" s="37" t="str">
        <f>IFERROR(LOOKUP(2,1/((HISTORIAL!$O$3:$O$244=D246&amp;"|"&amp;E246)*(HISTORIAL!$F$3:$F$244&lt;&gt;"")),HISTORIAL!$I$3:$I$244),"")</f>
        <v/>
      </c>
      <c r="K246" s="58" t="str">
        <f>IFERROR(IF(OR(G246="",N246="SIN"),"--",IF(N246="SUBIR_F",IF(F246="polea",IFERROR(INDEX(CONFIG!$B$25:$B$40,MATCH(G246,CONFIG!$B$25:$B$40,0)+2),IFERROR(INDEX(CONFIG!$B$25:$B$40,MATCH(G246,CONFIG!$B$25:$B$40,0)+1),G246)),G246+5),IF(OR(N246="SUBIR",N246="SUBIR_E"),IF(F246="polea",IFERROR(INDEX(CONFIG!$B$25:$B$40,MATCH(G246,CONFIG!$B$25:$B$40,0)+1),G246),G246+2.5),IF(N246="BAJAR",IF(F246="polea",IFERROR(INDEX(CONFIG!$B$25:$B$40,MAX(1,MATCH(G246,CONFIG!$B$25:$B$40,0)-1)),G246),MAX(0,G246-2.5)),G246)))),"--")</f>
        <v>--</v>
      </c>
      <c r="L246" s="59" t="str">
        <f>IFERROR(IF(N246="SIN","--",IF(N246="MANT",IF(H246="","--",H246+1),IFERROR(VLOOKUP(CONFIG!$E$2,CONFIG!$A$6:$E$8,2,0),"--"))),"--")</f>
        <v>--</v>
      </c>
      <c r="M246" s="59" t="str">
        <f>IFERROR(IF(N246="SIN","--",IF(CONFIG!$E$2="HIP",2,IF(CONFIG!$E$2="FUE",1,2))),"--")</f>
        <v>--</v>
      </c>
      <c r="N246" s="53" t="str">
        <f>IFERROR(IF(G246="","SIN",IF(O246=1,"SUBIR_E",IF(H246&lt;IFERROR(VLOOKUP(CONFIG!$E$2,CONFIG!$A$6:$E$8,2,0),6),"BAJAR",IF(H246+I246&gt;=IFERROR(VLOOKUP(CONFIG!$E$2,CONFIG!$A$6:$E$8,3,0),12),"SUBIR_F",IF(AND(H246&gt;=IFERROR(VLOOKUP(CONFIG!$E$2,CONFIG!$A$6:$E$8,2,0),6)+2,I246&gt;=2),"SUBIR",IF(I246&gt;IFERROR(VLOOKUP(CONFIG!$E$2,CONFIG!$A$6:$E$8,5,0),3),"SUBIR","MANT")))))),"SIN")</f>
        <v>SIN</v>
      </c>
      <c r="O246" s="55">
        <f>IF(COUNTIFS(HISTORIAL!$O$3:$O$244,D246&amp;"|"&amp;E246,HISTORIAL!$F$3:$F$244,"&gt;0")&lt;2,0,IF(COUNTIFS(HISTORIAL!$O$3:$O$244,D246&amp;"|"&amp;E246,HISTORIAL!$F$3:$F$244,IFERROR(LOOKUP(2,1/((HISTORIAL!$O$3:$O$244=D246&amp;"|"&amp;E246)*(HISTORIAL!$F$3:$F$244&gt;0)),HISTORIAL!$F$3:$F$244),0))&gt;=2,IF(IFERROR(LOOKUP(2,1/((HISTORIAL!$O$3:$O$244=D246&amp;"|"&amp;E246)*(HISTORIAL!$F$3:$F$244&gt;0)),HISTORIAL!$G$3:$G$244),0)&gt;0,IF(F246&gt;0,IF(G246&lt;=IFERROR(LOOKUP(2,1/((HISTORIAL!$O$3:$O$244=D246&amp;"|"&amp;E246)*(HISTORIAL!$F$3:$F$244&gt;0)),HISTORIAL!$G$3:$G$244),0),1,0),0),0),0))</f>
        <v>0</v>
      </c>
    </row>
    <row r="247" spans="1:15" ht="14.1" customHeight="1">
      <c r="A247" s="37">
        <v>4</v>
      </c>
      <c r="B247" s="37" t="s">
        <v>281</v>
      </c>
      <c r="C247" s="37">
        <v>5</v>
      </c>
      <c r="D247" s="56" t="str">
        <f>SABADO!$A$91</f>
        <v>Curl Biceps</v>
      </c>
      <c r="E247" s="57" t="str">
        <f>SABADO!$B$91</f>
        <v>Concentrado Maquina</v>
      </c>
      <c r="F247" s="37" t="str">
        <f>SABADO!$C$91</f>
        <v>polea</v>
      </c>
      <c r="G247" s="37">
        <f>IFERROR(LOOKUP(2,1/((HISTORIAL!$O$3:$O$245=D247&amp;"|"&amp;E247)*(HISTORIAL!$F$3:$F$245&lt;&gt;"")),HISTORIAL!$F$3:$F$245),"")</f>
        <v>40</v>
      </c>
      <c r="H247" s="37">
        <f>IFERROR(LOOKUP(2,1/((HISTORIAL!$O$3:$O$245=D247&amp;"|"&amp;E247)*(HISTORIAL!$F$3:$F$245&lt;&gt;"")),HISTORIAL!$G$3:$G$245),"")</f>
        <v>6</v>
      </c>
      <c r="I247" s="37">
        <f>IFERROR(LOOKUP(2,1/((HISTORIAL!$O$3:$O$245=D247&amp;"|"&amp;E247)*(HISTORIAL!$F$3:$F$245&lt;&gt;"")),HISTORIAL!$H$3:$H$245),"")</f>
        <v>0</v>
      </c>
      <c r="J247" s="37" t="str">
        <f>IFERROR(LOOKUP(2,1/((HISTORIAL!$O$3:$O$245=D247&amp;"|"&amp;E247)*(HISTORIAL!$F$3:$F$245&lt;&gt;"")),HISTORIAL!$I$3:$I$245),"")</f>
        <v>B</v>
      </c>
      <c r="K247" s="58">
        <f>IFERROR(IF(OR(G247="",N247="SIN"),"--",IF(N247="SUBIR_F",IF(F247="polea",IFERROR(INDEX(CONFIG!$B$25:$B$40,MATCH(G247,CONFIG!$B$25:$B$40,0)+2),IFERROR(INDEX(CONFIG!$B$25:$B$40,MATCH(G247,CONFIG!$B$25:$B$40,0)+1),G247)),G247+5),IF(OR(N247="SUBIR",N247="SUBIR_E"),IF(F247="polea",IFERROR(INDEX(CONFIG!$B$25:$B$40,MATCH(G247,CONFIG!$B$25:$B$40,0)+1),G247),G247+2.5),IF(N247="BAJAR",IF(F247="polea",IFERROR(INDEX(CONFIG!$B$25:$B$40,MAX(1,MATCH(G247,CONFIG!$B$25:$B$40,0)-1)),G247),MAX(0,G247-2.5)),G247)))),"--")</f>
        <v>40</v>
      </c>
      <c r="L247" s="59">
        <f>IFERROR(IF(N247="SIN","--",IF(N247="MANT",IF(H247="","--",H247+1),IFERROR(VLOOKUP(CONFIG!$E$2,CONFIG!$A$6:$E$8,2,0),"--"))),"--")</f>
        <v>7</v>
      </c>
      <c r="M247" s="59">
        <f>IFERROR(IF(N247="SIN","--",IF(CONFIG!$E$2="HIP",2,IF(CONFIG!$E$2="FUE",1,2))),"--")</f>
        <v>2</v>
      </c>
      <c r="N247" s="53" t="str">
        <f>IFERROR(IF(G247="","SIN",IF(O247=1,"SUBIR_E",IF(H247&lt;IFERROR(VLOOKUP(CONFIG!$E$2,CONFIG!$A$6:$E$8,2,0),6),"BAJAR",IF(H247+I247&gt;=IFERROR(VLOOKUP(CONFIG!$E$2,CONFIG!$A$6:$E$8,3,0),12),"SUBIR_F",IF(AND(H247&gt;=IFERROR(VLOOKUP(CONFIG!$E$2,CONFIG!$A$6:$E$8,2,0),6)+2,I247&gt;=2),"SUBIR",IF(I247&gt;IFERROR(VLOOKUP(CONFIG!$E$2,CONFIG!$A$6:$E$8,5,0),3),"SUBIR","MANT")))))),"SIN")</f>
        <v>MANT</v>
      </c>
      <c r="O247" s="55">
        <f>IF(COUNTIFS(HISTORIAL!$O$3:$O$245,D247&amp;"|"&amp;E247,HISTORIAL!$F$3:$F$245,"&gt;0")&lt;2,0,IF(COUNTIFS(HISTORIAL!$O$3:$O$245,D247&amp;"|"&amp;E247,HISTORIAL!$F$3:$F$245,IFERROR(LOOKUP(2,1/((HISTORIAL!$O$3:$O$245=D247&amp;"|"&amp;E247)*(HISTORIAL!$F$3:$F$245&gt;0)),HISTORIAL!$F$3:$F$245),0))&gt;=2,IF(IFERROR(LOOKUP(2,1/((HISTORIAL!$O$3:$O$245=D247&amp;"|"&amp;E247)*(HISTORIAL!$F$3:$F$245&gt;0)),HISTORIAL!$G$3:$G$245),0)&gt;0,IF(F247&gt;0,IF(G247&lt;=IFERROR(LOOKUP(2,1/((HISTORIAL!$O$3:$O$245=D247&amp;"|"&amp;E247)*(HISTORIAL!$F$3:$F$245&gt;0)),HISTORIAL!$G$3:$G$245),0),1,0),0),0),0))</f>
        <v>0</v>
      </c>
    </row>
    <row r="248" spans="1:15" ht="14.1" customHeight="1">
      <c r="A248" s="37">
        <v>4</v>
      </c>
      <c r="B248" s="37" t="s">
        <v>281</v>
      </c>
      <c r="C248" s="37">
        <v>6</v>
      </c>
      <c r="D248" s="56" t="str">
        <f>SABADO!$A$92</f>
        <v>Curl Martillo</v>
      </c>
      <c r="E248" s="57" t="str">
        <f>SABADO!$B$92</f>
        <v>Polea Individual</v>
      </c>
      <c r="F248" s="37" t="str">
        <f>SABADO!$C$92</f>
        <v>polea</v>
      </c>
      <c r="G248" s="37">
        <f>IFERROR(LOOKUP(2,1/((HISTORIAL!$O$3:$O$246=D248&amp;"|"&amp;E248)*(HISTORIAL!$F$3:$F$246&lt;&gt;"")),HISTORIAL!$F$3:$F$246),"")</f>
        <v>20</v>
      </c>
      <c r="H248" s="37">
        <f>IFERROR(LOOKUP(2,1/((HISTORIAL!$O$3:$O$246=D248&amp;"|"&amp;E248)*(HISTORIAL!$F$3:$F$246&lt;&gt;"")),HISTORIAL!$G$3:$G$246),"")</f>
        <v>8</v>
      </c>
      <c r="I248" s="37">
        <f>IFERROR(LOOKUP(2,1/((HISTORIAL!$O$3:$O$246=D248&amp;"|"&amp;E248)*(HISTORIAL!$F$3:$F$246&lt;&gt;"")),HISTORIAL!$H$3:$H$246),"")</f>
        <v>3</v>
      </c>
      <c r="J248" s="37" t="str">
        <f>IFERROR(LOOKUP(2,1/((HISTORIAL!$O$3:$O$246=D248&amp;"|"&amp;E248)*(HISTORIAL!$F$3:$F$246&lt;&gt;"")),HISTORIAL!$I$3:$I$246),"")</f>
        <v>A</v>
      </c>
      <c r="K248" s="58">
        <f>IFERROR(IF(OR(G248="",N248="SIN"),"--",IF(N248="SUBIR_F",IF(F248="polea",IFERROR(INDEX(CONFIG!$B$25:$B$40,MATCH(G248,CONFIG!$B$25:$B$40,0)+2),IFERROR(INDEX(CONFIG!$B$25:$B$40,MATCH(G248,CONFIG!$B$25:$B$40,0)+1),G248)),G248+5),IF(OR(N248="SUBIR",N248="SUBIR_E"),IF(F248="polea",IFERROR(INDEX(CONFIG!$B$25:$B$40,MATCH(G248,CONFIG!$B$25:$B$40,0)+1),G248),G248+2.5),IF(N248="BAJAR",IF(F248="polea",IFERROR(INDEX(CONFIG!$B$25:$B$40,MAX(1,MATCH(G248,CONFIG!$B$25:$B$40,0)-1)),G248),MAX(0,G248-2.5)),G248)))),"--")</f>
        <v>20</v>
      </c>
      <c r="L248" s="59">
        <f>IFERROR(IF(N248="SIN","--",IF(N248="MANT",IF(H248="","--",H248+1),IFERROR(VLOOKUP(CONFIG!$E$2,CONFIG!$A$6:$E$8,2,0),"--"))),"--")</f>
        <v>6</v>
      </c>
      <c r="M248" s="59">
        <f>IFERROR(IF(N248="SIN","--",IF(CONFIG!$E$2="HIP",2,IF(CONFIG!$E$2="FUE",1,2))),"--")</f>
        <v>2</v>
      </c>
      <c r="N248" s="53" t="str">
        <f>IFERROR(IF(G248="","SIN",IF(O248=1,"SUBIR_E",IF(H248&lt;IFERROR(VLOOKUP(CONFIG!$E$2,CONFIG!$A$6:$E$8,2,0),6),"BAJAR",IF(H248+I248&gt;=IFERROR(VLOOKUP(CONFIG!$E$2,CONFIG!$A$6:$E$8,3,0),12),"SUBIR_F",IF(AND(H248&gt;=IFERROR(VLOOKUP(CONFIG!$E$2,CONFIG!$A$6:$E$8,2,0),6)+2,I248&gt;=2),"SUBIR",IF(I248&gt;IFERROR(VLOOKUP(CONFIG!$E$2,CONFIG!$A$6:$E$8,5,0),3),"SUBIR","MANT")))))),"SIN")</f>
        <v>SUBIR</v>
      </c>
      <c r="O248" s="55">
        <f>IF(COUNTIFS(HISTORIAL!$O$3:$O$246,D248&amp;"|"&amp;E248,HISTORIAL!$F$3:$F$246,"&gt;0")&lt;2,0,IF(COUNTIFS(HISTORIAL!$O$3:$O$246,D248&amp;"|"&amp;E248,HISTORIAL!$F$3:$F$246,IFERROR(LOOKUP(2,1/((HISTORIAL!$O$3:$O$246=D248&amp;"|"&amp;E248)*(HISTORIAL!$F$3:$F$246&gt;0)),HISTORIAL!$F$3:$F$246),0))&gt;=2,IF(IFERROR(LOOKUP(2,1/((HISTORIAL!$O$3:$O$246=D248&amp;"|"&amp;E248)*(HISTORIAL!$F$3:$F$246&gt;0)),HISTORIAL!$G$3:$G$246),0)&gt;0,IF(F248&gt;0,IF(G248&lt;=IFERROR(LOOKUP(2,1/((HISTORIAL!$O$3:$O$246=D248&amp;"|"&amp;E248)*(HISTORIAL!$F$3:$F$246&gt;0)),HISTORIAL!$G$3:$G$246),0),1,0),0),0),0))</f>
        <v>0</v>
      </c>
    </row>
    <row r="249" spans="1:15" ht="14.1" customHeight="1">
      <c r="A249" s="37">
        <v>4</v>
      </c>
      <c r="B249" s="37" t="s">
        <v>281</v>
      </c>
      <c r="C249" s="37">
        <v>7</v>
      </c>
      <c r="D249" s="56" t="str">
        <f>SABADO!$A$94</f>
        <v>Curl Muneca</v>
      </c>
      <c r="E249" s="57" t="str">
        <f>SABADO!$B$94</f>
        <v>Supinado</v>
      </c>
      <c r="F249" s="37" t="str">
        <f>SABADO!$C$94</f>
        <v>mancuerna</v>
      </c>
      <c r="G249" s="37" t="str">
        <f>IFERROR(LOOKUP(2,1/((HISTORIAL!$O$3:$O$247=D249&amp;"|"&amp;E249)*(HISTORIAL!$F$3:$F$247&lt;&gt;"")),HISTORIAL!$F$3:$F$247),"")</f>
        <v/>
      </c>
      <c r="H249" s="37" t="str">
        <f>IFERROR(LOOKUP(2,1/((HISTORIAL!$O$3:$O$247=D249&amp;"|"&amp;E249)*(HISTORIAL!$F$3:$F$247&lt;&gt;"")),HISTORIAL!$G$3:$G$247),"")</f>
        <v/>
      </c>
      <c r="I249" s="37" t="str">
        <f>IFERROR(LOOKUP(2,1/((HISTORIAL!$O$3:$O$247=D249&amp;"|"&amp;E249)*(HISTORIAL!$F$3:$F$247&lt;&gt;"")),HISTORIAL!$H$3:$H$247),"")</f>
        <v/>
      </c>
      <c r="J249" s="37" t="str">
        <f>IFERROR(LOOKUP(2,1/((HISTORIAL!$O$3:$O$247=D249&amp;"|"&amp;E249)*(HISTORIAL!$F$3:$F$247&lt;&gt;"")),HISTORIAL!$I$3:$I$247),"")</f>
        <v/>
      </c>
      <c r="K249" s="58" t="str">
        <f>IFERROR(IF(OR(G249="",N249="SIN"),"--",IF(N249="SUBIR_F",IF(F249="polea",IFERROR(INDEX(CONFIG!$B$25:$B$40,MATCH(G249,CONFIG!$B$25:$B$40,0)+2),IFERROR(INDEX(CONFIG!$B$25:$B$40,MATCH(G249,CONFIG!$B$25:$B$40,0)+1),G249)),G249+5),IF(OR(N249="SUBIR",N249="SUBIR_E"),IF(F249="polea",IFERROR(INDEX(CONFIG!$B$25:$B$40,MATCH(G249,CONFIG!$B$25:$B$40,0)+1),G249),G249+2.5),IF(N249="BAJAR",IF(F249="polea",IFERROR(INDEX(CONFIG!$B$25:$B$40,MAX(1,MATCH(G249,CONFIG!$B$25:$B$40,0)-1)),G249),MAX(0,G249-2.5)),G249)))),"--")</f>
        <v>--</v>
      </c>
      <c r="L249" s="59" t="str">
        <f>IFERROR(IF(N249="SIN","--",IF(N249="MANT",IF(H249="","--",H249+1),IFERROR(VLOOKUP(CONFIG!$E$2,CONFIG!$A$6:$E$8,2,0),"--"))),"--")</f>
        <v>--</v>
      </c>
      <c r="M249" s="59" t="str">
        <f>IFERROR(IF(N249="SIN","--",IF(CONFIG!$E$2="HIP",2,IF(CONFIG!$E$2="FUE",1,2))),"--")</f>
        <v>--</v>
      </c>
      <c r="N249" s="53" t="str">
        <f>IFERROR(IF(G249="","SIN",IF(O249=1,"SUBIR_E",IF(H249&lt;IFERROR(VLOOKUP(CONFIG!$E$2,CONFIG!$A$6:$E$8,2,0),6),"BAJAR",IF(H249+I249&gt;=IFERROR(VLOOKUP(CONFIG!$E$2,CONFIG!$A$6:$E$8,3,0),12),"SUBIR_F",IF(AND(H249&gt;=IFERROR(VLOOKUP(CONFIG!$E$2,CONFIG!$A$6:$E$8,2,0),6)+2,I249&gt;=2),"SUBIR",IF(I249&gt;IFERROR(VLOOKUP(CONFIG!$E$2,CONFIG!$A$6:$E$8,5,0),3),"SUBIR","MANT")))))),"SIN")</f>
        <v>SIN</v>
      </c>
      <c r="O249" s="55">
        <f>IF(COUNTIFS(HISTORIAL!$O$3:$O$247,D249&amp;"|"&amp;E249,HISTORIAL!$F$3:$F$247,"&gt;0")&lt;2,0,IF(COUNTIFS(HISTORIAL!$O$3:$O$247,D249&amp;"|"&amp;E249,HISTORIAL!$F$3:$F$247,IFERROR(LOOKUP(2,1/((HISTORIAL!$O$3:$O$247=D249&amp;"|"&amp;E249)*(HISTORIAL!$F$3:$F$247&gt;0)),HISTORIAL!$F$3:$F$247),0))&gt;=2,IF(IFERROR(LOOKUP(2,1/((HISTORIAL!$O$3:$O$247=D249&amp;"|"&amp;E249)*(HISTORIAL!$F$3:$F$247&gt;0)),HISTORIAL!$G$3:$G$247),0)&gt;0,IF(F249&gt;0,IF(G249&lt;=IFERROR(LOOKUP(2,1/((HISTORIAL!$O$3:$O$247=D249&amp;"|"&amp;E249)*(HISTORIAL!$F$3:$F$247&gt;0)),HISTORIAL!$G$3:$G$247),0),1,0),0),0),0))</f>
        <v>0</v>
      </c>
    </row>
    <row r="250" spans="1:15" ht="14.1" customHeight="1">
      <c r="A250" s="37">
        <v>4</v>
      </c>
      <c r="B250" s="37" t="s">
        <v>281</v>
      </c>
      <c r="C250" s="37">
        <v>8</v>
      </c>
      <c r="D250" s="56" t="str">
        <f>SABADO!$A$95</f>
        <v>Curl Muneca</v>
      </c>
      <c r="E250" s="57" t="str">
        <f>SABADO!$B$95</f>
        <v>Pronado</v>
      </c>
      <c r="F250" s="37" t="str">
        <f>SABADO!$C$95</f>
        <v>mancuerna</v>
      </c>
      <c r="G250" s="37" t="str">
        <f>IFERROR(LOOKUP(2,1/((HISTORIAL!$O$3:$O$248=D250&amp;"|"&amp;E250)*(HISTORIAL!$F$3:$F$248&lt;&gt;"")),HISTORIAL!$F$3:$F$248),"")</f>
        <v/>
      </c>
      <c r="H250" s="37" t="str">
        <f>IFERROR(LOOKUP(2,1/((HISTORIAL!$O$3:$O$248=D250&amp;"|"&amp;E250)*(HISTORIAL!$F$3:$F$248&lt;&gt;"")),HISTORIAL!$G$3:$G$248),"")</f>
        <v/>
      </c>
      <c r="I250" s="37" t="str">
        <f>IFERROR(LOOKUP(2,1/((HISTORIAL!$O$3:$O$248=D250&amp;"|"&amp;E250)*(HISTORIAL!$F$3:$F$248&lt;&gt;"")),HISTORIAL!$H$3:$H$248),"")</f>
        <v/>
      </c>
      <c r="J250" s="37" t="str">
        <f>IFERROR(LOOKUP(2,1/((HISTORIAL!$O$3:$O$248=D250&amp;"|"&amp;E250)*(HISTORIAL!$F$3:$F$248&lt;&gt;"")),HISTORIAL!$I$3:$I$248),"")</f>
        <v/>
      </c>
      <c r="K250" s="58" t="str">
        <f>IFERROR(IF(OR(G250="",N250="SIN"),"--",IF(N250="SUBIR_F",IF(F250="polea",IFERROR(INDEX(CONFIG!$B$25:$B$40,MATCH(G250,CONFIG!$B$25:$B$40,0)+2),IFERROR(INDEX(CONFIG!$B$25:$B$40,MATCH(G250,CONFIG!$B$25:$B$40,0)+1),G250)),G250+5),IF(OR(N250="SUBIR",N250="SUBIR_E"),IF(F250="polea",IFERROR(INDEX(CONFIG!$B$25:$B$40,MATCH(G250,CONFIG!$B$25:$B$40,0)+1),G250),G250+2.5),IF(N250="BAJAR",IF(F250="polea",IFERROR(INDEX(CONFIG!$B$25:$B$40,MAX(1,MATCH(G250,CONFIG!$B$25:$B$40,0)-1)),G250),MAX(0,G250-2.5)),G250)))),"--")</f>
        <v>--</v>
      </c>
      <c r="L250" s="59" t="str">
        <f>IFERROR(IF(N250="SIN","--",IF(N250="MANT",IF(H250="","--",H250+1),IFERROR(VLOOKUP(CONFIG!$E$2,CONFIG!$A$6:$E$8,2,0),"--"))),"--")</f>
        <v>--</v>
      </c>
      <c r="M250" s="59" t="str">
        <f>IFERROR(IF(N250="SIN","--",IF(CONFIG!$E$2="HIP",2,IF(CONFIG!$E$2="FUE",1,2))),"--")</f>
        <v>--</v>
      </c>
      <c r="N250" s="53" t="str">
        <f>IFERROR(IF(G250="","SIN",IF(O250=1,"SUBIR_E",IF(H250&lt;IFERROR(VLOOKUP(CONFIG!$E$2,CONFIG!$A$6:$E$8,2,0),6),"BAJAR",IF(H250+I250&gt;=IFERROR(VLOOKUP(CONFIG!$E$2,CONFIG!$A$6:$E$8,3,0),12),"SUBIR_F",IF(AND(H250&gt;=IFERROR(VLOOKUP(CONFIG!$E$2,CONFIG!$A$6:$E$8,2,0),6)+2,I250&gt;=2),"SUBIR",IF(I250&gt;IFERROR(VLOOKUP(CONFIG!$E$2,CONFIG!$A$6:$E$8,5,0),3),"SUBIR","MANT")))))),"SIN")</f>
        <v>SIN</v>
      </c>
      <c r="O250" s="55">
        <f>IF(COUNTIFS(HISTORIAL!$O$3:$O$248,D250&amp;"|"&amp;E250,HISTORIAL!$F$3:$F$248,"&gt;0")&lt;2,0,IF(COUNTIFS(HISTORIAL!$O$3:$O$248,D250&amp;"|"&amp;E250,HISTORIAL!$F$3:$F$248,IFERROR(LOOKUP(2,1/((HISTORIAL!$O$3:$O$248=D250&amp;"|"&amp;E250)*(HISTORIAL!$F$3:$F$248&gt;0)),HISTORIAL!$F$3:$F$248),0))&gt;=2,IF(IFERROR(LOOKUP(2,1/((HISTORIAL!$O$3:$O$248=D250&amp;"|"&amp;E250)*(HISTORIAL!$F$3:$F$248&gt;0)),HISTORIAL!$G$3:$G$248),0)&gt;0,IF(F250&gt;0,IF(G250&lt;=IFERROR(LOOKUP(2,1/((HISTORIAL!$O$3:$O$248=D250&amp;"|"&amp;E250)*(HISTORIAL!$F$3:$F$248&gt;0)),HISTORIAL!$G$3:$G$248),0),1,0),0),0),0))</f>
        <v>0</v>
      </c>
    </row>
    <row r="251" spans="1:15" ht="14.1" customHeight="1">
      <c r="A251" s="37">
        <v>4</v>
      </c>
      <c r="B251" s="37" t="s">
        <v>281</v>
      </c>
      <c r="C251" s="37">
        <v>9</v>
      </c>
      <c r="D251" s="56" t="str">
        <f>SABADO!$A$97</f>
        <v>Elevaciones Laterales</v>
      </c>
      <c r="E251" s="57" t="str">
        <f>SABADO!$B$97</f>
        <v>Cable Polea Individual</v>
      </c>
      <c r="F251" s="37" t="str">
        <f>SABADO!$C$97</f>
        <v>polea</v>
      </c>
      <c r="G251" s="37" t="str">
        <f>IFERROR(LOOKUP(2,1/((HISTORIAL!$O$3:$O$249=D251&amp;"|"&amp;E251)*(HISTORIAL!$F$3:$F$249&lt;&gt;"")),HISTORIAL!$F$3:$F$249),"")</f>
        <v/>
      </c>
      <c r="H251" s="37" t="str">
        <f>IFERROR(LOOKUP(2,1/((HISTORIAL!$O$3:$O$249=D251&amp;"|"&amp;E251)*(HISTORIAL!$F$3:$F$249&lt;&gt;"")),HISTORIAL!$G$3:$G$249),"")</f>
        <v/>
      </c>
      <c r="I251" s="37" t="str">
        <f>IFERROR(LOOKUP(2,1/((HISTORIAL!$O$3:$O$249=D251&amp;"|"&amp;E251)*(HISTORIAL!$F$3:$F$249&lt;&gt;"")),HISTORIAL!$H$3:$H$249),"")</f>
        <v/>
      </c>
      <c r="J251" s="37" t="str">
        <f>IFERROR(LOOKUP(2,1/((HISTORIAL!$O$3:$O$249=D251&amp;"|"&amp;E251)*(HISTORIAL!$F$3:$F$249&lt;&gt;"")),HISTORIAL!$I$3:$I$249),"")</f>
        <v/>
      </c>
      <c r="K251" s="58" t="str">
        <f>IFERROR(IF(OR(G251="",N251="SIN"),"--",IF(N251="SUBIR_F",IF(F251="polea",IFERROR(INDEX(CONFIG!$B$25:$B$40,MATCH(G251,CONFIG!$B$25:$B$40,0)+2),IFERROR(INDEX(CONFIG!$B$25:$B$40,MATCH(G251,CONFIG!$B$25:$B$40,0)+1),G251)),G251+5),IF(OR(N251="SUBIR",N251="SUBIR_E"),IF(F251="polea",IFERROR(INDEX(CONFIG!$B$25:$B$40,MATCH(G251,CONFIG!$B$25:$B$40,0)+1),G251),G251+2.5),IF(N251="BAJAR",IF(F251="polea",IFERROR(INDEX(CONFIG!$B$25:$B$40,MAX(1,MATCH(G251,CONFIG!$B$25:$B$40,0)-1)),G251),MAX(0,G251-2.5)),G251)))),"--")</f>
        <v>--</v>
      </c>
      <c r="L251" s="59" t="str">
        <f>IFERROR(IF(N251="SIN","--",IF(N251="MANT",IF(H251="","--",H251+1),IFERROR(VLOOKUP(CONFIG!$E$2,CONFIG!$A$6:$E$8,2,0),"--"))),"--")</f>
        <v>--</v>
      </c>
      <c r="M251" s="59" t="str">
        <f>IFERROR(IF(N251="SIN","--",IF(CONFIG!$E$2="HIP",2,IF(CONFIG!$E$2="FUE",1,2))),"--")</f>
        <v>--</v>
      </c>
      <c r="N251" s="53" t="str">
        <f>IFERROR(IF(G251="","SIN",IF(O251=1,"SUBIR_E",IF(H251&lt;IFERROR(VLOOKUP(CONFIG!$E$2,CONFIG!$A$6:$E$8,2,0),6),"BAJAR",IF(H251+I251&gt;=IFERROR(VLOOKUP(CONFIG!$E$2,CONFIG!$A$6:$E$8,3,0),12),"SUBIR_F",IF(AND(H251&gt;=IFERROR(VLOOKUP(CONFIG!$E$2,CONFIG!$A$6:$E$8,2,0),6)+2,I251&gt;=2),"SUBIR",IF(I251&gt;IFERROR(VLOOKUP(CONFIG!$E$2,CONFIG!$A$6:$E$8,5,0),3),"SUBIR","MANT")))))),"SIN")</f>
        <v>SIN</v>
      </c>
      <c r="O251" s="55">
        <f>IF(COUNTIFS(HISTORIAL!$O$3:$O$249,D251&amp;"|"&amp;E251,HISTORIAL!$F$3:$F$249,"&gt;0")&lt;2,0,IF(COUNTIFS(HISTORIAL!$O$3:$O$249,D251&amp;"|"&amp;E251,HISTORIAL!$F$3:$F$249,IFERROR(LOOKUP(2,1/((HISTORIAL!$O$3:$O$249=D251&amp;"|"&amp;E251)*(HISTORIAL!$F$3:$F$249&gt;0)),HISTORIAL!$F$3:$F$249),0))&gt;=2,IF(IFERROR(LOOKUP(2,1/((HISTORIAL!$O$3:$O$249=D251&amp;"|"&amp;E251)*(HISTORIAL!$F$3:$F$249&gt;0)),HISTORIAL!$G$3:$G$249),0)&gt;0,IF(F251&gt;0,IF(G251&lt;=IFERROR(LOOKUP(2,1/((HISTORIAL!$O$3:$O$249=D251&amp;"|"&amp;E251)*(HISTORIAL!$F$3:$F$249&gt;0)),HISTORIAL!$G$3:$G$249),0),1,0),0),0),0))</f>
        <v>0</v>
      </c>
    </row>
    <row r="252" spans="1:15" ht="14.1" customHeight="1">
      <c r="A252" s="37">
        <v>4</v>
      </c>
      <c r="B252" s="37" t="s">
        <v>281</v>
      </c>
      <c r="C252" s="37">
        <v>10</v>
      </c>
      <c r="D252" s="56" t="str">
        <f>SABADO!$A$99</f>
        <v>Encogimientos</v>
      </c>
      <c r="E252" s="57" t="str">
        <f>SABADO!$B$99</f>
        <v>Mancuernas Trapecio</v>
      </c>
      <c r="F252" s="37" t="str">
        <f>SABADO!$C$99</f>
        <v>mancuerna</v>
      </c>
      <c r="G252" s="37" t="str">
        <f>IFERROR(LOOKUP(2,1/((HISTORIAL!$O$3:$O$250=D252&amp;"|"&amp;E252)*(HISTORIAL!$F$3:$F$250&lt;&gt;"")),HISTORIAL!$F$3:$F$250),"")</f>
        <v/>
      </c>
      <c r="H252" s="37" t="str">
        <f>IFERROR(LOOKUP(2,1/((HISTORIAL!$O$3:$O$250=D252&amp;"|"&amp;E252)*(HISTORIAL!$F$3:$F$250&lt;&gt;"")),HISTORIAL!$G$3:$G$250),"")</f>
        <v/>
      </c>
      <c r="I252" s="37" t="str">
        <f>IFERROR(LOOKUP(2,1/((HISTORIAL!$O$3:$O$250=D252&amp;"|"&amp;E252)*(HISTORIAL!$F$3:$F$250&lt;&gt;"")),HISTORIAL!$H$3:$H$250),"")</f>
        <v/>
      </c>
      <c r="J252" s="37" t="str">
        <f>IFERROR(LOOKUP(2,1/((HISTORIAL!$O$3:$O$250=D252&amp;"|"&amp;E252)*(HISTORIAL!$F$3:$F$250&lt;&gt;"")),HISTORIAL!$I$3:$I$250),"")</f>
        <v/>
      </c>
      <c r="K252" s="58" t="str">
        <f>IFERROR(IF(OR(G252="",N252="SIN"),"--",IF(N252="SUBIR_F",IF(F252="polea",IFERROR(INDEX(CONFIG!$B$25:$B$40,MATCH(G252,CONFIG!$B$25:$B$40,0)+2),IFERROR(INDEX(CONFIG!$B$25:$B$40,MATCH(G252,CONFIG!$B$25:$B$40,0)+1),G252)),G252+5),IF(OR(N252="SUBIR",N252="SUBIR_E"),IF(F252="polea",IFERROR(INDEX(CONFIG!$B$25:$B$40,MATCH(G252,CONFIG!$B$25:$B$40,0)+1),G252),G252+2.5),IF(N252="BAJAR",IF(F252="polea",IFERROR(INDEX(CONFIG!$B$25:$B$40,MAX(1,MATCH(G252,CONFIG!$B$25:$B$40,0)-1)),G252),MAX(0,G252-2.5)),G252)))),"--")</f>
        <v>--</v>
      </c>
      <c r="L252" s="59" t="str">
        <f>IFERROR(IF(N252="SIN","--",IF(N252="MANT",IF(H252="","--",H252+1),IFERROR(VLOOKUP(CONFIG!$E$2,CONFIG!$A$6:$E$8,2,0),"--"))),"--")</f>
        <v>--</v>
      </c>
      <c r="M252" s="59" t="str">
        <f>IFERROR(IF(N252="SIN","--",IF(CONFIG!$E$2="HIP",2,IF(CONFIG!$E$2="FUE",1,2))),"--")</f>
        <v>--</v>
      </c>
      <c r="N252" s="53" t="str">
        <f>IFERROR(IF(G252="","SIN",IF(O252=1,"SUBIR_E",IF(H252&lt;IFERROR(VLOOKUP(CONFIG!$E$2,CONFIG!$A$6:$E$8,2,0),6),"BAJAR",IF(H252+I252&gt;=IFERROR(VLOOKUP(CONFIG!$E$2,CONFIG!$A$6:$E$8,3,0),12),"SUBIR_F",IF(AND(H252&gt;=IFERROR(VLOOKUP(CONFIG!$E$2,CONFIG!$A$6:$E$8,2,0),6)+2,I252&gt;=2),"SUBIR",IF(I252&gt;IFERROR(VLOOKUP(CONFIG!$E$2,CONFIG!$A$6:$E$8,5,0),3),"SUBIR","MANT")))))),"SIN")</f>
        <v>SIN</v>
      </c>
      <c r="O252" s="55">
        <f>IF(COUNTIFS(HISTORIAL!$O$3:$O$250,D252&amp;"|"&amp;E252,HISTORIAL!$F$3:$F$250,"&gt;0")&lt;2,0,IF(COUNTIFS(HISTORIAL!$O$3:$O$250,D252&amp;"|"&amp;E252,HISTORIAL!$F$3:$F$250,IFERROR(LOOKUP(2,1/((HISTORIAL!$O$3:$O$250=D252&amp;"|"&amp;E252)*(HISTORIAL!$F$3:$F$250&gt;0)),HISTORIAL!$F$3:$F$250),0))&gt;=2,IF(IFERROR(LOOKUP(2,1/((HISTORIAL!$O$3:$O$250=D252&amp;"|"&amp;E252)*(HISTORIAL!$F$3:$F$250&gt;0)),HISTORIAL!$G$3:$G$250),0)&gt;0,IF(F252&gt;0,IF(G252&lt;=IFERROR(LOOKUP(2,1/((HISTORIAL!$O$3:$O$250=D252&amp;"|"&amp;E252)*(HISTORIAL!$F$3:$F$250&gt;0)),HISTORIAL!$G$3:$G$250),0),1,0),0),0),0))</f>
        <v>0</v>
      </c>
    </row>
    <row r="253" spans="1:15" ht="14.1" customHeight="1">
      <c r="A253" s="37">
        <v>4</v>
      </c>
      <c r="B253" s="37" t="s">
        <v>281</v>
      </c>
      <c r="C253" s="37">
        <v>11</v>
      </c>
      <c r="D253" s="56" t="str">
        <f>SABADO!$A$100</f>
        <v>Face Pull</v>
      </c>
      <c r="E253" s="57" t="str">
        <f>SABADO!$B$100</f>
        <v>Polea Alta Cuerda</v>
      </c>
      <c r="F253" s="37" t="str">
        <f>SABADO!$C$100</f>
        <v>polea</v>
      </c>
      <c r="G253" s="37" t="str">
        <f>IFERROR(LOOKUP(2,1/((HISTORIAL!$O$3:$O$251=D253&amp;"|"&amp;E253)*(HISTORIAL!$F$3:$F$251&lt;&gt;"")),HISTORIAL!$F$3:$F$251),"")</f>
        <v/>
      </c>
      <c r="H253" s="37" t="str">
        <f>IFERROR(LOOKUP(2,1/((HISTORIAL!$O$3:$O$251=D253&amp;"|"&amp;E253)*(HISTORIAL!$F$3:$F$251&lt;&gt;"")),HISTORIAL!$G$3:$G$251),"")</f>
        <v/>
      </c>
      <c r="I253" s="37" t="str">
        <f>IFERROR(LOOKUP(2,1/((HISTORIAL!$O$3:$O$251=D253&amp;"|"&amp;E253)*(HISTORIAL!$F$3:$F$251&lt;&gt;"")),HISTORIAL!$H$3:$H$251),"")</f>
        <v/>
      </c>
      <c r="J253" s="37" t="str">
        <f>IFERROR(LOOKUP(2,1/((HISTORIAL!$O$3:$O$251=D253&amp;"|"&amp;E253)*(HISTORIAL!$F$3:$F$251&lt;&gt;"")),HISTORIAL!$I$3:$I$251),"")</f>
        <v/>
      </c>
      <c r="K253" s="58" t="str">
        <f>IFERROR(IF(OR(G253="",N253="SIN"),"--",IF(N253="SUBIR_F",IF(F253="polea",IFERROR(INDEX(CONFIG!$B$25:$B$40,MATCH(G253,CONFIG!$B$25:$B$40,0)+2),IFERROR(INDEX(CONFIG!$B$25:$B$40,MATCH(G253,CONFIG!$B$25:$B$40,0)+1),G253)),G253+5),IF(OR(N253="SUBIR",N253="SUBIR_E"),IF(F253="polea",IFERROR(INDEX(CONFIG!$B$25:$B$40,MATCH(G253,CONFIG!$B$25:$B$40,0)+1),G253),G253+2.5),IF(N253="BAJAR",IF(F253="polea",IFERROR(INDEX(CONFIG!$B$25:$B$40,MAX(1,MATCH(G253,CONFIG!$B$25:$B$40,0)-1)),G253),MAX(0,G253-2.5)),G253)))),"--")</f>
        <v>--</v>
      </c>
      <c r="L253" s="59" t="str">
        <f>IFERROR(IF(N253="SIN","--",IF(N253="MANT",IF(H253="","--",H253+1),IFERROR(VLOOKUP(CONFIG!$E$2,CONFIG!$A$6:$E$8,2,0),"--"))),"--")</f>
        <v>--</v>
      </c>
      <c r="M253" s="59" t="str">
        <f>IFERROR(IF(N253="SIN","--",IF(CONFIG!$E$2="HIP",2,IF(CONFIG!$E$2="FUE",1,2))),"--")</f>
        <v>--</v>
      </c>
      <c r="N253" s="53" t="str">
        <f>IFERROR(IF(G253="","SIN",IF(O253=1,"SUBIR_E",IF(H253&lt;IFERROR(VLOOKUP(CONFIG!$E$2,CONFIG!$A$6:$E$8,2,0),6),"BAJAR",IF(H253+I253&gt;=IFERROR(VLOOKUP(CONFIG!$E$2,CONFIG!$A$6:$E$8,3,0),12),"SUBIR_F",IF(AND(H253&gt;=IFERROR(VLOOKUP(CONFIG!$E$2,CONFIG!$A$6:$E$8,2,0),6)+2,I253&gt;=2),"SUBIR",IF(I253&gt;IFERROR(VLOOKUP(CONFIG!$E$2,CONFIG!$A$6:$E$8,5,0),3),"SUBIR","MANT")))))),"SIN")</f>
        <v>SIN</v>
      </c>
      <c r="O253" s="55">
        <f>IF(COUNTIFS(HISTORIAL!$O$3:$O$251,D253&amp;"|"&amp;E253,HISTORIAL!$F$3:$F$251,"&gt;0")&lt;2,0,IF(COUNTIFS(HISTORIAL!$O$3:$O$251,D253&amp;"|"&amp;E253,HISTORIAL!$F$3:$F$251,IFERROR(LOOKUP(2,1/((HISTORIAL!$O$3:$O$251=D253&amp;"|"&amp;E253)*(HISTORIAL!$F$3:$F$251&gt;0)),HISTORIAL!$F$3:$F$251),0))&gt;=2,IF(IFERROR(LOOKUP(2,1/((HISTORIAL!$O$3:$O$251=D253&amp;"|"&amp;E253)*(HISTORIAL!$F$3:$F$251&gt;0)),HISTORIAL!$G$3:$G$251),0)&gt;0,IF(F253&gt;0,IF(G253&lt;=IFERROR(LOOKUP(2,1/((HISTORIAL!$O$3:$O$251=D253&amp;"|"&amp;E253)*(HISTORIAL!$F$3:$F$251&gt;0)),HISTORIAL!$G$3:$G$251),0),1,0),0),0),0))</f>
        <v>0</v>
      </c>
    </row>
    <row r="254" spans="1:15" ht="14.1" customHeight="1">
      <c r="A254" s="37">
        <v>4</v>
      </c>
      <c r="B254" s="37" t="s">
        <v>281</v>
      </c>
      <c r="C254" s="37">
        <v>12</v>
      </c>
      <c r="D254" s="56" t="str">
        <f>SABADO!$A$102</f>
        <v>Hiperextension</v>
      </c>
      <c r="E254" s="57" t="str">
        <f>SABADO!$B$102</f>
        <v>Banco Romano</v>
      </c>
      <c r="F254" s="37" t="str">
        <f>SABADO!$C$102</f>
        <v>peso_corporal</v>
      </c>
      <c r="G254" s="37" t="str">
        <f>IFERROR(LOOKUP(2,1/((HISTORIAL!$O$3:$O$252=D254&amp;"|"&amp;E254)*(HISTORIAL!$F$3:$F$252&lt;&gt;"")),HISTORIAL!$F$3:$F$252),"")</f>
        <v/>
      </c>
      <c r="H254" s="37" t="str">
        <f>IFERROR(LOOKUP(2,1/((HISTORIAL!$O$3:$O$252=D254&amp;"|"&amp;E254)*(HISTORIAL!$F$3:$F$252&lt;&gt;"")),HISTORIAL!$G$3:$G$252),"")</f>
        <v/>
      </c>
      <c r="I254" s="37" t="str">
        <f>IFERROR(LOOKUP(2,1/((HISTORIAL!$O$3:$O$252=D254&amp;"|"&amp;E254)*(HISTORIAL!$F$3:$F$252&lt;&gt;"")),HISTORIAL!$H$3:$H$252),"")</f>
        <v/>
      </c>
      <c r="J254" s="37" t="str">
        <f>IFERROR(LOOKUP(2,1/((HISTORIAL!$O$3:$O$252=D254&amp;"|"&amp;E254)*(HISTORIAL!$F$3:$F$252&lt;&gt;"")),HISTORIAL!$I$3:$I$252),"")</f>
        <v/>
      </c>
      <c r="K254" s="58" t="str">
        <f>IFERROR(IF(OR(G254="",N254="SIN"),"--",IF(N254="SUBIR_F",IF(F254="polea",IFERROR(INDEX(CONFIG!$B$25:$B$40,MATCH(G254,CONFIG!$B$25:$B$40,0)+2),IFERROR(INDEX(CONFIG!$B$25:$B$40,MATCH(G254,CONFIG!$B$25:$B$40,0)+1),G254)),G254+5),IF(OR(N254="SUBIR",N254="SUBIR_E"),IF(F254="polea",IFERROR(INDEX(CONFIG!$B$25:$B$40,MATCH(G254,CONFIG!$B$25:$B$40,0)+1),G254),G254+2.5),IF(N254="BAJAR",IF(F254="polea",IFERROR(INDEX(CONFIG!$B$25:$B$40,MAX(1,MATCH(G254,CONFIG!$B$25:$B$40,0)-1)),G254),MAX(0,G254-2.5)),G254)))),"--")</f>
        <v>--</v>
      </c>
      <c r="L254" s="59" t="str">
        <f>IFERROR(IF(N254="SIN","--",IF(N254="MANT",IF(H254="","--",H254+1),IFERROR(VLOOKUP(CONFIG!$E$2,CONFIG!$A$6:$E$8,2,0),"--"))),"--")</f>
        <v>--</v>
      </c>
      <c r="M254" s="59" t="str">
        <f>IFERROR(IF(N254="SIN","--",IF(CONFIG!$E$2="HIP",2,IF(CONFIG!$E$2="FUE",1,2))),"--")</f>
        <v>--</v>
      </c>
      <c r="N254" s="53" t="str">
        <f>IFERROR(IF(G254="","SIN",IF(O254=1,"SUBIR_E",IF(H254&lt;IFERROR(VLOOKUP(CONFIG!$E$2,CONFIG!$A$6:$E$8,2,0),6),"BAJAR",IF(H254+I254&gt;=IFERROR(VLOOKUP(CONFIG!$E$2,CONFIG!$A$6:$E$8,3,0),12),"SUBIR_F",IF(AND(H254&gt;=IFERROR(VLOOKUP(CONFIG!$E$2,CONFIG!$A$6:$E$8,2,0),6)+2,I254&gt;=2),"SUBIR",IF(I254&gt;IFERROR(VLOOKUP(CONFIG!$E$2,CONFIG!$A$6:$E$8,5,0),3),"SUBIR","MANT")))))),"SIN")</f>
        <v>SIN</v>
      </c>
      <c r="O254" s="55">
        <f>IF(COUNTIFS(HISTORIAL!$O$3:$O$252,D254&amp;"|"&amp;E254,HISTORIAL!$F$3:$F$252,"&gt;0")&lt;2,0,IF(COUNTIFS(HISTORIAL!$O$3:$O$252,D254&amp;"|"&amp;E254,HISTORIAL!$F$3:$F$252,IFERROR(LOOKUP(2,1/((HISTORIAL!$O$3:$O$252=D254&amp;"|"&amp;E254)*(HISTORIAL!$F$3:$F$252&gt;0)),HISTORIAL!$F$3:$F$252),0))&gt;=2,IF(IFERROR(LOOKUP(2,1/((HISTORIAL!$O$3:$O$252=D254&amp;"|"&amp;E254)*(HISTORIAL!$F$3:$F$252&gt;0)),HISTORIAL!$G$3:$G$252),0)&gt;0,IF(F254&gt;0,IF(G254&lt;=IFERROR(LOOKUP(2,1/((HISTORIAL!$O$3:$O$252=D254&amp;"|"&amp;E254)*(HISTORIAL!$F$3:$F$252&gt;0)),HISTORIAL!$G$3:$G$252),0),1,0),0),0),0))</f>
        <v>0</v>
      </c>
    </row>
    <row r="255" spans="1:15" ht="14.1" customHeight="1">
      <c r="A255" s="37">
        <v>4</v>
      </c>
      <c r="B255" s="37" t="s">
        <v>281</v>
      </c>
      <c r="C255" s="37">
        <v>13</v>
      </c>
      <c r="D255" s="56" t="str">
        <f>SABADO!$A$104</f>
        <v>Crunch</v>
      </c>
      <c r="E255" s="57" t="str">
        <f>SABADO!$B$104</f>
        <v>Polea</v>
      </c>
      <c r="F255" s="37" t="str">
        <f>SABADO!$C$104</f>
        <v>polea</v>
      </c>
      <c r="G255" s="37" t="str">
        <f>IFERROR(LOOKUP(2,1/((HISTORIAL!$O$3:$O$253=D255&amp;"|"&amp;E255)*(HISTORIAL!$F$3:$F$253&lt;&gt;"")),HISTORIAL!$F$3:$F$253),"")</f>
        <v/>
      </c>
      <c r="H255" s="37" t="str">
        <f>IFERROR(LOOKUP(2,1/((HISTORIAL!$O$3:$O$253=D255&amp;"|"&amp;E255)*(HISTORIAL!$F$3:$F$253&lt;&gt;"")),HISTORIAL!$G$3:$G$253),"")</f>
        <v/>
      </c>
      <c r="I255" s="37" t="str">
        <f>IFERROR(LOOKUP(2,1/((HISTORIAL!$O$3:$O$253=D255&amp;"|"&amp;E255)*(HISTORIAL!$F$3:$F$253&lt;&gt;"")),HISTORIAL!$H$3:$H$253),"")</f>
        <v/>
      </c>
      <c r="J255" s="37" t="str">
        <f>IFERROR(LOOKUP(2,1/((HISTORIAL!$O$3:$O$253=D255&amp;"|"&amp;E255)*(HISTORIAL!$F$3:$F$253&lt;&gt;"")),HISTORIAL!$I$3:$I$253),"")</f>
        <v/>
      </c>
      <c r="K255" s="58" t="str">
        <f>IFERROR(IF(OR(G255="",N255="SIN"),"--",IF(N255="SUBIR_F",IF(F255="polea",IFERROR(INDEX(CONFIG!$B$25:$B$40,MATCH(G255,CONFIG!$B$25:$B$40,0)+2),IFERROR(INDEX(CONFIG!$B$25:$B$40,MATCH(G255,CONFIG!$B$25:$B$40,0)+1),G255)),G255+5),IF(OR(N255="SUBIR",N255="SUBIR_E"),IF(F255="polea",IFERROR(INDEX(CONFIG!$B$25:$B$40,MATCH(G255,CONFIG!$B$25:$B$40,0)+1),G255),G255+2.5),IF(N255="BAJAR",IF(F255="polea",IFERROR(INDEX(CONFIG!$B$25:$B$40,MAX(1,MATCH(G255,CONFIG!$B$25:$B$40,0)-1)),G255),MAX(0,G255-2.5)),G255)))),"--")</f>
        <v>--</v>
      </c>
      <c r="L255" s="59" t="str">
        <f>IFERROR(IF(N255="SIN","--",IF(N255="MANT",IF(H255="","--",H255+1),IFERROR(VLOOKUP(CONFIG!$E$2,CONFIG!$A$6:$E$8,2,0),"--"))),"--")</f>
        <v>--</v>
      </c>
      <c r="M255" s="59" t="str">
        <f>IFERROR(IF(N255="SIN","--",IF(CONFIG!$E$2="HIP",2,IF(CONFIG!$E$2="FUE",1,2))),"--")</f>
        <v>--</v>
      </c>
      <c r="N255" s="53" t="str">
        <f>IFERROR(IF(G255="","SIN",IF(O255=1,"SUBIR_E",IF(H255&lt;IFERROR(VLOOKUP(CONFIG!$E$2,CONFIG!$A$6:$E$8,2,0),6),"BAJAR",IF(H255+I255&gt;=IFERROR(VLOOKUP(CONFIG!$E$2,CONFIG!$A$6:$E$8,3,0),12),"SUBIR_F",IF(AND(H255&gt;=IFERROR(VLOOKUP(CONFIG!$E$2,CONFIG!$A$6:$E$8,2,0),6)+2,I255&gt;=2),"SUBIR",IF(I255&gt;IFERROR(VLOOKUP(CONFIG!$E$2,CONFIG!$A$6:$E$8,5,0),3),"SUBIR","MANT")))))),"SIN")</f>
        <v>SIN</v>
      </c>
      <c r="O255" s="55">
        <f>IF(COUNTIFS(HISTORIAL!$O$3:$O$253,D255&amp;"|"&amp;E255,HISTORIAL!$F$3:$F$253,"&gt;0")&lt;2,0,IF(COUNTIFS(HISTORIAL!$O$3:$O$253,D255&amp;"|"&amp;E255,HISTORIAL!$F$3:$F$253,IFERROR(LOOKUP(2,1/((HISTORIAL!$O$3:$O$253=D255&amp;"|"&amp;E255)*(HISTORIAL!$F$3:$F$253&gt;0)),HISTORIAL!$F$3:$F$253),0))&gt;=2,IF(IFERROR(LOOKUP(2,1/((HISTORIAL!$O$3:$O$253=D255&amp;"|"&amp;E255)*(HISTORIAL!$F$3:$F$253&gt;0)),HISTORIAL!$G$3:$G$253),0)&gt;0,IF(F255&gt;0,IF(G255&lt;=IFERROR(LOOKUP(2,1/((HISTORIAL!$O$3:$O$253=D255&amp;"|"&amp;E255)*(HISTORIAL!$F$3:$F$253&gt;0)),HISTORIAL!$G$3:$G$253),0),1,0),0),0),0))</f>
        <v>0</v>
      </c>
    </row>
    <row r="256" spans="1:15" ht="14.1" customHeight="1">
      <c r="A256" s="37">
        <v>5</v>
      </c>
      <c r="B256" s="37" t="s">
        <v>277</v>
      </c>
      <c r="C256" s="37">
        <v>1</v>
      </c>
      <c r="D256" s="56" t="str">
        <f>LUNES!$A$101</f>
        <v>Press Plano</v>
      </c>
      <c r="E256" s="57" t="str">
        <f>LUNES!$B$101</f>
        <v>Barra</v>
      </c>
      <c r="F256" s="37" t="str">
        <f>LUNES!$C$101</f>
        <v>disco</v>
      </c>
      <c r="G256" s="37" t="str">
        <f>IFERROR(LOOKUP(2,1/((HISTORIAL!$O$3:$O$254=D256&amp;"|"&amp;E256)*(HISTORIAL!$F$3:$F$254&lt;&gt;"")),HISTORIAL!$F$3:$F$254),"")</f>
        <v/>
      </c>
      <c r="H256" s="37" t="str">
        <f>IFERROR(LOOKUP(2,1/((HISTORIAL!$O$3:$O$254=D256&amp;"|"&amp;E256)*(HISTORIAL!$F$3:$F$254&lt;&gt;"")),HISTORIAL!$G$3:$G$254),"")</f>
        <v/>
      </c>
      <c r="I256" s="37" t="str">
        <f>IFERROR(LOOKUP(2,1/((HISTORIAL!$O$3:$O$254=D256&amp;"|"&amp;E256)*(HISTORIAL!$F$3:$F$254&lt;&gt;"")),HISTORIAL!$H$3:$H$254),"")</f>
        <v/>
      </c>
      <c r="J256" s="37" t="str">
        <f>IFERROR(LOOKUP(2,1/((HISTORIAL!$O$3:$O$254=D256&amp;"|"&amp;E256)*(HISTORIAL!$F$3:$F$254&lt;&gt;"")),HISTORIAL!$I$3:$I$254),"")</f>
        <v/>
      </c>
      <c r="K256" s="58" t="str">
        <f>IFERROR(IF(OR(G256="",N256="SIN"),"--",IF(N256="SUBIR_F",IF(F256="polea",IFERROR(INDEX(CONFIG!$B$25:$B$40,MATCH(G256,CONFIG!$B$25:$B$40,0)+2),IFERROR(INDEX(CONFIG!$B$25:$B$40,MATCH(G256,CONFIG!$B$25:$B$40,0)+1),G256)),G256+5),IF(OR(N256="SUBIR",N256="SUBIR_E"),IF(F256="polea",IFERROR(INDEX(CONFIG!$B$25:$B$40,MATCH(G256,CONFIG!$B$25:$B$40,0)+1),G256),G256+2.5),IF(N256="BAJAR",IF(F256="polea",IFERROR(INDEX(CONFIG!$B$25:$B$40,MAX(1,MATCH(G256,CONFIG!$B$25:$B$40,0)-1)),G256),MAX(0,G256-2.5)),G256)))),"--")</f>
        <v>--</v>
      </c>
      <c r="L256" s="59" t="str">
        <f>IFERROR(IF(N256="SIN","--",IF(N256="MANT",IF(H256="","--",H256+1),IFERROR(VLOOKUP(CONFIG!$E$2,CONFIG!$A$6:$E$8,2,0),"--"))),"--")</f>
        <v>--</v>
      </c>
      <c r="M256" s="59" t="str">
        <f>IFERROR(IF(N256="SIN","--",IF(CONFIG!$E$2="HIP",2,IF(CONFIG!$E$2="FUE",1,2))),"--")</f>
        <v>--</v>
      </c>
      <c r="N256" s="53" t="str">
        <f>IFERROR(IF(G256="","SIN",IF(O256=1,"SUBIR_E",IF(H256&lt;IFERROR(VLOOKUP(CONFIG!$E$2,CONFIG!$A$6:$E$8,2,0),6),"BAJAR",IF(H256+I256&gt;=IFERROR(VLOOKUP(CONFIG!$E$2,CONFIG!$A$6:$E$8,3,0),12),"SUBIR_F",IF(AND(H256&gt;=IFERROR(VLOOKUP(CONFIG!$E$2,CONFIG!$A$6:$E$8,2,0),6)+2,I256&gt;=2),"SUBIR",IF(I256&gt;IFERROR(VLOOKUP(CONFIG!$E$2,CONFIG!$A$6:$E$8,5,0),3),"SUBIR","MANT")))))),"SIN")</f>
        <v>SIN</v>
      </c>
      <c r="O256" s="55">
        <f>IF(COUNTIFS(HISTORIAL!$O$3:$O$254,D256&amp;"|"&amp;E256,HISTORIAL!$F$3:$F$254,"&gt;0")&lt;2,0,IF(COUNTIFS(HISTORIAL!$O$3:$O$254,D256&amp;"|"&amp;E256,HISTORIAL!$F$3:$F$254,IFERROR(LOOKUP(2,1/((HISTORIAL!$O$3:$O$254=D256&amp;"|"&amp;E256)*(HISTORIAL!$F$3:$F$254&gt;0)),HISTORIAL!$F$3:$F$254),0))&gt;=2,IF(IFERROR(LOOKUP(2,1/((HISTORIAL!$O$3:$O$254=D256&amp;"|"&amp;E256)*(HISTORIAL!$F$3:$F$254&gt;0)),HISTORIAL!$G$3:$G$254),0)&gt;0,IF(F256&gt;0,IF(G256&lt;=IFERROR(LOOKUP(2,1/((HISTORIAL!$O$3:$O$254=D256&amp;"|"&amp;E256)*(HISTORIAL!$F$3:$F$254&gt;0)),HISTORIAL!$G$3:$G$254),0),1,0),0),0),0))</f>
        <v>0</v>
      </c>
    </row>
    <row r="257" spans="1:15" ht="14.1" customHeight="1">
      <c r="A257" s="37">
        <v>5</v>
      </c>
      <c r="B257" s="37" t="s">
        <v>277</v>
      </c>
      <c r="C257" s="37">
        <v>2</v>
      </c>
      <c r="D257" s="56" t="str">
        <f>LUNES!$A$103</f>
        <v>Press Inclinado</v>
      </c>
      <c r="E257" s="57" t="str">
        <f>LUNES!$B$103</f>
        <v>Mancuernas</v>
      </c>
      <c r="F257" s="37" t="str">
        <f>LUNES!$C$103</f>
        <v>mancuerna</v>
      </c>
      <c r="G257" s="37" t="str">
        <f>IFERROR(LOOKUP(2,1/((HISTORIAL!$O$3:$O$255=D257&amp;"|"&amp;E257)*(HISTORIAL!$F$3:$F$255&lt;&gt;"")),HISTORIAL!$F$3:$F$255),"")</f>
        <v/>
      </c>
      <c r="H257" s="37" t="str">
        <f>IFERROR(LOOKUP(2,1/((HISTORIAL!$O$3:$O$255=D257&amp;"|"&amp;E257)*(HISTORIAL!$F$3:$F$255&lt;&gt;"")),HISTORIAL!$G$3:$G$255),"")</f>
        <v/>
      </c>
      <c r="I257" s="37" t="str">
        <f>IFERROR(LOOKUP(2,1/((HISTORIAL!$O$3:$O$255=D257&amp;"|"&amp;E257)*(HISTORIAL!$F$3:$F$255&lt;&gt;"")),HISTORIAL!$H$3:$H$255),"")</f>
        <v/>
      </c>
      <c r="J257" s="37" t="str">
        <f>IFERROR(LOOKUP(2,1/((HISTORIAL!$O$3:$O$255=D257&amp;"|"&amp;E257)*(HISTORIAL!$F$3:$F$255&lt;&gt;"")),HISTORIAL!$I$3:$I$255),"")</f>
        <v/>
      </c>
      <c r="K257" s="58" t="str">
        <f>IFERROR(IF(OR(G257="",N257="SIN"),"--",IF(N257="SUBIR_F",IF(F257="polea",IFERROR(INDEX(CONFIG!$B$25:$B$40,MATCH(G257,CONFIG!$B$25:$B$40,0)+2),IFERROR(INDEX(CONFIG!$B$25:$B$40,MATCH(G257,CONFIG!$B$25:$B$40,0)+1),G257)),G257+5),IF(OR(N257="SUBIR",N257="SUBIR_E"),IF(F257="polea",IFERROR(INDEX(CONFIG!$B$25:$B$40,MATCH(G257,CONFIG!$B$25:$B$40,0)+1),G257),G257+2.5),IF(N257="BAJAR",IF(F257="polea",IFERROR(INDEX(CONFIG!$B$25:$B$40,MAX(1,MATCH(G257,CONFIG!$B$25:$B$40,0)-1)),G257),MAX(0,G257-2.5)),G257)))),"--")</f>
        <v>--</v>
      </c>
      <c r="L257" s="59" t="str">
        <f>IFERROR(IF(N257="SIN","--",IF(N257="MANT",IF(H257="","--",H257+1),IFERROR(VLOOKUP(CONFIG!$E$2,CONFIG!$A$6:$E$8,2,0),"--"))),"--")</f>
        <v>--</v>
      </c>
      <c r="M257" s="59" t="str">
        <f>IFERROR(IF(N257="SIN","--",IF(CONFIG!$E$2="HIP",2,IF(CONFIG!$E$2="FUE",1,2))),"--")</f>
        <v>--</v>
      </c>
      <c r="N257" s="53" t="str">
        <f>IFERROR(IF(G257="","SIN",IF(O257=1,"SUBIR_E",IF(H257&lt;IFERROR(VLOOKUP(CONFIG!$E$2,CONFIG!$A$6:$E$8,2,0),6),"BAJAR",IF(H257+I257&gt;=IFERROR(VLOOKUP(CONFIG!$E$2,CONFIG!$A$6:$E$8,3,0),12),"SUBIR_F",IF(AND(H257&gt;=IFERROR(VLOOKUP(CONFIG!$E$2,CONFIG!$A$6:$E$8,2,0),6)+2,I257&gt;=2),"SUBIR",IF(I257&gt;IFERROR(VLOOKUP(CONFIG!$E$2,CONFIG!$A$6:$E$8,5,0),3),"SUBIR","MANT")))))),"SIN")</f>
        <v>SIN</v>
      </c>
      <c r="O257" s="55">
        <f>IF(COUNTIFS(HISTORIAL!$O$3:$O$255,D257&amp;"|"&amp;E257,HISTORIAL!$F$3:$F$255,"&gt;0")&lt;2,0,IF(COUNTIFS(HISTORIAL!$O$3:$O$255,D257&amp;"|"&amp;E257,HISTORIAL!$F$3:$F$255,IFERROR(LOOKUP(2,1/((HISTORIAL!$O$3:$O$255=D257&amp;"|"&amp;E257)*(HISTORIAL!$F$3:$F$255&gt;0)),HISTORIAL!$F$3:$F$255),0))&gt;=2,IF(IFERROR(LOOKUP(2,1/((HISTORIAL!$O$3:$O$255=D257&amp;"|"&amp;E257)*(HISTORIAL!$F$3:$F$255&gt;0)),HISTORIAL!$G$3:$G$255),0)&gt;0,IF(F257&gt;0,IF(G257&lt;=IFERROR(LOOKUP(2,1/((HISTORIAL!$O$3:$O$255=D257&amp;"|"&amp;E257)*(HISTORIAL!$F$3:$F$255&gt;0)),HISTORIAL!$G$3:$G$255),0),1,0),0),0),0))</f>
        <v>0</v>
      </c>
    </row>
    <row r="258" spans="1:15" ht="14.1" customHeight="1">
      <c r="A258" s="37">
        <v>5</v>
      </c>
      <c r="B258" s="37" t="s">
        <v>277</v>
      </c>
      <c r="C258" s="37">
        <v>3</v>
      </c>
      <c r="D258" s="56" t="str">
        <f>LUNES!$A$105</f>
        <v>Fondos</v>
      </c>
      <c r="E258" s="57" t="str">
        <f>LUNES!$B$105</f>
        <v>Paralelas</v>
      </c>
      <c r="F258" s="37" t="str">
        <f>LUNES!$C$105</f>
        <v>peso_corporal</v>
      </c>
      <c r="G258" s="37">
        <f>IFERROR(LOOKUP(2,1/((HISTORIAL!$O$3:$O$256=D258&amp;"|"&amp;E258)*(HISTORIAL!$F$3:$F$256&lt;&gt;"")),HISTORIAL!$F$3:$F$256),"")</f>
        <v>0</v>
      </c>
      <c r="H258" s="37">
        <f>IFERROR(LOOKUP(2,1/((HISTORIAL!$O$3:$O$256=D258&amp;"|"&amp;E258)*(HISTORIAL!$F$3:$F$256&lt;&gt;"")),HISTORIAL!$G$3:$G$256),"")</f>
        <v>12</v>
      </c>
      <c r="I258" s="37">
        <f>IFERROR(LOOKUP(2,1/((HISTORIAL!$O$3:$O$256=D258&amp;"|"&amp;E258)*(HISTORIAL!$F$3:$F$256&lt;&gt;"")),HISTORIAL!$H$3:$H$256),"")</f>
        <v>0</v>
      </c>
      <c r="J258" s="37" t="str">
        <f>IFERROR(LOOKUP(2,1/((HISTORIAL!$O$3:$O$256=D258&amp;"|"&amp;E258)*(HISTORIAL!$F$3:$F$256&lt;&gt;"")),HISTORIAL!$I$3:$I$256),"")</f>
        <v>B</v>
      </c>
      <c r="K258" s="58">
        <f>IFERROR(IF(OR(G258="",N258="SIN"),"--",IF(N258="SUBIR_F",IF(F258="polea",IFERROR(INDEX(CONFIG!$B$25:$B$40,MATCH(G258,CONFIG!$B$25:$B$40,0)+2),IFERROR(INDEX(CONFIG!$B$25:$B$40,MATCH(G258,CONFIG!$B$25:$B$40,0)+1),G258)),G258+5),IF(OR(N258="SUBIR",N258="SUBIR_E"),IF(F258="polea",IFERROR(INDEX(CONFIG!$B$25:$B$40,MATCH(G258,CONFIG!$B$25:$B$40,0)+1),G258),G258+2.5),IF(N258="BAJAR",IF(F258="polea",IFERROR(INDEX(CONFIG!$B$25:$B$40,MAX(1,MATCH(G258,CONFIG!$B$25:$B$40,0)-1)),G258),MAX(0,G258-2.5)),G258)))),"--")</f>
        <v>5</v>
      </c>
      <c r="L258" s="59">
        <f>IFERROR(IF(N258="SIN","--",IF(N258="MANT",IF(H258="","--",H258+1),IFERROR(VLOOKUP(CONFIG!$E$2,CONFIG!$A$6:$E$8,2,0),"--"))),"--")</f>
        <v>6</v>
      </c>
      <c r="M258" s="59">
        <f>IFERROR(IF(N258="SIN","--",IF(CONFIG!$E$2="HIP",2,IF(CONFIG!$E$2="FUE",1,2))),"--")</f>
        <v>2</v>
      </c>
      <c r="N258" s="53" t="str">
        <f>IFERROR(IF(G258="","SIN",IF(O258=1,"SUBIR_E",IF(H258&lt;IFERROR(VLOOKUP(CONFIG!$E$2,CONFIG!$A$6:$E$8,2,0),6),"BAJAR",IF(H258+I258&gt;=IFERROR(VLOOKUP(CONFIG!$E$2,CONFIG!$A$6:$E$8,3,0),12),"SUBIR_F",IF(AND(H258&gt;=IFERROR(VLOOKUP(CONFIG!$E$2,CONFIG!$A$6:$E$8,2,0),6)+2,I258&gt;=2),"SUBIR",IF(I258&gt;IFERROR(VLOOKUP(CONFIG!$E$2,CONFIG!$A$6:$E$8,5,0),3),"SUBIR","MANT")))))),"SIN")</f>
        <v>SUBIR_F</v>
      </c>
      <c r="O258" s="55">
        <f>IF(COUNTIFS(HISTORIAL!$O$3:$O$256,D258&amp;"|"&amp;E258,HISTORIAL!$F$3:$F$256,"&gt;0")&lt;2,0,IF(COUNTIFS(HISTORIAL!$O$3:$O$256,D258&amp;"|"&amp;E258,HISTORIAL!$F$3:$F$256,IFERROR(LOOKUP(2,1/((HISTORIAL!$O$3:$O$256=D258&amp;"|"&amp;E258)*(HISTORIAL!$F$3:$F$256&gt;0)),HISTORIAL!$F$3:$F$256),0))&gt;=2,IF(IFERROR(LOOKUP(2,1/((HISTORIAL!$O$3:$O$256=D258&amp;"|"&amp;E258)*(HISTORIAL!$F$3:$F$256&gt;0)),HISTORIAL!$G$3:$G$256),0)&gt;0,IF(F258&gt;0,IF(G258&lt;=IFERROR(LOOKUP(2,1/((HISTORIAL!$O$3:$O$256=D258&amp;"|"&amp;E258)*(HISTORIAL!$F$3:$F$256&gt;0)),HISTORIAL!$G$3:$G$256),0),1,0),0),0),0))</f>
        <v>0</v>
      </c>
    </row>
    <row r="259" spans="1:15" ht="14.1" customHeight="1">
      <c r="A259" s="37">
        <v>5</v>
      </c>
      <c r="B259" s="37" t="s">
        <v>277</v>
      </c>
      <c r="C259" s="37">
        <v>4</v>
      </c>
      <c r="D259" s="56" t="str">
        <f>LUNES!$A$106</f>
        <v>Aperturas</v>
      </c>
      <c r="E259" s="57" t="str">
        <f>LUNES!$B$106</f>
        <v>Polea Baja Crossover</v>
      </c>
      <c r="F259" s="37" t="str">
        <f>LUNES!$C$106</f>
        <v>--</v>
      </c>
      <c r="G259" s="37" t="str">
        <f>IFERROR(LOOKUP(2,1/((HISTORIAL!$O$3:$O$257=D259&amp;"|"&amp;E259)*(HISTORIAL!$F$3:$F$257&lt;&gt;"")),HISTORIAL!$F$3:$F$257),"")</f>
        <v/>
      </c>
      <c r="H259" s="37" t="str">
        <f>IFERROR(LOOKUP(2,1/((HISTORIAL!$O$3:$O$257=D259&amp;"|"&amp;E259)*(HISTORIAL!$F$3:$F$257&lt;&gt;"")),HISTORIAL!$G$3:$G$257),"")</f>
        <v/>
      </c>
      <c r="I259" s="37" t="str">
        <f>IFERROR(LOOKUP(2,1/((HISTORIAL!$O$3:$O$257=D259&amp;"|"&amp;E259)*(HISTORIAL!$F$3:$F$257&lt;&gt;"")),HISTORIAL!$H$3:$H$257),"")</f>
        <v/>
      </c>
      <c r="J259" s="37" t="str">
        <f>IFERROR(LOOKUP(2,1/((HISTORIAL!$O$3:$O$257=D259&amp;"|"&amp;E259)*(HISTORIAL!$F$3:$F$257&lt;&gt;"")),HISTORIAL!$I$3:$I$257),"")</f>
        <v/>
      </c>
      <c r="K259" s="58" t="str">
        <f>IFERROR(IF(OR(G259="",N259="SIN"),"--",IF(N259="SUBIR_F",IF(F259="polea",IFERROR(INDEX(CONFIG!$B$25:$B$40,MATCH(G259,CONFIG!$B$25:$B$40,0)+2),IFERROR(INDEX(CONFIG!$B$25:$B$40,MATCH(G259,CONFIG!$B$25:$B$40,0)+1),G259)),G259+5),IF(OR(N259="SUBIR",N259="SUBIR_E"),IF(F259="polea",IFERROR(INDEX(CONFIG!$B$25:$B$40,MATCH(G259,CONFIG!$B$25:$B$40,0)+1),G259),G259+2.5),IF(N259="BAJAR",IF(F259="polea",IFERROR(INDEX(CONFIG!$B$25:$B$40,MAX(1,MATCH(G259,CONFIG!$B$25:$B$40,0)-1)),G259),MAX(0,G259-2.5)),G259)))),"--")</f>
        <v>--</v>
      </c>
      <c r="L259" s="59" t="str">
        <f>IFERROR(IF(N259="SIN","--",IF(N259="MANT",IF(H259="","--",H259+1),IFERROR(VLOOKUP(CONFIG!$E$2,CONFIG!$A$6:$E$8,2,0),"--"))),"--")</f>
        <v>--</v>
      </c>
      <c r="M259" s="59" t="str">
        <f>IFERROR(IF(N259="SIN","--",IF(CONFIG!$E$2="HIP",2,IF(CONFIG!$E$2="FUE",1,2))),"--")</f>
        <v>--</v>
      </c>
      <c r="N259" s="53" t="str">
        <f>IFERROR(IF(G259="","SIN",IF(O259=1,"SUBIR_E",IF(H259&lt;IFERROR(VLOOKUP(CONFIG!$E$2,CONFIG!$A$6:$E$8,2,0),6),"BAJAR",IF(H259+I259&gt;=IFERROR(VLOOKUP(CONFIG!$E$2,CONFIG!$A$6:$E$8,3,0),12),"SUBIR_F",IF(AND(H259&gt;=IFERROR(VLOOKUP(CONFIG!$E$2,CONFIG!$A$6:$E$8,2,0),6)+2,I259&gt;=2),"SUBIR",IF(I259&gt;IFERROR(VLOOKUP(CONFIG!$E$2,CONFIG!$A$6:$E$8,5,0),3),"SUBIR","MANT")))))),"SIN")</f>
        <v>SIN</v>
      </c>
      <c r="O259" s="55">
        <f>IF(COUNTIFS(HISTORIAL!$O$3:$O$257,D259&amp;"|"&amp;E259,HISTORIAL!$F$3:$F$257,"&gt;0")&lt;2,0,IF(COUNTIFS(HISTORIAL!$O$3:$O$257,D259&amp;"|"&amp;E259,HISTORIAL!$F$3:$F$257,IFERROR(LOOKUP(2,1/((HISTORIAL!$O$3:$O$257=D259&amp;"|"&amp;E259)*(HISTORIAL!$F$3:$F$257&gt;0)),HISTORIAL!$F$3:$F$257),0))&gt;=2,IF(IFERROR(LOOKUP(2,1/((HISTORIAL!$O$3:$O$257=D259&amp;"|"&amp;E259)*(HISTORIAL!$F$3:$F$257&gt;0)),HISTORIAL!$G$3:$G$257),0)&gt;0,IF(F259&gt;0,IF(G259&lt;=IFERROR(LOOKUP(2,1/((HISTORIAL!$O$3:$O$257=D259&amp;"|"&amp;E259)*(HISTORIAL!$F$3:$F$257&gt;0)),HISTORIAL!$G$3:$G$257),0),1,0),0),0),0))</f>
        <v>0</v>
      </c>
    </row>
    <row r="260" spans="1:15" ht="14.1" customHeight="1">
      <c r="A260" s="37">
        <v>5</v>
      </c>
      <c r="B260" s="37" t="s">
        <v>277</v>
      </c>
      <c r="C260" s="37">
        <v>5</v>
      </c>
      <c r="D260" s="56" t="str">
        <f>LUNES!$A$107</f>
        <v>Aperturas</v>
      </c>
      <c r="E260" s="57" t="str">
        <f>LUNES!$B$107</f>
        <v>Pec Deck Maquina</v>
      </c>
      <c r="F260" s="37" t="str">
        <f>LUNES!$C$107</f>
        <v>--</v>
      </c>
      <c r="G260" s="37" t="str">
        <f>IFERROR(LOOKUP(2,1/((HISTORIAL!$O$3:$O$258=D260&amp;"|"&amp;E260)*(HISTORIAL!$F$3:$F$258&lt;&gt;"")),HISTORIAL!$F$3:$F$258),"")</f>
        <v/>
      </c>
      <c r="H260" s="37" t="str">
        <f>IFERROR(LOOKUP(2,1/((HISTORIAL!$O$3:$O$258=D260&amp;"|"&amp;E260)*(HISTORIAL!$F$3:$F$258&lt;&gt;"")),HISTORIAL!$G$3:$G$258),"")</f>
        <v/>
      </c>
      <c r="I260" s="37" t="str">
        <f>IFERROR(LOOKUP(2,1/((HISTORIAL!$O$3:$O$258=D260&amp;"|"&amp;E260)*(HISTORIAL!$F$3:$F$258&lt;&gt;"")),HISTORIAL!$H$3:$H$258),"")</f>
        <v/>
      </c>
      <c r="J260" s="37" t="str">
        <f>IFERROR(LOOKUP(2,1/((HISTORIAL!$O$3:$O$258=D260&amp;"|"&amp;E260)*(HISTORIAL!$F$3:$F$258&lt;&gt;"")),HISTORIAL!$I$3:$I$258),"")</f>
        <v/>
      </c>
      <c r="K260" s="58" t="str">
        <f>IFERROR(IF(OR(G260="",N260="SIN"),"--",IF(N260="SUBIR_F",IF(F260="polea",IFERROR(INDEX(CONFIG!$B$25:$B$40,MATCH(G260,CONFIG!$B$25:$B$40,0)+2),IFERROR(INDEX(CONFIG!$B$25:$B$40,MATCH(G260,CONFIG!$B$25:$B$40,0)+1),G260)),G260+5),IF(OR(N260="SUBIR",N260="SUBIR_E"),IF(F260="polea",IFERROR(INDEX(CONFIG!$B$25:$B$40,MATCH(G260,CONFIG!$B$25:$B$40,0)+1),G260),G260+2.5),IF(N260="BAJAR",IF(F260="polea",IFERROR(INDEX(CONFIG!$B$25:$B$40,MAX(1,MATCH(G260,CONFIG!$B$25:$B$40,0)-1)),G260),MAX(0,G260-2.5)),G260)))),"--")</f>
        <v>--</v>
      </c>
      <c r="L260" s="59" t="str">
        <f>IFERROR(IF(N260="SIN","--",IF(N260="MANT",IF(H260="","--",H260+1),IFERROR(VLOOKUP(CONFIG!$E$2,CONFIG!$A$6:$E$8,2,0),"--"))),"--")</f>
        <v>--</v>
      </c>
      <c r="M260" s="59" t="str">
        <f>IFERROR(IF(N260="SIN","--",IF(CONFIG!$E$2="HIP",2,IF(CONFIG!$E$2="FUE",1,2))),"--")</f>
        <v>--</v>
      </c>
      <c r="N260" s="53" t="str">
        <f>IFERROR(IF(G260="","SIN",IF(O260=1,"SUBIR_E",IF(H260&lt;IFERROR(VLOOKUP(CONFIG!$E$2,CONFIG!$A$6:$E$8,2,0),6),"BAJAR",IF(H260+I260&gt;=IFERROR(VLOOKUP(CONFIG!$E$2,CONFIG!$A$6:$E$8,3,0),12),"SUBIR_F",IF(AND(H260&gt;=IFERROR(VLOOKUP(CONFIG!$E$2,CONFIG!$A$6:$E$8,2,0),6)+2,I260&gt;=2),"SUBIR",IF(I260&gt;IFERROR(VLOOKUP(CONFIG!$E$2,CONFIG!$A$6:$E$8,5,0),3),"SUBIR","MANT")))))),"SIN")</f>
        <v>SIN</v>
      </c>
      <c r="O260" s="55">
        <f>IF(COUNTIFS(HISTORIAL!$O$3:$O$258,D260&amp;"|"&amp;E260,HISTORIAL!$F$3:$F$258,"&gt;0")&lt;2,0,IF(COUNTIFS(HISTORIAL!$O$3:$O$258,D260&amp;"|"&amp;E260,HISTORIAL!$F$3:$F$258,IFERROR(LOOKUP(2,1/((HISTORIAL!$O$3:$O$258=D260&amp;"|"&amp;E260)*(HISTORIAL!$F$3:$F$258&gt;0)),HISTORIAL!$F$3:$F$258),0))&gt;=2,IF(IFERROR(LOOKUP(2,1/((HISTORIAL!$O$3:$O$258=D260&amp;"|"&amp;E260)*(HISTORIAL!$F$3:$F$258&gt;0)),HISTORIAL!$G$3:$G$258),0)&gt;0,IF(F260&gt;0,IF(G260&lt;=IFERROR(LOOKUP(2,1/((HISTORIAL!$O$3:$O$258=D260&amp;"|"&amp;E260)*(HISTORIAL!$F$3:$F$258&gt;0)),HISTORIAL!$G$3:$G$258),0),1,0),0),0),0))</f>
        <v>0</v>
      </c>
    </row>
    <row r="261" spans="1:15" ht="14.1" customHeight="1">
      <c r="A261" s="37">
        <v>5</v>
      </c>
      <c r="B261" s="37" t="s">
        <v>277</v>
      </c>
      <c r="C261" s="37">
        <v>6</v>
      </c>
      <c r="D261" s="56" t="str">
        <f>LUNES!$A$109</f>
        <v>Elevaciones Laterales</v>
      </c>
      <c r="E261" s="57" t="str">
        <f>LUNES!$B$109</f>
        <v>Cable Polea Individual</v>
      </c>
      <c r="F261" s="37" t="str">
        <f>LUNES!$C$109</f>
        <v>polea</v>
      </c>
      <c r="G261" s="37" t="str">
        <f>IFERROR(LOOKUP(2,1/((HISTORIAL!$O$3:$O$259=D261&amp;"|"&amp;E261)*(HISTORIAL!$F$3:$F$259&lt;&gt;"")),HISTORIAL!$F$3:$F$259),"")</f>
        <v/>
      </c>
      <c r="H261" s="37" t="str">
        <f>IFERROR(LOOKUP(2,1/((HISTORIAL!$O$3:$O$259=D261&amp;"|"&amp;E261)*(HISTORIAL!$F$3:$F$259&lt;&gt;"")),HISTORIAL!$G$3:$G$259),"")</f>
        <v/>
      </c>
      <c r="I261" s="37" t="str">
        <f>IFERROR(LOOKUP(2,1/((HISTORIAL!$O$3:$O$259=D261&amp;"|"&amp;E261)*(HISTORIAL!$F$3:$F$259&lt;&gt;"")),HISTORIAL!$H$3:$H$259),"")</f>
        <v/>
      </c>
      <c r="J261" s="37" t="str">
        <f>IFERROR(LOOKUP(2,1/((HISTORIAL!$O$3:$O$259=D261&amp;"|"&amp;E261)*(HISTORIAL!$F$3:$F$259&lt;&gt;"")),HISTORIAL!$I$3:$I$259),"")</f>
        <v/>
      </c>
      <c r="K261" s="58" t="str">
        <f>IFERROR(IF(OR(G261="",N261="SIN"),"--",IF(N261="SUBIR_F",IF(F261="polea",IFERROR(INDEX(CONFIG!$B$25:$B$40,MATCH(G261,CONFIG!$B$25:$B$40,0)+2),IFERROR(INDEX(CONFIG!$B$25:$B$40,MATCH(G261,CONFIG!$B$25:$B$40,0)+1),G261)),G261+5),IF(OR(N261="SUBIR",N261="SUBIR_E"),IF(F261="polea",IFERROR(INDEX(CONFIG!$B$25:$B$40,MATCH(G261,CONFIG!$B$25:$B$40,0)+1),G261),G261+2.5),IF(N261="BAJAR",IF(F261="polea",IFERROR(INDEX(CONFIG!$B$25:$B$40,MAX(1,MATCH(G261,CONFIG!$B$25:$B$40,0)-1)),G261),MAX(0,G261-2.5)),G261)))),"--")</f>
        <v>--</v>
      </c>
      <c r="L261" s="59" t="str">
        <f>IFERROR(IF(N261="SIN","--",IF(N261="MANT",IF(H261="","--",H261+1),IFERROR(VLOOKUP(CONFIG!$E$2,CONFIG!$A$6:$E$8,2,0),"--"))),"--")</f>
        <v>--</v>
      </c>
      <c r="M261" s="59" t="str">
        <f>IFERROR(IF(N261="SIN","--",IF(CONFIG!$E$2="HIP",2,IF(CONFIG!$E$2="FUE",1,2))),"--")</f>
        <v>--</v>
      </c>
      <c r="N261" s="53" t="str">
        <f>IFERROR(IF(G261="","SIN",IF(O261=1,"SUBIR_E",IF(H261&lt;IFERROR(VLOOKUP(CONFIG!$E$2,CONFIG!$A$6:$E$8,2,0),6),"BAJAR",IF(H261+I261&gt;=IFERROR(VLOOKUP(CONFIG!$E$2,CONFIG!$A$6:$E$8,3,0),12),"SUBIR_F",IF(AND(H261&gt;=IFERROR(VLOOKUP(CONFIG!$E$2,CONFIG!$A$6:$E$8,2,0),6)+2,I261&gt;=2),"SUBIR",IF(I261&gt;IFERROR(VLOOKUP(CONFIG!$E$2,CONFIG!$A$6:$E$8,5,0),3),"SUBIR","MANT")))))),"SIN")</f>
        <v>SIN</v>
      </c>
      <c r="O261" s="55">
        <f>IF(COUNTIFS(HISTORIAL!$O$3:$O$259,D261&amp;"|"&amp;E261,HISTORIAL!$F$3:$F$259,"&gt;0")&lt;2,0,IF(COUNTIFS(HISTORIAL!$O$3:$O$259,D261&amp;"|"&amp;E261,HISTORIAL!$F$3:$F$259,IFERROR(LOOKUP(2,1/((HISTORIAL!$O$3:$O$259=D261&amp;"|"&amp;E261)*(HISTORIAL!$F$3:$F$259&gt;0)),HISTORIAL!$F$3:$F$259),0))&gt;=2,IF(IFERROR(LOOKUP(2,1/((HISTORIAL!$O$3:$O$259=D261&amp;"|"&amp;E261)*(HISTORIAL!$F$3:$F$259&gt;0)),HISTORIAL!$G$3:$G$259),0)&gt;0,IF(F261&gt;0,IF(G261&lt;=IFERROR(LOOKUP(2,1/((HISTORIAL!$O$3:$O$259=D261&amp;"|"&amp;E261)*(HISTORIAL!$F$3:$F$259&gt;0)),HISTORIAL!$G$3:$G$259),0),1,0),0),0),0))</f>
        <v>0</v>
      </c>
    </row>
    <row r="262" spans="1:15" ht="14.1" customHeight="1">
      <c r="A262" s="37">
        <v>5</v>
      </c>
      <c r="B262" s="37" t="s">
        <v>277</v>
      </c>
      <c r="C262" s="37">
        <v>7</v>
      </c>
      <c r="D262" s="56" t="str">
        <f>LUNES!$A$110</f>
        <v>Press Militar</v>
      </c>
      <c r="E262" s="57" t="str">
        <f>LUNES!$B$110</f>
        <v>Mancuernas Sentado</v>
      </c>
      <c r="F262" s="37" t="str">
        <f>LUNES!$C$110</f>
        <v>mancuerna</v>
      </c>
      <c r="G262" s="37" t="str">
        <f>IFERROR(LOOKUP(2,1/((HISTORIAL!$O$3:$O$260=D262&amp;"|"&amp;E262)*(HISTORIAL!$F$3:$F$260&lt;&gt;"")),HISTORIAL!$F$3:$F$260),"")</f>
        <v/>
      </c>
      <c r="H262" s="37" t="str">
        <f>IFERROR(LOOKUP(2,1/((HISTORIAL!$O$3:$O$260=D262&amp;"|"&amp;E262)*(HISTORIAL!$F$3:$F$260&lt;&gt;"")),HISTORIAL!$G$3:$G$260),"")</f>
        <v/>
      </c>
      <c r="I262" s="37" t="str">
        <f>IFERROR(LOOKUP(2,1/((HISTORIAL!$O$3:$O$260=D262&amp;"|"&amp;E262)*(HISTORIAL!$F$3:$F$260&lt;&gt;"")),HISTORIAL!$H$3:$H$260),"")</f>
        <v/>
      </c>
      <c r="J262" s="37" t="str">
        <f>IFERROR(LOOKUP(2,1/((HISTORIAL!$O$3:$O$260=D262&amp;"|"&amp;E262)*(HISTORIAL!$F$3:$F$260&lt;&gt;"")),HISTORIAL!$I$3:$I$260),"")</f>
        <v/>
      </c>
      <c r="K262" s="58" t="str">
        <f>IFERROR(IF(OR(G262="",N262="SIN"),"--",IF(N262="SUBIR_F",IF(F262="polea",IFERROR(INDEX(CONFIG!$B$25:$B$40,MATCH(G262,CONFIG!$B$25:$B$40,0)+2),IFERROR(INDEX(CONFIG!$B$25:$B$40,MATCH(G262,CONFIG!$B$25:$B$40,0)+1),G262)),G262+5),IF(OR(N262="SUBIR",N262="SUBIR_E"),IF(F262="polea",IFERROR(INDEX(CONFIG!$B$25:$B$40,MATCH(G262,CONFIG!$B$25:$B$40,0)+1),G262),G262+2.5),IF(N262="BAJAR",IF(F262="polea",IFERROR(INDEX(CONFIG!$B$25:$B$40,MAX(1,MATCH(G262,CONFIG!$B$25:$B$40,0)-1)),G262),MAX(0,G262-2.5)),G262)))),"--")</f>
        <v>--</v>
      </c>
      <c r="L262" s="59" t="str">
        <f>IFERROR(IF(N262="SIN","--",IF(N262="MANT",IF(H262="","--",H262+1),IFERROR(VLOOKUP(CONFIG!$E$2,CONFIG!$A$6:$E$8,2,0),"--"))),"--")</f>
        <v>--</v>
      </c>
      <c r="M262" s="59" t="str">
        <f>IFERROR(IF(N262="SIN","--",IF(CONFIG!$E$2="HIP",2,IF(CONFIG!$E$2="FUE",1,2))),"--")</f>
        <v>--</v>
      </c>
      <c r="N262" s="53" t="str">
        <f>IFERROR(IF(G262="","SIN",IF(O262=1,"SUBIR_E",IF(H262&lt;IFERROR(VLOOKUP(CONFIG!$E$2,CONFIG!$A$6:$E$8,2,0),6),"BAJAR",IF(H262+I262&gt;=IFERROR(VLOOKUP(CONFIG!$E$2,CONFIG!$A$6:$E$8,3,0),12),"SUBIR_F",IF(AND(H262&gt;=IFERROR(VLOOKUP(CONFIG!$E$2,CONFIG!$A$6:$E$8,2,0),6)+2,I262&gt;=2),"SUBIR",IF(I262&gt;IFERROR(VLOOKUP(CONFIG!$E$2,CONFIG!$A$6:$E$8,5,0),3),"SUBIR","MANT")))))),"SIN")</f>
        <v>SIN</v>
      </c>
      <c r="O262" s="55">
        <f>IF(COUNTIFS(HISTORIAL!$O$3:$O$260,D262&amp;"|"&amp;E262,HISTORIAL!$F$3:$F$260,"&gt;0")&lt;2,0,IF(COUNTIFS(HISTORIAL!$O$3:$O$260,D262&amp;"|"&amp;E262,HISTORIAL!$F$3:$F$260,IFERROR(LOOKUP(2,1/((HISTORIAL!$O$3:$O$260=D262&amp;"|"&amp;E262)*(HISTORIAL!$F$3:$F$260&gt;0)),HISTORIAL!$F$3:$F$260),0))&gt;=2,IF(IFERROR(LOOKUP(2,1/((HISTORIAL!$O$3:$O$260=D262&amp;"|"&amp;E262)*(HISTORIAL!$F$3:$F$260&gt;0)),HISTORIAL!$G$3:$G$260),0)&gt;0,IF(F262&gt;0,IF(G262&lt;=IFERROR(LOOKUP(2,1/((HISTORIAL!$O$3:$O$260=D262&amp;"|"&amp;E262)*(HISTORIAL!$F$3:$F$260&gt;0)),HISTORIAL!$G$3:$G$260),0),1,0),0),0),0))</f>
        <v>0</v>
      </c>
    </row>
    <row r="263" spans="1:15" ht="14.1" customHeight="1">
      <c r="A263" s="37">
        <v>5</v>
      </c>
      <c r="B263" s="37" t="s">
        <v>277</v>
      </c>
      <c r="C263" s="37">
        <v>8</v>
      </c>
      <c r="D263" s="56" t="str">
        <f>LUNES!$A$112</f>
        <v>Extension Triceps</v>
      </c>
      <c r="E263" s="57" t="str">
        <f>LUNES!$B$112</f>
        <v>Press Neutro Polea Individual</v>
      </c>
      <c r="F263" s="37" t="str">
        <f>LUNES!$C$112</f>
        <v>--</v>
      </c>
      <c r="G263" s="37" t="str">
        <f>IFERROR(LOOKUP(2,1/((HISTORIAL!$O$3:$O$261=D263&amp;"|"&amp;E263)*(HISTORIAL!$F$3:$F$261&lt;&gt;"")),HISTORIAL!$F$3:$F$261),"")</f>
        <v/>
      </c>
      <c r="H263" s="37" t="str">
        <f>IFERROR(LOOKUP(2,1/((HISTORIAL!$O$3:$O$261=D263&amp;"|"&amp;E263)*(HISTORIAL!$F$3:$F$261&lt;&gt;"")),HISTORIAL!$G$3:$G$261),"")</f>
        <v/>
      </c>
      <c r="I263" s="37" t="str">
        <f>IFERROR(LOOKUP(2,1/((HISTORIAL!$O$3:$O$261=D263&amp;"|"&amp;E263)*(HISTORIAL!$F$3:$F$261&lt;&gt;"")),HISTORIAL!$H$3:$H$261),"")</f>
        <v/>
      </c>
      <c r="J263" s="37" t="str">
        <f>IFERROR(LOOKUP(2,1/((HISTORIAL!$O$3:$O$261=D263&amp;"|"&amp;E263)*(HISTORIAL!$F$3:$F$261&lt;&gt;"")),HISTORIAL!$I$3:$I$261),"")</f>
        <v/>
      </c>
      <c r="K263" s="58" t="str">
        <f>IFERROR(IF(OR(G263="",N263="SIN"),"--",IF(N263="SUBIR_F",IF(F263="polea",IFERROR(INDEX(CONFIG!$B$25:$B$40,MATCH(G263,CONFIG!$B$25:$B$40,0)+2),IFERROR(INDEX(CONFIG!$B$25:$B$40,MATCH(G263,CONFIG!$B$25:$B$40,0)+1),G263)),G263+5),IF(OR(N263="SUBIR",N263="SUBIR_E"),IF(F263="polea",IFERROR(INDEX(CONFIG!$B$25:$B$40,MATCH(G263,CONFIG!$B$25:$B$40,0)+1),G263),G263+2.5),IF(N263="BAJAR",IF(F263="polea",IFERROR(INDEX(CONFIG!$B$25:$B$40,MAX(1,MATCH(G263,CONFIG!$B$25:$B$40,0)-1)),G263),MAX(0,G263-2.5)),G263)))),"--")</f>
        <v>--</v>
      </c>
      <c r="L263" s="59" t="str">
        <f>IFERROR(IF(N263="SIN","--",IF(N263="MANT",IF(H263="","--",H263+1),IFERROR(VLOOKUP(CONFIG!$E$2,CONFIG!$A$6:$E$8,2,0),"--"))),"--")</f>
        <v>--</v>
      </c>
      <c r="M263" s="59" t="str">
        <f>IFERROR(IF(N263="SIN","--",IF(CONFIG!$E$2="HIP",2,IF(CONFIG!$E$2="FUE",1,2))),"--")</f>
        <v>--</v>
      </c>
      <c r="N263" s="53" t="str">
        <f>IFERROR(IF(G263="","SIN",IF(O263=1,"SUBIR_E",IF(H263&lt;IFERROR(VLOOKUP(CONFIG!$E$2,CONFIG!$A$6:$E$8,2,0),6),"BAJAR",IF(H263+I263&gt;=IFERROR(VLOOKUP(CONFIG!$E$2,CONFIG!$A$6:$E$8,3,0),12),"SUBIR_F",IF(AND(H263&gt;=IFERROR(VLOOKUP(CONFIG!$E$2,CONFIG!$A$6:$E$8,2,0),6)+2,I263&gt;=2),"SUBIR",IF(I263&gt;IFERROR(VLOOKUP(CONFIG!$E$2,CONFIG!$A$6:$E$8,5,0),3),"SUBIR","MANT")))))),"SIN")</f>
        <v>SIN</v>
      </c>
      <c r="O263" s="55">
        <f>IF(COUNTIFS(HISTORIAL!$O$3:$O$261,D263&amp;"|"&amp;E263,HISTORIAL!$F$3:$F$261,"&gt;0")&lt;2,0,IF(COUNTIFS(HISTORIAL!$O$3:$O$261,D263&amp;"|"&amp;E263,HISTORIAL!$F$3:$F$261,IFERROR(LOOKUP(2,1/((HISTORIAL!$O$3:$O$261=D263&amp;"|"&amp;E263)*(HISTORIAL!$F$3:$F$261&gt;0)),HISTORIAL!$F$3:$F$261),0))&gt;=2,IF(IFERROR(LOOKUP(2,1/((HISTORIAL!$O$3:$O$261=D263&amp;"|"&amp;E263)*(HISTORIAL!$F$3:$F$261&gt;0)),HISTORIAL!$G$3:$G$261),0)&gt;0,IF(F263&gt;0,IF(G263&lt;=IFERROR(LOOKUP(2,1/((HISTORIAL!$O$3:$O$261=D263&amp;"|"&amp;E263)*(HISTORIAL!$F$3:$F$261&gt;0)),HISTORIAL!$G$3:$G$261),0),1,0),0),0),0))</f>
        <v>0</v>
      </c>
    </row>
    <row r="264" spans="1:15" ht="14.1" customHeight="1">
      <c r="A264" s="37">
        <v>5</v>
      </c>
      <c r="B264" s="37" t="s">
        <v>277</v>
      </c>
      <c r="C264" s="37">
        <v>9</v>
      </c>
      <c r="D264" s="56" t="str">
        <f>LUNES!$A$114</f>
        <v>Extension Cuadriceps</v>
      </c>
      <c r="E264" s="57" t="str">
        <f>LUNES!$B$114</f>
        <v>Vasto Externo</v>
      </c>
      <c r="F264" s="37" t="str">
        <f>LUNES!$C$114</f>
        <v>--</v>
      </c>
      <c r="G264" s="37" t="str">
        <f>IFERROR(LOOKUP(2,1/((HISTORIAL!$O$3:$O$262=D264&amp;"|"&amp;E264)*(HISTORIAL!$F$3:$F$262&lt;&gt;"")),HISTORIAL!$F$3:$F$262),"")</f>
        <v/>
      </c>
      <c r="H264" s="37" t="str">
        <f>IFERROR(LOOKUP(2,1/((HISTORIAL!$O$3:$O$262=D264&amp;"|"&amp;E264)*(HISTORIAL!$F$3:$F$262&lt;&gt;"")),HISTORIAL!$G$3:$G$262),"")</f>
        <v/>
      </c>
      <c r="I264" s="37" t="str">
        <f>IFERROR(LOOKUP(2,1/((HISTORIAL!$O$3:$O$262=D264&amp;"|"&amp;E264)*(HISTORIAL!$F$3:$F$262&lt;&gt;"")),HISTORIAL!$H$3:$H$262),"")</f>
        <v/>
      </c>
      <c r="J264" s="37" t="str">
        <f>IFERROR(LOOKUP(2,1/((HISTORIAL!$O$3:$O$262=D264&amp;"|"&amp;E264)*(HISTORIAL!$F$3:$F$262&lt;&gt;"")),HISTORIAL!$I$3:$I$262),"")</f>
        <v/>
      </c>
      <c r="K264" s="58" t="str">
        <f>IFERROR(IF(OR(G264="",N264="SIN"),"--",IF(N264="SUBIR_F",IF(F264="polea",IFERROR(INDEX(CONFIG!$B$25:$B$40,MATCH(G264,CONFIG!$B$25:$B$40,0)+2),IFERROR(INDEX(CONFIG!$B$25:$B$40,MATCH(G264,CONFIG!$B$25:$B$40,0)+1),G264)),G264+5),IF(OR(N264="SUBIR",N264="SUBIR_E"),IF(F264="polea",IFERROR(INDEX(CONFIG!$B$25:$B$40,MATCH(G264,CONFIG!$B$25:$B$40,0)+1),G264),G264+2.5),IF(N264="BAJAR",IF(F264="polea",IFERROR(INDEX(CONFIG!$B$25:$B$40,MAX(1,MATCH(G264,CONFIG!$B$25:$B$40,0)-1)),G264),MAX(0,G264-2.5)),G264)))),"--")</f>
        <v>--</v>
      </c>
      <c r="L264" s="59" t="str">
        <f>IFERROR(IF(N264="SIN","--",IF(N264="MANT",IF(H264="","--",H264+1),IFERROR(VLOOKUP(CONFIG!$E$2,CONFIG!$A$6:$E$8,2,0),"--"))),"--")</f>
        <v>--</v>
      </c>
      <c r="M264" s="59" t="str">
        <f>IFERROR(IF(N264="SIN","--",IF(CONFIG!$E$2="HIP",2,IF(CONFIG!$E$2="FUE",1,2))),"--")</f>
        <v>--</v>
      </c>
      <c r="N264" s="53" t="str">
        <f>IFERROR(IF(G264="","SIN",IF(O264=1,"SUBIR_E",IF(H264&lt;IFERROR(VLOOKUP(CONFIG!$E$2,CONFIG!$A$6:$E$8,2,0),6),"BAJAR",IF(H264+I264&gt;=IFERROR(VLOOKUP(CONFIG!$E$2,CONFIG!$A$6:$E$8,3,0),12),"SUBIR_F",IF(AND(H264&gt;=IFERROR(VLOOKUP(CONFIG!$E$2,CONFIG!$A$6:$E$8,2,0),6)+2,I264&gt;=2),"SUBIR",IF(I264&gt;IFERROR(VLOOKUP(CONFIG!$E$2,CONFIG!$A$6:$E$8,5,0),3),"SUBIR","MANT")))))),"SIN")</f>
        <v>SIN</v>
      </c>
      <c r="O264" s="55">
        <f>IF(COUNTIFS(HISTORIAL!$O$3:$O$262,D264&amp;"|"&amp;E264,HISTORIAL!$F$3:$F$262,"&gt;0")&lt;2,0,IF(COUNTIFS(HISTORIAL!$O$3:$O$262,D264&amp;"|"&amp;E264,HISTORIAL!$F$3:$F$262,IFERROR(LOOKUP(2,1/((HISTORIAL!$O$3:$O$262=D264&amp;"|"&amp;E264)*(HISTORIAL!$F$3:$F$262&gt;0)),HISTORIAL!$F$3:$F$262),0))&gt;=2,IF(IFERROR(LOOKUP(2,1/((HISTORIAL!$O$3:$O$262=D264&amp;"|"&amp;E264)*(HISTORIAL!$F$3:$F$262&gt;0)),HISTORIAL!$G$3:$G$262),0)&gt;0,IF(F264&gt;0,IF(G264&lt;=IFERROR(LOOKUP(2,1/((HISTORIAL!$O$3:$O$262=D264&amp;"|"&amp;E264)*(HISTORIAL!$F$3:$F$262&gt;0)),HISTORIAL!$G$3:$G$262),0),1,0),0),0),0))</f>
        <v>0</v>
      </c>
    </row>
    <row r="265" spans="1:15" ht="14.1" customHeight="1">
      <c r="A265" s="37">
        <v>5</v>
      </c>
      <c r="B265" s="37" t="s">
        <v>277</v>
      </c>
      <c r="C265" s="37">
        <v>10</v>
      </c>
      <c r="D265" s="56" t="str">
        <f>LUNES!$A$116</f>
        <v>Curl Biceps</v>
      </c>
      <c r="E265" s="57" t="str">
        <f>LUNES!$B$116</f>
        <v>Inclinado Banco Mancuernas</v>
      </c>
      <c r="F265" s="37" t="str">
        <f>LUNES!$C$116</f>
        <v>mancuerna</v>
      </c>
      <c r="G265" s="37" t="str">
        <f>IFERROR(LOOKUP(2,1/((HISTORIAL!$O$3:$O$263=D265&amp;"|"&amp;E265)*(HISTORIAL!$F$3:$F$263&lt;&gt;"")),HISTORIAL!$F$3:$F$263),"")</f>
        <v/>
      </c>
      <c r="H265" s="37" t="str">
        <f>IFERROR(LOOKUP(2,1/((HISTORIAL!$O$3:$O$263=D265&amp;"|"&amp;E265)*(HISTORIAL!$F$3:$F$263&lt;&gt;"")),HISTORIAL!$G$3:$G$263),"")</f>
        <v/>
      </c>
      <c r="I265" s="37" t="str">
        <f>IFERROR(LOOKUP(2,1/((HISTORIAL!$O$3:$O$263=D265&amp;"|"&amp;E265)*(HISTORIAL!$F$3:$F$263&lt;&gt;"")),HISTORIAL!$H$3:$H$263),"")</f>
        <v/>
      </c>
      <c r="J265" s="37" t="str">
        <f>IFERROR(LOOKUP(2,1/((HISTORIAL!$O$3:$O$263=D265&amp;"|"&amp;E265)*(HISTORIAL!$F$3:$F$263&lt;&gt;"")),HISTORIAL!$I$3:$I$263),"")</f>
        <v/>
      </c>
      <c r="K265" s="58" t="str">
        <f>IFERROR(IF(OR(G265="",N265="SIN"),"--",IF(N265="SUBIR_F",IF(F265="polea",IFERROR(INDEX(CONFIG!$B$25:$B$40,MATCH(G265,CONFIG!$B$25:$B$40,0)+2),IFERROR(INDEX(CONFIG!$B$25:$B$40,MATCH(G265,CONFIG!$B$25:$B$40,0)+1),G265)),G265+5),IF(OR(N265="SUBIR",N265="SUBIR_E"),IF(F265="polea",IFERROR(INDEX(CONFIG!$B$25:$B$40,MATCH(G265,CONFIG!$B$25:$B$40,0)+1),G265),G265+2.5),IF(N265="BAJAR",IF(F265="polea",IFERROR(INDEX(CONFIG!$B$25:$B$40,MAX(1,MATCH(G265,CONFIG!$B$25:$B$40,0)-1)),G265),MAX(0,G265-2.5)),G265)))),"--")</f>
        <v>--</v>
      </c>
      <c r="L265" s="59" t="str">
        <f>IFERROR(IF(N265="SIN","--",IF(N265="MANT",IF(H265="","--",H265+1),IFERROR(VLOOKUP(CONFIG!$E$2,CONFIG!$A$6:$E$8,2,0),"--"))),"--")</f>
        <v>--</v>
      </c>
      <c r="M265" s="59" t="str">
        <f>IFERROR(IF(N265="SIN","--",IF(CONFIG!$E$2="HIP",2,IF(CONFIG!$E$2="FUE",1,2))),"--")</f>
        <v>--</v>
      </c>
      <c r="N265" s="53" t="str">
        <f>IFERROR(IF(G265="","SIN",IF(O265=1,"SUBIR_E",IF(H265&lt;IFERROR(VLOOKUP(CONFIG!$E$2,CONFIG!$A$6:$E$8,2,0),6),"BAJAR",IF(H265+I265&gt;=IFERROR(VLOOKUP(CONFIG!$E$2,CONFIG!$A$6:$E$8,3,0),12),"SUBIR_F",IF(AND(H265&gt;=IFERROR(VLOOKUP(CONFIG!$E$2,CONFIG!$A$6:$E$8,2,0),6)+2,I265&gt;=2),"SUBIR",IF(I265&gt;IFERROR(VLOOKUP(CONFIG!$E$2,CONFIG!$A$6:$E$8,5,0),3),"SUBIR","MANT")))))),"SIN")</f>
        <v>SIN</v>
      </c>
      <c r="O265" s="55">
        <f>IF(COUNTIFS(HISTORIAL!$O$3:$O$263,D265&amp;"|"&amp;E265,HISTORIAL!$F$3:$F$263,"&gt;0")&lt;2,0,IF(COUNTIFS(HISTORIAL!$O$3:$O$263,D265&amp;"|"&amp;E265,HISTORIAL!$F$3:$F$263,IFERROR(LOOKUP(2,1/((HISTORIAL!$O$3:$O$263=D265&amp;"|"&amp;E265)*(HISTORIAL!$F$3:$F$263&gt;0)),HISTORIAL!$F$3:$F$263),0))&gt;=2,IF(IFERROR(LOOKUP(2,1/((HISTORIAL!$O$3:$O$263=D265&amp;"|"&amp;E265)*(HISTORIAL!$F$3:$F$263&gt;0)),HISTORIAL!$G$3:$G$263),0)&gt;0,IF(F265&gt;0,IF(G265&lt;=IFERROR(LOOKUP(2,1/((HISTORIAL!$O$3:$O$263=D265&amp;"|"&amp;E265)*(HISTORIAL!$F$3:$F$263&gt;0)),HISTORIAL!$G$3:$G$263),0),1,0),0),0),0))</f>
        <v>0</v>
      </c>
    </row>
    <row r="266" spans="1:15" ht="14.1" customHeight="1">
      <c r="A266" s="37">
        <v>5</v>
      </c>
      <c r="B266" s="37" t="s">
        <v>277</v>
      </c>
      <c r="C266" s="37">
        <v>11</v>
      </c>
      <c r="D266" s="56" t="str">
        <f>LUNES!$A$118</f>
        <v>Crunch</v>
      </c>
      <c r="E266" s="57" t="str">
        <f>LUNES!$B$118</f>
        <v>Polea</v>
      </c>
      <c r="F266" s="37" t="str">
        <f>LUNES!$C$118</f>
        <v>polea</v>
      </c>
      <c r="G266" s="37" t="str">
        <f>IFERROR(LOOKUP(2,1/((HISTORIAL!$O$3:$O$264=D266&amp;"|"&amp;E266)*(HISTORIAL!$F$3:$F$264&lt;&gt;"")),HISTORIAL!$F$3:$F$264),"")</f>
        <v/>
      </c>
      <c r="H266" s="37" t="str">
        <f>IFERROR(LOOKUP(2,1/((HISTORIAL!$O$3:$O$264=D266&amp;"|"&amp;E266)*(HISTORIAL!$F$3:$F$264&lt;&gt;"")),HISTORIAL!$G$3:$G$264),"")</f>
        <v/>
      </c>
      <c r="I266" s="37" t="str">
        <f>IFERROR(LOOKUP(2,1/((HISTORIAL!$O$3:$O$264=D266&amp;"|"&amp;E266)*(HISTORIAL!$F$3:$F$264&lt;&gt;"")),HISTORIAL!$H$3:$H$264),"")</f>
        <v/>
      </c>
      <c r="J266" s="37" t="str">
        <f>IFERROR(LOOKUP(2,1/((HISTORIAL!$O$3:$O$264=D266&amp;"|"&amp;E266)*(HISTORIAL!$F$3:$F$264&lt;&gt;"")),HISTORIAL!$I$3:$I$264),"")</f>
        <v/>
      </c>
      <c r="K266" s="58" t="str">
        <f>IFERROR(IF(OR(G266="",N266="SIN"),"--",IF(N266="SUBIR_F",IF(F266="polea",IFERROR(INDEX(CONFIG!$B$25:$B$40,MATCH(G266,CONFIG!$B$25:$B$40,0)+2),IFERROR(INDEX(CONFIG!$B$25:$B$40,MATCH(G266,CONFIG!$B$25:$B$40,0)+1),G266)),G266+5),IF(OR(N266="SUBIR",N266="SUBIR_E"),IF(F266="polea",IFERROR(INDEX(CONFIG!$B$25:$B$40,MATCH(G266,CONFIG!$B$25:$B$40,0)+1),G266),G266+2.5),IF(N266="BAJAR",IF(F266="polea",IFERROR(INDEX(CONFIG!$B$25:$B$40,MAX(1,MATCH(G266,CONFIG!$B$25:$B$40,0)-1)),G266),MAX(0,G266-2.5)),G266)))),"--")</f>
        <v>--</v>
      </c>
      <c r="L266" s="59" t="str">
        <f>IFERROR(IF(N266="SIN","--",IF(N266="MANT",IF(H266="","--",H266+1),IFERROR(VLOOKUP(CONFIG!$E$2,CONFIG!$A$6:$E$8,2,0),"--"))),"--")</f>
        <v>--</v>
      </c>
      <c r="M266" s="59" t="str">
        <f>IFERROR(IF(N266="SIN","--",IF(CONFIG!$E$2="HIP",2,IF(CONFIG!$E$2="FUE",1,2))),"--")</f>
        <v>--</v>
      </c>
      <c r="N266" s="53" t="str">
        <f>IFERROR(IF(G266="","SIN",IF(O266=1,"SUBIR_E",IF(H266&lt;IFERROR(VLOOKUP(CONFIG!$E$2,CONFIG!$A$6:$E$8,2,0),6),"BAJAR",IF(H266+I266&gt;=IFERROR(VLOOKUP(CONFIG!$E$2,CONFIG!$A$6:$E$8,3,0),12),"SUBIR_F",IF(AND(H266&gt;=IFERROR(VLOOKUP(CONFIG!$E$2,CONFIG!$A$6:$E$8,2,0),6)+2,I266&gt;=2),"SUBIR",IF(I266&gt;IFERROR(VLOOKUP(CONFIG!$E$2,CONFIG!$A$6:$E$8,5,0),3),"SUBIR","MANT")))))),"SIN")</f>
        <v>SIN</v>
      </c>
      <c r="O266" s="55">
        <f>IF(COUNTIFS(HISTORIAL!$O$3:$O$264,D266&amp;"|"&amp;E266,HISTORIAL!$F$3:$F$264,"&gt;0")&lt;2,0,IF(COUNTIFS(HISTORIAL!$O$3:$O$264,D266&amp;"|"&amp;E266,HISTORIAL!$F$3:$F$264,IFERROR(LOOKUP(2,1/((HISTORIAL!$O$3:$O$264=D266&amp;"|"&amp;E266)*(HISTORIAL!$F$3:$F$264&gt;0)),HISTORIAL!$F$3:$F$264),0))&gt;=2,IF(IFERROR(LOOKUP(2,1/((HISTORIAL!$O$3:$O$264=D266&amp;"|"&amp;E266)*(HISTORIAL!$F$3:$F$264&gt;0)),HISTORIAL!$G$3:$G$264),0)&gt;0,IF(F266&gt;0,IF(G266&lt;=IFERROR(LOOKUP(2,1/((HISTORIAL!$O$3:$O$264=D266&amp;"|"&amp;E266)*(HISTORIAL!$F$3:$F$264&gt;0)),HISTORIAL!$G$3:$G$264),0),1,0),0),0),0))</f>
        <v>0</v>
      </c>
    </row>
    <row r="267" spans="1:15" ht="14.1" customHeight="1">
      <c r="A267" s="37">
        <v>5</v>
      </c>
      <c r="B267" s="37" t="s">
        <v>278</v>
      </c>
      <c r="C267" s="37">
        <v>1</v>
      </c>
      <c r="D267" s="56" t="str">
        <f>MARTES!$A$97</f>
        <v>Jalon</v>
      </c>
      <c r="E267" s="57" t="str">
        <f>MARTES!$B$97</f>
        <v>Polea Alta Prono Ancho</v>
      </c>
      <c r="F267" s="37" t="str">
        <f>MARTES!$C$97</f>
        <v>polea</v>
      </c>
      <c r="G267" s="37">
        <f>IFERROR(LOOKUP(2,1/((HISTORIAL!$O$3:$O$265=D267&amp;"|"&amp;E267)*(HISTORIAL!$F$3:$F$265&lt;&gt;"")),HISTORIAL!$F$3:$F$265),"")</f>
        <v>52.5</v>
      </c>
      <c r="H267" s="37">
        <f>IFERROR(LOOKUP(2,1/((HISTORIAL!$O$3:$O$265=D267&amp;"|"&amp;E267)*(HISTORIAL!$F$3:$F$265&lt;&gt;"")),HISTORIAL!$G$3:$G$265),"")</f>
        <v>7</v>
      </c>
      <c r="I267" s="37">
        <f>IFERROR(LOOKUP(2,1/((HISTORIAL!$O$3:$O$265=D267&amp;"|"&amp;E267)*(HISTORIAL!$F$3:$F$265&lt;&gt;"")),HISTORIAL!$H$3:$H$265),"")</f>
        <v>2</v>
      </c>
      <c r="J267" s="37" t="str">
        <f>IFERROR(LOOKUP(2,1/((HISTORIAL!$O$3:$O$265=D267&amp;"|"&amp;E267)*(HISTORIAL!$F$3:$F$265&lt;&gt;"")),HISTORIAL!$I$3:$I$265),"")</f>
        <v>A</v>
      </c>
      <c r="K267" s="58">
        <f>IFERROR(IF(OR(G267="",N267="SIN"),"--",IF(N267="SUBIR_F",IF(F267="polea",IFERROR(INDEX(CONFIG!$B$25:$B$40,MATCH(G267,CONFIG!$B$25:$B$40,0)+2),IFERROR(INDEX(CONFIG!$B$25:$B$40,MATCH(G267,CONFIG!$B$25:$B$40,0)+1),G267)),G267+5),IF(OR(N267="SUBIR",N267="SUBIR_E"),IF(F267="polea",IFERROR(INDEX(CONFIG!$B$25:$B$40,MATCH(G267,CONFIG!$B$25:$B$40,0)+1),G267),G267+2.5),IF(N267="BAJAR",IF(F267="polea",IFERROR(INDEX(CONFIG!$B$25:$B$40,MAX(1,MATCH(G267,CONFIG!$B$25:$B$40,0)-1)),G267),MAX(0,G267-2.5)),G267)))),"--")</f>
        <v>52.5</v>
      </c>
      <c r="L267" s="59">
        <f>IFERROR(IF(N267="SIN","--",IF(N267="MANT",IF(H267="","--",H267+1),IFERROR(VLOOKUP(CONFIG!$E$2,CONFIG!$A$6:$E$8,2,0),"--"))),"--")</f>
        <v>8</v>
      </c>
      <c r="M267" s="59">
        <f>IFERROR(IF(N267="SIN","--",IF(CONFIG!$E$2="HIP",2,IF(CONFIG!$E$2="FUE",1,2))),"--")</f>
        <v>2</v>
      </c>
      <c r="N267" s="53" t="str">
        <f>IFERROR(IF(G267="","SIN",IF(O267=1,"SUBIR_E",IF(H267&lt;IFERROR(VLOOKUP(CONFIG!$E$2,CONFIG!$A$6:$E$8,2,0),6),"BAJAR",IF(H267+I267&gt;=IFERROR(VLOOKUP(CONFIG!$E$2,CONFIG!$A$6:$E$8,3,0),12),"SUBIR_F",IF(AND(H267&gt;=IFERROR(VLOOKUP(CONFIG!$E$2,CONFIG!$A$6:$E$8,2,0),6)+2,I267&gt;=2),"SUBIR",IF(I267&gt;IFERROR(VLOOKUP(CONFIG!$E$2,CONFIG!$A$6:$E$8,5,0),3),"SUBIR","MANT")))))),"SIN")</f>
        <v>MANT</v>
      </c>
      <c r="O267" s="55">
        <f>IF(COUNTIFS(HISTORIAL!$O$3:$O$265,D267&amp;"|"&amp;E267,HISTORIAL!$F$3:$F$265,"&gt;0")&lt;2,0,IF(COUNTIFS(HISTORIAL!$O$3:$O$265,D267&amp;"|"&amp;E267,HISTORIAL!$F$3:$F$265,IFERROR(LOOKUP(2,1/((HISTORIAL!$O$3:$O$265=D267&amp;"|"&amp;E267)*(HISTORIAL!$F$3:$F$265&gt;0)),HISTORIAL!$F$3:$F$265),0))&gt;=2,IF(IFERROR(LOOKUP(2,1/((HISTORIAL!$O$3:$O$265=D267&amp;"|"&amp;E267)*(HISTORIAL!$F$3:$F$265&gt;0)),HISTORIAL!$G$3:$G$265),0)&gt;0,IF(F267&gt;0,IF(G267&lt;=IFERROR(LOOKUP(2,1/((HISTORIAL!$O$3:$O$265=D267&amp;"|"&amp;E267)*(HISTORIAL!$F$3:$F$265&gt;0)),HISTORIAL!$G$3:$G$265),0),1,0),0),0),0))</f>
        <v>0</v>
      </c>
    </row>
    <row r="268" spans="1:15" ht="14.1" customHeight="1">
      <c r="A268" s="37">
        <v>5</v>
      </c>
      <c r="B268" s="37" t="s">
        <v>278</v>
      </c>
      <c r="C268" s="37">
        <v>2</v>
      </c>
      <c r="D268" s="56" t="str">
        <f>MARTES!$A$98</f>
        <v>Jalon</v>
      </c>
      <c r="E268" s="57" t="str">
        <f>MARTES!$B$98</f>
        <v>Polea Alta Supino Estrecho</v>
      </c>
      <c r="F268" s="37" t="str">
        <f>MARTES!$C$98</f>
        <v>polea</v>
      </c>
      <c r="G268" s="37">
        <f>IFERROR(LOOKUP(2,1/((HISTORIAL!$O$3:$O$266=D268&amp;"|"&amp;E268)*(HISTORIAL!$F$3:$F$266&lt;&gt;"")),HISTORIAL!$F$3:$F$266),"")</f>
        <v>60</v>
      </c>
      <c r="H268" s="37">
        <f>IFERROR(LOOKUP(2,1/((HISTORIAL!$O$3:$O$266=D268&amp;"|"&amp;E268)*(HISTORIAL!$F$3:$F$266&lt;&gt;"")),HISTORIAL!$G$3:$G$266),"")</f>
        <v>8</v>
      </c>
      <c r="I268" s="37">
        <f>IFERROR(LOOKUP(2,1/((HISTORIAL!$O$3:$O$266=D268&amp;"|"&amp;E268)*(HISTORIAL!$F$3:$F$266&lt;&gt;"")),HISTORIAL!$H$3:$H$266),"")</f>
        <v>0</v>
      </c>
      <c r="J268" s="37" t="str">
        <f>IFERROR(LOOKUP(2,1/((HISTORIAL!$O$3:$O$266=D268&amp;"|"&amp;E268)*(HISTORIAL!$F$3:$F$266&lt;&gt;"")),HISTORIAL!$I$3:$I$266),"")</f>
        <v>B</v>
      </c>
      <c r="K268" s="58">
        <f>IFERROR(IF(OR(G268="",N268="SIN"),"--",IF(N268="SUBIR_F",IF(F268="polea",IFERROR(INDEX(CONFIG!$B$25:$B$40,MATCH(G268,CONFIG!$B$25:$B$40,0)+2),IFERROR(INDEX(CONFIG!$B$25:$B$40,MATCH(G268,CONFIG!$B$25:$B$40,0)+1),G268)),G268+5),IF(OR(N268="SUBIR",N268="SUBIR_E"),IF(F268="polea",IFERROR(INDEX(CONFIG!$B$25:$B$40,MATCH(G268,CONFIG!$B$25:$B$40,0)+1),G268),G268+2.5),IF(N268="BAJAR",IF(F268="polea",IFERROR(INDEX(CONFIG!$B$25:$B$40,MAX(1,MATCH(G268,CONFIG!$B$25:$B$40,0)-1)),G268),MAX(0,G268-2.5)),G268)))),"--")</f>
        <v>60</v>
      </c>
      <c r="L268" s="59">
        <f>IFERROR(IF(N268="SIN","--",IF(N268="MANT",IF(H268="","--",H268+1),IFERROR(VLOOKUP(CONFIG!$E$2,CONFIG!$A$6:$E$8,2,0),"--"))),"--")</f>
        <v>9</v>
      </c>
      <c r="M268" s="59">
        <f>IFERROR(IF(N268="SIN","--",IF(CONFIG!$E$2="HIP",2,IF(CONFIG!$E$2="FUE",1,2))),"--")</f>
        <v>2</v>
      </c>
      <c r="N268" s="53" t="str">
        <f>IFERROR(IF(G268="","SIN",IF(O268=1,"SUBIR_E",IF(H268&lt;IFERROR(VLOOKUP(CONFIG!$E$2,CONFIG!$A$6:$E$8,2,0),6),"BAJAR",IF(H268+I268&gt;=IFERROR(VLOOKUP(CONFIG!$E$2,CONFIG!$A$6:$E$8,3,0),12),"SUBIR_F",IF(AND(H268&gt;=IFERROR(VLOOKUP(CONFIG!$E$2,CONFIG!$A$6:$E$8,2,0),6)+2,I268&gt;=2),"SUBIR",IF(I268&gt;IFERROR(VLOOKUP(CONFIG!$E$2,CONFIG!$A$6:$E$8,5,0),3),"SUBIR","MANT")))))),"SIN")</f>
        <v>MANT</v>
      </c>
      <c r="O268" s="55">
        <f>IF(COUNTIFS(HISTORIAL!$O$3:$O$266,D268&amp;"|"&amp;E268,HISTORIAL!$F$3:$F$266,"&gt;0")&lt;2,0,IF(COUNTIFS(HISTORIAL!$O$3:$O$266,D268&amp;"|"&amp;E268,HISTORIAL!$F$3:$F$266,IFERROR(LOOKUP(2,1/((HISTORIAL!$O$3:$O$266=D268&amp;"|"&amp;E268)*(HISTORIAL!$F$3:$F$266&gt;0)),HISTORIAL!$F$3:$F$266),0))&gt;=2,IF(IFERROR(LOOKUP(2,1/((HISTORIAL!$O$3:$O$266=D268&amp;"|"&amp;E268)*(HISTORIAL!$F$3:$F$266&gt;0)),HISTORIAL!$G$3:$G$266),0)&gt;0,IF(F268&gt;0,IF(G268&lt;=IFERROR(LOOKUP(2,1/((HISTORIAL!$O$3:$O$266=D268&amp;"|"&amp;E268)*(HISTORIAL!$F$3:$F$266&gt;0)),HISTORIAL!$G$3:$G$266),0),1,0),0),0),0))</f>
        <v>0</v>
      </c>
    </row>
    <row r="269" spans="1:15" ht="14.1" customHeight="1">
      <c r="A269" s="37">
        <v>5</v>
      </c>
      <c r="B269" s="37" t="s">
        <v>278</v>
      </c>
      <c r="C269" s="37">
        <v>3</v>
      </c>
      <c r="D269" s="56" t="str">
        <f>MARTES!$A$100</f>
        <v>Remo</v>
      </c>
      <c r="E269" s="57" t="str">
        <f>MARTES!$B$100</f>
        <v>Maquina Hammer Neutro Unilateral</v>
      </c>
      <c r="F269" s="37" t="str">
        <f>MARTES!$C$100</f>
        <v>polea</v>
      </c>
      <c r="G269" s="37" t="str">
        <f>IFERROR(LOOKUP(2,1/((HISTORIAL!$O$3:$O$267=D269&amp;"|"&amp;E269)*(HISTORIAL!$F$3:$F$267&lt;&gt;"")),HISTORIAL!$F$3:$F$267),"")</f>
        <v/>
      </c>
      <c r="H269" s="37" t="str">
        <f>IFERROR(LOOKUP(2,1/((HISTORIAL!$O$3:$O$267=D269&amp;"|"&amp;E269)*(HISTORIAL!$F$3:$F$267&lt;&gt;"")),HISTORIAL!$G$3:$G$267),"")</f>
        <v/>
      </c>
      <c r="I269" s="37" t="str">
        <f>IFERROR(LOOKUP(2,1/((HISTORIAL!$O$3:$O$267=D269&amp;"|"&amp;E269)*(HISTORIAL!$F$3:$F$267&lt;&gt;"")),HISTORIAL!$H$3:$H$267),"")</f>
        <v/>
      </c>
      <c r="J269" s="37" t="str">
        <f>IFERROR(LOOKUP(2,1/((HISTORIAL!$O$3:$O$267=D269&amp;"|"&amp;E269)*(HISTORIAL!$F$3:$F$267&lt;&gt;"")),HISTORIAL!$I$3:$I$267),"")</f>
        <v/>
      </c>
      <c r="K269" s="58" t="str">
        <f>IFERROR(IF(OR(G269="",N269="SIN"),"--",IF(N269="SUBIR_F",IF(F269="polea",IFERROR(INDEX(CONFIG!$B$25:$B$40,MATCH(G269,CONFIG!$B$25:$B$40,0)+2),IFERROR(INDEX(CONFIG!$B$25:$B$40,MATCH(G269,CONFIG!$B$25:$B$40,0)+1),G269)),G269+5),IF(OR(N269="SUBIR",N269="SUBIR_E"),IF(F269="polea",IFERROR(INDEX(CONFIG!$B$25:$B$40,MATCH(G269,CONFIG!$B$25:$B$40,0)+1),G269),G269+2.5),IF(N269="BAJAR",IF(F269="polea",IFERROR(INDEX(CONFIG!$B$25:$B$40,MAX(1,MATCH(G269,CONFIG!$B$25:$B$40,0)-1)),G269),MAX(0,G269-2.5)),G269)))),"--")</f>
        <v>--</v>
      </c>
      <c r="L269" s="59" t="str">
        <f>IFERROR(IF(N269="SIN","--",IF(N269="MANT",IF(H269="","--",H269+1),IFERROR(VLOOKUP(CONFIG!$E$2,CONFIG!$A$6:$E$8,2,0),"--"))),"--")</f>
        <v>--</v>
      </c>
      <c r="M269" s="59" t="str">
        <f>IFERROR(IF(N269="SIN","--",IF(CONFIG!$E$2="HIP",2,IF(CONFIG!$E$2="FUE",1,2))),"--")</f>
        <v>--</v>
      </c>
      <c r="N269" s="53" t="str">
        <f>IFERROR(IF(G269="","SIN",IF(O269=1,"SUBIR_E",IF(H269&lt;IFERROR(VLOOKUP(CONFIG!$E$2,CONFIG!$A$6:$E$8,2,0),6),"BAJAR",IF(H269+I269&gt;=IFERROR(VLOOKUP(CONFIG!$E$2,CONFIG!$A$6:$E$8,3,0),12),"SUBIR_F",IF(AND(H269&gt;=IFERROR(VLOOKUP(CONFIG!$E$2,CONFIG!$A$6:$E$8,2,0),6)+2,I269&gt;=2),"SUBIR",IF(I269&gt;IFERROR(VLOOKUP(CONFIG!$E$2,CONFIG!$A$6:$E$8,5,0),3),"SUBIR","MANT")))))),"SIN")</f>
        <v>SIN</v>
      </c>
      <c r="O269" s="55">
        <f>IF(COUNTIFS(HISTORIAL!$O$3:$O$267,D269&amp;"|"&amp;E269,HISTORIAL!$F$3:$F$267,"&gt;0")&lt;2,0,IF(COUNTIFS(HISTORIAL!$O$3:$O$267,D269&amp;"|"&amp;E269,HISTORIAL!$F$3:$F$267,IFERROR(LOOKUP(2,1/((HISTORIAL!$O$3:$O$267=D269&amp;"|"&amp;E269)*(HISTORIAL!$F$3:$F$267&gt;0)),HISTORIAL!$F$3:$F$267),0))&gt;=2,IF(IFERROR(LOOKUP(2,1/((HISTORIAL!$O$3:$O$267=D269&amp;"|"&amp;E269)*(HISTORIAL!$F$3:$F$267&gt;0)),HISTORIAL!$G$3:$G$267),0)&gt;0,IF(F269&gt;0,IF(G269&lt;=IFERROR(LOOKUP(2,1/((HISTORIAL!$O$3:$O$267=D269&amp;"|"&amp;E269)*(HISTORIAL!$F$3:$F$267&gt;0)),HISTORIAL!$G$3:$G$267),0),1,0),0),0),0))</f>
        <v>0</v>
      </c>
    </row>
    <row r="270" spans="1:15" ht="14.1" customHeight="1">
      <c r="A270" s="37">
        <v>5</v>
      </c>
      <c r="B270" s="37" t="s">
        <v>278</v>
      </c>
      <c r="C270" s="37">
        <v>4</v>
      </c>
      <c r="D270" s="56" t="str">
        <f>MARTES!$A$101</f>
        <v>Remo</v>
      </c>
      <c r="E270" s="57" t="str">
        <f>MARTES!$B$101</f>
        <v>Maquina Prono</v>
      </c>
      <c r="F270" s="37" t="str">
        <f>MARTES!$C$101</f>
        <v>polea</v>
      </c>
      <c r="G270" s="37" t="str">
        <f>IFERROR(LOOKUP(2,1/((HISTORIAL!$O$3:$O$268=D270&amp;"|"&amp;E270)*(HISTORIAL!$F$3:$F$268&lt;&gt;"")),HISTORIAL!$F$3:$F$268),"")</f>
        <v/>
      </c>
      <c r="H270" s="37" t="str">
        <f>IFERROR(LOOKUP(2,1/((HISTORIAL!$O$3:$O$268=D270&amp;"|"&amp;E270)*(HISTORIAL!$F$3:$F$268&lt;&gt;"")),HISTORIAL!$G$3:$G$268),"")</f>
        <v/>
      </c>
      <c r="I270" s="37" t="str">
        <f>IFERROR(LOOKUP(2,1/((HISTORIAL!$O$3:$O$268=D270&amp;"|"&amp;E270)*(HISTORIAL!$F$3:$F$268&lt;&gt;"")),HISTORIAL!$H$3:$H$268),"")</f>
        <v/>
      </c>
      <c r="J270" s="37" t="str">
        <f>IFERROR(LOOKUP(2,1/((HISTORIAL!$O$3:$O$268=D270&amp;"|"&amp;E270)*(HISTORIAL!$F$3:$F$268&lt;&gt;"")),HISTORIAL!$I$3:$I$268),"")</f>
        <v/>
      </c>
      <c r="K270" s="58" t="str">
        <f>IFERROR(IF(OR(G270="",N270="SIN"),"--",IF(N270="SUBIR_F",IF(F270="polea",IFERROR(INDEX(CONFIG!$B$25:$B$40,MATCH(G270,CONFIG!$B$25:$B$40,0)+2),IFERROR(INDEX(CONFIG!$B$25:$B$40,MATCH(G270,CONFIG!$B$25:$B$40,0)+1),G270)),G270+5),IF(OR(N270="SUBIR",N270="SUBIR_E"),IF(F270="polea",IFERROR(INDEX(CONFIG!$B$25:$B$40,MATCH(G270,CONFIG!$B$25:$B$40,0)+1),G270),G270+2.5),IF(N270="BAJAR",IF(F270="polea",IFERROR(INDEX(CONFIG!$B$25:$B$40,MAX(1,MATCH(G270,CONFIG!$B$25:$B$40,0)-1)),G270),MAX(0,G270-2.5)),G270)))),"--")</f>
        <v>--</v>
      </c>
      <c r="L270" s="59" t="str">
        <f>IFERROR(IF(N270="SIN","--",IF(N270="MANT",IF(H270="","--",H270+1),IFERROR(VLOOKUP(CONFIG!$E$2,CONFIG!$A$6:$E$8,2,0),"--"))),"--")</f>
        <v>--</v>
      </c>
      <c r="M270" s="59" t="str">
        <f>IFERROR(IF(N270="SIN","--",IF(CONFIG!$E$2="HIP",2,IF(CONFIG!$E$2="FUE",1,2))),"--")</f>
        <v>--</v>
      </c>
      <c r="N270" s="53" t="str">
        <f>IFERROR(IF(G270="","SIN",IF(O270=1,"SUBIR_E",IF(H270&lt;IFERROR(VLOOKUP(CONFIG!$E$2,CONFIG!$A$6:$E$8,2,0),6),"BAJAR",IF(H270+I270&gt;=IFERROR(VLOOKUP(CONFIG!$E$2,CONFIG!$A$6:$E$8,3,0),12),"SUBIR_F",IF(AND(H270&gt;=IFERROR(VLOOKUP(CONFIG!$E$2,CONFIG!$A$6:$E$8,2,0),6)+2,I270&gt;=2),"SUBIR",IF(I270&gt;IFERROR(VLOOKUP(CONFIG!$E$2,CONFIG!$A$6:$E$8,5,0),3),"SUBIR","MANT")))))),"SIN")</f>
        <v>SIN</v>
      </c>
      <c r="O270" s="55">
        <f>IF(COUNTIFS(HISTORIAL!$O$3:$O$268,D270&amp;"|"&amp;E270,HISTORIAL!$F$3:$F$268,"&gt;0")&lt;2,0,IF(COUNTIFS(HISTORIAL!$O$3:$O$268,D270&amp;"|"&amp;E270,HISTORIAL!$F$3:$F$268,IFERROR(LOOKUP(2,1/((HISTORIAL!$O$3:$O$268=D270&amp;"|"&amp;E270)*(HISTORIAL!$F$3:$F$268&gt;0)),HISTORIAL!$F$3:$F$268),0))&gt;=2,IF(IFERROR(LOOKUP(2,1/((HISTORIAL!$O$3:$O$268=D270&amp;"|"&amp;E270)*(HISTORIAL!$F$3:$F$268&gt;0)),HISTORIAL!$G$3:$G$268),0)&gt;0,IF(F270&gt;0,IF(G270&lt;=IFERROR(LOOKUP(2,1/((HISTORIAL!$O$3:$O$268=D270&amp;"|"&amp;E270)*(HISTORIAL!$F$3:$F$268&gt;0)),HISTORIAL!$G$3:$G$268),0),1,0),0),0),0))</f>
        <v>0</v>
      </c>
    </row>
    <row r="271" spans="1:15" ht="14.1" customHeight="1">
      <c r="A271" s="37">
        <v>5</v>
      </c>
      <c r="B271" s="37" t="s">
        <v>278</v>
      </c>
      <c r="C271" s="37">
        <v>5</v>
      </c>
      <c r="D271" s="56" t="str">
        <f>MARTES!$A$103</f>
        <v>Curl Biceps</v>
      </c>
      <c r="E271" s="57" t="str">
        <f>MARTES!$B$103</f>
        <v>Inclinado Banco Mancuernas</v>
      </c>
      <c r="F271" s="37" t="str">
        <f>MARTES!$C$103</f>
        <v>mancuerna</v>
      </c>
      <c r="G271" s="37" t="str">
        <f>IFERROR(LOOKUP(2,1/((HISTORIAL!$O$3:$O$269=D271&amp;"|"&amp;E271)*(HISTORIAL!$F$3:$F$269&lt;&gt;"")),HISTORIAL!$F$3:$F$269),"")</f>
        <v/>
      </c>
      <c r="H271" s="37" t="str">
        <f>IFERROR(LOOKUP(2,1/((HISTORIAL!$O$3:$O$269=D271&amp;"|"&amp;E271)*(HISTORIAL!$F$3:$F$269&lt;&gt;"")),HISTORIAL!$G$3:$G$269),"")</f>
        <v/>
      </c>
      <c r="I271" s="37" t="str">
        <f>IFERROR(LOOKUP(2,1/((HISTORIAL!$O$3:$O$269=D271&amp;"|"&amp;E271)*(HISTORIAL!$F$3:$F$269&lt;&gt;"")),HISTORIAL!$H$3:$H$269),"")</f>
        <v/>
      </c>
      <c r="J271" s="37" t="str">
        <f>IFERROR(LOOKUP(2,1/((HISTORIAL!$O$3:$O$269=D271&amp;"|"&amp;E271)*(HISTORIAL!$F$3:$F$269&lt;&gt;"")),HISTORIAL!$I$3:$I$269),"")</f>
        <v/>
      </c>
      <c r="K271" s="58" t="str">
        <f>IFERROR(IF(OR(G271="",N271="SIN"),"--",IF(N271="SUBIR_F",IF(F271="polea",IFERROR(INDEX(CONFIG!$B$25:$B$40,MATCH(G271,CONFIG!$B$25:$B$40,0)+2),IFERROR(INDEX(CONFIG!$B$25:$B$40,MATCH(G271,CONFIG!$B$25:$B$40,0)+1),G271)),G271+5),IF(OR(N271="SUBIR",N271="SUBIR_E"),IF(F271="polea",IFERROR(INDEX(CONFIG!$B$25:$B$40,MATCH(G271,CONFIG!$B$25:$B$40,0)+1),G271),G271+2.5),IF(N271="BAJAR",IF(F271="polea",IFERROR(INDEX(CONFIG!$B$25:$B$40,MAX(1,MATCH(G271,CONFIG!$B$25:$B$40,0)-1)),G271),MAX(0,G271-2.5)),G271)))),"--")</f>
        <v>--</v>
      </c>
      <c r="L271" s="59" t="str">
        <f>IFERROR(IF(N271="SIN","--",IF(N271="MANT",IF(H271="","--",H271+1),IFERROR(VLOOKUP(CONFIG!$E$2,CONFIG!$A$6:$E$8,2,0),"--"))),"--")</f>
        <v>--</v>
      </c>
      <c r="M271" s="59" t="str">
        <f>IFERROR(IF(N271="SIN","--",IF(CONFIG!$E$2="HIP",2,IF(CONFIG!$E$2="FUE",1,2))),"--")</f>
        <v>--</v>
      </c>
      <c r="N271" s="53" t="str">
        <f>IFERROR(IF(G271="","SIN",IF(O271=1,"SUBIR_E",IF(H271&lt;IFERROR(VLOOKUP(CONFIG!$E$2,CONFIG!$A$6:$E$8,2,0),6),"BAJAR",IF(H271+I271&gt;=IFERROR(VLOOKUP(CONFIG!$E$2,CONFIG!$A$6:$E$8,3,0),12),"SUBIR_F",IF(AND(H271&gt;=IFERROR(VLOOKUP(CONFIG!$E$2,CONFIG!$A$6:$E$8,2,0),6)+2,I271&gt;=2),"SUBIR",IF(I271&gt;IFERROR(VLOOKUP(CONFIG!$E$2,CONFIG!$A$6:$E$8,5,0),3),"SUBIR","MANT")))))),"SIN")</f>
        <v>SIN</v>
      </c>
      <c r="O271" s="55">
        <f>IF(COUNTIFS(HISTORIAL!$O$3:$O$269,D271&amp;"|"&amp;E271,HISTORIAL!$F$3:$F$269,"&gt;0")&lt;2,0,IF(COUNTIFS(HISTORIAL!$O$3:$O$269,D271&amp;"|"&amp;E271,HISTORIAL!$F$3:$F$269,IFERROR(LOOKUP(2,1/((HISTORIAL!$O$3:$O$269=D271&amp;"|"&amp;E271)*(HISTORIAL!$F$3:$F$269&gt;0)),HISTORIAL!$F$3:$F$269),0))&gt;=2,IF(IFERROR(LOOKUP(2,1/((HISTORIAL!$O$3:$O$269=D271&amp;"|"&amp;E271)*(HISTORIAL!$F$3:$F$269&gt;0)),HISTORIAL!$G$3:$G$269),0)&gt;0,IF(F271&gt;0,IF(G271&lt;=IFERROR(LOOKUP(2,1/((HISTORIAL!$O$3:$O$269=D271&amp;"|"&amp;E271)*(HISTORIAL!$F$3:$F$269&gt;0)),HISTORIAL!$G$3:$G$269),0),1,0),0),0),0))</f>
        <v>0</v>
      </c>
    </row>
    <row r="272" spans="1:15" ht="14.1" customHeight="1">
      <c r="A272" s="37">
        <v>5</v>
      </c>
      <c r="B272" s="37" t="s">
        <v>278</v>
      </c>
      <c r="C272" s="37">
        <v>6</v>
      </c>
      <c r="D272" s="56" t="str">
        <f>MARTES!$A$104</f>
        <v>Curl Biceps</v>
      </c>
      <c r="E272" s="57" t="str">
        <f>MARTES!$B$104</f>
        <v>Polea Baja Supino</v>
      </c>
      <c r="F272" s="37" t="str">
        <f>MARTES!$C$104</f>
        <v>polea</v>
      </c>
      <c r="G272" s="37" t="str">
        <f>IFERROR(LOOKUP(2,1/((HISTORIAL!$O$3:$O$270=D272&amp;"|"&amp;E272)*(HISTORIAL!$F$3:$F$270&lt;&gt;"")),HISTORIAL!$F$3:$F$270),"")</f>
        <v/>
      </c>
      <c r="H272" s="37" t="str">
        <f>IFERROR(LOOKUP(2,1/((HISTORIAL!$O$3:$O$270=D272&amp;"|"&amp;E272)*(HISTORIAL!$F$3:$F$270&lt;&gt;"")),HISTORIAL!$G$3:$G$270),"")</f>
        <v/>
      </c>
      <c r="I272" s="37" t="str">
        <f>IFERROR(LOOKUP(2,1/((HISTORIAL!$O$3:$O$270=D272&amp;"|"&amp;E272)*(HISTORIAL!$F$3:$F$270&lt;&gt;"")),HISTORIAL!$H$3:$H$270),"")</f>
        <v/>
      </c>
      <c r="J272" s="37" t="str">
        <f>IFERROR(LOOKUP(2,1/((HISTORIAL!$O$3:$O$270=D272&amp;"|"&amp;E272)*(HISTORIAL!$F$3:$F$270&lt;&gt;"")),HISTORIAL!$I$3:$I$270),"")</f>
        <v/>
      </c>
      <c r="K272" s="58" t="str">
        <f>IFERROR(IF(OR(G272="",N272="SIN"),"--",IF(N272="SUBIR_F",IF(F272="polea",IFERROR(INDEX(CONFIG!$B$25:$B$40,MATCH(G272,CONFIG!$B$25:$B$40,0)+2),IFERROR(INDEX(CONFIG!$B$25:$B$40,MATCH(G272,CONFIG!$B$25:$B$40,0)+1),G272)),G272+5),IF(OR(N272="SUBIR",N272="SUBIR_E"),IF(F272="polea",IFERROR(INDEX(CONFIG!$B$25:$B$40,MATCH(G272,CONFIG!$B$25:$B$40,0)+1),G272),G272+2.5),IF(N272="BAJAR",IF(F272="polea",IFERROR(INDEX(CONFIG!$B$25:$B$40,MAX(1,MATCH(G272,CONFIG!$B$25:$B$40,0)-1)),G272),MAX(0,G272-2.5)),G272)))),"--")</f>
        <v>--</v>
      </c>
      <c r="L272" s="59" t="str">
        <f>IFERROR(IF(N272="SIN","--",IF(N272="MANT",IF(H272="","--",H272+1),IFERROR(VLOOKUP(CONFIG!$E$2,CONFIG!$A$6:$E$8,2,0),"--"))),"--")</f>
        <v>--</v>
      </c>
      <c r="M272" s="59" t="str">
        <f>IFERROR(IF(N272="SIN","--",IF(CONFIG!$E$2="HIP",2,IF(CONFIG!$E$2="FUE",1,2))),"--")</f>
        <v>--</v>
      </c>
      <c r="N272" s="53" t="str">
        <f>IFERROR(IF(G272="","SIN",IF(O272=1,"SUBIR_E",IF(H272&lt;IFERROR(VLOOKUP(CONFIG!$E$2,CONFIG!$A$6:$E$8,2,0),6),"BAJAR",IF(H272+I272&gt;=IFERROR(VLOOKUP(CONFIG!$E$2,CONFIG!$A$6:$E$8,3,0),12),"SUBIR_F",IF(AND(H272&gt;=IFERROR(VLOOKUP(CONFIG!$E$2,CONFIG!$A$6:$E$8,2,0),6)+2,I272&gt;=2),"SUBIR",IF(I272&gt;IFERROR(VLOOKUP(CONFIG!$E$2,CONFIG!$A$6:$E$8,5,0),3),"SUBIR","MANT")))))),"SIN")</f>
        <v>SIN</v>
      </c>
      <c r="O272" s="55">
        <f>IF(COUNTIFS(HISTORIAL!$O$3:$O$270,D272&amp;"|"&amp;E272,HISTORIAL!$F$3:$F$270,"&gt;0")&lt;2,0,IF(COUNTIFS(HISTORIAL!$O$3:$O$270,D272&amp;"|"&amp;E272,HISTORIAL!$F$3:$F$270,IFERROR(LOOKUP(2,1/((HISTORIAL!$O$3:$O$270=D272&amp;"|"&amp;E272)*(HISTORIAL!$F$3:$F$270&gt;0)),HISTORIAL!$F$3:$F$270),0))&gt;=2,IF(IFERROR(LOOKUP(2,1/((HISTORIAL!$O$3:$O$270=D272&amp;"|"&amp;E272)*(HISTORIAL!$F$3:$F$270&gt;0)),HISTORIAL!$G$3:$G$270),0)&gt;0,IF(F272&gt;0,IF(G272&lt;=IFERROR(LOOKUP(2,1/((HISTORIAL!$O$3:$O$270=D272&amp;"|"&amp;E272)*(HISTORIAL!$F$3:$F$270&gt;0)),HISTORIAL!$G$3:$G$270),0),1,0),0),0),0))</f>
        <v>0</v>
      </c>
    </row>
    <row r="273" spans="1:15" ht="14.1" customHeight="1">
      <c r="A273" s="37">
        <v>5</v>
      </c>
      <c r="B273" s="37" t="s">
        <v>278</v>
      </c>
      <c r="C273" s="37">
        <v>7</v>
      </c>
      <c r="D273" s="56" t="str">
        <f>MARTES!$A$106</f>
        <v>Curl Muneca</v>
      </c>
      <c r="E273" s="57" t="str">
        <f>MARTES!$B$106</f>
        <v>Supinado</v>
      </c>
      <c r="F273" s="37" t="str">
        <f>MARTES!$C$106</f>
        <v>mancuerna</v>
      </c>
      <c r="G273" s="37" t="str">
        <f>IFERROR(LOOKUP(2,1/((HISTORIAL!$O$3:$O$271=D273&amp;"|"&amp;E273)*(HISTORIAL!$F$3:$F$271&lt;&gt;"")),HISTORIAL!$F$3:$F$271),"")</f>
        <v/>
      </c>
      <c r="H273" s="37" t="str">
        <f>IFERROR(LOOKUP(2,1/((HISTORIAL!$O$3:$O$271=D273&amp;"|"&amp;E273)*(HISTORIAL!$F$3:$F$271&lt;&gt;"")),HISTORIAL!$G$3:$G$271),"")</f>
        <v/>
      </c>
      <c r="I273" s="37" t="str">
        <f>IFERROR(LOOKUP(2,1/((HISTORIAL!$O$3:$O$271=D273&amp;"|"&amp;E273)*(HISTORIAL!$F$3:$F$271&lt;&gt;"")),HISTORIAL!$H$3:$H$271),"")</f>
        <v/>
      </c>
      <c r="J273" s="37" t="str">
        <f>IFERROR(LOOKUP(2,1/((HISTORIAL!$O$3:$O$271=D273&amp;"|"&amp;E273)*(HISTORIAL!$F$3:$F$271&lt;&gt;"")),HISTORIAL!$I$3:$I$271),"")</f>
        <v/>
      </c>
      <c r="K273" s="58" t="str">
        <f>IFERROR(IF(OR(G273="",N273="SIN"),"--",IF(N273="SUBIR_F",IF(F273="polea",IFERROR(INDEX(CONFIG!$B$25:$B$40,MATCH(G273,CONFIG!$B$25:$B$40,0)+2),IFERROR(INDEX(CONFIG!$B$25:$B$40,MATCH(G273,CONFIG!$B$25:$B$40,0)+1),G273)),G273+5),IF(OR(N273="SUBIR",N273="SUBIR_E"),IF(F273="polea",IFERROR(INDEX(CONFIG!$B$25:$B$40,MATCH(G273,CONFIG!$B$25:$B$40,0)+1),G273),G273+2.5),IF(N273="BAJAR",IF(F273="polea",IFERROR(INDEX(CONFIG!$B$25:$B$40,MAX(1,MATCH(G273,CONFIG!$B$25:$B$40,0)-1)),G273),MAX(0,G273-2.5)),G273)))),"--")</f>
        <v>--</v>
      </c>
      <c r="L273" s="59" t="str">
        <f>IFERROR(IF(N273="SIN","--",IF(N273="MANT",IF(H273="","--",H273+1),IFERROR(VLOOKUP(CONFIG!$E$2,CONFIG!$A$6:$E$8,2,0),"--"))),"--")</f>
        <v>--</v>
      </c>
      <c r="M273" s="59" t="str">
        <f>IFERROR(IF(N273="SIN","--",IF(CONFIG!$E$2="HIP",2,IF(CONFIG!$E$2="FUE",1,2))),"--")</f>
        <v>--</v>
      </c>
      <c r="N273" s="53" t="str">
        <f>IFERROR(IF(G273="","SIN",IF(O273=1,"SUBIR_E",IF(H273&lt;IFERROR(VLOOKUP(CONFIG!$E$2,CONFIG!$A$6:$E$8,2,0),6),"BAJAR",IF(H273+I273&gt;=IFERROR(VLOOKUP(CONFIG!$E$2,CONFIG!$A$6:$E$8,3,0),12),"SUBIR_F",IF(AND(H273&gt;=IFERROR(VLOOKUP(CONFIG!$E$2,CONFIG!$A$6:$E$8,2,0),6)+2,I273&gt;=2),"SUBIR",IF(I273&gt;IFERROR(VLOOKUP(CONFIG!$E$2,CONFIG!$A$6:$E$8,5,0),3),"SUBIR","MANT")))))),"SIN")</f>
        <v>SIN</v>
      </c>
      <c r="O273" s="55">
        <f>IF(COUNTIFS(HISTORIAL!$O$3:$O$271,D273&amp;"|"&amp;E273,HISTORIAL!$F$3:$F$271,"&gt;0")&lt;2,0,IF(COUNTIFS(HISTORIAL!$O$3:$O$271,D273&amp;"|"&amp;E273,HISTORIAL!$F$3:$F$271,IFERROR(LOOKUP(2,1/((HISTORIAL!$O$3:$O$271=D273&amp;"|"&amp;E273)*(HISTORIAL!$F$3:$F$271&gt;0)),HISTORIAL!$F$3:$F$271),0))&gt;=2,IF(IFERROR(LOOKUP(2,1/((HISTORIAL!$O$3:$O$271=D273&amp;"|"&amp;E273)*(HISTORIAL!$F$3:$F$271&gt;0)),HISTORIAL!$G$3:$G$271),0)&gt;0,IF(F273&gt;0,IF(G273&lt;=IFERROR(LOOKUP(2,1/((HISTORIAL!$O$3:$O$271=D273&amp;"|"&amp;E273)*(HISTORIAL!$F$3:$F$271&gt;0)),HISTORIAL!$G$3:$G$271),0),1,0),0),0),0))</f>
        <v>0</v>
      </c>
    </row>
    <row r="274" spans="1:15" ht="14.1" customHeight="1">
      <c r="A274" s="37">
        <v>5</v>
      </c>
      <c r="B274" s="37" t="s">
        <v>278</v>
      </c>
      <c r="C274" s="37">
        <v>8</v>
      </c>
      <c r="D274" s="56" t="str">
        <f>MARTES!$A$107</f>
        <v>Curl Muneca</v>
      </c>
      <c r="E274" s="57" t="str">
        <f>MARTES!$B$107</f>
        <v>Pronado</v>
      </c>
      <c r="F274" s="37" t="str">
        <f>MARTES!$C$107</f>
        <v>mancuerna</v>
      </c>
      <c r="G274" s="37" t="str">
        <f>IFERROR(LOOKUP(2,1/((HISTORIAL!$O$3:$O$272=D274&amp;"|"&amp;E274)*(HISTORIAL!$F$3:$F$272&lt;&gt;"")),HISTORIAL!$F$3:$F$272),"")</f>
        <v/>
      </c>
      <c r="H274" s="37" t="str">
        <f>IFERROR(LOOKUP(2,1/((HISTORIAL!$O$3:$O$272=D274&amp;"|"&amp;E274)*(HISTORIAL!$F$3:$F$272&lt;&gt;"")),HISTORIAL!$G$3:$G$272),"")</f>
        <v/>
      </c>
      <c r="I274" s="37" t="str">
        <f>IFERROR(LOOKUP(2,1/((HISTORIAL!$O$3:$O$272=D274&amp;"|"&amp;E274)*(HISTORIAL!$F$3:$F$272&lt;&gt;"")),HISTORIAL!$H$3:$H$272),"")</f>
        <v/>
      </c>
      <c r="J274" s="37" t="str">
        <f>IFERROR(LOOKUP(2,1/((HISTORIAL!$O$3:$O$272=D274&amp;"|"&amp;E274)*(HISTORIAL!$F$3:$F$272&lt;&gt;"")),HISTORIAL!$I$3:$I$272),"")</f>
        <v/>
      </c>
      <c r="K274" s="58" t="str">
        <f>IFERROR(IF(OR(G274="",N274="SIN"),"--",IF(N274="SUBIR_F",IF(F274="polea",IFERROR(INDEX(CONFIG!$B$25:$B$40,MATCH(G274,CONFIG!$B$25:$B$40,0)+2),IFERROR(INDEX(CONFIG!$B$25:$B$40,MATCH(G274,CONFIG!$B$25:$B$40,0)+1),G274)),G274+5),IF(OR(N274="SUBIR",N274="SUBIR_E"),IF(F274="polea",IFERROR(INDEX(CONFIG!$B$25:$B$40,MATCH(G274,CONFIG!$B$25:$B$40,0)+1),G274),G274+2.5),IF(N274="BAJAR",IF(F274="polea",IFERROR(INDEX(CONFIG!$B$25:$B$40,MAX(1,MATCH(G274,CONFIG!$B$25:$B$40,0)-1)),G274),MAX(0,G274-2.5)),G274)))),"--")</f>
        <v>--</v>
      </c>
      <c r="L274" s="59" t="str">
        <f>IFERROR(IF(N274="SIN","--",IF(N274="MANT",IF(H274="","--",H274+1),IFERROR(VLOOKUP(CONFIG!$E$2,CONFIG!$A$6:$E$8,2,0),"--"))),"--")</f>
        <v>--</v>
      </c>
      <c r="M274" s="59" t="str">
        <f>IFERROR(IF(N274="SIN","--",IF(CONFIG!$E$2="HIP",2,IF(CONFIG!$E$2="FUE",1,2))),"--")</f>
        <v>--</v>
      </c>
      <c r="N274" s="53" t="str">
        <f>IFERROR(IF(G274="","SIN",IF(O274=1,"SUBIR_E",IF(H274&lt;IFERROR(VLOOKUP(CONFIG!$E$2,CONFIG!$A$6:$E$8,2,0),6),"BAJAR",IF(H274+I274&gt;=IFERROR(VLOOKUP(CONFIG!$E$2,CONFIG!$A$6:$E$8,3,0),12),"SUBIR_F",IF(AND(H274&gt;=IFERROR(VLOOKUP(CONFIG!$E$2,CONFIG!$A$6:$E$8,2,0),6)+2,I274&gt;=2),"SUBIR",IF(I274&gt;IFERROR(VLOOKUP(CONFIG!$E$2,CONFIG!$A$6:$E$8,5,0),3),"SUBIR","MANT")))))),"SIN")</f>
        <v>SIN</v>
      </c>
      <c r="O274" s="55">
        <f>IF(COUNTIFS(HISTORIAL!$O$3:$O$272,D274&amp;"|"&amp;E274,HISTORIAL!$F$3:$F$272,"&gt;0")&lt;2,0,IF(COUNTIFS(HISTORIAL!$O$3:$O$272,D274&amp;"|"&amp;E274,HISTORIAL!$F$3:$F$272,IFERROR(LOOKUP(2,1/((HISTORIAL!$O$3:$O$272=D274&amp;"|"&amp;E274)*(HISTORIAL!$F$3:$F$272&gt;0)),HISTORIAL!$F$3:$F$272),0))&gt;=2,IF(IFERROR(LOOKUP(2,1/((HISTORIAL!$O$3:$O$272=D274&amp;"|"&amp;E274)*(HISTORIAL!$F$3:$F$272&gt;0)),HISTORIAL!$G$3:$G$272),0)&gt;0,IF(F274&gt;0,IF(G274&lt;=IFERROR(LOOKUP(2,1/((HISTORIAL!$O$3:$O$272=D274&amp;"|"&amp;E274)*(HISTORIAL!$F$3:$F$272&gt;0)),HISTORIAL!$G$3:$G$272),0),1,0),0),0),0))</f>
        <v>0</v>
      </c>
    </row>
    <row r="275" spans="1:15" ht="14.1" customHeight="1">
      <c r="A275" s="37">
        <v>5</v>
      </c>
      <c r="B275" s="37" t="s">
        <v>278</v>
      </c>
      <c r="C275" s="37">
        <v>9</v>
      </c>
      <c r="D275" s="56" t="str">
        <f>MARTES!$A$109</f>
        <v>Farmer Carry</v>
      </c>
      <c r="E275" s="57" t="str">
        <f>MARTES!$B$109</f>
        <v>Libre</v>
      </c>
      <c r="F275" s="37" t="str">
        <f>MARTES!$C$109</f>
        <v>mancuerna</v>
      </c>
      <c r="G275" s="37" t="str">
        <f>IFERROR(LOOKUP(2,1/((HISTORIAL!$O$3:$O$273=D275&amp;"|"&amp;E275)*(HISTORIAL!$F$3:$F$273&lt;&gt;"")),HISTORIAL!$F$3:$F$273),"")</f>
        <v/>
      </c>
      <c r="H275" s="37" t="str">
        <f>IFERROR(LOOKUP(2,1/((HISTORIAL!$O$3:$O$273=D275&amp;"|"&amp;E275)*(HISTORIAL!$F$3:$F$273&lt;&gt;"")),HISTORIAL!$G$3:$G$273),"")</f>
        <v/>
      </c>
      <c r="I275" s="37" t="str">
        <f>IFERROR(LOOKUP(2,1/((HISTORIAL!$O$3:$O$273=D275&amp;"|"&amp;E275)*(HISTORIAL!$F$3:$F$273&lt;&gt;"")),HISTORIAL!$H$3:$H$273),"")</f>
        <v/>
      </c>
      <c r="J275" s="37" t="str">
        <f>IFERROR(LOOKUP(2,1/((HISTORIAL!$O$3:$O$273=D275&amp;"|"&amp;E275)*(HISTORIAL!$F$3:$F$273&lt;&gt;"")),HISTORIAL!$I$3:$I$273),"")</f>
        <v/>
      </c>
      <c r="K275" s="58" t="str">
        <f>IFERROR(IF(OR(G275="",N275="SIN"),"--",IF(N275="SUBIR_F",IF(F275="polea",IFERROR(INDEX(CONFIG!$B$25:$B$40,MATCH(G275,CONFIG!$B$25:$B$40,0)+2),IFERROR(INDEX(CONFIG!$B$25:$B$40,MATCH(G275,CONFIG!$B$25:$B$40,0)+1),G275)),G275+5),IF(OR(N275="SUBIR",N275="SUBIR_E"),IF(F275="polea",IFERROR(INDEX(CONFIG!$B$25:$B$40,MATCH(G275,CONFIG!$B$25:$B$40,0)+1),G275),G275+2.5),IF(N275="BAJAR",IF(F275="polea",IFERROR(INDEX(CONFIG!$B$25:$B$40,MAX(1,MATCH(G275,CONFIG!$B$25:$B$40,0)-1)),G275),MAX(0,G275-2.5)),G275)))),"--")</f>
        <v>--</v>
      </c>
      <c r="L275" s="59" t="str">
        <f>IFERROR(IF(N275="SIN","--",IF(N275="MANT",IF(H275="","--",H275+1),IFERROR(VLOOKUP(CONFIG!$E$2,CONFIG!$A$6:$E$8,2,0),"--"))),"--")</f>
        <v>--</v>
      </c>
      <c r="M275" s="59" t="str">
        <f>IFERROR(IF(N275="SIN","--",IF(CONFIG!$E$2="HIP",2,IF(CONFIG!$E$2="FUE",1,2))),"--")</f>
        <v>--</v>
      </c>
      <c r="N275" s="53" t="str">
        <f>IFERROR(IF(G275="","SIN",IF(O275=1,"SUBIR_E",IF(H275&lt;IFERROR(VLOOKUP(CONFIG!$E$2,CONFIG!$A$6:$E$8,2,0),6),"BAJAR",IF(H275+I275&gt;=IFERROR(VLOOKUP(CONFIG!$E$2,CONFIG!$A$6:$E$8,3,0),12),"SUBIR_F",IF(AND(H275&gt;=IFERROR(VLOOKUP(CONFIG!$E$2,CONFIG!$A$6:$E$8,2,0),6)+2,I275&gt;=2),"SUBIR",IF(I275&gt;IFERROR(VLOOKUP(CONFIG!$E$2,CONFIG!$A$6:$E$8,5,0),3),"SUBIR","MANT")))))),"SIN")</f>
        <v>SIN</v>
      </c>
      <c r="O275" s="55">
        <f>IF(COUNTIFS(HISTORIAL!$O$3:$O$273,D275&amp;"|"&amp;E275,HISTORIAL!$F$3:$F$273,"&gt;0")&lt;2,0,IF(COUNTIFS(HISTORIAL!$O$3:$O$273,D275&amp;"|"&amp;E275,HISTORIAL!$F$3:$F$273,IFERROR(LOOKUP(2,1/((HISTORIAL!$O$3:$O$273=D275&amp;"|"&amp;E275)*(HISTORIAL!$F$3:$F$273&gt;0)),HISTORIAL!$F$3:$F$273),0))&gt;=2,IF(IFERROR(LOOKUP(2,1/((HISTORIAL!$O$3:$O$273=D275&amp;"|"&amp;E275)*(HISTORIAL!$F$3:$F$273&gt;0)),HISTORIAL!$G$3:$G$273),0)&gt;0,IF(F275&gt;0,IF(G275&lt;=IFERROR(LOOKUP(2,1/((HISTORIAL!$O$3:$O$273=D275&amp;"|"&amp;E275)*(HISTORIAL!$F$3:$F$273&gt;0)),HISTORIAL!$G$3:$G$273),0),1,0),0),0),0))</f>
        <v>0</v>
      </c>
    </row>
    <row r="276" spans="1:15" ht="14.1" customHeight="1">
      <c r="A276" s="37">
        <v>5</v>
      </c>
      <c r="B276" s="37" t="s">
        <v>278</v>
      </c>
      <c r="C276" s="37">
        <v>10</v>
      </c>
      <c r="D276" s="56" t="str">
        <f>MARTES!$A$111</f>
        <v>Skullcrusher</v>
      </c>
      <c r="E276" s="57" t="str">
        <f>MARTES!$B$111</f>
        <v>Mancuerna Tumbado</v>
      </c>
      <c r="F276" s="37" t="str">
        <f>MARTES!$C$111</f>
        <v>--</v>
      </c>
      <c r="G276" s="37" t="str">
        <f>IFERROR(LOOKUP(2,1/((HISTORIAL!$O$3:$O$274=D276&amp;"|"&amp;E276)*(HISTORIAL!$F$3:$F$274&lt;&gt;"")),HISTORIAL!$F$3:$F$274),"")</f>
        <v/>
      </c>
      <c r="H276" s="37" t="str">
        <f>IFERROR(LOOKUP(2,1/((HISTORIAL!$O$3:$O$274=D276&amp;"|"&amp;E276)*(HISTORIAL!$F$3:$F$274&lt;&gt;"")),HISTORIAL!$G$3:$G$274),"")</f>
        <v/>
      </c>
      <c r="I276" s="37" t="str">
        <f>IFERROR(LOOKUP(2,1/((HISTORIAL!$O$3:$O$274=D276&amp;"|"&amp;E276)*(HISTORIAL!$F$3:$F$274&lt;&gt;"")),HISTORIAL!$H$3:$H$274),"")</f>
        <v/>
      </c>
      <c r="J276" s="37" t="str">
        <f>IFERROR(LOOKUP(2,1/((HISTORIAL!$O$3:$O$274=D276&amp;"|"&amp;E276)*(HISTORIAL!$F$3:$F$274&lt;&gt;"")),HISTORIAL!$I$3:$I$274),"")</f>
        <v/>
      </c>
      <c r="K276" s="58" t="str">
        <f>IFERROR(IF(OR(G276="",N276="SIN"),"--",IF(N276="SUBIR_F",IF(F276="polea",IFERROR(INDEX(CONFIG!$B$25:$B$40,MATCH(G276,CONFIG!$B$25:$B$40,0)+2),IFERROR(INDEX(CONFIG!$B$25:$B$40,MATCH(G276,CONFIG!$B$25:$B$40,0)+1),G276)),G276+5),IF(OR(N276="SUBIR",N276="SUBIR_E"),IF(F276="polea",IFERROR(INDEX(CONFIG!$B$25:$B$40,MATCH(G276,CONFIG!$B$25:$B$40,0)+1),G276),G276+2.5),IF(N276="BAJAR",IF(F276="polea",IFERROR(INDEX(CONFIG!$B$25:$B$40,MAX(1,MATCH(G276,CONFIG!$B$25:$B$40,0)-1)),G276),MAX(0,G276-2.5)),G276)))),"--")</f>
        <v>--</v>
      </c>
      <c r="L276" s="59" t="str">
        <f>IFERROR(IF(N276="SIN","--",IF(N276="MANT",IF(H276="","--",H276+1),IFERROR(VLOOKUP(CONFIG!$E$2,CONFIG!$A$6:$E$8,2,0),"--"))),"--")</f>
        <v>--</v>
      </c>
      <c r="M276" s="59" t="str">
        <f>IFERROR(IF(N276="SIN","--",IF(CONFIG!$E$2="HIP",2,IF(CONFIG!$E$2="FUE",1,2))),"--")</f>
        <v>--</v>
      </c>
      <c r="N276" s="53" t="str">
        <f>IFERROR(IF(G276="","SIN",IF(O276=1,"SUBIR_E",IF(H276&lt;IFERROR(VLOOKUP(CONFIG!$E$2,CONFIG!$A$6:$E$8,2,0),6),"BAJAR",IF(H276+I276&gt;=IFERROR(VLOOKUP(CONFIG!$E$2,CONFIG!$A$6:$E$8,3,0),12),"SUBIR_F",IF(AND(H276&gt;=IFERROR(VLOOKUP(CONFIG!$E$2,CONFIG!$A$6:$E$8,2,0),6)+2,I276&gt;=2),"SUBIR",IF(I276&gt;IFERROR(VLOOKUP(CONFIG!$E$2,CONFIG!$A$6:$E$8,5,0),3),"SUBIR","MANT")))))),"SIN")</f>
        <v>SIN</v>
      </c>
      <c r="O276" s="55">
        <f>IF(COUNTIFS(HISTORIAL!$O$3:$O$274,D276&amp;"|"&amp;E276,HISTORIAL!$F$3:$F$274,"&gt;0")&lt;2,0,IF(COUNTIFS(HISTORIAL!$O$3:$O$274,D276&amp;"|"&amp;E276,HISTORIAL!$F$3:$F$274,IFERROR(LOOKUP(2,1/((HISTORIAL!$O$3:$O$274=D276&amp;"|"&amp;E276)*(HISTORIAL!$F$3:$F$274&gt;0)),HISTORIAL!$F$3:$F$274),0))&gt;=2,IF(IFERROR(LOOKUP(2,1/((HISTORIAL!$O$3:$O$274=D276&amp;"|"&amp;E276)*(HISTORIAL!$F$3:$F$274&gt;0)),HISTORIAL!$G$3:$G$274),0)&gt;0,IF(F276&gt;0,IF(G276&lt;=IFERROR(LOOKUP(2,1/((HISTORIAL!$O$3:$O$274=D276&amp;"|"&amp;E276)*(HISTORIAL!$F$3:$F$274&gt;0)),HISTORIAL!$G$3:$G$274),0),1,0),0),0),0))</f>
        <v>0</v>
      </c>
    </row>
    <row r="277" spans="1:15" ht="14.1" customHeight="1">
      <c r="A277" s="37">
        <v>5</v>
      </c>
      <c r="B277" s="37" t="s">
        <v>278</v>
      </c>
      <c r="C277" s="37">
        <v>11</v>
      </c>
      <c r="D277" s="56" t="str">
        <f>MARTES!$A$113</f>
        <v>Crunch</v>
      </c>
      <c r="E277" s="57" t="str">
        <f>MARTES!$B$113</f>
        <v>Polea</v>
      </c>
      <c r="F277" s="37" t="str">
        <f>MARTES!$C$113</f>
        <v>polea</v>
      </c>
      <c r="G277" s="37" t="str">
        <f>IFERROR(LOOKUP(2,1/((HISTORIAL!$O$3:$O$275=D277&amp;"|"&amp;E277)*(HISTORIAL!$F$3:$F$275&lt;&gt;"")),HISTORIAL!$F$3:$F$275),"")</f>
        <v/>
      </c>
      <c r="H277" s="37" t="str">
        <f>IFERROR(LOOKUP(2,1/((HISTORIAL!$O$3:$O$275=D277&amp;"|"&amp;E277)*(HISTORIAL!$F$3:$F$275&lt;&gt;"")),HISTORIAL!$G$3:$G$275),"")</f>
        <v/>
      </c>
      <c r="I277" s="37" t="str">
        <f>IFERROR(LOOKUP(2,1/((HISTORIAL!$O$3:$O$275=D277&amp;"|"&amp;E277)*(HISTORIAL!$F$3:$F$275&lt;&gt;"")),HISTORIAL!$H$3:$H$275),"")</f>
        <v/>
      </c>
      <c r="J277" s="37" t="str">
        <f>IFERROR(LOOKUP(2,1/((HISTORIAL!$O$3:$O$275=D277&amp;"|"&amp;E277)*(HISTORIAL!$F$3:$F$275&lt;&gt;"")),HISTORIAL!$I$3:$I$275),"")</f>
        <v/>
      </c>
      <c r="K277" s="58" t="str">
        <f>IFERROR(IF(OR(G277="",N277="SIN"),"--",IF(N277="SUBIR_F",IF(F277="polea",IFERROR(INDEX(CONFIG!$B$25:$B$40,MATCH(G277,CONFIG!$B$25:$B$40,0)+2),IFERROR(INDEX(CONFIG!$B$25:$B$40,MATCH(G277,CONFIG!$B$25:$B$40,0)+1),G277)),G277+5),IF(OR(N277="SUBIR",N277="SUBIR_E"),IF(F277="polea",IFERROR(INDEX(CONFIG!$B$25:$B$40,MATCH(G277,CONFIG!$B$25:$B$40,0)+1),G277),G277+2.5),IF(N277="BAJAR",IF(F277="polea",IFERROR(INDEX(CONFIG!$B$25:$B$40,MAX(1,MATCH(G277,CONFIG!$B$25:$B$40,0)-1)),G277),MAX(0,G277-2.5)),G277)))),"--")</f>
        <v>--</v>
      </c>
      <c r="L277" s="59" t="str">
        <f>IFERROR(IF(N277="SIN","--",IF(N277="MANT",IF(H277="","--",H277+1),IFERROR(VLOOKUP(CONFIG!$E$2,CONFIG!$A$6:$E$8,2,0),"--"))),"--")</f>
        <v>--</v>
      </c>
      <c r="M277" s="59" t="str">
        <f>IFERROR(IF(N277="SIN","--",IF(CONFIG!$E$2="HIP",2,IF(CONFIG!$E$2="FUE",1,2))),"--")</f>
        <v>--</v>
      </c>
      <c r="N277" s="53" t="str">
        <f>IFERROR(IF(G277="","SIN",IF(O277=1,"SUBIR_E",IF(H277&lt;IFERROR(VLOOKUP(CONFIG!$E$2,CONFIG!$A$6:$E$8,2,0),6),"BAJAR",IF(H277+I277&gt;=IFERROR(VLOOKUP(CONFIG!$E$2,CONFIG!$A$6:$E$8,3,0),12),"SUBIR_F",IF(AND(H277&gt;=IFERROR(VLOOKUP(CONFIG!$E$2,CONFIG!$A$6:$E$8,2,0),6)+2,I277&gt;=2),"SUBIR",IF(I277&gt;IFERROR(VLOOKUP(CONFIG!$E$2,CONFIG!$A$6:$E$8,5,0),3),"SUBIR","MANT")))))),"SIN")</f>
        <v>SIN</v>
      </c>
      <c r="O277" s="55">
        <f>IF(COUNTIFS(HISTORIAL!$O$3:$O$275,D277&amp;"|"&amp;E277,HISTORIAL!$F$3:$F$275,"&gt;0")&lt;2,0,IF(COUNTIFS(HISTORIAL!$O$3:$O$275,D277&amp;"|"&amp;E277,HISTORIAL!$F$3:$F$275,IFERROR(LOOKUP(2,1/((HISTORIAL!$O$3:$O$275=D277&amp;"|"&amp;E277)*(HISTORIAL!$F$3:$F$275&gt;0)),HISTORIAL!$F$3:$F$275),0))&gt;=2,IF(IFERROR(LOOKUP(2,1/((HISTORIAL!$O$3:$O$275=D277&amp;"|"&amp;E277)*(HISTORIAL!$F$3:$F$275&gt;0)),HISTORIAL!$G$3:$G$275),0)&gt;0,IF(F277&gt;0,IF(G277&lt;=IFERROR(LOOKUP(2,1/((HISTORIAL!$O$3:$O$275=D277&amp;"|"&amp;E277)*(HISTORIAL!$F$3:$F$275&gt;0)),HISTORIAL!$G$3:$G$275),0),1,0),0),0),0))</f>
        <v>0</v>
      </c>
    </row>
    <row r="278" spans="1:15" ht="14.1" customHeight="1">
      <c r="A278" s="37">
        <v>5</v>
      </c>
      <c r="B278" s="37" t="s">
        <v>279</v>
      </c>
      <c r="C278" s="37">
        <v>1</v>
      </c>
      <c r="D278" s="56" t="str">
        <f>MIERCOLES!$A$100</f>
        <v>Curl Femoral</v>
      </c>
      <c r="E278" s="57" t="str">
        <f>MIERCOLES!$B$100</f>
        <v>Tumbado Maquina</v>
      </c>
      <c r="F278" s="37" t="str">
        <f>MIERCOLES!$C$100</f>
        <v>polea</v>
      </c>
      <c r="G278" s="37" t="str">
        <f>IFERROR(LOOKUP(2,1/((HISTORIAL!$O$3:$O$276=D278&amp;"|"&amp;E278)*(HISTORIAL!$F$3:$F$276&lt;&gt;"")),HISTORIAL!$F$3:$F$276),"")</f>
        <v/>
      </c>
      <c r="H278" s="37" t="str">
        <f>IFERROR(LOOKUP(2,1/((HISTORIAL!$O$3:$O$276=D278&amp;"|"&amp;E278)*(HISTORIAL!$F$3:$F$276&lt;&gt;"")),HISTORIAL!$G$3:$G$276),"")</f>
        <v/>
      </c>
      <c r="I278" s="37" t="str">
        <f>IFERROR(LOOKUP(2,1/((HISTORIAL!$O$3:$O$276=D278&amp;"|"&amp;E278)*(HISTORIAL!$F$3:$F$276&lt;&gt;"")),HISTORIAL!$H$3:$H$276),"")</f>
        <v/>
      </c>
      <c r="J278" s="37" t="str">
        <f>IFERROR(LOOKUP(2,1/((HISTORIAL!$O$3:$O$276=D278&amp;"|"&amp;E278)*(HISTORIAL!$F$3:$F$276&lt;&gt;"")),HISTORIAL!$I$3:$I$276),"")</f>
        <v/>
      </c>
      <c r="K278" s="58" t="str">
        <f>IFERROR(IF(OR(G278="",N278="SIN"),"--",IF(N278="SUBIR_F",IF(F278="polea",IFERROR(INDEX(CONFIG!$B$25:$B$40,MATCH(G278,CONFIG!$B$25:$B$40,0)+2),IFERROR(INDEX(CONFIG!$B$25:$B$40,MATCH(G278,CONFIG!$B$25:$B$40,0)+1),G278)),G278+5),IF(OR(N278="SUBIR",N278="SUBIR_E"),IF(F278="polea",IFERROR(INDEX(CONFIG!$B$25:$B$40,MATCH(G278,CONFIG!$B$25:$B$40,0)+1),G278),G278+2.5),IF(N278="BAJAR",IF(F278="polea",IFERROR(INDEX(CONFIG!$B$25:$B$40,MAX(1,MATCH(G278,CONFIG!$B$25:$B$40,0)-1)),G278),MAX(0,G278-2.5)),G278)))),"--")</f>
        <v>--</v>
      </c>
      <c r="L278" s="59" t="str">
        <f>IFERROR(IF(N278="SIN","--",IF(N278="MANT",IF(H278="","--",H278+1),IFERROR(VLOOKUP(CONFIG!$E$2,CONFIG!$A$6:$E$8,2,0),"--"))),"--")</f>
        <v>--</v>
      </c>
      <c r="M278" s="59" t="str">
        <f>IFERROR(IF(N278="SIN","--",IF(CONFIG!$E$2="HIP",2,IF(CONFIG!$E$2="FUE",1,2))),"--")</f>
        <v>--</v>
      </c>
      <c r="N278" s="53" t="str">
        <f>IFERROR(IF(G278="","SIN",IF(O278=1,"SUBIR_E",IF(H278&lt;IFERROR(VLOOKUP(CONFIG!$E$2,CONFIG!$A$6:$E$8,2,0),6),"BAJAR",IF(H278+I278&gt;=IFERROR(VLOOKUP(CONFIG!$E$2,CONFIG!$A$6:$E$8,3,0),12),"SUBIR_F",IF(AND(H278&gt;=IFERROR(VLOOKUP(CONFIG!$E$2,CONFIG!$A$6:$E$8,2,0),6)+2,I278&gt;=2),"SUBIR",IF(I278&gt;IFERROR(VLOOKUP(CONFIG!$E$2,CONFIG!$A$6:$E$8,5,0),3),"SUBIR","MANT")))))),"SIN")</f>
        <v>SIN</v>
      </c>
      <c r="O278" s="55">
        <f>IF(COUNTIFS(HISTORIAL!$O$3:$O$276,D278&amp;"|"&amp;E278,HISTORIAL!$F$3:$F$276,"&gt;0")&lt;2,0,IF(COUNTIFS(HISTORIAL!$O$3:$O$276,D278&amp;"|"&amp;E278,HISTORIAL!$F$3:$F$276,IFERROR(LOOKUP(2,1/((HISTORIAL!$O$3:$O$276=D278&amp;"|"&amp;E278)*(HISTORIAL!$F$3:$F$276&gt;0)),HISTORIAL!$F$3:$F$276),0))&gt;=2,IF(IFERROR(LOOKUP(2,1/((HISTORIAL!$O$3:$O$276=D278&amp;"|"&amp;E278)*(HISTORIAL!$F$3:$F$276&gt;0)),HISTORIAL!$G$3:$G$276),0)&gt;0,IF(F278&gt;0,IF(G278&lt;=IFERROR(LOOKUP(2,1/((HISTORIAL!$O$3:$O$276=D278&amp;"|"&amp;E278)*(HISTORIAL!$F$3:$F$276&gt;0)),HISTORIAL!$G$3:$G$276),0),1,0),0),0),0))</f>
        <v>0</v>
      </c>
    </row>
    <row r="279" spans="1:15" ht="14.1" customHeight="1">
      <c r="A279" s="37">
        <v>5</v>
      </c>
      <c r="B279" s="37" t="s">
        <v>279</v>
      </c>
      <c r="C279" s="37">
        <v>2</v>
      </c>
      <c r="D279" s="56" t="str">
        <f>MIERCOLES!$A$101</f>
        <v>Curl Femoral</v>
      </c>
      <c r="E279" s="57" t="str">
        <f>MIERCOLES!$B$101</f>
        <v>Sentado Maquina</v>
      </c>
      <c r="F279" s="37" t="str">
        <f>MIERCOLES!$C$101</f>
        <v>polea</v>
      </c>
      <c r="G279" s="37" t="str">
        <f>IFERROR(LOOKUP(2,1/((HISTORIAL!$O$3:$O$277=D279&amp;"|"&amp;E279)*(HISTORIAL!$F$3:$F$277&lt;&gt;"")),HISTORIAL!$F$3:$F$277),"")</f>
        <v/>
      </c>
      <c r="H279" s="37" t="str">
        <f>IFERROR(LOOKUP(2,1/((HISTORIAL!$O$3:$O$277=D279&amp;"|"&amp;E279)*(HISTORIAL!$F$3:$F$277&lt;&gt;"")),HISTORIAL!$G$3:$G$277),"")</f>
        <v/>
      </c>
      <c r="I279" s="37" t="str">
        <f>IFERROR(LOOKUP(2,1/((HISTORIAL!$O$3:$O$277=D279&amp;"|"&amp;E279)*(HISTORIAL!$F$3:$F$277&lt;&gt;"")),HISTORIAL!$H$3:$H$277),"")</f>
        <v/>
      </c>
      <c r="J279" s="37" t="str">
        <f>IFERROR(LOOKUP(2,1/((HISTORIAL!$O$3:$O$277=D279&amp;"|"&amp;E279)*(HISTORIAL!$F$3:$F$277&lt;&gt;"")),HISTORIAL!$I$3:$I$277),"")</f>
        <v/>
      </c>
      <c r="K279" s="58" t="str">
        <f>IFERROR(IF(OR(G279="",N279="SIN"),"--",IF(N279="SUBIR_F",IF(F279="polea",IFERROR(INDEX(CONFIG!$B$25:$B$40,MATCH(G279,CONFIG!$B$25:$B$40,0)+2),IFERROR(INDEX(CONFIG!$B$25:$B$40,MATCH(G279,CONFIG!$B$25:$B$40,0)+1),G279)),G279+5),IF(OR(N279="SUBIR",N279="SUBIR_E"),IF(F279="polea",IFERROR(INDEX(CONFIG!$B$25:$B$40,MATCH(G279,CONFIG!$B$25:$B$40,0)+1),G279),G279+2.5),IF(N279="BAJAR",IF(F279="polea",IFERROR(INDEX(CONFIG!$B$25:$B$40,MAX(1,MATCH(G279,CONFIG!$B$25:$B$40,0)-1)),G279),MAX(0,G279-2.5)),G279)))),"--")</f>
        <v>--</v>
      </c>
      <c r="L279" s="59" t="str">
        <f>IFERROR(IF(N279="SIN","--",IF(N279="MANT",IF(H279="","--",H279+1),IFERROR(VLOOKUP(CONFIG!$E$2,CONFIG!$A$6:$E$8,2,0),"--"))),"--")</f>
        <v>--</v>
      </c>
      <c r="M279" s="59" t="str">
        <f>IFERROR(IF(N279="SIN","--",IF(CONFIG!$E$2="HIP",2,IF(CONFIG!$E$2="FUE",1,2))),"--")</f>
        <v>--</v>
      </c>
      <c r="N279" s="53" t="str">
        <f>IFERROR(IF(G279="","SIN",IF(O279=1,"SUBIR_E",IF(H279&lt;IFERROR(VLOOKUP(CONFIG!$E$2,CONFIG!$A$6:$E$8,2,0),6),"BAJAR",IF(H279+I279&gt;=IFERROR(VLOOKUP(CONFIG!$E$2,CONFIG!$A$6:$E$8,3,0),12),"SUBIR_F",IF(AND(H279&gt;=IFERROR(VLOOKUP(CONFIG!$E$2,CONFIG!$A$6:$E$8,2,0),6)+2,I279&gt;=2),"SUBIR",IF(I279&gt;IFERROR(VLOOKUP(CONFIG!$E$2,CONFIG!$A$6:$E$8,5,0),3),"SUBIR","MANT")))))),"SIN")</f>
        <v>SIN</v>
      </c>
      <c r="O279" s="55">
        <f>IF(COUNTIFS(HISTORIAL!$O$3:$O$277,D279&amp;"|"&amp;E279,HISTORIAL!$F$3:$F$277,"&gt;0")&lt;2,0,IF(COUNTIFS(HISTORIAL!$O$3:$O$277,D279&amp;"|"&amp;E279,HISTORIAL!$F$3:$F$277,IFERROR(LOOKUP(2,1/((HISTORIAL!$O$3:$O$277=D279&amp;"|"&amp;E279)*(HISTORIAL!$F$3:$F$277&gt;0)),HISTORIAL!$F$3:$F$277),0))&gt;=2,IF(IFERROR(LOOKUP(2,1/((HISTORIAL!$O$3:$O$277=D279&amp;"|"&amp;E279)*(HISTORIAL!$F$3:$F$277&gt;0)),HISTORIAL!$G$3:$G$277),0)&gt;0,IF(F279&gt;0,IF(G279&lt;=IFERROR(LOOKUP(2,1/((HISTORIAL!$O$3:$O$277=D279&amp;"|"&amp;E279)*(HISTORIAL!$F$3:$F$277&gt;0)),HISTORIAL!$G$3:$G$277),0),1,0),0),0),0))</f>
        <v>0</v>
      </c>
    </row>
    <row r="280" spans="1:15" ht="14.1" customHeight="1">
      <c r="A280" s="37">
        <v>5</v>
      </c>
      <c r="B280" s="37" t="s">
        <v>279</v>
      </c>
      <c r="C280" s="37">
        <v>3</v>
      </c>
      <c r="D280" s="56" t="str">
        <f>MIERCOLES!$A$102</f>
        <v>Curl Rumano</v>
      </c>
      <c r="E280" s="57" t="str">
        <f>MIERCOLES!$B$102</f>
        <v>Mancuernas</v>
      </c>
      <c r="F280" s="37" t="str">
        <f>MIERCOLES!$C$102</f>
        <v>mancuerna</v>
      </c>
      <c r="G280" s="37" t="str">
        <f>IFERROR(LOOKUP(2,1/((HISTORIAL!$O$3:$O$278=D280&amp;"|"&amp;E280)*(HISTORIAL!$F$3:$F$278&lt;&gt;"")),HISTORIAL!$F$3:$F$278),"")</f>
        <v/>
      </c>
      <c r="H280" s="37" t="str">
        <f>IFERROR(LOOKUP(2,1/((HISTORIAL!$O$3:$O$278=D280&amp;"|"&amp;E280)*(HISTORIAL!$F$3:$F$278&lt;&gt;"")),HISTORIAL!$G$3:$G$278),"")</f>
        <v/>
      </c>
      <c r="I280" s="37" t="str">
        <f>IFERROR(LOOKUP(2,1/((HISTORIAL!$O$3:$O$278=D280&amp;"|"&amp;E280)*(HISTORIAL!$F$3:$F$278&lt;&gt;"")),HISTORIAL!$H$3:$H$278),"")</f>
        <v/>
      </c>
      <c r="J280" s="37" t="str">
        <f>IFERROR(LOOKUP(2,1/((HISTORIAL!$O$3:$O$278=D280&amp;"|"&amp;E280)*(HISTORIAL!$F$3:$F$278&lt;&gt;"")),HISTORIAL!$I$3:$I$278),"")</f>
        <v/>
      </c>
      <c r="K280" s="58" t="str">
        <f>IFERROR(IF(OR(G280="",N280="SIN"),"--",IF(N280="SUBIR_F",IF(F280="polea",IFERROR(INDEX(CONFIG!$B$25:$B$40,MATCH(G280,CONFIG!$B$25:$B$40,0)+2),IFERROR(INDEX(CONFIG!$B$25:$B$40,MATCH(G280,CONFIG!$B$25:$B$40,0)+1),G280)),G280+5),IF(OR(N280="SUBIR",N280="SUBIR_E"),IF(F280="polea",IFERROR(INDEX(CONFIG!$B$25:$B$40,MATCH(G280,CONFIG!$B$25:$B$40,0)+1),G280),G280+2.5),IF(N280="BAJAR",IF(F280="polea",IFERROR(INDEX(CONFIG!$B$25:$B$40,MAX(1,MATCH(G280,CONFIG!$B$25:$B$40,0)-1)),G280),MAX(0,G280-2.5)),G280)))),"--")</f>
        <v>--</v>
      </c>
      <c r="L280" s="59" t="str">
        <f>IFERROR(IF(N280="SIN","--",IF(N280="MANT",IF(H280="","--",H280+1),IFERROR(VLOOKUP(CONFIG!$E$2,CONFIG!$A$6:$E$8,2,0),"--"))),"--")</f>
        <v>--</v>
      </c>
      <c r="M280" s="59" t="str">
        <f>IFERROR(IF(N280="SIN","--",IF(CONFIG!$E$2="HIP",2,IF(CONFIG!$E$2="FUE",1,2))),"--")</f>
        <v>--</v>
      </c>
      <c r="N280" s="53" t="str">
        <f>IFERROR(IF(G280="","SIN",IF(O280=1,"SUBIR_E",IF(H280&lt;IFERROR(VLOOKUP(CONFIG!$E$2,CONFIG!$A$6:$E$8,2,0),6),"BAJAR",IF(H280+I280&gt;=IFERROR(VLOOKUP(CONFIG!$E$2,CONFIG!$A$6:$E$8,3,0),12),"SUBIR_F",IF(AND(H280&gt;=IFERROR(VLOOKUP(CONFIG!$E$2,CONFIG!$A$6:$E$8,2,0),6)+2,I280&gt;=2),"SUBIR",IF(I280&gt;IFERROR(VLOOKUP(CONFIG!$E$2,CONFIG!$A$6:$E$8,5,0),3),"SUBIR","MANT")))))),"SIN")</f>
        <v>SIN</v>
      </c>
      <c r="O280" s="55">
        <f>IF(COUNTIFS(HISTORIAL!$O$3:$O$278,D280&amp;"|"&amp;E280,HISTORIAL!$F$3:$F$278,"&gt;0")&lt;2,0,IF(COUNTIFS(HISTORIAL!$O$3:$O$278,D280&amp;"|"&amp;E280,HISTORIAL!$F$3:$F$278,IFERROR(LOOKUP(2,1/((HISTORIAL!$O$3:$O$278=D280&amp;"|"&amp;E280)*(HISTORIAL!$F$3:$F$278&gt;0)),HISTORIAL!$F$3:$F$278),0))&gt;=2,IF(IFERROR(LOOKUP(2,1/((HISTORIAL!$O$3:$O$278=D280&amp;"|"&amp;E280)*(HISTORIAL!$F$3:$F$278&gt;0)),HISTORIAL!$G$3:$G$278),0)&gt;0,IF(F280&gt;0,IF(G280&lt;=IFERROR(LOOKUP(2,1/((HISTORIAL!$O$3:$O$278=D280&amp;"|"&amp;E280)*(HISTORIAL!$F$3:$F$278&gt;0)),HISTORIAL!$G$3:$G$278),0),1,0),0),0),0))</f>
        <v>0</v>
      </c>
    </row>
    <row r="281" spans="1:15" ht="14.1" customHeight="1">
      <c r="A281" s="37">
        <v>5</v>
      </c>
      <c r="B281" s="37" t="s">
        <v>279</v>
      </c>
      <c r="C281" s="37">
        <v>4</v>
      </c>
      <c r="D281" s="56" t="str">
        <f>MIERCOLES!$A$104</f>
        <v>Sentadilla</v>
      </c>
      <c r="E281" s="57" t="str">
        <f>MIERCOLES!$B$104</f>
        <v>Multipower Cuna Talones</v>
      </c>
      <c r="F281" s="37" t="str">
        <f>MIERCOLES!$C$104</f>
        <v>--</v>
      </c>
      <c r="G281" s="37" t="str">
        <f>IFERROR(LOOKUP(2,1/((HISTORIAL!$O$3:$O$279=D281&amp;"|"&amp;E281)*(HISTORIAL!$F$3:$F$279&lt;&gt;"")),HISTORIAL!$F$3:$F$279),"")</f>
        <v/>
      </c>
      <c r="H281" s="37" t="str">
        <f>IFERROR(LOOKUP(2,1/((HISTORIAL!$O$3:$O$279=D281&amp;"|"&amp;E281)*(HISTORIAL!$F$3:$F$279&lt;&gt;"")),HISTORIAL!$G$3:$G$279),"")</f>
        <v/>
      </c>
      <c r="I281" s="37" t="str">
        <f>IFERROR(LOOKUP(2,1/((HISTORIAL!$O$3:$O$279=D281&amp;"|"&amp;E281)*(HISTORIAL!$F$3:$F$279&lt;&gt;"")),HISTORIAL!$H$3:$H$279),"")</f>
        <v/>
      </c>
      <c r="J281" s="37" t="str">
        <f>IFERROR(LOOKUP(2,1/((HISTORIAL!$O$3:$O$279=D281&amp;"|"&amp;E281)*(HISTORIAL!$F$3:$F$279&lt;&gt;"")),HISTORIAL!$I$3:$I$279),"")</f>
        <v/>
      </c>
      <c r="K281" s="58" t="str">
        <f>IFERROR(IF(OR(G281="",N281="SIN"),"--",IF(N281="SUBIR_F",IF(F281="polea",IFERROR(INDEX(CONFIG!$B$25:$B$40,MATCH(G281,CONFIG!$B$25:$B$40,0)+2),IFERROR(INDEX(CONFIG!$B$25:$B$40,MATCH(G281,CONFIG!$B$25:$B$40,0)+1),G281)),G281+5),IF(OR(N281="SUBIR",N281="SUBIR_E"),IF(F281="polea",IFERROR(INDEX(CONFIG!$B$25:$B$40,MATCH(G281,CONFIG!$B$25:$B$40,0)+1),G281),G281+2.5),IF(N281="BAJAR",IF(F281="polea",IFERROR(INDEX(CONFIG!$B$25:$B$40,MAX(1,MATCH(G281,CONFIG!$B$25:$B$40,0)-1)),G281),MAX(0,G281-2.5)),G281)))),"--")</f>
        <v>--</v>
      </c>
      <c r="L281" s="59" t="str">
        <f>IFERROR(IF(N281="SIN","--",IF(N281="MANT",IF(H281="","--",H281+1),IFERROR(VLOOKUP(CONFIG!$E$2,CONFIG!$A$6:$E$8,2,0),"--"))),"--")</f>
        <v>--</v>
      </c>
      <c r="M281" s="59" t="str">
        <f>IFERROR(IF(N281="SIN","--",IF(CONFIG!$E$2="HIP",2,IF(CONFIG!$E$2="FUE",1,2))),"--")</f>
        <v>--</v>
      </c>
      <c r="N281" s="53" t="str">
        <f>IFERROR(IF(G281="","SIN",IF(O281=1,"SUBIR_E",IF(H281&lt;IFERROR(VLOOKUP(CONFIG!$E$2,CONFIG!$A$6:$E$8,2,0),6),"BAJAR",IF(H281+I281&gt;=IFERROR(VLOOKUP(CONFIG!$E$2,CONFIG!$A$6:$E$8,3,0),12),"SUBIR_F",IF(AND(H281&gt;=IFERROR(VLOOKUP(CONFIG!$E$2,CONFIG!$A$6:$E$8,2,0),6)+2,I281&gt;=2),"SUBIR",IF(I281&gt;IFERROR(VLOOKUP(CONFIG!$E$2,CONFIG!$A$6:$E$8,5,0),3),"SUBIR","MANT")))))),"SIN")</f>
        <v>SIN</v>
      </c>
      <c r="O281" s="55">
        <f>IF(COUNTIFS(HISTORIAL!$O$3:$O$279,D281&amp;"|"&amp;E281,HISTORIAL!$F$3:$F$279,"&gt;0")&lt;2,0,IF(COUNTIFS(HISTORIAL!$O$3:$O$279,D281&amp;"|"&amp;E281,HISTORIAL!$F$3:$F$279,IFERROR(LOOKUP(2,1/((HISTORIAL!$O$3:$O$279=D281&amp;"|"&amp;E281)*(HISTORIAL!$F$3:$F$279&gt;0)),HISTORIAL!$F$3:$F$279),0))&gt;=2,IF(IFERROR(LOOKUP(2,1/((HISTORIAL!$O$3:$O$279=D281&amp;"|"&amp;E281)*(HISTORIAL!$F$3:$F$279&gt;0)),HISTORIAL!$G$3:$G$279),0)&gt;0,IF(F281&gt;0,IF(G281&lt;=IFERROR(LOOKUP(2,1/((HISTORIAL!$O$3:$O$279=D281&amp;"|"&amp;E281)*(HISTORIAL!$F$3:$F$279&gt;0)),HISTORIAL!$G$3:$G$279),0),1,0),0),0),0))</f>
        <v>0</v>
      </c>
    </row>
    <row r="282" spans="1:15" ht="14.1" customHeight="1">
      <c r="A282" s="37">
        <v>5</v>
      </c>
      <c r="B282" s="37" t="s">
        <v>279</v>
      </c>
      <c r="C282" s="37">
        <v>5</v>
      </c>
      <c r="D282" s="56" t="str">
        <f>MIERCOLES!$A$105</f>
        <v>Prensa Pierna</v>
      </c>
      <c r="E282" s="57" t="str">
        <f>MIERCOLES!$B$105</f>
        <v>Individual Horizontal</v>
      </c>
      <c r="F282" s="37" t="str">
        <f>MIERCOLES!$C$105</f>
        <v>--</v>
      </c>
      <c r="G282" s="37" t="str">
        <f>IFERROR(LOOKUP(2,1/((HISTORIAL!$O$3:$O$280=D282&amp;"|"&amp;E282)*(HISTORIAL!$F$3:$F$280&lt;&gt;"")),HISTORIAL!$F$3:$F$280),"")</f>
        <v/>
      </c>
      <c r="H282" s="37" t="str">
        <f>IFERROR(LOOKUP(2,1/((HISTORIAL!$O$3:$O$280=D282&amp;"|"&amp;E282)*(HISTORIAL!$F$3:$F$280&lt;&gt;"")),HISTORIAL!$G$3:$G$280),"")</f>
        <v/>
      </c>
      <c r="I282" s="37" t="str">
        <f>IFERROR(LOOKUP(2,1/((HISTORIAL!$O$3:$O$280=D282&amp;"|"&amp;E282)*(HISTORIAL!$F$3:$F$280&lt;&gt;"")),HISTORIAL!$H$3:$H$280),"")</f>
        <v/>
      </c>
      <c r="J282" s="37" t="str">
        <f>IFERROR(LOOKUP(2,1/((HISTORIAL!$O$3:$O$280=D282&amp;"|"&amp;E282)*(HISTORIAL!$F$3:$F$280&lt;&gt;"")),HISTORIAL!$I$3:$I$280),"")</f>
        <v/>
      </c>
      <c r="K282" s="58" t="str">
        <f>IFERROR(IF(OR(G282="",N282="SIN"),"--",IF(N282="SUBIR_F",IF(F282="polea",IFERROR(INDEX(CONFIG!$B$25:$B$40,MATCH(G282,CONFIG!$B$25:$B$40,0)+2),IFERROR(INDEX(CONFIG!$B$25:$B$40,MATCH(G282,CONFIG!$B$25:$B$40,0)+1),G282)),G282+5),IF(OR(N282="SUBIR",N282="SUBIR_E"),IF(F282="polea",IFERROR(INDEX(CONFIG!$B$25:$B$40,MATCH(G282,CONFIG!$B$25:$B$40,0)+1),G282),G282+2.5),IF(N282="BAJAR",IF(F282="polea",IFERROR(INDEX(CONFIG!$B$25:$B$40,MAX(1,MATCH(G282,CONFIG!$B$25:$B$40,0)-1)),G282),MAX(0,G282-2.5)),G282)))),"--")</f>
        <v>--</v>
      </c>
      <c r="L282" s="59" t="str">
        <f>IFERROR(IF(N282="SIN","--",IF(N282="MANT",IF(H282="","--",H282+1),IFERROR(VLOOKUP(CONFIG!$E$2,CONFIG!$A$6:$E$8,2,0),"--"))),"--")</f>
        <v>--</v>
      </c>
      <c r="M282" s="59" t="str">
        <f>IFERROR(IF(N282="SIN","--",IF(CONFIG!$E$2="HIP",2,IF(CONFIG!$E$2="FUE",1,2))),"--")</f>
        <v>--</v>
      </c>
      <c r="N282" s="53" t="str">
        <f>IFERROR(IF(G282="","SIN",IF(O282=1,"SUBIR_E",IF(H282&lt;IFERROR(VLOOKUP(CONFIG!$E$2,CONFIG!$A$6:$E$8,2,0),6),"BAJAR",IF(H282+I282&gt;=IFERROR(VLOOKUP(CONFIG!$E$2,CONFIG!$A$6:$E$8,3,0),12),"SUBIR_F",IF(AND(H282&gt;=IFERROR(VLOOKUP(CONFIG!$E$2,CONFIG!$A$6:$E$8,2,0),6)+2,I282&gt;=2),"SUBIR",IF(I282&gt;IFERROR(VLOOKUP(CONFIG!$E$2,CONFIG!$A$6:$E$8,5,0),3),"SUBIR","MANT")))))),"SIN")</f>
        <v>SIN</v>
      </c>
      <c r="O282" s="55">
        <f>IF(COUNTIFS(HISTORIAL!$O$3:$O$280,D282&amp;"|"&amp;E282,HISTORIAL!$F$3:$F$280,"&gt;0")&lt;2,0,IF(COUNTIFS(HISTORIAL!$O$3:$O$280,D282&amp;"|"&amp;E282,HISTORIAL!$F$3:$F$280,IFERROR(LOOKUP(2,1/((HISTORIAL!$O$3:$O$280=D282&amp;"|"&amp;E282)*(HISTORIAL!$F$3:$F$280&gt;0)),HISTORIAL!$F$3:$F$280),0))&gt;=2,IF(IFERROR(LOOKUP(2,1/((HISTORIAL!$O$3:$O$280=D282&amp;"|"&amp;E282)*(HISTORIAL!$F$3:$F$280&gt;0)),HISTORIAL!$G$3:$G$280),0)&gt;0,IF(F282&gt;0,IF(G282&lt;=IFERROR(LOOKUP(2,1/((HISTORIAL!$O$3:$O$280=D282&amp;"|"&amp;E282)*(HISTORIAL!$F$3:$F$280&gt;0)),HISTORIAL!$G$3:$G$280),0),1,0),0),0),0))</f>
        <v>0</v>
      </c>
    </row>
    <row r="283" spans="1:15" ht="14.1" customHeight="1">
      <c r="A283" s="37">
        <v>5</v>
      </c>
      <c r="B283" s="37" t="s">
        <v>279</v>
      </c>
      <c r="C283" s="37">
        <v>6</v>
      </c>
      <c r="D283" s="56" t="str">
        <f>MIERCOLES!$A$106</f>
        <v>Extension Cuadriceps</v>
      </c>
      <c r="E283" s="57" t="str">
        <f>MIERCOLES!$B$106</f>
        <v>Vasto Externo</v>
      </c>
      <c r="F283" s="37" t="str">
        <f>MIERCOLES!$C$106</f>
        <v>--</v>
      </c>
      <c r="G283" s="37" t="str">
        <f>IFERROR(LOOKUP(2,1/((HISTORIAL!$O$3:$O$281=D283&amp;"|"&amp;E283)*(HISTORIAL!$F$3:$F$281&lt;&gt;"")),HISTORIAL!$F$3:$F$281),"")</f>
        <v/>
      </c>
      <c r="H283" s="37" t="str">
        <f>IFERROR(LOOKUP(2,1/((HISTORIAL!$O$3:$O$281=D283&amp;"|"&amp;E283)*(HISTORIAL!$F$3:$F$281&lt;&gt;"")),HISTORIAL!$G$3:$G$281),"")</f>
        <v/>
      </c>
      <c r="I283" s="37" t="str">
        <f>IFERROR(LOOKUP(2,1/((HISTORIAL!$O$3:$O$281=D283&amp;"|"&amp;E283)*(HISTORIAL!$F$3:$F$281&lt;&gt;"")),HISTORIAL!$H$3:$H$281),"")</f>
        <v/>
      </c>
      <c r="J283" s="37" t="str">
        <f>IFERROR(LOOKUP(2,1/((HISTORIAL!$O$3:$O$281=D283&amp;"|"&amp;E283)*(HISTORIAL!$F$3:$F$281&lt;&gt;"")),HISTORIAL!$I$3:$I$281),"")</f>
        <v/>
      </c>
      <c r="K283" s="58" t="str">
        <f>IFERROR(IF(OR(G283="",N283="SIN"),"--",IF(N283="SUBIR_F",IF(F283="polea",IFERROR(INDEX(CONFIG!$B$25:$B$40,MATCH(G283,CONFIG!$B$25:$B$40,0)+2),IFERROR(INDEX(CONFIG!$B$25:$B$40,MATCH(G283,CONFIG!$B$25:$B$40,0)+1),G283)),G283+5),IF(OR(N283="SUBIR",N283="SUBIR_E"),IF(F283="polea",IFERROR(INDEX(CONFIG!$B$25:$B$40,MATCH(G283,CONFIG!$B$25:$B$40,0)+1),G283),G283+2.5),IF(N283="BAJAR",IF(F283="polea",IFERROR(INDEX(CONFIG!$B$25:$B$40,MAX(1,MATCH(G283,CONFIG!$B$25:$B$40,0)-1)),G283),MAX(0,G283-2.5)),G283)))),"--")</f>
        <v>--</v>
      </c>
      <c r="L283" s="59" t="str">
        <f>IFERROR(IF(N283="SIN","--",IF(N283="MANT",IF(H283="","--",H283+1),IFERROR(VLOOKUP(CONFIG!$E$2,CONFIG!$A$6:$E$8,2,0),"--"))),"--")</f>
        <v>--</v>
      </c>
      <c r="M283" s="59" t="str">
        <f>IFERROR(IF(N283="SIN","--",IF(CONFIG!$E$2="HIP",2,IF(CONFIG!$E$2="FUE",1,2))),"--")</f>
        <v>--</v>
      </c>
      <c r="N283" s="53" t="str">
        <f>IFERROR(IF(G283="","SIN",IF(O283=1,"SUBIR_E",IF(H283&lt;IFERROR(VLOOKUP(CONFIG!$E$2,CONFIG!$A$6:$E$8,2,0),6),"BAJAR",IF(H283+I283&gt;=IFERROR(VLOOKUP(CONFIG!$E$2,CONFIG!$A$6:$E$8,3,0),12),"SUBIR_F",IF(AND(H283&gt;=IFERROR(VLOOKUP(CONFIG!$E$2,CONFIG!$A$6:$E$8,2,0),6)+2,I283&gt;=2),"SUBIR",IF(I283&gt;IFERROR(VLOOKUP(CONFIG!$E$2,CONFIG!$A$6:$E$8,5,0),3),"SUBIR","MANT")))))),"SIN")</f>
        <v>SIN</v>
      </c>
      <c r="O283" s="55">
        <f>IF(COUNTIFS(HISTORIAL!$O$3:$O$281,D283&amp;"|"&amp;E283,HISTORIAL!$F$3:$F$281,"&gt;0")&lt;2,0,IF(COUNTIFS(HISTORIAL!$O$3:$O$281,D283&amp;"|"&amp;E283,HISTORIAL!$F$3:$F$281,IFERROR(LOOKUP(2,1/((HISTORIAL!$O$3:$O$281=D283&amp;"|"&amp;E283)*(HISTORIAL!$F$3:$F$281&gt;0)),HISTORIAL!$F$3:$F$281),0))&gt;=2,IF(IFERROR(LOOKUP(2,1/((HISTORIAL!$O$3:$O$281=D283&amp;"|"&amp;E283)*(HISTORIAL!$F$3:$F$281&gt;0)),HISTORIAL!$G$3:$G$281),0)&gt;0,IF(F283&gt;0,IF(G283&lt;=IFERROR(LOOKUP(2,1/((HISTORIAL!$O$3:$O$281=D283&amp;"|"&amp;E283)*(HISTORIAL!$F$3:$F$281&gt;0)),HISTORIAL!$G$3:$G$281),0),1,0),0),0),0))</f>
        <v>0</v>
      </c>
    </row>
    <row r="284" spans="1:15" ht="14.1" customHeight="1">
      <c r="A284" s="37">
        <v>5</v>
      </c>
      <c r="B284" s="37" t="s">
        <v>279</v>
      </c>
      <c r="C284" s="37">
        <v>7</v>
      </c>
      <c r="D284" s="56" t="str">
        <f>MIERCOLES!$A$107</f>
        <v>Extension Cuadriceps</v>
      </c>
      <c r="E284" s="57" t="str">
        <f>MIERCOLES!$B$107</f>
        <v>Vasto Interno</v>
      </c>
      <c r="F284" s="37" t="str">
        <f>MIERCOLES!$C$107</f>
        <v>--</v>
      </c>
      <c r="G284" s="37" t="str">
        <f>IFERROR(LOOKUP(2,1/((HISTORIAL!$O$3:$O$282=D284&amp;"|"&amp;E284)*(HISTORIAL!$F$3:$F$282&lt;&gt;"")),HISTORIAL!$F$3:$F$282),"")</f>
        <v/>
      </c>
      <c r="H284" s="37" t="str">
        <f>IFERROR(LOOKUP(2,1/((HISTORIAL!$O$3:$O$282=D284&amp;"|"&amp;E284)*(HISTORIAL!$F$3:$F$282&lt;&gt;"")),HISTORIAL!$G$3:$G$282),"")</f>
        <v/>
      </c>
      <c r="I284" s="37" t="str">
        <f>IFERROR(LOOKUP(2,1/((HISTORIAL!$O$3:$O$282=D284&amp;"|"&amp;E284)*(HISTORIAL!$F$3:$F$282&lt;&gt;"")),HISTORIAL!$H$3:$H$282),"")</f>
        <v/>
      </c>
      <c r="J284" s="37" t="str">
        <f>IFERROR(LOOKUP(2,1/((HISTORIAL!$O$3:$O$282=D284&amp;"|"&amp;E284)*(HISTORIAL!$F$3:$F$282&lt;&gt;"")),HISTORIAL!$I$3:$I$282),"")</f>
        <v/>
      </c>
      <c r="K284" s="58" t="str">
        <f>IFERROR(IF(OR(G284="",N284="SIN"),"--",IF(N284="SUBIR_F",IF(F284="polea",IFERROR(INDEX(CONFIG!$B$25:$B$40,MATCH(G284,CONFIG!$B$25:$B$40,0)+2),IFERROR(INDEX(CONFIG!$B$25:$B$40,MATCH(G284,CONFIG!$B$25:$B$40,0)+1),G284)),G284+5),IF(OR(N284="SUBIR",N284="SUBIR_E"),IF(F284="polea",IFERROR(INDEX(CONFIG!$B$25:$B$40,MATCH(G284,CONFIG!$B$25:$B$40,0)+1),G284),G284+2.5),IF(N284="BAJAR",IF(F284="polea",IFERROR(INDEX(CONFIG!$B$25:$B$40,MAX(1,MATCH(G284,CONFIG!$B$25:$B$40,0)-1)),G284),MAX(0,G284-2.5)),G284)))),"--")</f>
        <v>--</v>
      </c>
      <c r="L284" s="59" t="str">
        <f>IFERROR(IF(N284="SIN","--",IF(N284="MANT",IF(H284="","--",H284+1),IFERROR(VLOOKUP(CONFIG!$E$2,CONFIG!$A$6:$E$8,2,0),"--"))),"--")</f>
        <v>--</v>
      </c>
      <c r="M284" s="59" t="str">
        <f>IFERROR(IF(N284="SIN","--",IF(CONFIG!$E$2="HIP",2,IF(CONFIG!$E$2="FUE",1,2))),"--")</f>
        <v>--</v>
      </c>
      <c r="N284" s="53" t="str">
        <f>IFERROR(IF(G284="","SIN",IF(O284=1,"SUBIR_E",IF(H284&lt;IFERROR(VLOOKUP(CONFIG!$E$2,CONFIG!$A$6:$E$8,2,0),6),"BAJAR",IF(H284+I284&gt;=IFERROR(VLOOKUP(CONFIG!$E$2,CONFIG!$A$6:$E$8,3,0),12),"SUBIR_F",IF(AND(H284&gt;=IFERROR(VLOOKUP(CONFIG!$E$2,CONFIG!$A$6:$E$8,2,0),6)+2,I284&gt;=2),"SUBIR",IF(I284&gt;IFERROR(VLOOKUP(CONFIG!$E$2,CONFIG!$A$6:$E$8,5,0),3),"SUBIR","MANT")))))),"SIN")</f>
        <v>SIN</v>
      </c>
      <c r="O284" s="55">
        <f>IF(COUNTIFS(HISTORIAL!$O$3:$O$282,D284&amp;"|"&amp;E284,HISTORIAL!$F$3:$F$282,"&gt;0")&lt;2,0,IF(COUNTIFS(HISTORIAL!$O$3:$O$282,D284&amp;"|"&amp;E284,HISTORIAL!$F$3:$F$282,IFERROR(LOOKUP(2,1/((HISTORIAL!$O$3:$O$282=D284&amp;"|"&amp;E284)*(HISTORIAL!$F$3:$F$282&gt;0)),HISTORIAL!$F$3:$F$282),0))&gt;=2,IF(IFERROR(LOOKUP(2,1/((HISTORIAL!$O$3:$O$282=D284&amp;"|"&amp;E284)*(HISTORIAL!$F$3:$F$282&gt;0)),HISTORIAL!$G$3:$G$282),0)&gt;0,IF(F284&gt;0,IF(G284&lt;=IFERROR(LOOKUP(2,1/((HISTORIAL!$O$3:$O$282=D284&amp;"|"&amp;E284)*(HISTORIAL!$F$3:$F$282&gt;0)),HISTORIAL!$G$3:$G$282),0),1,0),0),0),0))</f>
        <v>0</v>
      </c>
    </row>
    <row r="285" spans="1:15" ht="14.1" customHeight="1">
      <c r="A285" s="37">
        <v>5</v>
      </c>
      <c r="B285" s="37" t="s">
        <v>279</v>
      </c>
      <c r="C285" s="37">
        <v>8</v>
      </c>
      <c r="D285" s="56" t="str">
        <f>MIERCOLES!$A$109</f>
        <v>Elevacion Gemelo</v>
      </c>
      <c r="E285" s="57" t="str">
        <f>MIERCOLES!$B$109</f>
        <v>Sentado</v>
      </c>
      <c r="F285" s="37" t="str">
        <f>MIERCOLES!$C$109</f>
        <v>disco</v>
      </c>
      <c r="G285" s="37" t="str">
        <f>IFERROR(LOOKUP(2,1/((HISTORIAL!$O$3:$O$283=D285&amp;"|"&amp;E285)*(HISTORIAL!$F$3:$F$283&lt;&gt;"")),HISTORIAL!$F$3:$F$283),"")</f>
        <v/>
      </c>
      <c r="H285" s="37" t="str">
        <f>IFERROR(LOOKUP(2,1/((HISTORIAL!$O$3:$O$283=D285&amp;"|"&amp;E285)*(HISTORIAL!$F$3:$F$283&lt;&gt;"")),HISTORIAL!$G$3:$G$283),"")</f>
        <v/>
      </c>
      <c r="I285" s="37" t="str">
        <f>IFERROR(LOOKUP(2,1/((HISTORIAL!$O$3:$O$283=D285&amp;"|"&amp;E285)*(HISTORIAL!$F$3:$F$283&lt;&gt;"")),HISTORIAL!$H$3:$H$283),"")</f>
        <v/>
      </c>
      <c r="J285" s="37" t="str">
        <f>IFERROR(LOOKUP(2,1/((HISTORIAL!$O$3:$O$283=D285&amp;"|"&amp;E285)*(HISTORIAL!$F$3:$F$283&lt;&gt;"")),HISTORIAL!$I$3:$I$283),"")</f>
        <v/>
      </c>
      <c r="K285" s="58" t="str">
        <f>IFERROR(IF(OR(G285="",N285="SIN"),"--",IF(N285="SUBIR_F",IF(F285="polea",IFERROR(INDEX(CONFIG!$B$25:$B$40,MATCH(G285,CONFIG!$B$25:$B$40,0)+2),IFERROR(INDEX(CONFIG!$B$25:$B$40,MATCH(G285,CONFIG!$B$25:$B$40,0)+1),G285)),G285+5),IF(OR(N285="SUBIR",N285="SUBIR_E"),IF(F285="polea",IFERROR(INDEX(CONFIG!$B$25:$B$40,MATCH(G285,CONFIG!$B$25:$B$40,0)+1),G285),G285+2.5),IF(N285="BAJAR",IF(F285="polea",IFERROR(INDEX(CONFIG!$B$25:$B$40,MAX(1,MATCH(G285,CONFIG!$B$25:$B$40,0)-1)),G285),MAX(0,G285-2.5)),G285)))),"--")</f>
        <v>--</v>
      </c>
      <c r="L285" s="59" t="str">
        <f>IFERROR(IF(N285="SIN","--",IF(N285="MANT",IF(H285="","--",H285+1),IFERROR(VLOOKUP(CONFIG!$E$2,CONFIG!$A$6:$E$8,2,0),"--"))),"--")</f>
        <v>--</v>
      </c>
      <c r="M285" s="59" t="str">
        <f>IFERROR(IF(N285="SIN","--",IF(CONFIG!$E$2="HIP",2,IF(CONFIG!$E$2="FUE",1,2))),"--")</f>
        <v>--</v>
      </c>
      <c r="N285" s="53" t="str">
        <f>IFERROR(IF(G285="","SIN",IF(O285=1,"SUBIR_E",IF(H285&lt;IFERROR(VLOOKUP(CONFIG!$E$2,CONFIG!$A$6:$E$8,2,0),6),"BAJAR",IF(H285+I285&gt;=IFERROR(VLOOKUP(CONFIG!$E$2,CONFIG!$A$6:$E$8,3,0),12),"SUBIR_F",IF(AND(H285&gt;=IFERROR(VLOOKUP(CONFIG!$E$2,CONFIG!$A$6:$E$8,2,0),6)+2,I285&gt;=2),"SUBIR",IF(I285&gt;IFERROR(VLOOKUP(CONFIG!$E$2,CONFIG!$A$6:$E$8,5,0),3),"SUBIR","MANT")))))),"SIN")</f>
        <v>SIN</v>
      </c>
      <c r="O285" s="55">
        <f>IF(COUNTIFS(HISTORIAL!$O$3:$O$283,D285&amp;"|"&amp;E285,HISTORIAL!$F$3:$F$283,"&gt;0")&lt;2,0,IF(COUNTIFS(HISTORIAL!$O$3:$O$283,D285&amp;"|"&amp;E285,HISTORIAL!$F$3:$F$283,IFERROR(LOOKUP(2,1/((HISTORIAL!$O$3:$O$283=D285&amp;"|"&amp;E285)*(HISTORIAL!$F$3:$F$283&gt;0)),HISTORIAL!$F$3:$F$283),0))&gt;=2,IF(IFERROR(LOOKUP(2,1/((HISTORIAL!$O$3:$O$283=D285&amp;"|"&amp;E285)*(HISTORIAL!$F$3:$F$283&gt;0)),HISTORIAL!$G$3:$G$283),0)&gt;0,IF(F285&gt;0,IF(G285&lt;=IFERROR(LOOKUP(2,1/((HISTORIAL!$O$3:$O$283=D285&amp;"|"&amp;E285)*(HISTORIAL!$F$3:$F$283&gt;0)),HISTORIAL!$G$3:$G$283),0),1,0),0),0),0))</f>
        <v>0</v>
      </c>
    </row>
    <row r="286" spans="1:15" ht="14.1" customHeight="1">
      <c r="A286" s="37">
        <v>5</v>
      </c>
      <c r="B286" s="37" t="s">
        <v>279</v>
      </c>
      <c r="C286" s="37">
        <v>9</v>
      </c>
      <c r="D286" s="56" t="str">
        <f>MIERCOLES!$A$110</f>
        <v>Elevacion Gemelo</v>
      </c>
      <c r="E286" s="57" t="str">
        <f>MIERCOLES!$B$110</f>
        <v>De Pie</v>
      </c>
      <c r="F286" s="37" t="str">
        <f>MIERCOLES!$C$110</f>
        <v>disco</v>
      </c>
      <c r="G286" s="37" t="str">
        <f>IFERROR(LOOKUP(2,1/((HISTORIAL!$O$3:$O$284=D286&amp;"|"&amp;E286)*(HISTORIAL!$F$3:$F$284&lt;&gt;"")),HISTORIAL!$F$3:$F$284),"")</f>
        <v/>
      </c>
      <c r="H286" s="37" t="str">
        <f>IFERROR(LOOKUP(2,1/((HISTORIAL!$O$3:$O$284=D286&amp;"|"&amp;E286)*(HISTORIAL!$F$3:$F$284&lt;&gt;"")),HISTORIAL!$G$3:$G$284),"")</f>
        <v/>
      </c>
      <c r="I286" s="37" t="str">
        <f>IFERROR(LOOKUP(2,1/((HISTORIAL!$O$3:$O$284=D286&amp;"|"&amp;E286)*(HISTORIAL!$F$3:$F$284&lt;&gt;"")),HISTORIAL!$H$3:$H$284),"")</f>
        <v/>
      </c>
      <c r="J286" s="37" t="str">
        <f>IFERROR(LOOKUP(2,1/((HISTORIAL!$O$3:$O$284=D286&amp;"|"&amp;E286)*(HISTORIAL!$F$3:$F$284&lt;&gt;"")),HISTORIAL!$I$3:$I$284),"")</f>
        <v/>
      </c>
      <c r="K286" s="58" t="str">
        <f>IFERROR(IF(OR(G286="",N286="SIN"),"--",IF(N286="SUBIR_F",IF(F286="polea",IFERROR(INDEX(CONFIG!$B$25:$B$40,MATCH(G286,CONFIG!$B$25:$B$40,0)+2),IFERROR(INDEX(CONFIG!$B$25:$B$40,MATCH(G286,CONFIG!$B$25:$B$40,0)+1),G286)),G286+5),IF(OR(N286="SUBIR",N286="SUBIR_E"),IF(F286="polea",IFERROR(INDEX(CONFIG!$B$25:$B$40,MATCH(G286,CONFIG!$B$25:$B$40,0)+1),G286),G286+2.5),IF(N286="BAJAR",IF(F286="polea",IFERROR(INDEX(CONFIG!$B$25:$B$40,MAX(1,MATCH(G286,CONFIG!$B$25:$B$40,0)-1)),G286),MAX(0,G286-2.5)),G286)))),"--")</f>
        <v>--</v>
      </c>
      <c r="L286" s="59" t="str">
        <f>IFERROR(IF(N286="SIN","--",IF(N286="MANT",IF(H286="","--",H286+1),IFERROR(VLOOKUP(CONFIG!$E$2,CONFIG!$A$6:$E$8,2,0),"--"))),"--")</f>
        <v>--</v>
      </c>
      <c r="M286" s="59" t="str">
        <f>IFERROR(IF(N286="SIN","--",IF(CONFIG!$E$2="HIP",2,IF(CONFIG!$E$2="FUE",1,2))),"--")</f>
        <v>--</v>
      </c>
      <c r="N286" s="53" t="str">
        <f>IFERROR(IF(G286="","SIN",IF(O286=1,"SUBIR_E",IF(H286&lt;IFERROR(VLOOKUP(CONFIG!$E$2,CONFIG!$A$6:$E$8,2,0),6),"BAJAR",IF(H286+I286&gt;=IFERROR(VLOOKUP(CONFIG!$E$2,CONFIG!$A$6:$E$8,3,0),12),"SUBIR_F",IF(AND(H286&gt;=IFERROR(VLOOKUP(CONFIG!$E$2,CONFIG!$A$6:$E$8,2,0),6)+2,I286&gt;=2),"SUBIR",IF(I286&gt;IFERROR(VLOOKUP(CONFIG!$E$2,CONFIG!$A$6:$E$8,5,0),3),"SUBIR","MANT")))))),"SIN")</f>
        <v>SIN</v>
      </c>
      <c r="O286" s="55">
        <f>IF(COUNTIFS(HISTORIAL!$O$3:$O$284,D286&amp;"|"&amp;E286,HISTORIAL!$F$3:$F$284,"&gt;0")&lt;2,0,IF(COUNTIFS(HISTORIAL!$O$3:$O$284,D286&amp;"|"&amp;E286,HISTORIAL!$F$3:$F$284,IFERROR(LOOKUP(2,1/((HISTORIAL!$O$3:$O$284=D286&amp;"|"&amp;E286)*(HISTORIAL!$F$3:$F$284&gt;0)),HISTORIAL!$F$3:$F$284),0))&gt;=2,IF(IFERROR(LOOKUP(2,1/((HISTORIAL!$O$3:$O$284=D286&amp;"|"&amp;E286)*(HISTORIAL!$F$3:$F$284&gt;0)),HISTORIAL!$G$3:$G$284),0)&gt;0,IF(F286&gt;0,IF(G286&lt;=IFERROR(LOOKUP(2,1/((HISTORIAL!$O$3:$O$284=D286&amp;"|"&amp;E286)*(HISTORIAL!$F$3:$F$284&gt;0)),HISTORIAL!$G$3:$G$284),0),1,0),0),0),0))</f>
        <v>0</v>
      </c>
    </row>
    <row r="287" spans="1:15" ht="14.1" customHeight="1">
      <c r="A287" s="37">
        <v>5</v>
      </c>
      <c r="B287" s="37" t="s">
        <v>279</v>
      </c>
      <c r="C287" s="37">
        <v>10</v>
      </c>
      <c r="D287" s="56" t="str">
        <f>MIERCOLES!$A$112</f>
        <v>Hiperextension</v>
      </c>
      <c r="E287" s="57" t="str">
        <f>MIERCOLES!$B$112</f>
        <v>Banco Romano</v>
      </c>
      <c r="F287" s="37" t="str">
        <f>MIERCOLES!$C$112</f>
        <v>peso_corporal</v>
      </c>
      <c r="G287" s="37" t="str">
        <f>IFERROR(LOOKUP(2,1/((HISTORIAL!$O$3:$O$285=D287&amp;"|"&amp;E287)*(HISTORIAL!$F$3:$F$285&lt;&gt;"")),HISTORIAL!$F$3:$F$285),"")</f>
        <v/>
      </c>
      <c r="H287" s="37" t="str">
        <f>IFERROR(LOOKUP(2,1/((HISTORIAL!$O$3:$O$285=D287&amp;"|"&amp;E287)*(HISTORIAL!$F$3:$F$285&lt;&gt;"")),HISTORIAL!$G$3:$G$285),"")</f>
        <v/>
      </c>
      <c r="I287" s="37" t="str">
        <f>IFERROR(LOOKUP(2,1/((HISTORIAL!$O$3:$O$285=D287&amp;"|"&amp;E287)*(HISTORIAL!$F$3:$F$285&lt;&gt;"")),HISTORIAL!$H$3:$H$285),"")</f>
        <v/>
      </c>
      <c r="J287" s="37" t="str">
        <f>IFERROR(LOOKUP(2,1/((HISTORIAL!$O$3:$O$285=D287&amp;"|"&amp;E287)*(HISTORIAL!$F$3:$F$285&lt;&gt;"")),HISTORIAL!$I$3:$I$285),"")</f>
        <v/>
      </c>
      <c r="K287" s="58" t="str">
        <f>IFERROR(IF(OR(G287="",N287="SIN"),"--",IF(N287="SUBIR_F",IF(F287="polea",IFERROR(INDEX(CONFIG!$B$25:$B$40,MATCH(G287,CONFIG!$B$25:$B$40,0)+2),IFERROR(INDEX(CONFIG!$B$25:$B$40,MATCH(G287,CONFIG!$B$25:$B$40,0)+1),G287)),G287+5),IF(OR(N287="SUBIR",N287="SUBIR_E"),IF(F287="polea",IFERROR(INDEX(CONFIG!$B$25:$B$40,MATCH(G287,CONFIG!$B$25:$B$40,0)+1),G287),G287+2.5),IF(N287="BAJAR",IF(F287="polea",IFERROR(INDEX(CONFIG!$B$25:$B$40,MAX(1,MATCH(G287,CONFIG!$B$25:$B$40,0)-1)),G287),MAX(0,G287-2.5)),G287)))),"--")</f>
        <v>--</v>
      </c>
      <c r="L287" s="59" t="str">
        <f>IFERROR(IF(N287="SIN","--",IF(N287="MANT",IF(H287="","--",H287+1),IFERROR(VLOOKUP(CONFIG!$E$2,CONFIG!$A$6:$E$8,2,0),"--"))),"--")</f>
        <v>--</v>
      </c>
      <c r="M287" s="59" t="str">
        <f>IFERROR(IF(N287="SIN","--",IF(CONFIG!$E$2="HIP",2,IF(CONFIG!$E$2="FUE",1,2))),"--")</f>
        <v>--</v>
      </c>
      <c r="N287" s="53" t="str">
        <f>IFERROR(IF(G287="","SIN",IF(O287=1,"SUBIR_E",IF(H287&lt;IFERROR(VLOOKUP(CONFIG!$E$2,CONFIG!$A$6:$E$8,2,0),6),"BAJAR",IF(H287+I287&gt;=IFERROR(VLOOKUP(CONFIG!$E$2,CONFIG!$A$6:$E$8,3,0),12),"SUBIR_F",IF(AND(H287&gt;=IFERROR(VLOOKUP(CONFIG!$E$2,CONFIG!$A$6:$E$8,2,0),6)+2,I287&gt;=2),"SUBIR",IF(I287&gt;IFERROR(VLOOKUP(CONFIG!$E$2,CONFIG!$A$6:$E$8,5,0),3),"SUBIR","MANT")))))),"SIN")</f>
        <v>SIN</v>
      </c>
      <c r="O287" s="55">
        <f>IF(COUNTIFS(HISTORIAL!$O$3:$O$285,D287&amp;"|"&amp;E287,HISTORIAL!$F$3:$F$285,"&gt;0")&lt;2,0,IF(COUNTIFS(HISTORIAL!$O$3:$O$285,D287&amp;"|"&amp;E287,HISTORIAL!$F$3:$F$285,IFERROR(LOOKUP(2,1/((HISTORIAL!$O$3:$O$285=D287&amp;"|"&amp;E287)*(HISTORIAL!$F$3:$F$285&gt;0)),HISTORIAL!$F$3:$F$285),0))&gt;=2,IF(IFERROR(LOOKUP(2,1/((HISTORIAL!$O$3:$O$285=D287&amp;"|"&amp;E287)*(HISTORIAL!$F$3:$F$285&gt;0)),HISTORIAL!$G$3:$G$285),0)&gt;0,IF(F287&gt;0,IF(G287&lt;=IFERROR(LOOKUP(2,1/((HISTORIAL!$O$3:$O$285=D287&amp;"|"&amp;E287)*(HISTORIAL!$F$3:$F$285&gt;0)),HISTORIAL!$G$3:$G$285),0),1,0),0),0),0))</f>
        <v>0</v>
      </c>
    </row>
    <row r="288" spans="1:15" ht="14.1" customHeight="1">
      <c r="A288" s="37">
        <v>5</v>
      </c>
      <c r="B288" s="37" t="s">
        <v>279</v>
      </c>
      <c r="C288" s="37">
        <v>11</v>
      </c>
      <c r="D288" s="56" t="str">
        <f>MIERCOLES!$A$113</f>
        <v>Peso Muerto Parcial</v>
      </c>
      <c r="E288" s="57" t="str">
        <f>MIERCOLES!$B$113</f>
        <v>Barra</v>
      </c>
      <c r="F288" s="37" t="str">
        <f>MIERCOLES!$C$113</f>
        <v>disco</v>
      </c>
      <c r="G288" s="37" t="str">
        <f>IFERROR(LOOKUP(2,1/((HISTORIAL!$O$3:$O$286=D288&amp;"|"&amp;E288)*(HISTORIAL!$F$3:$F$286&lt;&gt;"")),HISTORIAL!$F$3:$F$286),"")</f>
        <v/>
      </c>
      <c r="H288" s="37" t="str">
        <f>IFERROR(LOOKUP(2,1/((HISTORIAL!$O$3:$O$286=D288&amp;"|"&amp;E288)*(HISTORIAL!$F$3:$F$286&lt;&gt;"")),HISTORIAL!$G$3:$G$286),"")</f>
        <v/>
      </c>
      <c r="I288" s="37" t="str">
        <f>IFERROR(LOOKUP(2,1/((HISTORIAL!$O$3:$O$286=D288&amp;"|"&amp;E288)*(HISTORIAL!$F$3:$F$286&lt;&gt;"")),HISTORIAL!$H$3:$H$286),"")</f>
        <v/>
      </c>
      <c r="J288" s="37" t="str">
        <f>IFERROR(LOOKUP(2,1/((HISTORIAL!$O$3:$O$286=D288&amp;"|"&amp;E288)*(HISTORIAL!$F$3:$F$286&lt;&gt;"")),HISTORIAL!$I$3:$I$286),"")</f>
        <v/>
      </c>
      <c r="K288" s="58" t="str">
        <f>IFERROR(IF(OR(G288="",N288="SIN"),"--",IF(N288="SUBIR_F",IF(F288="polea",IFERROR(INDEX(CONFIG!$B$25:$B$40,MATCH(G288,CONFIG!$B$25:$B$40,0)+2),IFERROR(INDEX(CONFIG!$B$25:$B$40,MATCH(G288,CONFIG!$B$25:$B$40,0)+1),G288)),G288+5),IF(OR(N288="SUBIR",N288="SUBIR_E"),IF(F288="polea",IFERROR(INDEX(CONFIG!$B$25:$B$40,MATCH(G288,CONFIG!$B$25:$B$40,0)+1),G288),G288+2.5),IF(N288="BAJAR",IF(F288="polea",IFERROR(INDEX(CONFIG!$B$25:$B$40,MAX(1,MATCH(G288,CONFIG!$B$25:$B$40,0)-1)),G288),MAX(0,G288-2.5)),G288)))),"--")</f>
        <v>--</v>
      </c>
      <c r="L288" s="59" t="str">
        <f>IFERROR(IF(N288="SIN","--",IF(N288="MANT",IF(H288="","--",H288+1),IFERROR(VLOOKUP(CONFIG!$E$2,CONFIG!$A$6:$E$8,2,0),"--"))),"--")</f>
        <v>--</v>
      </c>
      <c r="M288" s="59" t="str">
        <f>IFERROR(IF(N288="SIN","--",IF(CONFIG!$E$2="HIP",2,IF(CONFIG!$E$2="FUE",1,2))),"--")</f>
        <v>--</v>
      </c>
      <c r="N288" s="53" t="str">
        <f>IFERROR(IF(G288="","SIN",IF(O288=1,"SUBIR_E",IF(H288&lt;IFERROR(VLOOKUP(CONFIG!$E$2,CONFIG!$A$6:$E$8,2,0),6),"BAJAR",IF(H288+I288&gt;=IFERROR(VLOOKUP(CONFIG!$E$2,CONFIG!$A$6:$E$8,3,0),12),"SUBIR_F",IF(AND(H288&gt;=IFERROR(VLOOKUP(CONFIG!$E$2,CONFIG!$A$6:$E$8,2,0),6)+2,I288&gt;=2),"SUBIR",IF(I288&gt;IFERROR(VLOOKUP(CONFIG!$E$2,CONFIG!$A$6:$E$8,5,0),3),"SUBIR","MANT")))))),"SIN")</f>
        <v>SIN</v>
      </c>
      <c r="O288" s="55">
        <f>IF(COUNTIFS(HISTORIAL!$O$3:$O$286,D288&amp;"|"&amp;E288,HISTORIAL!$F$3:$F$286,"&gt;0")&lt;2,0,IF(COUNTIFS(HISTORIAL!$O$3:$O$286,D288&amp;"|"&amp;E288,HISTORIAL!$F$3:$F$286,IFERROR(LOOKUP(2,1/((HISTORIAL!$O$3:$O$286=D288&amp;"|"&amp;E288)*(HISTORIAL!$F$3:$F$286&gt;0)),HISTORIAL!$F$3:$F$286),0))&gt;=2,IF(IFERROR(LOOKUP(2,1/((HISTORIAL!$O$3:$O$286=D288&amp;"|"&amp;E288)*(HISTORIAL!$F$3:$F$286&gt;0)),HISTORIAL!$G$3:$G$286),0)&gt;0,IF(F288&gt;0,IF(G288&lt;=IFERROR(LOOKUP(2,1/((HISTORIAL!$O$3:$O$286=D288&amp;"|"&amp;E288)*(HISTORIAL!$F$3:$F$286&gt;0)),HISTORIAL!$G$3:$G$286),0),1,0),0),0),0))</f>
        <v>0</v>
      </c>
    </row>
    <row r="289" spans="1:15" ht="14.1" customHeight="1">
      <c r="A289" s="37">
        <v>5</v>
      </c>
      <c r="B289" s="37" t="s">
        <v>279</v>
      </c>
      <c r="C289" s="37">
        <v>12</v>
      </c>
      <c r="D289" s="56" t="str">
        <f>MIERCOLES!$A$115</f>
        <v>Crunch</v>
      </c>
      <c r="E289" s="57" t="str">
        <f>MIERCOLES!$B$115</f>
        <v>Polea</v>
      </c>
      <c r="F289" s="37" t="str">
        <f>MIERCOLES!$C$115</f>
        <v>polea</v>
      </c>
      <c r="G289" s="37" t="str">
        <f>IFERROR(LOOKUP(2,1/((HISTORIAL!$O$3:$O$287=D289&amp;"|"&amp;E289)*(HISTORIAL!$F$3:$F$287&lt;&gt;"")),HISTORIAL!$F$3:$F$287),"")</f>
        <v/>
      </c>
      <c r="H289" s="37" t="str">
        <f>IFERROR(LOOKUP(2,1/((HISTORIAL!$O$3:$O$287=D289&amp;"|"&amp;E289)*(HISTORIAL!$F$3:$F$287&lt;&gt;"")),HISTORIAL!$G$3:$G$287),"")</f>
        <v/>
      </c>
      <c r="I289" s="37" t="str">
        <f>IFERROR(LOOKUP(2,1/((HISTORIAL!$O$3:$O$287=D289&amp;"|"&amp;E289)*(HISTORIAL!$F$3:$F$287&lt;&gt;"")),HISTORIAL!$H$3:$H$287),"")</f>
        <v/>
      </c>
      <c r="J289" s="37" t="str">
        <f>IFERROR(LOOKUP(2,1/((HISTORIAL!$O$3:$O$287=D289&amp;"|"&amp;E289)*(HISTORIAL!$F$3:$F$287&lt;&gt;"")),HISTORIAL!$I$3:$I$287),"")</f>
        <v/>
      </c>
      <c r="K289" s="58" t="str">
        <f>IFERROR(IF(OR(G289="",N289="SIN"),"--",IF(N289="SUBIR_F",IF(F289="polea",IFERROR(INDEX(CONFIG!$B$25:$B$40,MATCH(G289,CONFIG!$B$25:$B$40,0)+2),IFERROR(INDEX(CONFIG!$B$25:$B$40,MATCH(G289,CONFIG!$B$25:$B$40,0)+1),G289)),G289+5),IF(OR(N289="SUBIR",N289="SUBIR_E"),IF(F289="polea",IFERROR(INDEX(CONFIG!$B$25:$B$40,MATCH(G289,CONFIG!$B$25:$B$40,0)+1),G289),G289+2.5),IF(N289="BAJAR",IF(F289="polea",IFERROR(INDEX(CONFIG!$B$25:$B$40,MAX(1,MATCH(G289,CONFIG!$B$25:$B$40,0)-1)),G289),MAX(0,G289-2.5)),G289)))),"--")</f>
        <v>--</v>
      </c>
      <c r="L289" s="59" t="str">
        <f>IFERROR(IF(N289="SIN","--",IF(N289="MANT",IF(H289="","--",H289+1),IFERROR(VLOOKUP(CONFIG!$E$2,CONFIG!$A$6:$E$8,2,0),"--"))),"--")</f>
        <v>--</v>
      </c>
      <c r="M289" s="59" t="str">
        <f>IFERROR(IF(N289="SIN","--",IF(CONFIG!$E$2="HIP",2,IF(CONFIG!$E$2="FUE",1,2))),"--")</f>
        <v>--</v>
      </c>
      <c r="N289" s="53" t="str">
        <f>IFERROR(IF(G289="","SIN",IF(O289=1,"SUBIR_E",IF(H289&lt;IFERROR(VLOOKUP(CONFIG!$E$2,CONFIG!$A$6:$E$8,2,0),6),"BAJAR",IF(H289+I289&gt;=IFERROR(VLOOKUP(CONFIG!$E$2,CONFIG!$A$6:$E$8,3,0),12),"SUBIR_F",IF(AND(H289&gt;=IFERROR(VLOOKUP(CONFIG!$E$2,CONFIG!$A$6:$E$8,2,0),6)+2,I289&gt;=2),"SUBIR",IF(I289&gt;IFERROR(VLOOKUP(CONFIG!$E$2,CONFIG!$A$6:$E$8,5,0),3),"SUBIR","MANT")))))),"SIN")</f>
        <v>SIN</v>
      </c>
      <c r="O289" s="55">
        <f>IF(COUNTIFS(HISTORIAL!$O$3:$O$287,D289&amp;"|"&amp;E289,HISTORIAL!$F$3:$F$287,"&gt;0")&lt;2,0,IF(COUNTIFS(HISTORIAL!$O$3:$O$287,D289&amp;"|"&amp;E289,HISTORIAL!$F$3:$F$287,IFERROR(LOOKUP(2,1/((HISTORIAL!$O$3:$O$287=D289&amp;"|"&amp;E289)*(HISTORIAL!$F$3:$F$287&gt;0)),HISTORIAL!$F$3:$F$287),0))&gt;=2,IF(IFERROR(LOOKUP(2,1/((HISTORIAL!$O$3:$O$287=D289&amp;"|"&amp;E289)*(HISTORIAL!$F$3:$F$287&gt;0)),HISTORIAL!$G$3:$G$287),0)&gt;0,IF(F289&gt;0,IF(G289&lt;=IFERROR(LOOKUP(2,1/((HISTORIAL!$O$3:$O$287=D289&amp;"|"&amp;E289)*(HISTORIAL!$F$3:$F$287&gt;0)),HISTORIAL!$G$3:$G$287),0),1,0),0),0),0))</f>
        <v>0</v>
      </c>
    </row>
    <row r="290" spans="1:15" ht="14.1" customHeight="1">
      <c r="A290" s="37">
        <v>5</v>
      </c>
      <c r="B290" s="37" t="s">
        <v>279</v>
      </c>
      <c r="C290" s="37">
        <v>13</v>
      </c>
      <c r="D290" s="56" t="str">
        <f>MIERCOLES!$A$116</f>
        <v>Plancha</v>
      </c>
      <c r="E290" s="57" t="str">
        <f>MIERCOLES!$B$116</f>
        <v>Abdominal</v>
      </c>
      <c r="F290" s="37" t="str">
        <f>MIERCOLES!$C$116</f>
        <v>--</v>
      </c>
      <c r="G290" s="37" t="str">
        <f>IFERROR(LOOKUP(2,1/((HISTORIAL!$O$3:$O$288=D290&amp;"|"&amp;E290)*(HISTORIAL!$F$3:$F$288&lt;&gt;"")),HISTORIAL!$F$3:$F$288),"")</f>
        <v/>
      </c>
      <c r="H290" s="37" t="str">
        <f>IFERROR(LOOKUP(2,1/((HISTORIAL!$O$3:$O$288=D290&amp;"|"&amp;E290)*(HISTORIAL!$F$3:$F$288&lt;&gt;"")),HISTORIAL!$G$3:$G$288),"")</f>
        <v/>
      </c>
      <c r="I290" s="37" t="str">
        <f>IFERROR(LOOKUP(2,1/((HISTORIAL!$O$3:$O$288=D290&amp;"|"&amp;E290)*(HISTORIAL!$F$3:$F$288&lt;&gt;"")),HISTORIAL!$H$3:$H$288),"")</f>
        <v/>
      </c>
      <c r="J290" s="37" t="str">
        <f>IFERROR(LOOKUP(2,1/((HISTORIAL!$O$3:$O$288=D290&amp;"|"&amp;E290)*(HISTORIAL!$F$3:$F$288&lt;&gt;"")),HISTORIAL!$I$3:$I$288),"")</f>
        <v/>
      </c>
      <c r="K290" s="58" t="str">
        <f>IFERROR(IF(OR(G290="",N290="SIN"),"--",IF(N290="SUBIR_F",IF(F290="polea",IFERROR(INDEX(CONFIG!$B$25:$B$40,MATCH(G290,CONFIG!$B$25:$B$40,0)+2),IFERROR(INDEX(CONFIG!$B$25:$B$40,MATCH(G290,CONFIG!$B$25:$B$40,0)+1),G290)),G290+5),IF(OR(N290="SUBIR",N290="SUBIR_E"),IF(F290="polea",IFERROR(INDEX(CONFIG!$B$25:$B$40,MATCH(G290,CONFIG!$B$25:$B$40,0)+1),G290),G290+2.5),IF(N290="BAJAR",IF(F290="polea",IFERROR(INDEX(CONFIG!$B$25:$B$40,MAX(1,MATCH(G290,CONFIG!$B$25:$B$40,0)-1)),G290),MAX(0,G290-2.5)),G290)))),"--")</f>
        <v>--</v>
      </c>
      <c r="L290" s="59" t="str">
        <f>IFERROR(IF(N290="SIN","--",IF(N290="MANT",IF(H290="","--",H290+1),IFERROR(VLOOKUP(CONFIG!$E$2,CONFIG!$A$6:$E$8,2,0),"--"))),"--")</f>
        <v>--</v>
      </c>
      <c r="M290" s="59" t="str">
        <f>IFERROR(IF(N290="SIN","--",IF(CONFIG!$E$2="HIP",2,IF(CONFIG!$E$2="FUE",1,2))),"--")</f>
        <v>--</v>
      </c>
      <c r="N290" s="53" t="str">
        <f>IFERROR(IF(G290="","SIN",IF(O290=1,"SUBIR_E",IF(H290&lt;IFERROR(VLOOKUP(CONFIG!$E$2,CONFIG!$A$6:$E$8,2,0),6),"BAJAR",IF(H290+I290&gt;=IFERROR(VLOOKUP(CONFIG!$E$2,CONFIG!$A$6:$E$8,3,0),12),"SUBIR_F",IF(AND(H290&gt;=IFERROR(VLOOKUP(CONFIG!$E$2,CONFIG!$A$6:$E$8,2,0),6)+2,I290&gt;=2),"SUBIR",IF(I290&gt;IFERROR(VLOOKUP(CONFIG!$E$2,CONFIG!$A$6:$E$8,5,0),3),"SUBIR","MANT")))))),"SIN")</f>
        <v>SIN</v>
      </c>
      <c r="O290" s="55">
        <f>IF(COUNTIFS(HISTORIAL!$O$3:$O$288,D290&amp;"|"&amp;E290,HISTORIAL!$F$3:$F$288,"&gt;0")&lt;2,0,IF(COUNTIFS(HISTORIAL!$O$3:$O$288,D290&amp;"|"&amp;E290,HISTORIAL!$F$3:$F$288,IFERROR(LOOKUP(2,1/((HISTORIAL!$O$3:$O$288=D290&amp;"|"&amp;E290)*(HISTORIAL!$F$3:$F$288&gt;0)),HISTORIAL!$F$3:$F$288),0))&gt;=2,IF(IFERROR(LOOKUP(2,1/((HISTORIAL!$O$3:$O$288=D290&amp;"|"&amp;E290)*(HISTORIAL!$F$3:$F$288&gt;0)),HISTORIAL!$G$3:$G$288),0)&gt;0,IF(F290&gt;0,IF(G290&lt;=IFERROR(LOOKUP(2,1/((HISTORIAL!$O$3:$O$288=D290&amp;"|"&amp;E290)*(HISTORIAL!$F$3:$F$288&gt;0)),HISTORIAL!$G$3:$G$288),0),1,0),0),0),0))</f>
        <v>0</v>
      </c>
    </row>
    <row r="291" spans="1:15" ht="14.1" customHeight="1">
      <c r="A291" s="37">
        <v>5</v>
      </c>
      <c r="B291" s="37" t="s">
        <v>279</v>
      </c>
      <c r="C291" s="37">
        <v>14</v>
      </c>
      <c r="D291" s="56" t="str">
        <f>MIERCOLES!$A$117</f>
        <v>Rueda Abdominal</v>
      </c>
      <c r="E291" s="57" t="str">
        <f>MIERCOLES!$B$117</f>
        <v>Ab Wheel</v>
      </c>
      <c r="F291" s="37" t="str">
        <f>MIERCOLES!$C$117</f>
        <v>--</v>
      </c>
      <c r="G291" s="37" t="str">
        <f>IFERROR(LOOKUP(2,1/((HISTORIAL!$O$3:$O$289=D291&amp;"|"&amp;E291)*(HISTORIAL!$F$3:$F$289&lt;&gt;"")),HISTORIAL!$F$3:$F$289),"")</f>
        <v/>
      </c>
      <c r="H291" s="37" t="str">
        <f>IFERROR(LOOKUP(2,1/((HISTORIAL!$O$3:$O$289=D291&amp;"|"&amp;E291)*(HISTORIAL!$F$3:$F$289&lt;&gt;"")),HISTORIAL!$G$3:$G$289),"")</f>
        <v/>
      </c>
      <c r="I291" s="37" t="str">
        <f>IFERROR(LOOKUP(2,1/((HISTORIAL!$O$3:$O$289=D291&amp;"|"&amp;E291)*(HISTORIAL!$F$3:$F$289&lt;&gt;"")),HISTORIAL!$H$3:$H$289),"")</f>
        <v/>
      </c>
      <c r="J291" s="37" t="str">
        <f>IFERROR(LOOKUP(2,1/((HISTORIAL!$O$3:$O$289=D291&amp;"|"&amp;E291)*(HISTORIAL!$F$3:$F$289&lt;&gt;"")),HISTORIAL!$I$3:$I$289),"")</f>
        <v/>
      </c>
      <c r="K291" s="58" t="str">
        <f>IFERROR(IF(OR(G291="",N291="SIN"),"--",IF(N291="SUBIR_F",IF(F291="polea",IFERROR(INDEX(CONFIG!$B$25:$B$40,MATCH(G291,CONFIG!$B$25:$B$40,0)+2),IFERROR(INDEX(CONFIG!$B$25:$B$40,MATCH(G291,CONFIG!$B$25:$B$40,0)+1),G291)),G291+5),IF(OR(N291="SUBIR",N291="SUBIR_E"),IF(F291="polea",IFERROR(INDEX(CONFIG!$B$25:$B$40,MATCH(G291,CONFIG!$B$25:$B$40,0)+1),G291),G291+2.5),IF(N291="BAJAR",IF(F291="polea",IFERROR(INDEX(CONFIG!$B$25:$B$40,MAX(1,MATCH(G291,CONFIG!$B$25:$B$40,0)-1)),G291),MAX(0,G291-2.5)),G291)))),"--")</f>
        <v>--</v>
      </c>
      <c r="L291" s="59" t="str">
        <f>IFERROR(IF(N291="SIN","--",IF(N291="MANT",IF(H291="","--",H291+1),IFERROR(VLOOKUP(CONFIG!$E$2,CONFIG!$A$6:$E$8,2,0),"--"))),"--")</f>
        <v>--</v>
      </c>
      <c r="M291" s="59" t="str">
        <f>IFERROR(IF(N291="SIN","--",IF(CONFIG!$E$2="HIP",2,IF(CONFIG!$E$2="FUE",1,2))),"--")</f>
        <v>--</v>
      </c>
      <c r="N291" s="53" t="str">
        <f>IFERROR(IF(G291="","SIN",IF(O291=1,"SUBIR_E",IF(H291&lt;IFERROR(VLOOKUP(CONFIG!$E$2,CONFIG!$A$6:$E$8,2,0),6),"BAJAR",IF(H291+I291&gt;=IFERROR(VLOOKUP(CONFIG!$E$2,CONFIG!$A$6:$E$8,3,0),12),"SUBIR_F",IF(AND(H291&gt;=IFERROR(VLOOKUP(CONFIG!$E$2,CONFIG!$A$6:$E$8,2,0),6)+2,I291&gt;=2),"SUBIR",IF(I291&gt;IFERROR(VLOOKUP(CONFIG!$E$2,CONFIG!$A$6:$E$8,5,0),3),"SUBIR","MANT")))))),"SIN")</f>
        <v>SIN</v>
      </c>
      <c r="O291" s="55">
        <f>IF(COUNTIFS(HISTORIAL!$O$3:$O$289,D291&amp;"|"&amp;E291,HISTORIAL!$F$3:$F$289,"&gt;0")&lt;2,0,IF(COUNTIFS(HISTORIAL!$O$3:$O$289,D291&amp;"|"&amp;E291,HISTORIAL!$F$3:$F$289,IFERROR(LOOKUP(2,1/((HISTORIAL!$O$3:$O$289=D291&amp;"|"&amp;E291)*(HISTORIAL!$F$3:$F$289&gt;0)),HISTORIAL!$F$3:$F$289),0))&gt;=2,IF(IFERROR(LOOKUP(2,1/((HISTORIAL!$O$3:$O$289=D291&amp;"|"&amp;E291)*(HISTORIAL!$F$3:$F$289&gt;0)),HISTORIAL!$G$3:$G$289),0)&gt;0,IF(F291&gt;0,IF(G291&lt;=IFERROR(LOOKUP(2,1/((HISTORIAL!$O$3:$O$289=D291&amp;"|"&amp;E291)*(HISTORIAL!$F$3:$F$289&gt;0)),HISTORIAL!$G$3:$G$289),0),1,0),0),0),0))</f>
        <v>0</v>
      </c>
    </row>
    <row r="292" spans="1:15" ht="14.1" customHeight="1">
      <c r="A292" s="37">
        <v>5</v>
      </c>
      <c r="B292" s="37" t="s">
        <v>279</v>
      </c>
      <c r="C292" s="37">
        <v>15</v>
      </c>
      <c r="D292" s="56" t="str">
        <f>MIERCOLES!$A$118</f>
        <v>Elevacion Piernas</v>
      </c>
      <c r="E292" s="57" t="str">
        <f>MIERCOLES!$B$118</f>
        <v>Colgado</v>
      </c>
      <c r="F292" s="37" t="str">
        <f>MIERCOLES!$C$118</f>
        <v>peso_corporal</v>
      </c>
      <c r="G292" s="37" t="str">
        <f>IFERROR(LOOKUP(2,1/((HISTORIAL!$O$3:$O$290=D292&amp;"|"&amp;E292)*(HISTORIAL!$F$3:$F$290&lt;&gt;"")),HISTORIAL!$F$3:$F$290),"")</f>
        <v/>
      </c>
      <c r="H292" s="37" t="str">
        <f>IFERROR(LOOKUP(2,1/((HISTORIAL!$O$3:$O$290=D292&amp;"|"&amp;E292)*(HISTORIAL!$F$3:$F$290&lt;&gt;"")),HISTORIAL!$G$3:$G$290),"")</f>
        <v/>
      </c>
      <c r="I292" s="37" t="str">
        <f>IFERROR(LOOKUP(2,1/((HISTORIAL!$O$3:$O$290=D292&amp;"|"&amp;E292)*(HISTORIAL!$F$3:$F$290&lt;&gt;"")),HISTORIAL!$H$3:$H$290),"")</f>
        <v/>
      </c>
      <c r="J292" s="37" t="str">
        <f>IFERROR(LOOKUP(2,1/((HISTORIAL!$O$3:$O$290=D292&amp;"|"&amp;E292)*(HISTORIAL!$F$3:$F$290&lt;&gt;"")),HISTORIAL!$I$3:$I$290),"")</f>
        <v/>
      </c>
      <c r="K292" s="58" t="str">
        <f>IFERROR(IF(OR(G292="",N292="SIN"),"--",IF(N292="SUBIR_F",IF(F292="polea",IFERROR(INDEX(CONFIG!$B$25:$B$40,MATCH(G292,CONFIG!$B$25:$B$40,0)+2),IFERROR(INDEX(CONFIG!$B$25:$B$40,MATCH(G292,CONFIG!$B$25:$B$40,0)+1),G292)),G292+5),IF(OR(N292="SUBIR",N292="SUBIR_E"),IF(F292="polea",IFERROR(INDEX(CONFIG!$B$25:$B$40,MATCH(G292,CONFIG!$B$25:$B$40,0)+1),G292),G292+2.5),IF(N292="BAJAR",IF(F292="polea",IFERROR(INDEX(CONFIG!$B$25:$B$40,MAX(1,MATCH(G292,CONFIG!$B$25:$B$40,0)-1)),G292),MAX(0,G292-2.5)),G292)))),"--")</f>
        <v>--</v>
      </c>
      <c r="L292" s="59" t="str">
        <f>IFERROR(IF(N292="SIN","--",IF(N292="MANT",IF(H292="","--",H292+1),IFERROR(VLOOKUP(CONFIG!$E$2,CONFIG!$A$6:$E$8,2,0),"--"))),"--")</f>
        <v>--</v>
      </c>
      <c r="M292" s="59" t="str">
        <f>IFERROR(IF(N292="SIN","--",IF(CONFIG!$E$2="HIP",2,IF(CONFIG!$E$2="FUE",1,2))),"--")</f>
        <v>--</v>
      </c>
      <c r="N292" s="53" t="str">
        <f>IFERROR(IF(G292="","SIN",IF(O292=1,"SUBIR_E",IF(H292&lt;IFERROR(VLOOKUP(CONFIG!$E$2,CONFIG!$A$6:$E$8,2,0),6),"BAJAR",IF(H292+I292&gt;=IFERROR(VLOOKUP(CONFIG!$E$2,CONFIG!$A$6:$E$8,3,0),12),"SUBIR_F",IF(AND(H292&gt;=IFERROR(VLOOKUP(CONFIG!$E$2,CONFIG!$A$6:$E$8,2,0),6)+2,I292&gt;=2),"SUBIR",IF(I292&gt;IFERROR(VLOOKUP(CONFIG!$E$2,CONFIG!$A$6:$E$8,5,0),3),"SUBIR","MANT")))))),"SIN")</f>
        <v>SIN</v>
      </c>
      <c r="O292" s="55">
        <f>IF(COUNTIFS(HISTORIAL!$O$3:$O$290,D292&amp;"|"&amp;E292,HISTORIAL!$F$3:$F$290,"&gt;0")&lt;2,0,IF(COUNTIFS(HISTORIAL!$O$3:$O$290,D292&amp;"|"&amp;E292,HISTORIAL!$F$3:$F$290,IFERROR(LOOKUP(2,1/((HISTORIAL!$O$3:$O$290=D292&amp;"|"&amp;E292)*(HISTORIAL!$F$3:$F$290&gt;0)),HISTORIAL!$F$3:$F$290),0))&gt;=2,IF(IFERROR(LOOKUP(2,1/((HISTORIAL!$O$3:$O$290=D292&amp;"|"&amp;E292)*(HISTORIAL!$F$3:$F$290&gt;0)),HISTORIAL!$G$3:$G$290),0)&gt;0,IF(F292&gt;0,IF(G292&lt;=IFERROR(LOOKUP(2,1/((HISTORIAL!$O$3:$O$290=D292&amp;"|"&amp;E292)*(HISTORIAL!$F$3:$F$290&gt;0)),HISTORIAL!$G$3:$G$290),0),1,0),0),0),0))</f>
        <v>0</v>
      </c>
    </row>
    <row r="293" spans="1:15" ht="14.1" customHeight="1">
      <c r="A293" s="37">
        <v>5</v>
      </c>
      <c r="B293" s="37" t="s">
        <v>280</v>
      </c>
      <c r="C293" s="37">
        <v>1</v>
      </c>
      <c r="D293" s="56" t="str">
        <f>JUEVES!$A$112</f>
        <v>Press Militar</v>
      </c>
      <c r="E293" s="57" t="str">
        <f>JUEVES!$B$112</f>
        <v>Multipower</v>
      </c>
      <c r="F293" s="37" t="str">
        <f>JUEVES!$C$112</f>
        <v>--</v>
      </c>
      <c r="G293" s="37" t="str">
        <f>IFERROR(LOOKUP(2,1/((HISTORIAL!$O$3:$O$291=D293&amp;"|"&amp;E293)*(HISTORIAL!$F$3:$F$291&lt;&gt;"")),HISTORIAL!$F$3:$F$291),"")</f>
        <v/>
      </c>
      <c r="H293" s="37" t="str">
        <f>IFERROR(LOOKUP(2,1/((HISTORIAL!$O$3:$O$291=D293&amp;"|"&amp;E293)*(HISTORIAL!$F$3:$F$291&lt;&gt;"")),HISTORIAL!$G$3:$G$291),"")</f>
        <v/>
      </c>
      <c r="I293" s="37" t="str">
        <f>IFERROR(LOOKUP(2,1/((HISTORIAL!$O$3:$O$291=D293&amp;"|"&amp;E293)*(HISTORIAL!$F$3:$F$291&lt;&gt;"")),HISTORIAL!$H$3:$H$291),"")</f>
        <v/>
      </c>
      <c r="J293" s="37" t="str">
        <f>IFERROR(LOOKUP(2,1/((HISTORIAL!$O$3:$O$291=D293&amp;"|"&amp;E293)*(HISTORIAL!$F$3:$F$291&lt;&gt;"")),HISTORIAL!$I$3:$I$291),"")</f>
        <v/>
      </c>
      <c r="K293" s="58" t="str">
        <f>IFERROR(IF(OR(G293="",N293="SIN"),"--",IF(N293="SUBIR_F",IF(F293="polea",IFERROR(INDEX(CONFIG!$B$25:$B$40,MATCH(G293,CONFIG!$B$25:$B$40,0)+2),IFERROR(INDEX(CONFIG!$B$25:$B$40,MATCH(G293,CONFIG!$B$25:$B$40,0)+1),G293)),G293+5),IF(OR(N293="SUBIR",N293="SUBIR_E"),IF(F293="polea",IFERROR(INDEX(CONFIG!$B$25:$B$40,MATCH(G293,CONFIG!$B$25:$B$40,0)+1),G293),G293+2.5),IF(N293="BAJAR",IF(F293="polea",IFERROR(INDEX(CONFIG!$B$25:$B$40,MAX(1,MATCH(G293,CONFIG!$B$25:$B$40,0)-1)),G293),MAX(0,G293-2.5)),G293)))),"--")</f>
        <v>--</v>
      </c>
      <c r="L293" s="59" t="str">
        <f>IFERROR(IF(N293="SIN","--",IF(N293="MANT",IF(H293="","--",H293+1),IFERROR(VLOOKUP(CONFIG!$E$2,CONFIG!$A$6:$E$8,2,0),"--"))),"--")</f>
        <v>--</v>
      </c>
      <c r="M293" s="59" t="str">
        <f>IFERROR(IF(N293="SIN","--",IF(CONFIG!$E$2="HIP",2,IF(CONFIG!$E$2="FUE",1,2))),"--")</f>
        <v>--</v>
      </c>
      <c r="N293" s="53" t="str">
        <f>IFERROR(IF(G293="","SIN",IF(O293=1,"SUBIR_E",IF(H293&lt;IFERROR(VLOOKUP(CONFIG!$E$2,CONFIG!$A$6:$E$8,2,0),6),"BAJAR",IF(H293+I293&gt;=IFERROR(VLOOKUP(CONFIG!$E$2,CONFIG!$A$6:$E$8,3,0),12),"SUBIR_F",IF(AND(H293&gt;=IFERROR(VLOOKUP(CONFIG!$E$2,CONFIG!$A$6:$E$8,2,0),6)+2,I293&gt;=2),"SUBIR",IF(I293&gt;IFERROR(VLOOKUP(CONFIG!$E$2,CONFIG!$A$6:$E$8,5,0),3),"SUBIR","MANT")))))),"SIN")</f>
        <v>SIN</v>
      </c>
      <c r="O293" s="55">
        <f>IF(COUNTIFS(HISTORIAL!$O$3:$O$291,D293&amp;"|"&amp;E293,HISTORIAL!$F$3:$F$291,"&gt;0")&lt;2,0,IF(COUNTIFS(HISTORIAL!$O$3:$O$291,D293&amp;"|"&amp;E293,HISTORIAL!$F$3:$F$291,IFERROR(LOOKUP(2,1/((HISTORIAL!$O$3:$O$291=D293&amp;"|"&amp;E293)*(HISTORIAL!$F$3:$F$291&gt;0)),HISTORIAL!$F$3:$F$291),0))&gt;=2,IF(IFERROR(LOOKUP(2,1/((HISTORIAL!$O$3:$O$291=D293&amp;"|"&amp;E293)*(HISTORIAL!$F$3:$F$291&gt;0)),HISTORIAL!$G$3:$G$291),0)&gt;0,IF(F293&gt;0,IF(G293&lt;=IFERROR(LOOKUP(2,1/((HISTORIAL!$O$3:$O$291=D293&amp;"|"&amp;E293)*(HISTORIAL!$F$3:$F$291&gt;0)),HISTORIAL!$G$3:$G$291),0),1,0),0),0),0))</f>
        <v>0</v>
      </c>
    </row>
    <row r="294" spans="1:15" ht="14.1" customHeight="1">
      <c r="A294" s="37">
        <v>5</v>
      </c>
      <c r="B294" s="37" t="s">
        <v>280</v>
      </c>
      <c r="C294" s="37">
        <v>2</v>
      </c>
      <c r="D294" s="56" t="str">
        <f>JUEVES!$A$113</f>
        <v>Elevaciones Laterales</v>
      </c>
      <c r="E294" s="57" t="str">
        <f>JUEVES!$B$113</f>
        <v>Drop Set Maquina</v>
      </c>
      <c r="F294" s="37" t="str">
        <f>JUEVES!$C$113</f>
        <v>--</v>
      </c>
      <c r="G294" s="37" t="str">
        <f>IFERROR(LOOKUP(2,1/((HISTORIAL!$O$3:$O$292=D294&amp;"|"&amp;E294)*(HISTORIAL!$F$3:$F$292&lt;&gt;"")),HISTORIAL!$F$3:$F$292),"")</f>
        <v/>
      </c>
      <c r="H294" s="37" t="str">
        <f>IFERROR(LOOKUP(2,1/((HISTORIAL!$O$3:$O$292=D294&amp;"|"&amp;E294)*(HISTORIAL!$F$3:$F$292&lt;&gt;"")),HISTORIAL!$G$3:$G$292),"")</f>
        <v/>
      </c>
      <c r="I294" s="37" t="str">
        <f>IFERROR(LOOKUP(2,1/((HISTORIAL!$O$3:$O$292=D294&amp;"|"&amp;E294)*(HISTORIAL!$F$3:$F$292&lt;&gt;"")),HISTORIAL!$H$3:$H$292),"")</f>
        <v/>
      </c>
      <c r="J294" s="37" t="str">
        <f>IFERROR(LOOKUP(2,1/((HISTORIAL!$O$3:$O$292=D294&amp;"|"&amp;E294)*(HISTORIAL!$F$3:$F$292&lt;&gt;"")),HISTORIAL!$I$3:$I$292),"")</f>
        <v/>
      </c>
      <c r="K294" s="58" t="str">
        <f>IFERROR(IF(OR(G294="",N294="SIN"),"--",IF(N294="SUBIR_F",IF(F294="polea",IFERROR(INDEX(CONFIG!$B$25:$B$40,MATCH(G294,CONFIG!$B$25:$B$40,0)+2),IFERROR(INDEX(CONFIG!$B$25:$B$40,MATCH(G294,CONFIG!$B$25:$B$40,0)+1),G294)),G294+5),IF(OR(N294="SUBIR",N294="SUBIR_E"),IF(F294="polea",IFERROR(INDEX(CONFIG!$B$25:$B$40,MATCH(G294,CONFIG!$B$25:$B$40,0)+1),G294),G294+2.5),IF(N294="BAJAR",IF(F294="polea",IFERROR(INDEX(CONFIG!$B$25:$B$40,MAX(1,MATCH(G294,CONFIG!$B$25:$B$40,0)-1)),G294),MAX(0,G294-2.5)),G294)))),"--")</f>
        <v>--</v>
      </c>
      <c r="L294" s="59" t="str">
        <f>IFERROR(IF(N294="SIN","--",IF(N294="MANT",IF(H294="","--",H294+1),IFERROR(VLOOKUP(CONFIG!$E$2,CONFIG!$A$6:$E$8,2,0),"--"))),"--")</f>
        <v>--</v>
      </c>
      <c r="M294" s="59" t="str">
        <f>IFERROR(IF(N294="SIN","--",IF(CONFIG!$E$2="HIP",2,IF(CONFIG!$E$2="FUE",1,2))),"--")</f>
        <v>--</v>
      </c>
      <c r="N294" s="53" t="str">
        <f>IFERROR(IF(G294="","SIN",IF(O294=1,"SUBIR_E",IF(H294&lt;IFERROR(VLOOKUP(CONFIG!$E$2,CONFIG!$A$6:$E$8,2,0),6),"BAJAR",IF(H294+I294&gt;=IFERROR(VLOOKUP(CONFIG!$E$2,CONFIG!$A$6:$E$8,3,0),12),"SUBIR_F",IF(AND(H294&gt;=IFERROR(VLOOKUP(CONFIG!$E$2,CONFIG!$A$6:$E$8,2,0),6)+2,I294&gt;=2),"SUBIR",IF(I294&gt;IFERROR(VLOOKUP(CONFIG!$E$2,CONFIG!$A$6:$E$8,5,0),3),"SUBIR","MANT")))))),"SIN")</f>
        <v>SIN</v>
      </c>
      <c r="O294" s="55">
        <f>IF(COUNTIFS(HISTORIAL!$O$3:$O$292,D294&amp;"|"&amp;E294,HISTORIAL!$F$3:$F$292,"&gt;0")&lt;2,0,IF(COUNTIFS(HISTORIAL!$O$3:$O$292,D294&amp;"|"&amp;E294,HISTORIAL!$F$3:$F$292,IFERROR(LOOKUP(2,1/((HISTORIAL!$O$3:$O$292=D294&amp;"|"&amp;E294)*(HISTORIAL!$F$3:$F$292&gt;0)),HISTORIAL!$F$3:$F$292),0))&gt;=2,IF(IFERROR(LOOKUP(2,1/((HISTORIAL!$O$3:$O$292=D294&amp;"|"&amp;E294)*(HISTORIAL!$F$3:$F$292&gt;0)),HISTORIAL!$G$3:$G$292),0)&gt;0,IF(F294&gt;0,IF(G294&lt;=IFERROR(LOOKUP(2,1/((HISTORIAL!$O$3:$O$292=D294&amp;"|"&amp;E294)*(HISTORIAL!$F$3:$F$292&gt;0)),HISTORIAL!$G$3:$G$292),0),1,0),0),0),0))</f>
        <v>0</v>
      </c>
    </row>
    <row r="295" spans="1:15" ht="14.1" customHeight="1">
      <c r="A295" s="37">
        <v>5</v>
      </c>
      <c r="B295" s="37" t="s">
        <v>280</v>
      </c>
      <c r="C295" s="37">
        <v>3</v>
      </c>
      <c r="D295" s="56" t="str">
        <f>JUEVES!$A$115</f>
        <v>Pajaro</v>
      </c>
      <c r="E295" s="57" t="str">
        <f>JUEVES!$B$115</f>
        <v>Elevacion Posterior</v>
      </c>
      <c r="F295" s="37" t="str">
        <f>JUEVES!$C$115</f>
        <v>mancuerna</v>
      </c>
      <c r="G295" s="37" t="str">
        <f>IFERROR(LOOKUP(2,1/((HISTORIAL!$O$3:$O$293=D295&amp;"|"&amp;E295)*(HISTORIAL!$F$3:$F$293&lt;&gt;"")),HISTORIAL!$F$3:$F$293),"")</f>
        <v/>
      </c>
      <c r="H295" s="37" t="str">
        <f>IFERROR(LOOKUP(2,1/((HISTORIAL!$O$3:$O$293=D295&amp;"|"&amp;E295)*(HISTORIAL!$F$3:$F$293&lt;&gt;"")),HISTORIAL!$G$3:$G$293),"")</f>
        <v/>
      </c>
      <c r="I295" s="37" t="str">
        <f>IFERROR(LOOKUP(2,1/((HISTORIAL!$O$3:$O$293=D295&amp;"|"&amp;E295)*(HISTORIAL!$F$3:$F$293&lt;&gt;"")),HISTORIAL!$H$3:$H$293),"")</f>
        <v/>
      </c>
      <c r="J295" s="37" t="str">
        <f>IFERROR(LOOKUP(2,1/((HISTORIAL!$O$3:$O$293=D295&amp;"|"&amp;E295)*(HISTORIAL!$F$3:$F$293&lt;&gt;"")),HISTORIAL!$I$3:$I$293),"")</f>
        <v/>
      </c>
      <c r="K295" s="58" t="str">
        <f>IFERROR(IF(OR(G295="",N295="SIN"),"--",IF(N295="SUBIR_F",IF(F295="polea",IFERROR(INDEX(CONFIG!$B$25:$B$40,MATCH(G295,CONFIG!$B$25:$B$40,0)+2),IFERROR(INDEX(CONFIG!$B$25:$B$40,MATCH(G295,CONFIG!$B$25:$B$40,0)+1),G295)),G295+5),IF(OR(N295="SUBIR",N295="SUBIR_E"),IF(F295="polea",IFERROR(INDEX(CONFIG!$B$25:$B$40,MATCH(G295,CONFIG!$B$25:$B$40,0)+1),G295),G295+2.5),IF(N295="BAJAR",IF(F295="polea",IFERROR(INDEX(CONFIG!$B$25:$B$40,MAX(1,MATCH(G295,CONFIG!$B$25:$B$40,0)-1)),G295),MAX(0,G295-2.5)),G295)))),"--")</f>
        <v>--</v>
      </c>
      <c r="L295" s="59" t="str">
        <f>IFERROR(IF(N295="SIN","--",IF(N295="MANT",IF(H295="","--",H295+1),IFERROR(VLOOKUP(CONFIG!$E$2,CONFIG!$A$6:$E$8,2,0),"--"))),"--")</f>
        <v>--</v>
      </c>
      <c r="M295" s="59" t="str">
        <f>IFERROR(IF(N295="SIN","--",IF(CONFIG!$E$2="HIP",2,IF(CONFIG!$E$2="FUE",1,2))),"--")</f>
        <v>--</v>
      </c>
      <c r="N295" s="53" t="str">
        <f>IFERROR(IF(G295="","SIN",IF(O295=1,"SUBIR_E",IF(H295&lt;IFERROR(VLOOKUP(CONFIG!$E$2,CONFIG!$A$6:$E$8,2,0),6),"BAJAR",IF(H295+I295&gt;=IFERROR(VLOOKUP(CONFIG!$E$2,CONFIG!$A$6:$E$8,3,0),12),"SUBIR_F",IF(AND(H295&gt;=IFERROR(VLOOKUP(CONFIG!$E$2,CONFIG!$A$6:$E$8,2,0),6)+2,I295&gt;=2),"SUBIR",IF(I295&gt;IFERROR(VLOOKUP(CONFIG!$E$2,CONFIG!$A$6:$E$8,5,0),3),"SUBIR","MANT")))))),"SIN")</f>
        <v>SIN</v>
      </c>
      <c r="O295" s="55">
        <f>IF(COUNTIFS(HISTORIAL!$O$3:$O$293,D295&amp;"|"&amp;E295,HISTORIAL!$F$3:$F$293,"&gt;0")&lt;2,0,IF(COUNTIFS(HISTORIAL!$O$3:$O$293,D295&amp;"|"&amp;E295,HISTORIAL!$F$3:$F$293,IFERROR(LOOKUP(2,1/((HISTORIAL!$O$3:$O$293=D295&amp;"|"&amp;E295)*(HISTORIAL!$F$3:$F$293&gt;0)),HISTORIAL!$F$3:$F$293),0))&gt;=2,IF(IFERROR(LOOKUP(2,1/((HISTORIAL!$O$3:$O$293=D295&amp;"|"&amp;E295)*(HISTORIAL!$F$3:$F$293&gt;0)),HISTORIAL!$G$3:$G$293),0)&gt;0,IF(F295&gt;0,IF(G295&lt;=IFERROR(LOOKUP(2,1/((HISTORIAL!$O$3:$O$293=D295&amp;"|"&amp;E295)*(HISTORIAL!$F$3:$F$293&gt;0)),HISTORIAL!$G$3:$G$293),0),1,0),0),0),0))</f>
        <v>0</v>
      </c>
    </row>
    <row r="296" spans="1:15" ht="14.1" customHeight="1">
      <c r="A296" s="37">
        <v>5</v>
      </c>
      <c r="B296" s="37" t="s">
        <v>280</v>
      </c>
      <c r="C296" s="37">
        <v>4</v>
      </c>
      <c r="D296" s="56" t="str">
        <f>JUEVES!$A$116</f>
        <v>Peck Deck Invertida</v>
      </c>
      <c r="E296" s="57" t="str">
        <f>JUEVES!$B$116</f>
        <v>Maquina</v>
      </c>
      <c r="F296" s="37" t="str">
        <f>JUEVES!$C$116</f>
        <v>polea</v>
      </c>
      <c r="G296" s="37" t="str">
        <f>IFERROR(LOOKUP(2,1/((HISTORIAL!$O$3:$O$294=D296&amp;"|"&amp;E296)*(HISTORIAL!$F$3:$F$294&lt;&gt;"")),HISTORIAL!$F$3:$F$294),"")</f>
        <v/>
      </c>
      <c r="H296" s="37" t="str">
        <f>IFERROR(LOOKUP(2,1/((HISTORIAL!$O$3:$O$294=D296&amp;"|"&amp;E296)*(HISTORIAL!$F$3:$F$294&lt;&gt;"")),HISTORIAL!$G$3:$G$294),"")</f>
        <v/>
      </c>
      <c r="I296" s="37" t="str">
        <f>IFERROR(LOOKUP(2,1/((HISTORIAL!$O$3:$O$294=D296&amp;"|"&amp;E296)*(HISTORIAL!$F$3:$F$294&lt;&gt;"")),HISTORIAL!$H$3:$H$294),"")</f>
        <v/>
      </c>
      <c r="J296" s="37" t="str">
        <f>IFERROR(LOOKUP(2,1/((HISTORIAL!$O$3:$O$294=D296&amp;"|"&amp;E296)*(HISTORIAL!$F$3:$F$294&lt;&gt;"")),HISTORIAL!$I$3:$I$294),"")</f>
        <v/>
      </c>
      <c r="K296" s="58" t="str">
        <f>IFERROR(IF(OR(G296="",N296="SIN"),"--",IF(N296="SUBIR_F",IF(F296="polea",IFERROR(INDEX(CONFIG!$B$25:$B$40,MATCH(G296,CONFIG!$B$25:$B$40,0)+2),IFERROR(INDEX(CONFIG!$B$25:$B$40,MATCH(G296,CONFIG!$B$25:$B$40,0)+1),G296)),G296+5),IF(OR(N296="SUBIR",N296="SUBIR_E"),IF(F296="polea",IFERROR(INDEX(CONFIG!$B$25:$B$40,MATCH(G296,CONFIG!$B$25:$B$40,0)+1),G296),G296+2.5),IF(N296="BAJAR",IF(F296="polea",IFERROR(INDEX(CONFIG!$B$25:$B$40,MAX(1,MATCH(G296,CONFIG!$B$25:$B$40,0)-1)),G296),MAX(0,G296-2.5)),G296)))),"--")</f>
        <v>--</v>
      </c>
      <c r="L296" s="59" t="str">
        <f>IFERROR(IF(N296="SIN","--",IF(N296="MANT",IF(H296="","--",H296+1),IFERROR(VLOOKUP(CONFIG!$E$2,CONFIG!$A$6:$E$8,2,0),"--"))),"--")</f>
        <v>--</v>
      </c>
      <c r="M296" s="59" t="str">
        <f>IFERROR(IF(N296="SIN","--",IF(CONFIG!$E$2="HIP",2,IF(CONFIG!$E$2="FUE",1,2))),"--")</f>
        <v>--</v>
      </c>
      <c r="N296" s="53" t="str">
        <f>IFERROR(IF(G296="","SIN",IF(O296=1,"SUBIR_E",IF(H296&lt;IFERROR(VLOOKUP(CONFIG!$E$2,CONFIG!$A$6:$E$8,2,0),6),"BAJAR",IF(H296+I296&gt;=IFERROR(VLOOKUP(CONFIG!$E$2,CONFIG!$A$6:$E$8,3,0),12),"SUBIR_F",IF(AND(H296&gt;=IFERROR(VLOOKUP(CONFIG!$E$2,CONFIG!$A$6:$E$8,2,0),6)+2,I296&gt;=2),"SUBIR",IF(I296&gt;IFERROR(VLOOKUP(CONFIG!$E$2,CONFIG!$A$6:$E$8,5,0),3),"SUBIR","MANT")))))),"SIN")</f>
        <v>SIN</v>
      </c>
      <c r="O296" s="55">
        <f>IF(COUNTIFS(HISTORIAL!$O$3:$O$294,D296&amp;"|"&amp;E296,HISTORIAL!$F$3:$F$294,"&gt;0")&lt;2,0,IF(COUNTIFS(HISTORIAL!$O$3:$O$294,D296&amp;"|"&amp;E296,HISTORIAL!$F$3:$F$294,IFERROR(LOOKUP(2,1/((HISTORIAL!$O$3:$O$294=D296&amp;"|"&amp;E296)*(HISTORIAL!$F$3:$F$294&gt;0)),HISTORIAL!$F$3:$F$294),0))&gt;=2,IF(IFERROR(LOOKUP(2,1/((HISTORIAL!$O$3:$O$294=D296&amp;"|"&amp;E296)*(HISTORIAL!$F$3:$F$294&gt;0)),HISTORIAL!$G$3:$G$294),0)&gt;0,IF(F296&gt;0,IF(G296&lt;=IFERROR(LOOKUP(2,1/((HISTORIAL!$O$3:$O$294=D296&amp;"|"&amp;E296)*(HISTORIAL!$F$3:$F$294&gt;0)),HISTORIAL!$G$3:$G$294),0),1,0),0),0),0))</f>
        <v>0</v>
      </c>
    </row>
    <row r="297" spans="1:15" ht="14.1" customHeight="1">
      <c r="A297" s="37">
        <v>5</v>
      </c>
      <c r="B297" s="37" t="s">
        <v>280</v>
      </c>
      <c r="C297" s="37">
        <v>5</v>
      </c>
      <c r="D297" s="56" t="str">
        <f>JUEVES!$A$117</f>
        <v>Elevaciones Posteriores</v>
      </c>
      <c r="E297" s="57" t="str">
        <f>JUEVES!$B$117</f>
        <v>Polea Individual</v>
      </c>
      <c r="F297" s="37" t="str">
        <f>JUEVES!$C$117</f>
        <v>polea</v>
      </c>
      <c r="G297" s="37" t="str">
        <f>IFERROR(LOOKUP(2,1/((HISTORIAL!$O$3:$O$295=D297&amp;"|"&amp;E297)*(HISTORIAL!$F$3:$F$295&lt;&gt;"")),HISTORIAL!$F$3:$F$295),"")</f>
        <v/>
      </c>
      <c r="H297" s="37" t="str">
        <f>IFERROR(LOOKUP(2,1/((HISTORIAL!$O$3:$O$295=D297&amp;"|"&amp;E297)*(HISTORIAL!$F$3:$F$295&lt;&gt;"")),HISTORIAL!$G$3:$G$295),"")</f>
        <v/>
      </c>
      <c r="I297" s="37" t="str">
        <f>IFERROR(LOOKUP(2,1/((HISTORIAL!$O$3:$O$295=D297&amp;"|"&amp;E297)*(HISTORIAL!$F$3:$F$295&lt;&gt;"")),HISTORIAL!$H$3:$H$295),"")</f>
        <v/>
      </c>
      <c r="J297" s="37" t="str">
        <f>IFERROR(LOOKUP(2,1/((HISTORIAL!$O$3:$O$295=D297&amp;"|"&amp;E297)*(HISTORIAL!$F$3:$F$295&lt;&gt;"")),HISTORIAL!$I$3:$I$295),"")</f>
        <v/>
      </c>
      <c r="K297" s="58" t="str">
        <f>IFERROR(IF(OR(G297="",N297="SIN"),"--",IF(N297="SUBIR_F",IF(F297="polea",IFERROR(INDEX(CONFIG!$B$25:$B$40,MATCH(G297,CONFIG!$B$25:$B$40,0)+2),IFERROR(INDEX(CONFIG!$B$25:$B$40,MATCH(G297,CONFIG!$B$25:$B$40,0)+1),G297)),G297+5),IF(OR(N297="SUBIR",N297="SUBIR_E"),IF(F297="polea",IFERROR(INDEX(CONFIG!$B$25:$B$40,MATCH(G297,CONFIG!$B$25:$B$40,0)+1),G297),G297+2.5),IF(N297="BAJAR",IF(F297="polea",IFERROR(INDEX(CONFIG!$B$25:$B$40,MAX(1,MATCH(G297,CONFIG!$B$25:$B$40,0)-1)),G297),MAX(0,G297-2.5)),G297)))),"--")</f>
        <v>--</v>
      </c>
      <c r="L297" s="59" t="str">
        <f>IFERROR(IF(N297="SIN","--",IF(N297="MANT",IF(H297="","--",H297+1),IFERROR(VLOOKUP(CONFIG!$E$2,CONFIG!$A$6:$E$8,2,0),"--"))),"--")</f>
        <v>--</v>
      </c>
      <c r="M297" s="59" t="str">
        <f>IFERROR(IF(N297="SIN","--",IF(CONFIG!$E$2="HIP",2,IF(CONFIG!$E$2="FUE",1,2))),"--")</f>
        <v>--</v>
      </c>
      <c r="N297" s="53" t="str">
        <f>IFERROR(IF(G297="","SIN",IF(O297=1,"SUBIR_E",IF(H297&lt;IFERROR(VLOOKUP(CONFIG!$E$2,CONFIG!$A$6:$E$8,2,0),6),"BAJAR",IF(H297+I297&gt;=IFERROR(VLOOKUP(CONFIG!$E$2,CONFIG!$A$6:$E$8,3,0),12),"SUBIR_F",IF(AND(H297&gt;=IFERROR(VLOOKUP(CONFIG!$E$2,CONFIG!$A$6:$E$8,2,0),6)+2,I297&gt;=2),"SUBIR",IF(I297&gt;IFERROR(VLOOKUP(CONFIG!$E$2,CONFIG!$A$6:$E$8,5,0),3),"SUBIR","MANT")))))),"SIN")</f>
        <v>SIN</v>
      </c>
      <c r="O297" s="55">
        <f>IF(COUNTIFS(HISTORIAL!$O$3:$O$295,D297&amp;"|"&amp;E297,HISTORIAL!$F$3:$F$295,"&gt;0")&lt;2,0,IF(COUNTIFS(HISTORIAL!$O$3:$O$295,D297&amp;"|"&amp;E297,HISTORIAL!$F$3:$F$295,IFERROR(LOOKUP(2,1/((HISTORIAL!$O$3:$O$295=D297&amp;"|"&amp;E297)*(HISTORIAL!$F$3:$F$295&gt;0)),HISTORIAL!$F$3:$F$295),0))&gt;=2,IF(IFERROR(LOOKUP(2,1/((HISTORIAL!$O$3:$O$295=D297&amp;"|"&amp;E297)*(HISTORIAL!$F$3:$F$295&gt;0)),HISTORIAL!$G$3:$G$295),0)&gt;0,IF(F297&gt;0,IF(G297&lt;=IFERROR(LOOKUP(2,1/((HISTORIAL!$O$3:$O$295=D297&amp;"|"&amp;E297)*(HISTORIAL!$F$3:$F$295&gt;0)),HISTORIAL!$G$3:$G$295),0),1,0),0),0),0))</f>
        <v>0</v>
      </c>
    </row>
    <row r="298" spans="1:15" ht="14.1" customHeight="1">
      <c r="A298" s="37">
        <v>5</v>
      </c>
      <c r="B298" s="37" t="s">
        <v>280</v>
      </c>
      <c r="C298" s="37">
        <v>6</v>
      </c>
      <c r="D298" s="56" t="str">
        <f>JUEVES!$A$120</f>
        <v>Press Plano</v>
      </c>
      <c r="E298" s="57" t="str">
        <f>JUEVES!$B$120</f>
        <v>Mancuernas</v>
      </c>
      <c r="F298" s="37" t="str">
        <f>JUEVES!$C$120</f>
        <v>mancuerna</v>
      </c>
      <c r="G298" s="37" t="str">
        <f>IFERROR(LOOKUP(2,1/((HISTORIAL!$O$3:$O$296=D298&amp;"|"&amp;E298)*(HISTORIAL!$F$3:$F$296&lt;&gt;"")),HISTORIAL!$F$3:$F$296),"")</f>
        <v/>
      </c>
      <c r="H298" s="37" t="str">
        <f>IFERROR(LOOKUP(2,1/((HISTORIAL!$O$3:$O$296=D298&amp;"|"&amp;E298)*(HISTORIAL!$F$3:$F$296&lt;&gt;"")),HISTORIAL!$G$3:$G$296),"")</f>
        <v/>
      </c>
      <c r="I298" s="37" t="str">
        <f>IFERROR(LOOKUP(2,1/((HISTORIAL!$O$3:$O$296=D298&amp;"|"&amp;E298)*(HISTORIAL!$F$3:$F$296&lt;&gt;"")),HISTORIAL!$H$3:$H$296),"")</f>
        <v/>
      </c>
      <c r="J298" s="37" t="str">
        <f>IFERROR(LOOKUP(2,1/((HISTORIAL!$O$3:$O$296=D298&amp;"|"&amp;E298)*(HISTORIAL!$F$3:$F$296&lt;&gt;"")),HISTORIAL!$I$3:$I$296),"")</f>
        <v/>
      </c>
      <c r="K298" s="58" t="str">
        <f>IFERROR(IF(OR(G298="",N298="SIN"),"--",IF(N298="SUBIR_F",IF(F298="polea",IFERROR(INDEX(CONFIG!$B$25:$B$40,MATCH(G298,CONFIG!$B$25:$B$40,0)+2),IFERROR(INDEX(CONFIG!$B$25:$B$40,MATCH(G298,CONFIG!$B$25:$B$40,0)+1),G298)),G298+5),IF(OR(N298="SUBIR",N298="SUBIR_E"),IF(F298="polea",IFERROR(INDEX(CONFIG!$B$25:$B$40,MATCH(G298,CONFIG!$B$25:$B$40,0)+1),G298),G298+2.5),IF(N298="BAJAR",IF(F298="polea",IFERROR(INDEX(CONFIG!$B$25:$B$40,MAX(1,MATCH(G298,CONFIG!$B$25:$B$40,0)-1)),G298),MAX(0,G298-2.5)),G298)))),"--")</f>
        <v>--</v>
      </c>
      <c r="L298" s="59" t="str">
        <f>IFERROR(IF(N298="SIN","--",IF(N298="MANT",IF(H298="","--",H298+1),IFERROR(VLOOKUP(CONFIG!$E$2,CONFIG!$A$6:$E$8,2,0),"--"))),"--")</f>
        <v>--</v>
      </c>
      <c r="M298" s="59" t="str">
        <f>IFERROR(IF(N298="SIN","--",IF(CONFIG!$E$2="HIP",2,IF(CONFIG!$E$2="FUE",1,2))),"--")</f>
        <v>--</v>
      </c>
      <c r="N298" s="53" t="str">
        <f>IFERROR(IF(G298="","SIN",IF(O298=1,"SUBIR_E",IF(H298&lt;IFERROR(VLOOKUP(CONFIG!$E$2,CONFIG!$A$6:$E$8,2,0),6),"BAJAR",IF(H298+I298&gt;=IFERROR(VLOOKUP(CONFIG!$E$2,CONFIG!$A$6:$E$8,3,0),12),"SUBIR_F",IF(AND(H298&gt;=IFERROR(VLOOKUP(CONFIG!$E$2,CONFIG!$A$6:$E$8,2,0),6)+2,I298&gt;=2),"SUBIR",IF(I298&gt;IFERROR(VLOOKUP(CONFIG!$E$2,CONFIG!$A$6:$E$8,5,0),3),"SUBIR","MANT")))))),"SIN")</f>
        <v>SIN</v>
      </c>
      <c r="O298" s="55">
        <f>IF(COUNTIFS(HISTORIAL!$O$3:$O$296,D298&amp;"|"&amp;E298,HISTORIAL!$F$3:$F$296,"&gt;0")&lt;2,0,IF(COUNTIFS(HISTORIAL!$O$3:$O$296,D298&amp;"|"&amp;E298,HISTORIAL!$F$3:$F$296,IFERROR(LOOKUP(2,1/((HISTORIAL!$O$3:$O$296=D298&amp;"|"&amp;E298)*(HISTORIAL!$F$3:$F$296&gt;0)),HISTORIAL!$F$3:$F$296),0))&gt;=2,IF(IFERROR(LOOKUP(2,1/((HISTORIAL!$O$3:$O$296=D298&amp;"|"&amp;E298)*(HISTORIAL!$F$3:$F$296&gt;0)),HISTORIAL!$G$3:$G$296),0)&gt;0,IF(F298&gt;0,IF(G298&lt;=IFERROR(LOOKUP(2,1/((HISTORIAL!$O$3:$O$296=D298&amp;"|"&amp;E298)*(HISTORIAL!$F$3:$F$296&gt;0)),HISTORIAL!$G$3:$G$296),0),1,0),0),0),0))</f>
        <v>0</v>
      </c>
    </row>
    <row r="299" spans="1:15" ht="14.1" customHeight="1">
      <c r="A299" s="37">
        <v>5</v>
      </c>
      <c r="B299" s="37" t="s">
        <v>280</v>
      </c>
      <c r="C299" s="37">
        <v>7</v>
      </c>
      <c r="D299" s="56" t="str">
        <f>JUEVES!$A$122</f>
        <v>Press Inclinado</v>
      </c>
      <c r="E299" s="57" t="str">
        <f>JUEVES!$B$122</f>
        <v>Multipower</v>
      </c>
      <c r="F299" s="37" t="str">
        <f>JUEVES!$C$122</f>
        <v>disco</v>
      </c>
      <c r="G299" s="37" t="str">
        <f>IFERROR(LOOKUP(2,1/((HISTORIAL!$O$3:$O$297=D299&amp;"|"&amp;E299)*(HISTORIAL!$F$3:$F$297&lt;&gt;"")),HISTORIAL!$F$3:$F$297),"")</f>
        <v/>
      </c>
      <c r="H299" s="37" t="str">
        <f>IFERROR(LOOKUP(2,1/((HISTORIAL!$O$3:$O$297=D299&amp;"|"&amp;E299)*(HISTORIAL!$F$3:$F$297&lt;&gt;"")),HISTORIAL!$G$3:$G$297),"")</f>
        <v/>
      </c>
      <c r="I299" s="37" t="str">
        <f>IFERROR(LOOKUP(2,1/((HISTORIAL!$O$3:$O$297=D299&amp;"|"&amp;E299)*(HISTORIAL!$F$3:$F$297&lt;&gt;"")),HISTORIAL!$H$3:$H$297),"")</f>
        <v/>
      </c>
      <c r="J299" s="37" t="str">
        <f>IFERROR(LOOKUP(2,1/((HISTORIAL!$O$3:$O$297=D299&amp;"|"&amp;E299)*(HISTORIAL!$F$3:$F$297&lt;&gt;"")),HISTORIAL!$I$3:$I$297),"")</f>
        <v/>
      </c>
      <c r="K299" s="58" t="str">
        <f>IFERROR(IF(OR(G299="",N299="SIN"),"--",IF(N299="SUBIR_F",IF(F299="polea",IFERROR(INDEX(CONFIG!$B$25:$B$40,MATCH(G299,CONFIG!$B$25:$B$40,0)+2),IFERROR(INDEX(CONFIG!$B$25:$B$40,MATCH(G299,CONFIG!$B$25:$B$40,0)+1),G299)),G299+5),IF(OR(N299="SUBIR",N299="SUBIR_E"),IF(F299="polea",IFERROR(INDEX(CONFIG!$B$25:$B$40,MATCH(G299,CONFIG!$B$25:$B$40,0)+1),G299),G299+2.5),IF(N299="BAJAR",IF(F299="polea",IFERROR(INDEX(CONFIG!$B$25:$B$40,MAX(1,MATCH(G299,CONFIG!$B$25:$B$40,0)-1)),G299),MAX(0,G299-2.5)),G299)))),"--")</f>
        <v>--</v>
      </c>
      <c r="L299" s="59" t="str">
        <f>IFERROR(IF(N299="SIN","--",IF(N299="MANT",IF(H299="","--",H299+1),IFERROR(VLOOKUP(CONFIG!$E$2,CONFIG!$A$6:$E$8,2,0),"--"))),"--")</f>
        <v>--</v>
      </c>
      <c r="M299" s="59" t="str">
        <f>IFERROR(IF(N299="SIN","--",IF(CONFIG!$E$2="HIP",2,IF(CONFIG!$E$2="FUE",1,2))),"--")</f>
        <v>--</v>
      </c>
      <c r="N299" s="53" t="str">
        <f>IFERROR(IF(G299="","SIN",IF(O299=1,"SUBIR_E",IF(H299&lt;IFERROR(VLOOKUP(CONFIG!$E$2,CONFIG!$A$6:$E$8,2,0),6),"BAJAR",IF(H299+I299&gt;=IFERROR(VLOOKUP(CONFIG!$E$2,CONFIG!$A$6:$E$8,3,0),12),"SUBIR_F",IF(AND(H299&gt;=IFERROR(VLOOKUP(CONFIG!$E$2,CONFIG!$A$6:$E$8,2,0),6)+2,I299&gt;=2),"SUBIR",IF(I299&gt;IFERROR(VLOOKUP(CONFIG!$E$2,CONFIG!$A$6:$E$8,5,0),3),"SUBIR","MANT")))))),"SIN")</f>
        <v>SIN</v>
      </c>
      <c r="O299" s="55">
        <f>IF(COUNTIFS(HISTORIAL!$O$3:$O$297,D299&amp;"|"&amp;E299,HISTORIAL!$F$3:$F$297,"&gt;0")&lt;2,0,IF(COUNTIFS(HISTORIAL!$O$3:$O$297,D299&amp;"|"&amp;E299,HISTORIAL!$F$3:$F$297,IFERROR(LOOKUP(2,1/((HISTORIAL!$O$3:$O$297=D299&amp;"|"&amp;E299)*(HISTORIAL!$F$3:$F$297&gt;0)),HISTORIAL!$F$3:$F$297),0))&gt;=2,IF(IFERROR(LOOKUP(2,1/((HISTORIAL!$O$3:$O$297=D299&amp;"|"&amp;E299)*(HISTORIAL!$F$3:$F$297&gt;0)),HISTORIAL!$G$3:$G$297),0)&gt;0,IF(F299&gt;0,IF(G299&lt;=IFERROR(LOOKUP(2,1/((HISTORIAL!$O$3:$O$297=D299&amp;"|"&amp;E299)*(HISTORIAL!$F$3:$F$297&gt;0)),HISTORIAL!$G$3:$G$297),0),1,0),0),0),0))</f>
        <v>0</v>
      </c>
    </row>
    <row r="300" spans="1:15" ht="14.1" customHeight="1">
      <c r="A300" s="37">
        <v>5</v>
      </c>
      <c r="B300" s="37" t="s">
        <v>280</v>
      </c>
      <c r="C300" s="37">
        <v>8</v>
      </c>
      <c r="D300" s="56" t="str">
        <f>JUEVES!$A$124</f>
        <v>Aperturas</v>
      </c>
      <c r="E300" s="57" t="str">
        <f>JUEVES!$B$124</f>
        <v>Pec Deck Maquina</v>
      </c>
      <c r="F300" s="37" t="str">
        <f>JUEVES!$C$124</f>
        <v>--</v>
      </c>
      <c r="G300" s="37" t="str">
        <f>IFERROR(LOOKUP(2,1/((HISTORIAL!$O$3:$O$298=D300&amp;"|"&amp;E300)*(HISTORIAL!$F$3:$F$298&lt;&gt;"")),HISTORIAL!$F$3:$F$298),"")</f>
        <v/>
      </c>
      <c r="H300" s="37" t="str">
        <f>IFERROR(LOOKUP(2,1/((HISTORIAL!$O$3:$O$298=D300&amp;"|"&amp;E300)*(HISTORIAL!$F$3:$F$298&lt;&gt;"")),HISTORIAL!$G$3:$G$298),"")</f>
        <v/>
      </c>
      <c r="I300" s="37" t="str">
        <f>IFERROR(LOOKUP(2,1/((HISTORIAL!$O$3:$O$298=D300&amp;"|"&amp;E300)*(HISTORIAL!$F$3:$F$298&lt;&gt;"")),HISTORIAL!$H$3:$H$298),"")</f>
        <v/>
      </c>
      <c r="J300" s="37" t="str">
        <f>IFERROR(LOOKUP(2,1/((HISTORIAL!$O$3:$O$298=D300&amp;"|"&amp;E300)*(HISTORIAL!$F$3:$F$298&lt;&gt;"")),HISTORIAL!$I$3:$I$298),"")</f>
        <v/>
      </c>
      <c r="K300" s="58" t="str">
        <f>IFERROR(IF(OR(G300="",N300="SIN"),"--",IF(N300="SUBIR_F",IF(F300="polea",IFERROR(INDEX(CONFIG!$B$25:$B$40,MATCH(G300,CONFIG!$B$25:$B$40,0)+2),IFERROR(INDEX(CONFIG!$B$25:$B$40,MATCH(G300,CONFIG!$B$25:$B$40,0)+1),G300)),G300+5),IF(OR(N300="SUBIR",N300="SUBIR_E"),IF(F300="polea",IFERROR(INDEX(CONFIG!$B$25:$B$40,MATCH(G300,CONFIG!$B$25:$B$40,0)+1),G300),G300+2.5),IF(N300="BAJAR",IF(F300="polea",IFERROR(INDEX(CONFIG!$B$25:$B$40,MAX(1,MATCH(G300,CONFIG!$B$25:$B$40,0)-1)),G300),MAX(0,G300-2.5)),G300)))),"--")</f>
        <v>--</v>
      </c>
      <c r="L300" s="59" t="str">
        <f>IFERROR(IF(N300="SIN","--",IF(N300="MANT",IF(H300="","--",H300+1),IFERROR(VLOOKUP(CONFIG!$E$2,CONFIG!$A$6:$E$8,2,0),"--"))),"--")</f>
        <v>--</v>
      </c>
      <c r="M300" s="59" t="str">
        <f>IFERROR(IF(N300="SIN","--",IF(CONFIG!$E$2="HIP",2,IF(CONFIG!$E$2="FUE",1,2))),"--")</f>
        <v>--</v>
      </c>
      <c r="N300" s="53" t="str">
        <f>IFERROR(IF(G300="","SIN",IF(O300=1,"SUBIR_E",IF(H300&lt;IFERROR(VLOOKUP(CONFIG!$E$2,CONFIG!$A$6:$E$8,2,0),6),"BAJAR",IF(H300+I300&gt;=IFERROR(VLOOKUP(CONFIG!$E$2,CONFIG!$A$6:$E$8,3,0),12),"SUBIR_F",IF(AND(H300&gt;=IFERROR(VLOOKUP(CONFIG!$E$2,CONFIG!$A$6:$E$8,2,0),6)+2,I300&gt;=2),"SUBIR",IF(I300&gt;IFERROR(VLOOKUP(CONFIG!$E$2,CONFIG!$A$6:$E$8,5,0),3),"SUBIR","MANT")))))),"SIN")</f>
        <v>SIN</v>
      </c>
      <c r="O300" s="55">
        <f>IF(COUNTIFS(HISTORIAL!$O$3:$O$298,D300&amp;"|"&amp;E300,HISTORIAL!$F$3:$F$298,"&gt;0")&lt;2,0,IF(COUNTIFS(HISTORIAL!$O$3:$O$298,D300&amp;"|"&amp;E300,HISTORIAL!$F$3:$F$298,IFERROR(LOOKUP(2,1/((HISTORIAL!$O$3:$O$298=D300&amp;"|"&amp;E300)*(HISTORIAL!$F$3:$F$298&gt;0)),HISTORIAL!$F$3:$F$298),0))&gt;=2,IF(IFERROR(LOOKUP(2,1/((HISTORIAL!$O$3:$O$298=D300&amp;"|"&amp;E300)*(HISTORIAL!$F$3:$F$298&gt;0)),HISTORIAL!$G$3:$G$298),0)&gt;0,IF(F300&gt;0,IF(G300&lt;=IFERROR(LOOKUP(2,1/((HISTORIAL!$O$3:$O$298=D300&amp;"|"&amp;E300)*(HISTORIAL!$F$3:$F$298&gt;0)),HISTORIAL!$G$3:$G$298),0),1,0),0),0),0))</f>
        <v>0</v>
      </c>
    </row>
    <row r="301" spans="1:15" ht="14.1" customHeight="1">
      <c r="A301" s="37">
        <v>5</v>
      </c>
      <c r="B301" s="37" t="s">
        <v>280</v>
      </c>
      <c r="C301" s="37">
        <v>9</v>
      </c>
      <c r="D301" s="56" t="str">
        <f>JUEVES!$A$126</f>
        <v>Press Polea</v>
      </c>
      <c r="E301" s="57" t="str">
        <f>JUEVES!$B$126</f>
        <v>Barra Recta Diagonal Arriba</v>
      </c>
      <c r="F301" s="37" t="str">
        <f>JUEVES!$C$126</f>
        <v>polea</v>
      </c>
      <c r="G301" s="37" t="str">
        <f>IFERROR(LOOKUP(2,1/((HISTORIAL!$O$3:$O$299=D301&amp;"|"&amp;E301)*(HISTORIAL!$F$3:$F$299&lt;&gt;"")),HISTORIAL!$F$3:$F$299),"")</f>
        <v/>
      </c>
      <c r="H301" s="37" t="str">
        <f>IFERROR(LOOKUP(2,1/((HISTORIAL!$O$3:$O$299=D301&amp;"|"&amp;E301)*(HISTORIAL!$F$3:$F$299&lt;&gt;"")),HISTORIAL!$G$3:$G$299),"")</f>
        <v/>
      </c>
      <c r="I301" s="37" t="str">
        <f>IFERROR(LOOKUP(2,1/((HISTORIAL!$O$3:$O$299=D301&amp;"|"&amp;E301)*(HISTORIAL!$F$3:$F$299&lt;&gt;"")),HISTORIAL!$H$3:$H$299),"")</f>
        <v/>
      </c>
      <c r="J301" s="37" t="str">
        <f>IFERROR(LOOKUP(2,1/((HISTORIAL!$O$3:$O$299=D301&amp;"|"&amp;E301)*(HISTORIAL!$F$3:$F$299&lt;&gt;"")),HISTORIAL!$I$3:$I$299),"")</f>
        <v/>
      </c>
      <c r="K301" s="58" t="str">
        <f>IFERROR(IF(OR(G301="",N301="SIN"),"--",IF(N301="SUBIR_F",IF(F301="polea",IFERROR(INDEX(CONFIG!$B$25:$B$40,MATCH(G301,CONFIG!$B$25:$B$40,0)+2),IFERROR(INDEX(CONFIG!$B$25:$B$40,MATCH(G301,CONFIG!$B$25:$B$40,0)+1),G301)),G301+5),IF(OR(N301="SUBIR",N301="SUBIR_E"),IF(F301="polea",IFERROR(INDEX(CONFIG!$B$25:$B$40,MATCH(G301,CONFIG!$B$25:$B$40,0)+1),G301),G301+2.5),IF(N301="BAJAR",IF(F301="polea",IFERROR(INDEX(CONFIG!$B$25:$B$40,MAX(1,MATCH(G301,CONFIG!$B$25:$B$40,0)-1)),G301),MAX(0,G301-2.5)),G301)))),"--")</f>
        <v>--</v>
      </c>
      <c r="L301" s="59" t="str">
        <f>IFERROR(IF(N301="SIN","--",IF(N301="MANT",IF(H301="","--",H301+1),IFERROR(VLOOKUP(CONFIG!$E$2,CONFIG!$A$6:$E$8,2,0),"--"))),"--")</f>
        <v>--</v>
      </c>
      <c r="M301" s="59" t="str">
        <f>IFERROR(IF(N301="SIN","--",IF(CONFIG!$E$2="HIP",2,IF(CONFIG!$E$2="FUE",1,2))),"--")</f>
        <v>--</v>
      </c>
      <c r="N301" s="53" t="str">
        <f>IFERROR(IF(G301="","SIN",IF(O301=1,"SUBIR_E",IF(H301&lt;IFERROR(VLOOKUP(CONFIG!$E$2,CONFIG!$A$6:$E$8,2,0),6),"BAJAR",IF(H301+I301&gt;=IFERROR(VLOOKUP(CONFIG!$E$2,CONFIG!$A$6:$E$8,3,0),12),"SUBIR_F",IF(AND(H301&gt;=IFERROR(VLOOKUP(CONFIG!$E$2,CONFIG!$A$6:$E$8,2,0),6)+2,I301&gt;=2),"SUBIR",IF(I301&gt;IFERROR(VLOOKUP(CONFIG!$E$2,CONFIG!$A$6:$E$8,5,0),3),"SUBIR","MANT")))))),"SIN")</f>
        <v>SIN</v>
      </c>
      <c r="O301" s="55">
        <f>IF(COUNTIFS(HISTORIAL!$O$3:$O$299,D301&amp;"|"&amp;E301,HISTORIAL!$F$3:$F$299,"&gt;0")&lt;2,0,IF(COUNTIFS(HISTORIAL!$O$3:$O$299,D301&amp;"|"&amp;E301,HISTORIAL!$F$3:$F$299,IFERROR(LOOKUP(2,1/((HISTORIAL!$O$3:$O$299=D301&amp;"|"&amp;E301)*(HISTORIAL!$F$3:$F$299&gt;0)),HISTORIAL!$F$3:$F$299),0))&gt;=2,IF(IFERROR(LOOKUP(2,1/((HISTORIAL!$O$3:$O$299=D301&amp;"|"&amp;E301)*(HISTORIAL!$F$3:$F$299&gt;0)),HISTORIAL!$G$3:$G$299),0)&gt;0,IF(F301&gt;0,IF(G301&lt;=IFERROR(LOOKUP(2,1/((HISTORIAL!$O$3:$O$299=D301&amp;"|"&amp;E301)*(HISTORIAL!$F$3:$F$299&gt;0)),HISTORIAL!$G$3:$G$299),0),1,0),0),0),0))</f>
        <v>0</v>
      </c>
    </row>
    <row r="302" spans="1:15" ht="14.1" customHeight="1">
      <c r="A302" s="37">
        <v>5</v>
      </c>
      <c r="B302" s="37" t="s">
        <v>280</v>
      </c>
      <c r="C302" s="37">
        <v>10</v>
      </c>
      <c r="D302" s="56" t="str">
        <f>JUEVES!$A$127</f>
        <v>Extension Triceps</v>
      </c>
      <c r="E302" s="57" t="str">
        <f>JUEVES!$B$127</f>
        <v>Polea Sobre Cabeza</v>
      </c>
      <c r="F302" s="37" t="str">
        <f>JUEVES!$C$127</f>
        <v>--</v>
      </c>
      <c r="G302" s="37" t="str">
        <f>IFERROR(LOOKUP(2,1/((HISTORIAL!$O$3:$O$300=D302&amp;"|"&amp;E302)*(HISTORIAL!$F$3:$F$300&lt;&gt;"")),HISTORIAL!$F$3:$F$300),"")</f>
        <v/>
      </c>
      <c r="H302" s="37" t="str">
        <f>IFERROR(LOOKUP(2,1/((HISTORIAL!$O$3:$O$300=D302&amp;"|"&amp;E302)*(HISTORIAL!$F$3:$F$300&lt;&gt;"")),HISTORIAL!$G$3:$G$300),"")</f>
        <v/>
      </c>
      <c r="I302" s="37" t="str">
        <f>IFERROR(LOOKUP(2,1/((HISTORIAL!$O$3:$O$300=D302&amp;"|"&amp;E302)*(HISTORIAL!$F$3:$F$300&lt;&gt;"")),HISTORIAL!$H$3:$H$300),"")</f>
        <v/>
      </c>
      <c r="J302" s="37" t="str">
        <f>IFERROR(LOOKUP(2,1/((HISTORIAL!$O$3:$O$300=D302&amp;"|"&amp;E302)*(HISTORIAL!$F$3:$F$300&lt;&gt;"")),HISTORIAL!$I$3:$I$300),"")</f>
        <v/>
      </c>
      <c r="K302" s="58" t="str">
        <f>IFERROR(IF(OR(G302="",N302="SIN"),"--",IF(N302="SUBIR_F",IF(F302="polea",IFERROR(INDEX(CONFIG!$B$25:$B$40,MATCH(G302,CONFIG!$B$25:$B$40,0)+2),IFERROR(INDEX(CONFIG!$B$25:$B$40,MATCH(G302,CONFIG!$B$25:$B$40,0)+1),G302)),G302+5),IF(OR(N302="SUBIR",N302="SUBIR_E"),IF(F302="polea",IFERROR(INDEX(CONFIG!$B$25:$B$40,MATCH(G302,CONFIG!$B$25:$B$40,0)+1),G302),G302+2.5),IF(N302="BAJAR",IF(F302="polea",IFERROR(INDEX(CONFIG!$B$25:$B$40,MAX(1,MATCH(G302,CONFIG!$B$25:$B$40,0)-1)),G302),MAX(0,G302-2.5)),G302)))),"--")</f>
        <v>--</v>
      </c>
      <c r="L302" s="59" t="str">
        <f>IFERROR(IF(N302="SIN","--",IF(N302="MANT",IF(H302="","--",H302+1),IFERROR(VLOOKUP(CONFIG!$E$2,CONFIG!$A$6:$E$8,2,0),"--"))),"--")</f>
        <v>--</v>
      </c>
      <c r="M302" s="59" t="str">
        <f>IFERROR(IF(N302="SIN","--",IF(CONFIG!$E$2="HIP",2,IF(CONFIG!$E$2="FUE",1,2))),"--")</f>
        <v>--</v>
      </c>
      <c r="N302" s="53" t="str">
        <f>IFERROR(IF(G302="","SIN",IF(O302=1,"SUBIR_E",IF(H302&lt;IFERROR(VLOOKUP(CONFIG!$E$2,CONFIG!$A$6:$E$8,2,0),6),"BAJAR",IF(H302+I302&gt;=IFERROR(VLOOKUP(CONFIG!$E$2,CONFIG!$A$6:$E$8,3,0),12),"SUBIR_F",IF(AND(H302&gt;=IFERROR(VLOOKUP(CONFIG!$E$2,CONFIG!$A$6:$E$8,2,0),6)+2,I302&gt;=2),"SUBIR",IF(I302&gt;IFERROR(VLOOKUP(CONFIG!$E$2,CONFIG!$A$6:$E$8,5,0),3),"SUBIR","MANT")))))),"SIN")</f>
        <v>SIN</v>
      </c>
      <c r="O302" s="55">
        <f>IF(COUNTIFS(HISTORIAL!$O$3:$O$300,D302&amp;"|"&amp;E302,HISTORIAL!$F$3:$F$300,"&gt;0")&lt;2,0,IF(COUNTIFS(HISTORIAL!$O$3:$O$300,D302&amp;"|"&amp;E302,HISTORIAL!$F$3:$F$300,IFERROR(LOOKUP(2,1/((HISTORIAL!$O$3:$O$300=D302&amp;"|"&amp;E302)*(HISTORIAL!$F$3:$F$300&gt;0)),HISTORIAL!$F$3:$F$300),0))&gt;=2,IF(IFERROR(LOOKUP(2,1/((HISTORIAL!$O$3:$O$300=D302&amp;"|"&amp;E302)*(HISTORIAL!$F$3:$F$300&gt;0)),HISTORIAL!$G$3:$G$300),0)&gt;0,IF(F302&gt;0,IF(G302&lt;=IFERROR(LOOKUP(2,1/((HISTORIAL!$O$3:$O$300=D302&amp;"|"&amp;E302)*(HISTORIAL!$F$3:$F$300&gt;0)),HISTORIAL!$G$3:$G$300),0),1,0),0),0),0))</f>
        <v>0</v>
      </c>
    </row>
    <row r="303" spans="1:15" ht="14.1" customHeight="1">
      <c r="A303" s="37">
        <v>5</v>
      </c>
      <c r="B303" s="37" t="s">
        <v>280</v>
      </c>
      <c r="C303" s="37">
        <v>11</v>
      </c>
      <c r="D303" s="56" t="str">
        <f>JUEVES!$A$129</f>
        <v>Extension Cuadriceps</v>
      </c>
      <c r="E303" s="57" t="str">
        <f>JUEVES!$B$129</f>
        <v>Vasto Interno</v>
      </c>
      <c r="F303" s="37" t="str">
        <f>JUEVES!$C$129</f>
        <v>--</v>
      </c>
      <c r="G303" s="37" t="str">
        <f>IFERROR(LOOKUP(2,1/((HISTORIAL!$O$3:$O$301=D303&amp;"|"&amp;E303)*(HISTORIAL!$F$3:$F$301&lt;&gt;"")),HISTORIAL!$F$3:$F$301),"")</f>
        <v/>
      </c>
      <c r="H303" s="37" t="str">
        <f>IFERROR(LOOKUP(2,1/((HISTORIAL!$O$3:$O$301=D303&amp;"|"&amp;E303)*(HISTORIAL!$F$3:$F$301&lt;&gt;"")),HISTORIAL!$G$3:$G$301),"")</f>
        <v/>
      </c>
      <c r="I303" s="37" t="str">
        <f>IFERROR(LOOKUP(2,1/((HISTORIAL!$O$3:$O$301=D303&amp;"|"&amp;E303)*(HISTORIAL!$F$3:$F$301&lt;&gt;"")),HISTORIAL!$H$3:$H$301),"")</f>
        <v/>
      </c>
      <c r="J303" s="37" t="str">
        <f>IFERROR(LOOKUP(2,1/((HISTORIAL!$O$3:$O$301=D303&amp;"|"&amp;E303)*(HISTORIAL!$F$3:$F$301&lt;&gt;"")),HISTORIAL!$I$3:$I$301),"")</f>
        <v/>
      </c>
      <c r="K303" s="58" t="str">
        <f>IFERROR(IF(OR(G303="",N303="SIN"),"--",IF(N303="SUBIR_F",IF(F303="polea",IFERROR(INDEX(CONFIG!$B$25:$B$40,MATCH(G303,CONFIG!$B$25:$B$40,0)+2),IFERROR(INDEX(CONFIG!$B$25:$B$40,MATCH(G303,CONFIG!$B$25:$B$40,0)+1),G303)),G303+5),IF(OR(N303="SUBIR",N303="SUBIR_E"),IF(F303="polea",IFERROR(INDEX(CONFIG!$B$25:$B$40,MATCH(G303,CONFIG!$B$25:$B$40,0)+1),G303),G303+2.5),IF(N303="BAJAR",IF(F303="polea",IFERROR(INDEX(CONFIG!$B$25:$B$40,MAX(1,MATCH(G303,CONFIG!$B$25:$B$40,0)-1)),G303),MAX(0,G303-2.5)),G303)))),"--")</f>
        <v>--</v>
      </c>
      <c r="L303" s="59" t="str">
        <f>IFERROR(IF(N303="SIN","--",IF(N303="MANT",IF(H303="","--",H303+1),IFERROR(VLOOKUP(CONFIG!$E$2,CONFIG!$A$6:$E$8,2,0),"--"))),"--")</f>
        <v>--</v>
      </c>
      <c r="M303" s="59" t="str">
        <f>IFERROR(IF(N303="SIN","--",IF(CONFIG!$E$2="HIP",2,IF(CONFIG!$E$2="FUE",1,2))),"--")</f>
        <v>--</v>
      </c>
      <c r="N303" s="53" t="str">
        <f>IFERROR(IF(G303="","SIN",IF(O303=1,"SUBIR_E",IF(H303&lt;IFERROR(VLOOKUP(CONFIG!$E$2,CONFIG!$A$6:$E$8,2,0),6),"BAJAR",IF(H303+I303&gt;=IFERROR(VLOOKUP(CONFIG!$E$2,CONFIG!$A$6:$E$8,3,0),12),"SUBIR_F",IF(AND(H303&gt;=IFERROR(VLOOKUP(CONFIG!$E$2,CONFIG!$A$6:$E$8,2,0),6)+2,I303&gt;=2),"SUBIR",IF(I303&gt;IFERROR(VLOOKUP(CONFIG!$E$2,CONFIG!$A$6:$E$8,5,0),3),"SUBIR","MANT")))))),"SIN")</f>
        <v>SIN</v>
      </c>
      <c r="O303" s="55">
        <f>IF(COUNTIFS(HISTORIAL!$O$3:$O$301,D303&amp;"|"&amp;E303,HISTORIAL!$F$3:$F$301,"&gt;0")&lt;2,0,IF(COUNTIFS(HISTORIAL!$O$3:$O$301,D303&amp;"|"&amp;E303,HISTORIAL!$F$3:$F$301,IFERROR(LOOKUP(2,1/((HISTORIAL!$O$3:$O$301=D303&amp;"|"&amp;E303)*(HISTORIAL!$F$3:$F$301&gt;0)),HISTORIAL!$F$3:$F$301),0))&gt;=2,IF(IFERROR(LOOKUP(2,1/((HISTORIAL!$O$3:$O$301=D303&amp;"|"&amp;E303)*(HISTORIAL!$F$3:$F$301&gt;0)),HISTORIAL!$G$3:$G$301),0)&gt;0,IF(F303&gt;0,IF(G303&lt;=IFERROR(LOOKUP(2,1/((HISTORIAL!$O$3:$O$301=D303&amp;"|"&amp;E303)*(HISTORIAL!$F$3:$F$301&gt;0)),HISTORIAL!$G$3:$G$301),0),1,0),0),0),0))</f>
        <v>0</v>
      </c>
    </row>
    <row r="304" spans="1:15" ht="14.1" customHeight="1">
      <c r="A304" s="37">
        <v>5</v>
      </c>
      <c r="B304" s="37" t="s">
        <v>280</v>
      </c>
      <c r="C304" s="37">
        <v>12</v>
      </c>
      <c r="D304" s="56" t="str">
        <f>JUEVES!$A$131</f>
        <v>Curl Biceps</v>
      </c>
      <c r="E304" s="57" t="str">
        <f>JUEVES!$B$131</f>
        <v>Concentrado Maquina</v>
      </c>
      <c r="F304" s="37" t="str">
        <f>JUEVES!$C$131</f>
        <v>polea</v>
      </c>
      <c r="G304" s="37">
        <f>IFERROR(LOOKUP(2,1/((HISTORIAL!$O$3:$O$302=D304&amp;"|"&amp;E304)*(HISTORIAL!$F$3:$F$302&lt;&gt;"")),HISTORIAL!$F$3:$F$302),"")</f>
        <v>40</v>
      </c>
      <c r="H304" s="37">
        <f>IFERROR(LOOKUP(2,1/((HISTORIAL!$O$3:$O$302=D304&amp;"|"&amp;E304)*(HISTORIAL!$F$3:$F$302&lt;&gt;"")),HISTORIAL!$G$3:$G$302),"")</f>
        <v>6</v>
      </c>
      <c r="I304" s="37">
        <f>IFERROR(LOOKUP(2,1/((HISTORIAL!$O$3:$O$302=D304&amp;"|"&amp;E304)*(HISTORIAL!$F$3:$F$302&lt;&gt;"")),HISTORIAL!$H$3:$H$302),"")</f>
        <v>0</v>
      </c>
      <c r="J304" s="37" t="str">
        <f>IFERROR(LOOKUP(2,1/((HISTORIAL!$O$3:$O$302=D304&amp;"|"&amp;E304)*(HISTORIAL!$F$3:$F$302&lt;&gt;"")),HISTORIAL!$I$3:$I$302),"")</f>
        <v>B</v>
      </c>
      <c r="K304" s="58">
        <f>IFERROR(IF(OR(G304="",N304="SIN"),"--",IF(N304="SUBIR_F",IF(F304="polea",IFERROR(INDEX(CONFIG!$B$25:$B$40,MATCH(G304,CONFIG!$B$25:$B$40,0)+2),IFERROR(INDEX(CONFIG!$B$25:$B$40,MATCH(G304,CONFIG!$B$25:$B$40,0)+1),G304)),G304+5),IF(OR(N304="SUBIR",N304="SUBIR_E"),IF(F304="polea",IFERROR(INDEX(CONFIG!$B$25:$B$40,MATCH(G304,CONFIG!$B$25:$B$40,0)+1),G304),G304+2.5),IF(N304="BAJAR",IF(F304="polea",IFERROR(INDEX(CONFIG!$B$25:$B$40,MAX(1,MATCH(G304,CONFIG!$B$25:$B$40,0)-1)),G304),MAX(0,G304-2.5)),G304)))),"--")</f>
        <v>40</v>
      </c>
      <c r="L304" s="59">
        <f>IFERROR(IF(N304="SIN","--",IF(N304="MANT",IF(H304="","--",H304+1),IFERROR(VLOOKUP(CONFIG!$E$2,CONFIG!$A$6:$E$8,2,0),"--"))),"--")</f>
        <v>7</v>
      </c>
      <c r="M304" s="59">
        <f>IFERROR(IF(N304="SIN","--",IF(CONFIG!$E$2="HIP",2,IF(CONFIG!$E$2="FUE",1,2))),"--")</f>
        <v>2</v>
      </c>
      <c r="N304" s="53" t="str">
        <f>IFERROR(IF(G304="","SIN",IF(O304=1,"SUBIR_E",IF(H304&lt;IFERROR(VLOOKUP(CONFIG!$E$2,CONFIG!$A$6:$E$8,2,0),6),"BAJAR",IF(H304+I304&gt;=IFERROR(VLOOKUP(CONFIG!$E$2,CONFIG!$A$6:$E$8,3,0),12),"SUBIR_F",IF(AND(H304&gt;=IFERROR(VLOOKUP(CONFIG!$E$2,CONFIG!$A$6:$E$8,2,0),6)+2,I304&gt;=2),"SUBIR",IF(I304&gt;IFERROR(VLOOKUP(CONFIG!$E$2,CONFIG!$A$6:$E$8,5,0),3),"SUBIR","MANT")))))),"SIN")</f>
        <v>MANT</v>
      </c>
      <c r="O304" s="55">
        <f>IF(COUNTIFS(HISTORIAL!$O$3:$O$302,D304&amp;"|"&amp;E304,HISTORIAL!$F$3:$F$302,"&gt;0")&lt;2,0,IF(COUNTIFS(HISTORIAL!$O$3:$O$302,D304&amp;"|"&amp;E304,HISTORIAL!$F$3:$F$302,IFERROR(LOOKUP(2,1/((HISTORIAL!$O$3:$O$302=D304&amp;"|"&amp;E304)*(HISTORIAL!$F$3:$F$302&gt;0)),HISTORIAL!$F$3:$F$302),0))&gt;=2,IF(IFERROR(LOOKUP(2,1/((HISTORIAL!$O$3:$O$302=D304&amp;"|"&amp;E304)*(HISTORIAL!$F$3:$F$302&gt;0)),HISTORIAL!$G$3:$G$302),0)&gt;0,IF(F304&gt;0,IF(G304&lt;=IFERROR(LOOKUP(2,1/((HISTORIAL!$O$3:$O$302=D304&amp;"|"&amp;E304)*(HISTORIAL!$F$3:$F$302&gt;0)),HISTORIAL!$G$3:$G$302),0),1,0),0),0),0))</f>
        <v>0</v>
      </c>
    </row>
    <row r="305" spans="1:15" ht="14.1" customHeight="1">
      <c r="A305" s="37">
        <v>5</v>
      </c>
      <c r="B305" s="37" t="s">
        <v>280</v>
      </c>
      <c r="C305" s="37">
        <v>13</v>
      </c>
      <c r="D305" s="56" t="str">
        <f>JUEVES!$A$133</f>
        <v>Crunch</v>
      </c>
      <c r="E305" s="57" t="str">
        <f>JUEVES!$B$133</f>
        <v>Polea</v>
      </c>
      <c r="F305" s="37" t="str">
        <f>JUEVES!$C$133</f>
        <v>polea</v>
      </c>
      <c r="G305" s="37" t="str">
        <f>IFERROR(LOOKUP(2,1/((HISTORIAL!$O$3:$O$303=D305&amp;"|"&amp;E305)*(HISTORIAL!$F$3:$F$303&lt;&gt;"")),HISTORIAL!$F$3:$F$303),"")</f>
        <v/>
      </c>
      <c r="H305" s="37" t="str">
        <f>IFERROR(LOOKUP(2,1/((HISTORIAL!$O$3:$O$303=D305&amp;"|"&amp;E305)*(HISTORIAL!$F$3:$F$303&lt;&gt;"")),HISTORIAL!$G$3:$G$303),"")</f>
        <v/>
      </c>
      <c r="I305" s="37" t="str">
        <f>IFERROR(LOOKUP(2,1/((HISTORIAL!$O$3:$O$303=D305&amp;"|"&amp;E305)*(HISTORIAL!$F$3:$F$303&lt;&gt;"")),HISTORIAL!$H$3:$H$303),"")</f>
        <v/>
      </c>
      <c r="J305" s="37" t="str">
        <f>IFERROR(LOOKUP(2,1/((HISTORIAL!$O$3:$O$303=D305&amp;"|"&amp;E305)*(HISTORIAL!$F$3:$F$303&lt;&gt;"")),HISTORIAL!$I$3:$I$303),"")</f>
        <v/>
      </c>
      <c r="K305" s="58" t="str">
        <f>IFERROR(IF(OR(G305="",N305="SIN"),"--",IF(N305="SUBIR_F",IF(F305="polea",IFERROR(INDEX(CONFIG!$B$25:$B$40,MATCH(G305,CONFIG!$B$25:$B$40,0)+2),IFERROR(INDEX(CONFIG!$B$25:$B$40,MATCH(G305,CONFIG!$B$25:$B$40,0)+1),G305)),G305+5),IF(OR(N305="SUBIR",N305="SUBIR_E"),IF(F305="polea",IFERROR(INDEX(CONFIG!$B$25:$B$40,MATCH(G305,CONFIG!$B$25:$B$40,0)+1),G305),G305+2.5),IF(N305="BAJAR",IF(F305="polea",IFERROR(INDEX(CONFIG!$B$25:$B$40,MAX(1,MATCH(G305,CONFIG!$B$25:$B$40,0)-1)),G305),MAX(0,G305-2.5)),G305)))),"--")</f>
        <v>--</v>
      </c>
      <c r="L305" s="59" t="str">
        <f>IFERROR(IF(N305="SIN","--",IF(N305="MANT",IF(H305="","--",H305+1),IFERROR(VLOOKUP(CONFIG!$E$2,CONFIG!$A$6:$E$8,2,0),"--"))),"--")</f>
        <v>--</v>
      </c>
      <c r="M305" s="59" t="str">
        <f>IFERROR(IF(N305="SIN","--",IF(CONFIG!$E$2="HIP",2,IF(CONFIG!$E$2="FUE",1,2))),"--")</f>
        <v>--</v>
      </c>
      <c r="N305" s="53" t="str">
        <f>IFERROR(IF(G305="","SIN",IF(O305=1,"SUBIR_E",IF(H305&lt;IFERROR(VLOOKUP(CONFIG!$E$2,CONFIG!$A$6:$E$8,2,0),6),"BAJAR",IF(H305+I305&gt;=IFERROR(VLOOKUP(CONFIG!$E$2,CONFIG!$A$6:$E$8,3,0),12),"SUBIR_F",IF(AND(H305&gt;=IFERROR(VLOOKUP(CONFIG!$E$2,CONFIG!$A$6:$E$8,2,0),6)+2,I305&gt;=2),"SUBIR",IF(I305&gt;IFERROR(VLOOKUP(CONFIG!$E$2,CONFIG!$A$6:$E$8,5,0),3),"SUBIR","MANT")))))),"SIN")</f>
        <v>SIN</v>
      </c>
      <c r="O305" s="55">
        <f>IF(COUNTIFS(HISTORIAL!$O$3:$O$303,D305&amp;"|"&amp;E305,HISTORIAL!$F$3:$F$303,"&gt;0")&lt;2,0,IF(COUNTIFS(HISTORIAL!$O$3:$O$303,D305&amp;"|"&amp;E305,HISTORIAL!$F$3:$F$303,IFERROR(LOOKUP(2,1/((HISTORIAL!$O$3:$O$303=D305&amp;"|"&amp;E305)*(HISTORIAL!$F$3:$F$303&gt;0)),HISTORIAL!$F$3:$F$303),0))&gt;=2,IF(IFERROR(LOOKUP(2,1/((HISTORIAL!$O$3:$O$303=D305&amp;"|"&amp;E305)*(HISTORIAL!$F$3:$F$303&gt;0)),HISTORIAL!$G$3:$G$303),0)&gt;0,IF(F305&gt;0,IF(G305&lt;=IFERROR(LOOKUP(2,1/((HISTORIAL!$O$3:$O$303=D305&amp;"|"&amp;E305)*(HISTORIAL!$F$3:$F$303&gt;0)),HISTORIAL!$G$3:$G$303),0),1,0),0),0),0))</f>
        <v>0</v>
      </c>
    </row>
    <row r="306" spans="1:15" ht="14.1" customHeight="1">
      <c r="A306" s="37">
        <v>5</v>
      </c>
      <c r="B306" s="37" t="s">
        <v>281</v>
      </c>
      <c r="C306" s="37">
        <v>1</v>
      </c>
      <c r="D306" s="56" t="str">
        <f>SABADO!$A$109</f>
        <v>Pulldown</v>
      </c>
      <c r="E306" s="57" t="str">
        <f>SABADO!$B$109</f>
        <v>Polea Alta Brazos Rectos Prono</v>
      </c>
      <c r="F306" s="37" t="str">
        <f>SABADO!$C$109</f>
        <v>polea</v>
      </c>
      <c r="G306" s="37" t="str">
        <f>IFERROR(LOOKUP(2,1/((HISTORIAL!$O$3:$O$304=D306&amp;"|"&amp;E306)*(HISTORIAL!$F$3:$F$304&lt;&gt;"")),HISTORIAL!$F$3:$F$304),"")</f>
        <v/>
      </c>
      <c r="H306" s="37" t="str">
        <f>IFERROR(LOOKUP(2,1/((HISTORIAL!$O$3:$O$304=D306&amp;"|"&amp;E306)*(HISTORIAL!$F$3:$F$304&lt;&gt;"")),HISTORIAL!$G$3:$G$304),"")</f>
        <v/>
      </c>
      <c r="I306" s="37" t="str">
        <f>IFERROR(LOOKUP(2,1/((HISTORIAL!$O$3:$O$304=D306&amp;"|"&amp;E306)*(HISTORIAL!$F$3:$F$304&lt;&gt;"")),HISTORIAL!$H$3:$H$304),"")</f>
        <v/>
      </c>
      <c r="J306" s="37" t="str">
        <f>IFERROR(LOOKUP(2,1/((HISTORIAL!$O$3:$O$304=D306&amp;"|"&amp;E306)*(HISTORIAL!$F$3:$F$304&lt;&gt;"")),HISTORIAL!$I$3:$I$304),"")</f>
        <v/>
      </c>
      <c r="K306" s="58" t="str">
        <f>IFERROR(IF(OR(G306="",N306="SIN"),"--",IF(N306="SUBIR_F",IF(F306="polea",IFERROR(INDEX(CONFIG!$B$25:$B$40,MATCH(G306,CONFIG!$B$25:$B$40,0)+2),IFERROR(INDEX(CONFIG!$B$25:$B$40,MATCH(G306,CONFIG!$B$25:$B$40,0)+1),G306)),G306+5),IF(OR(N306="SUBIR",N306="SUBIR_E"),IF(F306="polea",IFERROR(INDEX(CONFIG!$B$25:$B$40,MATCH(G306,CONFIG!$B$25:$B$40,0)+1),G306),G306+2.5),IF(N306="BAJAR",IF(F306="polea",IFERROR(INDEX(CONFIG!$B$25:$B$40,MAX(1,MATCH(G306,CONFIG!$B$25:$B$40,0)-1)),G306),MAX(0,G306-2.5)),G306)))),"--")</f>
        <v>--</v>
      </c>
      <c r="L306" s="59" t="str">
        <f>IFERROR(IF(N306="SIN","--",IF(N306="MANT",IF(H306="","--",H306+1),IFERROR(VLOOKUP(CONFIG!$E$2,CONFIG!$A$6:$E$8,2,0),"--"))),"--")</f>
        <v>--</v>
      </c>
      <c r="M306" s="59" t="str">
        <f>IFERROR(IF(N306="SIN","--",IF(CONFIG!$E$2="HIP",2,IF(CONFIG!$E$2="FUE",1,2))),"--")</f>
        <v>--</v>
      </c>
      <c r="N306" s="53" t="str">
        <f>IFERROR(IF(G306="","SIN",IF(O306=1,"SUBIR_E",IF(H306&lt;IFERROR(VLOOKUP(CONFIG!$E$2,CONFIG!$A$6:$E$8,2,0),6),"BAJAR",IF(H306+I306&gt;=IFERROR(VLOOKUP(CONFIG!$E$2,CONFIG!$A$6:$E$8,3,0),12),"SUBIR_F",IF(AND(H306&gt;=IFERROR(VLOOKUP(CONFIG!$E$2,CONFIG!$A$6:$E$8,2,0),6)+2,I306&gt;=2),"SUBIR",IF(I306&gt;IFERROR(VLOOKUP(CONFIG!$E$2,CONFIG!$A$6:$E$8,5,0),3),"SUBIR","MANT")))))),"SIN")</f>
        <v>SIN</v>
      </c>
      <c r="O306" s="55">
        <f>IF(COUNTIFS(HISTORIAL!$O$3:$O$304,D306&amp;"|"&amp;E306,HISTORIAL!$F$3:$F$304,"&gt;0")&lt;2,0,IF(COUNTIFS(HISTORIAL!$O$3:$O$304,D306&amp;"|"&amp;E306,HISTORIAL!$F$3:$F$304,IFERROR(LOOKUP(2,1/((HISTORIAL!$O$3:$O$304=D306&amp;"|"&amp;E306)*(HISTORIAL!$F$3:$F$304&gt;0)),HISTORIAL!$F$3:$F$304),0))&gt;=2,IF(IFERROR(LOOKUP(2,1/((HISTORIAL!$O$3:$O$304=D306&amp;"|"&amp;E306)*(HISTORIAL!$F$3:$F$304&gt;0)),HISTORIAL!$G$3:$G$304),0)&gt;0,IF(F306&gt;0,IF(G306&lt;=IFERROR(LOOKUP(2,1/((HISTORIAL!$O$3:$O$304=D306&amp;"|"&amp;E306)*(HISTORIAL!$F$3:$F$304&gt;0)),HISTORIAL!$G$3:$G$304),0),1,0),0),0),0))</f>
        <v>0</v>
      </c>
    </row>
    <row r="307" spans="1:15" ht="14.1" customHeight="1">
      <c r="A307" s="37">
        <v>5</v>
      </c>
      <c r="B307" s="37" t="s">
        <v>281</v>
      </c>
      <c r="C307" s="37">
        <v>2</v>
      </c>
      <c r="D307" s="56" t="str">
        <f>SABADO!$A$111</f>
        <v>Remo</v>
      </c>
      <c r="E307" s="57" t="str">
        <f>SABADO!$B$111</f>
        <v>Maquina Neutro Estrecho</v>
      </c>
      <c r="F307" s="37" t="str">
        <f>SABADO!$C$111</f>
        <v>polea</v>
      </c>
      <c r="G307" s="37" t="str">
        <f>IFERROR(LOOKUP(2,1/((HISTORIAL!$O$3:$O$305=D307&amp;"|"&amp;E307)*(HISTORIAL!$F$3:$F$305&lt;&gt;"")),HISTORIAL!$F$3:$F$305),"")</f>
        <v/>
      </c>
      <c r="H307" s="37" t="str">
        <f>IFERROR(LOOKUP(2,1/((HISTORIAL!$O$3:$O$305=D307&amp;"|"&amp;E307)*(HISTORIAL!$F$3:$F$305&lt;&gt;"")),HISTORIAL!$G$3:$G$305),"")</f>
        <v/>
      </c>
      <c r="I307" s="37" t="str">
        <f>IFERROR(LOOKUP(2,1/((HISTORIAL!$O$3:$O$305=D307&amp;"|"&amp;E307)*(HISTORIAL!$F$3:$F$305&lt;&gt;"")),HISTORIAL!$H$3:$H$305),"")</f>
        <v/>
      </c>
      <c r="J307" s="37" t="str">
        <f>IFERROR(LOOKUP(2,1/((HISTORIAL!$O$3:$O$305=D307&amp;"|"&amp;E307)*(HISTORIAL!$F$3:$F$305&lt;&gt;"")),HISTORIAL!$I$3:$I$305),"")</f>
        <v/>
      </c>
      <c r="K307" s="58" t="str">
        <f>IFERROR(IF(OR(G307="",N307="SIN"),"--",IF(N307="SUBIR_F",IF(F307="polea",IFERROR(INDEX(CONFIG!$B$25:$B$40,MATCH(G307,CONFIG!$B$25:$B$40,0)+2),IFERROR(INDEX(CONFIG!$B$25:$B$40,MATCH(G307,CONFIG!$B$25:$B$40,0)+1),G307)),G307+5),IF(OR(N307="SUBIR",N307="SUBIR_E"),IF(F307="polea",IFERROR(INDEX(CONFIG!$B$25:$B$40,MATCH(G307,CONFIG!$B$25:$B$40,0)+1),G307),G307+2.5),IF(N307="BAJAR",IF(F307="polea",IFERROR(INDEX(CONFIG!$B$25:$B$40,MAX(1,MATCH(G307,CONFIG!$B$25:$B$40,0)-1)),G307),MAX(0,G307-2.5)),G307)))),"--")</f>
        <v>--</v>
      </c>
      <c r="L307" s="59" t="str">
        <f>IFERROR(IF(N307="SIN","--",IF(N307="MANT",IF(H307="","--",H307+1),IFERROR(VLOOKUP(CONFIG!$E$2,CONFIG!$A$6:$E$8,2,0),"--"))),"--")</f>
        <v>--</v>
      </c>
      <c r="M307" s="59" t="str">
        <f>IFERROR(IF(N307="SIN","--",IF(CONFIG!$E$2="HIP",2,IF(CONFIG!$E$2="FUE",1,2))),"--")</f>
        <v>--</v>
      </c>
      <c r="N307" s="53" t="str">
        <f>IFERROR(IF(G307="","SIN",IF(O307=1,"SUBIR_E",IF(H307&lt;IFERROR(VLOOKUP(CONFIG!$E$2,CONFIG!$A$6:$E$8,2,0),6),"BAJAR",IF(H307+I307&gt;=IFERROR(VLOOKUP(CONFIG!$E$2,CONFIG!$A$6:$E$8,3,0),12),"SUBIR_F",IF(AND(H307&gt;=IFERROR(VLOOKUP(CONFIG!$E$2,CONFIG!$A$6:$E$8,2,0),6)+2,I307&gt;=2),"SUBIR",IF(I307&gt;IFERROR(VLOOKUP(CONFIG!$E$2,CONFIG!$A$6:$E$8,5,0),3),"SUBIR","MANT")))))),"SIN")</f>
        <v>SIN</v>
      </c>
      <c r="O307" s="55">
        <f>IF(COUNTIFS(HISTORIAL!$O$3:$O$305,D307&amp;"|"&amp;E307,HISTORIAL!$F$3:$F$305,"&gt;0")&lt;2,0,IF(COUNTIFS(HISTORIAL!$O$3:$O$305,D307&amp;"|"&amp;E307,HISTORIAL!$F$3:$F$305,IFERROR(LOOKUP(2,1/((HISTORIAL!$O$3:$O$305=D307&amp;"|"&amp;E307)*(HISTORIAL!$F$3:$F$305&gt;0)),HISTORIAL!$F$3:$F$305),0))&gt;=2,IF(IFERROR(LOOKUP(2,1/((HISTORIAL!$O$3:$O$305=D307&amp;"|"&amp;E307)*(HISTORIAL!$F$3:$F$305&gt;0)),HISTORIAL!$G$3:$G$305),0)&gt;0,IF(F307&gt;0,IF(G307&lt;=IFERROR(LOOKUP(2,1/((HISTORIAL!$O$3:$O$305=D307&amp;"|"&amp;E307)*(HISTORIAL!$F$3:$F$305&gt;0)),HISTORIAL!$G$3:$G$305),0),1,0),0),0),0))</f>
        <v>0</v>
      </c>
    </row>
    <row r="308" spans="1:15" ht="14.1" customHeight="1">
      <c r="A308" s="37">
        <v>5</v>
      </c>
      <c r="B308" s="37" t="s">
        <v>281</v>
      </c>
      <c r="C308" s="37">
        <v>3</v>
      </c>
      <c r="D308" s="56" t="str">
        <f>SABADO!$A$112</f>
        <v>Remo</v>
      </c>
      <c r="E308" s="57" t="str">
        <f>SABADO!$B$112</f>
        <v>Maquina Neutro Ancho</v>
      </c>
      <c r="F308" s="37" t="str">
        <f>SABADO!$C$112</f>
        <v>polea</v>
      </c>
      <c r="G308" s="37" t="str">
        <f>IFERROR(LOOKUP(2,1/((HISTORIAL!$O$3:$O$306=D308&amp;"|"&amp;E308)*(HISTORIAL!$F$3:$F$306&lt;&gt;"")),HISTORIAL!$F$3:$F$306),"")</f>
        <v/>
      </c>
      <c r="H308" s="37" t="str">
        <f>IFERROR(LOOKUP(2,1/((HISTORIAL!$O$3:$O$306=D308&amp;"|"&amp;E308)*(HISTORIAL!$F$3:$F$306&lt;&gt;"")),HISTORIAL!$G$3:$G$306),"")</f>
        <v/>
      </c>
      <c r="I308" s="37" t="str">
        <f>IFERROR(LOOKUP(2,1/((HISTORIAL!$O$3:$O$306=D308&amp;"|"&amp;E308)*(HISTORIAL!$F$3:$F$306&lt;&gt;"")),HISTORIAL!$H$3:$H$306),"")</f>
        <v/>
      </c>
      <c r="J308" s="37" t="str">
        <f>IFERROR(LOOKUP(2,1/((HISTORIAL!$O$3:$O$306=D308&amp;"|"&amp;E308)*(HISTORIAL!$F$3:$F$306&lt;&gt;"")),HISTORIAL!$I$3:$I$306),"")</f>
        <v/>
      </c>
      <c r="K308" s="58" t="str">
        <f>IFERROR(IF(OR(G308="",N308="SIN"),"--",IF(N308="SUBIR_F",IF(F308="polea",IFERROR(INDEX(CONFIG!$B$25:$B$40,MATCH(G308,CONFIG!$B$25:$B$40,0)+2),IFERROR(INDEX(CONFIG!$B$25:$B$40,MATCH(G308,CONFIG!$B$25:$B$40,0)+1),G308)),G308+5),IF(OR(N308="SUBIR",N308="SUBIR_E"),IF(F308="polea",IFERROR(INDEX(CONFIG!$B$25:$B$40,MATCH(G308,CONFIG!$B$25:$B$40,0)+1),G308),G308+2.5),IF(N308="BAJAR",IF(F308="polea",IFERROR(INDEX(CONFIG!$B$25:$B$40,MAX(1,MATCH(G308,CONFIG!$B$25:$B$40,0)-1)),G308),MAX(0,G308-2.5)),G308)))),"--")</f>
        <v>--</v>
      </c>
      <c r="L308" s="59" t="str">
        <f>IFERROR(IF(N308="SIN","--",IF(N308="MANT",IF(H308="","--",H308+1),IFERROR(VLOOKUP(CONFIG!$E$2,CONFIG!$A$6:$E$8,2,0),"--"))),"--")</f>
        <v>--</v>
      </c>
      <c r="M308" s="59" t="str">
        <f>IFERROR(IF(N308="SIN","--",IF(CONFIG!$E$2="HIP",2,IF(CONFIG!$E$2="FUE",1,2))),"--")</f>
        <v>--</v>
      </c>
      <c r="N308" s="53" t="str">
        <f>IFERROR(IF(G308="","SIN",IF(O308=1,"SUBIR_E",IF(H308&lt;IFERROR(VLOOKUP(CONFIG!$E$2,CONFIG!$A$6:$E$8,2,0),6),"BAJAR",IF(H308+I308&gt;=IFERROR(VLOOKUP(CONFIG!$E$2,CONFIG!$A$6:$E$8,3,0),12),"SUBIR_F",IF(AND(H308&gt;=IFERROR(VLOOKUP(CONFIG!$E$2,CONFIG!$A$6:$E$8,2,0),6)+2,I308&gt;=2),"SUBIR",IF(I308&gt;IFERROR(VLOOKUP(CONFIG!$E$2,CONFIG!$A$6:$E$8,5,0),3),"SUBIR","MANT")))))),"SIN")</f>
        <v>SIN</v>
      </c>
      <c r="O308" s="55">
        <f>IF(COUNTIFS(HISTORIAL!$O$3:$O$306,D308&amp;"|"&amp;E308,HISTORIAL!$F$3:$F$306,"&gt;0")&lt;2,0,IF(COUNTIFS(HISTORIAL!$O$3:$O$306,D308&amp;"|"&amp;E308,HISTORIAL!$F$3:$F$306,IFERROR(LOOKUP(2,1/((HISTORIAL!$O$3:$O$306=D308&amp;"|"&amp;E308)*(HISTORIAL!$F$3:$F$306&gt;0)),HISTORIAL!$F$3:$F$306),0))&gt;=2,IF(IFERROR(LOOKUP(2,1/((HISTORIAL!$O$3:$O$306=D308&amp;"|"&amp;E308)*(HISTORIAL!$F$3:$F$306&gt;0)),HISTORIAL!$G$3:$G$306),0)&gt;0,IF(F308&gt;0,IF(G308&lt;=IFERROR(LOOKUP(2,1/((HISTORIAL!$O$3:$O$306=D308&amp;"|"&amp;E308)*(HISTORIAL!$F$3:$F$306&gt;0)),HISTORIAL!$G$3:$G$306),0),1,0),0),0),0))</f>
        <v>0</v>
      </c>
    </row>
    <row r="309" spans="1:15" ht="14.1" customHeight="1">
      <c r="A309" s="37">
        <v>5</v>
      </c>
      <c r="B309" s="37" t="s">
        <v>281</v>
      </c>
      <c r="C309" s="37">
        <v>4</v>
      </c>
      <c r="D309" s="56" t="str">
        <f>SABADO!$A$113</f>
        <v>Peck Deck Invertida</v>
      </c>
      <c r="E309" s="57" t="str">
        <f>SABADO!$B$113</f>
        <v>Maquina</v>
      </c>
      <c r="F309" s="37" t="str">
        <f>SABADO!$C$113</f>
        <v>polea</v>
      </c>
      <c r="G309" s="37" t="str">
        <f>IFERROR(LOOKUP(2,1/((HISTORIAL!$O$3:$O$307=D309&amp;"|"&amp;E309)*(HISTORIAL!$F$3:$F$307&lt;&gt;"")),HISTORIAL!$F$3:$F$307),"")</f>
        <v/>
      </c>
      <c r="H309" s="37" t="str">
        <f>IFERROR(LOOKUP(2,1/((HISTORIAL!$O$3:$O$307=D309&amp;"|"&amp;E309)*(HISTORIAL!$F$3:$F$307&lt;&gt;"")),HISTORIAL!$G$3:$G$307),"")</f>
        <v/>
      </c>
      <c r="I309" s="37" t="str">
        <f>IFERROR(LOOKUP(2,1/((HISTORIAL!$O$3:$O$307=D309&amp;"|"&amp;E309)*(HISTORIAL!$F$3:$F$307&lt;&gt;"")),HISTORIAL!$H$3:$H$307),"")</f>
        <v/>
      </c>
      <c r="J309" s="37" t="str">
        <f>IFERROR(LOOKUP(2,1/((HISTORIAL!$O$3:$O$307=D309&amp;"|"&amp;E309)*(HISTORIAL!$F$3:$F$307&lt;&gt;"")),HISTORIAL!$I$3:$I$307),"")</f>
        <v/>
      </c>
      <c r="K309" s="58" t="str">
        <f>IFERROR(IF(OR(G309="",N309="SIN"),"--",IF(N309="SUBIR_F",IF(F309="polea",IFERROR(INDEX(CONFIG!$B$25:$B$40,MATCH(G309,CONFIG!$B$25:$B$40,0)+2),IFERROR(INDEX(CONFIG!$B$25:$B$40,MATCH(G309,CONFIG!$B$25:$B$40,0)+1),G309)),G309+5),IF(OR(N309="SUBIR",N309="SUBIR_E"),IF(F309="polea",IFERROR(INDEX(CONFIG!$B$25:$B$40,MATCH(G309,CONFIG!$B$25:$B$40,0)+1),G309),G309+2.5),IF(N309="BAJAR",IF(F309="polea",IFERROR(INDEX(CONFIG!$B$25:$B$40,MAX(1,MATCH(G309,CONFIG!$B$25:$B$40,0)-1)),G309),MAX(0,G309-2.5)),G309)))),"--")</f>
        <v>--</v>
      </c>
      <c r="L309" s="59" t="str">
        <f>IFERROR(IF(N309="SIN","--",IF(N309="MANT",IF(H309="","--",H309+1),IFERROR(VLOOKUP(CONFIG!$E$2,CONFIG!$A$6:$E$8,2,0),"--"))),"--")</f>
        <v>--</v>
      </c>
      <c r="M309" s="59" t="str">
        <f>IFERROR(IF(N309="SIN","--",IF(CONFIG!$E$2="HIP",2,IF(CONFIG!$E$2="FUE",1,2))),"--")</f>
        <v>--</v>
      </c>
      <c r="N309" s="53" t="str">
        <f>IFERROR(IF(G309="","SIN",IF(O309=1,"SUBIR_E",IF(H309&lt;IFERROR(VLOOKUP(CONFIG!$E$2,CONFIG!$A$6:$E$8,2,0),6),"BAJAR",IF(H309+I309&gt;=IFERROR(VLOOKUP(CONFIG!$E$2,CONFIG!$A$6:$E$8,3,0),12),"SUBIR_F",IF(AND(H309&gt;=IFERROR(VLOOKUP(CONFIG!$E$2,CONFIG!$A$6:$E$8,2,0),6)+2,I309&gt;=2),"SUBIR",IF(I309&gt;IFERROR(VLOOKUP(CONFIG!$E$2,CONFIG!$A$6:$E$8,5,0),3),"SUBIR","MANT")))))),"SIN")</f>
        <v>SIN</v>
      </c>
      <c r="O309" s="55">
        <f>IF(COUNTIFS(HISTORIAL!$O$3:$O$307,D309&amp;"|"&amp;E309,HISTORIAL!$F$3:$F$307,"&gt;0")&lt;2,0,IF(COUNTIFS(HISTORIAL!$O$3:$O$307,D309&amp;"|"&amp;E309,HISTORIAL!$F$3:$F$307,IFERROR(LOOKUP(2,1/((HISTORIAL!$O$3:$O$307=D309&amp;"|"&amp;E309)*(HISTORIAL!$F$3:$F$307&gt;0)),HISTORIAL!$F$3:$F$307),0))&gt;=2,IF(IFERROR(LOOKUP(2,1/((HISTORIAL!$O$3:$O$307=D309&amp;"|"&amp;E309)*(HISTORIAL!$F$3:$F$307&gt;0)),HISTORIAL!$G$3:$G$307),0)&gt;0,IF(F309&gt;0,IF(G309&lt;=IFERROR(LOOKUP(2,1/((HISTORIAL!$O$3:$O$307=D309&amp;"|"&amp;E309)*(HISTORIAL!$F$3:$F$307&gt;0)),HISTORIAL!$G$3:$G$307),0),1,0),0),0),0))</f>
        <v>0</v>
      </c>
    </row>
    <row r="310" spans="1:15" ht="14.1" customHeight="1">
      <c r="A310" s="37">
        <v>5</v>
      </c>
      <c r="B310" s="37" t="s">
        <v>281</v>
      </c>
      <c r="C310" s="37">
        <v>5</v>
      </c>
      <c r="D310" s="56" t="str">
        <f>SABADO!$A$115</f>
        <v>Curl Biceps</v>
      </c>
      <c r="E310" s="57" t="str">
        <f>SABADO!$B$115</f>
        <v>Concentrado Maquina</v>
      </c>
      <c r="F310" s="37" t="str">
        <f>SABADO!$C$115</f>
        <v>polea</v>
      </c>
      <c r="G310" s="37">
        <f>IFERROR(LOOKUP(2,1/((HISTORIAL!$O$3:$O$308=D310&amp;"|"&amp;E310)*(HISTORIAL!$F$3:$F$308&lt;&gt;"")),HISTORIAL!$F$3:$F$308),"")</f>
        <v>40</v>
      </c>
      <c r="H310" s="37">
        <f>IFERROR(LOOKUP(2,1/((HISTORIAL!$O$3:$O$308=D310&amp;"|"&amp;E310)*(HISTORIAL!$F$3:$F$308&lt;&gt;"")),HISTORIAL!$G$3:$G$308),"")</f>
        <v>6</v>
      </c>
      <c r="I310" s="37">
        <f>IFERROR(LOOKUP(2,1/((HISTORIAL!$O$3:$O$308=D310&amp;"|"&amp;E310)*(HISTORIAL!$F$3:$F$308&lt;&gt;"")),HISTORIAL!$H$3:$H$308),"")</f>
        <v>0</v>
      </c>
      <c r="J310" s="37" t="str">
        <f>IFERROR(LOOKUP(2,1/((HISTORIAL!$O$3:$O$308=D310&amp;"|"&amp;E310)*(HISTORIAL!$F$3:$F$308&lt;&gt;"")),HISTORIAL!$I$3:$I$308),"")</f>
        <v>B</v>
      </c>
      <c r="K310" s="58">
        <f>IFERROR(IF(OR(G310="",N310="SIN"),"--",IF(N310="SUBIR_F",IF(F310="polea",IFERROR(INDEX(CONFIG!$B$25:$B$40,MATCH(G310,CONFIG!$B$25:$B$40,0)+2),IFERROR(INDEX(CONFIG!$B$25:$B$40,MATCH(G310,CONFIG!$B$25:$B$40,0)+1),G310)),G310+5),IF(OR(N310="SUBIR",N310="SUBIR_E"),IF(F310="polea",IFERROR(INDEX(CONFIG!$B$25:$B$40,MATCH(G310,CONFIG!$B$25:$B$40,0)+1),G310),G310+2.5),IF(N310="BAJAR",IF(F310="polea",IFERROR(INDEX(CONFIG!$B$25:$B$40,MAX(1,MATCH(G310,CONFIG!$B$25:$B$40,0)-1)),G310),MAX(0,G310-2.5)),G310)))),"--")</f>
        <v>40</v>
      </c>
      <c r="L310" s="59">
        <f>IFERROR(IF(N310="SIN","--",IF(N310="MANT",IF(H310="","--",H310+1),IFERROR(VLOOKUP(CONFIG!$E$2,CONFIG!$A$6:$E$8,2,0),"--"))),"--")</f>
        <v>7</v>
      </c>
      <c r="M310" s="59">
        <f>IFERROR(IF(N310="SIN","--",IF(CONFIG!$E$2="HIP",2,IF(CONFIG!$E$2="FUE",1,2))),"--")</f>
        <v>2</v>
      </c>
      <c r="N310" s="53" t="str">
        <f>IFERROR(IF(G310="","SIN",IF(O310=1,"SUBIR_E",IF(H310&lt;IFERROR(VLOOKUP(CONFIG!$E$2,CONFIG!$A$6:$E$8,2,0),6),"BAJAR",IF(H310+I310&gt;=IFERROR(VLOOKUP(CONFIG!$E$2,CONFIG!$A$6:$E$8,3,0),12),"SUBIR_F",IF(AND(H310&gt;=IFERROR(VLOOKUP(CONFIG!$E$2,CONFIG!$A$6:$E$8,2,0),6)+2,I310&gt;=2),"SUBIR",IF(I310&gt;IFERROR(VLOOKUP(CONFIG!$E$2,CONFIG!$A$6:$E$8,5,0),3),"SUBIR","MANT")))))),"SIN")</f>
        <v>MANT</v>
      </c>
      <c r="O310" s="55">
        <f>IF(COUNTIFS(HISTORIAL!$O$3:$O$308,D310&amp;"|"&amp;E310,HISTORIAL!$F$3:$F$308,"&gt;0")&lt;2,0,IF(COUNTIFS(HISTORIAL!$O$3:$O$308,D310&amp;"|"&amp;E310,HISTORIAL!$F$3:$F$308,IFERROR(LOOKUP(2,1/((HISTORIAL!$O$3:$O$308=D310&amp;"|"&amp;E310)*(HISTORIAL!$F$3:$F$308&gt;0)),HISTORIAL!$F$3:$F$308),0))&gt;=2,IF(IFERROR(LOOKUP(2,1/((HISTORIAL!$O$3:$O$308=D310&amp;"|"&amp;E310)*(HISTORIAL!$F$3:$F$308&gt;0)),HISTORIAL!$G$3:$G$308),0)&gt;0,IF(F310&gt;0,IF(G310&lt;=IFERROR(LOOKUP(2,1/((HISTORIAL!$O$3:$O$308=D310&amp;"|"&amp;E310)*(HISTORIAL!$F$3:$F$308&gt;0)),HISTORIAL!$G$3:$G$308),0),1,0),0),0),0))</f>
        <v>0</v>
      </c>
    </row>
    <row r="311" spans="1:15" ht="14.1" customHeight="1">
      <c r="A311" s="37">
        <v>5</v>
      </c>
      <c r="B311" s="37" t="s">
        <v>281</v>
      </c>
      <c r="C311" s="37">
        <v>6</v>
      </c>
      <c r="D311" s="56" t="str">
        <f>SABADO!$A$116</f>
        <v>Curl Martillo</v>
      </c>
      <c r="E311" s="57" t="str">
        <f>SABADO!$B$116</f>
        <v>Polea Individual</v>
      </c>
      <c r="F311" s="37" t="str">
        <f>SABADO!$C$116</f>
        <v>polea</v>
      </c>
      <c r="G311" s="37">
        <f>IFERROR(LOOKUP(2,1/((HISTORIAL!$O$3:$O$309=D311&amp;"|"&amp;E311)*(HISTORIAL!$F$3:$F$309&lt;&gt;"")),HISTORIAL!$F$3:$F$309),"")</f>
        <v>20</v>
      </c>
      <c r="H311" s="37">
        <f>IFERROR(LOOKUP(2,1/((HISTORIAL!$O$3:$O$309=D311&amp;"|"&amp;E311)*(HISTORIAL!$F$3:$F$309&lt;&gt;"")),HISTORIAL!$G$3:$G$309),"")</f>
        <v>8</v>
      </c>
      <c r="I311" s="37">
        <f>IFERROR(LOOKUP(2,1/((HISTORIAL!$O$3:$O$309=D311&amp;"|"&amp;E311)*(HISTORIAL!$F$3:$F$309&lt;&gt;"")),HISTORIAL!$H$3:$H$309),"")</f>
        <v>3</v>
      </c>
      <c r="J311" s="37" t="str">
        <f>IFERROR(LOOKUP(2,1/((HISTORIAL!$O$3:$O$309=D311&amp;"|"&amp;E311)*(HISTORIAL!$F$3:$F$309&lt;&gt;"")),HISTORIAL!$I$3:$I$309),"")</f>
        <v>A</v>
      </c>
      <c r="K311" s="58">
        <f>IFERROR(IF(OR(G311="",N311="SIN"),"--",IF(N311="SUBIR_F",IF(F311="polea",IFERROR(INDEX(CONFIG!$B$25:$B$40,MATCH(G311,CONFIG!$B$25:$B$40,0)+2),IFERROR(INDEX(CONFIG!$B$25:$B$40,MATCH(G311,CONFIG!$B$25:$B$40,0)+1),G311)),G311+5),IF(OR(N311="SUBIR",N311="SUBIR_E"),IF(F311="polea",IFERROR(INDEX(CONFIG!$B$25:$B$40,MATCH(G311,CONFIG!$B$25:$B$40,0)+1),G311),G311+2.5),IF(N311="BAJAR",IF(F311="polea",IFERROR(INDEX(CONFIG!$B$25:$B$40,MAX(1,MATCH(G311,CONFIG!$B$25:$B$40,0)-1)),G311),MAX(0,G311-2.5)),G311)))),"--")</f>
        <v>20</v>
      </c>
      <c r="L311" s="59">
        <f>IFERROR(IF(N311="SIN","--",IF(N311="MANT",IF(H311="","--",H311+1),IFERROR(VLOOKUP(CONFIG!$E$2,CONFIG!$A$6:$E$8,2,0),"--"))),"--")</f>
        <v>6</v>
      </c>
      <c r="M311" s="59">
        <f>IFERROR(IF(N311="SIN","--",IF(CONFIG!$E$2="HIP",2,IF(CONFIG!$E$2="FUE",1,2))),"--")</f>
        <v>2</v>
      </c>
      <c r="N311" s="53" t="str">
        <f>IFERROR(IF(G311="","SIN",IF(O311=1,"SUBIR_E",IF(H311&lt;IFERROR(VLOOKUP(CONFIG!$E$2,CONFIG!$A$6:$E$8,2,0),6),"BAJAR",IF(H311+I311&gt;=IFERROR(VLOOKUP(CONFIG!$E$2,CONFIG!$A$6:$E$8,3,0),12),"SUBIR_F",IF(AND(H311&gt;=IFERROR(VLOOKUP(CONFIG!$E$2,CONFIG!$A$6:$E$8,2,0),6)+2,I311&gt;=2),"SUBIR",IF(I311&gt;IFERROR(VLOOKUP(CONFIG!$E$2,CONFIG!$A$6:$E$8,5,0),3),"SUBIR","MANT")))))),"SIN")</f>
        <v>SUBIR</v>
      </c>
      <c r="O311" s="55">
        <f>IF(COUNTIFS(HISTORIAL!$O$3:$O$309,D311&amp;"|"&amp;E311,HISTORIAL!$F$3:$F$309,"&gt;0")&lt;2,0,IF(COUNTIFS(HISTORIAL!$O$3:$O$309,D311&amp;"|"&amp;E311,HISTORIAL!$F$3:$F$309,IFERROR(LOOKUP(2,1/((HISTORIAL!$O$3:$O$309=D311&amp;"|"&amp;E311)*(HISTORIAL!$F$3:$F$309&gt;0)),HISTORIAL!$F$3:$F$309),0))&gt;=2,IF(IFERROR(LOOKUP(2,1/((HISTORIAL!$O$3:$O$309=D311&amp;"|"&amp;E311)*(HISTORIAL!$F$3:$F$309&gt;0)),HISTORIAL!$G$3:$G$309),0)&gt;0,IF(F311&gt;0,IF(G311&lt;=IFERROR(LOOKUP(2,1/((HISTORIAL!$O$3:$O$309=D311&amp;"|"&amp;E311)*(HISTORIAL!$F$3:$F$309&gt;0)),HISTORIAL!$G$3:$G$309),0),1,0),0),0),0))</f>
        <v>0</v>
      </c>
    </row>
    <row r="312" spans="1:15" ht="14.1" customHeight="1">
      <c r="A312" s="37">
        <v>5</v>
      </c>
      <c r="B312" s="37" t="s">
        <v>281</v>
      </c>
      <c r="C312" s="37">
        <v>7</v>
      </c>
      <c r="D312" s="56" t="str">
        <f>SABADO!$A$118</f>
        <v>Curl Muneca</v>
      </c>
      <c r="E312" s="57" t="str">
        <f>SABADO!$B$118</f>
        <v>Supinado</v>
      </c>
      <c r="F312" s="37" t="str">
        <f>SABADO!$C$118</f>
        <v>mancuerna</v>
      </c>
      <c r="G312" s="37" t="str">
        <f>IFERROR(LOOKUP(2,1/((HISTORIAL!$O$3:$O$310=D312&amp;"|"&amp;E312)*(HISTORIAL!$F$3:$F$310&lt;&gt;"")),HISTORIAL!$F$3:$F$310),"")</f>
        <v/>
      </c>
      <c r="H312" s="37" t="str">
        <f>IFERROR(LOOKUP(2,1/((HISTORIAL!$O$3:$O$310=D312&amp;"|"&amp;E312)*(HISTORIAL!$F$3:$F$310&lt;&gt;"")),HISTORIAL!$G$3:$G$310),"")</f>
        <v/>
      </c>
      <c r="I312" s="37" t="str">
        <f>IFERROR(LOOKUP(2,1/((HISTORIAL!$O$3:$O$310=D312&amp;"|"&amp;E312)*(HISTORIAL!$F$3:$F$310&lt;&gt;"")),HISTORIAL!$H$3:$H$310),"")</f>
        <v/>
      </c>
      <c r="J312" s="37" t="str">
        <f>IFERROR(LOOKUP(2,1/((HISTORIAL!$O$3:$O$310=D312&amp;"|"&amp;E312)*(HISTORIAL!$F$3:$F$310&lt;&gt;"")),HISTORIAL!$I$3:$I$310),"")</f>
        <v/>
      </c>
      <c r="K312" s="58" t="str">
        <f>IFERROR(IF(OR(G312="",N312="SIN"),"--",IF(N312="SUBIR_F",IF(F312="polea",IFERROR(INDEX(CONFIG!$B$25:$B$40,MATCH(G312,CONFIG!$B$25:$B$40,0)+2),IFERROR(INDEX(CONFIG!$B$25:$B$40,MATCH(G312,CONFIG!$B$25:$B$40,0)+1),G312)),G312+5),IF(OR(N312="SUBIR",N312="SUBIR_E"),IF(F312="polea",IFERROR(INDEX(CONFIG!$B$25:$B$40,MATCH(G312,CONFIG!$B$25:$B$40,0)+1),G312),G312+2.5),IF(N312="BAJAR",IF(F312="polea",IFERROR(INDEX(CONFIG!$B$25:$B$40,MAX(1,MATCH(G312,CONFIG!$B$25:$B$40,0)-1)),G312),MAX(0,G312-2.5)),G312)))),"--")</f>
        <v>--</v>
      </c>
      <c r="L312" s="59" t="str">
        <f>IFERROR(IF(N312="SIN","--",IF(N312="MANT",IF(H312="","--",H312+1),IFERROR(VLOOKUP(CONFIG!$E$2,CONFIG!$A$6:$E$8,2,0),"--"))),"--")</f>
        <v>--</v>
      </c>
      <c r="M312" s="59" t="str">
        <f>IFERROR(IF(N312="SIN","--",IF(CONFIG!$E$2="HIP",2,IF(CONFIG!$E$2="FUE",1,2))),"--")</f>
        <v>--</v>
      </c>
      <c r="N312" s="53" t="str">
        <f>IFERROR(IF(G312="","SIN",IF(O312=1,"SUBIR_E",IF(H312&lt;IFERROR(VLOOKUP(CONFIG!$E$2,CONFIG!$A$6:$E$8,2,0),6),"BAJAR",IF(H312+I312&gt;=IFERROR(VLOOKUP(CONFIG!$E$2,CONFIG!$A$6:$E$8,3,0),12),"SUBIR_F",IF(AND(H312&gt;=IFERROR(VLOOKUP(CONFIG!$E$2,CONFIG!$A$6:$E$8,2,0),6)+2,I312&gt;=2),"SUBIR",IF(I312&gt;IFERROR(VLOOKUP(CONFIG!$E$2,CONFIG!$A$6:$E$8,5,0),3),"SUBIR","MANT")))))),"SIN")</f>
        <v>SIN</v>
      </c>
      <c r="O312" s="55">
        <f>IF(COUNTIFS(HISTORIAL!$O$3:$O$310,D312&amp;"|"&amp;E312,HISTORIAL!$F$3:$F$310,"&gt;0")&lt;2,0,IF(COUNTIFS(HISTORIAL!$O$3:$O$310,D312&amp;"|"&amp;E312,HISTORIAL!$F$3:$F$310,IFERROR(LOOKUP(2,1/((HISTORIAL!$O$3:$O$310=D312&amp;"|"&amp;E312)*(HISTORIAL!$F$3:$F$310&gt;0)),HISTORIAL!$F$3:$F$310),0))&gt;=2,IF(IFERROR(LOOKUP(2,1/((HISTORIAL!$O$3:$O$310=D312&amp;"|"&amp;E312)*(HISTORIAL!$F$3:$F$310&gt;0)),HISTORIAL!$G$3:$G$310),0)&gt;0,IF(F312&gt;0,IF(G312&lt;=IFERROR(LOOKUP(2,1/((HISTORIAL!$O$3:$O$310=D312&amp;"|"&amp;E312)*(HISTORIAL!$F$3:$F$310&gt;0)),HISTORIAL!$G$3:$G$310),0),1,0),0),0),0))</f>
        <v>0</v>
      </c>
    </row>
    <row r="313" spans="1:15" ht="14.1" customHeight="1">
      <c r="A313" s="37">
        <v>5</v>
      </c>
      <c r="B313" s="37" t="s">
        <v>281</v>
      </c>
      <c r="C313" s="37">
        <v>8</v>
      </c>
      <c r="D313" s="56" t="str">
        <f>SABADO!$A$119</f>
        <v>Curl Muneca</v>
      </c>
      <c r="E313" s="57" t="str">
        <f>SABADO!$B$119</f>
        <v>Pronado</v>
      </c>
      <c r="F313" s="37" t="str">
        <f>SABADO!$C$119</f>
        <v>mancuerna</v>
      </c>
      <c r="G313" s="37" t="str">
        <f>IFERROR(LOOKUP(2,1/((HISTORIAL!$O$3:$O$311=D313&amp;"|"&amp;E313)*(HISTORIAL!$F$3:$F$311&lt;&gt;"")),HISTORIAL!$F$3:$F$311),"")</f>
        <v/>
      </c>
      <c r="H313" s="37" t="str">
        <f>IFERROR(LOOKUP(2,1/((HISTORIAL!$O$3:$O$311=D313&amp;"|"&amp;E313)*(HISTORIAL!$F$3:$F$311&lt;&gt;"")),HISTORIAL!$G$3:$G$311),"")</f>
        <v/>
      </c>
      <c r="I313" s="37" t="str">
        <f>IFERROR(LOOKUP(2,1/((HISTORIAL!$O$3:$O$311=D313&amp;"|"&amp;E313)*(HISTORIAL!$F$3:$F$311&lt;&gt;"")),HISTORIAL!$H$3:$H$311),"")</f>
        <v/>
      </c>
      <c r="J313" s="37" t="str">
        <f>IFERROR(LOOKUP(2,1/((HISTORIAL!$O$3:$O$311=D313&amp;"|"&amp;E313)*(HISTORIAL!$F$3:$F$311&lt;&gt;"")),HISTORIAL!$I$3:$I$311),"")</f>
        <v/>
      </c>
      <c r="K313" s="58" t="str">
        <f>IFERROR(IF(OR(G313="",N313="SIN"),"--",IF(N313="SUBIR_F",IF(F313="polea",IFERROR(INDEX(CONFIG!$B$25:$B$40,MATCH(G313,CONFIG!$B$25:$B$40,0)+2),IFERROR(INDEX(CONFIG!$B$25:$B$40,MATCH(G313,CONFIG!$B$25:$B$40,0)+1),G313)),G313+5),IF(OR(N313="SUBIR",N313="SUBIR_E"),IF(F313="polea",IFERROR(INDEX(CONFIG!$B$25:$B$40,MATCH(G313,CONFIG!$B$25:$B$40,0)+1),G313),G313+2.5),IF(N313="BAJAR",IF(F313="polea",IFERROR(INDEX(CONFIG!$B$25:$B$40,MAX(1,MATCH(G313,CONFIG!$B$25:$B$40,0)-1)),G313),MAX(0,G313-2.5)),G313)))),"--")</f>
        <v>--</v>
      </c>
      <c r="L313" s="59" t="str">
        <f>IFERROR(IF(N313="SIN","--",IF(N313="MANT",IF(H313="","--",H313+1),IFERROR(VLOOKUP(CONFIG!$E$2,CONFIG!$A$6:$E$8,2,0),"--"))),"--")</f>
        <v>--</v>
      </c>
      <c r="M313" s="59" t="str">
        <f>IFERROR(IF(N313="SIN","--",IF(CONFIG!$E$2="HIP",2,IF(CONFIG!$E$2="FUE",1,2))),"--")</f>
        <v>--</v>
      </c>
      <c r="N313" s="53" t="str">
        <f>IFERROR(IF(G313="","SIN",IF(O313=1,"SUBIR_E",IF(H313&lt;IFERROR(VLOOKUP(CONFIG!$E$2,CONFIG!$A$6:$E$8,2,0),6),"BAJAR",IF(H313+I313&gt;=IFERROR(VLOOKUP(CONFIG!$E$2,CONFIG!$A$6:$E$8,3,0),12),"SUBIR_F",IF(AND(H313&gt;=IFERROR(VLOOKUP(CONFIG!$E$2,CONFIG!$A$6:$E$8,2,0),6)+2,I313&gt;=2),"SUBIR",IF(I313&gt;IFERROR(VLOOKUP(CONFIG!$E$2,CONFIG!$A$6:$E$8,5,0),3),"SUBIR","MANT")))))),"SIN")</f>
        <v>SIN</v>
      </c>
      <c r="O313" s="55">
        <f>IF(COUNTIFS(HISTORIAL!$O$3:$O$311,D313&amp;"|"&amp;E313,HISTORIAL!$F$3:$F$311,"&gt;0")&lt;2,0,IF(COUNTIFS(HISTORIAL!$O$3:$O$311,D313&amp;"|"&amp;E313,HISTORIAL!$F$3:$F$311,IFERROR(LOOKUP(2,1/((HISTORIAL!$O$3:$O$311=D313&amp;"|"&amp;E313)*(HISTORIAL!$F$3:$F$311&gt;0)),HISTORIAL!$F$3:$F$311),0))&gt;=2,IF(IFERROR(LOOKUP(2,1/((HISTORIAL!$O$3:$O$311=D313&amp;"|"&amp;E313)*(HISTORIAL!$F$3:$F$311&gt;0)),HISTORIAL!$G$3:$G$311),0)&gt;0,IF(F313&gt;0,IF(G313&lt;=IFERROR(LOOKUP(2,1/((HISTORIAL!$O$3:$O$311=D313&amp;"|"&amp;E313)*(HISTORIAL!$F$3:$F$311&gt;0)),HISTORIAL!$G$3:$G$311),0),1,0),0),0),0))</f>
        <v>0</v>
      </c>
    </row>
    <row r="314" spans="1:15" ht="14.1" customHeight="1">
      <c r="A314" s="37">
        <v>5</v>
      </c>
      <c r="B314" s="37" t="s">
        <v>281</v>
      </c>
      <c r="C314" s="37">
        <v>9</v>
      </c>
      <c r="D314" s="56" t="str">
        <f>SABADO!$A$121</f>
        <v>Elevaciones Laterales</v>
      </c>
      <c r="E314" s="57" t="str">
        <f>SABADO!$B$121</f>
        <v>Cable Polea Individual</v>
      </c>
      <c r="F314" s="37" t="str">
        <f>SABADO!$C$121</f>
        <v>polea</v>
      </c>
      <c r="G314" s="37" t="str">
        <f>IFERROR(LOOKUP(2,1/((HISTORIAL!$O$3:$O$312=D314&amp;"|"&amp;E314)*(HISTORIAL!$F$3:$F$312&lt;&gt;"")),HISTORIAL!$F$3:$F$312),"")</f>
        <v/>
      </c>
      <c r="H314" s="37" t="str">
        <f>IFERROR(LOOKUP(2,1/((HISTORIAL!$O$3:$O$312=D314&amp;"|"&amp;E314)*(HISTORIAL!$F$3:$F$312&lt;&gt;"")),HISTORIAL!$G$3:$G$312),"")</f>
        <v/>
      </c>
      <c r="I314" s="37" t="str">
        <f>IFERROR(LOOKUP(2,1/((HISTORIAL!$O$3:$O$312=D314&amp;"|"&amp;E314)*(HISTORIAL!$F$3:$F$312&lt;&gt;"")),HISTORIAL!$H$3:$H$312),"")</f>
        <v/>
      </c>
      <c r="J314" s="37" t="str">
        <f>IFERROR(LOOKUP(2,1/((HISTORIAL!$O$3:$O$312=D314&amp;"|"&amp;E314)*(HISTORIAL!$F$3:$F$312&lt;&gt;"")),HISTORIAL!$I$3:$I$312),"")</f>
        <v/>
      </c>
      <c r="K314" s="58" t="str">
        <f>IFERROR(IF(OR(G314="",N314="SIN"),"--",IF(N314="SUBIR_F",IF(F314="polea",IFERROR(INDEX(CONFIG!$B$25:$B$40,MATCH(G314,CONFIG!$B$25:$B$40,0)+2),IFERROR(INDEX(CONFIG!$B$25:$B$40,MATCH(G314,CONFIG!$B$25:$B$40,0)+1),G314)),G314+5),IF(OR(N314="SUBIR",N314="SUBIR_E"),IF(F314="polea",IFERROR(INDEX(CONFIG!$B$25:$B$40,MATCH(G314,CONFIG!$B$25:$B$40,0)+1),G314),G314+2.5),IF(N314="BAJAR",IF(F314="polea",IFERROR(INDEX(CONFIG!$B$25:$B$40,MAX(1,MATCH(G314,CONFIG!$B$25:$B$40,0)-1)),G314),MAX(0,G314-2.5)),G314)))),"--")</f>
        <v>--</v>
      </c>
      <c r="L314" s="59" t="str">
        <f>IFERROR(IF(N314="SIN","--",IF(N314="MANT",IF(H314="","--",H314+1),IFERROR(VLOOKUP(CONFIG!$E$2,CONFIG!$A$6:$E$8,2,0),"--"))),"--")</f>
        <v>--</v>
      </c>
      <c r="M314" s="59" t="str">
        <f>IFERROR(IF(N314="SIN","--",IF(CONFIG!$E$2="HIP",2,IF(CONFIG!$E$2="FUE",1,2))),"--")</f>
        <v>--</v>
      </c>
      <c r="N314" s="53" t="str">
        <f>IFERROR(IF(G314="","SIN",IF(O314=1,"SUBIR_E",IF(H314&lt;IFERROR(VLOOKUP(CONFIG!$E$2,CONFIG!$A$6:$E$8,2,0),6),"BAJAR",IF(H314+I314&gt;=IFERROR(VLOOKUP(CONFIG!$E$2,CONFIG!$A$6:$E$8,3,0),12),"SUBIR_F",IF(AND(H314&gt;=IFERROR(VLOOKUP(CONFIG!$E$2,CONFIG!$A$6:$E$8,2,0),6)+2,I314&gt;=2),"SUBIR",IF(I314&gt;IFERROR(VLOOKUP(CONFIG!$E$2,CONFIG!$A$6:$E$8,5,0),3),"SUBIR","MANT")))))),"SIN")</f>
        <v>SIN</v>
      </c>
      <c r="O314" s="55">
        <f>IF(COUNTIFS(HISTORIAL!$O$3:$O$312,D314&amp;"|"&amp;E314,HISTORIAL!$F$3:$F$312,"&gt;0")&lt;2,0,IF(COUNTIFS(HISTORIAL!$O$3:$O$312,D314&amp;"|"&amp;E314,HISTORIAL!$F$3:$F$312,IFERROR(LOOKUP(2,1/((HISTORIAL!$O$3:$O$312=D314&amp;"|"&amp;E314)*(HISTORIAL!$F$3:$F$312&gt;0)),HISTORIAL!$F$3:$F$312),0))&gt;=2,IF(IFERROR(LOOKUP(2,1/((HISTORIAL!$O$3:$O$312=D314&amp;"|"&amp;E314)*(HISTORIAL!$F$3:$F$312&gt;0)),HISTORIAL!$G$3:$G$312),0)&gt;0,IF(F314&gt;0,IF(G314&lt;=IFERROR(LOOKUP(2,1/((HISTORIAL!$O$3:$O$312=D314&amp;"|"&amp;E314)*(HISTORIAL!$F$3:$F$312&gt;0)),HISTORIAL!$G$3:$G$312),0),1,0),0),0),0))</f>
        <v>0</v>
      </c>
    </row>
    <row r="315" spans="1:15" ht="14.1" customHeight="1">
      <c r="A315" s="37">
        <v>5</v>
      </c>
      <c r="B315" s="37" t="s">
        <v>281</v>
      </c>
      <c r="C315" s="37">
        <v>10</v>
      </c>
      <c r="D315" s="56" t="str">
        <f>SABADO!$A$123</f>
        <v>Encogimientos</v>
      </c>
      <c r="E315" s="57" t="str">
        <f>SABADO!$B$123</f>
        <v>Mancuernas Trapecio</v>
      </c>
      <c r="F315" s="37" t="str">
        <f>SABADO!$C$123</f>
        <v>mancuerna</v>
      </c>
      <c r="G315" s="37" t="str">
        <f>IFERROR(LOOKUP(2,1/((HISTORIAL!$O$3:$O$313=D315&amp;"|"&amp;E315)*(HISTORIAL!$F$3:$F$313&lt;&gt;"")),HISTORIAL!$F$3:$F$313),"")</f>
        <v/>
      </c>
      <c r="H315" s="37" t="str">
        <f>IFERROR(LOOKUP(2,1/((HISTORIAL!$O$3:$O$313=D315&amp;"|"&amp;E315)*(HISTORIAL!$F$3:$F$313&lt;&gt;"")),HISTORIAL!$G$3:$G$313),"")</f>
        <v/>
      </c>
      <c r="I315" s="37" t="str">
        <f>IFERROR(LOOKUP(2,1/((HISTORIAL!$O$3:$O$313=D315&amp;"|"&amp;E315)*(HISTORIAL!$F$3:$F$313&lt;&gt;"")),HISTORIAL!$H$3:$H$313),"")</f>
        <v/>
      </c>
      <c r="J315" s="37" t="str">
        <f>IFERROR(LOOKUP(2,1/((HISTORIAL!$O$3:$O$313=D315&amp;"|"&amp;E315)*(HISTORIAL!$F$3:$F$313&lt;&gt;"")),HISTORIAL!$I$3:$I$313),"")</f>
        <v/>
      </c>
      <c r="K315" s="58" t="str">
        <f>IFERROR(IF(OR(G315="",N315="SIN"),"--",IF(N315="SUBIR_F",IF(F315="polea",IFERROR(INDEX(CONFIG!$B$25:$B$40,MATCH(G315,CONFIG!$B$25:$B$40,0)+2),IFERROR(INDEX(CONFIG!$B$25:$B$40,MATCH(G315,CONFIG!$B$25:$B$40,0)+1),G315)),G315+5),IF(OR(N315="SUBIR",N315="SUBIR_E"),IF(F315="polea",IFERROR(INDEX(CONFIG!$B$25:$B$40,MATCH(G315,CONFIG!$B$25:$B$40,0)+1),G315),G315+2.5),IF(N315="BAJAR",IF(F315="polea",IFERROR(INDEX(CONFIG!$B$25:$B$40,MAX(1,MATCH(G315,CONFIG!$B$25:$B$40,0)-1)),G315),MAX(0,G315-2.5)),G315)))),"--")</f>
        <v>--</v>
      </c>
      <c r="L315" s="59" t="str">
        <f>IFERROR(IF(N315="SIN","--",IF(N315="MANT",IF(H315="","--",H315+1),IFERROR(VLOOKUP(CONFIG!$E$2,CONFIG!$A$6:$E$8,2,0),"--"))),"--")</f>
        <v>--</v>
      </c>
      <c r="M315" s="59" t="str">
        <f>IFERROR(IF(N315="SIN","--",IF(CONFIG!$E$2="HIP",2,IF(CONFIG!$E$2="FUE",1,2))),"--")</f>
        <v>--</v>
      </c>
      <c r="N315" s="53" t="str">
        <f>IFERROR(IF(G315="","SIN",IF(O315=1,"SUBIR_E",IF(H315&lt;IFERROR(VLOOKUP(CONFIG!$E$2,CONFIG!$A$6:$E$8,2,0),6),"BAJAR",IF(H315+I315&gt;=IFERROR(VLOOKUP(CONFIG!$E$2,CONFIG!$A$6:$E$8,3,0),12),"SUBIR_F",IF(AND(H315&gt;=IFERROR(VLOOKUP(CONFIG!$E$2,CONFIG!$A$6:$E$8,2,0),6)+2,I315&gt;=2),"SUBIR",IF(I315&gt;IFERROR(VLOOKUP(CONFIG!$E$2,CONFIG!$A$6:$E$8,5,0),3),"SUBIR","MANT")))))),"SIN")</f>
        <v>SIN</v>
      </c>
      <c r="O315" s="55">
        <f>IF(COUNTIFS(HISTORIAL!$O$3:$O$313,D315&amp;"|"&amp;E315,HISTORIAL!$F$3:$F$313,"&gt;0")&lt;2,0,IF(COUNTIFS(HISTORIAL!$O$3:$O$313,D315&amp;"|"&amp;E315,HISTORIAL!$F$3:$F$313,IFERROR(LOOKUP(2,1/((HISTORIAL!$O$3:$O$313=D315&amp;"|"&amp;E315)*(HISTORIAL!$F$3:$F$313&gt;0)),HISTORIAL!$F$3:$F$313),0))&gt;=2,IF(IFERROR(LOOKUP(2,1/((HISTORIAL!$O$3:$O$313=D315&amp;"|"&amp;E315)*(HISTORIAL!$F$3:$F$313&gt;0)),HISTORIAL!$G$3:$G$313),0)&gt;0,IF(F315&gt;0,IF(G315&lt;=IFERROR(LOOKUP(2,1/((HISTORIAL!$O$3:$O$313=D315&amp;"|"&amp;E315)*(HISTORIAL!$F$3:$F$313&gt;0)),HISTORIAL!$G$3:$G$313),0),1,0),0),0),0))</f>
        <v>0</v>
      </c>
    </row>
    <row r="316" spans="1:15" ht="14.1" customHeight="1">
      <c r="A316" s="37">
        <v>5</v>
      </c>
      <c r="B316" s="37" t="s">
        <v>281</v>
      </c>
      <c r="C316" s="37">
        <v>11</v>
      </c>
      <c r="D316" s="56" t="str">
        <f>SABADO!$A$124</f>
        <v>Face Pull</v>
      </c>
      <c r="E316" s="57" t="str">
        <f>SABADO!$B$124</f>
        <v>Polea Alta Cuerda</v>
      </c>
      <c r="F316" s="37" t="str">
        <f>SABADO!$C$124</f>
        <v>polea</v>
      </c>
      <c r="G316" s="37" t="str">
        <f>IFERROR(LOOKUP(2,1/((HISTORIAL!$O$3:$O$314=D316&amp;"|"&amp;E316)*(HISTORIAL!$F$3:$F$314&lt;&gt;"")),HISTORIAL!$F$3:$F$314),"")</f>
        <v/>
      </c>
      <c r="H316" s="37" t="str">
        <f>IFERROR(LOOKUP(2,1/((HISTORIAL!$O$3:$O$314=D316&amp;"|"&amp;E316)*(HISTORIAL!$F$3:$F$314&lt;&gt;"")),HISTORIAL!$G$3:$G$314),"")</f>
        <v/>
      </c>
      <c r="I316" s="37" t="str">
        <f>IFERROR(LOOKUP(2,1/((HISTORIAL!$O$3:$O$314=D316&amp;"|"&amp;E316)*(HISTORIAL!$F$3:$F$314&lt;&gt;"")),HISTORIAL!$H$3:$H$314),"")</f>
        <v/>
      </c>
      <c r="J316" s="37" t="str">
        <f>IFERROR(LOOKUP(2,1/((HISTORIAL!$O$3:$O$314=D316&amp;"|"&amp;E316)*(HISTORIAL!$F$3:$F$314&lt;&gt;"")),HISTORIAL!$I$3:$I$314),"")</f>
        <v/>
      </c>
      <c r="K316" s="58" t="str">
        <f>IFERROR(IF(OR(G316="",N316="SIN"),"--",IF(N316="SUBIR_F",IF(F316="polea",IFERROR(INDEX(CONFIG!$B$25:$B$40,MATCH(G316,CONFIG!$B$25:$B$40,0)+2),IFERROR(INDEX(CONFIG!$B$25:$B$40,MATCH(G316,CONFIG!$B$25:$B$40,0)+1),G316)),G316+5),IF(OR(N316="SUBIR",N316="SUBIR_E"),IF(F316="polea",IFERROR(INDEX(CONFIG!$B$25:$B$40,MATCH(G316,CONFIG!$B$25:$B$40,0)+1),G316),G316+2.5),IF(N316="BAJAR",IF(F316="polea",IFERROR(INDEX(CONFIG!$B$25:$B$40,MAX(1,MATCH(G316,CONFIG!$B$25:$B$40,0)-1)),G316),MAX(0,G316-2.5)),G316)))),"--")</f>
        <v>--</v>
      </c>
      <c r="L316" s="59" t="str">
        <f>IFERROR(IF(N316="SIN","--",IF(N316="MANT",IF(H316="","--",H316+1),IFERROR(VLOOKUP(CONFIG!$E$2,CONFIG!$A$6:$E$8,2,0),"--"))),"--")</f>
        <v>--</v>
      </c>
      <c r="M316" s="59" t="str">
        <f>IFERROR(IF(N316="SIN","--",IF(CONFIG!$E$2="HIP",2,IF(CONFIG!$E$2="FUE",1,2))),"--")</f>
        <v>--</v>
      </c>
      <c r="N316" s="53" t="str">
        <f>IFERROR(IF(G316="","SIN",IF(O316=1,"SUBIR_E",IF(H316&lt;IFERROR(VLOOKUP(CONFIG!$E$2,CONFIG!$A$6:$E$8,2,0),6),"BAJAR",IF(H316+I316&gt;=IFERROR(VLOOKUP(CONFIG!$E$2,CONFIG!$A$6:$E$8,3,0),12),"SUBIR_F",IF(AND(H316&gt;=IFERROR(VLOOKUP(CONFIG!$E$2,CONFIG!$A$6:$E$8,2,0),6)+2,I316&gt;=2),"SUBIR",IF(I316&gt;IFERROR(VLOOKUP(CONFIG!$E$2,CONFIG!$A$6:$E$8,5,0),3),"SUBIR","MANT")))))),"SIN")</f>
        <v>SIN</v>
      </c>
      <c r="O316" s="55">
        <f>IF(COUNTIFS(HISTORIAL!$O$3:$O$314,D316&amp;"|"&amp;E316,HISTORIAL!$F$3:$F$314,"&gt;0")&lt;2,0,IF(COUNTIFS(HISTORIAL!$O$3:$O$314,D316&amp;"|"&amp;E316,HISTORIAL!$F$3:$F$314,IFERROR(LOOKUP(2,1/((HISTORIAL!$O$3:$O$314=D316&amp;"|"&amp;E316)*(HISTORIAL!$F$3:$F$314&gt;0)),HISTORIAL!$F$3:$F$314),0))&gt;=2,IF(IFERROR(LOOKUP(2,1/((HISTORIAL!$O$3:$O$314=D316&amp;"|"&amp;E316)*(HISTORIAL!$F$3:$F$314&gt;0)),HISTORIAL!$G$3:$G$314),0)&gt;0,IF(F316&gt;0,IF(G316&lt;=IFERROR(LOOKUP(2,1/((HISTORIAL!$O$3:$O$314=D316&amp;"|"&amp;E316)*(HISTORIAL!$F$3:$F$314&gt;0)),HISTORIAL!$G$3:$G$314),0),1,0),0),0),0))</f>
        <v>0</v>
      </c>
    </row>
    <row r="317" spans="1:15" ht="14.1" customHeight="1">
      <c r="A317" s="37">
        <v>5</v>
      </c>
      <c r="B317" s="37" t="s">
        <v>281</v>
      </c>
      <c r="C317" s="37">
        <v>12</v>
      </c>
      <c r="D317" s="56" t="str">
        <f>SABADO!$A$126</f>
        <v>Hiperextension</v>
      </c>
      <c r="E317" s="57" t="str">
        <f>SABADO!$B$126</f>
        <v>Banco Romano</v>
      </c>
      <c r="F317" s="37" t="str">
        <f>SABADO!$C$126</f>
        <v>peso_corporal</v>
      </c>
      <c r="G317" s="37" t="str">
        <f>IFERROR(LOOKUP(2,1/((HISTORIAL!$O$3:$O$315=D317&amp;"|"&amp;E317)*(HISTORIAL!$F$3:$F$315&lt;&gt;"")),HISTORIAL!$F$3:$F$315),"")</f>
        <v/>
      </c>
      <c r="H317" s="37" t="str">
        <f>IFERROR(LOOKUP(2,1/((HISTORIAL!$O$3:$O$315=D317&amp;"|"&amp;E317)*(HISTORIAL!$F$3:$F$315&lt;&gt;"")),HISTORIAL!$G$3:$G$315),"")</f>
        <v/>
      </c>
      <c r="I317" s="37" t="str">
        <f>IFERROR(LOOKUP(2,1/((HISTORIAL!$O$3:$O$315=D317&amp;"|"&amp;E317)*(HISTORIAL!$F$3:$F$315&lt;&gt;"")),HISTORIAL!$H$3:$H$315),"")</f>
        <v/>
      </c>
      <c r="J317" s="37" t="str">
        <f>IFERROR(LOOKUP(2,1/((HISTORIAL!$O$3:$O$315=D317&amp;"|"&amp;E317)*(HISTORIAL!$F$3:$F$315&lt;&gt;"")),HISTORIAL!$I$3:$I$315),"")</f>
        <v/>
      </c>
      <c r="K317" s="58" t="str">
        <f>IFERROR(IF(OR(G317="",N317="SIN"),"--",IF(N317="SUBIR_F",IF(F317="polea",IFERROR(INDEX(CONFIG!$B$25:$B$40,MATCH(G317,CONFIG!$B$25:$B$40,0)+2),IFERROR(INDEX(CONFIG!$B$25:$B$40,MATCH(G317,CONFIG!$B$25:$B$40,0)+1),G317)),G317+5),IF(OR(N317="SUBIR",N317="SUBIR_E"),IF(F317="polea",IFERROR(INDEX(CONFIG!$B$25:$B$40,MATCH(G317,CONFIG!$B$25:$B$40,0)+1),G317),G317+2.5),IF(N317="BAJAR",IF(F317="polea",IFERROR(INDEX(CONFIG!$B$25:$B$40,MAX(1,MATCH(G317,CONFIG!$B$25:$B$40,0)-1)),G317),MAX(0,G317-2.5)),G317)))),"--")</f>
        <v>--</v>
      </c>
      <c r="L317" s="59" t="str">
        <f>IFERROR(IF(N317="SIN","--",IF(N317="MANT",IF(H317="","--",H317+1),IFERROR(VLOOKUP(CONFIG!$E$2,CONFIG!$A$6:$E$8,2,0),"--"))),"--")</f>
        <v>--</v>
      </c>
      <c r="M317" s="59" t="str">
        <f>IFERROR(IF(N317="SIN","--",IF(CONFIG!$E$2="HIP",2,IF(CONFIG!$E$2="FUE",1,2))),"--")</f>
        <v>--</v>
      </c>
      <c r="N317" s="53" t="str">
        <f>IFERROR(IF(G317="","SIN",IF(O317=1,"SUBIR_E",IF(H317&lt;IFERROR(VLOOKUP(CONFIG!$E$2,CONFIG!$A$6:$E$8,2,0),6),"BAJAR",IF(H317+I317&gt;=IFERROR(VLOOKUP(CONFIG!$E$2,CONFIG!$A$6:$E$8,3,0),12),"SUBIR_F",IF(AND(H317&gt;=IFERROR(VLOOKUP(CONFIG!$E$2,CONFIG!$A$6:$E$8,2,0),6)+2,I317&gt;=2),"SUBIR",IF(I317&gt;IFERROR(VLOOKUP(CONFIG!$E$2,CONFIG!$A$6:$E$8,5,0),3),"SUBIR","MANT")))))),"SIN")</f>
        <v>SIN</v>
      </c>
      <c r="O317" s="55">
        <f>IF(COUNTIFS(HISTORIAL!$O$3:$O$315,D317&amp;"|"&amp;E317,HISTORIAL!$F$3:$F$315,"&gt;0")&lt;2,0,IF(COUNTIFS(HISTORIAL!$O$3:$O$315,D317&amp;"|"&amp;E317,HISTORIAL!$F$3:$F$315,IFERROR(LOOKUP(2,1/((HISTORIAL!$O$3:$O$315=D317&amp;"|"&amp;E317)*(HISTORIAL!$F$3:$F$315&gt;0)),HISTORIAL!$F$3:$F$315),0))&gt;=2,IF(IFERROR(LOOKUP(2,1/((HISTORIAL!$O$3:$O$315=D317&amp;"|"&amp;E317)*(HISTORIAL!$F$3:$F$315&gt;0)),HISTORIAL!$G$3:$G$315),0)&gt;0,IF(F317&gt;0,IF(G317&lt;=IFERROR(LOOKUP(2,1/((HISTORIAL!$O$3:$O$315=D317&amp;"|"&amp;E317)*(HISTORIAL!$F$3:$F$315&gt;0)),HISTORIAL!$G$3:$G$315),0),1,0),0),0),0))</f>
        <v>0</v>
      </c>
    </row>
    <row r="318" spans="1:15" ht="14.1" customHeight="1">
      <c r="A318" s="37">
        <v>5</v>
      </c>
      <c r="B318" s="37" t="s">
        <v>281</v>
      </c>
      <c r="C318" s="37">
        <v>13</v>
      </c>
      <c r="D318" s="56" t="str">
        <f>SABADO!$A$128</f>
        <v>Crunch</v>
      </c>
      <c r="E318" s="57" t="str">
        <f>SABADO!$B$128</f>
        <v>Polea</v>
      </c>
      <c r="F318" s="37" t="str">
        <f>SABADO!$C$128</f>
        <v>polea</v>
      </c>
      <c r="G318" s="37" t="str">
        <f>IFERROR(LOOKUP(2,1/((HISTORIAL!$O$3:$O$316=D318&amp;"|"&amp;E318)*(HISTORIAL!$F$3:$F$316&lt;&gt;"")),HISTORIAL!$F$3:$F$316),"")</f>
        <v/>
      </c>
      <c r="H318" s="37" t="str">
        <f>IFERROR(LOOKUP(2,1/((HISTORIAL!$O$3:$O$316=D318&amp;"|"&amp;E318)*(HISTORIAL!$F$3:$F$316&lt;&gt;"")),HISTORIAL!$G$3:$G$316),"")</f>
        <v/>
      </c>
      <c r="I318" s="37" t="str">
        <f>IFERROR(LOOKUP(2,1/((HISTORIAL!$O$3:$O$316=D318&amp;"|"&amp;E318)*(HISTORIAL!$F$3:$F$316&lt;&gt;"")),HISTORIAL!$H$3:$H$316),"")</f>
        <v/>
      </c>
      <c r="J318" s="37" t="str">
        <f>IFERROR(LOOKUP(2,1/((HISTORIAL!$O$3:$O$316=D318&amp;"|"&amp;E318)*(HISTORIAL!$F$3:$F$316&lt;&gt;"")),HISTORIAL!$I$3:$I$316),"")</f>
        <v/>
      </c>
      <c r="K318" s="58" t="str">
        <f>IFERROR(IF(OR(G318="",N318="SIN"),"--",IF(N318="SUBIR_F",IF(F318="polea",IFERROR(INDEX(CONFIG!$B$25:$B$40,MATCH(G318,CONFIG!$B$25:$B$40,0)+2),IFERROR(INDEX(CONFIG!$B$25:$B$40,MATCH(G318,CONFIG!$B$25:$B$40,0)+1),G318)),G318+5),IF(OR(N318="SUBIR",N318="SUBIR_E"),IF(F318="polea",IFERROR(INDEX(CONFIG!$B$25:$B$40,MATCH(G318,CONFIG!$B$25:$B$40,0)+1),G318),G318+2.5),IF(N318="BAJAR",IF(F318="polea",IFERROR(INDEX(CONFIG!$B$25:$B$40,MAX(1,MATCH(G318,CONFIG!$B$25:$B$40,0)-1)),G318),MAX(0,G318-2.5)),G318)))),"--")</f>
        <v>--</v>
      </c>
      <c r="L318" s="59" t="str">
        <f>IFERROR(IF(N318="SIN","--",IF(N318="MANT",IF(H318="","--",H318+1),IFERROR(VLOOKUP(CONFIG!$E$2,CONFIG!$A$6:$E$8,2,0),"--"))),"--")</f>
        <v>--</v>
      </c>
      <c r="M318" s="59" t="str">
        <f>IFERROR(IF(N318="SIN","--",IF(CONFIG!$E$2="HIP",2,IF(CONFIG!$E$2="FUE",1,2))),"--")</f>
        <v>--</v>
      </c>
      <c r="N318" s="53" t="str">
        <f>IFERROR(IF(G318="","SIN",IF(O318=1,"SUBIR_E",IF(H318&lt;IFERROR(VLOOKUP(CONFIG!$E$2,CONFIG!$A$6:$E$8,2,0),6),"BAJAR",IF(H318+I318&gt;=IFERROR(VLOOKUP(CONFIG!$E$2,CONFIG!$A$6:$E$8,3,0),12),"SUBIR_F",IF(AND(H318&gt;=IFERROR(VLOOKUP(CONFIG!$E$2,CONFIG!$A$6:$E$8,2,0),6)+2,I318&gt;=2),"SUBIR",IF(I318&gt;IFERROR(VLOOKUP(CONFIG!$E$2,CONFIG!$A$6:$E$8,5,0),3),"SUBIR","MANT")))))),"SIN")</f>
        <v>SIN</v>
      </c>
      <c r="O318" s="55">
        <f>IF(COUNTIFS(HISTORIAL!$O$3:$O$316,D318&amp;"|"&amp;E318,HISTORIAL!$F$3:$F$316,"&gt;0")&lt;2,0,IF(COUNTIFS(HISTORIAL!$O$3:$O$316,D318&amp;"|"&amp;E318,HISTORIAL!$F$3:$F$316,IFERROR(LOOKUP(2,1/((HISTORIAL!$O$3:$O$316=D318&amp;"|"&amp;E318)*(HISTORIAL!$F$3:$F$316&gt;0)),HISTORIAL!$F$3:$F$316),0))&gt;=2,IF(IFERROR(LOOKUP(2,1/((HISTORIAL!$O$3:$O$316=D318&amp;"|"&amp;E318)*(HISTORIAL!$F$3:$F$316&gt;0)),HISTORIAL!$G$3:$G$316),0)&gt;0,IF(F318&gt;0,IF(G318&lt;=IFERROR(LOOKUP(2,1/((HISTORIAL!$O$3:$O$316=D318&amp;"|"&amp;E318)*(HISTORIAL!$F$3:$F$316&gt;0)),HISTORIAL!$G$3:$G$316),0),1,0),0),0),0))</f>
        <v>0</v>
      </c>
    </row>
    <row r="319" spans="1:15" ht="14.1" customHeight="1">
      <c r="A319" s="37">
        <v>6</v>
      </c>
      <c r="B319" s="37" t="s">
        <v>277</v>
      </c>
      <c r="C319" s="37">
        <v>1</v>
      </c>
      <c r="D319" s="56" t="str">
        <f>LUNES!$A$123</f>
        <v>Press Plano</v>
      </c>
      <c r="E319" s="57" t="str">
        <f>LUNES!$B$123</f>
        <v>Barra</v>
      </c>
      <c r="F319" s="37" t="str">
        <f>LUNES!$C$123</f>
        <v>disco</v>
      </c>
      <c r="G319" s="37" t="str">
        <f>IFERROR(LOOKUP(2,1/((HISTORIAL!$O$3:$O$317=D319&amp;"|"&amp;E319)*(HISTORIAL!$F$3:$F$317&lt;&gt;"")),HISTORIAL!$F$3:$F$317),"")</f>
        <v/>
      </c>
      <c r="H319" s="37" t="str">
        <f>IFERROR(LOOKUP(2,1/((HISTORIAL!$O$3:$O$317=D319&amp;"|"&amp;E319)*(HISTORIAL!$F$3:$F$317&lt;&gt;"")),HISTORIAL!$G$3:$G$317),"")</f>
        <v/>
      </c>
      <c r="I319" s="37" t="str">
        <f>IFERROR(LOOKUP(2,1/((HISTORIAL!$O$3:$O$317=D319&amp;"|"&amp;E319)*(HISTORIAL!$F$3:$F$317&lt;&gt;"")),HISTORIAL!$H$3:$H$317),"")</f>
        <v/>
      </c>
      <c r="J319" s="37" t="str">
        <f>IFERROR(LOOKUP(2,1/((HISTORIAL!$O$3:$O$317=D319&amp;"|"&amp;E319)*(HISTORIAL!$F$3:$F$317&lt;&gt;"")),HISTORIAL!$I$3:$I$317),"")</f>
        <v/>
      </c>
      <c r="K319" s="58" t="str">
        <f>IFERROR(IF(OR(G319="",N319="SIN"),"--",IF(N319="SUBIR_F",IF(F319="polea",IFERROR(INDEX(CONFIG!$B$25:$B$40,MATCH(G319,CONFIG!$B$25:$B$40,0)+2),IFERROR(INDEX(CONFIG!$B$25:$B$40,MATCH(G319,CONFIG!$B$25:$B$40,0)+1),G319)),G319+5),IF(OR(N319="SUBIR",N319="SUBIR_E"),IF(F319="polea",IFERROR(INDEX(CONFIG!$B$25:$B$40,MATCH(G319,CONFIG!$B$25:$B$40,0)+1),G319),G319+2.5),IF(N319="BAJAR",IF(F319="polea",IFERROR(INDEX(CONFIG!$B$25:$B$40,MAX(1,MATCH(G319,CONFIG!$B$25:$B$40,0)-1)),G319),MAX(0,G319-2.5)),G319)))),"--")</f>
        <v>--</v>
      </c>
      <c r="L319" s="59" t="str">
        <f>IFERROR(IF(N319="SIN","--",IF(N319="MANT",IF(H319="","--",H319+1),IFERROR(VLOOKUP(CONFIG!$E$2,CONFIG!$A$6:$E$8,2,0),"--"))),"--")</f>
        <v>--</v>
      </c>
      <c r="M319" s="59" t="str">
        <f>IFERROR(IF(N319="SIN","--",IF(CONFIG!$E$2="HIP",2,IF(CONFIG!$E$2="FUE",1,2))),"--")</f>
        <v>--</v>
      </c>
      <c r="N319" s="53" t="str">
        <f>IFERROR(IF(G319="","SIN",IF(O319=1,"SUBIR_E",IF(H319&lt;IFERROR(VLOOKUP(CONFIG!$E$2,CONFIG!$A$6:$E$8,2,0),6),"BAJAR",IF(H319+I319&gt;=IFERROR(VLOOKUP(CONFIG!$E$2,CONFIG!$A$6:$E$8,3,0),12),"SUBIR_F",IF(AND(H319&gt;=IFERROR(VLOOKUP(CONFIG!$E$2,CONFIG!$A$6:$E$8,2,0),6)+2,I319&gt;=2),"SUBIR",IF(I319&gt;IFERROR(VLOOKUP(CONFIG!$E$2,CONFIG!$A$6:$E$8,5,0),3),"SUBIR","MANT")))))),"SIN")</f>
        <v>SIN</v>
      </c>
      <c r="O319" s="55">
        <f>IF(COUNTIFS(HISTORIAL!$O$3:$O$317,D319&amp;"|"&amp;E319,HISTORIAL!$F$3:$F$317,"&gt;0")&lt;2,0,IF(COUNTIFS(HISTORIAL!$O$3:$O$317,D319&amp;"|"&amp;E319,HISTORIAL!$F$3:$F$317,IFERROR(LOOKUP(2,1/((HISTORIAL!$O$3:$O$317=D319&amp;"|"&amp;E319)*(HISTORIAL!$F$3:$F$317&gt;0)),HISTORIAL!$F$3:$F$317),0))&gt;=2,IF(IFERROR(LOOKUP(2,1/((HISTORIAL!$O$3:$O$317=D319&amp;"|"&amp;E319)*(HISTORIAL!$F$3:$F$317&gt;0)),HISTORIAL!$G$3:$G$317),0)&gt;0,IF(F319&gt;0,IF(G319&lt;=IFERROR(LOOKUP(2,1/((HISTORIAL!$O$3:$O$317=D319&amp;"|"&amp;E319)*(HISTORIAL!$F$3:$F$317&gt;0)),HISTORIAL!$G$3:$G$317),0),1,0),0),0),0))</f>
        <v>0</v>
      </c>
    </row>
    <row r="320" spans="1:15" ht="14.1" customHeight="1">
      <c r="A320" s="37">
        <v>6</v>
      </c>
      <c r="B320" s="37" t="s">
        <v>277</v>
      </c>
      <c r="C320" s="37">
        <v>2</v>
      </c>
      <c r="D320" s="56" t="str">
        <f>LUNES!$A$125</f>
        <v>Press Inclinado</v>
      </c>
      <c r="E320" s="57" t="str">
        <f>LUNES!$B$125</f>
        <v>Mancuernas</v>
      </c>
      <c r="F320" s="37" t="str">
        <f>LUNES!$C$125</f>
        <v>mancuerna</v>
      </c>
      <c r="G320" s="37" t="str">
        <f>IFERROR(LOOKUP(2,1/((HISTORIAL!$O$3:$O$318=D320&amp;"|"&amp;E320)*(HISTORIAL!$F$3:$F$318&lt;&gt;"")),HISTORIAL!$F$3:$F$318),"")</f>
        <v/>
      </c>
      <c r="H320" s="37" t="str">
        <f>IFERROR(LOOKUP(2,1/((HISTORIAL!$O$3:$O$318=D320&amp;"|"&amp;E320)*(HISTORIAL!$F$3:$F$318&lt;&gt;"")),HISTORIAL!$G$3:$G$318),"")</f>
        <v/>
      </c>
      <c r="I320" s="37" t="str">
        <f>IFERROR(LOOKUP(2,1/((HISTORIAL!$O$3:$O$318=D320&amp;"|"&amp;E320)*(HISTORIAL!$F$3:$F$318&lt;&gt;"")),HISTORIAL!$H$3:$H$318),"")</f>
        <v/>
      </c>
      <c r="J320" s="37" t="str">
        <f>IFERROR(LOOKUP(2,1/((HISTORIAL!$O$3:$O$318=D320&amp;"|"&amp;E320)*(HISTORIAL!$F$3:$F$318&lt;&gt;"")),HISTORIAL!$I$3:$I$318),"")</f>
        <v/>
      </c>
      <c r="K320" s="58" t="str">
        <f>IFERROR(IF(OR(G320="",N320="SIN"),"--",IF(N320="SUBIR_F",IF(F320="polea",IFERROR(INDEX(CONFIG!$B$25:$B$40,MATCH(G320,CONFIG!$B$25:$B$40,0)+2),IFERROR(INDEX(CONFIG!$B$25:$B$40,MATCH(G320,CONFIG!$B$25:$B$40,0)+1),G320)),G320+5),IF(OR(N320="SUBIR",N320="SUBIR_E"),IF(F320="polea",IFERROR(INDEX(CONFIG!$B$25:$B$40,MATCH(G320,CONFIG!$B$25:$B$40,0)+1),G320),G320+2.5),IF(N320="BAJAR",IF(F320="polea",IFERROR(INDEX(CONFIG!$B$25:$B$40,MAX(1,MATCH(G320,CONFIG!$B$25:$B$40,0)-1)),G320),MAX(0,G320-2.5)),G320)))),"--")</f>
        <v>--</v>
      </c>
      <c r="L320" s="59" t="str">
        <f>IFERROR(IF(N320="SIN","--",IF(N320="MANT",IF(H320="","--",H320+1),IFERROR(VLOOKUP(CONFIG!$E$2,CONFIG!$A$6:$E$8,2,0),"--"))),"--")</f>
        <v>--</v>
      </c>
      <c r="M320" s="59" t="str">
        <f>IFERROR(IF(N320="SIN","--",IF(CONFIG!$E$2="HIP",2,IF(CONFIG!$E$2="FUE",1,2))),"--")</f>
        <v>--</v>
      </c>
      <c r="N320" s="53" t="str">
        <f>IFERROR(IF(G320="","SIN",IF(O320=1,"SUBIR_E",IF(H320&lt;IFERROR(VLOOKUP(CONFIG!$E$2,CONFIG!$A$6:$E$8,2,0),6),"BAJAR",IF(H320+I320&gt;=IFERROR(VLOOKUP(CONFIG!$E$2,CONFIG!$A$6:$E$8,3,0),12),"SUBIR_F",IF(AND(H320&gt;=IFERROR(VLOOKUP(CONFIG!$E$2,CONFIG!$A$6:$E$8,2,0),6)+2,I320&gt;=2),"SUBIR",IF(I320&gt;IFERROR(VLOOKUP(CONFIG!$E$2,CONFIG!$A$6:$E$8,5,0),3),"SUBIR","MANT")))))),"SIN")</f>
        <v>SIN</v>
      </c>
      <c r="O320" s="55">
        <f>IF(COUNTIFS(HISTORIAL!$O$3:$O$318,D320&amp;"|"&amp;E320,HISTORIAL!$F$3:$F$318,"&gt;0")&lt;2,0,IF(COUNTIFS(HISTORIAL!$O$3:$O$318,D320&amp;"|"&amp;E320,HISTORIAL!$F$3:$F$318,IFERROR(LOOKUP(2,1/((HISTORIAL!$O$3:$O$318=D320&amp;"|"&amp;E320)*(HISTORIAL!$F$3:$F$318&gt;0)),HISTORIAL!$F$3:$F$318),0))&gt;=2,IF(IFERROR(LOOKUP(2,1/((HISTORIAL!$O$3:$O$318=D320&amp;"|"&amp;E320)*(HISTORIAL!$F$3:$F$318&gt;0)),HISTORIAL!$G$3:$G$318),0)&gt;0,IF(F320&gt;0,IF(G320&lt;=IFERROR(LOOKUP(2,1/((HISTORIAL!$O$3:$O$318=D320&amp;"|"&amp;E320)*(HISTORIAL!$F$3:$F$318&gt;0)),HISTORIAL!$G$3:$G$318),0),1,0),0),0),0))</f>
        <v>0</v>
      </c>
    </row>
    <row r="321" spans="1:15" ht="14.1" customHeight="1">
      <c r="A321" s="37">
        <v>6</v>
      </c>
      <c r="B321" s="37" t="s">
        <v>277</v>
      </c>
      <c r="C321" s="37">
        <v>3</v>
      </c>
      <c r="D321" s="56" t="str">
        <f>LUNES!$A$127</f>
        <v>Fondos</v>
      </c>
      <c r="E321" s="57" t="str">
        <f>LUNES!$B$127</f>
        <v>Paralelas</v>
      </c>
      <c r="F321" s="37" t="str">
        <f>LUNES!$C$127</f>
        <v>peso_corporal</v>
      </c>
      <c r="G321" s="37">
        <f>IFERROR(LOOKUP(2,1/((HISTORIAL!$O$3:$O$319=D321&amp;"|"&amp;E321)*(HISTORIAL!$F$3:$F$319&lt;&gt;"")),HISTORIAL!$F$3:$F$319),"")</f>
        <v>0</v>
      </c>
      <c r="H321" s="37">
        <f>IFERROR(LOOKUP(2,1/((HISTORIAL!$O$3:$O$319=D321&amp;"|"&amp;E321)*(HISTORIAL!$F$3:$F$319&lt;&gt;"")),HISTORIAL!$G$3:$G$319),"")</f>
        <v>12</v>
      </c>
      <c r="I321" s="37">
        <f>IFERROR(LOOKUP(2,1/((HISTORIAL!$O$3:$O$319=D321&amp;"|"&amp;E321)*(HISTORIAL!$F$3:$F$319&lt;&gt;"")),HISTORIAL!$H$3:$H$319),"")</f>
        <v>0</v>
      </c>
      <c r="J321" s="37" t="str">
        <f>IFERROR(LOOKUP(2,1/((HISTORIAL!$O$3:$O$319=D321&amp;"|"&amp;E321)*(HISTORIAL!$F$3:$F$319&lt;&gt;"")),HISTORIAL!$I$3:$I$319),"")</f>
        <v>B</v>
      </c>
      <c r="K321" s="58">
        <f>IFERROR(IF(OR(G321="",N321="SIN"),"--",IF(N321="SUBIR_F",IF(F321="polea",IFERROR(INDEX(CONFIG!$B$25:$B$40,MATCH(G321,CONFIG!$B$25:$B$40,0)+2),IFERROR(INDEX(CONFIG!$B$25:$B$40,MATCH(G321,CONFIG!$B$25:$B$40,0)+1),G321)),G321+5),IF(OR(N321="SUBIR",N321="SUBIR_E"),IF(F321="polea",IFERROR(INDEX(CONFIG!$B$25:$B$40,MATCH(G321,CONFIG!$B$25:$B$40,0)+1),G321),G321+2.5),IF(N321="BAJAR",IF(F321="polea",IFERROR(INDEX(CONFIG!$B$25:$B$40,MAX(1,MATCH(G321,CONFIG!$B$25:$B$40,0)-1)),G321),MAX(0,G321-2.5)),G321)))),"--")</f>
        <v>5</v>
      </c>
      <c r="L321" s="59">
        <f>IFERROR(IF(N321="SIN","--",IF(N321="MANT",IF(H321="","--",H321+1),IFERROR(VLOOKUP(CONFIG!$E$2,CONFIG!$A$6:$E$8,2,0),"--"))),"--")</f>
        <v>6</v>
      </c>
      <c r="M321" s="59">
        <f>IFERROR(IF(N321="SIN","--",IF(CONFIG!$E$2="HIP",2,IF(CONFIG!$E$2="FUE",1,2))),"--")</f>
        <v>2</v>
      </c>
      <c r="N321" s="53" t="str">
        <f>IFERROR(IF(G321="","SIN",IF(O321=1,"SUBIR_E",IF(H321&lt;IFERROR(VLOOKUP(CONFIG!$E$2,CONFIG!$A$6:$E$8,2,0),6),"BAJAR",IF(H321+I321&gt;=IFERROR(VLOOKUP(CONFIG!$E$2,CONFIG!$A$6:$E$8,3,0),12),"SUBIR_F",IF(AND(H321&gt;=IFERROR(VLOOKUP(CONFIG!$E$2,CONFIG!$A$6:$E$8,2,0),6)+2,I321&gt;=2),"SUBIR",IF(I321&gt;IFERROR(VLOOKUP(CONFIG!$E$2,CONFIG!$A$6:$E$8,5,0),3),"SUBIR","MANT")))))),"SIN")</f>
        <v>SUBIR_F</v>
      </c>
      <c r="O321" s="55">
        <f>IF(COUNTIFS(HISTORIAL!$O$3:$O$319,D321&amp;"|"&amp;E321,HISTORIAL!$F$3:$F$319,"&gt;0")&lt;2,0,IF(COUNTIFS(HISTORIAL!$O$3:$O$319,D321&amp;"|"&amp;E321,HISTORIAL!$F$3:$F$319,IFERROR(LOOKUP(2,1/((HISTORIAL!$O$3:$O$319=D321&amp;"|"&amp;E321)*(HISTORIAL!$F$3:$F$319&gt;0)),HISTORIAL!$F$3:$F$319),0))&gt;=2,IF(IFERROR(LOOKUP(2,1/((HISTORIAL!$O$3:$O$319=D321&amp;"|"&amp;E321)*(HISTORIAL!$F$3:$F$319&gt;0)),HISTORIAL!$G$3:$G$319),0)&gt;0,IF(F321&gt;0,IF(G321&lt;=IFERROR(LOOKUP(2,1/((HISTORIAL!$O$3:$O$319=D321&amp;"|"&amp;E321)*(HISTORIAL!$F$3:$F$319&gt;0)),HISTORIAL!$G$3:$G$319),0),1,0),0),0),0))</f>
        <v>0</v>
      </c>
    </row>
    <row r="322" spans="1:15" ht="14.1" customHeight="1">
      <c r="A322" s="37">
        <v>6</v>
      </c>
      <c r="B322" s="37" t="s">
        <v>277</v>
      </c>
      <c r="C322" s="37">
        <v>4</v>
      </c>
      <c r="D322" s="56" t="str">
        <f>LUNES!$A$128</f>
        <v>Aperturas</v>
      </c>
      <c r="E322" s="57" t="str">
        <f>LUNES!$B$128</f>
        <v>Polea Baja Crossover</v>
      </c>
      <c r="F322" s="37" t="str">
        <f>LUNES!$C$128</f>
        <v>--</v>
      </c>
      <c r="G322" s="37" t="str">
        <f>IFERROR(LOOKUP(2,1/((HISTORIAL!$O$3:$O$320=D322&amp;"|"&amp;E322)*(HISTORIAL!$F$3:$F$320&lt;&gt;"")),HISTORIAL!$F$3:$F$320),"")</f>
        <v/>
      </c>
      <c r="H322" s="37" t="str">
        <f>IFERROR(LOOKUP(2,1/((HISTORIAL!$O$3:$O$320=D322&amp;"|"&amp;E322)*(HISTORIAL!$F$3:$F$320&lt;&gt;"")),HISTORIAL!$G$3:$G$320),"")</f>
        <v/>
      </c>
      <c r="I322" s="37" t="str">
        <f>IFERROR(LOOKUP(2,1/((HISTORIAL!$O$3:$O$320=D322&amp;"|"&amp;E322)*(HISTORIAL!$F$3:$F$320&lt;&gt;"")),HISTORIAL!$H$3:$H$320),"")</f>
        <v/>
      </c>
      <c r="J322" s="37" t="str">
        <f>IFERROR(LOOKUP(2,1/((HISTORIAL!$O$3:$O$320=D322&amp;"|"&amp;E322)*(HISTORIAL!$F$3:$F$320&lt;&gt;"")),HISTORIAL!$I$3:$I$320),"")</f>
        <v/>
      </c>
      <c r="K322" s="58" t="str">
        <f>IFERROR(IF(OR(G322="",N322="SIN"),"--",IF(N322="SUBIR_F",IF(F322="polea",IFERROR(INDEX(CONFIG!$B$25:$B$40,MATCH(G322,CONFIG!$B$25:$B$40,0)+2),IFERROR(INDEX(CONFIG!$B$25:$B$40,MATCH(G322,CONFIG!$B$25:$B$40,0)+1),G322)),G322+5),IF(OR(N322="SUBIR",N322="SUBIR_E"),IF(F322="polea",IFERROR(INDEX(CONFIG!$B$25:$B$40,MATCH(G322,CONFIG!$B$25:$B$40,0)+1),G322),G322+2.5),IF(N322="BAJAR",IF(F322="polea",IFERROR(INDEX(CONFIG!$B$25:$B$40,MAX(1,MATCH(G322,CONFIG!$B$25:$B$40,0)-1)),G322),MAX(0,G322-2.5)),G322)))),"--")</f>
        <v>--</v>
      </c>
      <c r="L322" s="59" t="str">
        <f>IFERROR(IF(N322="SIN","--",IF(N322="MANT",IF(H322="","--",H322+1),IFERROR(VLOOKUP(CONFIG!$E$2,CONFIG!$A$6:$E$8,2,0),"--"))),"--")</f>
        <v>--</v>
      </c>
      <c r="M322" s="59" t="str">
        <f>IFERROR(IF(N322="SIN","--",IF(CONFIG!$E$2="HIP",2,IF(CONFIG!$E$2="FUE",1,2))),"--")</f>
        <v>--</v>
      </c>
      <c r="N322" s="53" t="str">
        <f>IFERROR(IF(G322="","SIN",IF(O322=1,"SUBIR_E",IF(H322&lt;IFERROR(VLOOKUP(CONFIG!$E$2,CONFIG!$A$6:$E$8,2,0),6),"BAJAR",IF(H322+I322&gt;=IFERROR(VLOOKUP(CONFIG!$E$2,CONFIG!$A$6:$E$8,3,0),12),"SUBIR_F",IF(AND(H322&gt;=IFERROR(VLOOKUP(CONFIG!$E$2,CONFIG!$A$6:$E$8,2,0),6)+2,I322&gt;=2),"SUBIR",IF(I322&gt;IFERROR(VLOOKUP(CONFIG!$E$2,CONFIG!$A$6:$E$8,5,0),3),"SUBIR","MANT")))))),"SIN")</f>
        <v>SIN</v>
      </c>
      <c r="O322" s="55">
        <f>IF(COUNTIFS(HISTORIAL!$O$3:$O$320,D322&amp;"|"&amp;E322,HISTORIAL!$F$3:$F$320,"&gt;0")&lt;2,0,IF(COUNTIFS(HISTORIAL!$O$3:$O$320,D322&amp;"|"&amp;E322,HISTORIAL!$F$3:$F$320,IFERROR(LOOKUP(2,1/((HISTORIAL!$O$3:$O$320=D322&amp;"|"&amp;E322)*(HISTORIAL!$F$3:$F$320&gt;0)),HISTORIAL!$F$3:$F$320),0))&gt;=2,IF(IFERROR(LOOKUP(2,1/((HISTORIAL!$O$3:$O$320=D322&amp;"|"&amp;E322)*(HISTORIAL!$F$3:$F$320&gt;0)),HISTORIAL!$G$3:$G$320),0)&gt;0,IF(F322&gt;0,IF(G322&lt;=IFERROR(LOOKUP(2,1/((HISTORIAL!$O$3:$O$320=D322&amp;"|"&amp;E322)*(HISTORIAL!$F$3:$F$320&gt;0)),HISTORIAL!$G$3:$G$320),0),1,0),0),0),0))</f>
        <v>0</v>
      </c>
    </row>
    <row r="323" spans="1:15" ht="14.1" customHeight="1">
      <c r="A323" s="37">
        <v>6</v>
      </c>
      <c r="B323" s="37" t="s">
        <v>277</v>
      </c>
      <c r="C323" s="37">
        <v>5</v>
      </c>
      <c r="D323" s="56" t="str">
        <f>LUNES!$A$129</f>
        <v>Aperturas</v>
      </c>
      <c r="E323" s="57" t="str">
        <f>LUNES!$B$129</f>
        <v>Pec Deck Maquina</v>
      </c>
      <c r="F323" s="37" t="str">
        <f>LUNES!$C$129</f>
        <v>--</v>
      </c>
      <c r="G323" s="37" t="str">
        <f>IFERROR(LOOKUP(2,1/((HISTORIAL!$O$3:$O$321=D323&amp;"|"&amp;E323)*(HISTORIAL!$F$3:$F$321&lt;&gt;"")),HISTORIAL!$F$3:$F$321),"")</f>
        <v/>
      </c>
      <c r="H323" s="37" t="str">
        <f>IFERROR(LOOKUP(2,1/((HISTORIAL!$O$3:$O$321=D323&amp;"|"&amp;E323)*(HISTORIAL!$F$3:$F$321&lt;&gt;"")),HISTORIAL!$G$3:$G$321),"")</f>
        <v/>
      </c>
      <c r="I323" s="37" t="str">
        <f>IFERROR(LOOKUP(2,1/((HISTORIAL!$O$3:$O$321=D323&amp;"|"&amp;E323)*(HISTORIAL!$F$3:$F$321&lt;&gt;"")),HISTORIAL!$H$3:$H$321),"")</f>
        <v/>
      </c>
      <c r="J323" s="37" t="str">
        <f>IFERROR(LOOKUP(2,1/((HISTORIAL!$O$3:$O$321=D323&amp;"|"&amp;E323)*(HISTORIAL!$F$3:$F$321&lt;&gt;"")),HISTORIAL!$I$3:$I$321),"")</f>
        <v/>
      </c>
      <c r="K323" s="58" t="str">
        <f>IFERROR(IF(OR(G323="",N323="SIN"),"--",IF(N323="SUBIR_F",IF(F323="polea",IFERROR(INDEX(CONFIG!$B$25:$B$40,MATCH(G323,CONFIG!$B$25:$B$40,0)+2),IFERROR(INDEX(CONFIG!$B$25:$B$40,MATCH(G323,CONFIG!$B$25:$B$40,0)+1),G323)),G323+5),IF(OR(N323="SUBIR",N323="SUBIR_E"),IF(F323="polea",IFERROR(INDEX(CONFIG!$B$25:$B$40,MATCH(G323,CONFIG!$B$25:$B$40,0)+1),G323),G323+2.5),IF(N323="BAJAR",IF(F323="polea",IFERROR(INDEX(CONFIG!$B$25:$B$40,MAX(1,MATCH(G323,CONFIG!$B$25:$B$40,0)-1)),G323),MAX(0,G323-2.5)),G323)))),"--")</f>
        <v>--</v>
      </c>
      <c r="L323" s="59" t="str">
        <f>IFERROR(IF(N323="SIN","--",IF(N323="MANT",IF(H323="","--",H323+1),IFERROR(VLOOKUP(CONFIG!$E$2,CONFIG!$A$6:$E$8,2,0),"--"))),"--")</f>
        <v>--</v>
      </c>
      <c r="M323" s="59" t="str">
        <f>IFERROR(IF(N323="SIN","--",IF(CONFIG!$E$2="HIP",2,IF(CONFIG!$E$2="FUE",1,2))),"--")</f>
        <v>--</v>
      </c>
      <c r="N323" s="53" t="str">
        <f>IFERROR(IF(G323="","SIN",IF(O323=1,"SUBIR_E",IF(H323&lt;IFERROR(VLOOKUP(CONFIG!$E$2,CONFIG!$A$6:$E$8,2,0),6),"BAJAR",IF(H323+I323&gt;=IFERROR(VLOOKUP(CONFIG!$E$2,CONFIG!$A$6:$E$8,3,0),12),"SUBIR_F",IF(AND(H323&gt;=IFERROR(VLOOKUP(CONFIG!$E$2,CONFIG!$A$6:$E$8,2,0),6)+2,I323&gt;=2),"SUBIR",IF(I323&gt;IFERROR(VLOOKUP(CONFIG!$E$2,CONFIG!$A$6:$E$8,5,0),3),"SUBIR","MANT")))))),"SIN")</f>
        <v>SIN</v>
      </c>
      <c r="O323" s="55">
        <f>IF(COUNTIFS(HISTORIAL!$O$3:$O$321,D323&amp;"|"&amp;E323,HISTORIAL!$F$3:$F$321,"&gt;0")&lt;2,0,IF(COUNTIFS(HISTORIAL!$O$3:$O$321,D323&amp;"|"&amp;E323,HISTORIAL!$F$3:$F$321,IFERROR(LOOKUP(2,1/((HISTORIAL!$O$3:$O$321=D323&amp;"|"&amp;E323)*(HISTORIAL!$F$3:$F$321&gt;0)),HISTORIAL!$F$3:$F$321),0))&gt;=2,IF(IFERROR(LOOKUP(2,1/((HISTORIAL!$O$3:$O$321=D323&amp;"|"&amp;E323)*(HISTORIAL!$F$3:$F$321&gt;0)),HISTORIAL!$G$3:$G$321),0)&gt;0,IF(F323&gt;0,IF(G323&lt;=IFERROR(LOOKUP(2,1/((HISTORIAL!$O$3:$O$321=D323&amp;"|"&amp;E323)*(HISTORIAL!$F$3:$F$321&gt;0)),HISTORIAL!$G$3:$G$321),0),1,0),0),0),0))</f>
        <v>0</v>
      </c>
    </row>
    <row r="324" spans="1:15" ht="14.1" customHeight="1">
      <c r="A324" s="37">
        <v>6</v>
      </c>
      <c r="B324" s="37" t="s">
        <v>277</v>
      </c>
      <c r="C324" s="37">
        <v>6</v>
      </c>
      <c r="D324" s="56" t="str">
        <f>LUNES!$A$131</f>
        <v>Elevaciones Laterales</v>
      </c>
      <c r="E324" s="57" t="str">
        <f>LUNES!$B$131</f>
        <v>Cable Polea Individual</v>
      </c>
      <c r="F324" s="37" t="str">
        <f>LUNES!$C$131</f>
        <v>polea</v>
      </c>
      <c r="G324" s="37" t="str">
        <f>IFERROR(LOOKUP(2,1/((HISTORIAL!$O$3:$O$322=D324&amp;"|"&amp;E324)*(HISTORIAL!$F$3:$F$322&lt;&gt;"")),HISTORIAL!$F$3:$F$322),"")</f>
        <v/>
      </c>
      <c r="H324" s="37" t="str">
        <f>IFERROR(LOOKUP(2,1/((HISTORIAL!$O$3:$O$322=D324&amp;"|"&amp;E324)*(HISTORIAL!$F$3:$F$322&lt;&gt;"")),HISTORIAL!$G$3:$G$322),"")</f>
        <v/>
      </c>
      <c r="I324" s="37" t="str">
        <f>IFERROR(LOOKUP(2,1/((HISTORIAL!$O$3:$O$322=D324&amp;"|"&amp;E324)*(HISTORIAL!$F$3:$F$322&lt;&gt;"")),HISTORIAL!$H$3:$H$322),"")</f>
        <v/>
      </c>
      <c r="J324" s="37" t="str">
        <f>IFERROR(LOOKUP(2,1/((HISTORIAL!$O$3:$O$322=D324&amp;"|"&amp;E324)*(HISTORIAL!$F$3:$F$322&lt;&gt;"")),HISTORIAL!$I$3:$I$322),"")</f>
        <v/>
      </c>
      <c r="K324" s="58" t="str">
        <f>IFERROR(IF(OR(G324="",N324="SIN"),"--",IF(N324="SUBIR_F",IF(F324="polea",IFERROR(INDEX(CONFIG!$B$25:$B$40,MATCH(G324,CONFIG!$B$25:$B$40,0)+2),IFERROR(INDEX(CONFIG!$B$25:$B$40,MATCH(G324,CONFIG!$B$25:$B$40,0)+1),G324)),G324+5),IF(OR(N324="SUBIR",N324="SUBIR_E"),IF(F324="polea",IFERROR(INDEX(CONFIG!$B$25:$B$40,MATCH(G324,CONFIG!$B$25:$B$40,0)+1),G324),G324+2.5),IF(N324="BAJAR",IF(F324="polea",IFERROR(INDEX(CONFIG!$B$25:$B$40,MAX(1,MATCH(G324,CONFIG!$B$25:$B$40,0)-1)),G324),MAX(0,G324-2.5)),G324)))),"--")</f>
        <v>--</v>
      </c>
      <c r="L324" s="59" t="str">
        <f>IFERROR(IF(N324="SIN","--",IF(N324="MANT",IF(H324="","--",H324+1),IFERROR(VLOOKUP(CONFIG!$E$2,CONFIG!$A$6:$E$8,2,0),"--"))),"--")</f>
        <v>--</v>
      </c>
      <c r="M324" s="59" t="str">
        <f>IFERROR(IF(N324="SIN","--",IF(CONFIG!$E$2="HIP",2,IF(CONFIG!$E$2="FUE",1,2))),"--")</f>
        <v>--</v>
      </c>
      <c r="N324" s="53" t="str">
        <f>IFERROR(IF(G324="","SIN",IF(O324=1,"SUBIR_E",IF(H324&lt;IFERROR(VLOOKUP(CONFIG!$E$2,CONFIG!$A$6:$E$8,2,0),6),"BAJAR",IF(H324+I324&gt;=IFERROR(VLOOKUP(CONFIG!$E$2,CONFIG!$A$6:$E$8,3,0),12),"SUBIR_F",IF(AND(H324&gt;=IFERROR(VLOOKUP(CONFIG!$E$2,CONFIG!$A$6:$E$8,2,0),6)+2,I324&gt;=2),"SUBIR",IF(I324&gt;IFERROR(VLOOKUP(CONFIG!$E$2,CONFIG!$A$6:$E$8,5,0),3),"SUBIR","MANT")))))),"SIN")</f>
        <v>SIN</v>
      </c>
      <c r="O324" s="55">
        <f>IF(COUNTIFS(HISTORIAL!$O$3:$O$322,D324&amp;"|"&amp;E324,HISTORIAL!$F$3:$F$322,"&gt;0")&lt;2,0,IF(COUNTIFS(HISTORIAL!$O$3:$O$322,D324&amp;"|"&amp;E324,HISTORIAL!$F$3:$F$322,IFERROR(LOOKUP(2,1/((HISTORIAL!$O$3:$O$322=D324&amp;"|"&amp;E324)*(HISTORIAL!$F$3:$F$322&gt;0)),HISTORIAL!$F$3:$F$322),0))&gt;=2,IF(IFERROR(LOOKUP(2,1/((HISTORIAL!$O$3:$O$322=D324&amp;"|"&amp;E324)*(HISTORIAL!$F$3:$F$322&gt;0)),HISTORIAL!$G$3:$G$322),0)&gt;0,IF(F324&gt;0,IF(G324&lt;=IFERROR(LOOKUP(2,1/((HISTORIAL!$O$3:$O$322=D324&amp;"|"&amp;E324)*(HISTORIAL!$F$3:$F$322&gt;0)),HISTORIAL!$G$3:$G$322),0),1,0),0),0),0))</f>
        <v>0</v>
      </c>
    </row>
    <row r="325" spans="1:15" ht="14.1" customHeight="1">
      <c r="A325" s="37">
        <v>6</v>
      </c>
      <c r="B325" s="37" t="s">
        <v>277</v>
      </c>
      <c r="C325" s="37">
        <v>7</v>
      </c>
      <c r="D325" s="56" t="str">
        <f>LUNES!$A$132</f>
        <v>Press Militar</v>
      </c>
      <c r="E325" s="57" t="str">
        <f>LUNES!$B$132</f>
        <v>Mancuernas Sentado</v>
      </c>
      <c r="F325" s="37" t="str">
        <f>LUNES!$C$132</f>
        <v>mancuerna</v>
      </c>
      <c r="G325" s="37" t="str">
        <f>IFERROR(LOOKUP(2,1/((HISTORIAL!$O$3:$O$323=D325&amp;"|"&amp;E325)*(HISTORIAL!$F$3:$F$323&lt;&gt;"")),HISTORIAL!$F$3:$F$323),"")</f>
        <v/>
      </c>
      <c r="H325" s="37" t="str">
        <f>IFERROR(LOOKUP(2,1/((HISTORIAL!$O$3:$O$323=D325&amp;"|"&amp;E325)*(HISTORIAL!$F$3:$F$323&lt;&gt;"")),HISTORIAL!$G$3:$G$323),"")</f>
        <v/>
      </c>
      <c r="I325" s="37" t="str">
        <f>IFERROR(LOOKUP(2,1/((HISTORIAL!$O$3:$O$323=D325&amp;"|"&amp;E325)*(HISTORIAL!$F$3:$F$323&lt;&gt;"")),HISTORIAL!$H$3:$H$323),"")</f>
        <v/>
      </c>
      <c r="J325" s="37" t="str">
        <f>IFERROR(LOOKUP(2,1/((HISTORIAL!$O$3:$O$323=D325&amp;"|"&amp;E325)*(HISTORIAL!$F$3:$F$323&lt;&gt;"")),HISTORIAL!$I$3:$I$323),"")</f>
        <v/>
      </c>
      <c r="K325" s="58" t="str">
        <f>IFERROR(IF(OR(G325="",N325="SIN"),"--",IF(N325="SUBIR_F",IF(F325="polea",IFERROR(INDEX(CONFIG!$B$25:$B$40,MATCH(G325,CONFIG!$B$25:$B$40,0)+2),IFERROR(INDEX(CONFIG!$B$25:$B$40,MATCH(G325,CONFIG!$B$25:$B$40,0)+1),G325)),G325+5),IF(OR(N325="SUBIR",N325="SUBIR_E"),IF(F325="polea",IFERROR(INDEX(CONFIG!$B$25:$B$40,MATCH(G325,CONFIG!$B$25:$B$40,0)+1),G325),G325+2.5),IF(N325="BAJAR",IF(F325="polea",IFERROR(INDEX(CONFIG!$B$25:$B$40,MAX(1,MATCH(G325,CONFIG!$B$25:$B$40,0)-1)),G325),MAX(0,G325-2.5)),G325)))),"--")</f>
        <v>--</v>
      </c>
      <c r="L325" s="59" t="str">
        <f>IFERROR(IF(N325="SIN","--",IF(N325="MANT",IF(H325="","--",H325+1),IFERROR(VLOOKUP(CONFIG!$E$2,CONFIG!$A$6:$E$8,2,0),"--"))),"--")</f>
        <v>--</v>
      </c>
      <c r="M325" s="59" t="str">
        <f>IFERROR(IF(N325="SIN","--",IF(CONFIG!$E$2="HIP",2,IF(CONFIG!$E$2="FUE",1,2))),"--")</f>
        <v>--</v>
      </c>
      <c r="N325" s="53" t="str">
        <f>IFERROR(IF(G325="","SIN",IF(O325=1,"SUBIR_E",IF(H325&lt;IFERROR(VLOOKUP(CONFIG!$E$2,CONFIG!$A$6:$E$8,2,0),6),"BAJAR",IF(H325+I325&gt;=IFERROR(VLOOKUP(CONFIG!$E$2,CONFIG!$A$6:$E$8,3,0),12),"SUBIR_F",IF(AND(H325&gt;=IFERROR(VLOOKUP(CONFIG!$E$2,CONFIG!$A$6:$E$8,2,0),6)+2,I325&gt;=2),"SUBIR",IF(I325&gt;IFERROR(VLOOKUP(CONFIG!$E$2,CONFIG!$A$6:$E$8,5,0),3),"SUBIR","MANT")))))),"SIN")</f>
        <v>SIN</v>
      </c>
      <c r="O325" s="55">
        <f>IF(COUNTIFS(HISTORIAL!$O$3:$O$323,D325&amp;"|"&amp;E325,HISTORIAL!$F$3:$F$323,"&gt;0")&lt;2,0,IF(COUNTIFS(HISTORIAL!$O$3:$O$323,D325&amp;"|"&amp;E325,HISTORIAL!$F$3:$F$323,IFERROR(LOOKUP(2,1/((HISTORIAL!$O$3:$O$323=D325&amp;"|"&amp;E325)*(HISTORIAL!$F$3:$F$323&gt;0)),HISTORIAL!$F$3:$F$323),0))&gt;=2,IF(IFERROR(LOOKUP(2,1/((HISTORIAL!$O$3:$O$323=D325&amp;"|"&amp;E325)*(HISTORIAL!$F$3:$F$323&gt;0)),HISTORIAL!$G$3:$G$323),0)&gt;0,IF(F325&gt;0,IF(G325&lt;=IFERROR(LOOKUP(2,1/((HISTORIAL!$O$3:$O$323=D325&amp;"|"&amp;E325)*(HISTORIAL!$F$3:$F$323&gt;0)),HISTORIAL!$G$3:$G$323),0),1,0),0),0),0))</f>
        <v>0</v>
      </c>
    </row>
    <row r="326" spans="1:15" ht="14.1" customHeight="1">
      <c r="A326" s="37">
        <v>6</v>
      </c>
      <c r="B326" s="37" t="s">
        <v>277</v>
      </c>
      <c r="C326" s="37">
        <v>8</v>
      </c>
      <c r="D326" s="56" t="str">
        <f>LUNES!$A$134</f>
        <v>Extension Triceps</v>
      </c>
      <c r="E326" s="57" t="str">
        <f>LUNES!$B$134</f>
        <v>Press Neutro Polea Individual</v>
      </c>
      <c r="F326" s="37" t="str">
        <f>LUNES!$C$134</f>
        <v>--</v>
      </c>
      <c r="G326" s="37" t="str">
        <f>IFERROR(LOOKUP(2,1/((HISTORIAL!$O$3:$O$324=D326&amp;"|"&amp;E326)*(HISTORIAL!$F$3:$F$324&lt;&gt;"")),HISTORIAL!$F$3:$F$324),"")</f>
        <v/>
      </c>
      <c r="H326" s="37" t="str">
        <f>IFERROR(LOOKUP(2,1/((HISTORIAL!$O$3:$O$324=D326&amp;"|"&amp;E326)*(HISTORIAL!$F$3:$F$324&lt;&gt;"")),HISTORIAL!$G$3:$G$324),"")</f>
        <v/>
      </c>
      <c r="I326" s="37" t="str">
        <f>IFERROR(LOOKUP(2,1/((HISTORIAL!$O$3:$O$324=D326&amp;"|"&amp;E326)*(HISTORIAL!$F$3:$F$324&lt;&gt;"")),HISTORIAL!$H$3:$H$324),"")</f>
        <v/>
      </c>
      <c r="J326" s="37" t="str">
        <f>IFERROR(LOOKUP(2,1/((HISTORIAL!$O$3:$O$324=D326&amp;"|"&amp;E326)*(HISTORIAL!$F$3:$F$324&lt;&gt;"")),HISTORIAL!$I$3:$I$324),"")</f>
        <v/>
      </c>
      <c r="K326" s="58" t="str">
        <f>IFERROR(IF(OR(G326="",N326="SIN"),"--",IF(N326="SUBIR_F",IF(F326="polea",IFERROR(INDEX(CONFIG!$B$25:$B$40,MATCH(G326,CONFIG!$B$25:$B$40,0)+2),IFERROR(INDEX(CONFIG!$B$25:$B$40,MATCH(G326,CONFIG!$B$25:$B$40,0)+1),G326)),G326+5),IF(OR(N326="SUBIR",N326="SUBIR_E"),IF(F326="polea",IFERROR(INDEX(CONFIG!$B$25:$B$40,MATCH(G326,CONFIG!$B$25:$B$40,0)+1),G326),G326+2.5),IF(N326="BAJAR",IF(F326="polea",IFERROR(INDEX(CONFIG!$B$25:$B$40,MAX(1,MATCH(G326,CONFIG!$B$25:$B$40,0)-1)),G326),MAX(0,G326-2.5)),G326)))),"--")</f>
        <v>--</v>
      </c>
      <c r="L326" s="59" t="str">
        <f>IFERROR(IF(N326="SIN","--",IF(N326="MANT",IF(H326="","--",H326+1),IFERROR(VLOOKUP(CONFIG!$E$2,CONFIG!$A$6:$E$8,2,0),"--"))),"--")</f>
        <v>--</v>
      </c>
      <c r="M326" s="59" t="str">
        <f>IFERROR(IF(N326="SIN","--",IF(CONFIG!$E$2="HIP",2,IF(CONFIG!$E$2="FUE",1,2))),"--")</f>
        <v>--</v>
      </c>
      <c r="N326" s="53" t="str">
        <f>IFERROR(IF(G326="","SIN",IF(O326=1,"SUBIR_E",IF(H326&lt;IFERROR(VLOOKUP(CONFIG!$E$2,CONFIG!$A$6:$E$8,2,0),6),"BAJAR",IF(H326+I326&gt;=IFERROR(VLOOKUP(CONFIG!$E$2,CONFIG!$A$6:$E$8,3,0),12),"SUBIR_F",IF(AND(H326&gt;=IFERROR(VLOOKUP(CONFIG!$E$2,CONFIG!$A$6:$E$8,2,0),6)+2,I326&gt;=2),"SUBIR",IF(I326&gt;IFERROR(VLOOKUP(CONFIG!$E$2,CONFIG!$A$6:$E$8,5,0),3),"SUBIR","MANT")))))),"SIN")</f>
        <v>SIN</v>
      </c>
      <c r="O326" s="55">
        <f>IF(COUNTIFS(HISTORIAL!$O$3:$O$324,D326&amp;"|"&amp;E326,HISTORIAL!$F$3:$F$324,"&gt;0")&lt;2,0,IF(COUNTIFS(HISTORIAL!$O$3:$O$324,D326&amp;"|"&amp;E326,HISTORIAL!$F$3:$F$324,IFERROR(LOOKUP(2,1/((HISTORIAL!$O$3:$O$324=D326&amp;"|"&amp;E326)*(HISTORIAL!$F$3:$F$324&gt;0)),HISTORIAL!$F$3:$F$324),0))&gt;=2,IF(IFERROR(LOOKUP(2,1/((HISTORIAL!$O$3:$O$324=D326&amp;"|"&amp;E326)*(HISTORIAL!$F$3:$F$324&gt;0)),HISTORIAL!$G$3:$G$324),0)&gt;0,IF(F326&gt;0,IF(G326&lt;=IFERROR(LOOKUP(2,1/((HISTORIAL!$O$3:$O$324=D326&amp;"|"&amp;E326)*(HISTORIAL!$F$3:$F$324&gt;0)),HISTORIAL!$G$3:$G$324),0),1,0),0),0),0))</f>
        <v>0</v>
      </c>
    </row>
    <row r="327" spans="1:15" ht="14.1" customHeight="1">
      <c r="A327" s="37">
        <v>6</v>
      </c>
      <c r="B327" s="37" t="s">
        <v>277</v>
      </c>
      <c r="C327" s="37">
        <v>9</v>
      </c>
      <c r="D327" s="56" t="str">
        <f>LUNES!$A$136</f>
        <v>Extension Cuadriceps</v>
      </c>
      <c r="E327" s="57" t="str">
        <f>LUNES!$B$136</f>
        <v>Vasto Externo</v>
      </c>
      <c r="F327" s="37" t="str">
        <f>LUNES!$C$136</f>
        <v>--</v>
      </c>
      <c r="G327" s="37" t="str">
        <f>IFERROR(LOOKUP(2,1/((HISTORIAL!$O$3:$O$325=D327&amp;"|"&amp;E327)*(HISTORIAL!$F$3:$F$325&lt;&gt;"")),HISTORIAL!$F$3:$F$325),"")</f>
        <v/>
      </c>
      <c r="H327" s="37" t="str">
        <f>IFERROR(LOOKUP(2,1/((HISTORIAL!$O$3:$O$325=D327&amp;"|"&amp;E327)*(HISTORIAL!$F$3:$F$325&lt;&gt;"")),HISTORIAL!$G$3:$G$325),"")</f>
        <v/>
      </c>
      <c r="I327" s="37" t="str">
        <f>IFERROR(LOOKUP(2,1/((HISTORIAL!$O$3:$O$325=D327&amp;"|"&amp;E327)*(HISTORIAL!$F$3:$F$325&lt;&gt;"")),HISTORIAL!$H$3:$H$325),"")</f>
        <v/>
      </c>
      <c r="J327" s="37" t="str">
        <f>IFERROR(LOOKUP(2,1/((HISTORIAL!$O$3:$O$325=D327&amp;"|"&amp;E327)*(HISTORIAL!$F$3:$F$325&lt;&gt;"")),HISTORIAL!$I$3:$I$325),"")</f>
        <v/>
      </c>
      <c r="K327" s="58" t="str">
        <f>IFERROR(IF(OR(G327="",N327="SIN"),"--",IF(N327="SUBIR_F",IF(F327="polea",IFERROR(INDEX(CONFIG!$B$25:$B$40,MATCH(G327,CONFIG!$B$25:$B$40,0)+2),IFERROR(INDEX(CONFIG!$B$25:$B$40,MATCH(G327,CONFIG!$B$25:$B$40,0)+1),G327)),G327+5),IF(OR(N327="SUBIR",N327="SUBIR_E"),IF(F327="polea",IFERROR(INDEX(CONFIG!$B$25:$B$40,MATCH(G327,CONFIG!$B$25:$B$40,0)+1),G327),G327+2.5),IF(N327="BAJAR",IF(F327="polea",IFERROR(INDEX(CONFIG!$B$25:$B$40,MAX(1,MATCH(G327,CONFIG!$B$25:$B$40,0)-1)),G327),MAX(0,G327-2.5)),G327)))),"--")</f>
        <v>--</v>
      </c>
      <c r="L327" s="59" t="str">
        <f>IFERROR(IF(N327="SIN","--",IF(N327="MANT",IF(H327="","--",H327+1),IFERROR(VLOOKUP(CONFIG!$E$2,CONFIG!$A$6:$E$8,2,0),"--"))),"--")</f>
        <v>--</v>
      </c>
      <c r="M327" s="59" t="str">
        <f>IFERROR(IF(N327="SIN","--",IF(CONFIG!$E$2="HIP",2,IF(CONFIG!$E$2="FUE",1,2))),"--")</f>
        <v>--</v>
      </c>
      <c r="N327" s="53" t="str">
        <f>IFERROR(IF(G327="","SIN",IF(O327=1,"SUBIR_E",IF(H327&lt;IFERROR(VLOOKUP(CONFIG!$E$2,CONFIG!$A$6:$E$8,2,0),6),"BAJAR",IF(H327+I327&gt;=IFERROR(VLOOKUP(CONFIG!$E$2,CONFIG!$A$6:$E$8,3,0),12),"SUBIR_F",IF(AND(H327&gt;=IFERROR(VLOOKUP(CONFIG!$E$2,CONFIG!$A$6:$E$8,2,0),6)+2,I327&gt;=2),"SUBIR",IF(I327&gt;IFERROR(VLOOKUP(CONFIG!$E$2,CONFIG!$A$6:$E$8,5,0),3),"SUBIR","MANT")))))),"SIN")</f>
        <v>SIN</v>
      </c>
      <c r="O327" s="55">
        <f>IF(COUNTIFS(HISTORIAL!$O$3:$O$325,D327&amp;"|"&amp;E327,HISTORIAL!$F$3:$F$325,"&gt;0")&lt;2,0,IF(COUNTIFS(HISTORIAL!$O$3:$O$325,D327&amp;"|"&amp;E327,HISTORIAL!$F$3:$F$325,IFERROR(LOOKUP(2,1/((HISTORIAL!$O$3:$O$325=D327&amp;"|"&amp;E327)*(HISTORIAL!$F$3:$F$325&gt;0)),HISTORIAL!$F$3:$F$325),0))&gt;=2,IF(IFERROR(LOOKUP(2,1/((HISTORIAL!$O$3:$O$325=D327&amp;"|"&amp;E327)*(HISTORIAL!$F$3:$F$325&gt;0)),HISTORIAL!$G$3:$G$325),0)&gt;0,IF(F327&gt;0,IF(G327&lt;=IFERROR(LOOKUP(2,1/((HISTORIAL!$O$3:$O$325=D327&amp;"|"&amp;E327)*(HISTORIAL!$F$3:$F$325&gt;0)),HISTORIAL!$G$3:$G$325),0),1,0),0),0),0))</f>
        <v>0</v>
      </c>
    </row>
    <row r="328" spans="1:15" ht="14.1" customHeight="1">
      <c r="A328" s="37">
        <v>6</v>
      </c>
      <c r="B328" s="37" t="s">
        <v>277</v>
      </c>
      <c r="C328" s="37">
        <v>10</v>
      </c>
      <c r="D328" s="56" t="str">
        <f>LUNES!$A$138</f>
        <v>Curl Biceps</v>
      </c>
      <c r="E328" s="57" t="str">
        <f>LUNES!$B$138</f>
        <v>Inclinado Banco Mancuernas</v>
      </c>
      <c r="F328" s="37" t="str">
        <f>LUNES!$C$138</f>
        <v>mancuerna</v>
      </c>
      <c r="G328" s="37" t="str">
        <f>IFERROR(LOOKUP(2,1/((HISTORIAL!$O$3:$O$326=D328&amp;"|"&amp;E328)*(HISTORIAL!$F$3:$F$326&lt;&gt;"")),HISTORIAL!$F$3:$F$326),"")</f>
        <v/>
      </c>
      <c r="H328" s="37" t="str">
        <f>IFERROR(LOOKUP(2,1/((HISTORIAL!$O$3:$O$326=D328&amp;"|"&amp;E328)*(HISTORIAL!$F$3:$F$326&lt;&gt;"")),HISTORIAL!$G$3:$G$326),"")</f>
        <v/>
      </c>
      <c r="I328" s="37" t="str">
        <f>IFERROR(LOOKUP(2,1/((HISTORIAL!$O$3:$O$326=D328&amp;"|"&amp;E328)*(HISTORIAL!$F$3:$F$326&lt;&gt;"")),HISTORIAL!$H$3:$H$326),"")</f>
        <v/>
      </c>
      <c r="J328" s="37" t="str">
        <f>IFERROR(LOOKUP(2,1/((HISTORIAL!$O$3:$O$326=D328&amp;"|"&amp;E328)*(HISTORIAL!$F$3:$F$326&lt;&gt;"")),HISTORIAL!$I$3:$I$326),"")</f>
        <v/>
      </c>
      <c r="K328" s="58" t="str">
        <f>IFERROR(IF(OR(G328="",N328="SIN"),"--",IF(N328="SUBIR_F",IF(F328="polea",IFERROR(INDEX(CONFIG!$B$25:$B$40,MATCH(G328,CONFIG!$B$25:$B$40,0)+2),IFERROR(INDEX(CONFIG!$B$25:$B$40,MATCH(G328,CONFIG!$B$25:$B$40,0)+1),G328)),G328+5),IF(OR(N328="SUBIR",N328="SUBIR_E"),IF(F328="polea",IFERROR(INDEX(CONFIG!$B$25:$B$40,MATCH(G328,CONFIG!$B$25:$B$40,0)+1),G328),G328+2.5),IF(N328="BAJAR",IF(F328="polea",IFERROR(INDEX(CONFIG!$B$25:$B$40,MAX(1,MATCH(G328,CONFIG!$B$25:$B$40,0)-1)),G328),MAX(0,G328-2.5)),G328)))),"--")</f>
        <v>--</v>
      </c>
      <c r="L328" s="59" t="str">
        <f>IFERROR(IF(N328="SIN","--",IF(N328="MANT",IF(H328="","--",H328+1),IFERROR(VLOOKUP(CONFIG!$E$2,CONFIG!$A$6:$E$8,2,0),"--"))),"--")</f>
        <v>--</v>
      </c>
      <c r="M328" s="59" t="str">
        <f>IFERROR(IF(N328="SIN","--",IF(CONFIG!$E$2="HIP",2,IF(CONFIG!$E$2="FUE",1,2))),"--")</f>
        <v>--</v>
      </c>
      <c r="N328" s="53" t="str">
        <f>IFERROR(IF(G328="","SIN",IF(O328=1,"SUBIR_E",IF(H328&lt;IFERROR(VLOOKUP(CONFIG!$E$2,CONFIG!$A$6:$E$8,2,0),6),"BAJAR",IF(H328+I328&gt;=IFERROR(VLOOKUP(CONFIG!$E$2,CONFIG!$A$6:$E$8,3,0),12),"SUBIR_F",IF(AND(H328&gt;=IFERROR(VLOOKUP(CONFIG!$E$2,CONFIG!$A$6:$E$8,2,0),6)+2,I328&gt;=2),"SUBIR",IF(I328&gt;IFERROR(VLOOKUP(CONFIG!$E$2,CONFIG!$A$6:$E$8,5,0),3),"SUBIR","MANT")))))),"SIN")</f>
        <v>SIN</v>
      </c>
      <c r="O328" s="55">
        <f>IF(COUNTIFS(HISTORIAL!$O$3:$O$326,D328&amp;"|"&amp;E328,HISTORIAL!$F$3:$F$326,"&gt;0")&lt;2,0,IF(COUNTIFS(HISTORIAL!$O$3:$O$326,D328&amp;"|"&amp;E328,HISTORIAL!$F$3:$F$326,IFERROR(LOOKUP(2,1/((HISTORIAL!$O$3:$O$326=D328&amp;"|"&amp;E328)*(HISTORIAL!$F$3:$F$326&gt;0)),HISTORIAL!$F$3:$F$326),0))&gt;=2,IF(IFERROR(LOOKUP(2,1/((HISTORIAL!$O$3:$O$326=D328&amp;"|"&amp;E328)*(HISTORIAL!$F$3:$F$326&gt;0)),HISTORIAL!$G$3:$G$326),0)&gt;0,IF(F328&gt;0,IF(G328&lt;=IFERROR(LOOKUP(2,1/((HISTORIAL!$O$3:$O$326=D328&amp;"|"&amp;E328)*(HISTORIAL!$F$3:$F$326&gt;0)),HISTORIAL!$G$3:$G$326),0),1,0),0),0),0))</f>
        <v>0</v>
      </c>
    </row>
    <row r="329" spans="1:15" ht="14.1" customHeight="1">
      <c r="A329" s="37">
        <v>6</v>
      </c>
      <c r="B329" s="37" t="s">
        <v>277</v>
      </c>
      <c r="C329" s="37">
        <v>11</v>
      </c>
      <c r="D329" s="56" t="str">
        <f>LUNES!$A$140</f>
        <v>Crunch</v>
      </c>
      <c r="E329" s="57" t="str">
        <f>LUNES!$B$140</f>
        <v>Polea</v>
      </c>
      <c r="F329" s="37" t="str">
        <f>LUNES!$C$140</f>
        <v>polea</v>
      </c>
      <c r="G329" s="37" t="str">
        <f>IFERROR(LOOKUP(2,1/((HISTORIAL!$O$3:$O$327=D329&amp;"|"&amp;E329)*(HISTORIAL!$F$3:$F$327&lt;&gt;"")),HISTORIAL!$F$3:$F$327),"")</f>
        <v/>
      </c>
      <c r="H329" s="37" t="str">
        <f>IFERROR(LOOKUP(2,1/((HISTORIAL!$O$3:$O$327=D329&amp;"|"&amp;E329)*(HISTORIAL!$F$3:$F$327&lt;&gt;"")),HISTORIAL!$G$3:$G$327),"")</f>
        <v/>
      </c>
      <c r="I329" s="37" t="str">
        <f>IFERROR(LOOKUP(2,1/((HISTORIAL!$O$3:$O$327=D329&amp;"|"&amp;E329)*(HISTORIAL!$F$3:$F$327&lt;&gt;"")),HISTORIAL!$H$3:$H$327),"")</f>
        <v/>
      </c>
      <c r="J329" s="37" t="str">
        <f>IFERROR(LOOKUP(2,1/((HISTORIAL!$O$3:$O$327=D329&amp;"|"&amp;E329)*(HISTORIAL!$F$3:$F$327&lt;&gt;"")),HISTORIAL!$I$3:$I$327),"")</f>
        <v/>
      </c>
      <c r="K329" s="58" t="str">
        <f>IFERROR(IF(OR(G329="",N329="SIN"),"--",IF(N329="SUBIR_F",IF(F329="polea",IFERROR(INDEX(CONFIG!$B$25:$B$40,MATCH(G329,CONFIG!$B$25:$B$40,0)+2),IFERROR(INDEX(CONFIG!$B$25:$B$40,MATCH(G329,CONFIG!$B$25:$B$40,0)+1),G329)),G329+5),IF(OR(N329="SUBIR",N329="SUBIR_E"),IF(F329="polea",IFERROR(INDEX(CONFIG!$B$25:$B$40,MATCH(G329,CONFIG!$B$25:$B$40,0)+1),G329),G329+2.5),IF(N329="BAJAR",IF(F329="polea",IFERROR(INDEX(CONFIG!$B$25:$B$40,MAX(1,MATCH(G329,CONFIG!$B$25:$B$40,0)-1)),G329),MAX(0,G329-2.5)),G329)))),"--")</f>
        <v>--</v>
      </c>
      <c r="L329" s="59" t="str">
        <f>IFERROR(IF(N329="SIN","--",IF(N329="MANT",IF(H329="","--",H329+1),IFERROR(VLOOKUP(CONFIG!$E$2,CONFIG!$A$6:$E$8,2,0),"--"))),"--")</f>
        <v>--</v>
      </c>
      <c r="M329" s="59" t="str">
        <f>IFERROR(IF(N329="SIN","--",IF(CONFIG!$E$2="HIP",2,IF(CONFIG!$E$2="FUE",1,2))),"--")</f>
        <v>--</v>
      </c>
      <c r="N329" s="53" t="str">
        <f>IFERROR(IF(G329="","SIN",IF(O329=1,"SUBIR_E",IF(H329&lt;IFERROR(VLOOKUP(CONFIG!$E$2,CONFIG!$A$6:$E$8,2,0),6),"BAJAR",IF(H329+I329&gt;=IFERROR(VLOOKUP(CONFIG!$E$2,CONFIG!$A$6:$E$8,3,0),12),"SUBIR_F",IF(AND(H329&gt;=IFERROR(VLOOKUP(CONFIG!$E$2,CONFIG!$A$6:$E$8,2,0),6)+2,I329&gt;=2),"SUBIR",IF(I329&gt;IFERROR(VLOOKUP(CONFIG!$E$2,CONFIG!$A$6:$E$8,5,0),3),"SUBIR","MANT")))))),"SIN")</f>
        <v>SIN</v>
      </c>
      <c r="O329" s="55">
        <f>IF(COUNTIFS(HISTORIAL!$O$3:$O$327,D329&amp;"|"&amp;E329,HISTORIAL!$F$3:$F$327,"&gt;0")&lt;2,0,IF(COUNTIFS(HISTORIAL!$O$3:$O$327,D329&amp;"|"&amp;E329,HISTORIAL!$F$3:$F$327,IFERROR(LOOKUP(2,1/((HISTORIAL!$O$3:$O$327=D329&amp;"|"&amp;E329)*(HISTORIAL!$F$3:$F$327&gt;0)),HISTORIAL!$F$3:$F$327),0))&gt;=2,IF(IFERROR(LOOKUP(2,1/((HISTORIAL!$O$3:$O$327=D329&amp;"|"&amp;E329)*(HISTORIAL!$F$3:$F$327&gt;0)),HISTORIAL!$G$3:$G$327),0)&gt;0,IF(F329&gt;0,IF(G329&lt;=IFERROR(LOOKUP(2,1/((HISTORIAL!$O$3:$O$327=D329&amp;"|"&amp;E329)*(HISTORIAL!$F$3:$F$327&gt;0)),HISTORIAL!$G$3:$G$327),0),1,0),0),0),0))</f>
        <v>0</v>
      </c>
    </row>
    <row r="330" spans="1:15" ht="14.1" customHeight="1">
      <c r="A330" s="37">
        <v>6</v>
      </c>
      <c r="B330" s="37" t="s">
        <v>278</v>
      </c>
      <c r="C330" s="37">
        <v>1</v>
      </c>
      <c r="D330" s="56" t="str">
        <f>MARTES!$A$118</f>
        <v>Dominadas</v>
      </c>
      <c r="E330" s="57" t="str">
        <f>MARTES!$B$118</f>
        <v>Polea Alta Prono Ancho</v>
      </c>
      <c r="F330" s="37" t="str">
        <f>MARTES!$C$118</f>
        <v>peso_corporal</v>
      </c>
      <c r="G330" s="37" t="str">
        <f>IFERROR(LOOKUP(2,1/((HISTORIAL!$O$3:$O$328=D330&amp;"|"&amp;E330)*(HISTORIAL!$F$3:$F$328&lt;&gt;"")),HISTORIAL!$F$3:$F$328),"")</f>
        <v/>
      </c>
      <c r="H330" s="37" t="str">
        <f>IFERROR(LOOKUP(2,1/((HISTORIAL!$O$3:$O$328=D330&amp;"|"&amp;E330)*(HISTORIAL!$F$3:$F$328&lt;&gt;"")),HISTORIAL!$G$3:$G$328),"")</f>
        <v/>
      </c>
      <c r="I330" s="37" t="str">
        <f>IFERROR(LOOKUP(2,1/((HISTORIAL!$O$3:$O$328=D330&amp;"|"&amp;E330)*(HISTORIAL!$F$3:$F$328&lt;&gt;"")),HISTORIAL!$H$3:$H$328),"")</f>
        <v/>
      </c>
      <c r="J330" s="37" t="str">
        <f>IFERROR(LOOKUP(2,1/((HISTORIAL!$O$3:$O$328=D330&amp;"|"&amp;E330)*(HISTORIAL!$F$3:$F$328&lt;&gt;"")),HISTORIAL!$I$3:$I$328),"")</f>
        <v/>
      </c>
      <c r="K330" s="58" t="str">
        <f>IFERROR(IF(OR(G330="",N330="SIN"),"--",IF(N330="SUBIR_F",IF(F330="polea",IFERROR(INDEX(CONFIG!$B$25:$B$40,MATCH(G330,CONFIG!$B$25:$B$40,0)+2),IFERROR(INDEX(CONFIG!$B$25:$B$40,MATCH(G330,CONFIG!$B$25:$B$40,0)+1),G330)),G330+5),IF(OR(N330="SUBIR",N330="SUBIR_E"),IF(F330="polea",IFERROR(INDEX(CONFIG!$B$25:$B$40,MATCH(G330,CONFIG!$B$25:$B$40,0)+1),G330),G330+2.5),IF(N330="BAJAR",IF(F330="polea",IFERROR(INDEX(CONFIG!$B$25:$B$40,MAX(1,MATCH(G330,CONFIG!$B$25:$B$40,0)-1)),G330),MAX(0,G330-2.5)),G330)))),"--")</f>
        <v>--</v>
      </c>
      <c r="L330" s="59" t="str">
        <f>IFERROR(IF(N330="SIN","--",IF(N330="MANT",IF(H330="","--",H330+1),IFERROR(VLOOKUP(CONFIG!$E$2,CONFIG!$A$6:$E$8,2,0),"--"))),"--")</f>
        <v>--</v>
      </c>
      <c r="M330" s="59" t="str">
        <f>IFERROR(IF(N330="SIN","--",IF(CONFIG!$E$2="HIP",2,IF(CONFIG!$E$2="FUE",1,2))),"--")</f>
        <v>--</v>
      </c>
      <c r="N330" s="53" t="str">
        <f>IFERROR(IF(G330="","SIN",IF(O330=1,"SUBIR_E",IF(H330&lt;IFERROR(VLOOKUP(CONFIG!$E$2,CONFIG!$A$6:$E$8,2,0),6),"BAJAR",IF(H330+I330&gt;=IFERROR(VLOOKUP(CONFIG!$E$2,CONFIG!$A$6:$E$8,3,0),12),"SUBIR_F",IF(AND(H330&gt;=IFERROR(VLOOKUP(CONFIG!$E$2,CONFIG!$A$6:$E$8,2,0),6)+2,I330&gt;=2),"SUBIR",IF(I330&gt;IFERROR(VLOOKUP(CONFIG!$E$2,CONFIG!$A$6:$E$8,5,0),3),"SUBIR","MANT")))))),"SIN")</f>
        <v>SIN</v>
      </c>
      <c r="O330" s="55">
        <f>IF(COUNTIFS(HISTORIAL!$O$3:$O$328,D330&amp;"|"&amp;E330,HISTORIAL!$F$3:$F$328,"&gt;0")&lt;2,0,IF(COUNTIFS(HISTORIAL!$O$3:$O$328,D330&amp;"|"&amp;E330,HISTORIAL!$F$3:$F$328,IFERROR(LOOKUP(2,1/((HISTORIAL!$O$3:$O$328=D330&amp;"|"&amp;E330)*(HISTORIAL!$F$3:$F$328&gt;0)),HISTORIAL!$F$3:$F$328),0))&gt;=2,IF(IFERROR(LOOKUP(2,1/((HISTORIAL!$O$3:$O$328=D330&amp;"|"&amp;E330)*(HISTORIAL!$F$3:$F$328&gt;0)),HISTORIAL!$G$3:$G$328),0)&gt;0,IF(F330&gt;0,IF(G330&lt;=IFERROR(LOOKUP(2,1/((HISTORIAL!$O$3:$O$328=D330&amp;"|"&amp;E330)*(HISTORIAL!$F$3:$F$328&gt;0)),HISTORIAL!$G$3:$G$328),0),1,0),0),0),0))</f>
        <v>0</v>
      </c>
    </row>
    <row r="331" spans="1:15" ht="14.1" customHeight="1">
      <c r="A331" s="37">
        <v>6</v>
      </c>
      <c r="B331" s="37" t="s">
        <v>278</v>
      </c>
      <c r="C331" s="37">
        <v>2</v>
      </c>
      <c r="D331" s="56" t="str">
        <f>MARTES!$A$119</f>
        <v>Pulldown</v>
      </c>
      <c r="E331" s="57" t="str">
        <f>MARTES!$B$119</f>
        <v>Polea Alta Brazos Rectos Prono</v>
      </c>
      <c r="F331" s="37" t="str">
        <f>MARTES!$C$119</f>
        <v>polea</v>
      </c>
      <c r="G331" s="37" t="str">
        <f>IFERROR(LOOKUP(2,1/((HISTORIAL!$O$3:$O$329=D331&amp;"|"&amp;E331)*(HISTORIAL!$F$3:$F$329&lt;&gt;"")),HISTORIAL!$F$3:$F$329),"")</f>
        <v/>
      </c>
      <c r="H331" s="37" t="str">
        <f>IFERROR(LOOKUP(2,1/((HISTORIAL!$O$3:$O$329=D331&amp;"|"&amp;E331)*(HISTORIAL!$F$3:$F$329&lt;&gt;"")),HISTORIAL!$G$3:$G$329),"")</f>
        <v/>
      </c>
      <c r="I331" s="37" t="str">
        <f>IFERROR(LOOKUP(2,1/((HISTORIAL!$O$3:$O$329=D331&amp;"|"&amp;E331)*(HISTORIAL!$F$3:$F$329&lt;&gt;"")),HISTORIAL!$H$3:$H$329),"")</f>
        <v/>
      </c>
      <c r="J331" s="37" t="str">
        <f>IFERROR(LOOKUP(2,1/((HISTORIAL!$O$3:$O$329=D331&amp;"|"&amp;E331)*(HISTORIAL!$F$3:$F$329&lt;&gt;"")),HISTORIAL!$I$3:$I$329),"")</f>
        <v/>
      </c>
      <c r="K331" s="58" t="str">
        <f>IFERROR(IF(OR(G331="",N331="SIN"),"--",IF(N331="SUBIR_F",IF(F331="polea",IFERROR(INDEX(CONFIG!$B$25:$B$40,MATCH(G331,CONFIG!$B$25:$B$40,0)+2),IFERROR(INDEX(CONFIG!$B$25:$B$40,MATCH(G331,CONFIG!$B$25:$B$40,0)+1),G331)),G331+5),IF(OR(N331="SUBIR",N331="SUBIR_E"),IF(F331="polea",IFERROR(INDEX(CONFIG!$B$25:$B$40,MATCH(G331,CONFIG!$B$25:$B$40,0)+1),G331),G331+2.5),IF(N331="BAJAR",IF(F331="polea",IFERROR(INDEX(CONFIG!$B$25:$B$40,MAX(1,MATCH(G331,CONFIG!$B$25:$B$40,0)-1)),G331),MAX(0,G331-2.5)),G331)))),"--")</f>
        <v>--</v>
      </c>
      <c r="L331" s="59" t="str">
        <f>IFERROR(IF(N331="SIN","--",IF(N331="MANT",IF(H331="","--",H331+1),IFERROR(VLOOKUP(CONFIG!$E$2,CONFIG!$A$6:$E$8,2,0),"--"))),"--")</f>
        <v>--</v>
      </c>
      <c r="M331" s="59" t="str">
        <f>IFERROR(IF(N331="SIN","--",IF(CONFIG!$E$2="HIP",2,IF(CONFIG!$E$2="FUE",1,2))),"--")</f>
        <v>--</v>
      </c>
      <c r="N331" s="53" t="str">
        <f>IFERROR(IF(G331="","SIN",IF(O331=1,"SUBIR_E",IF(H331&lt;IFERROR(VLOOKUP(CONFIG!$E$2,CONFIG!$A$6:$E$8,2,0),6),"BAJAR",IF(H331+I331&gt;=IFERROR(VLOOKUP(CONFIG!$E$2,CONFIG!$A$6:$E$8,3,0),12),"SUBIR_F",IF(AND(H331&gt;=IFERROR(VLOOKUP(CONFIG!$E$2,CONFIG!$A$6:$E$8,2,0),6)+2,I331&gt;=2),"SUBIR",IF(I331&gt;IFERROR(VLOOKUP(CONFIG!$E$2,CONFIG!$A$6:$E$8,5,0),3),"SUBIR","MANT")))))),"SIN")</f>
        <v>SIN</v>
      </c>
      <c r="O331" s="55">
        <f>IF(COUNTIFS(HISTORIAL!$O$3:$O$329,D331&amp;"|"&amp;E331,HISTORIAL!$F$3:$F$329,"&gt;0")&lt;2,0,IF(COUNTIFS(HISTORIAL!$O$3:$O$329,D331&amp;"|"&amp;E331,HISTORIAL!$F$3:$F$329,IFERROR(LOOKUP(2,1/((HISTORIAL!$O$3:$O$329=D331&amp;"|"&amp;E331)*(HISTORIAL!$F$3:$F$329&gt;0)),HISTORIAL!$F$3:$F$329),0))&gt;=2,IF(IFERROR(LOOKUP(2,1/((HISTORIAL!$O$3:$O$329=D331&amp;"|"&amp;E331)*(HISTORIAL!$F$3:$F$329&gt;0)),HISTORIAL!$G$3:$G$329),0)&gt;0,IF(F331&gt;0,IF(G331&lt;=IFERROR(LOOKUP(2,1/((HISTORIAL!$O$3:$O$329=D331&amp;"|"&amp;E331)*(HISTORIAL!$F$3:$F$329&gt;0)),HISTORIAL!$G$3:$G$329),0),1,0),0),0),0))</f>
        <v>0</v>
      </c>
    </row>
    <row r="332" spans="1:15" ht="14.1" customHeight="1">
      <c r="A332" s="37">
        <v>6</v>
      </c>
      <c r="B332" s="37" t="s">
        <v>278</v>
      </c>
      <c r="C332" s="37">
        <v>3</v>
      </c>
      <c r="D332" s="56" t="str">
        <f>MARTES!$A$121</f>
        <v>Remo</v>
      </c>
      <c r="E332" s="57" t="str">
        <f>MARTES!$B$121</f>
        <v>Maquina Hammer Neutro Unilateral</v>
      </c>
      <c r="F332" s="37" t="str">
        <f>MARTES!$C$121</f>
        <v>polea</v>
      </c>
      <c r="G332" s="37" t="str">
        <f>IFERROR(LOOKUP(2,1/((HISTORIAL!$O$3:$O$330=D332&amp;"|"&amp;E332)*(HISTORIAL!$F$3:$F$330&lt;&gt;"")),HISTORIAL!$F$3:$F$330),"")</f>
        <v/>
      </c>
      <c r="H332" s="37" t="str">
        <f>IFERROR(LOOKUP(2,1/((HISTORIAL!$O$3:$O$330=D332&amp;"|"&amp;E332)*(HISTORIAL!$F$3:$F$330&lt;&gt;"")),HISTORIAL!$G$3:$G$330),"")</f>
        <v/>
      </c>
      <c r="I332" s="37" t="str">
        <f>IFERROR(LOOKUP(2,1/((HISTORIAL!$O$3:$O$330=D332&amp;"|"&amp;E332)*(HISTORIAL!$F$3:$F$330&lt;&gt;"")),HISTORIAL!$H$3:$H$330),"")</f>
        <v/>
      </c>
      <c r="J332" s="37" t="str">
        <f>IFERROR(LOOKUP(2,1/((HISTORIAL!$O$3:$O$330=D332&amp;"|"&amp;E332)*(HISTORIAL!$F$3:$F$330&lt;&gt;"")),HISTORIAL!$I$3:$I$330),"")</f>
        <v/>
      </c>
      <c r="K332" s="58" t="str">
        <f>IFERROR(IF(OR(G332="",N332="SIN"),"--",IF(N332="SUBIR_F",IF(F332="polea",IFERROR(INDEX(CONFIG!$B$25:$B$40,MATCH(G332,CONFIG!$B$25:$B$40,0)+2),IFERROR(INDEX(CONFIG!$B$25:$B$40,MATCH(G332,CONFIG!$B$25:$B$40,0)+1),G332)),G332+5),IF(OR(N332="SUBIR",N332="SUBIR_E"),IF(F332="polea",IFERROR(INDEX(CONFIG!$B$25:$B$40,MATCH(G332,CONFIG!$B$25:$B$40,0)+1),G332),G332+2.5),IF(N332="BAJAR",IF(F332="polea",IFERROR(INDEX(CONFIG!$B$25:$B$40,MAX(1,MATCH(G332,CONFIG!$B$25:$B$40,0)-1)),G332),MAX(0,G332-2.5)),G332)))),"--")</f>
        <v>--</v>
      </c>
      <c r="L332" s="59" t="str">
        <f>IFERROR(IF(N332="SIN","--",IF(N332="MANT",IF(H332="","--",H332+1),IFERROR(VLOOKUP(CONFIG!$E$2,CONFIG!$A$6:$E$8,2,0),"--"))),"--")</f>
        <v>--</v>
      </c>
      <c r="M332" s="59" t="str">
        <f>IFERROR(IF(N332="SIN","--",IF(CONFIG!$E$2="HIP",2,IF(CONFIG!$E$2="FUE",1,2))),"--")</f>
        <v>--</v>
      </c>
      <c r="N332" s="53" t="str">
        <f>IFERROR(IF(G332="","SIN",IF(O332=1,"SUBIR_E",IF(H332&lt;IFERROR(VLOOKUP(CONFIG!$E$2,CONFIG!$A$6:$E$8,2,0),6),"BAJAR",IF(H332+I332&gt;=IFERROR(VLOOKUP(CONFIG!$E$2,CONFIG!$A$6:$E$8,3,0),12),"SUBIR_F",IF(AND(H332&gt;=IFERROR(VLOOKUP(CONFIG!$E$2,CONFIG!$A$6:$E$8,2,0),6)+2,I332&gt;=2),"SUBIR",IF(I332&gt;IFERROR(VLOOKUP(CONFIG!$E$2,CONFIG!$A$6:$E$8,5,0),3),"SUBIR","MANT")))))),"SIN")</f>
        <v>SIN</v>
      </c>
      <c r="O332" s="55">
        <f>IF(COUNTIFS(HISTORIAL!$O$3:$O$330,D332&amp;"|"&amp;E332,HISTORIAL!$F$3:$F$330,"&gt;0")&lt;2,0,IF(COUNTIFS(HISTORIAL!$O$3:$O$330,D332&amp;"|"&amp;E332,HISTORIAL!$F$3:$F$330,IFERROR(LOOKUP(2,1/((HISTORIAL!$O$3:$O$330=D332&amp;"|"&amp;E332)*(HISTORIAL!$F$3:$F$330&gt;0)),HISTORIAL!$F$3:$F$330),0))&gt;=2,IF(IFERROR(LOOKUP(2,1/((HISTORIAL!$O$3:$O$330=D332&amp;"|"&amp;E332)*(HISTORIAL!$F$3:$F$330&gt;0)),HISTORIAL!$G$3:$G$330),0)&gt;0,IF(F332&gt;0,IF(G332&lt;=IFERROR(LOOKUP(2,1/((HISTORIAL!$O$3:$O$330=D332&amp;"|"&amp;E332)*(HISTORIAL!$F$3:$F$330&gt;0)),HISTORIAL!$G$3:$G$330),0),1,0),0),0),0))</f>
        <v>0</v>
      </c>
    </row>
    <row r="333" spans="1:15" ht="14.1" customHeight="1">
      <c r="A333" s="37">
        <v>6</v>
      </c>
      <c r="B333" s="37" t="s">
        <v>278</v>
      </c>
      <c r="C333" s="37">
        <v>4</v>
      </c>
      <c r="D333" s="56" t="str">
        <f>MARTES!$A$122</f>
        <v>Remo</v>
      </c>
      <c r="E333" s="57" t="str">
        <f>MARTES!$B$122</f>
        <v>Maquina Prono</v>
      </c>
      <c r="F333" s="37" t="str">
        <f>MARTES!$C$122</f>
        <v>polea</v>
      </c>
      <c r="G333" s="37" t="str">
        <f>IFERROR(LOOKUP(2,1/((HISTORIAL!$O$3:$O$331=D333&amp;"|"&amp;E333)*(HISTORIAL!$F$3:$F$331&lt;&gt;"")),HISTORIAL!$F$3:$F$331),"")</f>
        <v/>
      </c>
      <c r="H333" s="37" t="str">
        <f>IFERROR(LOOKUP(2,1/((HISTORIAL!$O$3:$O$331=D333&amp;"|"&amp;E333)*(HISTORIAL!$F$3:$F$331&lt;&gt;"")),HISTORIAL!$G$3:$G$331),"")</f>
        <v/>
      </c>
      <c r="I333" s="37" t="str">
        <f>IFERROR(LOOKUP(2,1/((HISTORIAL!$O$3:$O$331=D333&amp;"|"&amp;E333)*(HISTORIAL!$F$3:$F$331&lt;&gt;"")),HISTORIAL!$H$3:$H$331),"")</f>
        <v/>
      </c>
      <c r="J333" s="37" t="str">
        <f>IFERROR(LOOKUP(2,1/((HISTORIAL!$O$3:$O$331=D333&amp;"|"&amp;E333)*(HISTORIAL!$F$3:$F$331&lt;&gt;"")),HISTORIAL!$I$3:$I$331),"")</f>
        <v/>
      </c>
      <c r="K333" s="58" t="str">
        <f>IFERROR(IF(OR(G333="",N333="SIN"),"--",IF(N333="SUBIR_F",IF(F333="polea",IFERROR(INDEX(CONFIG!$B$25:$B$40,MATCH(G333,CONFIG!$B$25:$B$40,0)+2),IFERROR(INDEX(CONFIG!$B$25:$B$40,MATCH(G333,CONFIG!$B$25:$B$40,0)+1),G333)),G333+5),IF(OR(N333="SUBIR",N333="SUBIR_E"),IF(F333="polea",IFERROR(INDEX(CONFIG!$B$25:$B$40,MATCH(G333,CONFIG!$B$25:$B$40,0)+1),G333),G333+2.5),IF(N333="BAJAR",IF(F333="polea",IFERROR(INDEX(CONFIG!$B$25:$B$40,MAX(1,MATCH(G333,CONFIG!$B$25:$B$40,0)-1)),G333),MAX(0,G333-2.5)),G333)))),"--")</f>
        <v>--</v>
      </c>
      <c r="L333" s="59" t="str">
        <f>IFERROR(IF(N333="SIN","--",IF(N333="MANT",IF(H333="","--",H333+1),IFERROR(VLOOKUP(CONFIG!$E$2,CONFIG!$A$6:$E$8,2,0),"--"))),"--")</f>
        <v>--</v>
      </c>
      <c r="M333" s="59" t="str">
        <f>IFERROR(IF(N333="SIN","--",IF(CONFIG!$E$2="HIP",2,IF(CONFIG!$E$2="FUE",1,2))),"--")</f>
        <v>--</v>
      </c>
      <c r="N333" s="53" t="str">
        <f>IFERROR(IF(G333="","SIN",IF(O333=1,"SUBIR_E",IF(H333&lt;IFERROR(VLOOKUP(CONFIG!$E$2,CONFIG!$A$6:$E$8,2,0),6),"BAJAR",IF(H333+I333&gt;=IFERROR(VLOOKUP(CONFIG!$E$2,CONFIG!$A$6:$E$8,3,0),12),"SUBIR_F",IF(AND(H333&gt;=IFERROR(VLOOKUP(CONFIG!$E$2,CONFIG!$A$6:$E$8,2,0),6)+2,I333&gt;=2),"SUBIR",IF(I333&gt;IFERROR(VLOOKUP(CONFIG!$E$2,CONFIG!$A$6:$E$8,5,0),3),"SUBIR","MANT")))))),"SIN")</f>
        <v>SIN</v>
      </c>
      <c r="O333" s="55">
        <f>IF(COUNTIFS(HISTORIAL!$O$3:$O$331,D333&amp;"|"&amp;E333,HISTORIAL!$F$3:$F$331,"&gt;0")&lt;2,0,IF(COUNTIFS(HISTORIAL!$O$3:$O$331,D333&amp;"|"&amp;E333,HISTORIAL!$F$3:$F$331,IFERROR(LOOKUP(2,1/((HISTORIAL!$O$3:$O$331=D333&amp;"|"&amp;E333)*(HISTORIAL!$F$3:$F$331&gt;0)),HISTORIAL!$F$3:$F$331),0))&gt;=2,IF(IFERROR(LOOKUP(2,1/((HISTORIAL!$O$3:$O$331=D333&amp;"|"&amp;E333)*(HISTORIAL!$F$3:$F$331&gt;0)),HISTORIAL!$G$3:$G$331),0)&gt;0,IF(F333&gt;0,IF(G333&lt;=IFERROR(LOOKUP(2,1/((HISTORIAL!$O$3:$O$331=D333&amp;"|"&amp;E333)*(HISTORIAL!$F$3:$F$331&gt;0)),HISTORIAL!$G$3:$G$331),0),1,0),0),0),0))</f>
        <v>0</v>
      </c>
    </row>
    <row r="334" spans="1:15" ht="14.1" customHeight="1">
      <c r="A334" s="37">
        <v>6</v>
      </c>
      <c r="B334" s="37" t="s">
        <v>278</v>
      </c>
      <c r="C334" s="37">
        <v>5</v>
      </c>
      <c r="D334" s="56" t="str">
        <f>MARTES!$A$124</f>
        <v>Curl Biceps</v>
      </c>
      <c r="E334" s="57" t="str">
        <f>MARTES!$B$124</f>
        <v>Inclinado Banco Mancuernas</v>
      </c>
      <c r="F334" s="37" t="str">
        <f>MARTES!$C$124</f>
        <v>mancuerna</v>
      </c>
      <c r="G334" s="37" t="str">
        <f>IFERROR(LOOKUP(2,1/((HISTORIAL!$O$3:$O$332=D334&amp;"|"&amp;E334)*(HISTORIAL!$F$3:$F$332&lt;&gt;"")),HISTORIAL!$F$3:$F$332),"")</f>
        <v/>
      </c>
      <c r="H334" s="37" t="str">
        <f>IFERROR(LOOKUP(2,1/((HISTORIAL!$O$3:$O$332=D334&amp;"|"&amp;E334)*(HISTORIAL!$F$3:$F$332&lt;&gt;"")),HISTORIAL!$G$3:$G$332),"")</f>
        <v/>
      </c>
      <c r="I334" s="37" t="str">
        <f>IFERROR(LOOKUP(2,1/((HISTORIAL!$O$3:$O$332=D334&amp;"|"&amp;E334)*(HISTORIAL!$F$3:$F$332&lt;&gt;"")),HISTORIAL!$H$3:$H$332),"")</f>
        <v/>
      </c>
      <c r="J334" s="37" t="str">
        <f>IFERROR(LOOKUP(2,1/((HISTORIAL!$O$3:$O$332=D334&amp;"|"&amp;E334)*(HISTORIAL!$F$3:$F$332&lt;&gt;"")),HISTORIAL!$I$3:$I$332),"")</f>
        <v/>
      </c>
      <c r="K334" s="58" t="str">
        <f>IFERROR(IF(OR(G334="",N334="SIN"),"--",IF(N334="SUBIR_F",IF(F334="polea",IFERROR(INDEX(CONFIG!$B$25:$B$40,MATCH(G334,CONFIG!$B$25:$B$40,0)+2),IFERROR(INDEX(CONFIG!$B$25:$B$40,MATCH(G334,CONFIG!$B$25:$B$40,0)+1),G334)),G334+5),IF(OR(N334="SUBIR",N334="SUBIR_E"),IF(F334="polea",IFERROR(INDEX(CONFIG!$B$25:$B$40,MATCH(G334,CONFIG!$B$25:$B$40,0)+1),G334),G334+2.5),IF(N334="BAJAR",IF(F334="polea",IFERROR(INDEX(CONFIG!$B$25:$B$40,MAX(1,MATCH(G334,CONFIG!$B$25:$B$40,0)-1)),G334),MAX(0,G334-2.5)),G334)))),"--")</f>
        <v>--</v>
      </c>
      <c r="L334" s="59" t="str">
        <f>IFERROR(IF(N334="SIN","--",IF(N334="MANT",IF(H334="","--",H334+1),IFERROR(VLOOKUP(CONFIG!$E$2,CONFIG!$A$6:$E$8,2,0),"--"))),"--")</f>
        <v>--</v>
      </c>
      <c r="M334" s="59" t="str">
        <f>IFERROR(IF(N334="SIN","--",IF(CONFIG!$E$2="HIP",2,IF(CONFIG!$E$2="FUE",1,2))),"--")</f>
        <v>--</v>
      </c>
      <c r="N334" s="53" t="str">
        <f>IFERROR(IF(G334="","SIN",IF(O334=1,"SUBIR_E",IF(H334&lt;IFERROR(VLOOKUP(CONFIG!$E$2,CONFIG!$A$6:$E$8,2,0),6),"BAJAR",IF(H334+I334&gt;=IFERROR(VLOOKUP(CONFIG!$E$2,CONFIG!$A$6:$E$8,3,0),12),"SUBIR_F",IF(AND(H334&gt;=IFERROR(VLOOKUP(CONFIG!$E$2,CONFIG!$A$6:$E$8,2,0),6)+2,I334&gt;=2),"SUBIR",IF(I334&gt;IFERROR(VLOOKUP(CONFIG!$E$2,CONFIG!$A$6:$E$8,5,0),3),"SUBIR","MANT")))))),"SIN")</f>
        <v>SIN</v>
      </c>
      <c r="O334" s="55">
        <f>IF(COUNTIFS(HISTORIAL!$O$3:$O$332,D334&amp;"|"&amp;E334,HISTORIAL!$F$3:$F$332,"&gt;0")&lt;2,0,IF(COUNTIFS(HISTORIAL!$O$3:$O$332,D334&amp;"|"&amp;E334,HISTORIAL!$F$3:$F$332,IFERROR(LOOKUP(2,1/((HISTORIAL!$O$3:$O$332=D334&amp;"|"&amp;E334)*(HISTORIAL!$F$3:$F$332&gt;0)),HISTORIAL!$F$3:$F$332),0))&gt;=2,IF(IFERROR(LOOKUP(2,1/((HISTORIAL!$O$3:$O$332=D334&amp;"|"&amp;E334)*(HISTORIAL!$F$3:$F$332&gt;0)),HISTORIAL!$G$3:$G$332),0)&gt;0,IF(F334&gt;0,IF(G334&lt;=IFERROR(LOOKUP(2,1/((HISTORIAL!$O$3:$O$332=D334&amp;"|"&amp;E334)*(HISTORIAL!$F$3:$F$332&gt;0)),HISTORIAL!$G$3:$G$332),0),1,0),0),0),0))</f>
        <v>0</v>
      </c>
    </row>
    <row r="335" spans="1:15" ht="14.1" customHeight="1">
      <c r="A335" s="37">
        <v>6</v>
      </c>
      <c r="B335" s="37" t="s">
        <v>278</v>
      </c>
      <c r="C335" s="37">
        <v>6</v>
      </c>
      <c r="D335" s="56" t="str">
        <f>MARTES!$A$125</f>
        <v>Curl Biceps</v>
      </c>
      <c r="E335" s="57" t="str">
        <f>MARTES!$B$125</f>
        <v>Polea Baja Supino</v>
      </c>
      <c r="F335" s="37" t="str">
        <f>MARTES!$C$125</f>
        <v>polea</v>
      </c>
      <c r="G335" s="37" t="str">
        <f>IFERROR(LOOKUP(2,1/((HISTORIAL!$O$3:$O$333=D335&amp;"|"&amp;E335)*(HISTORIAL!$F$3:$F$333&lt;&gt;"")),HISTORIAL!$F$3:$F$333),"")</f>
        <v/>
      </c>
      <c r="H335" s="37" t="str">
        <f>IFERROR(LOOKUP(2,1/((HISTORIAL!$O$3:$O$333=D335&amp;"|"&amp;E335)*(HISTORIAL!$F$3:$F$333&lt;&gt;"")),HISTORIAL!$G$3:$G$333),"")</f>
        <v/>
      </c>
      <c r="I335" s="37" t="str">
        <f>IFERROR(LOOKUP(2,1/((HISTORIAL!$O$3:$O$333=D335&amp;"|"&amp;E335)*(HISTORIAL!$F$3:$F$333&lt;&gt;"")),HISTORIAL!$H$3:$H$333),"")</f>
        <v/>
      </c>
      <c r="J335" s="37" t="str">
        <f>IFERROR(LOOKUP(2,1/((HISTORIAL!$O$3:$O$333=D335&amp;"|"&amp;E335)*(HISTORIAL!$F$3:$F$333&lt;&gt;"")),HISTORIAL!$I$3:$I$333),"")</f>
        <v/>
      </c>
      <c r="K335" s="58" t="str">
        <f>IFERROR(IF(OR(G335="",N335="SIN"),"--",IF(N335="SUBIR_F",IF(F335="polea",IFERROR(INDEX(CONFIG!$B$25:$B$40,MATCH(G335,CONFIG!$B$25:$B$40,0)+2),IFERROR(INDEX(CONFIG!$B$25:$B$40,MATCH(G335,CONFIG!$B$25:$B$40,0)+1),G335)),G335+5),IF(OR(N335="SUBIR",N335="SUBIR_E"),IF(F335="polea",IFERROR(INDEX(CONFIG!$B$25:$B$40,MATCH(G335,CONFIG!$B$25:$B$40,0)+1),G335),G335+2.5),IF(N335="BAJAR",IF(F335="polea",IFERROR(INDEX(CONFIG!$B$25:$B$40,MAX(1,MATCH(G335,CONFIG!$B$25:$B$40,0)-1)),G335),MAX(0,G335-2.5)),G335)))),"--")</f>
        <v>--</v>
      </c>
      <c r="L335" s="59" t="str">
        <f>IFERROR(IF(N335="SIN","--",IF(N335="MANT",IF(H335="","--",H335+1),IFERROR(VLOOKUP(CONFIG!$E$2,CONFIG!$A$6:$E$8,2,0),"--"))),"--")</f>
        <v>--</v>
      </c>
      <c r="M335" s="59" t="str">
        <f>IFERROR(IF(N335="SIN","--",IF(CONFIG!$E$2="HIP",2,IF(CONFIG!$E$2="FUE",1,2))),"--")</f>
        <v>--</v>
      </c>
      <c r="N335" s="53" t="str">
        <f>IFERROR(IF(G335="","SIN",IF(O335=1,"SUBIR_E",IF(H335&lt;IFERROR(VLOOKUP(CONFIG!$E$2,CONFIG!$A$6:$E$8,2,0),6),"BAJAR",IF(H335+I335&gt;=IFERROR(VLOOKUP(CONFIG!$E$2,CONFIG!$A$6:$E$8,3,0),12),"SUBIR_F",IF(AND(H335&gt;=IFERROR(VLOOKUP(CONFIG!$E$2,CONFIG!$A$6:$E$8,2,0),6)+2,I335&gt;=2),"SUBIR",IF(I335&gt;IFERROR(VLOOKUP(CONFIG!$E$2,CONFIG!$A$6:$E$8,5,0),3),"SUBIR","MANT")))))),"SIN")</f>
        <v>SIN</v>
      </c>
      <c r="O335" s="55">
        <f>IF(COUNTIFS(HISTORIAL!$O$3:$O$333,D335&amp;"|"&amp;E335,HISTORIAL!$F$3:$F$333,"&gt;0")&lt;2,0,IF(COUNTIFS(HISTORIAL!$O$3:$O$333,D335&amp;"|"&amp;E335,HISTORIAL!$F$3:$F$333,IFERROR(LOOKUP(2,1/((HISTORIAL!$O$3:$O$333=D335&amp;"|"&amp;E335)*(HISTORIAL!$F$3:$F$333&gt;0)),HISTORIAL!$F$3:$F$333),0))&gt;=2,IF(IFERROR(LOOKUP(2,1/((HISTORIAL!$O$3:$O$333=D335&amp;"|"&amp;E335)*(HISTORIAL!$F$3:$F$333&gt;0)),HISTORIAL!$G$3:$G$333),0)&gt;0,IF(F335&gt;0,IF(G335&lt;=IFERROR(LOOKUP(2,1/((HISTORIAL!$O$3:$O$333=D335&amp;"|"&amp;E335)*(HISTORIAL!$F$3:$F$333&gt;0)),HISTORIAL!$G$3:$G$333),0),1,0),0),0),0))</f>
        <v>0</v>
      </c>
    </row>
    <row r="336" spans="1:15" ht="14.1" customHeight="1">
      <c r="A336" s="37">
        <v>6</v>
      </c>
      <c r="B336" s="37" t="s">
        <v>278</v>
      </c>
      <c r="C336" s="37">
        <v>7</v>
      </c>
      <c r="D336" s="56" t="str">
        <f>MARTES!$A$127</f>
        <v>Curl Muneca</v>
      </c>
      <c r="E336" s="57" t="str">
        <f>MARTES!$B$127</f>
        <v>Supinado</v>
      </c>
      <c r="F336" s="37" t="str">
        <f>MARTES!$C$127</f>
        <v>mancuerna</v>
      </c>
      <c r="G336" s="37" t="str">
        <f>IFERROR(LOOKUP(2,1/((HISTORIAL!$O$3:$O$334=D336&amp;"|"&amp;E336)*(HISTORIAL!$F$3:$F$334&lt;&gt;"")),HISTORIAL!$F$3:$F$334),"")</f>
        <v/>
      </c>
      <c r="H336" s="37" t="str">
        <f>IFERROR(LOOKUP(2,1/((HISTORIAL!$O$3:$O$334=D336&amp;"|"&amp;E336)*(HISTORIAL!$F$3:$F$334&lt;&gt;"")),HISTORIAL!$G$3:$G$334),"")</f>
        <v/>
      </c>
      <c r="I336" s="37" t="str">
        <f>IFERROR(LOOKUP(2,1/((HISTORIAL!$O$3:$O$334=D336&amp;"|"&amp;E336)*(HISTORIAL!$F$3:$F$334&lt;&gt;"")),HISTORIAL!$H$3:$H$334),"")</f>
        <v/>
      </c>
      <c r="J336" s="37" t="str">
        <f>IFERROR(LOOKUP(2,1/((HISTORIAL!$O$3:$O$334=D336&amp;"|"&amp;E336)*(HISTORIAL!$F$3:$F$334&lt;&gt;"")),HISTORIAL!$I$3:$I$334),"")</f>
        <v/>
      </c>
      <c r="K336" s="58" t="str">
        <f>IFERROR(IF(OR(G336="",N336="SIN"),"--",IF(N336="SUBIR_F",IF(F336="polea",IFERROR(INDEX(CONFIG!$B$25:$B$40,MATCH(G336,CONFIG!$B$25:$B$40,0)+2),IFERROR(INDEX(CONFIG!$B$25:$B$40,MATCH(G336,CONFIG!$B$25:$B$40,0)+1),G336)),G336+5),IF(OR(N336="SUBIR",N336="SUBIR_E"),IF(F336="polea",IFERROR(INDEX(CONFIG!$B$25:$B$40,MATCH(G336,CONFIG!$B$25:$B$40,0)+1),G336),G336+2.5),IF(N336="BAJAR",IF(F336="polea",IFERROR(INDEX(CONFIG!$B$25:$B$40,MAX(1,MATCH(G336,CONFIG!$B$25:$B$40,0)-1)),G336),MAX(0,G336-2.5)),G336)))),"--")</f>
        <v>--</v>
      </c>
      <c r="L336" s="59" t="str">
        <f>IFERROR(IF(N336="SIN","--",IF(N336="MANT",IF(H336="","--",H336+1),IFERROR(VLOOKUP(CONFIG!$E$2,CONFIG!$A$6:$E$8,2,0),"--"))),"--")</f>
        <v>--</v>
      </c>
      <c r="M336" s="59" t="str">
        <f>IFERROR(IF(N336="SIN","--",IF(CONFIG!$E$2="HIP",2,IF(CONFIG!$E$2="FUE",1,2))),"--")</f>
        <v>--</v>
      </c>
      <c r="N336" s="53" t="str">
        <f>IFERROR(IF(G336="","SIN",IF(O336=1,"SUBIR_E",IF(H336&lt;IFERROR(VLOOKUP(CONFIG!$E$2,CONFIG!$A$6:$E$8,2,0),6),"BAJAR",IF(H336+I336&gt;=IFERROR(VLOOKUP(CONFIG!$E$2,CONFIG!$A$6:$E$8,3,0),12),"SUBIR_F",IF(AND(H336&gt;=IFERROR(VLOOKUP(CONFIG!$E$2,CONFIG!$A$6:$E$8,2,0),6)+2,I336&gt;=2),"SUBIR",IF(I336&gt;IFERROR(VLOOKUP(CONFIG!$E$2,CONFIG!$A$6:$E$8,5,0),3),"SUBIR","MANT")))))),"SIN")</f>
        <v>SIN</v>
      </c>
      <c r="O336" s="55">
        <f>IF(COUNTIFS(HISTORIAL!$O$3:$O$334,D336&amp;"|"&amp;E336,HISTORIAL!$F$3:$F$334,"&gt;0")&lt;2,0,IF(COUNTIFS(HISTORIAL!$O$3:$O$334,D336&amp;"|"&amp;E336,HISTORIAL!$F$3:$F$334,IFERROR(LOOKUP(2,1/((HISTORIAL!$O$3:$O$334=D336&amp;"|"&amp;E336)*(HISTORIAL!$F$3:$F$334&gt;0)),HISTORIAL!$F$3:$F$334),0))&gt;=2,IF(IFERROR(LOOKUP(2,1/((HISTORIAL!$O$3:$O$334=D336&amp;"|"&amp;E336)*(HISTORIAL!$F$3:$F$334&gt;0)),HISTORIAL!$G$3:$G$334),0)&gt;0,IF(F336&gt;0,IF(G336&lt;=IFERROR(LOOKUP(2,1/((HISTORIAL!$O$3:$O$334=D336&amp;"|"&amp;E336)*(HISTORIAL!$F$3:$F$334&gt;0)),HISTORIAL!$G$3:$G$334),0),1,0),0),0),0))</f>
        <v>0</v>
      </c>
    </row>
    <row r="337" spans="1:15" ht="14.1" customHeight="1">
      <c r="A337" s="37">
        <v>6</v>
      </c>
      <c r="B337" s="37" t="s">
        <v>278</v>
      </c>
      <c r="C337" s="37">
        <v>8</v>
      </c>
      <c r="D337" s="56" t="str">
        <f>MARTES!$A$128</f>
        <v>Curl Muneca</v>
      </c>
      <c r="E337" s="57" t="str">
        <f>MARTES!$B$128</f>
        <v>Pronado</v>
      </c>
      <c r="F337" s="37" t="str">
        <f>MARTES!$C$128</f>
        <v>mancuerna</v>
      </c>
      <c r="G337" s="37" t="str">
        <f>IFERROR(LOOKUP(2,1/((HISTORIAL!$O$3:$O$335=D337&amp;"|"&amp;E337)*(HISTORIAL!$F$3:$F$335&lt;&gt;"")),HISTORIAL!$F$3:$F$335),"")</f>
        <v/>
      </c>
      <c r="H337" s="37" t="str">
        <f>IFERROR(LOOKUP(2,1/((HISTORIAL!$O$3:$O$335=D337&amp;"|"&amp;E337)*(HISTORIAL!$F$3:$F$335&lt;&gt;"")),HISTORIAL!$G$3:$G$335),"")</f>
        <v/>
      </c>
      <c r="I337" s="37" t="str">
        <f>IFERROR(LOOKUP(2,1/((HISTORIAL!$O$3:$O$335=D337&amp;"|"&amp;E337)*(HISTORIAL!$F$3:$F$335&lt;&gt;"")),HISTORIAL!$H$3:$H$335),"")</f>
        <v/>
      </c>
      <c r="J337" s="37" t="str">
        <f>IFERROR(LOOKUP(2,1/((HISTORIAL!$O$3:$O$335=D337&amp;"|"&amp;E337)*(HISTORIAL!$F$3:$F$335&lt;&gt;"")),HISTORIAL!$I$3:$I$335),"")</f>
        <v/>
      </c>
      <c r="K337" s="58" t="str">
        <f>IFERROR(IF(OR(G337="",N337="SIN"),"--",IF(N337="SUBIR_F",IF(F337="polea",IFERROR(INDEX(CONFIG!$B$25:$B$40,MATCH(G337,CONFIG!$B$25:$B$40,0)+2),IFERROR(INDEX(CONFIG!$B$25:$B$40,MATCH(G337,CONFIG!$B$25:$B$40,0)+1),G337)),G337+5),IF(OR(N337="SUBIR",N337="SUBIR_E"),IF(F337="polea",IFERROR(INDEX(CONFIG!$B$25:$B$40,MATCH(G337,CONFIG!$B$25:$B$40,0)+1),G337),G337+2.5),IF(N337="BAJAR",IF(F337="polea",IFERROR(INDEX(CONFIG!$B$25:$B$40,MAX(1,MATCH(G337,CONFIG!$B$25:$B$40,0)-1)),G337),MAX(0,G337-2.5)),G337)))),"--")</f>
        <v>--</v>
      </c>
      <c r="L337" s="59" t="str">
        <f>IFERROR(IF(N337="SIN","--",IF(N337="MANT",IF(H337="","--",H337+1),IFERROR(VLOOKUP(CONFIG!$E$2,CONFIG!$A$6:$E$8,2,0),"--"))),"--")</f>
        <v>--</v>
      </c>
      <c r="M337" s="59" t="str">
        <f>IFERROR(IF(N337="SIN","--",IF(CONFIG!$E$2="HIP",2,IF(CONFIG!$E$2="FUE",1,2))),"--")</f>
        <v>--</v>
      </c>
      <c r="N337" s="53" t="str">
        <f>IFERROR(IF(G337="","SIN",IF(O337=1,"SUBIR_E",IF(H337&lt;IFERROR(VLOOKUP(CONFIG!$E$2,CONFIG!$A$6:$E$8,2,0),6),"BAJAR",IF(H337+I337&gt;=IFERROR(VLOOKUP(CONFIG!$E$2,CONFIG!$A$6:$E$8,3,0),12),"SUBIR_F",IF(AND(H337&gt;=IFERROR(VLOOKUP(CONFIG!$E$2,CONFIG!$A$6:$E$8,2,0),6)+2,I337&gt;=2),"SUBIR",IF(I337&gt;IFERROR(VLOOKUP(CONFIG!$E$2,CONFIG!$A$6:$E$8,5,0),3),"SUBIR","MANT")))))),"SIN")</f>
        <v>SIN</v>
      </c>
      <c r="O337" s="55">
        <f>IF(COUNTIFS(HISTORIAL!$O$3:$O$335,D337&amp;"|"&amp;E337,HISTORIAL!$F$3:$F$335,"&gt;0")&lt;2,0,IF(COUNTIFS(HISTORIAL!$O$3:$O$335,D337&amp;"|"&amp;E337,HISTORIAL!$F$3:$F$335,IFERROR(LOOKUP(2,1/((HISTORIAL!$O$3:$O$335=D337&amp;"|"&amp;E337)*(HISTORIAL!$F$3:$F$335&gt;0)),HISTORIAL!$F$3:$F$335),0))&gt;=2,IF(IFERROR(LOOKUP(2,1/((HISTORIAL!$O$3:$O$335=D337&amp;"|"&amp;E337)*(HISTORIAL!$F$3:$F$335&gt;0)),HISTORIAL!$G$3:$G$335),0)&gt;0,IF(F337&gt;0,IF(G337&lt;=IFERROR(LOOKUP(2,1/((HISTORIAL!$O$3:$O$335=D337&amp;"|"&amp;E337)*(HISTORIAL!$F$3:$F$335&gt;0)),HISTORIAL!$G$3:$G$335),0),1,0),0),0),0))</f>
        <v>0</v>
      </c>
    </row>
    <row r="338" spans="1:15" ht="14.1" customHeight="1">
      <c r="A338" s="37">
        <v>6</v>
      </c>
      <c r="B338" s="37" t="s">
        <v>278</v>
      </c>
      <c r="C338" s="37">
        <v>9</v>
      </c>
      <c r="D338" s="56" t="str">
        <f>MARTES!$A$130</f>
        <v>Farmer Carry</v>
      </c>
      <c r="E338" s="57" t="str">
        <f>MARTES!$B$130</f>
        <v>Libre</v>
      </c>
      <c r="F338" s="37" t="str">
        <f>MARTES!$C$130</f>
        <v>mancuerna</v>
      </c>
      <c r="G338" s="37" t="str">
        <f>IFERROR(LOOKUP(2,1/((HISTORIAL!$O$3:$O$336=D338&amp;"|"&amp;E338)*(HISTORIAL!$F$3:$F$336&lt;&gt;"")),HISTORIAL!$F$3:$F$336),"")</f>
        <v/>
      </c>
      <c r="H338" s="37" t="str">
        <f>IFERROR(LOOKUP(2,1/((HISTORIAL!$O$3:$O$336=D338&amp;"|"&amp;E338)*(HISTORIAL!$F$3:$F$336&lt;&gt;"")),HISTORIAL!$G$3:$G$336),"")</f>
        <v/>
      </c>
      <c r="I338" s="37" t="str">
        <f>IFERROR(LOOKUP(2,1/((HISTORIAL!$O$3:$O$336=D338&amp;"|"&amp;E338)*(HISTORIAL!$F$3:$F$336&lt;&gt;"")),HISTORIAL!$H$3:$H$336),"")</f>
        <v/>
      </c>
      <c r="J338" s="37" t="str">
        <f>IFERROR(LOOKUP(2,1/((HISTORIAL!$O$3:$O$336=D338&amp;"|"&amp;E338)*(HISTORIAL!$F$3:$F$336&lt;&gt;"")),HISTORIAL!$I$3:$I$336),"")</f>
        <v/>
      </c>
      <c r="K338" s="58" t="str">
        <f>IFERROR(IF(OR(G338="",N338="SIN"),"--",IF(N338="SUBIR_F",IF(F338="polea",IFERROR(INDEX(CONFIG!$B$25:$B$40,MATCH(G338,CONFIG!$B$25:$B$40,0)+2),IFERROR(INDEX(CONFIG!$B$25:$B$40,MATCH(G338,CONFIG!$B$25:$B$40,0)+1),G338)),G338+5),IF(OR(N338="SUBIR",N338="SUBIR_E"),IF(F338="polea",IFERROR(INDEX(CONFIG!$B$25:$B$40,MATCH(G338,CONFIG!$B$25:$B$40,0)+1),G338),G338+2.5),IF(N338="BAJAR",IF(F338="polea",IFERROR(INDEX(CONFIG!$B$25:$B$40,MAX(1,MATCH(G338,CONFIG!$B$25:$B$40,0)-1)),G338),MAX(0,G338-2.5)),G338)))),"--")</f>
        <v>--</v>
      </c>
      <c r="L338" s="59" t="str">
        <f>IFERROR(IF(N338="SIN","--",IF(N338="MANT",IF(H338="","--",H338+1),IFERROR(VLOOKUP(CONFIG!$E$2,CONFIG!$A$6:$E$8,2,0),"--"))),"--")</f>
        <v>--</v>
      </c>
      <c r="M338" s="59" t="str">
        <f>IFERROR(IF(N338="SIN","--",IF(CONFIG!$E$2="HIP",2,IF(CONFIG!$E$2="FUE",1,2))),"--")</f>
        <v>--</v>
      </c>
      <c r="N338" s="53" t="str">
        <f>IFERROR(IF(G338="","SIN",IF(O338=1,"SUBIR_E",IF(H338&lt;IFERROR(VLOOKUP(CONFIG!$E$2,CONFIG!$A$6:$E$8,2,0),6),"BAJAR",IF(H338+I338&gt;=IFERROR(VLOOKUP(CONFIG!$E$2,CONFIG!$A$6:$E$8,3,0),12),"SUBIR_F",IF(AND(H338&gt;=IFERROR(VLOOKUP(CONFIG!$E$2,CONFIG!$A$6:$E$8,2,0),6)+2,I338&gt;=2),"SUBIR",IF(I338&gt;IFERROR(VLOOKUP(CONFIG!$E$2,CONFIG!$A$6:$E$8,5,0),3),"SUBIR","MANT")))))),"SIN")</f>
        <v>SIN</v>
      </c>
      <c r="O338" s="55">
        <f>IF(COUNTIFS(HISTORIAL!$O$3:$O$336,D338&amp;"|"&amp;E338,HISTORIAL!$F$3:$F$336,"&gt;0")&lt;2,0,IF(COUNTIFS(HISTORIAL!$O$3:$O$336,D338&amp;"|"&amp;E338,HISTORIAL!$F$3:$F$336,IFERROR(LOOKUP(2,1/((HISTORIAL!$O$3:$O$336=D338&amp;"|"&amp;E338)*(HISTORIAL!$F$3:$F$336&gt;0)),HISTORIAL!$F$3:$F$336),0))&gt;=2,IF(IFERROR(LOOKUP(2,1/((HISTORIAL!$O$3:$O$336=D338&amp;"|"&amp;E338)*(HISTORIAL!$F$3:$F$336&gt;0)),HISTORIAL!$G$3:$G$336),0)&gt;0,IF(F338&gt;0,IF(G338&lt;=IFERROR(LOOKUP(2,1/((HISTORIAL!$O$3:$O$336=D338&amp;"|"&amp;E338)*(HISTORIAL!$F$3:$F$336&gt;0)),HISTORIAL!$G$3:$G$336),0),1,0),0),0),0))</f>
        <v>0</v>
      </c>
    </row>
    <row r="339" spans="1:15" ht="14.1" customHeight="1">
      <c r="A339" s="37">
        <v>6</v>
      </c>
      <c r="B339" s="37" t="s">
        <v>278</v>
      </c>
      <c r="C339" s="37">
        <v>10</v>
      </c>
      <c r="D339" s="56" t="str">
        <f>MARTES!$A$132</f>
        <v>Skullcrusher</v>
      </c>
      <c r="E339" s="57" t="str">
        <f>MARTES!$B$132</f>
        <v>Mancuerna Tumbado</v>
      </c>
      <c r="F339" s="37" t="str">
        <f>MARTES!$C$132</f>
        <v>--</v>
      </c>
      <c r="G339" s="37" t="str">
        <f>IFERROR(LOOKUP(2,1/((HISTORIAL!$O$3:$O$337=D339&amp;"|"&amp;E339)*(HISTORIAL!$F$3:$F$337&lt;&gt;"")),HISTORIAL!$F$3:$F$337),"")</f>
        <v/>
      </c>
      <c r="H339" s="37" t="str">
        <f>IFERROR(LOOKUP(2,1/((HISTORIAL!$O$3:$O$337=D339&amp;"|"&amp;E339)*(HISTORIAL!$F$3:$F$337&lt;&gt;"")),HISTORIAL!$G$3:$G$337),"")</f>
        <v/>
      </c>
      <c r="I339" s="37" t="str">
        <f>IFERROR(LOOKUP(2,1/((HISTORIAL!$O$3:$O$337=D339&amp;"|"&amp;E339)*(HISTORIAL!$F$3:$F$337&lt;&gt;"")),HISTORIAL!$H$3:$H$337),"")</f>
        <v/>
      </c>
      <c r="J339" s="37" t="str">
        <f>IFERROR(LOOKUP(2,1/((HISTORIAL!$O$3:$O$337=D339&amp;"|"&amp;E339)*(HISTORIAL!$F$3:$F$337&lt;&gt;"")),HISTORIAL!$I$3:$I$337),"")</f>
        <v/>
      </c>
      <c r="K339" s="58" t="str">
        <f>IFERROR(IF(OR(G339="",N339="SIN"),"--",IF(N339="SUBIR_F",IF(F339="polea",IFERROR(INDEX(CONFIG!$B$25:$B$40,MATCH(G339,CONFIG!$B$25:$B$40,0)+2),IFERROR(INDEX(CONFIG!$B$25:$B$40,MATCH(G339,CONFIG!$B$25:$B$40,0)+1),G339)),G339+5),IF(OR(N339="SUBIR",N339="SUBIR_E"),IF(F339="polea",IFERROR(INDEX(CONFIG!$B$25:$B$40,MATCH(G339,CONFIG!$B$25:$B$40,0)+1),G339),G339+2.5),IF(N339="BAJAR",IF(F339="polea",IFERROR(INDEX(CONFIG!$B$25:$B$40,MAX(1,MATCH(G339,CONFIG!$B$25:$B$40,0)-1)),G339),MAX(0,G339-2.5)),G339)))),"--")</f>
        <v>--</v>
      </c>
      <c r="L339" s="59" t="str">
        <f>IFERROR(IF(N339="SIN","--",IF(N339="MANT",IF(H339="","--",H339+1),IFERROR(VLOOKUP(CONFIG!$E$2,CONFIG!$A$6:$E$8,2,0),"--"))),"--")</f>
        <v>--</v>
      </c>
      <c r="M339" s="59" t="str">
        <f>IFERROR(IF(N339="SIN","--",IF(CONFIG!$E$2="HIP",2,IF(CONFIG!$E$2="FUE",1,2))),"--")</f>
        <v>--</v>
      </c>
      <c r="N339" s="53" t="str">
        <f>IFERROR(IF(G339="","SIN",IF(O339=1,"SUBIR_E",IF(H339&lt;IFERROR(VLOOKUP(CONFIG!$E$2,CONFIG!$A$6:$E$8,2,0),6),"BAJAR",IF(H339+I339&gt;=IFERROR(VLOOKUP(CONFIG!$E$2,CONFIG!$A$6:$E$8,3,0),12),"SUBIR_F",IF(AND(H339&gt;=IFERROR(VLOOKUP(CONFIG!$E$2,CONFIG!$A$6:$E$8,2,0),6)+2,I339&gt;=2),"SUBIR",IF(I339&gt;IFERROR(VLOOKUP(CONFIG!$E$2,CONFIG!$A$6:$E$8,5,0),3),"SUBIR","MANT")))))),"SIN")</f>
        <v>SIN</v>
      </c>
      <c r="O339" s="55">
        <f>IF(COUNTIFS(HISTORIAL!$O$3:$O$337,D339&amp;"|"&amp;E339,HISTORIAL!$F$3:$F$337,"&gt;0")&lt;2,0,IF(COUNTIFS(HISTORIAL!$O$3:$O$337,D339&amp;"|"&amp;E339,HISTORIAL!$F$3:$F$337,IFERROR(LOOKUP(2,1/((HISTORIAL!$O$3:$O$337=D339&amp;"|"&amp;E339)*(HISTORIAL!$F$3:$F$337&gt;0)),HISTORIAL!$F$3:$F$337),0))&gt;=2,IF(IFERROR(LOOKUP(2,1/((HISTORIAL!$O$3:$O$337=D339&amp;"|"&amp;E339)*(HISTORIAL!$F$3:$F$337&gt;0)),HISTORIAL!$G$3:$G$337),0)&gt;0,IF(F339&gt;0,IF(G339&lt;=IFERROR(LOOKUP(2,1/((HISTORIAL!$O$3:$O$337=D339&amp;"|"&amp;E339)*(HISTORIAL!$F$3:$F$337&gt;0)),HISTORIAL!$G$3:$G$337),0),1,0),0),0),0))</f>
        <v>0</v>
      </c>
    </row>
    <row r="340" spans="1:15" ht="14.1" customHeight="1">
      <c r="A340" s="37">
        <v>6</v>
      </c>
      <c r="B340" s="37" t="s">
        <v>278</v>
      </c>
      <c r="C340" s="37">
        <v>11</v>
      </c>
      <c r="D340" s="56" t="str">
        <f>MARTES!$A$134</f>
        <v>Crunch</v>
      </c>
      <c r="E340" s="57" t="str">
        <f>MARTES!$B$134</f>
        <v>Polea</v>
      </c>
      <c r="F340" s="37" t="str">
        <f>MARTES!$C$134</f>
        <v>polea</v>
      </c>
      <c r="G340" s="37" t="str">
        <f>IFERROR(LOOKUP(2,1/((HISTORIAL!$O$3:$O$338=D340&amp;"|"&amp;E340)*(HISTORIAL!$F$3:$F$338&lt;&gt;"")),HISTORIAL!$F$3:$F$338),"")</f>
        <v/>
      </c>
      <c r="H340" s="37" t="str">
        <f>IFERROR(LOOKUP(2,1/((HISTORIAL!$O$3:$O$338=D340&amp;"|"&amp;E340)*(HISTORIAL!$F$3:$F$338&lt;&gt;"")),HISTORIAL!$G$3:$G$338),"")</f>
        <v/>
      </c>
      <c r="I340" s="37" t="str">
        <f>IFERROR(LOOKUP(2,1/((HISTORIAL!$O$3:$O$338=D340&amp;"|"&amp;E340)*(HISTORIAL!$F$3:$F$338&lt;&gt;"")),HISTORIAL!$H$3:$H$338),"")</f>
        <v/>
      </c>
      <c r="J340" s="37" t="str">
        <f>IFERROR(LOOKUP(2,1/((HISTORIAL!$O$3:$O$338=D340&amp;"|"&amp;E340)*(HISTORIAL!$F$3:$F$338&lt;&gt;"")),HISTORIAL!$I$3:$I$338),"")</f>
        <v/>
      </c>
      <c r="K340" s="58" t="str">
        <f>IFERROR(IF(OR(G340="",N340="SIN"),"--",IF(N340="SUBIR_F",IF(F340="polea",IFERROR(INDEX(CONFIG!$B$25:$B$40,MATCH(G340,CONFIG!$B$25:$B$40,0)+2),IFERROR(INDEX(CONFIG!$B$25:$B$40,MATCH(G340,CONFIG!$B$25:$B$40,0)+1),G340)),G340+5),IF(OR(N340="SUBIR",N340="SUBIR_E"),IF(F340="polea",IFERROR(INDEX(CONFIG!$B$25:$B$40,MATCH(G340,CONFIG!$B$25:$B$40,0)+1),G340),G340+2.5),IF(N340="BAJAR",IF(F340="polea",IFERROR(INDEX(CONFIG!$B$25:$B$40,MAX(1,MATCH(G340,CONFIG!$B$25:$B$40,0)-1)),G340),MAX(0,G340-2.5)),G340)))),"--")</f>
        <v>--</v>
      </c>
      <c r="L340" s="59" t="str">
        <f>IFERROR(IF(N340="SIN","--",IF(N340="MANT",IF(H340="","--",H340+1),IFERROR(VLOOKUP(CONFIG!$E$2,CONFIG!$A$6:$E$8,2,0),"--"))),"--")</f>
        <v>--</v>
      </c>
      <c r="M340" s="59" t="str">
        <f>IFERROR(IF(N340="SIN","--",IF(CONFIG!$E$2="HIP",2,IF(CONFIG!$E$2="FUE",1,2))),"--")</f>
        <v>--</v>
      </c>
      <c r="N340" s="53" t="str">
        <f>IFERROR(IF(G340="","SIN",IF(O340=1,"SUBIR_E",IF(H340&lt;IFERROR(VLOOKUP(CONFIG!$E$2,CONFIG!$A$6:$E$8,2,0),6),"BAJAR",IF(H340+I340&gt;=IFERROR(VLOOKUP(CONFIG!$E$2,CONFIG!$A$6:$E$8,3,0),12),"SUBIR_F",IF(AND(H340&gt;=IFERROR(VLOOKUP(CONFIG!$E$2,CONFIG!$A$6:$E$8,2,0),6)+2,I340&gt;=2),"SUBIR",IF(I340&gt;IFERROR(VLOOKUP(CONFIG!$E$2,CONFIG!$A$6:$E$8,5,0),3),"SUBIR","MANT")))))),"SIN")</f>
        <v>SIN</v>
      </c>
      <c r="O340" s="55">
        <f>IF(COUNTIFS(HISTORIAL!$O$3:$O$338,D340&amp;"|"&amp;E340,HISTORIAL!$F$3:$F$338,"&gt;0")&lt;2,0,IF(COUNTIFS(HISTORIAL!$O$3:$O$338,D340&amp;"|"&amp;E340,HISTORIAL!$F$3:$F$338,IFERROR(LOOKUP(2,1/((HISTORIAL!$O$3:$O$338=D340&amp;"|"&amp;E340)*(HISTORIAL!$F$3:$F$338&gt;0)),HISTORIAL!$F$3:$F$338),0))&gt;=2,IF(IFERROR(LOOKUP(2,1/((HISTORIAL!$O$3:$O$338=D340&amp;"|"&amp;E340)*(HISTORIAL!$F$3:$F$338&gt;0)),HISTORIAL!$G$3:$G$338),0)&gt;0,IF(F340&gt;0,IF(G340&lt;=IFERROR(LOOKUP(2,1/((HISTORIAL!$O$3:$O$338=D340&amp;"|"&amp;E340)*(HISTORIAL!$F$3:$F$338&gt;0)),HISTORIAL!$G$3:$G$338),0),1,0),0),0),0))</f>
        <v>0</v>
      </c>
    </row>
    <row r="341" spans="1:15" ht="14.1" customHeight="1">
      <c r="A341" s="37">
        <v>6</v>
      </c>
      <c r="B341" s="37" t="s">
        <v>279</v>
      </c>
      <c r="C341" s="37">
        <v>1</v>
      </c>
      <c r="D341" s="56" t="str">
        <f>MIERCOLES!$A$122</f>
        <v>Curl Femoral</v>
      </c>
      <c r="E341" s="57" t="str">
        <f>MIERCOLES!$B$122</f>
        <v>Tumbado Maquina</v>
      </c>
      <c r="F341" s="37" t="str">
        <f>MIERCOLES!$C$122</f>
        <v>polea</v>
      </c>
      <c r="G341" s="37" t="str">
        <f>IFERROR(LOOKUP(2,1/((HISTORIAL!$O$3:$O$339=D341&amp;"|"&amp;E341)*(HISTORIAL!$F$3:$F$339&lt;&gt;"")),HISTORIAL!$F$3:$F$339),"")</f>
        <v/>
      </c>
      <c r="H341" s="37" t="str">
        <f>IFERROR(LOOKUP(2,1/((HISTORIAL!$O$3:$O$339=D341&amp;"|"&amp;E341)*(HISTORIAL!$F$3:$F$339&lt;&gt;"")),HISTORIAL!$G$3:$G$339),"")</f>
        <v/>
      </c>
      <c r="I341" s="37" t="str">
        <f>IFERROR(LOOKUP(2,1/((HISTORIAL!$O$3:$O$339=D341&amp;"|"&amp;E341)*(HISTORIAL!$F$3:$F$339&lt;&gt;"")),HISTORIAL!$H$3:$H$339),"")</f>
        <v/>
      </c>
      <c r="J341" s="37" t="str">
        <f>IFERROR(LOOKUP(2,1/((HISTORIAL!$O$3:$O$339=D341&amp;"|"&amp;E341)*(HISTORIAL!$F$3:$F$339&lt;&gt;"")),HISTORIAL!$I$3:$I$339),"")</f>
        <v/>
      </c>
      <c r="K341" s="58" t="str">
        <f>IFERROR(IF(OR(G341="",N341="SIN"),"--",IF(N341="SUBIR_F",IF(F341="polea",IFERROR(INDEX(CONFIG!$B$25:$B$40,MATCH(G341,CONFIG!$B$25:$B$40,0)+2),IFERROR(INDEX(CONFIG!$B$25:$B$40,MATCH(G341,CONFIG!$B$25:$B$40,0)+1),G341)),G341+5),IF(OR(N341="SUBIR",N341="SUBIR_E"),IF(F341="polea",IFERROR(INDEX(CONFIG!$B$25:$B$40,MATCH(G341,CONFIG!$B$25:$B$40,0)+1),G341),G341+2.5),IF(N341="BAJAR",IF(F341="polea",IFERROR(INDEX(CONFIG!$B$25:$B$40,MAX(1,MATCH(G341,CONFIG!$B$25:$B$40,0)-1)),G341),MAX(0,G341-2.5)),G341)))),"--")</f>
        <v>--</v>
      </c>
      <c r="L341" s="59" t="str">
        <f>IFERROR(IF(N341="SIN","--",IF(N341="MANT",IF(H341="","--",H341+1),IFERROR(VLOOKUP(CONFIG!$E$2,CONFIG!$A$6:$E$8,2,0),"--"))),"--")</f>
        <v>--</v>
      </c>
      <c r="M341" s="59" t="str">
        <f>IFERROR(IF(N341="SIN","--",IF(CONFIG!$E$2="HIP",2,IF(CONFIG!$E$2="FUE",1,2))),"--")</f>
        <v>--</v>
      </c>
      <c r="N341" s="53" t="str">
        <f>IFERROR(IF(G341="","SIN",IF(O341=1,"SUBIR_E",IF(H341&lt;IFERROR(VLOOKUP(CONFIG!$E$2,CONFIG!$A$6:$E$8,2,0),6),"BAJAR",IF(H341+I341&gt;=IFERROR(VLOOKUP(CONFIG!$E$2,CONFIG!$A$6:$E$8,3,0),12),"SUBIR_F",IF(AND(H341&gt;=IFERROR(VLOOKUP(CONFIG!$E$2,CONFIG!$A$6:$E$8,2,0),6)+2,I341&gt;=2),"SUBIR",IF(I341&gt;IFERROR(VLOOKUP(CONFIG!$E$2,CONFIG!$A$6:$E$8,5,0),3),"SUBIR","MANT")))))),"SIN")</f>
        <v>SIN</v>
      </c>
      <c r="O341" s="55">
        <f>IF(COUNTIFS(HISTORIAL!$O$3:$O$339,D341&amp;"|"&amp;E341,HISTORIAL!$F$3:$F$339,"&gt;0")&lt;2,0,IF(COUNTIFS(HISTORIAL!$O$3:$O$339,D341&amp;"|"&amp;E341,HISTORIAL!$F$3:$F$339,IFERROR(LOOKUP(2,1/((HISTORIAL!$O$3:$O$339=D341&amp;"|"&amp;E341)*(HISTORIAL!$F$3:$F$339&gt;0)),HISTORIAL!$F$3:$F$339),0))&gt;=2,IF(IFERROR(LOOKUP(2,1/((HISTORIAL!$O$3:$O$339=D341&amp;"|"&amp;E341)*(HISTORIAL!$F$3:$F$339&gt;0)),HISTORIAL!$G$3:$G$339),0)&gt;0,IF(F341&gt;0,IF(G341&lt;=IFERROR(LOOKUP(2,1/((HISTORIAL!$O$3:$O$339=D341&amp;"|"&amp;E341)*(HISTORIAL!$F$3:$F$339&gt;0)),HISTORIAL!$G$3:$G$339),0),1,0),0),0),0))</f>
        <v>0</v>
      </c>
    </row>
    <row r="342" spans="1:15" ht="14.1" customHeight="1">
      <c r="A342" s="37">
        <v>6</v>
      </c>
      <c r="B342" s="37" t="s">
        <v>279</v>
      </c>
      <c r="C342" s="37">
        <v>2</v>
      </c>
      <c r="D342" s="56" t="str">
        <f>MIERCOLES!$A$123</f>
        <v>Curl Femoral</v>
      </c>
      <c r="E342" s="57" t="str">
        <f>MIERCOLES!$B$123</f>
        <v>Sentado Maquina</v>
      </c>
      <c r="F342" s="37" t="str">
        <f>MIERCOLES!$C$123</f>
        <v>polea</v>
      </c>
      <c r="G342" s="37" t="str">
        <f>IFERROR(LOOKUP(2,1/((HISTORIAL!$O$3:$O$340=D342&amp;"|"&amp;E342)*(HISTORIAL!$F$3:$F$340&lt;&gt;"")),HISTORIAL!$F$3:$F$340),"")</f>
        <v/>
      </c>
      <c r="H342" s="37" t="str">
        <f>IFERROR(LOOKUP(2,1/((HISTORIAL!$O$3:$O$340=D342&amp;"|"&amp;E342)*(HISTORIAL!$F$3:$F$340&lt;&gt;"")),HISTORIAL!$G$3:$G$340),"")</f>
        <v/>
      </c>
      <c r="I342" s="37" t="str">
        <f>IFERROR(LOOKUP(2,1/((HISTORIAL!$O$3:$O$340=D342&amp;"|"&amp;E342)*(HISTORIAL!$F$3:$F$340&lt;&gt;"")),HISTORIAL!$H$3:$H$340),"")</f>
        <v/>
      </c>
      <c r="J342" s="37" t="str">
        <f>IFERROR(LOOKUP(2,1/((HISTORIAL!$O$3:$O$340=D342&amp;"|"&amp;E342)*(HISTORIAL!$F$3:$F$340&lt;&gt;"")),HISTORIAL!$I$3:$I$340),"")</f>
        <v/>
      </c>
      <c r="K342" s="58" t="str">
        <f>IFERROR(IF(OR(G342="",N342="SIN"),"--",IF(N342="SUBIR_F",IF(F342="polea",IFERROR(INDEX(CONFIG!$B$25:$B$40,MATCH(G342,CONFIG!$B$25:$B$40,0)+2),IFERROR(INDEX(CONFIG!$B$25:$B$40,MATCH(G342,CONFIG!$B$25:$B$40,0)+1),G342)),G342+5),IF(OR(N342="SUBIR",N342="SUBIR_E"),IF(F342="polea",IFERROR(INDEX(CONFIG!$B$25:$B$40,MATCH(G342,CONFIG!$B$25:$B$40,0)+1),G342),G342+2.5),IF(N342="BAJAR",IF(F342="polea",IFERROR(INDEX(CONFIG!$B$25:$B$40,MAX(1,MATCH(G342,CONFIG!$B$25:$B$40,0)-1)),G342),MAX(0,G342-2.5)),G342)))),"--")</f>
        <v>--</v>
      </c>
      <c r="L342" s="59" t="str">
        <f>IFERROR(IF(N342="SIN","--",IF(N342="MANT",IF(H342="","--",H342+1),IFERROR(VLOOKUP(CONFIG!$E$2,CONFIG!$A$6:$E$8,2,0),"--"))),"--")</f>
        <v>--</v>
      </c>
      <c r="M342" s="59" t="str">
        <f>IFERROR(IF(N342="SIN","--",IF(CONFIG!$E$2="HIP",2,IF(CONFIG!$E$2="FUE",1,2))),"--")</f>
        <v>--</v>
      </c>
      <c r="N342" s="53" t="str">
        <f>IFERROR(IF(G342="","SIN",IF(O342=1,"SUBIR_E",IF(H342&lt;IFERROR(VLOOKUP(CONFIG!$E$2,CONFIG!$A$6:$E$8,2,0),6),"BAJAR",IF(H342+I342&gt;=IFERROR(VLOOKUP(CONFIG!$E$2,CONFIG!$A$6:$E$8,3,0),12),"SUBIR_F",IF(AND(H342&gt;=IFERROR(VLOOKUP(CONFIG!$E$2,CONFIG!$A$6:$E$8,2,0),6)+2,I342&gt;=2),"SUBIR",IF(I342&gt;IFERROR(VLOOKUP(CONFIG!$E$2,CONFIG!$A$6:$E$8,5,0),3),"SUBIR","MANT")))))),"SIN")</f>
        <v>SIN</v>
      </c>
      <c r="O342" s="55">
        <f>IF(COUNTIFS(HISTORIAL!$O$3:$O$340,D342&amp;"|"&amp;E342,HISTORIAL!$F$3:$F$340,"&gt;0")&lt;2,0,IF(COUNTIFS(HISTORIAL!$O$3:$O$340,D342&amp;"|"&amp;E342,HISTORIAL!$F$3:$F$340,IFERROR(LOOKUP(2,1/((HISTORIAL!$O$3:$O$340=D342&amp;"|"&amp;E342)*(HISTORIAL!$F$3:$F$340&gt;0)),HISTORIAL!$F$3:$F$340),0))&gt;=2,IF(IFERROR(LOOKUP(2,1/((HISTORIAL!$O$3:$O$340=D342&amp;"|"&amp;E342)*(HISTORIAL!$F$3:$F$340&gt;0)),HISTORIAL!$G$3:$G$340),0)&gt;0,IF(F342&gt;0,IF(G342&lt;=IFERROR(LOOKUP(2,1/((HISTORIAL!$O$3:$O$340=D342&amp;"|"&amp;E342)*(HISTORIAL!$F$3:$F$340&gt;0)),HISTORIAL!$G$3:$G$340),0),1,0),0),0),0))</f>
        <v>0</v>
      </c>
    </row>
    <row r="343" spans="1:15" ht="14.1" customHeight="1">
      <c r="A343" s="37">
        <v>6</v>
      </c>
      <c r="B343" s="37" t="s">
        <v>279</v>
      </c>
      <c r="C343" s="37">
        <v>3</v>
      </c>
      <c r="D343" s="56" t="str">
        <f>MIERCOLES!$A$124</f>
        <v>Curl Rumano</v>
      </c>
      <c r="E343" s="57" t="str">
        <f>MIERCOLES!$B$124</f>
        <v>Mancuernas</v>
      </c>
      <c r="F343" s="37" t="str">
        <f>MIERCOLES!$C$124</f>
        <v>mancuerna</v>
      </c>
      <c r="G343" s="37" t="str">
        <f>IFERROR(LOOKUP(2,1/((HISTORIAL!$O$3:$O$341=D343&amp;"|"&amp;E343)*(HISTORIAL!$F$3:$F$341&lt;&gt;"")),HISTORIAL!$F$3:$F$341),"")</f>
        <v/>
      </c>
      <c r="H343" s="37" t="str">
        <f>IFERROR(LOOKUP(2,1/((HISTORIAL!$O$3:$O$341=D343&amp;"|"&amp;E343)*(HISTORIAL!$F$3:$F$341&lt;&gt;"")),HISTORIAL!$G$3:$G$341),"")</f>
        <v/>
      </c>
      <c r="I343" s="37" t="str">
        <f>IFERROR(LOOKUP(2,1/((HISTORIAL!$O$3:$O$341=D343&amp;"|"&amp;E343)*(HISTORIAL!$F$3:$F$341&lt;&gt;"")),HISTORIAL!$H$3:$H$341),"")</f>
        <v/>
      </c>
      <c r="J343" s="37" t="str">
        <f>IFERROR(LOOKUP(2,1/((HISTORIAL!$O$3:$O$341=D343&amp;"|"&amp;E343)*(HISTORIAL!$F$3:$F$341&lt;&gt;"")),HISTORIAL!$I$3:$I$341),"")</f>
        <v/>
      </c>
      <c r="K343" s="58" t="str">
        <f>IFERROR(IF(OR(G343="",N343="SIN"),"--",IF(N343="SUBIR_F",IF(F343="polea",IFERROR(INDEX(CONFIG!$B$25:$B$40,MATCH(G343,CONFIG!$B$25:$B$40,0)+2),IFERROR(INDEX(CONFIG!$B$25:$B$40,MATCH(G343,CONFIG!$B$25:$B$40,0)+1),G343)),G343+5),IF(OR(N343="SUBIR",N343="SUBIR_E"),IF(F343="polea",IFERROR(INDEX(CONFIG!$B$25:$B$40,MATCH(G343,CONFIG!$B$25:$B$40,0)+1),G343),G343+2.5),IF(N343="BAJAR",IF(F343="polea",IFERROR(INDEX(CONFIG!$B$25:$B$40,MAX(1,MATCH(G343,CONFIG!$B$25:$B$40,0)-1)),G343),MAX(0,G343-2.5)),G343)))),"--")</f>
        <v>--</v>
      </c>
      <c r="L343" s="59" t="str">
        <f>IFERROR(IF(N343="SIN","--",IF(N343="MANT",IF(H343="","--",H343+1),IFERROR(VLOOKUP(CONFIG!$E$2,CONFIG!$A$6:$E$8,2,0),"--"))),"--")</f>
        <v>--</v>
      </c>
      <c r="M343" s="59" t="str">
        <f>IFERROR(IF(N343="SIN","--",IF(CONFIG!$E$2="HIP",2,IF(CONFIG!$E$2="FUE",1,2))),"--")</f>
        <v>--</v>
      </c>
      <c r="N343" s="53" t="str">
        <f>IFERROR(IF(G343="","SIN",IF(O343=1,"SUBIR_E",IF(H343&lt;IFERROR(VLOOKUP(CONFIG!$E$2,CONFIG!$A$6:$E$8,2,0),6),"BAJAR",IF(H343+I343&gt;=IFERROR(VLOOKUP(CONFIG!$E$2,CONFIG!$A$6:$E$8,3,0),12),"SUBIR_F",IF(AND(H343&gt;=IFERROR(VLOOKUP(CONFIG!$E$2,CONFIG!$A$6:$E$8,2,0),6)+2,I343&gt;=2),"SUBIR",IF(I343&gt;IFERROR(VLOOKUP(CONFIG!$E$2,CONFIG!$A$6:$E$8,5,0),3),"SUBIR","MANT")))))),"SIN")</f>
        <v>SIN</v>
      </c>
      <c r="O343" s="55">
        <f>IF(COUNTIFS(HISTORIAL!$O$3:$O$341,D343&amp;"|"&amp;E343,HISTORIAL!$F$3:$F$341,"&gt;0")&lt;2,0,IF(COUNTIFS(HISTORIAL!$O$3:$O$341,D343&amp;"|"&amp;E343,HISTORIAL!$F$3:$F$341,IFERROR(LOOKUP(2,1/((HISTORIAL!$O$3:$O$341=D343&amp;"|"&amp;E343)*(HISTORIAL!$F$3:$F$341&gt;0)),HISTORIAL!$F$3:$F$341),0))&gt;=2,IF(IFERROR(LOOKUP(2,1/((HISTORIAL!$O$3:$O$341=D343&amp;"|"&amp;E343)*(HISTORIAL!$F$3:$F$341&gt;0)),HISTORIAL!$G$3:$G$341),0)&gt;0,IF(F343&gt;0,IF(G343&lt;=IFERROR(LOOKUP(2,1/((HISTORIAL!$O$3:$O$341=D343&amp;"|"&amp;E343)*(HISTORIAL!$F$3:$F$341&gt;0)),HISTORIAL!$G$3:$G$341),0),1,0),0),0),0))</f>
        <v>0</v>
      </c>
    </row>
    <row r="344" spans="1:15" ht="14.1" customHeight="1">
      <c r="A344" s="37">
        <v>6</v>
      </c>
      <c r="B344" s="37" t="s">
        <v>279</v>
      </c>
      <c r="C344" s="37">
        <v>4</v>
      </c>
      <c r="D344" s="56" t="str">
        <f>MIERCOLES!$A$126</f>
        <v>Sentadilla</v>
      </c>
      <c r="E344" s="57" t="str">
        <f>MIERCOLES!$B$126</f>
        <v>Multipower Cuna Talones</v>
      </c>
      <c r="F344" s="37" t="str">
        <f>MIERCOLES!$C$126</f>
        <v>--</v>
      </c>
      <c r="G344" s="37" t="str">
        <f>IFERROR(LOOKUP(2,1/((HISTORIAL!$O$3:$O$342=D344&amp;"|"&amp;E344)*(HISTORIAL!$F$3:$F$342&lt;&gt;"")),HISTORIAL!$F$3:$F$342),"")</f>
        <v/>
      </c>
      <c r="H344" s="37" t="str">
        <f>IFERROR(LOOKUP(2,1/((HISTORIAL!$O$3:$O$342=D344&amp;"|"&amp;E344)*(HISTORIAL!$F$3:$F$342&lt;&gt;"")),HISTORIAL!$G$3:$G$342),"")</f>
        <v/>
      </c>
      <c r="I344" s="37" t="str">
        <f>IFERROR(LOOKUP(2,1/((HISTORIAL!$O$3:$O$342=D344&amp;"|"&amp;E344)*(HISTORIAL!$F$3:$F$342&lt;&gt;"")),HISTORIAL!$H$3:$H$342),"")</f>
        <v/>
      </c>
      <c r="J344" s="37" t="str">
        <f>IFERROR(LOOKUP(2,1/((HISTORIAL!$O$3:$O$342=D344&amp;"|"&amp;E344)*(HISTORIAL!$F$3:$F$342&lt;&gt;"")),HISTORIAL!$I$3:$I$342),"")</f>
        <v/>
      </c>
      <c r="K344" s="58" t="str">
        <f>IFERROR(IF(OR(G344="",N344="SIN"),"--",IF(N344="SUBIR_F",IF(F344="polea",IFERROR(INDEX(CONFIG!$B$25:$B$40,MATCH(G344,CONFIG!$B$25:$B$40,0)+2),IFERROR(INDEX(CONFIG!$B$25:$B$40,MATCH(G344,CONFIG!$B$25:$B$40,0)+1),G344)),G344+5),IF(OR(N344="SUBIR",N344="SUBIR_E"),IF(F344="polea",IFERROR(INDEX(CONFIG!$B$25:$B$40,MATCH(G344,CONFIG!$B$25:$B$40,0)+1),G344),G344+2.5),IF(N344="BAJAR",IF(F344="polea",IFERROR(INDEX(CONFIG!$B$25:$B$40,MAX(1,MATCH(G344,CONFIG!$B$25:$B$40,0)-1)),G344),MAX(0,G344-2.5)),G344)))),"--")</f>
        <v>--</v>
      </c>
      <c r="L344" s="59" t="str">
        <f>IFERROR(IF(N344="SIN","--",IF(N344="MANT",IF(H344="","--",H344+1),IFERROR(VLOOKUP(CONFIG!$E$2,CONFIG!$A$6:$E$8,2,0),"--"))),"--")</f>
        <v>--</v>
      </c>
      <c r="M344" s="59" t="str">
        <f>IFERROR(IF(N344="SIN","--",IF(CONFIG!$E$2="HIP",2,IF(CONFIG!$E$2="FUE",1,2))),"--")</f>
        <v>--</v>
      </c>
      <c r="N344" s="53" t="str">
        <f>IFERROR(IF(G344="","SIN",IF(O344=1,"SUBIR_E",IF(H344&lt;IFERROR(VLOOKUP(CONFIG!$E$2,CONFIG!$A$6:$E$8,2,0),6),"BAJAR",IF(H344+I344&gt;=IFERROR(VLOOKUP(CONFIG!$E$2,CONFIG!$A$6:$E$8,3,0),12),"SUBIR_F",IF(AND(H344&gt;=IFERROR(VLOOKUP(CONFIG!$E$2,CONFIG!$A$6:$E$8,2,0),6)+2,I344&gt;=2),"SUBIR",IF(I344&gt;IFERROR(VLOOKUP(CONFIG!$E$2,CONFIG!$A$6:$E$8,5,0),3),"SUBIR","MANT")))))),"SIN")</f>
        <v>SIN</v>
      </c>
      <c r="O344" s="55">
        <f>IF(COUNTIFS(HISTORIAL!$O$3:$O$342,D344&amp;"|"&amp;E344,HISTORIAL!$F$3:$F$342,"&gt;0")&lt;2,0,IF(COUNTIFS(HISTORIAL!$O$3:$O$342,D344&amp;"|"&amp;E344,HISTORIAL!$F$3:$F$342,IFERROR(LOOKUP(2,1/((HISTORIAL!$O$3:$O$342=D344&amp;"|"&amp;E344)*(HISTORIAL!$F$3:$F$342&gt;0)),HISTORIAL!$F$3:$F$342),0))&gt;=2,IF(IFERROR(LOOKUP(2,1/((HISTORIAL!$O$3:$O$342=D344&amp;"|"&amp;E344)*(HISTORIAL!$F$3:$F$342&gt;0)),HISTORIAL!$G$3:$G$342),0)&gt;0,IF(F344&gt;0,IF(G344&lt;=IFERROR(LOOKUP(2,1/((HISTORIAL!$O$3:$O$342=D344&amp;"|"&amp;E344)*(HISTORIAL!$F$3:$F$342&gt;0)),HISTORIAL!$G$3:$G$342),0),1,0),0),0),0))</f>
        <v>0</v>
      </c>
    </row>
    <row r="345" spans="1:15" ht="14.1" customHeight="1">
      <c r="A345" s="37">
        <v>6</v>
      </c>
      <c r="B345" s="37" t="s">
        <v>279</v>
      </c>
      <c r="C345" s="37">
        <v>5</v>
      </c>
      <c r="D345" s="56" t="str">
        <f>MIERCOLES!$A$127</f>
        <v>Prensa Pierna</v>
      </c>
      <c r="E345" s="57" t="str">
        <f>MIERCOLES!$B$127</f>
        <v>Individual Horizontal</v>
      </c>
      <c r="F345" s="37" t="str">
        <f>MIERCOLES!$C$127</f>
        <v>--</v>
      </c>
      <c r="G345" s="37" t="str">
        <f>IFERROR(LOOKUP(2,1/((HISTORIAL!$O$3:$O$343=D345&amp;"|"&amp;E345)*(HISTORIAL!$F$3:$F$343&lt;&gt;"")),HISTORIAL!$F$3:$F$343),"")</f>
        <v/>
      </c>
      <c r="H345" s="37" t="str">
        <f>IFERROR(LOOKUP(2,1/((HISTORIAL!$O$3:$O$343=D345&amp;"|"&amp;E345)*(HISTORIAL!$F$3:$F$343&lt;&gt;"")),HISTORIAL!$G$3:$G$343),"")</f>
        <v/>
      </c>
      <c r="I345" s="37" t="str">
        <f>IFERROR(LOOKUP(2,1/((HISTORIAL!$O$3:$O$343=D345&amp;"|"&amp;E345)*(HISTORIAL!$F$3:$F$343&lt;&gt;"")),HISTORIAL!$H$3:$H$343),"")</f>
        <v/>
      </c>
      <c r="J345" s="37" t="str">
        <f>IFERROR(LOOKUP(2,1/((HISTORIAL!$O$3:$O$343=D345&amp;"|"&amp;E345)*(HISTORIAL!$F$3:$F$343&lt;&gt;"")),HISTORIAL!$I$3:$I$343),"")</f>
        <v/>
      </c>
      <c r="K345" s="58" t="str">
        <f>IFERROR(IF(OR(G345="",N345="SIN"),"--",IF(N345="SUBIR_F",IF(F345="polea",IFERROR(INDEX(CONFIG!$B$25:$B$40,MATCH(G345,CONFIG!$B$25:$B$40,0)+2),IFERROR(INDEX(CONFIG!$B$25:$B$40,MATCH(G345,CONFIG!$B$25:$B$40,0)+1),G345)),G345+5),IF(OR(N345="SUBIR",N345="SUBIR_E"),IF(F345="polea",IFERROR(INDEX(CONFIG!$B$25:$B$40,MATCH(G345,CONFIG!$B$25:$B$40,0)+1),G345),G345+2.5),IF(N345="BAJAR",IF(F345="polea",IFERROR(INDEX(CONFIG!$B$25:$B$40,MAX(1,MATCH(G345,CONFIG!$B$25:$B$40,0)-1)),G345),MAX(0,G345-2.5)),G345)))),"--")</f>
        <v>--</v>
      </c>
      <c r="L345" s="59" t="str">
        <f>IFERROR(IF(N345="SIN","--",IF(N345="MANT",IF(H345="","--",H345+1),IFERROR(VLOOKUP(CONFIG!$E$2,CONFIG!$A$6:$E$8,2,0),"--"))),"--")</f>
        <v>--</v>
      </c>
      <c r="M345" s="59" t="str">
        <f>IFERROR(IF(N345="SIN","--",IF(CONFIG!$E$2="HIP",2,IF(CONFIG!$E$2="FUE",1,2))),"--")</f>
        <v>--</v>
      </c>
      <c r="N345" s="53" t="str">
        <f>IFERROR(IF(G345="","SIN",IF(O345=1,"SUBIR_E",IF(H345&lt;IFERROR(VLOOKUP(CONFIG!$E$2,CONFIG!$A$6:$E$8,2,0),6),"BAJAR",IF(H345+I345&gt;=IFERROR(VLOOKUP(CONFIG!$E$2,CONFIG!$A$6:$E$8,3,0),12),"SUBIR_F",IF(AND(H345&gt;=IFERROR(VLOOKUP(CONFIG!$E$2,CONFIG!$A$6:$E$8,2,0),6)+2,I345&gt;=2),"SUBIR",IF(I345&gt;IFERROR(VLOOKUP(CONFIG!$E$2,CONFIG!$A$6:$E$8,5,0),3),"SUBIR","MANT")))))),"SIN")</f>
        <v>SIN</v>
      </c>
      <c r="O345" s="55">
        <f>IF(COUNTIFS(HISTORIAL!$O$3:$O$343,D345&amp;"|"&amp;E345,HISTORIAL!$F$3:$F$343,"&gt;0")&lt;2,0,IF(COUNTIFS(HISTORIAL!$O$3:$O$343,D345&amp;"|"&amp;E345,HISTORIAL!$F$3:$F$343,IFERROR(LOOKUP(2,1/((HISTORIAL!$O$3:$O$343=D345&amp;"|"&amp;E345)*(HISTORIAL!$F$3:$F$343&gt;0)),HISTORIAL!$F$3:$F$343),0))&gt;=2,IF(IFERROR(LOOKUP(2,1/((HISTORIAL!$O$3:$O$343=D345&amp;"|"&amp;E345)*(HISTORIAL!$F$3:$F$343&gt;0)),HISTORIAL!$G$3:$G$343),0)&gt;0,IF(F345&gt;0,IF(G345&lt;=IFERROR(LOOKUP(2,1/((HISTORIAL!$O$3:$O$343=D345&amp;"|"&amp;E345)*(HISTORIAL!$F$3:$F$343&gt;0)),HISTORIAL!$G$3:$G$343),0),1,0),0),0),0))</f>
        <v>0</v>
      </c>
    </row>
    <row r="346" spans="1:15" ht="14.1" customHeight="1">
      <c r="A346" s="37">
        <v>6</v>
      </c>
      <c r="B346" s="37" t="s">
        <v>279</v>
      </c>
      <c r="C346" s="37">
        <v>6</v>
      </c>
      <c r="D346" s="56" t="str">
        <f>MIERCOLES!$A$128</f>
        <v>Extension Cuadriceps</v>
      </c>
      <c r="E346" s="57" t="str">
        <f>MIERCOLES!$B$128</f>
        <v>Vasto Externo</v>
      </c>
      <c r="F346" s="37" t="str">
        <f>MIERCOLES!$C$128</f>
        <v>--</v>
      </c>
      <c r="G346" s="37" t="str">
        <f>IFERROR(LOOKUP(2,1/((HISTORIAL!$O$3:$O$344=D346&amp;"|"&amp;E346)*(HISTORIAL!$F$3:$F$344&lt;&gt;"")),HISTORIAL!$F$3:$F$344),"")</f>
        <v/>
      </c>
      <c r="H346" s="37" t="str">
        <f>IFERROR(LOOKUP(2,1/((HISTORIAL!$O$3:$O$344=D346&amp;"|"&amp;E346)*(HISTORIAL!$F$3:$F$344&lt;&gt;"")),HISTORIAL!$G$3:$G$344),"")</f>
        <v/>
      </c>
      <c r="I346" s="37" t="str">
        <f>IFERROR(LOOKUP(2,1/((HISTORIAL!$O$3:$O$344=D346&amp;"|"&amp;E346)*(HISTORIAL!$F$3:$F$344&lt;&gt;"")),HISTORIAL!$H$3:$H$344),"")</f>
        <v/>
      </c>
      <c r="J346" s="37" t="str">
        <f>IFERROR(LOOKUP(2,1/((HISTORIAL!$O$3:$O$344=D346&amp;"|"&amp;E346)*(HISTORIAL!$F$3:$F$344&lt;&gt;"")),HISTORIAL!$I$3:$I$344),"")</f>
        <v/>
      </c>
      <c r="K346" s="58" t="str">
        <f>IFERROR(IF(OR(G346="",N346="SIN"),"--",IF(N346="SUBIR_F",IF(F346="polea",IFERROR(INDEX(CONFIG!$B$25:$B$40,MATCH(G346,CONFIG!$B$25:$B$40,0)+2),IFERROR(INDEX(CONFIG!$B$25:$B$40,MATCH(G346,CONFIG!$B$25:$B$40,0)+1),G346)),G346+5),IF(OR(N346="SUBIR",N346="SUBIR_E"),IF(F346="polea",IFERROR(INDEX(CONFIG!$B$25:$B$40,MATCH(G346,CONFIG!$B$25:$B$40,0)+1),G346),G346+2.5),IF(N346="BAJAR",IF(F346="polea",IFERROR(INDEX(CONFIG!$B$25:$B$40,MAX(1,MATCH(G346,CONFIG!$B$25:$B$40,0)-1)),G346),MAX(0,G346-2.5)),G346)))),"--")</f>
        <v>--</v>
      </c>
      <c r="L346" s="59" t="str">
        <f>IFERROR(IF(N346="SIN","--",IF(N346="MANT",IF(H346="","--",H346+1),IFERROR(VLOOKUP(CONFIG!$E$2,CONFIG!$A$6:$E$8,2,0),"--"))),"--")</f>
        <v>--</v>
      </c>
      <c r="M346" s="59" t="str">
        <f>IFERROR(IF(N346="SIN","--",IF(CONFIG!$E$2="HIP",2,IF(CONFIG!$E$2="FUE",1,2))),"--")</f>
        <v>--</v>
      </c>
      <c r="N346" s="53" t="str">
        <f>IFERROR(IF(G346="","SIN",IF(O346=1,"SUBIR_E",IF(H346&lt;IFERROR(VLOOKUP(CONFIG!$E$2,CONFIG!$A$6:$E$8,2,0),6),"BAJAR",IF(H346+I346&gt;=IFERROR(VLOOKUP(CONFIG!$E$2,CONFIG!$A$6:$E$8,3,0),12),"SUBIR_F",IF(AND(H346&gt;=IFERROR(VLOOKUP(CONFIG!$E$2,CONFIG!$A$6:$E$8,2,0),6)+2,I346&gt;=2),"SUBIR",IF(I346&gt;IFERROR(VLOOKUP(CONFIG!$E$2,CONFIG!$A$6:$E$8,5,0),3),"SUBIR","MANT")))))),"SIN")</f>
        <v>SIN</v>
      </c>
      <c r="O346" s="55">
        <f>IF(COUNTIFS(HISTORIAL!$O$3:$O$344,D346&amp;"|"&amp;E346,HISTORIAL!$F$3:$F$344,"&gt;0")&lt;2,0,IF(COUNTIFS(HISTORIAL!$O$3:$O$344,D346&amp;"|"&amp;E346,HISTORIAL!$F$3:$F$344,IFERROR(LOOKUP(2,1/((HISTORIAL!$O$3:$O$344=D346&amp;"|"&amp;E346)*(HISTORIAL!$F$3:$F$344&gt;0)),HISTORIAL!$F$3:$F$344),0))&gt;=2,IF(IFERROR(LOOKUP(2,1/((HISTORIAL!$O$3:$O$344=D346&amp;"|"&amp;E346)*(HISTORIAL!$F$3:$F$344&gt;0)),HISTORIAL!$G$3:$G$344),0)&gt;0,IF(F346&gt;0,IF(G346&lt;=IFERROR(LOOKUP(2,1/((HISTORIAL!$O$3:$O$344=D346&amp;"|"&amp;E346)*(HISTORIAL!$F$3:$F$344&gt;0)),HISTORIAL!$G$3:$G$344),0),1,0),0),0),0))</f>
        <v>0</v>
      </c>
    </row>
    <row r="347" spans="1:15" ht="14.1" customHeight="1">
      <c r="A347" s="37">
        <v>6</v>
      </c>
      <c r="B347" s="37" t="s">
        <v>279</v>
      </c>
      <c r="C347" s="37">
        <v>7</v>
      </c>
      <c r="D347" s="56" t="str">
        <f>MIERCOLES!$A$129</f>
        <v>Extension Cuadriceps</v>
      </c>
      <c r="E347" s="57" t="str">
        <f>MIERCOLES!$B$129</f>
        <v>Vasto Interno</v>
      </c>
      <c r="F347" s="37" t="str">
        <f>MIERCOLES!$C$129</f>
        <v>--</v>
      </c>
      <c r="G347" s="37" t="str">
        <f>IFERROR(LOOKUP(2,1/((HISTORIAL!$O$3:$O$345=D347&amp;"|"&amp;E347)*(HISTORIAL!$F$3:$F$345&lt;&gt;"")),HISTORIAL!$F$3:$F$345),"")</f>
        <v/>
      </c>
      <c r="H347" s="37" t="str">
        <f>IFERROR(LOOKUP(2,1/((HISTORIAL!$O$3:$O$345=D347&amp;"|"&amp;E347)*(HISTORIAL!$F$3:$F$345&lt;&gt;"")),HISTORIAL!$G$3:$G$345),"")</f>
        <v/>
      </c>
      <c r="I347" s="37" t="str">
        <f>IFERROR(LOOKUP(2,1/((HISTORIAL!$O$3:$O$345=D347&amp;"|"&amp;E347)*(HISTORIAL!$F$3:$F$345&lt;&gt;"")),HISTORIAL!$H$3:$H$345),"")</f>
        <v/>
      </c>
      <c r="J347" s="37" t="str">
        <f>IFERROR(LOOKUP(2,1/((HISTORIAL!$O$3:$O$345=D347&amp;"|"&amp;E347)*(HISTORIAL!$F$3:$F$345&lt;&gt;"")),HISTORIAL!$I$3:$I$345),"")</f>
        <v/>
      </c>
      <c r="K347" s="58" t="str">
        <f>IFERROR(IF(OR(G347="",N347="SIN"),"--",IF(N347="SUBIR_F",IF(F347="polea",IFERROR(INDEX(CONFIG!$B$25:$B$40,MATCH(G347,CONFIG!$B$25:$B$40,0)+2),IFERROR(INDEX(CONFIG!$B$25:$B$40,MATCH(G347,CONFIG!$B$25:$B$40,0)+1),G347)),G347+5),IF(OR(N347="SUBIR",N347="SUBIR_E"),IF(F347="polea",IFERROR(INDEX(CONFIG!$B$25:$B$40,MATCH(G347,CONFIG!$B$25:$B$40,0)+1),G347),G347+2.5),IF(N347="BAJAR",IF(F347="polea",IFERROR(INDEX(CONFIG!$B$25:$B$40,MAX(1,MATCH(G347,CONFIG!$B$25:$B$40,0)-1)),G347),MAX(0,G347-2.5)),G347)))),"--")</f>
        <v>--</v>
      </c>
      <c r="L347" s="59" t="str">
        <f>IFERROR(IF(N347="SIN","--",IF(N347="MANT",IF(H347="","--",H347+1),IFERROR(VLOOKUP(CONFIG!$E$2,CONFIG!$A$6:$E$8,2,0),"--"))),"--")</f>
        <v>--</v>
      </c>
      <c r="M347" s="59" t="str">
        <f>IFERROR(IF(N347="SIN","--",IF(CONFIG!$E$2="HIP",2,IF(CONFIG!$E$2="FUE",1,2))),"--")</f>
        <v>--</v>
      </c>
      <c r="N347" s="53" t="str">
        <f>IFERROR(IF(G347="","SIN",IF(O347=1,"SUBIR_E",IF(H347&lt;IFERROR(VLOOKUP(CONFIG!$E$2,CONFIG!$A$6:$E$8,2,0),6),"BAJAR",IF(H347+I347&gt;=IFERROR(VLOOKUP(CONFIG!$E$2,CONFIG!$A$6:$E$8,3,0),12),"SUBIR_F",IF(AND(H347&gt;=IFERROR(VLOOKUP(CONFIG!$E$2,CONFIG!$A$6:$E$8,2,0),6)+2,I347&gt;=2),"SUBIR",IF(I347&gt;IFERROR(VLOOKUP(CONFIG!$E$2,CONFIG!$A$6:$E$8,5,0),3),"SUBIR","MANT")))))),"SIN")</f>
        <v>SIN</v>
      </c>
      <c r="O347" s="55">
        <f>IF(COUNTIFS(HISTORIAL!$O$3:$O$345,D347&amp;"|"&amp;E347,HISTORIAL!$F$3:$F$345,"&gt;0")&lt;2,0,IF(COUNTIFS(HISTORIAL!$O$3:$O$345,D347&amp;"|"&amp;E347,HISTORIAL!$F$3:$F$345,IFERROR(LOOKUP(2,1/((HISTORIAL!$O$3:$O$345=D347&amp;"|"&amp;E347)*(HISTORIAL!$F$3:$F$345&gt;0)),HISTORIAL!$F$3:$F$345),0))&gt;=2,IF(IFERROR(LOOKUP(2,1/((HISTORIAL!$O$3:$O$345=D347&amp;"|"&amp;E347)*(HISTORIAL!$F$3:$F$345&gt;0)),HISTORIAL!$G$3:$G$345),0)&gt;0,IF(F347&gt;0,IF(G347&lt;=IFERROR(LOOKUP(2,1/((HISTORIAL!$O$3:$O$345=D347&amp;"|"&amp;E347)*(HISTORIAL!$F$3:$F$345&gt;0)),HISTORIAL!$G$3:$G$345),0),1,0),0),0),0))</f>
        <v>0</v>
      </c>
    </row>
    <row r="348" spans="1:15" ht="14.1" customHeight="1">
      <c r="A348" s="37">
        <v>6</v>
      </c>
      <c r="B348" s="37" t="s">
        <v>279</v>
      </c>
      <c r="C348" s="37">
        <v>8</v>
      </c>
      <c r="D348" s="56" t="str">
        <f>MIERCOLES!$A$131</f>
        <v>Elevacion Gemelo</v>
      </c>
      <c r="E348" s="57" t="str">
        <f>MIERCOLES!$B$131</f>
        <v>Sentado</v>
      </c>
      <c r="F348" s="37" t="str">
        <f>MIERCOLES!$C$131</f>
        <v>disco</v>
      </c>
      <c r="G348" s="37" t="str">
        <f>IFERROR(LOOKUP(2,1/((HISTORIAL!$O$3:$O$346=D348&amp;"|"&amp;E348)*(HISTORIAL!$F$3:$F$346&lt;&gt;"")),HISTORIAL!$F$3:$F$346),"")</f>
        <v/>
      </c>
      <c r="H348" s="37" t="str">
        <f>IFERROR(LOOKUP(2,1/((HISTORIAL!$O$3:$O$346=D348&amp;"|"&amp;E348)*(HISTORIAL!$F$3:$F$346&lt;&gt;"")),HISTORIAL!$G$3:$G$346),"")</f>
        <v/>
      </c>
      <c r="I348" s="37" t="str">
        <f>IFERROR(LOOKUP(2,1/((HISTORIAL!$O$3:$O$346=D348&amp;"|"&amp;E348)*(HISTORIAL!$F$3:$F$346&lt;&gt;"")),HISTORIAL!$H$3:$H$346),"")</f>
        <v/>
      </c>
      <c r="J348" s="37" t="str">
        <f>IFERROR(LOOKUP(2,1/((HISTORIAL!$O$3:$O$346=D348&amp;"|"&amp;E348)*(HISTORIAL!$F$3:$F$346&lt;&gt;"")),HISTORIAL!$I$3:$I$346),"")</f>
        <v/>
      </c>
      <c r="K348" s="58" t="str">
        <f>IFERROR(IF(OR(G348="",N348="SIN"),"--",IF(N348="SUBIR_F",IF(F348="polea",IFERROR(INDEX(CONFIG!$B$25:$B$40,MATCH(G348,CONFIG!$B$25:$B$40,0)+2),IFERROR(INDEX(CONFIG!$B$25:$B$40,MATCH(G348,CONFIG!$B$25:$B$40,0)+1),G348)),G348+5),IF(OR(N348="SUBIR",N348="SUBIR_E"),IF(F348="polea",IFERROR(INDEX(CONFIG!$B$25:$B$40,MATCH(G348,CONFIG!$B$25:$B$40,0)+1),G348),G348+2.5),IF(N348="BAJAR",IF(F348="polea",IFERROR(INDEX(CONFIG!$B$25:$B$40,MAX(1,MATCH(G348,CONFIG!$B$25:$B$40,0)-1)),G348),MAX(0,G348-2.5)),G348)))),"--")</f>
        <v>--</v>
      </c>
      <c r="L348" s="59" t="str">
        <f>IFERROR(IF(N348="SIN","--",IF(N348="MANT",IF(H348="","--",H348+1),IFERROR(VLOOKUP(CONFIG!$E$2,CONFIG!$A$6:$E$8,2,0),"--"))),"--")</f>
        <v>--</v>
      </c>
      <c r="M348" s="59" t="str">
        <f>IFERROR(IF(N348="SIN","--",IF(CONFIG!$E$2="HIP",2,IF(CONFIG!$E$2="FUE",1,2))),"--")</f>
        <v>--</v>
      </c>
      <c r="N348" s="53" t="str">
        <f>IFERROR(IF(G348="","SIN",IF(O348=1,"SUBIR_E",IF(H348&lt;IFERROR(VLOOKUP(CONFIG!$E$2,CONFIG!$A$6:$E$8,2,0),6),"BAJAR",IF(H348+I348&gt;=IFERROR(VLOOKUP(CONFIG!$E$2,CONFIG!$A$6:$E$8,3,0),12),"SUBIR_F",IF(AND(H348&gt;=IFERROR(VLOOKUP(CONFIG!$E$2,CONFIG!$A$6:$E$8,2,0),6)+2,I348&gt;=2),"SUBIR",IF(I348&gt;IFERROR(VLOOKUP(CONFIG!$E$2,CONFIG!$A$6:$E$8,5,0),3),"SUBIR","MANT")))))),"SIN")</f>
        <v>SIN</v>
      </c>
      <c r="O348" s="55">
        <f>IF(COUNTIFS(HISTORIAL!$O$3:$O$346,D348&amp;"|"&amp;E348,HISTORIAL!$F$3:$F$346,"&gt;0")&lt;2,0,IF(COUNTIFS(HISTORIAL!$O$3:$O$346,D348&amp;"|"&amp;E348,HISTORIAL!$F$3:$F$346,IFERROR(LOOKUP(2,1/((HISTORIAL!$O$3:$O$346=D348&amp;"|"&amp;E348)*(HISTORIAL!$F$3:$F$346&gt;0)),HISTORIAL!$F$3:$F$346),0))&gt;=2,IF(IFERROR(LOOKUP(2,1/((HISTORIAL!$O$3:$O$346=D348&amp;"|"&amp;E348)*(HISTORIAL!$F$3:$F$346&gt;0)),HISTORIAL!$G$3:$G$346),0)&gt;0,IF(F348&gt;0,IF(G348&lt;=IFERROR(LOOKUP(2,1/((HISTORIAL!$O$3:$O$346=D348&amp;"|"&amp;E348)*(HISTORIAL!$F$3:$F$346&gt;0)),HISTORIAL!$G$3:$G$346),0),1,0),0),0),0))</f>
        <v>0</v>
      </c>
    </row>
    <row r="349" spans="1:15" ht="14.1" customHeight="1">
      <c r="A349" s="37">
        <v>6</v>
      </c>
      <c r="B349" s="37" t="s">
        <v>279</v>
      </c>
      <c r="C349" s="37">
        <v>9</v>
      </c>
      <c r="D349" s="56" t="str">
        <f>MIERCOLES!$A$132</f>
        <v>Elevacion Gemelo</v>
      </c>
      <c r="E349" s="57" t="str">
        <f>MIERCOLES!$B$132</f>
        <v>De Pie</v>
      </c>
      <c r="F349" s="37" t="str">
        <f>MIERCOLES!$C$132</f>
        <v>disco</v>
      </c>
      <c r="G349" s="37" t="str">
        <f>IFERROR(LOOKUP(2,1/((HISTORIAL!$O$3:$O$347=D349&amp;"|"&amp;E349)*(HISTORIAL!$F$3:$F$347&lt;&gt;"")),HISTORIAL!$F$3:$F$347),"")</f>
        <v/>
      </c>
      <c r="H349" s="37" t="str">
        <f>IFERROR(LOOKUP(2,1/((HISTORIAL!$O$3:$O$347=D349&amp;"|"&amp;E349)*(HISTORIAL!$F$3:$F$347&lt;&gt;"")),HISTORIAL!$G$3:$G$347),"")</f>
        <v/>
      </c>
      <c r="I349" s="37" t="str">
        <f>IFERROR(LOOKUP(2,1/((HISTORIAL!$O$3:$O$347=D349&amp;"|"&amp;E349)*(HISTORIAL!$F$3:$F$347&lt;&gt;"")),HISTORIAL!$H$3:$H$347),"")</f>
        <v/>
      </c>
      <c r="J349" s="37" t="str">
        <f>IFERROR(LOOKUP(2,1/((HISTORIAL!$O$3:$O$347=D349&amp;"|"&amp;E349)*(HISTORIAL!$F$3:$F$347&lt;&gt;"")),HISTORIAL!$I$3:$I$347),"")</f>
        <v/>
      </c>
      <c r="K349" s="58" t="str">
        <f>IFERROR(IF(OR(G349="",N349="SIN"),"--",IF(N349="SUBIR_F",IF(F349="polea",IFERROR(INDEX(CONFIG!$B$25:$B$40,MATCH(G349,CONFIG!$B$25:$B$40,0)+2),IFERROR(INDEX(CONFIG!$B$25:$B$40,MATCH(G349,CONFIG!$B$25:$B$40,0)+1),G349)),G349+5),IF(OR(N349="SUBIR",N349="SUBIR_E"),IF(F349="polea",IFERROR(INDEX(CONFIG!$B$25:$B$40,MATCH(G349,CONFIG!$B$25:$B$40,0)+1),G349),G349+2.5),IF(N349="BAJAR",IF(F349="polea",IFERROR(INDEX(CONFIG!$B$25:$B$40,MAX(1,MATCH(G349,CONFIG!$B$25:$B$40,0)-1)),G349),MAX(0,G349-2.5)),G349)))),"--")</f>
        <v>--</v>
      </c>
      <c r="L349" s="59" t="str">
        <f>IFERROR(IF(N349="SIN","--",IF(N349="MANT",IF(H349="","--",H349+1),IFERROR(VLOOKUP(CONFIG!$E$2,CONFIG!$A$6:$E$8,2,0),"--"))),"--")</f>
        <v>--</v>
      </c>
      <c r="M349" s="59" t="str">
        <f>IFERROR(IF(N349="SIN","--",IF(CONFIG!$E$2="HIP",2,IF(CONFIG!$E$2="FUE",1,2))),"--")</f>
        <v>--</v>
      </c>
      <c r="N349" s="53" t="str">
        <f>IFERROR(IF(G349="","SIN",IF(O349=1,"SUBIR_E",IF(H349&lt;IFERROR(VLOOKUP(CONFIG!$E$2,CONFIG!$A$6:$E$8,2,0),6),"BAJAR",IF(H349+I349&gt;=IFERROR(VLOOKUP(CONFIG!$E$2,CONFIG!$A$6:$E$8,3,0),12),"SUBIR_F",IF(AND(H349&gt;=IFERROR(VLOOKUP(CONFIG!$E$2,CONFIG!$A$6:$E$8,2,0),6)+2,I349&gt;=2),"SUBIR",IF(I349&gt;IFERROR(VLOOKUP(CONFIG!$E$2,CONFIG!$A$6:$E$8,5,0),3),"SUBIR","MANT")))))),"SIN")</f>
        <v>SIN</v>
      </c>
      <c r="O349" s="55">
        <f>IF(COUNTIFS(HISTORIAL!$O$3:$O$347,D349&amp;"|"&amp;E349,HISTORIAL!$F$3:$F$347,"&gt;0")&lt;2,0,IF(COUNTIFS(HISTORIAL!$O$3:$O$347,D349&amp;"|"&amp;E349,HISTORIAL!$F$3:$F$347,IFERROR(LOOKUP(2,1/((HISTORIAL!$O$3:$O$347=D349&amp;"|"&amp;E349)*(HISTORIAL!$F$3:$F$347&gt;0)),HISTORIAL!$F$3:$F$347),0))&gt;=2,IF(IFERROR(LOOKUP(2,1/((HISTORIAL!$O$3:$O$347=D349&amp;"|"&amp;E349)*(HISTORIAL!$F$3:$F$347&gt;0)),HISTORIAL!$G$3:$G$347),0)&gt;0,IF(F349&gt;0,IF(G349&lt;=IFERROR(LOOKUP(2,1/((HISTORIAL!$O$3:$O$347=D349&amp;"|"&amp;E349)*(HISTORIAL!$F$3:$F$347&gt;0)),HISTORIAL!$G$3:$G$347),0),1,0),0),0),0))</f>
        <v>0</v>
      </c>
    </row>
    <row r="350" spans="1:15" ht="14.1" customHeight="1">
      <c r="A350" s="37">
        <v>6</v>
      </c>
      <c r="B350" s="37" t="s">
        <v>279</v>
      </c>
      <c r="C350" s="37">
        <v>10</v>
      </c>
      <c r="D350" s="56" t="str">
        <f>MIERCOLES!$A$134</f>
        <v>Hiperextension</v>
      </c>
      <c r="E350" s="57" t="str">
        <f>MIERCOLES!$B$134</f>
        <v>Banco Romano</v>
      </c>
      <c r="F350" s="37" t="str">
        <f>MIERCOLES!$C$134</f>
        <v>peso_corporal</v>
      </c>
      <c r="G350" s="37" t="str">
        <f>IFERROR(LOOKUP(2,1/((HISTORIAL!$O$3:$O$348=D350&amp;"|"&amp;E350)*(HISTORIAL!$F$3:$F$348&lt;&gt;"")),HISTORIAL!$F$3:$F$348),"")</f>
        <v/>
      </c>
      <c r="H350" s="37" t="str">
        <f>IFERROR(LOOKUP(2,1/((HISTORIAL!$O$3:$O$348=D350&amp;"|"&amp;E350)*(HISTORIAL!$F$3:$F$348&lt;&gt;"")),HISTORIAL!$G$3:$G$348),"")</f>
        <v/>
      </c>
      <c r="I350" s="37" t="str">
        <f>IFERROR(LOOKUP(2,1/((HISTORIAL!$O$3:$O$348=D350&amp;"|"&amp;E350)*(HISTORIAL!$F$3:$F$348&lt;&gt;"")),HISTORIAL!$H$3:$H$348),"")</f>
        <v/>
      </c>
      <c r="J350" s="37" t="str">
        <f>IFERROR(LOOKUP(2,1/((HISTORIAL!$O$3:$O$348=D350&amp;"|"&amp;E350)*(HISTORIAL!$F$3:$F$348&lt;&gt;"")),HISTORIAL!$I$3:$I$348),"")</f>
        <v/>
      </c>
      <c r="K350" s="58" t="str">
        <f>IFERROR(IF(OR(G350="",N350="SIN"),"--",IF(N350="SUBIR_F",IF(F350="polea",IFERROR(INDEX(CONFIG!$B$25:$B$40,MATCH(G350,CONFIG!$B$25:$B$40,0)+2),IFERROR(INDEX(CONFIG!$B$25:$B$40,MATCH(G350,CONFIG!$B$25:$B$40,0)+1),G350)),G350+5),IF(OR(N350="SUBIR",N350="SUBIR_E"),IF(F350="polea",IFERROR(INDEX(CONFIG!$B$25:$B$40,MATCH(G350,CONFIG!$B$25:$B$40,0)+1),G350),G350+2.5),IF(N350="BAJAR",IF(F350="polea",IFERROR(INDEX(CONFIG!$B$25:$B$40,MAX(1,MATCH(G350,CONFIG!$B$25:$B$40,0)-1)),G350),MAX(0,G350-2.5)),G350)))),"--")</f>
        <v>--</v>
      </c>
      <c r="L350" s="59" t="str">
        <f>IFERROR(IF(N350="SIN","--",IF(N350="MANT",IF(H350="","--",H350+1),IFERROR(VLOOKUP(CONFIG!$E$2,CONFIG!$A$6:$E$8,2,0),"--"))),"--")</f>
        <v>--</v>
      </c>
      <c r="M350" s="59" t="str">
        <f>IFERROR(IF(N350="SIN","--",IF(CONFIG!$E$2="HIP",2,IF(CONFIG!$E$2="FUE",1,2))),"--")</f>
        <v>--</v>
      </c>
      <c r="N350" s="53" t="str">
        <f>IFERROR(IF(G350="","SIN",IF(O350=1,"SUBIR_E",IF(H350&lt;IFERROR(VLOOKUP(CONFIG!$E$2,CONFIG!$A$6:$E$8,2,0),6),"BAJAR",IF(H350+I350&gt;=IFERROR(VLOOKUP(CONFIG!$E$2,CONFIG!$A$6:$E$8,3,0),12),"SUBIR_F",IF(AND(H350&gt;=IFERROR(VLOOKUP(CONFIG!$E$2,CONFIG!$A$6:$E$8,2,0),6)+2,I350&gt;=2),"SUBIR",IF(I350&gt;IFERROR(VLOOKUP(CONFIG!$E$2,CONFIG!$A$6:$E$8,5,0),3),"SUBIR","MANT")))))),"SIN")</f>
        <v>SIN</v>
      </c>
      <c r="O350" s="55">
        <f>IF(COUNTIFS(HISTORIAL!$O$3:$O$348,D350&amp;"|"&amp;E350,HISTORIAL!$F$3:$F$348,"&gt;0")&lt;2,0,IF(COUNTIFS(HISTORIAL!$O$3:$O$348,D350&amp;"|"&amp;E350,HISTORIAL!$F$3:$F$348,IFERROR(LOOKUP(2,1/((HISTORIAL!$O$3:$O$348=D350&amp;"|"&amp;E350)*(HISTORIAL!$F$3:$F$348&gt;0)),HISTORIAL!$F$3:$F$348),0))&gt;=2,IF(IFERROR(LOOKUP(2,1/((HISTORIAL!$O$3:$O$348=D350&amp;"|"&amp;E350)*(HISTORIAL!$F$3:$F$348&gt;0)),HISTORIAL!$G$3:$G$348),0)&gt;0,IF(F350&gt;0,IF(G350&lt;=IFERROR(LOOKUP(2,1/((HISTORIAL!$O$3:$O$348=D350&amp;"|"&amp;E350)*(HISTORIAL!$F$3:$F$348&gt;0)),HISTORIAL!$G$3:$G$348),0),1,0),0),0),0))</f>
        <v>0</v>
      </c>
    </row>
    <row r="351" spans="1:15" ht="14.1" customHeight="1">
      <c r="A351" s="37">
        <v>6</v>
      </c>
      <c r="B351" s="37" t="s">
        <v>279</v>
      </c>
      <c r="C351" s="37">
        <v>11</v>
      </c>
      <c r="D351" s="56" t="str">
        <f>MIERCOLES!$A$135</f>
        <v>Peso Muerto Parcial</v>
      </c>
      <c r="E351" s="57" t="str">
        <f>MIERCOLES!$B$135</f>
        <v>Barra</v>
      </c>
      <c r="F351" s="37" t="str">
        <f>MIERCOLES!$C$135</f>
        <v>disco</v>
      </c>
      <c r="G351" s="37" t="str">
        <f>IFERROR(LOOKUP(2,1/((HISTORIAL!$O$3:$O$349=D351&amp;"|"&amp;E351)*(HISTORIAL!$F$3:$F$349&lt;&gt;"")),HISTORIAL!$F$3:$F$349),"")</f>
        <v/>
      </c>
      <c r="H351" s="37" t="str">
        <f>IFERROR(LOOKUP(2,1/((HISTORIAL!$O$3:$O$349=D351&amp;"|"&amp;E351)*(HISTORIAL!$F$3:$F$349&lt;&gt;"")),HISTORIAL!$G$3:$G$349),"")</f>
        <v/>
      </c>
      <c r="I351" s="37" t="str">
        <f>IFERROR(LOOKUP(2,1/((HISTORIAL!$O$3:$O$349=D351&amp;"|"&amp;E351)*(HISTORIAL!$F$3:$F$349&lt;&gt;"")),HISTORIAL!$H$3:$H$349),"")</f>
        <v/>
      </c>
      <c r="J351" s="37" t="str">
        <f>IFERROR(LOOKUP(2,1/((HISTORIAL!$O$3:$O$349=D351&amp;"|"&amp;E351)*(HISTORIAL!$F$3:$F$349&lt;&gt;"")),HISTORIAL!$I$3:$I$349),"")</f>
        <v/>
      </c>
      <c r="K351" s="58" t="str">
        <f>IFERROR(IF(OR(G351="",N351="SIN"),"--",IF(N351="SUBIR_F",IF(F351="polea",IFERROR(INDEX(CONFIG!$B$25:$B$40,MATCH(G351,CONFIG!$B$25:$B$40,0)+2),IFERROR(INDEX(CONFIG!$B$25:$B$40,MATCH(G351,CONFIG!$B$25:$B$40,0)+1),G351)),G351+5),IF(OR(N351="SUBIR",N351="SUBIR_E"),IF(F351="polea",IFERROR(INDEX(CONFIG!$B$25:$B$40,MATCH(G351,CONFIG!$B$25:$B$40,0)+1),G351),G351+2.5),IF(N351="BAJAR",IF(F351="polea",IFERROR(INDEX(CONFIG!$B$25:$B$40,MAX(1,MATCH(G351,CONFIG!$B$25:$B$40,0)-1)),G351),MAX(0,G351-2.5)),G351)))),"--")</f>
        <v>--</v>
      </c>
      <c r="L351" s="59" t="str">
        <f>IFERROR(IF(N351="SIN","--",IF(N351="MANT",IF(H351="","--",H351+1),IFERROR(VLOOKUP(CONFIG!$E$2,CONFIG!$A$6:$E$8,2,0),"--"))),"--")</f>
        <v>--</v>
      </c>
      <c r="M351" s="59" t="str">
        <f>IFERROR(IF(N351="SIN","--",IF(CONFIG!$E$2="HIP",2,IF(CONFIG!$E$2="FUE",1,2))),"--")</f>
        <v>--</v>
      </c>
      <c r="N351" s="53" t="str">
        <f>IFERROR(IF(G351="","SIN",IF(O351=1,"SUBIR_E",IF(H351&lt;IFERROR(VLOOKUP(CONFIG!$E$2,CONFIG!$A$6:$E$8,2,0),6),"BAJAR",IF(H351+I351&gt;=IFERROR(VLOOKUP(CONFIG!$E$2,CONFIG!$A$6:$E$8,3,0),12),"SUBIR_F",IF(AND(H351&gt;=IFERROR(VLOOKUP(CONFIG!$E$2,CONFIG!$A$6:$E$8,2,0),6)+2,I351&gt;=2),"SUBIR",IF(I351&gt;IFERROR(VLOOKUP(CONFIG!$E$2,CONFIG!$A$6:$E$8,5,0),3),"SUBIR","MANT")))))),"SIN")</f>
        <v>SIN</v>
      </c>
      <c r="O351" s="55">
        <f>IF(COUNTIFS(HISTORIAL!$O$3:$O$349,D351&amp;"|"&amp;E351,HISTORIAL!$F$3:$F$349,"&gt;0")&lt;2,0,IF(COUNTIFS(HISTORIAL!$O$3:$O$349,D351&amp;"|"&amp;E351,HISTORIAL!$F$3:$F$349,IFERROR(LOOKUP(2,1/((HISTORIAL!$O$3:$O$349=D351&amp;"|"&amp;E351)*(HISTORIAL!$F$3:$F$349&gt;0)),HISTORIAL!$F$3:$F$349),0))&gt;=2,IF(IFERROR(LOOKUP(2,1/((HISTORIAL!$O$3:$O$349=D351&amp;"|"&amp;E351)*(HISTORIAL!$F$3:$F$349&gt;0)),HISTORIAL!$G$3:$G$349),0)&gt;0,IF(F351&gt;0,IF(G351&lt;=IFERROR(LOOKUP(2,1/((HISTORIAL!$O$3:$O$349=D351&amp;"|"&amp;E351)*(HISTORIAL!$F$3:$F$349&gt;0)),HISTORIAL!$G$3:$G$349),0),1,0),0),0),0))</f>
        <v>0</v>
      </c>
    </row>
    <row r="352" spans="1:15" ht="14.1" customHeight="1">
      <c r="A352" s="37">
        <v>6</v>
      </c>
      <c r="B352" s="37" t="s">
        <v>279</v>
      </c>
      <c r="C352" s="37">
        <v>12</v>
      </c>
      <c r="D352" s="56" t="str">
        <f>MIERCOLES!$A$137</f>
        <v>Crunch</v>
      </c>
      <c r="E352" s="57" t="str">
        <f>MIERCOLES!$B$137</f>
        <v>Polea</v>
      </c>
      <c r="F352" s="37" t="str">
        <f>MIERCOLES!$C$137</f>
        <v>polea</v>
      </c>
      <c r="G352" s="37" t="str">
        <f>IFERROR(LOOKUP(2,1/((HISTORIAL!$O$3:$O$350=D352&amp;"|"&amp;E352)*(HISTORIAL!$F$3:$F$350&lt;&gt;"")),HISTORIAL!$F$3:$F$350),"")</f>
        <v/>
      </c>
      <c r="H352" s="37" t="str">
        <f>IFERROR(LOOKUP(2,1/((HISTORIAL!$O$3:$O$350=D352&amp;"|"&amp;E352)*(HISTORIAL!$F$3:$F$350&lt;&gt;"")),HISTORIAL!$G$3:$G$350),"")</f>
        <v/>
      </c>
      <c r="I352" s="37" t="str">
        <f>IFERROR(LOOKUP(2,1/((HISTORIAL!$O$3:$O$350=D352&amp;"|"&amp;E352)*(HISTORIAL!$F$3:$F$350&lt;&gt;"")),HISTORIAL!$H$3:$H$350),"")</f>
        <v/>
      </c>
      <c r="J352" s="37" t="str">
        <f>IFERROR(LOOKUP(2,1/((HISTORIAL!$O$3:$O$350=D352&amp;"|"&amp;E352)*(HISTORIAL!$F$3:$F$350&lt;&gt;"")),HISTORIAL!$I$3:$I$350),"")</f>
        <v/>
      </c>
      <c r="K352" s="58" t="str">
        <f>IFERROR(IF(OR(G352="",N352="SIN"),"--",IF(N352="SUBIR_F",IF(F352="polea",IFERROR(INDEX(CONFIG!$B$25:$B$40,MATCH(G352,CONFIG!$B$25:$B$40,0)+2),IFERROR(INDEX(CONFIG!$B$25:$B$40,MATCH(G352,CONFIG!$B$25:$B$40,0)+1),G352)),G352+5),IF(OR(N352="SUBIR",N352="SUBIR_E"),IF(F352="polea",IFERROR(INDEX(CONFIG!$B$25:$B$40,MATCH(G352,CONFIG!$B$25:$B$40,0)+1),G352),G352+2.5),IF(N352="BAJAR",IF(F352="polea",IFERROR(INDEX(CONFIG!$B$25:$B$40,MAX(1,MATCH(G352,CONFIG!$B$25:$B$40,0)-1)),G352),MAX(0,G352-2.5)),G352)))),"--")</f>
        <v>--</v>
      </c>
      <c r="L352" s="59" t="str">
        <f>IFERROR(IF(N352="SIN","--",IF(N352="MANT",IF(H352="","--",H352+1),IFERROR(VLOOKUP(CONFIG!$E$2,CONFIG!$A$6:$E$8,2,0),"--"))),"--")</f>
        <v>--</v>
      </c>
      <c r="M352" s="59" t="str">
        <f>IFERROR(IF(N352="SIN","--",IF(CONFIG!$E$2="HIP",2,IF(CONFIG!$E$2="FUE",1,2))),"--")</f>
        <v>--</v>
      </c>
      <c r="N352" s="53" t="str">
        <f>IFERROR(IF(G352="","SIN",IF(O352=1,"SUBIR_E",IF(H352&lt;IFERROR(VLOOKUP(CONFIG!$E$2,CONFIG!$A$6:$E$8,2,0),6),"BAJAR",IF(H352+I352&gt;=IFERROR(VLOOKUP(CONFIG!$E$2,CONFIG!$A$6:$E$8,3,0),12),"SUBIR_F",IF(AND(H352&gt;=IFERROR(VLOOKUP(CONFIG!$E$2,CONFIG!$A$6:$E$8,2,0),6)+2,I352&gt;=2),"SUBIR",IF(I352&gt;IFERROR(VLOOKUP(CONFIG!$E$2,CONFIG!$A$6:$E$8,5,0),3),"SUBIR","MANT")))))),"SIN")</f>
        <v>SIN</v>
      </c>
      <c r="O352" s="55">
        <f>IF(COUNTIFS(HISTORIAL!$O$3:$O$350,D352&amp;"|"&amp;E352,HISTORIAL!$F$3:$F$350,"&gt;0")&lt;2,0,IF(COUNTIFS(HISTORIAL!$O$3:$O$350,D352&amp;"|"&amp;E352,HISTORIAL!$F$3:$F$350,IFERROR(LOOKUP(2,1/((HISTORIAL!$O$3:$O$350=D352&amp;"|"&amp;E352)*(HISTORIAL!$F$3:$F$350&gt;0)),HISTORIAL!$F$3:$F$350),0))&gt;=2,IF(IFERROR(LOOKUP(2,1/((HISTORIAL!$O$3:$O$350=D352&amp;"|"&amp;E352)*(HISTORIAL!$F$3:$F$350&gt;0)),HISTORIAL!$G$3:$G$350),0)&gt;0,IF(F352&gt;0,IF(G352&lt;=IFERROR(LOOKUP(2,1/((HISTORIAL!$O$3:$O$350=D352&amp;"|"&amp;E352)*(HISTORIAL!$F$3:$F$350&gt;0)),HISTORIAL!$G$3:$G$350),0),1,0),0),0),0))</f>
        <v>0</v>
      </c>
    </row>
    <row r="353" spans="1:15" ht="14.1" customHeight="1">
      <c r="A353" s="37">
        <v>6</v>
      </c>
      <c r="B353" s="37" t="s">
        <v>279</v>
      </c>
      <c r="C353" s="37">
        <v>13</v>
      </c>
      <c r="D353" s="56" t="str">
        <f>MIERCOLES!$A$138</f>
        <v>Plancha</v>
      </c>
      <c r="E353" s="57" t="str">
        <f>MIERCOLES!$B$138</f>
        <v>Abdominal</v>
      </c>
      <c r="F353" s="37" t="str">
        <f>MIERCOLES!$C$138</f>
        <v>--</v>
      </c>
      <c r="G353" s="37" t="str">
        <f>IFERROR(LOOKUP(2,1/((HISTORIAL!$O$3:$O$351=D353&amp;"|"&amp;E353)*(HISTORIAL!$F$3:$F$351&lt;&gt;"")),HISTORIAL!$F$3:$F$351),"")</f>
        <v/>
      </c>
      <c r="H353" s="37" t="str">
        <f>IFERROR(LOOKUP(2,1/((HISTORIAL!$O$3:$O$351=D353&amp;"|"&amp;E353)*(HISTORIAL!$F$3:$F$351&lt;&gt;"")),HISTORIAL!$G$3:$G$351),"")</f>
        <v/>
      </c>
      <c r="I353" s="37" t="str">
        <f>IFERROR(LOOKUP(2,1/((HISTORIAL!$O$3:$O$351=D353&amp;"|"&amp;E353)*(HISTORIAL!$F$3:$F$351&lt;&gt;"")),HISTORIAL!$H$3:$H$351),"")</f>
        <v/>
      </c>
      <c r="J353" s="37" t="str">
        <f>IFERROR(LOOKUP(2,1/((HISTORIAL!$O$3:$O$351=D353&amp;"|"&amp;E353)*(HISTORIAL!$F$3:$F$351&lt;&gt;"")),HISTORIAL!$I$3:$I$351),"")</f>
        <v/>
      </c>
      <c r="K353" s="58" t="str">
        <f>IFERROR(IF(OR(G353="",N353="SIN"),"--",IF(N353="SUBIR_F",IF(F353="polea",IFERROR(INDEX(CONFIG!$B$25:$B$40,MATCH(G353,CONFIG!$B$25:$B$40,0)+2),IFERROR(INDEX(CONFIG!$B$25:$B$40,MATCH(G353,CONFIG!$B$25:$B$40,0)+1),G353)),G353+5),IF(OR(N353="SUBIR",N353="SUBIR_E"),IF(F353="polea",IFERROR(INDEX(CONFIG!$B$25:$B$40,MATCH(G353,CONFIG!$B$25:$B$40,0)+1),G353),G353+2.5),IF(N353="BAJAR",IF(F353="polea",IFERROR(INDEX(CONFIG!$B$25:$B$40,MAX(1,MATCH(G353,CONFIG!$B$25:$B$40,0)-1)),G353),MAX(0,G353-2.5)),G353)))),"--")</f>
        <v>--</v>
      </c>
      <c r="L353" s="59" t="str">
        <f>IFERROR(IF(N353="SIN","--",IF(N353="MANT",IF(H353="","--",H353+1),IFERROR(VLOOKUP(CONFIG!$E$2,CONFIG!$A$6:$E$8,2,0),"--"))),"--")</f>
        <v>--</v>
      </c>
      <c r="M353" s="59" t="str">
        <f>IFERROR(IF(N353="SIN","--",IF(CONFIG!$E$2="HIP",2,IF(CONFIG!$E$2="FUE",1,2))),"--")</f>
        <v>--</v>
      </c>
      <c r="N353" s="53" t="str">
        <f>IFERROR(IF(G353="","SIN",IF(O353=1,"SUBIR_E",IF(H353&lt;IFERROR(VLOOKUP(CONFIG!$E$2,CONFIG!$A$6:$E$8,2,0),6),"BAJAR",IF(H353+I353&gt;=IFERROR(VLOOKUP(CONFIG!$E$2,CONFIG!$A$6:$E$8,3,0),12),"SUBIR_F",IF(AND(H353&gt;=IFERROR(VLOOKUP(CONFIG!$E$2,CONFIG!$A$6:$E$8,2,0),6)+2,I353&gt;=2),"SUBIR",IF(I353&gt;IFERROR(VLOOKUP(CONFIG!$E$2,CONFIG!$A$6:$E$8,5,0),3),"SUBIR","MANT")))))),"SIN")</f>
        <v>SIN</v>
      </c>
      <c r="O353" s="55">
        <f>IF(COUNTIFS(HISTORIAL!$O$3:$O$351,D353&amp;"|"&amp;E353,HISTORIAL!$F$3:$F$351,"&gt;0")&lt;2,0,IF(COUNTIFS(HISTORIAL!$O$3:$O$351,D353&amp;"|"&amp;E353,HISTORIAL!$F$3:$F$351,IFERROR(LOOKUP(2,1/((HISTORIAL!$O$3:$O$351=D353&amp;"|"&amp;E353)*(HISTORIAL!$F$3:$F$351&gt;0)),HISTORIAL!$F$3:$F$351),0))&gt;=2,IF(IFERROR(LOOKUP(2,1/((HISTORIAL!$O$3:$O$351=D353&amp;"|"&amp;E353)*(HISTORIAL!$F$3:$F$351&gt;0)),HISTORIAL!$G$3:$G$351),0)&gt;0,IF(F353&gt;0,IF(G353&lt;=IFERROR(LOOKUP(2,1/((HISTORIAL!$O$3:$O$351=D353&amp;"|"&amp;E353)*(HISTORIAL!$F$3:$F$351&gt;0)),HISTORIAL!$G$3:$G$351),0),1,0),0),0),0))</f>
        <v>0</v>
      </c>
    </row>
    <row r="354" spans="1:15" ht="14.1" customHeight="1">
      <c r="A354" s="37">
        <v>6</v>
      </c>
      <c r="B354" s="37" t="s">
        <v>279</v>
      </c>
      <c r="C354" s="37">
        <v>14</v>
      </c>
      <c r="D354" s="56" t="str">
        <f>MIERCOLES!$A$139</f>
        <v>Rueda Abdominal</v>
      </c>
      <c r="E354" s="57" t="str">
        <f>MIERCOLES!$B$139</f>
        <v>Ab Wheel</v>
      </c>
      <c r="F354" s="37" t="str">
        <f>MIERCOLES!$C$139</f>
        <v>--</v>
      </c>
      <c r="G354" s="37" t="str">
        <f>IFERROR(LOOKUP(2,1/((HISTORIAL!$O$3:$O$352=D354&amp;"|"&amp;E354)*(HISTORIAL!$F$3:$F$352&lt;&gt;"")),HISTORIAL!$F$3:$F$352),"")</f>
        <v/>
      </c>
      <c r="H354" s="37" t="str">
        <f>IFERROR(LOOKUP(2,1/((HISTORIAL!$O$3:$O$352=D354&amp;"|"&amp;E354)*(HISTORIAL!$F$3:$F$352&lt;&gt;"")),HISTORIAL!$G$3:$G$352),"")</f>
        <v/>
      </c>
      <c r="I354" s="37" t="str">
        <f>IFERROR(LOOKUP(2,1/((HISTORIAL!$O$3:$O$352=D354&amp;"|"&amp;E354)*(HISTORIAL!$F$3:$F$352&lt;&gt;"")),HISTORIAL!$H$3:$H$352),"")</f>
        <v/>
      </c>
      <c r="J354" s="37" t="str">
        <f>IFERROR(LOOKUP(2,1/((HISTORIAL!$O$3:$O$352=D354&amp;"|"&amp;E354)*(HISTORIAL!$F$3:$F$352&lt;&gt;"")),HISTORIAL!$I$3:$I$352),"")</f>
        <v/>
      </c>
      <c r="K354" s="58" t="str">
        <f>IFERROR(IF(OR(G354="",N354="SIN"),"--",IF(N354="SUBIR_F",IF(F354="polea",IFERROR(INDEX(CONFIG!$B$25:$B$40,MATCH(G354,CONFIG!$B$25:$B$40,0)+2),IFERROR(INDEX(CONFIG!$B$25:$B$40,MATCH(G354,CONFIG!$B$25:$B$40,0)+1),G354)),G354+5),IF(OR(N354="SUBIR",N354="SUBIR_E"),IF(F354="polea",IFERROR(INDEX(CONFIG!$B$25:$B$40,MATCH(G354,CONFIG!$B$25:$B$40,0)+1),G354),G354+2.5),IF(N354="BAJAR",IF(F354="polea",IFERROR(INDEX(CONFIG!$B$25:$B$40,MAX(1,MATCH(G354,CONFIG!$B$25:$B$40,0)-1)),G354),MAX(0,G354-2.5)),G354)))),"--")</f>
        <v>--</v>
      </c>
      <c r="L354" s="59" t="str">
        <f>IFERROR(IF(N354="SIN","--",IF(N354="MANT",IF(H354="","--",H354+1),IFERROR(VLOOKUP(CONFIG!$E$2,CONFIG!$A$6:$E$8,2,0),"--"))),"--")</f>
        <v>--</v>
      </c>
      <c r="M354" s="59" t="str">
        <f>IFERROR(IF(N354="SIN","--",IF(CONFIG!$E$2="HIP",2,IF(CONFIG!$E$2="FUE",1,2))),"--")</f>
        <v>--</v>
      </c>
      <c r="N354" s="53" t="str">
        <f>IFERROR(IF(G354="","SIN",IF(O354=1,"SUBIR_E",IF(H354&lt;IFERROR(VLOOKUP(CONFIG!$E$2,CONFIG!$A$6:$E$8,2,0),6),"BAJAR",IF(H354+I354&gt;=IFERROR(VLOOKUP(CONFIG!$E$2,CONFIG!$A$6:$E$8,3,0),12),"SUBIR_F",IF(AND(H354&gt;=IFERROR(VLOOKUP(CONFIG!$E$2,CONFIG!$A$6:$E$8,2,0),6)+2,I354&gt;=2),"SUBIR",IF(I354&gt;IFERROR(VLOOKUP(CONFIG!$E$2,CONFIG!$A$6:$E$8,5,0),3),"SUBIR","MANT")))))),"SIN")</f>
        <v>SIN</v>
      </c>
      <c r="O354" s="55">
        <f>IF(COUNTIFS(HISTORIAL!$O$3:$O$352,D354&amp;"|"&amp;E354,HISTORIAL!$F$3:$F$352,"&gt;0")&lt;2,0,IF(COUNTIFS(HISTORIAL!$O$3:$O$352,D354&amp;"|"&amp;E354,HISTORIAL!$F$3:$F$352,IFERROR(LOOKUP(2,1/((HISTORIAL!$O$3:$O$352=D354&amp;"|"&amp;E354)*(HISTORIAL!$F$3:$F$352&gt;0)),HISTORIAL!$F$3:$F$352),0))&gt;=2,IF(IFERROR(LOOKUP(2,1/((HISTORIAL!$O$3:$O$352=D354&amp;"|"&amp;E354)*(HISTORIAL!$F$3:$F$352&gt;0)),HISTORIAL!$G$3:$G$352),0)&gt;0,IF(F354&gt;0,IF(G354&lt;=IFERROR(LOOKUP(2,1/((HISTORIAL!$O$3:$O$352=D354&amp;"|"&amp;E354)*(HISTORIAL!$F$3:$F$352&gt;0)),HISTORIAL!$G$3:$G$352),0),1,0),0),0),0))</f>
        <v>0</v>
      </c>
    </row>
    <row r="355" spans="1:15" ht="14.1" customHeight="1">
      <c r="A355" s="37">
        <v>6</v>
      </c>
      <c r="B355" s="37" t="s">
        <v>279</v>
      </c>
      <c r="C355" s="37">
        <v>15</v>
      </c>
      <c r="D355" s="56" t="str">
        <f>MIERCOLES!$A$140</f>
        <v>Elevacion Piernas</v>
      </c>
      <c r="E355" s="57" t="str">
        <f>MIERCOLES!$B$140</f>
        <v>Colgado</v>
      </c>
      <c r="F355" s="37" t="str">
        <f>MIERCOLES!$C$140</f>
        <v>peso_corporal</v>
      </c>
      <c r="G355" s="37" t="str">
        <f>IFERROR(LOOKUP(2,1/((HISTORIAL!$O$3:$O$353=D355&amp;"|"&amp;E355)*(HISTORIAL!$F$3:$F$353&lt;&gt;"")),HISTORIAL!$F$3:$F$353),"")</f>
        <v/>
      </c>
      <c r="H355" s="37" t="str">
        <f>IFERROR(LOOKUP(2,1/((HISTORIAL!$O$3:$O$353=D355&amp;"|"&amp;E355)*(HISTORIAL!$F$3:$F$353&lt;&gt;"")),HISTORIAL!$G$3:$G$353),"")</f>
        <v/>
      </c>
      <c r="I355" s="37" t="str">
        <f>IFERROR(LOOKUP(2,1/((HISTORIAL!$O$3:$O$353=D355&amp;"|"&amp;E355)*(HISTORIAL!$F$3:$F$353&lt;&gt;"")),HISTORIAL!$H$3:$H$353),"")</f>
        <v/>
      </c>
      <c r="J355" s="37" t="str">
        <f>IFERROR(LOOKUP(2,1/((HISTORIAL!$O$3:$O$353=D355&amp;"|"&amp;E355)*(HISTORIAL!$F$3:$F$353&lt;&gt;"")),HISTORIAL!$I$3:$I$353),"")</f>
        <v/>
      </c>
      <c r="K355" s="58" t="str">
        <f>IFERROR(IF(OR(G355="",N355="SIN"),"--",IF(N355="SUBIR_F",IF(F355="polea",IFERROR(INDEX(CONFIG!$B$25:$B$40,MATCH(G355,CONFIG!$B$25:$B$40,0)+2),IFERROR(INDEX(CONFIG!$B$25:$B$40,MATCH(G355,CONFIG!$B$25:$B$40,0)+1),G355)),G355+5),IF(OR(N355="SUBIR",N355="SUBIR_E"),IF(F355="polea",IFERROR(INDEX(CONFIG!$B$25:$B$40,MATCH(G355,CONFIG!$B$25:$B$40,0)+1),G355),G355+2.5),IF(N355="BAJAR",IF(F355="polea",IFERROR(INDEX(CONFIG!$B$25:$B$40,MAX(1,MATCH(G355,CONFIG!$B$25:$B$40,0)-1)),G355),MAX(0,G355-2.5)),G355)))),"--")</f>
        <v>--</v>
      </c>
      <c r="L355" s="59" t="str">
        <f>IFERROR(IF(N355="SIN","--",IF(N355="MANT",IF(H355="","--",H355+1),IFERROR(VLOOKUP(CONFIG!$E$2,CONFIG!$A$6:$E$8,2,0),"--"))),"--")</f>
        <v>--</v>
      </c>
      <c r="M355" s="59" t="str">
        <f>IFERROR(IF(N355="SIN","--",IF(CONFIG!$E$2="HIP",2,IF(CONFIG!$E$2="FUE",1,2))),"--")</f>
        <v>--</v>
      </c>
      <c r="N355" s="53" t="str">
        <f>IFERROR(IF(G355="","SIN",IF(O355=1,"SUBIR_E",IF(H355&lt;IFERROR(VLOOKUP(CONFIG!$E$2,CONFIG!$A$6:$E$8,2,0),6),"BAJAR",IF(H355+I355&gt;=IFERROR(VLOOKUP(CONFIG!$E$2,CONFIG!$A$6:$E$8,3,0),12),"SUBIR_F",IF(AND(H355&gt;=IFERROR(VLOOKUP(CONFIG!$E$2,CONFIG!$A$6:$E$8,2,0),6)+2,I355&gt;=2),"SUBIR",IF(I355&gt;IFERROR(VLOOKUP(CONFIG!$E$2,CONFIG!$A$6:$E$8,5,0),3),"SUBIR","MANT")))))),"SIN")</f>
        <v>SIN</v>
      </c>
      <c r="O355" s="55">
        <f>IF(COUNTIFS(HISTORIAL!$O$3:$O$353,D355&amp;"|"&amp;E355,HISTORIAL!$F$3:$F$353,"&gt;0")&lt;2,0,IF(COUNTIFS(HISTORIAL!$O$3:$O$353,D355&amp;"|"&amp;E355,HISTORIAL!$F$3:$F$353,IFERROR(LOOKUP(2,1/((HISTORIAL!$O$3:$O$353=D355&amp;"|"&amp;E355)*(HISTORIAL!$F$3:$F$353&gt;0)),HISTORIAL!$F$3:$F$353),0))&gt;=2,IF(IFERROR(LOOKUP(2,1/((HISTORIAL!$O$3:$O$353=D355&amp;"|"&amp;E355)*(HISTORIAL!$F$3:$F$353&gt;0)),HISTORIAL!$G$3:$G$353),0)&gt;0,IF(F355&gt;0,IF(G355&lt;=IFERROR(LOOKUP(2,1/((HISTORIAL!$O$3:$O$353=D355&amp;"|"&amp;E355)*(HISTORIAL!$F$3:$F$353&gt;0)),HISTORIAL!$G$3:$G$353),0),1,0),0),0),0))</f>
        <v>0</v>
      </c>
    </row>
    <row r="356" spans="1:15" ht="14.1" customHeight="1">
      <c r="A356" s="37">
        <v>6</v>
      </c>
      <c r="B356" s="37" t="s">
        <v>280</v>
      </c>
      <c r="C356" s="37">
        <v>1</v>
      </c>
      <c r="D356" s="56" t="str">
        <f>JUEVES!$A$137</f>
        <v>Press Militar</v>
      </c>
      <c r="E356" s="57" t="str">
        <f>JUEVES!$B$137</f>
        <v>Multipower</v>
      </c>
      <c r="F356" s="37" t="str">
        <f>JUEVES!$C$137</f>
        <v>--</v>
      </c>
      <c r="G356" s="37" t="str">
        <f>IFERROR(LOOKUP(2,1/((HISTORIAL!$O$3:$O$354=D356&amp;"|"&amp;E356)*(HISTORIAL!$F$3:$F$354&lt;&gt;"")),HISTORIAL!$F$3:$F$354),"")</f>
        <v/>
      </c>
      <c r="H356" s="37" t="str">
        <f>IFERROR(LOOKUP(2,1/((HISTORIAL!$O$3:$O$354=D356&amp;"|"&amp;E356)*(HISTORIAL!$F$3:$F$354&lt;&gt;"")),HISTORIAL!$G$3:$G$354),"")</f>
        <v/>
      </c>
      <c r="I356" s="37" t="str">
        <f>IFERROR(LOOKUP(2,1/((HISTORIAL!$O$3:$O$354=D356&amp;"|"&amp;E356)*(HISTORIAL!$F$3:$F$354&lt;&gt;"")),HISTORIAL!$H$3:$H$354),"")</f>
        <v/>
      </c>
      <c r="J356" s="37" t="str">
        <f>IFERROR(LOOKUP(2,1/((HISTORIAL!$O$3:$O$354=D356&amp;"|"&amp;E356)*(HISTORIAL!$F$3:$F$354&lt;&gt;"")),HISTORIAL!$I$3:$I$354),"")</f>
        <v/>
      </c>
      <c r="K356" s="58" t="str">
        <f>IFERROR(IF(OR(G356="",N356="SIN"),"--",IF(N356="SUBIR_F",IF(F356="polea",IFERROR(INDEX(CONFIG!$B$25:$B$40,MATCH(G356,CONFIG!$B$25:$B$40,0)+2),IFERROR(INDEX(CONFIG!$B$25:$B$40,MATCH(G356,CONFIG!$B$25:$B$40,0)+1),G356)),G356+5),IF(OR(N356="SUBIR",N356="SUBIR_E"),IF(F356="polea",IFERROR(INDEX(CONFIG!$B$25:$B$40,MATCH(G356,CONFIG!$B$25:$B$40,0)+1),G356),G356+2.5),IF(N356="BAJAR",IF(F356="polea",IFERROR(INDEX(CONFIG!$B$25:$B$40,MAX(1,MATCH(G356,CONFIG!$B$25:$B$40,0)-1)),G356),MAX(0,G356-2.5)),G356)))),"--")</f>
        <v>--</v>
      </c>
      <c r="L356" s="59" t="str">
        <f>IFERROR(IF(N356="SIN","--",IF(N356="MANT",IF(H356="","--",H356+1),IFERROR(VLOOKUP(CONFIG!$E$2,CONFIG!$A$6:$E$8,2,0),"--"))),"--")</f>
        <v>--</v>
      </c>
      <c r="M356" s="59" t="str">
        <f>IFERROR(IF(N356="SIN","--",IF(CONFIG!$E$2="HIP",2,IF(CONFIG!$E$2="FUE",1,2))),"--")</f>
        <v>--</v>
      </c>
      <c r="N356" s="53" t="str">
        <f>IFERROR(IF(G356="","SIN",IF(O356=1,"SUBIR_E",IF(H356&lt;IFERROR(VLOOKUP(CONFIG!$E$2,CONFIG!$A$6:$E$8,2,0),6),"BAJAR",IF(H356+I356&gt;=IFERROR(VLOOKUP(CONFIG!$E$2,CONFIG!$A$6:$E$8,3,0),12),"SUBIR_F",IF(AND(H356&gt;=IFERROR(VLOOKUP(CONFIG!$E$2,CONFIG!$A$6:$E$8,2,0),6)+2,I356&gt;=2),"SUBIR",IF(I356&gt;IFERROR(VLOOKUP(CONFIG!$E$2,CONFIG!$A$6:$E$8,5,0),3),"SUBIR","MANT")))))),"SIN")</f>
        <v>SIN</v>
      </c>
      <c r="O356" s="55">
        <f>IF(COUNTIFS(HISTORIAL!$O$3:$O$354,D356&amp;"|"&amp;E356,HISTORIAL!$F$3:$F$354,"&gt;0")&lt;2,0,IF(COUNTIFS(HISTORIAL!$O$3:$O$354,D356&amp;"|"&amp;E356,HISTORIAL!$F$3:$F$354,IFERROR(LOOKUP(2,1/((HISTORIAL!$O$3:$O$354=D356&amp;"|"&amp;E356)*(HISTORIAL!$F$3:$F$354&gt;0)),HISTORIAL!$F$3:$F$354),0))&gt;=2,IF(IFERROR(LOOKUP(2,1/((HISTORIAL!$O$3:$O$354=D356&amp;"|"&amp;E356)*(HISTORIAL!$F$3:$F$354&gt;0)),HISTORIAL!$G$3:$G$354),0)&gt;0,IF(F356&gt;0,IF(G356&lt;=IFERROR(LOOKUP(2,1/((HISTORIAL!$O$3:$O$354=D356&amp;"|"&amp;E356)*(HISTORIAL!$F$3:$F$354&gt;0)),HISTORIAL!$G$3:$G$354),0),1,0),0),0),0))</f>
        <v>0</v>
      </c>
    </row>
    <row r="357" spans="1:15" ht="14.1" customHeight="1">
      <c r="A357" s="37">
        <v>6</v>
      </c>
      <c r="B357" s="37" t="s">
        <v>280</v>
      </c>
      <c r="C357" s="37">
        <v>2</v>
      </c>
      <c r="D357" s="56" t="str">
        <f>JUEVES!$A$138</f>
        <v>Elevaciones Laterales</v>
      </c>
      <c r="E357" s="57" t="str">
        <f>JUEVES!$B$138</f>
        <v>Drop Set Maquina</v>
      </c>
      <c r="F357" s="37" t="str">
        <f>JUEVES!$C$138</f>
        <v>--</v>
      </c>
      <c r="G357" s="37" t="str">
        <f>IFERROR(LOOKUP(2,1/((HISTORIAL!$O$3:$O$355=D357&amp;"|"&amp;E357)*(HISTORIAL!$F$3:$F$355&lt;&gt;"")),HISTORIAL!$F$3:$F$355),"")</f>
        <v/>
      </c>
      <c r="H357" s="37" t="str">
        <f>IFERROR(LOOKUP(2,1/((HISTORIAL!$O$3:$O$355=D357&amp;"|"&amp;E357)*(HISTORIAL!$F$3:$F$355&lt;&gt;"")),HISTORIAL!$G$3:$G$355),"")</f>
        <v/>
      </c>
      <c r="I357" s="37" t="str">
        <f>IFERROR(LOOKUP(2,1/((HISTORIAL!$O$3:$O$355=D357&amp;"|"&amp;E357)*(HISTORIAL!$F$3:$F$355&lt;&gt;"")),HISTORIAL!$H$3:$H$355),"")</f>
        <v/>
      </c>
      <c r="J357" s="37" t="str">
        <f>IFERROR(LOOKUP(2,1/((HISTORIAL!$O$3:$O$355=D357&amp;"|"&amp;E357)*(HISTORIAL!$F$3:$F$355&lt;&gt;"")),HISTORIAL!$I$3:$I$355),"")</f>
        <v/>
      </c>
      <c r="K357" s="58" t="str">
        <f>IFERROR(IF(OR(G357="",N357="SIN"),"--",IF(N357="SUBIR_F",IF(F357="polea",IFERROR(INDEX(CONFIG!$B$25:$B$40,MATCH(G357,CONFIG!$B$25:$B$40,0)+2),IFERROR(INDEX(CONFIG!$B$25:$B$40,MATCH(G357,CONFIG!$B$25:$B$40,0)+1),G357)),G357+5),IF(OR(N357="SUBIR",N357="SUBIR_E"),IF(F357="polea",IFERROR(INDEX(CONFIG!$B$25:$B$40,MATCH(G357,CONFIG!$B$25:$B$40,0)+1),G357),G357+2.5),IF(N357="BAJAR",IF(F357="polea",IFERROR(INDEX(CONFIG!$B$25:$B$40,MAX(1,MATCH(G357,CONFIG!$B$25:$B$40,0)-1)),G357),MAX(0,G357-2.5)),G357)))),"--")</f>
        <v>--</v>
      </c>
      <c r="L357" s="59" t="str">
        <f>IFERROR(IF(N357="SIN","--",IF(N357="MANT",IF(H357="","--",H357+1),IFERROR(VLOOKUP(CONFIG!$E$2,CONFIG!$A$6:$E$8,2,0),"--"))),"--")</f>
        <v>--</v>
      </c>
      <c r="M357" s="59" t="str">
        <f>IFERROR(IF(N357="SIN","--",IF(CONFIG!$E$2="HIP",2,IF(CONFIG!$E$2="FUE",1,2))),"--")</f>
        <v>--</v>
      </c>
      <c r="N357" s="53" t="str">
        <f>IFERROR(IF(G357="","SIN",IF(O357=1,"SUBIR_E",IF(H357&lt;IFERROR(VLOOKUP(CONFIG!$E$2,CONFIG!$A$6:$E$8,2,0),6),"BAJAR",IF(H357+I357&gt;=IFERROR(VLOOKUP(CONFIG!$E$2,CONFIG!$A$6:$E$8,3,0),12),"SUBIR_F",IF(AND(H357&gt;=IFERROR(VLOOKUP(CONFIG!$E$2,CONFIG!$A$6:$E$8,2,0),6)+2,I357&gt;=2),"SUBIR",IF(I357&gt;IFERROR(VLOOKUP(CONFIG!$E$2,CONFIG!$A$6:$E$8,5,0),3),"SUBIR","MANT")))))),"SIN")</f>
        <v>SIN</v>
      </c>
      <c r="O357" s="55">
        <f>IF(COUNTIFS(HISTORIAL!$O$3:$O$355,D357&amp;"|"&amp;E357,HISTORIAL!$F$3:$F$355,"&gt;0")&lt;2,0,IF(COUNTIFS(HISTORIAL!$O$3:$O$355,D357&amp;"|"&amp;E357,HISTORIAL!$F$3:$F$355,IFERROR(LOOKUP(2,1/((HISTORIAL!$O$3:$O$355=D357&amp;"|"&amp;E357)*(HISTORIAL!$F$3:$F$355&gt;0)),HISTORIAL!$F$3:$F$355),0))&gt;=2,IF(IFERROR(LOOKUP(2,1/((HISTORIAL!$O$3:$O$355=D357&amp;"|"&amp;E357)*(HISTORIAL!$F$3:$F$355&gt;0)),HISTORIAL!$G$3:$G$355),0)&gt;0,IF(F357&gt;0,IF(G357&lt;=IFERROR(LOOKUP(2,1/((HISTORIAL!$O$3:$O$355=D357&amp;"|"&amp;E357)*(HISTORIAL!$F$3:$F$355&gt;0)),HISTORIAL!$G$3:$G$355),0),1,0),0),0),0))</f>
        <v>0</v>
      </c>
    </row>
    <row r="358" spans="1:15" ht="14.1" customHeight="1">
      <c r="A358" s="37">
        <v>6</v>
      </c>
      <c r="B358" s="37" t="s">
        <v>280</v>
      </c>
      <c r="C358" s="37">
        <v>3</v>
      </c>
      <c r="D358" s="56" t="str">
        <f>JUEVES!$A$140</f>
        <v>Pajaro</v>
      </c>
      <c r="E358" s="57" t="str">
        <f>JUEVES!$B$140</f>
        <v>Elevacion Posterior</v>
      </c>
      <c r="F358" s="37" t="str">
        <f>JUEVES!$C$140</f>
        <v>mancuerna</v>
      </c>
      <c r="G358" s="37" t="str">
        <f>IFERROR(LOOKUP(2,1/((HISTORIAL!$O$3:$O$356=D358&amp;"|"&amp;E358)*(HISTORIAL!$F$3:$F$356&lt;&gt;"")),HISTORIAL!$F$3:$F$356),"")</f>
        <v/>
      </c>
      <c r="H358" s="37" t="str">
        <f>IFERROR(LOOKUP(2,1/((HISTORIAL!$O$3:$O$356=D358&amp;"|"&amp;E358)*(HISTORIAL!$F$3:$F$356&lt;&gt;"")),HISTORIAL!$G$3:$G$356),"")</f>
        <v/>
      </c>
      <c r="I358" s="37" t="str">
        <f>IFERROR(LOOKUP(2,1/((HISTORIAL!$O$3:$O$356=D358&amp;"|"&amp;E358)*(HISTORIAL!$F$3:$F$356&lt;&gt;"")),HISTORIAL!$H$3:$H$356),"")</f>
        <v/>
      </c>
      <c r="J358" s="37" t="str">
        <f>IFERROR(LOOKUP(2,1/((HISTORIAL!$O$3:$O$356=D358&amp;"|"&amp;E358)*(HISTORIAL!$F$3:$F$356&lt;&gt;"")),HISTORIAL!$I$3:$I$356),"")</f>
        <v/>
      </c>
      <c r="K358" s="58" t="str">
        <f>IFERROR(IF(OR(G358="",N358="SIN"),"--",IF(N358="SUBIR_F",IF(F358="polea",IFERROR(INDEX(CONFIG!$B$25:$B$40,MATCH(G358,CONFIG!$B$25:$B$40,0)+2),IFERROR(INDEX(CONFIG!$B$25:$B$40,MATCH(G358,CONFIG!$B$25:$B$40,0)+1),G358)),G358+5),IF(OR(N358="SUBIR",N358="SUBIR_E"),IF(F358="polea",IFERROR(INDEX(CONFIG!$B$25:$B$40,MATCH(G358,CONFIG!$B$25:$B$40,0)+1),G358),G358+2.5),IF(N358="BAJAR",IF(F358="polea",IFERROR(INDEX(CONFIG!$B$25:$B$40,MAX(1,MATCH(G358,CONFIG!$B$25:$B$40,0)-1)),G358),MAX(0,G358-2.5)),G358)))),"--")</f>
        <v>--</v>
      </c>
      <c r="L358" s="59" t="str">
        <f>IFERROR(IF(N358="SIN","--",IF(N358="MANT",IF(H358="","--",H358+1),IFERROR(VLOOKUP(CONFIG!$E$2,CONFIG!$A$6:$E$8,2,0),"--"))),"--")</f>
        <v>--</v>
      </c>
      <c r="M358" s="59" t="str">
        <f>IFERROR(IF(N358="SIN","--",IF(CONFIG!$E$2="HIP",2,IF(CONFIG!$E$2="FUE",1,2))),"--")</f>
        <v>--</v>
      </c>
      <c r="N358" s="53" t="str">
        <f>IFERROR(IF(G358="","SIN",IF(O358=1,"SUBIR_E",IF(H358&lt;IFERROR(VLOOKUP(CONFIG!$E$2,CONFIG!$A$6:$E$8,2,0),6),"BAJAR",IF(H358+I358&gt;=IFERROR(VLOOKUP(CONFIG!$E$2,CONFIG!$A$6:$E$8,3,0),12),"SUBIR_F",IF(AND(H358&gt;=IFERROR(VLOOKUP(CONFIG!$E$2,CONFIG!$A$6:$E$8,2,0),6)+2,I358&gt;=2),"SUBIR",IF(I358&gt;IFERROR(VLOOKUP(CONFIG!$E$2,CONFIG!$A$6:$E$8,5,0),3),"SUBIR","MANT")))))),"SIN")</f>
        <v>SIN</v>
      </c>
      <c r="O358" s="55">
        <f>IF(COUNTIFS(HISTORIAL!$O$3:$O$356,D358&amp;"|"&amp;E358,HISTORIAL!$F$3:$F$356,"&gt;0")&lt;2,0,IF(COUNTIFS(HISTORIAL!$O$3:$O$356,D358&amp;"|"&amp;E358,HISTORIAL!$F$3:$F$356,IFERROR(LOOKUP(2,1/((HISTORIAL!$O$3:$O$356=D358&amp;"|"&amp;E358)*(HISTORIAL!$F$3:$F$356&gt;0)),HISTORIAL!$F$3:$F$356),0))&gt;=2,IF(IFERROR(LOOKUP(2,1/((HISTORIAL!$O$3:$O$356=D358&amp;"|"&amp;E358)*(HISTORIAL!$F$3:$F$356&gt;0)),HISTORIAL!$G$3:$G$356),0)&gt;0,IF(F358&gt;0,IF(G358&lt;=IFERROR(LOOKUP(2,1/((HISTORIAL!$O$3:$O$356=D358&amp;"|"&amp;E358)*(HISTORIAL!$F$3:$F$356&gt;0)),HISTORIAL!$G$3:$G$356),0),1,0),0),0),0))</f>
        <v>0</v>
      </c>
    </row>
    <row r="359" spans="1:15" ht="14.1" customHeight="1">
      <c r="A359" s="37">
        <v>6</v>
      </c>
      <c r="B359" s="37" t="s">
        <v>280</v>
      </c>
      <c r="C359" s="37">
        <v>4</v>
      </c>
      <c r="D359" s="56" t="str">
        <f>JUEVES!$A$141</f>
        <v>Peck Deck Invertida</v>
      </c>
      <c r="E359" s="57" t="str">
        <f>JUEVES!$B$141</f>
        <v>Maquina</v>
      </c>
      <c r="F359" s="37" t="str">
        <f>JUEVES!$C$141</f>
        <v>polea</v>
      </c>
      <c r="G359" s="37" t="str">
        <f>IFERROR(LOOKUP(2,1/((HISTORIAL!$O$3:$O$357=D359&amp;"|"&amp;E359)*(HISTORIAL!$F$3:$F$357&lt;&gt;"")),HISTORIAL!$F$3:$F$357),"")</f>
        <v/>
      </c>
      <c r="H359" s="37" t="str">
        <f>IFERROR(LOOKUP(2,1/((HISTORIAL!$O$3:$O$357=D359&amp;"|"&amp;E359)*(HISTORIAL!$F$3:$F$357&lt;&gt;"")),HISTORIAL!$G$3:$G$357),"")</f>
        <v/>
      </c>
      <c r="I359" s="37" t="str">
        <f>IFERROR(LOOKUP(2,1/((HISTORIAL!$O$3:$O$357=D359&amp;"|"&amp;E359)*(HISTORIAL!$F$3:$F$357&lt;&gt;"")),HISTORIAL!$H$3:$H$357),"")</f>
        <v/>
      </c>
      <c r="J359" s="37" t="str">
        <f>IFERROR(LOOKUP(2,1/((HISTORIAL!$O$3:$O$357=D359&amp;"|"&amp;E359)*(HISTORIAL!$F$3:$F$357&lt;&gt;"")),HISTORIAL!$I$3:$I$357),"")</f>
        <v/>
      </c>
      <c r="K359" s="58" t="str">
        <f>IFERROR(IF(OR(G359="",N359="SIN"),"--",IF(N359="SUBIR_F",IF(F359="polea",IFERROR(INDEX(CONFIG!$B$25:$B$40,MATCH(G359,CONFIG!$B$25:$B$40,0)+2),IFERROR(INDEX(CONFIG!$B$25:$B$40,MATCH(G359,CONFIG!$B$25:$B$40,0)+1),G359)),G359+5),IF(OR(N359="SUBIR",N359="SUBIR_E"),IF(F359="polea",IFERROR(INDEX(CONFIG!$B$25:$B$40,MATCH(G359,CONFIG!$B$25:$B$40,0)+1),G359),G359+2.5),IF(N359="BAJAR",IF(F359="polea",IFERROR(INDEX(CONFIG!$B$25:$B$40,MAX(1,MATCH(G359,CONFIG!$B$25:$B$40,0)-1)),G359),MAX(0,G359-2.5)),G359)))),"--")</f>
        <v>--</v>
      </c>
      <c r="L359" s="59" t="str">
        <f>IFERROR(IF(N359="SIN","--",IF(N359="MANT",IF(H359="","--",H359+1),IFERROR(VLOOKUP(CONFIG!$E$2,CONFIG!$A$6:$E$8,2,0),"--"))),"--")</f>
        <v>--</v>
      </c>
      <c r="M359" s="59" t="str">
        <f>IFERROR(IF(N359="SIN","--",IF(CONFIG!$E$2="HIP",2,IF(CONFIG!$E$2="FUE",1,2))),"--")</f>
        <v>--</v>
      </c>
      <c r="N359" s="53" t="str">
        <f>IFERROR(IF(G359="","SIN",IF(O359=1,"SUBIR_E",IF(H359&lt;IFERROR(VLOOKUP(CONFIG!$E$2,CONFIG!$A$6:$E$8,2,0),6),"BAJAR",IF(H359+I359&gt;=IFERROR(VLOOKUP(CONFIG!$E$2,CONFIG!$A$6:$E$8,3,0),12),"SUBIR_F",IF(AND(H359&gt;=IFERROR(VLOOKUP(CONFIG!$E$2,CONFIG!$A$6:$E$8,2,0),6)+2,I359&gt;=2),"SUBIR",IF(I359&gt;IFERROR(VLOOKUP(CONFIG!$E$2,CONFIG!$A$6:$E$8,5,0),3),"SUBIR","MANT")))))),"SIN")</f>
        <v>SIN</v>
      </c>
      <c r="O359" s="55">
        <f>IF(COUNTIFS(HISTORIAL!$O$3:$O$357,D359&amp;"|"&amp;E359,HISTORIAL!$F$3:$F$357,"&gt;0")&lt;2,0,IF(COUNTIFS(HISTORIAL!$O$3:$O$357,D359&amp;"|"&amp;E359,HISTORIAL!$F$3:$F$357,IFERROR(LOOKUP(2,1/((HISTORIAL!$O$3:$O$357=D359&amp;"|"&amp;E359)*(HISTORIAL!$F$3:$F$357&gt;0)),HISTORIAL!$F$3:$F$357),0))&gt;=2,IF(IFERROR(LOOKUP(2,1/((HISTORIAL!$O$3:$O$357=D359&amp;"|"&amp;E359)*(HISTORIAL!$F$3:$F$357&gt;0)),HISTORIAL!$G$3:$G$357),0)&gt;0,IF(F359&gt;0,IF(G359&lt;=IFERROR(LOOKUP(2,1/((HISTORIAL!$O$3:$O$357=D359&amp;"|"&amp;E359)*(HISTORIAL!$F$3:$F$357&gt;0)),HISTORIAL!$G$3:$G$357),0),1,0),0),0),0))</f>
        <v>0</v>
      </c>
    </row>
    <row r="360" spans="1:15" ht="14.1" customHeight="1">
      <c r="A360" s="37">
        <v>6</v>
      </c>
      <c r="B360" s="37" t="s">
        <v>280</v>
      </c>
      <c r="C360" s="37">
        <v>5</v>
      </c>
      <c r="D360" s="56" t="str">
        <f>JUEVES!$A$142</f>
        <v>Elevaciones Posteriores</v>
      </c>
      <c r="E360" s="57" t="str">
        <f>JUEVES!$B$142</f>
        <v>Polea Individual</v>
      </c>
      <c r="F360" s="37" t="str">
        <f>JUEVES!$C$142</f>
        <v>polea</v>
      </c>
      <c r="G360" s="37" t="str">
        <f>IFERROR(LOOKUP(2,1/((HISTORIAL!$O$3:$O$358=D360&amp;"|"&amp;E360)*(HISTORIAL!$F$3:$F$358&lt;&gt;"")),HISTORIAL!$F$3:$F$358),"")</f>
        <v/>
      </c>
      <c r="H360" s="37" t="str">
        <f>IFERROR(LOOKUP(2,1/((HISTORIAL!$O$3:$O$358=D360&amp;"|"&amp;E360)*(HISTORIAL!$F$3:$F$358&lt;&gt;"")),HISTORIAL!$G$3:$G$358),"")</f>
        <v/>
      </c>
      <c r="I360" s="37" t="str">
        <f>IFERROR(LOOKUP(2,1/((HISTORIAL!$O$3:$O$358=D360&amp;"|"&amp;E360)*(HISTORIAL!$F$3:$F$358&lt;&gt;"")),HISTORIAL!$H$3:$H$358),"")</f>
        <v/>
      </c>
      <c r="J360" s="37" t="str">
        <f>IFERROR(LOOKUP(2,1/((HISTORIAL!$O$3:$O$358=D360&amp;"|"&amp;E360)*(HISTORIAL!$F$3:$F$358&lt;&gt;"")),HISTORIAL!$I$3:$I$358),"")</f>
        <v/>
      </c>
      <c r="K360" s="58" t="str">
        <f>IFERROR(IF(OR(G360="",N360="SIN"),"--",IF(N360="SUBIR_F",IF(F360="polea",IFERROR(INDEX(CONFIG!$B$25:$B$40,MATCH(G360,CONFIG!$B$25:$B$40,0)+2),IFERROR(INDEX(CONFIG!$B$25:$B$40,MATCH(G360,CONFIG!$B$25:$B$40,0)+1),G360)),G360+5),IF(OR(N360="SUBIR",N360="SUBIR_E"),IF(F360="polea",IFERROR(INDEX(CONFIG!$B$25:$B$40,MATCH(G360,CONFIG!$B$25:$B$40,0)+1),G360),G360+2.5),IF(N360="BAJAR",IF(F360="polea",IFERROR(INDEX(CONFIG!$B$25:$B$40,MAX(1,MATCH(G360,CONFIG!$B$25:$B$40,0)-1)),G360),MAX(0,G360-2.5)),G360)))),"--")</f>
        <v>--</v>
      </c>
      <c r="L360" s="59" t="str">
        <f>IFERROR(IF(N360="SIN","--",IF(N360="MANT",IF(H360="","--",H360+1),IFERROR(VLOOKUP(CONFIG!$E$2,CONFIG!$A$6:$E$8,2,0),"--"))),"--")</f>
        <v>--</v>
      </c>
      <c r="M360" s="59" t="str">
        <f>IFERROR(IF(N360="SIN","--",IF(CONFIG!$E$2="HIP",2,IF(CONFIG!$E$2="FUE",1,2))),"--")</f>
        <v>--</v>
      </c>
      <c r="N360" s="53" t="str">
        <f>IFERROR(IF(G360="","SIN",IF(O360=1,"SUBIR_E",IF(H360&lt;IFERROR(VLOOKUP(CONFIG!$E$2,CONFIG!$A$6:$E$8,2,0),6),"BAJAR",IF(H360+I360&gt;=IFERROR(VLOOKUP(CONFIG!$E$2,CONFIG!$A$6:$E$8,3,0),12),"SUBIR_F",IF(AND(H360&gt;=IFERROR(VLOOKUP(CONFIG!$E$2,CONFIG!$A$6:$E$8,2,0),6)+2,I360&gt;=2),"SUBIR",IF(I360&gt;IFERROR(VLOOKUP(CONFIG!$E$2,CONFIG!$A$6:$E$8,5,0),3),"SUBIR","MANT")))))),"SIN")</f>
        <v>SIN</v>
      </c>
      <c r="O360" s="55">
        <f>IF(COUNTIFS(HISTORIAL!$O$3:$O$358,D360&amp;"|"&amp;E360,HISTORIAL!$F$3:$F$358,"&gt;0")&lt;2,0,IF(COUNTIFS(HISTORIAL!$O$3:$O$358,D360&amp;"|"&amp;E360,HISTORIAL!$F$3:$F$358,IFERROR(LOOKUP(2,1/((HISTORIAL!$O$3:$O$358=D360&amp;"|"&amp;E360)*(HISTORIAL!$F$3:$F$358&gt;0)),HISTORIAL!$F$3:$F$358),0))&gt;=2,IF(IFERROR(LOOKUP(2,1/((HISTORIAL!$O$3:$O$358=D360&amp;"|"&amp;E360)*(HISTORIAL!$F$3:$F$358&gt;0)),HISTORIAL!$G$3:$G$358),0)&gt;0,IF(F360&gt;0,IF(G360&lt;=IFERROR(LOOKUP(2,1/((HISTORIAL!$O$3:$O$358=D360&amp;"|"&amp;E360)*(HISTORIAL!$F$3:$F$358&gt;0)),HISTORIAL!$G$3:$G$358),0),1,0),0),0),0))</f>
        <v>0</v>
      </c>
    </row>
    <row r="361" spans="1:15" ht="14.1" customHeight="1">
      <c r="A361" s="37">
        <v>6</v>
      </c>
      <c r="B361" s="37" t="s">
        <v>280</v>
      </c>
      <c r="C361" s="37">
        <v>6</v>
      </c>
      <c r="D361" s="56" t="str">
        <f>JUEVES!$A$145</f>
        <v>Press Plano</v>
      </c>
      <c r="E361" s="57" t="str">
        <f>JUEVES!$B$145</f>
        <v>Mancuernas</v>
      </c>
      <c r="F361" s="37" t="str">
        <f>JUEVES!$C$145</f>
        <v>mancuerna</v>
      </c>
      <c r="G361" s="37" t="str">
        <f>IFERROR(LOOKUP(2,1/((HISTORIAL!$O$3:$O$359=D361&amp;"|"&amp;E361)*(HISTORIAL!$F$3:$F$359&lt;&gt;"")),HISTORIAL!$F$3:$F$359),"")</f>
        <v/>
      </c>
      <c r="H361" s="37" t="str">
        <f>IFERROR(LOOKUP(2,1/((HISTORIAL!$O$3:$O$359=D361&amp;"|"&amp;E361)*(HISTORIAL!$F$3:$F$359&lt;&gt;"")),HISTORIAL!$G$3:$G$359),"")</f>
        <v/>
      </c>
      <c r="I361" s="37" t="str">
        <f>IFERROR(LOOKUP(2,1/((HISTORIAL!$O$3:$O$359=D361&amp;"|"&amp;E361)*(HISTORIAL!$F$3:$F$359&lt;&gt;"")),HISTORIAL!$H$3:$H$359),"")</f>
        <v/>
      </c>
      <c r="J361" s="37" t="str">
        <f>IFERROR(LOOKUP(2,1/((HISTORIAL!$O$3:$O$359=D361&amp;"|"&amp;E361)*(HISTORIAL!$F$3:$F$359&lt;&gt;"")),HISTORIAL!$I$3:$I$359),"")</f>
        <v/>
      </c>
      <c r="K361" s="58" t="str">
        <f>IFERROR(IF(OR(G361="",N361="SIN"),"--",IF(N361="SUBIR_F",IF(F361="polea",IFERROR(INDEX(CONFIG!$B$25:$B$40,MATCH(G361,CONFIG!$B$25:$B$40,0)+2),IFERROR(INDEX(CONFIG!$B$25:$B$40,MATCH(G361,CONFIG!$B$25:$B$40,0)+1),G361)),G361+5),IF(OR(N361="SUBIR",N361="SUBIR_E"),IF(F361="polea",IFERROR(INDEX(CONFIG!$B$25:$B$40,MATCH(G361,CONFIG!$B$25:$B$40,0)+1),G361),G361+2.5),IF(N361="BAJAR",IF(F361="polea",IFERROR(INDEX(CONFIG!$B$25:$B$40,MAX(1,MATCH(G361,CONFIG!$B$25:$B$40,0)-1)),G361),MAX(0,G361-2.5)),G361)))),"--")</f>
        <v>--</v>
      </c>
      <c r="L361" s="59" t="str">
        <f>IFERROR(IF(N361="SIN","--",IF(N361="MANT",IF(H361="","--",H361+1),IFERROR(VLOOKUP(CONFIG!$E$2,CONFIG!$A$6:$E$8,2,0),"--"))),"--")</f>
        <v>--</v>
      </c>
      <c r="M361" s="59" t="str">
        <f>IFERROR(IF(N361="SIN","--",IF(CONFIG!$E$2="HIP",2,IF(CONFIG!$E$2="FUE",1,2))),"--")</f>
        <v>--</v>
      </c>
      <c r="N361" s="53" t="str">
        <f>IFERROR(IF(G361="","SIN",IF(O361=1,"SUBIR_E",IF(H361&lt;IFERROR(VLOOKUP(CONFIG!$E$2,CONFIG!$A$6:$E$8,2,0),6),"BAJAR",IF(H361+I361&gt;=IFERROR(VLOOKUP(CONFIG!$E$2,CONFIG!$A$6:$E$8,3,0),12),"SUBIR_F",IF(AND(H361&gt;=IFERROR(VLOOKUP(CONFIG!$E$2,CONFIG!$A$6:$E$8,2,0),6)+2,I361&gt;=2),"SUBIR",IF(I361&gt;IFERROR(VLOOKUP(CONFIG!$E$2,CONFIG!$A$6:$E$8,5,0),3),"SUBIR","MANT")))))),"SIN")</f>
        <v>SIN</v>
      </c>
      <c r="O361" s="55">
        <f>IF(COUNTIFS(HISTORIAL!$O$3:$O$359,D361&amp;"|"&amp;E361,HISTORIAL!$F$3:$F$359,"&gt;0")&lt;2,0,IF(COUNTIFS(HISTORIAL!$O$3:$O$359,D361&amp;"|"&amp;E361,HISTORIAL!$F$3:$F$359,IFERROR(LOOKUP(2,1/((HISTORIAL!$O$3:$O$359=D361&amp;"|"&amp;E361)*(HISTORIAL!$F$3:$F$359&gt;0)),HISTORIAL!$F$3:$F$359),0))&gt;=2,IF(IFERROR(LOOKUP(2,1/((HISTORIAL!$O$3:$O$359=D361&amp;"|"&amp;E361)*(HISTORIAL!$F$3:$F$359&gt;0)),HISTORIAL!$G$3:$G$359),0)&gt;0,IF(F361&gt;0,IF(G361&lt;=IFERROR(LOOKUP(2,1/((HISTORIAL!$O$3:$O$359=D361&amp;"|"&amp;E361)*(HISTORIAL!$F$3:$F$359&gt;0)),HISTORIAL!$G$3:$G$359),0),1,0),0),0),0))</f>
        <v>0</v>
      </c>
    </row>
    <row r="362" spans="1:15" ht="14.1" customHeight="1">
      <c r="A362" s="37">
        <v>6</v>
      </c>
      <c r="B362" s="37" t="s">
        <v>280</v>
      </c>
      <c r="C362" s="37">
        <v>7</v>
      </c>
      <c r="D362" s="56" t="str">
        <f>JUEVES!$A$147</f>
        <v>Press Inclinado</v>
      </c>
      <c r="E362" s="57" t="str">
        <f>JUEVES!$B$147</f>
        <v>Multipower</v>
      </c>
      <c r="F362" s="37" t="str">
        <f>JUEVES!$C$147</f>
        <v>disco</v>
      </c>
      <c r="G362" s="37" t="str">
        <f>IFERROR(LOOKUP(2,1/((HISTORIAL!$O$3:$O$360=D362&amp;"|"&amp;E362)*(HISTORIAL!$F$3:$F$360&lt;&gt;"")),HISTORIAL!$F$3:$F$360),"")</f>
        <v/>
      </c>
      <c r="H362" s="37" t="str">
        <f>IFERROR(LOOKUP(2,1/((HISTORIAL!$O$3:$O$360=D362&amp;"|"&amp;E362)*(HISTORIAL!$F$3:$F$360&lt;&gt;"")),HISTORIAL!$G$3:$G$360),"")</f>
        <v/>
      </c>
      <c r="I362" s="37" t="str">
        <f>IFERROR(LOOKUP(2,1/((HISTORIAL!$O$3:$O$360=D362&amp;"|"&amp;E362)*(HISTORIAL!$F$3:$F$360&lt;&gt;"")),HISTORIAL!$H$3:$H$360),"")</f>
        <v/>
      </c>
      <c r="J362" s="37" t="str">
        <f>IFERROR(LOOKUP(2,1/((HISTORIAL!$O$3:$O$360=D362&amp;"|"&amp;E362)*(HISTORIAL!$F$3:$F$360&lt;&gt;"")),HISTORIAL!$I$3:$I$360),"")</f>
        <v/>
      </c>
      <c r="K362" s="58" t="str">
        <f>IFERROR(IF(OR(G362="",N362="SIN"),"--",IF(N362="SUBIR_F",IF(F362="polea",IFERROR(INDEX(CONFIG!$B$25:$B$40,MATCH(G362,CONFIG!$B$25:$B$40,0)+2),IFERROR(INDEX(CONFIG!$B$25:$B$40,MATCH(G362,CONFIG!$B$25:$B$40,0)+1),G362)),G362+5),IF(OR(N362="SUBIR",N362="SUBIR_E"),IF(F362="polea",IFERROR(INDEX(CONFIG!$B$25:$B$40,MATCH(G362,CONFIG!$B$25:$B$40,0)+1),G362),G362+2.5),IF(N362="BAJAR",IF(F362="polea",IFERROR(INDEX(CONFIG!$B$25:$B$40,MAX(1,MATCH(G362,CONFIG!$B$25:$B$40,0)-1)),G362),MAX(0,G362-2.5)),G362)))),"--")</f>
        <v>--</v>
      </c>
      <c r="L362" s="59" t="str">
        <f>IFERROR(IF(N362="SIN","--",IF(N362="MANT",IF(H362="","--",H362+1),IFERROR(VLOOKUP(CONFIG!$E$2,CONFIG!$A$6:$E$8,2,0),"--"))),"--")</f>
        <v>--</v>
      </c>
      <c r="M362" s="59" t="str">
        <f>IFERROR(IF(N362="SIN","--",IF(CONFIG!$E$2="HIP",2,IF(CONFIG!$E$2="FUE",1,2))),"--")</f>
        <v>--</v>
      </c>
      <c r="N362" s="53" t="str">
        <f>IFERROR(IF(G362="","SIN",IF(O362=1,"SUBIR_E",IF(H362&lt;IFERROR(VLOOKUP(CONFIG!$E$2,CONFIG!$A$6:$E$8,2,0),6),"BAJAR",IF(H362+I362&gt;=IFERROR(VLOOKUP(CONFIG!$E$2,CONFIG!$A$6:$E$8,3,0),12),"SUBIR_F",IF(AND(H362&gt;=IFERROR(VLOOKUP(CONFIG!$E$2,CONFIG!$A$6:$E$8,2,0),6)+2,I362&gt;=2),"SUBIR",IF(I362&gt;IFERROR(VLOOKUP(CONFIG!$E$2,CONFIG!$A$6:$E$8,5,0),3),"SUBIR","MANT")))))),"SIN")</f>
        <v>SIN</v>
      </c>
      <c r="O362" s="55">
        <f>IF(COUNTIFS(HISTORIAL!$O$3:$O$360,D362&amp;"|"&amp;E362,HISTORIAL!$F$3:$F$360,"&gt;0")&lt;2,0,IF(COUNTIFS(HISTORIAL!$O$3:$O$360,D362&amp;"|"&amp;E362,HISTORIAL!$F$3:$F$360,IFERROR(LOOKUP(2,1/((HISTORIAL!$O$3:$O$360=D362&amp;"|"&amp;E362)*(HISTORIAL!$F$3:$F$360&gt;0)),HISTORIAL!$F$3:$F$360),0))&gt;=2,IF(IFERROR(LOOKUP(2,1/((HISTORIAL!$O$3:$O$360=D362&amp;"|"&amp;E362)*(HISTORIAL!$F$3:$F$360&gt;0)),HISTORIAL!$G$3:$G$360),0)&gt;0,IF(F362&gt;0,IF(G362&lt;=IFERROR(LOOKUP(2,1/((HISTORIAL!$O$3:$O$360=D362&amp;"|"&amp;E362)*(HISTORIAL!$F$3:$F$360&gt;0)),HISTORIAL!$G$3:$G$360),0),1,0),0),0),0))</f>
        <v>0</v>
      </c>
    </row>
    <row r="363" spans="1:15" ht="14.1" customHeight="1">
      <c r="A363" s="37">
        <v>6</v>
      </c>
      <c r="B363" s="37" t="s">
        <v>280</v>
      </c>
      <c r="C363" s="37">
        <v>8</v>
      </c>
      <c r="D363" s="56" t="str">
        <f>JUEVES!$A$149</f>
        <v>Aperturas</v>
      </c>
      <c r="E363" s="57" t="str">
        <f>JUEVES!$B$149</f>
        <v>Pec Deck Maquina</v>
      </c>
      <c r="F363" s="37" t="str">
        <f>JUEVES!$C$149</f>
        <v>--</v>
      </c>
      <c r="G363" s="37" t="str">
        <f>IFERROR(LOOKUP(2,1/((HISTORIAL!$O$3:$O$361=D363&amp;"|"&amp;E363)*(HISTORIAL!$F$3:$F$361&lt;&gt;"")),HISTORIAL!$F$3:$F$361),"")</f>
        <v/>
      </c>
      <c r="H363" s="37" t="str">
        <f>IFERROR(LOOKUP(2,1/((HISTORIAL!$O$3:$O$361=D363&amp;"|"&amp;E363)*(HISTORIAL!$F$3:$F$361&lt;&gt;"")),HISTORIAL!$G$3:$G$361),"")</f>
        <v/>
      </c>
      <c r="I363" s="37" t="str">
        <f>IFERROR(LOOKUP(2,1/((HISTORIAL!$O$3:$O$361=D363&amp;"|"&amp;E363)*(HISTORIAL!$F$3:$F$361&lt;&gt;"")),HISTORIAL!$H$3:$H$361),"")</f>
        <v/>
      </c>
      <c r="J363" s="37" t="str">
        <f>IFERROR(LOOKUP(2,1/((HISTORIAL!$O$3:$O$361=D363&amp;"|"&amp;E363)*(HISTORIAL!$F$3:$F$361&lt;&gt;"")),HISTORIAL!$I$3:$I$361),"")</f>
        <v/>
      </c>
      <c r="K363" s="58" t="str">
        <f>IFERROR(IF(OR(G363="",N363="SIN"),"--",IF(N363="SUBIR_F",IF(F363="polea",IFERROR(INDEX(CONFIG!$B$25:$B$40,MATCH(G363,CONFIG!$B$25:$B$40,0)+2),IFERROR(INDEX(CONFIG!$B$25:$B$40,MATCH(G363,CONFIG!$B$25:$B$40,0)+1),G363)),G363+5),IF(OR(N363="SUBIR",N363="SUBIR_E"),IF(F363="polea",IFERROR(INDEX(CONFIG!$B$25:$B$40,MATCH(G363,CONFIG!$B$25:$B$40,0)+1),G363),G363+2.5),IF(N363="BAJAR",IF(F363="polea",IFERROR(INDEX(CONFIG!$B$25:$B$40,MAX(1,MATCH(G363,CONFIG!$B$25:$B$40,0)-1)),G363),MAX(0,G363-2.5)),G363)))),"--")</f>
        <v>--</v>
      </c>
      <c r="L363" s="59" t="str">
        <f>IFERROR(IF(N363="SIN","--",IF(N363="MANT",IF(H363="","--",H363+1),IFERROR(VLOOKUP(CONFIG!$E$2,CONFIG!$A$6:$E$8,2,0),"--"))),"--")</f>
        <v>--</v>
      </c>
      <c r="M363" s="59" t="str">
        <f>IFERROR(IF(N363="SIN","--",IF(CONFIG!$E$2="HIP",2,IF(CONFIG!$E$2="FUE",1,2))),"--")</f>
        <v>--</v>
      </c>
      <c r="N363" s="53" t="str">
        <f>IFERROR(IF(G363="","SIN",IF(O363=1,"SUBIR_E",IF(H363&lt;IFERROR(VLOOKUP(CONFIG!$E$2,CONFIG!$A$6:$E$8,2,0),6),"BAJAR",IF(H363+I363&gt;=IFERROR(VLOOKUP(CONFIG!$E$2,CONFIG!$A$6:$E$8,3,0),12),"SUBIR_F",IF(AND(H363&gt;=IFERROR(VLOOKUP(CONFIG!$E$2,CONFIG!$A$6:$E$8,2,0),6)+2,I363&gt;=2),"SUBIR",IF(I363&gt;IFERROR(VLOOKUP(CONFIG!$E$2,CONFIG!$A$6:$E$8,5,0),3),"SUBIR","MANT")))))),"SIN")</f>
        <v>SIN</v>
      </c>
      <c r="O363" s="55">
        <f>IF(COUNTIFS(HISTORIAL!$O$3:$O$361,D363&amp;"|"&amp;E363,HISTORIAL!$F$3:$F$361,"&gt;0")&lt;2,0,IF(COUNTIFS(HISTORIAL!$O$3:$O$361,D363&amp;"|"&amp;E363,HISTORIAL!$F$3:$F$361,IFERROR(LOOKUP(2,1/((HISTORIAL!$O$3:$O$361=D363&amp;"|"&amp;E363)*(HISTORIAL!$F$3:$F$361&gt;0)),HISTORIAL!$F$3:$F$361),0))&gt;=2,IF(IFERROR(LOOKUP(2,1/((HISTORIAL!$O$3:$O$361=D363&amp;"|"&amp;E363)*(HISTORIAL!$F$3:$F$361&gt;0)),HISTORIAL!$G$3:$G$361),0)&gt;0,IF(F363&gt;0,IF(G363&lt;=IFERROR(LOOKUP(2,1/((HISTORIAL!$O$3:$O$361=D363&amp;"|"&amp;E363)*(HISTORIAL!$F$3:$F$361&gt;0)),HISTORIAL!$G$3:$G$361),0),1,0),0),0),0))</f>
        <v>0</v>
      </c>
    </row>
    <row r="364" spans="1:15" ht="14.1" customHeight="1">
      <c r="A364" s="37">
        <v>6</v>
      </c>
      <c r="B364" s="37" t="s">
        <v>280</v>
      </c>
      <c r="C364" s="37">
        <v>9</v>
      </c>
      <c r="D364" s="56" t="str">
        <f>JUEVES!$A$151</f>
        <v>Press Polea</v>
      </c>
      <c r="E364" s="57" t="str">
        <f>JUEVES!$B$151</f>
        <v>Barra Recta Diagonal Arriba</v>
      </c>
      <c r="F364" s="37" t="str">
        <f>JUEVES!$C$151</f>
        <v>polea</v>
      </c>
      <c r="G364" s="37" t="str">
        <f>IFERROR(LOOKUP(2,1/((HISTORIAL!$O$3:$O$362=D364&amp;"|"&amp;E364)*(HISTORIAL!$F$3:$F$362&lt;&gt;"")),HISTORIAL!$F$3:$F$362),"")</f>
        <v/>
      </c>
      <c r="H364" s="37" t="str">
        <f>IFERROR(LOOKUP(2,1/((HISTORIAL!$O$3:$O$362=D364&amp;"|"&amp;E364)*(HISTORIAL!$F$3:$F$362&lt;&gt;"")),HISTORIAL!$G$3:$G$362),"")</f>
        <v/>
      </c>
      <c r="I364" s="37" t="str">
        <f>IFERROR(LOOKUP(2,1/((HISTORIAL!$O$3:$O$362=D364&amp;"|"&amp;E364)*(HISTORIAL!$F$3:$F$362&lt;&gt;"")),HISTORIAL!$H$3:$H$362),"")</f>
        <v/>
      </c>
      <c r="J364" s="37" t="str">
        <f>IFERROR(LOOKUP(2,1/((HISTORIAL!$O$3:$O$362=D364&amp;"|"&amp;E364)*(HISTORIAL!$F$3:$F$362&lt;&gt;"")),HISTORIAL!$I$3:$I$362),"")</f>
        <v/>
      </c>
      <c r="K364" s="58" t="str">
        <f>IFERROR(IF(OR(G364="",N364="SIN"),"--",IF(N364="SUBIR_F",IF(F364="polea",IFERROR(INDEX(CONFIG!$B$25:$B$40,MATCH(G364,CONFIG!$B$25:$B$40,0)+2),IFERROR(INDEX(CONFIG!$B$25:$B$40,MATCH(G364,CONFIG!$B$25:$B$40,0)+1),G364)),G364+5),IF(OR(N364="SUBIR",N364="SUBIR_E"),IF(F364="polea",IFERROR(INDEX(CONFIG!$B$25:$B$40,MATCH(G364,CONFIG!$B$25:$B$40,0)+1),G364),G364+2.5),IF(N364="BAJAR",IF(F364="polea",IFERROR(INDEX(CONFIG!$B$25:$B$40,MAX(1,MATCH(G364,CONFIG!$B$25:$B$40,0)-1)),G364),MAX(0,G364-2.5)),G364)))),"--")</f>
        <v>--</v>
      </c>
      <c r="L364" s="59" t="str">
        <f>IFERROR(IF(N364="SIN","--",IF(N364="MANT",IF(H364="","--",H364+1),IFERROR(VLOOKUP(CONFIG!$E$2,CONFIG!$A$6:$E$8,2,0),"--"))),"--")</f>
        <v>--</v>
      </c>
      <c r="M364" s="59" t="str">
        <f>IFERROR(IF(N364="SIN","--",IF(CONFIG!$E$2="HIP",2,IF(CONFIG!$E$2="FUE",1,2))),"--")</f>
        <v>--</v>
      </c>
      <c r="N364" s="53" t="str">
        <f>IFERROR(IF(G364="","SIN",IF(O364=1,"SUBIR_E",IF(H364&lt;IFERROR(VLOOKUP(CONFIG!$E$2,CONFIG!$A$6:$E$8,2,0),6),"BAJAR",IF(H364+I364&gt;=IFERROR(VLOOKUP(CONFIG!$E$2,CONFIG!$A$6:$E$8,3,0),12),"SUBIR_F",IF(AND(H364&gt;=IFERROR(VLOOKUP(CONFIG!$E$2,CONFIG!$A$6:$E$8,2,0),6)+2,I364&gt;=2),"SUBIR",IF(I364&gt;IFERROR(VLOOKUP(CONFIG!$E$2,CONFIG!$A$6:$E$8,5,0),3),"SUBIR","MANT")))))),"SIN")</f>
        <v>SIN</v>
      </c>
      <c r="O364" s="55">
        <f>IF(COUNTIFS(HISTORIAL!$O$3:$O$362,D364&amp;"|"&amp;E364,HISTORIAL!$F$3:$F$362,"&gt;0")&lt;2,0,IF(COUNTIFS(HISTORIAL!$O$3:$O$362,D364&amp;"|"&amp;E364,HISTORIAL!$F$3:$F$362,IFERROR(LOOKUP(2,1/((HISTORIAL!$O$3:$O$362=D364&amp;"|"&amp;E364)*(HISTORIAL!$F$3:$F$362&gt;0)),HISTORIAL!$F$3:$F$362),0))&gt;=2,IF(IFERROR(LOOKUP(2,1/((HISTORIAL!$O$3:$O$362=D364&amp;"|"&amp;E364)*(HISTORIAL!$F$3:$F$362&gt;0)),HISTORIAL!$G$3:$G$362),0)&gt;0,IF(F364&gt;0,IF(G364&lt;=IFERROR(LOOKUP(2,1/((HISTORIAL!$O$3:$O$362=D364&amp;"|"&amp;E364)*(HISTORIAL!$F$3:$F$362&gt;0)),HISTORIAL!$G$3:$G$362),0),1,0),0),0),0))</f>
        <v>0</v>
      </c>
    </row>
    <row r="365" spans="1:15" ht="14.1" customHeight="1">
      <c r="A365" s="37">
        <v>6</v>
      </c>
      <c r="B365" s="37" t="s">
        <v>280</v>
      </c>
      <c r="C365" s="37">
        <v>10</v>
      </c>
      <c r="D365" s="56" t="str">
        <f>JUEVES!$A$152</f>
        <v>Extension Triceps</v>
      </c>
      <c r="E365" s="57" t="str">
        <f>JUEVES!$B$152</f>
        <v>Polea Sobre Cabeza</v>
      </c>
      <c r="F365" s="37" t="str">
        <f>JUEVES!$C$152</f>
        <v>--</v>
      </c>
      <c r="G365" s="37" t="str">
        <f>IFERROR(LOOKUP(2,1/((HISTORIAL!$O$3:$O$363=D365&amp;"|"&amp;E365)*(HISTORIAL!$F$3:$F$363&lt;&gt;"")),HISTORIAL!$F$3:$F$363),"")</f>
        <v/>
      </c>
      <c r="H365" s="37" t="str">
        <f>IFERROR(LOOKUP(2,1/((HISTORIAL!$O$3:$O$363=D365&amp;"|"&amp;E365)*(HISTORIAL!$F$3:$F$363&lt;&gt;"")),HISTORIAL!$G$3:$G$363),"")</f>
        <v/>
      </c>
      <c r="I365" s="37" t="str">
        <f>IFERROR(LOOKUP(2,1/((HISTORIAL!$O$3:$O$363=D365&amp;"|"&amp;E365)*(HISTORIAL!$F$3:$F$363&lt;&gt;"")),HISTORIAL!$H$3:$H$363),"")</f>
        <v/>
      </c>
      <c r="J365" s="37" t="str">
        <f>IFERROR(LOOKUP(2,1/((HISTORIAL!$O$3:$O$363=D365&amp;"|"&amp;E365)*(HISTORIAL!$F$3:$F$363&lt;&gt;"")),HISTORIAL!$I$3:$I$363),"")</f>
        <v/>
      </c>
      <c r="K365" s="58" t="str">
        <f>IFERROR(IF(OR(G365="",N365="SIN"),"--",IF(N365="SUBIR_F",IF(F365="polea",IFERROR(INDEX(CONFIG!$B$25:$B$40,MATCH(G365,CONFIG!$B$25:$B$40,0)+2),IFERROR(INDEX(CONFIG!$B$25:$B$40,MATCH(G365,CONFIG!$B$25:$B$40,0)+1),G365)),G365+5),IF(OR(N365="SUBIR",N365="SUBIR_E"),IF(F365="polea",IFERROR(INDEX(CONFIG!$B$25:$B$40,MATCH(G365,CONFIG!$B$25:$B$40,0)+1),G365),G365+2.5),IF(N365="BAJAR",IF(F365="polea",IFERROR(INDEX(CONFIG!$B$25:$B$40,MAX(1,MATCH(G365,CONFIG!$B$25:$B$40,0)-1)),G365),MAX(0,G365-2.5)),G365)))),"--")</f>
        <v>--</v>
      </c>
      <c r="L365" s="59" t="str">
        <f>IFERROR(IF(N365="SIN","--",IF(N365="MANT",IF(H365="","--",H365+1),IFERROR(VLOOKUP(CONFIG!$E$2,CONFIG!$A$6:$E$8,2,0),"--"))),"--")</f>
        <v>--</v>
      </c>
      <c r="M365" s="59" t="str">
        <f>IFERROR(IF(N365="SIN","--",IF(CONFIG!$E$2="HIP",2,IF(CONFIG!$E$2="FUE",1,2))),"--")</f>
        <v>--</v>
      </c>
      <c r="N365" s="53" t="str">
        <f>IFERROR(IF(G365="","SIN",IF(O365=1,"SUBIR_E",IF(H365&lt;IFERROR(VLOOKUP(CONFIG!$E$2,CONFIG!$A$6:$E$8,2,0),6),"BAJAR",IF(H365+I365&gt;=IFERROR(VLOOKUP(CONFIG!$E$2,CONFIG!$A$6:$E$8,3,0),12),"SUBIR_F",IF(AND(H365&gt;=IFERROR(VLOOKUP(CONFIG!$E$2,CONFIG!$A$6:$E$8,2,0),6)+2,I365&gt;=2),"SUBIR",IF(I365&gt;IFERROR(VLOOKUP(CONFIG!$E$2,CONFIG!$A$6:$E$8,5,0),3),"SUBIR","MANT")))))),"SIN")</f>
        <v>SIN</v>
      </c>
      <c r="O365" s="55">
        <f>IF(COUNTIFS(HISTORIAL!$O$3:$O$363,D365&amp;"|"&amp;E365,HISTORIAL!$F$3:$F$363,"&gt;0")&lt;2,0,IF(COUNTIFS(HISTORIAL!$O$3:$O$363,D365&amp;"|"&amp;E365,HISTORIAL!$F$3:$F$363,IFERROR(LOOKUP(2,1/((HISTORIAL!$O$3:$O$363=D365&amp;"|"&amp;E365)*(HISTORIAL!$F$3:$F$363&gt;0)),HISTORIAL!$F$3:$F$363),0))&gt;=2,IF(IFERROR(LOOKUP(2,1/((HISTORIAL!$O$3:$O$363=D365&amp;"|"&amp;E365)*(HISTORIAL!$F$3:$F$363&gt;0)),HISTORIAL!$G$3:$G$363),0)&gt;0,IF(F365&gt;0,IF(G365&lt;=IFERROR(LOOKUP(2,1/((HISTORIAL!$O$3:$O$363=D365&amp;"|"&amp;E365)*(HISTORIAL!$F$3:$F$363&gt;0)),HISTORIAL!$G$3:$G$363),0),1,0),0),0),0))</f>
        <v>0</v>
      </c>
    </row>
    <row r="366" spans="1:15" ht="14.1" customHeight="1">
      <c r="A366" s="37">
        <v>6</v>
      </c>
      <c r="B366" s="37" t="s">
        <v>280</v>
      </c>
      <c r="C366" s="37">
        <v>11</v>
      </c>
      <c r="D366" s="56" t="str">
        <f>JUEVES!$A$154</f>
        <v>Extension Cuadriceps</v>
      </c>
      <c r="E366" s="57" t="str">
        <f>JUEVES!$B$154</f>
        <v>Vasto Interno</v>
      </c>
      <c r="F366" s="37" t="str">
        <f>JUEVES!$C$154</f>
        <v>--</v>
      </c>
      <c r="G366" s="37" t="str">
        <f>IFERROR(LOOKUP(2,1/((HISTORIAL!$O$3:$O$364=D366&amp;"|"&amp;E366)*(HISTORIAL!$F$3:$F$364&lt;&gt;"")),HISTORIAL!$F$3:$F$364),"")</f>
        <v/>
      </c>
      <c r="H366" s="37" t="str">
        <f>IFERROR(LOOKUP(2,1/((HISTORIAL!$O$3:$O$364=D366&amp;"|"&amp;E366)*(HISTORIAL!$F$3:$F$364&lt;&gt;"")),HISTORIAL!$G$3:$G$364),"")</f>
        <v/>
      </c>
      <c r="I366" s="37" t="str">
        <f>IFERROR(LOOKUP(2,1/((HISTORIAL!$O$3:$O$364=D366&amp;"|"&amp;E366)*(HISTORIAL!$F$3:$F$364&lt;&gt;"")),HISTORIAL!$H$3:$H$364),"")</f>
        <v/>
      </c>
      <c r="J366" s="37" t="str">
        <f>IFERROR(LOOKUP(2,1/((HISTORIAL!$O$3:$O$364=D366&amp;"|"&amp;E366)*(HISTORIAL!$F$3:$F$364&lt;&gt;"")),HISTORIAL!$I$3:$I$364),"")</f>
        <v/>
      </c>
      <c r="K366" s="58" t="str">
        <f>IFERROR(IF(OR(G366="",N366="SIN"),"--",IF(N366="SUBIR_F",IF(F366="polea",IFERROR(INDEX(CONFIG!$B$25:$B$40,MATCH(G366,CONFIG!$B$25:$B$40,0)+2),IFERROR(INDEX(CONFIG!$B$25:$B$40,MATCH(G366,CONFIG!$B$25:$B$40,0)+1),G366)),G366+5),IF(OR(N366="SUBIR",N366="SUBIR_E"),IF(F366="polea",IFERROR(INDEX(CONFIG!$B$25:$B$40,MATCH(G366,CONFIG!$B$25:$B$40,0)+1),G366),G366+2.5),IF(N366="BAJAR",IF(F366="polea",IFERROR(INDEX(CONFIG!$B$25:$B$40,MAX(1,MATCH(G366,CONFIG!$B$25:$B$40,0)-1)),G366),MAX(0,G366-2.5)),G366)))),"--")</f>
        <v>--</v>
      </c>
      <c r="L366" s="59" t="str">
        <f>IFERROR(IF(N366="SIN","--",IF(N366="MANT",IF(H366="","--",H366+1),IFERROR(VLOOKUP(CONFIG!$E$2,CONFIG!$A$6:$E$8,2,0),"--"))),"--")</f>
        <v>--</v>
      </c>
      <c r="M366" s="59" t="str">
        <f>IFERROR(IF(N366="SIN","--",IF(CONFIG!$E$2="HIP",2,IF(CONFIG!$E$2="FUE",1,2))),"--")</f>
        <v>--</v>
      </c>
      <c r="N366" s="53" t="str">
        <f>IFERROR(IF(G366="","SIN",IF(O366=1,"SUBIR_E",IF(H366&lt;IFERROR(VLOOKUP(CONFIG!$E$2,CONFIG!$A$6:$E$8,2,0),6),"BAJAR",IF(H366+I366&gt;=IFERROR(VLOOKUP(CONFIG!$E$2,CONFIG!$A$6:$E$8,3,0),12),"SUBIR_F",IF(AND(H366&gt;=IFERROR(VLOOKUP(CONFIG!$E$2,CONFIG!$A$6:$E$8,2,0),6)+2,I366&gt;=2),"SUBIR",IF(I366&gt;IFERROR(VLOOKUP(CONFIG!$E$2,CONFIG!$A$6:$E$8,5,0),3),"SUBIR","MANT")))))),"SIN")</f>
        <v>SIN</v>
      </c>
      <c r="O366" s="55">
        <f>IF(COUNTIFS(HISTORIAL!$O$3:$O$364,D366&amp;"|"&amp;E366,HISTORIAL!$F$3:$F$364,"&gt;0")&lt;2,0,IF(COUNTIFS(HISTORIAL!$O$3:$O$364,D366&amp;"|"&amp;E366,HISTORIAL!$F$3:$F$364,IFERROR(LOOKUP(2,1/((HISTORIAL!$O$3:$O$364=D366&amp;"|"&amp;E366)*(HISTORIAL!$F$3:$F$364&gt;0)),HISTORIAL!$F$3:$F$364),0))&gt;=2,IF(IFERROR(LOOKUP(2,1/((HISTORIAL!$O$3:$O$364=D366&amp;"|"&amp;E366)*(HISTORIAL!$F$3:$F$364&gt;0)),HISTORIAL!$G$3:$G$364),0)&gt;0,IF(F366&gt;0,IF(G366&lt;=IFERROR(LOOKUP(2,1/((HISTORIAL!$O$3:$O$364=D366&amp;"|"&amp;E366)*(HISTORIAL!$F$3:$F$364&gt;0)),HISTORIAL!$G$3:$G$364),0),1,0),0),0),0))</f>
        <v>0</v>
      </c>
    </row>
    <row r="367" spans="1:15" ht="14.1" customHeight="1">
      <c r="A367" s="37">
        <v>6</v>
      </c>
      <c r="B367" s="37" t="s">
        <v>280</v>
      </c>
      <c r="C367" s="37">
        <v>12</v>
      </c>
      <c r="D367" s="56" t="str">
        <f>JUEVES!$A$156</f>
        <v>Curl Biceps</v>
      </c>
      <c r="E367" s="57" t="str">
        <f>JUEVES!$B$156</f>
        <v>Concentrado Maquina</v>
      </c>
      <c r="F367" s="37" t="str">
        <f>JUEVES!$C$156</f>
        <v>polea</v>
      </c>
      <c r="G367" s="37">
        <f>IFERROR(LOOKUP(2,1/((HISTORIAL!$O$3:$O$365=D367&amp;"|"&amp;E367)*(HISTORIAL!$F$3:$F$365&lt;&gt;"")),HISTORIAL!$F$3:$F$365),"")</f>
        <v>40</v>
      </c>
      <c r="H367" s="37">
        <f>IFERROR(LOOKUP(2,1/((HISTORIAL!$O$3:$O$365=D367&amp;"|"&amp;E367)*(HISTORIAL!$F$3:$F$365&lt;&gt;"")),HISTORIAL!$G$3:$G$365),"")</f>
        <v>6</v>
      </c>
      <c r="I367" s="37">
        <f>IFERROR(LOOKUP(2,1/((HISTORIAL!$O$3:$O$365=D367&amp;"|"&amp;E367)*(HISTORIAL!$F$3:$F$365&lt;&gt;"")),HISTORIAL!$H$3:$H$365),"")</f>
        <v>0</v>
      </c>
      <c r="J367" s="37" t="str">
        <f>IFERROR(LOOKUP(2,1/((HISTORIAL!$O$3:$O$365=D367&amp;"|"&amp;E367)*(HISTORIAL!$F$3:$F$365&lt;&gt;"")),HISTORIAL!$I$3:$I$365),"")</f>
        <v>B</v>
      </c>
      <c r="K367" s="58">
        <f>IFERROR(IF(OR(G367="",N367="SIN"),"--",IF(N367="SUBIR_F",IF(F367="polea",IFERROR(INDEX(CONFIG!$B$25:$B$40,MATCH(G367,CONFIG!$B$25:$B$40,0)+2),IFERROR(INDEX(CONFIG!$B$25:$B$40,MATCH(G367,CONFIG!$B$25:$B$40,0)+1),G367)),G367+5),IF(OR(N367="SUBIR",N367="SUBIR_E"),IF(F367="polea",IFERROR(INDEX(CONFIG!$B$25:$B$40,MATCH(G367,CONFIG!$B$25:$B$40,0)+1),G367),G367+2.5),IF(N367="BAJAR",IF(F367="polea",IFERROR(INDEX(CONFIG!$B$25:$B$40,MAX(1,MATCH(G367,CONFIG!$B$25:$B$40,0)-1)),G367),MAX(0,G367-2.5)),G367)))),"--")</f>
        <v>40</v>
      </c>
      <c r="L367" s="59">
        <f>IFERROR(IF(N367="SIN","--",IF(N367="MANT",IF(H367="","--",H367+1),IFERROR(VLOOKUP(CONFIG!$E$2,CONFIG!$A$6:$E$8,2,0),"--"))),"--")</f>
        <v>7</v>
      </c>
      <c r="M367" s="59">
        <f>IFERROR(IF(N367="SIN","--",IF(CONFIG!$E$2="HIP",2,IF(CONFIG!$E$2="FUE",1,2))),"--")</f>
        <v>2</v>
      </c>
      <c r="N367" s="53" t="str">
        <f>IFERROR(IF(G367="","SIN",IF(O367=1,"SUBIR_E",IF(H367&lt;IFERROR(VLOOKUP(CONFIG!$E$2,CONFIG!$A$6:$E$8,2,0),6),"BAJAR",IF(H367+I367&gt;=IFERROR(VLOOKUP(CONFIG!$E$2,CONFIG!$A$6:$E$8,3,0),12),"SUBIR_F",IF(AND(H367&gt;=IFERROR(VLOOKUP(CONFIG!$E$2,CONFIG!$A$6:$E$8,2,0),6)+2,I367&gt;=2),"SUBIR",IF(I367&gt;IFERROR(VLOOKUP(CONFIG!$E$2,CONFIG!$A$6:$E$8,5,0),3),"SUBIR","MANT")))))),"SIN")</f>
        <v>MANT</v>
      </c>
      <c r="O367" s="55">
        <f>IF(COUNTIFS(HISTORIAL!$O$3:$O$365,D367&amp;"|"&amp;E367,HISTORIAL!$F$3:$F$365,"&gt;0")&lt;2,0,IF(COUNTIFS(HISTORIAL!$O$3:$O$365,D367&amp;"|"&amp;E367,HISTORIAL!$F$3:$F$365,IFERROR(LOOKUP(2,1/((HISTORIAL!$O$3:$O$365=D367&amp;"|"&amp;E367)*(HISTORIAL!$F$3:$F$365&gt;0)),HISTORIAL!$F$3:$F$365),0))&gt;=2,IF(IFERROR(LOOKUP(2,1/((HISTORIAL!$O$3:$O$365=D367&amp;"|"&amp;E367)*(HISTORIAL!$F$3:$F$365&gt;0)),HISTORIAL!$G$3:$G$365),0)&gt;0,IF(F367&gt;0,IF(G367&lt;=IFERROR(LOOKUP(2,1/((HISTORIAL!$O$3:$O$365=D367&amp;"|"&amp;E367)*(HISTORIAL!$F$3:$F$365&gt;0)),HISTORIAL!$G$3:$G$365),0),1,0),0),0),0))</f>
        <v>0</v>
      </c>
    </row>
    <row r="368" spans="1:15" ht="14.1" customHeight="1">
      <c r="A368" s="37">
        <v>6</v>
      </c>
      <c r="B368" s="37" t="s">
        <v>280</v>
      </c>
      <c r="C368" s="37">
        <v>13</v>
      </c>
      <c r="D368" s="56" t="str">
        <f>JUEVES!$A$158</f>
        <v>Crunch</v>
      </c>
      <c r="E368" s="57" t="str">
        <f>JUEVES!$B$158</f>
        <v>Polea</v>
      </c>
      <c r="F368" s="37" t="str">
        <f>JUEVES!$C$158</f>
        <v>polea</v>
      </c>
      <c r="G368" s="37" t="str">
        <f>IFERROR(LOOKUP(2,1/((HISTORIAL!$O$3:$O$366=D368&amp;"|"&amp;E368)*(HISTORIAL!$F$3:$F$366&lt;&gt;"")),HISTORIAL!$F$3:$F$366),"")</f>
        <v/>
      </c>
      <c r="H368" s="37" t="str">
        <f>IFERROR(LOOKUP(2,1/((HISTORIAL!$O$3:$O$366=D368&amp;"|"&amp;E368)*(HISTORIAL!$F$3:$F$366&lt;&gt;"")),HISTORIAL!$G$3:$G$366),"")</f>
        <v/>
      </c>
      <c r="I368" s="37" t="str">
        <f>IFERROR(LOOKUP(2,1/((HISTORIAL!$O$3:$O$366=D368&amp;"|"&amp;E368)*(HISTORIAL!$F$3:$F$366&lt;&gt;"")),HISTORIAL!$H$3:$H$366),"")</f>
        <v/>
      </c>
      <c r="J368" s="37" t="str">
        <f>IFERROR(LOOKUP(2,1/((HISTORIAL!$O$3:$O$366=D368&amp;"|"&amp;E368)*(HISTORIAL!$F$3:$F$366&lt;&gt;"")),HISTORIAL!$I$3:$I$366),"")</f>
        <v/>
      </c>
      <c r="K368" s="58" t="str">
        <f>IFERROR(IF(OR(G368="",N368="SIN"),"--",IF(N368="SUBIR_F",IF(F368="polea",IFERROR(INDEX(CONFIG!$B$25:$B$40,MATCH(G368,CONFIG!$B$25:$B$40,0)+2),IFERROR(INDEX(CONFIG!$B$25:$B$40,MATCH(G368,CONFIG!$B$25:$B$40,0)+1),G368)),G368+5),IF(OR(N368="SUBIR",N368="SUBIR_E"),IF(F368="polea",IFERROR(INDEX(CONFIG!$B$25:$B$40,MATCH(G368,CONFIG!$B$25:$B$40,0)+1),G368),G368+2.5),IF(N368="BAJAR",IF(F368="polea",IFERROR(INDEX(CONFIG!$B$25:$B$40,MAX(1,MATCH(G368,CONFIG!$B$25:$B$40,0)-1)),G368),MAX(0,G368-2.5)),G368)))),"--")</f>
        <v>--</v>
      </c>
      <c r="L368" s="59" t="str">
        <f>IFERROR(IF(N368="SIN","--",IF(N368="MANT",IF(H368="","--",H368+1),IFERROR(VLOOKUP(CONFIG!$E$2,CONFIG!$A$6:$E$8,2,0),"--"))),"--")</f>
        <v>--</v>
      </c>
      <c r="M368" s="59" t="str">
        <f>IFERROR(IF(N368="SIN","--",IF(CONFIG!$E$2="HIP",2,IF(CONFIG!$E$2="FUE",1,2))),"--")</f>
        <v>--</v>
      </c>
      <c r="N368" s="53" t="str">
        <f>IFERROR(IF(G368="","SIN",IF(O368=1,"SUBIR_E",IF(H368&lt;IFERROR(VLOOKUP(CONFIG!$E$2,CONFIG!$A$6:$E$8,2,0),6),"BAJAR",IF(H368+I368&gt;=IFERROR(VLOOKUP(CONFIG!$E$2,CONFIG!$A$6:$E$8,3,0),12),"SUBIR_F",IF(AND(H368&gt;=IFERROR(VLOOKUP(CONFIG!$E$2,CONFIG!$A$6:$E$8,2,0),6)+2,I368&gt;=2),"SUBIR",IF(I368&gt;IFERROR(VLOOKUP(CONFIG!$E$2,CONFIG!$A$6:$E$8,5,0),3),"SUBIR","MANT")))))),"SIN")</f>
        <v>SIN</v>
      </c>
      <c r="O368" s="55">
        <f>IF(COUNTIFS(HISTORIAL!$O$3:$O$366,D368&amp;"|"&amp;E368,HISTORIAL!$F$3:$F$366,"&gt;0")&lt;2,0,IF(COUNTIFS(HISTORIAL!$O$3:$O$366,D368&amp;"|"&amp;E368,HISTORIAL!$F$3:$F$366,IFERROR(LOOKUP(2,1/((HISTORIAL!$O$3:$O$366=D368&amp;"|"&amp;E368)*(HISTORIAL!$F$3:$F$366&gt;0)),HISTORIAL!$F$3:$F$366),0))&gt;=2,IF(IFERROR(LOOKUP(2,1/((HISTORIAL!$O$3:$O$366=D368&amp;"|"&amp;E368)*(HISTORIAL!$F$3:$F$366&gt;0)),HISTORIAL!$G$3:$G$366),0)&gt;0,IF(F368&gt;0,IF(G368&lt;=IFERROR(LOOKUP(2,1/((HISTORIAL!$O$3:$O$366=D368&amp;"|"&amp;E368)*(HISTORIAL!$F$3:$F$366&gt;0)),HISTORIAL!$G$3:$G$366),0),1,0),0),0),0))</f>
        <v>0</v>
      </c>
    </row>
    <row r="369" spans="1:15" ht="14.1" customHeight="1">
      <c r="A369" s="37">
        <v>6</v>
      </c>
      <c r="B369" s="37" t="s">
        <v>281</v>
      </c>
      <c r="C369" s="37">
        <v>1</v>
      </c>
      <c r="D369" s="56" t="str">
        <f>SABADO!$A$133</f>
        <v>Pulldown</v>
      </c>
      <c r="E369" s="57" t="str">
        <f>SABADO!$B$133</f>
        <v>Polea Alta Brazos Rectos Prono</v>
      </c>
      <c r="F369" s="37" t="str">
        <f>SABADO!$C$133</f>
        <v>polea</v>
      </c>
      <c r="G369" s="37" t="str">
        <f>IFERROR(LOOKUP(2,1/((HISTORIAL!$O$3:$O$367=D369&amp;"|"&amp;E369)*(HISTORIAL!$F$3:$F$367&lt;&gt;"")),HISTORIAL!$F$3:$F$367),"")</f>
        <v/>
      </c>
      <c r="H369" s="37" t="str">
        <f>IFERROR(LOOKUP(2,1/((HISTORIAL!$O$3:$O$367=D369&amp;"|"&amp;E369)*(HISTORIAL!$F$3:$F$367&lt;&gt;"")),HISTORIAL!$G$3:$G$367),"")</f>
        <v/>
      </c>
      <c r="I369" s="37" t="str">
        <f>IFERROR(LOOKUP(2,1/((HISTORIAL!$O$3:$O$367=D369&amp;"|"&amp;E369)*(HISTORIAL!$F$3:$F$367&lt;&gt;"")),HISTORIAL!$H$3:$H$367),"")</f>
        <v/>
      </c>
      <c r="J369" s="37" t="str">
        <f>IFERROR(LOOKUP(2,1/((HISTORIAL!$O$3:$O$367=D369&amp;"|"&amp;E369)*(HISTORIAL!$F$3:$F$367&lt;&gt;"")),HISTORIAL!$I$3:$I$367),"")</f>
        <v/>
      </c>
      <c r="K369" s="58" t="str">
        <f>IFERROR(IF(OR(G369="",N369="SIN"),"--",IF(N369="SUBIR_F",IF(F369="polea",IFERROR(INDEX(CONFIG!$B$25:$B$40,MATCH(G369,CONFIG!$B$25:$B$40,0)+2),IFERROR(INDEX(CONFIG!$B$25:$B$40,MATCH(G369,CONFIG!$B$25:$B$40,0)+1),G369)),G369+5),IF(OR(N369="SUBIR",N369="SUBIR_E"),IF(F369="polea",IFERROR(INDEX(CONFIG!$B$25:$B$40,MATCH(G369,CONFIG!$B$25:$B$40,0)+1),G369),G369+2.5),IF(N369="BAJAR",IF(F369="polea",IFERROR(INDEX(CONFIG!$B$25:$B$40,MAX(1,MATCH(G369,CONFIG!$B$25:$B$40,0)-1)),G369),MAX(0,G369-2.5)),G369)))),"--")</f>
        <v>--</v>
      </c>
      <c r="L369" s="59" t="str">
        <f>IFERROR(IF(N369="SIN","--",IF(N369="MANT",IF(H369="","--",H369+1),IFERROR(VLOOKUP(CONFIG!$E$2,CONFIG!$A$6:$E$8,2,0),"--"))),"--")</f>
        <v>--</v>
      </c>
      <c r="M369" s="59" t="str">
        <f>IFERROR(IF(N369="SIN","--",IF(CONFIG!$E$2="HIP",2,IF(CONFIG!$E$2="FUE",1,2))),"--")</f>
        <v>--</v>
      </c>
      <c r="N369" s="53" t="str">
        <f>IFERROR(IF(G369="","SIN",IF(O369=1,"SUBIR_E",IF(H369&lt;IFERROR(VLOOKUP(CONFIG!$E$2,CONFIG!$A$6:$E$8,2,0),6),"BAJAR",IF(H369+I369&gt;=IFERROR(VLOOKUP(CONFIG!$E$2,CONFIG!$A$6:$E$8,3,0),12),"SUBIR_F",IF(AND(H369&gt;=IFERROR(VLOOKUP(CONFIG!$E$2,CONFIG!$A$6:$E$8,2,0),6)+2,I369&gt;=2),"SUBIR",IF(I369&gt;IFERROR(VLOOKUP(CONFIG!$E$2,CONFIG!$A$6:$E$8,5,0),3),"SUBIR","MANT")))))),"SIN")</f>
        <v>SIN</v>
      </c>
      <c r="O369" s="55">
        <f>IF(COUNTIFS(HISTORIAL!$O$3:$O$367,D369&amp;"|"&amp;E369,HISTORIAL!$F$3:$F$367,"&gt;0")&lt;2,0,IF(COUNTIFS(HISTORIAL!$O$3:$O$367,D369&amp;"|"&amp;E369,HISTORIAL!$F$3:$F$367,IFERROR(LOOKUP(2,1/((HISTORIAL!$O$3:$O$367=D369&amp;"|"&amp;E369)*(HISTORIAL!$F$3:$F$367&gt;0)),HISTORIAL!$F$3:$F$367),0))&gt;=2,IF(IFERROR(LOOKUP(2,1/((HISTORIAL!$O$3:$O$367=D369&amp;"|"&amp;E369)*(HISTORIAL!$F$3:$F$367&gt;0)),HISTORIAL!$G$3:$G$367),0)&gt;0,IF(F369&gt;0,IF(G369&lt;=IFERROR(LOOKUP(2,1/((HISTORIAL!$O$3:$O$367=D369&amp;"|"&amp;E369)*(HISTORIAL!$F$3:$F$367&gt;0)),HISTORIAL!$G$3:$G$367),0),1,0),0),0),0))</f>
        <v>0</v>
      </c>
    </row>
    <row r="370" spans="1:15" ht="14.1" customHeight="1">
      <c r="A370" s="37">
        <v>6</v>
      </c>
      <c r="B370" s="37" t="s">
        <v>281</v>
      </c>
      <c r="C370" s="37">
        <v>2</v>
      </c>
      <c r="D370" s="56" t="str">
        <f>SABADO!$A$135</f>
        <v>Remo</v>
      </c>
      <c r="E370" s="57" t="str">
        <f>SABADO!$B$135</f>
        <v>Maquina Neutro Estrecho</v>
      </c>
      <c r="F370" s="37" t="str">
        <f>SABADO!$C$135</f>
        <v>polea</v>
      </c>
      <c r="G370" s="37" t="str">
        <f>IFERROR(LOOKUP(2,1/((HISTORIAL!$O$3:$O$368=D370&amp;"|"&amp;E370)*(HISTORIAL!$F$3:$F$368&lt;&gt;"")),HISTORIAL!$F$3:$F$368),"")</f>
        <v/>
      </c>
      <c r="H370" s="37" t="str">
        <f>IFERROR(LOOKUP(2,1/((HISTORIAL!$O$3:$O$368=D370&amp;"|"&amp;E370)*(HISTORIAL!$F$3:$F$368&lt;&gt;"")),HISTORIAL!$G$3:$G$368),"")</f>
        <v/>
      </c>
      <c r="I370" s="37" t="str">
        <f>IFERROR(LOOKUP(2,1/((HISTORIAL!$O$3:$O$368=D370&amp;"|"&amp;E370)*(HISTORIAL!$F$3:$F$368&lt;&gt;"")),HISTORIAL!$H$3:$H$368),"")</f>
        <v/>
      </c>
      <c r="J370" s="37" t="str">
        <f>IFERROR(LOOKUP(2,1/((HISTORIAL!$O$3:$O$368=D370&amp;"|"&amp;E370)*(HISTORIAL!$F$3:$F$368&lt;&gt;"")),HISTORIAL!$I$3:$I$368),"")</f>
        <v/>
      </c>
      <c r="K370" s="58" t="str">
        <f>IFERROR(IF(OR(G370="",N370="SIN"),"--",IF(N370="SUBIR_F",IF(F370="polea",IFERROR(INDEX(CONFIG!$B$25:$B$40,MATCH(G370,CONFIG!$B$25:$B$40,0)+2),IFERROR(INDEX(CONFIG!$B$25:$B$40,MATCH(G370,CONFIG!$B$25:$B$40,0)+1),G370)),G370+5),IF(OR(N370="SUBIR",N370="SUBIR_E"),IF(F370="polea",IFERROR(INDEX(CONFIG!$B$25:$B$40,MATCH(G370,CONFIG!$B$25:$B$40,0)+1),G370),G370+2.5),IF(N370="BAJAR",IF(F370="polea",IFERROR(INDEX(CONFIG!$B$25:$B$40,MAX(1,MATCH(G370,CONFIG!$B$25:$B$40,0)-1)),G370),MAX(0,G370-2.5)),G370)))),"--")</f>
        <v>--</v>
      </c>
      <c r="L370" s="59" t="str">
        <f>IFERROR(IF(N370="SIN","--",IF(N370="MANT",IF(H370="","--",H370+1),IFERROR(VLOOKUP(CONFIG!$E$2,CONFIG!$A$6:$E$8,2,0),"--"))),"--")</f>
        <v>--</v>
      </c>
      <c r="M370" s="59" t="str">
        <f>IFERROR(IF(N370="SIN","--",IF(CONFIG!$E$2="HIP",2,IF(CONFIG!$E$2="FUE",1,2))),"--")</f>
        <v>--</v>
      </c>
      <c r="N370" s="53" t="str">
        <f>IFERROR(IF(G370="","SIN",IF(O370=1,"SUBIR_E",IF(H370&lt;IFERROR(VLOOKUP(CONFIG!$E$2,CONFIG!$A$6:$E$8,2,0),6),"BAJAR",IF(H370+I370&gt;=IFERROR(VLOOKUP(CONFIG!$E$2,CONFIG!$A$6:$E$8,3,0),12),"SUBIR_F",IF(AND(H370&gt;=IFERROR(VLOOKUP(CONFIG!$E$2,CONFIG!$A$6:$E$8,2,0),6)+2,I370&gt;=2),"SUBIR",IF(I370&gt;IFERROR(VLOOKUP(CONFIG!$E$2,CONFIG!$A$6:$E$8,5,0),3),"SUBIR","MANT")))))),"SIN")</f>
        <v>SIN</v>
      </c>
      <c r="O370" s="55">
        <f>IF(COUNTIFS(HISTORIAL!$O$3:$O$368,D370&amp;"|"&amp;E370,HISTORIAL!$F$3:$F$368,"&gt;0")&lt;2,0,IF(COUNTIFS(HISTORIAL!$O$3:$O$368,D370&amp;"|"&amp;E370,HISTORIAL!$F$3:$F$368,IFERROR(LOOKUP(2,1/((HISTORIAL!$O$3:$O$368=D370&amp;"|"&amp;E370)*(HISTORIAL!$F$3:$F$368&gt;0)),HISTORIAL!$F$3:$F$368),0))&gt;=2,IF(IFERROR(LOOKUP(2,1/((HISTORIAL!$O$3:$O$368=D370&amp;"|"&amp;E370)*(HISTORIAL!$F$3:$F$368&gt;0)),HISTORIAL!$G$3:$G$368),0)&gt;0,IF(F370&gt;0,IF(G370&lt;=IFERROR(LOOKUP(2,1/((HISTORIAL!$O$3:$O$368=D370&amp;"|"&amp;E370)*(HISTORIAL!$F$3:$F$368&gt;0)),HISTORIAL!$G$3:$G$368),0),1,0),0),0),0))</f>
        <v>0</v>
      </c>
    </row>
    <row r="371" spans="1:15" ht="14.1" customHeight="1">
      <c r="A371" s="37">
        <v>6</v>
      </c>
      <c r="B371" s="37" t="s">
        <v>281</v>
      </c>
      <c r="C371" s="37">
        <v>3</v>
      </c>
      <c r="D371" s="56" t="str">
        <f>SABADO!$A$136</f>
        <v>Remo</v>
      </c>
      <c r="E371" s="57" t="str">
        <f>SABADO!$B$136</f>
        <v>Maquina Neutro Ancho</v>
      </c>
      <c r="F371" s="37" t="str">
        <f>SABADO!$C$136</f>
        <v>polea</v>
      </c>
      <c r="G371" s="37" t="str">
        <f>IFERROR(LOOKUP(2,1/((HISTORIAL!$O$3:$O$369=D371&amp;"|"&amp;E371)*(HISTORIAL!$F$3:$F$369&lt;&gt;"")),HISTORIAL!$F$3:$F$369),"")</f>
        <v/>
      </c>
      <c r="H371" s="37" t="str">
        <f>IFERROR(LOOKUP(2,1/((HISTORIAL!$O$3:$O$369=D371&amp;"|"&amp;E371)*(HISTORIAL!$F$3:$F$369&lt;&gt;"")),HISTORIAL!$G$3:$G$369),"")</f>
        <v/>
      </c>
      <c r="I371" s="37" t="str">
        <f>IFERROR(LOOKUP(2,1/((HISTORIAL!$O$3:$O$369=D371&amp;"|"&amp;E371)*(HISTORIAL!$F$3:$F$369&lt;&gt;"")),HISTORIAL!$H$3:$H$369),"")</f>
        <v/>
      </c>
      <c r="J371" s="37" t="str">
        <f>IFERROR(LOOKUP(2,1/((HISTORIAL!$O$3:$O$369=D371&amp;"|"&amp;E371)*(HISTORIAL!$F$3:$F$369&lt;&gt;"")),HISTORIAL!$I$3:$I$369),"")</f>
        <v/>
      </c>
      <c r="K371" s="58" t="str">
        <f>IFERROR(IF(OR(G371="",N371="SIN"),"--",IF(N371="SUBIR_F",IF(F371="polea",IFERROR(INDEX(CONFIG!$B$25:$B$40,MATCH(G371,CONFIG!$B$25:$B$40,0)+2),IFERROR(INDEX(CONFIG!$B$25:$B$40,MATCH(G371,CONFIG!$B$25:$B$40,0)+1),G371)),G371+5),IF(OR(N371="SUBIR",N371="SUBIR_E"),IF(F371="polea",IFERROR(INDEX(CONFIG!$B$25:$B$40,MATCH(G371,CONFIG!$B$25:$B$40,0)+1),G371),G371+2.5),IF(N371="BAJAR",IF(F371="polea",IFERROR(INDEX(CONFIG!$B$25:$B$40,MAX(1,MATCH(G371,CONFIG!$B$25:$B$40,0)-1)),G371),MAX(0,G371-2.5)),G371)))),"--")</f>
        <v>--</v>
      </c>
      <c r="L371" s="59" t="str">
        <f>IFERROR(IF(N371="SIN","--",IF(N371="MANT",IF(H371="","--",H371+1),IFERROR(VLOOKUP(CONFIG!$E$2,CONFIG!$A$6:$E$8,2,0),"--"))),"--")</f>
        <v>--</v>
      </c>
      <c r="M371" s="59" t="str">
        <f>IFERROR(IF(N371="SIN","--",IF(CONFIG!$E$2="HIP",2,IF(CONFIG!$E$2="FUE",1,2))),"--")</f>
        <v>--</v>
      </c>
      <c r="N371" s="53" t="str">
        <f>IFERROR(IF(G371="","SIN",IF(O371=1,"SUBIR_E",IF(H371&lt;IFERROR(VLOOKUP(CONFIG!$E$2,CONFIG!$A$6:$E$8,2,0),6),"BAJAR",IF(H371+I371&gt;=IFERROR(VLOOKUP(CONFIG!$E$2,CONFIG!$A$6:$E$8,3,0),12),"SUBIR_F",IF(AND(H371&gt;=IFERROR(VLOOKUP(CONFIG!$E$2,CONFIG!$A$6:$E$8,2,0),6)+2,I371&gt;=2),"SUBIR",IF(I371&gt;IFERROR(VLOOKUP(CONFIG!$E$2,CONFIG!$A$6:$E$8,5,0),3),"SUBIR","MANT")))))),"SIN")</f>
        <v>SIN</v>
      </c>
      <c r="O371" s="55">
        <f>IF(COUNTIFS(HISTORIAL!$O$3:$O$369,D371&amp;"|"&amp;E371,HISTORIAL!$F$3:$F$369,"&gt;0")&lt;2,0,IF(COUNTIFS(HISTORIAL!$O$3:$O$369,D371&amp;"|"&amp;E371,HISTORIAL!$F$3:$F$369,IFERROR(LOOKUP(2,1/((HISTORIAL!$O$3:$O$369=D371&amp;"|"&amp;E371)*(HISTORIAL!$F$3:$F$369&gt;0)),HISTORIAL!$F$3:$F$369),0))&gt;=2,IF(IFERROR(LOOKUP(2,1/((HISTORIAL!$O$3:$O$369=D371&amp;"|"&amp;E371)*(HISTORIAL!$F$3:$F$369&gt;0)),HISTORIAL!$G$3:$G$369),0)&gt;0,IF(F371&gt;0,IF(G371&lt;=IFERROR(LOOKUP(2,1/((HISTORIAL!$O$3:$O$369=D371&amp;"|"&amp;E371)*(HISTORIAL!$F$3:$F$369&gt;0)),HISTORIAL!$G$3:$G$369),0),1,0),0),0),0))</f>
        <v>0</v>
      </c>
    </row>
    <row r="372" spans="1:15" ht="14.1" customHeight="1">
      <c r="A372" s="37">
        <v>6</v>
      </c>
      <c r="B372" s="37" t="s">
        <v>281</v>
      </c>
      <c r="C372" s="37">
        <v>4</v>
      </c>
      <c r="D372" s="56" t="str">
        <f>SABADO!$A$137</f>
        <v>Peck Deck Invertida</v>
      </c>
      <c r="E372" s="57" t="str">
        <f>SABADO!$B$137</f>
        <v>Maquina</v>
      </c>
      <c r="F372" s="37" t="str">
        <f>SABADO!$C$137</f>
        <v>polea</v>
      </c>
      <c r="G372" s="37" t="str">
        <f>IFERROR(LOOKUP(2,1/((HISTORIAL!$O$3:$O$370=D372&amp;"|"&amp;E372)*(HISTORIAL!$F$3:$F$370&lt;&gt;"")),HISTORIAL!$F$3:$F$370),"")</f>
        <v/>
      </c>
      <c r="H372" s="37" t="str">
        <f>IFERROR(LOOKUP(2,1/((HISTORIAL!$O$3:$O$370=D372&amp;"|"&amp;E372)*(HISTORIAL!$F$3:$F$370&lt;&gt;"")),HISTORIAL!$G$3:$G$370),"")</f>
        <v/>
      </c>
      <c r="I372" s="37" t="str">
        <f>IFERROR(LOOKUP(2,1/((HISTORIAL!$O$3:$O$370=D372&amp;"|"&amp;E372)*(HISTORIAL!$F$3:$F$370&lt;&gt;"")),HISTORIAL!$H$3:$H$370),"")</f>
        <v/>
      </c>
      <c r="J372" s="37" t="str">
        <f>IFERROR(LOOKUP(2,1/((HISTORIAL!$O$3:$O$370=D372&amp;"|"&amp;E372)*(HISTORIAL!$F$3:$F$370&lt;&gt;"")),HISTORIAL!$I$3:$I$370),"")</f>
        <v/>
      </c>
      <c r="K372" s="58" t="str">
        <f>IFERROR(IF(OR(G372="",N372="SIN"),"--",IF(N372="SUBIR_F",IF(F372="polea",IFERROR(INDEX(CONFIG!$B$25:$B$40,MATCH(G372,CONFIG!$B$25:$B$40,0)+2),IFERROR(INDEX(CONFIG!$B$25:$B$40,MATCH(G372,CONFIG!$B$25:$B$40,0)+1),G372)),G372+5),IF(OR(N372="SUBIR",N372="SUBIR_E"),IF(F372="polea",IFERROR(INDEX(CONFIG!$B$25:$B$40,MATCH(G372,CONFIG!$B$25:$B$40,0)+1),G372),G372+2.5),IF(N372="BAJAR",IF(F372="polea",IFERROR(INDEX(CONFIG!$B$25:$B$40,MAX(1,MATCH(G372,CONFIG!$B$25:$B$40,0)-1)),G372),MAX(0,G372-2.5)),G372)))),"--")</f>
        <v>--</v>
      </c>
      <c r="L372" s="59" t="str">
        <f>IFERROR(IF(N372="SIN","--",IF(N372="MANT",IF(H372="","--",H372+1),IFERROR(VLOOKUP(CONFIG!$E$2,CONFIG!$A$6:$E$8,2,0),"--"))),"--")</f>
        <v>--</v>
      </c>
      <c r="M372" s="59" t="str">
        <f>IFERROR(IF(N372="SIN","--",IF(CONFIG!$E$2="HIP",2,IF(CONFIG!$E$2="FUE",1,2))),"--")</f>
        <v>--</v>
      </c>
      <c r="N372" s="53" t="str">
        <f>IFERROR(IF(G372="","SIN",IF(O372=1,"SUBIR_E",IF(H372&lt;IFERROR(VLOOKUP(CONFIG!$E$2,CONFIG!$A$6:$E$8,2,0),6),"BAJAR",IF(H372+I372&gt;=IFERROR(VLOOKUP(CONFIG!$E$2,CONFIG!$A$6:$E$8,3,0),12),"SUBIR_F",IF(AND(H372&gt;=IFERROR(VLOOKUP(CONFIG!$E$2,CONFIG!$A$6:$E$8,2,0),6)+2,I372&gt;=2),"SUBIR",IF(I372&gt;IFERROR(VLOOKUP(CONFIG!$E$2,CONFIG!$A$6:$E$8,5,0),3),"SUBIR","MANT")))))),"SIN")</f>
        <v>SIN</v>
      </c>
      <c r="O372" s="55">
        <f>IF(COUNTIFS(HISTORIAL!$O$3:$O$370,D372&amp;"|"&amp;E372,HISTORIAL!$F$3:$F$370,"&gt;0")&lt;2,0,IF(COUNTIFS(HISTORIAL!$O$3:$O$370,D372&amp;"|"&amp;E372,HISTORIAL!$F$3:$F$370,IFERROR(LOOKUP(2,1/((HISTORIAL!$O$3:$O$370=D372&amp;"|"&amp;E372)*(HISTORIAL!$F$3:$F$370&gt;0)),HISTORIAL!$F$3:$F$370),0))&gt;=2,IF(IFERROR(LOOKUP(2,1/((HISTORIAL!$O$3:$O$370=D372&amp;"|"&amp;E372)*(HISTORIAL!$F$3:$F$370&gt;0)),HISTORIAL!$G$3:$G$370),0)&gt;0,IF(F372&gt;0,IF(G372&lt;=IFERROR(LOOKUP(2,1/((HISTORIAL!$O$3:$O$370=D372&amp;"|"&amp;E372)*(HISTORIAL!$F$3:$F$370&gt;0)),HISTORIAL!$G$3:$G$370),0),1,0),0),0),0))</f>
        <v>0</v>
      </c>
    </row>
    <row r="373" spans="1:15" ht="14.1" customHeight="1">
      <c r="A373" s="37">
        <v>6</v>
      </c>
      <c r="B373" s="37" t="s">
        <v>281</v>
      </c>
      <c r="C373" s="37">
        <v>5</v>
      </c>
      <c r="D373" s="56" t="str">
        <f>SABADO!$A$139</f>
        <v>Curl Biceps</v>
      </c>
      <c r="E373" s="57" t="str">
        <f>SABADO!$B$139</f>
        <v>Concentrado Maquina</v>
      </c>
      <c r="F373" s="37" t="str">
        <f>SABADO!$C$139</f>
        <v>polea</v>
      </c>
      <c r="G373" s="37">
        <f>IFERROR(LOOKUP(2,1/((HISTORIAL!$O$3:$O$371=D373&amp;"|"&amp;E373)*(HISTORIAL!$F$3:$F$371&lt;&gt;"")),HISTORIAL!$F$3:$F$371),"")</f>
        <v>40</v>
      </c>
      <c r="H373" s="37">
        <f>IFERROR(LOOKUP(2,1/((HISTORIAL!$O$3:$O$371=D373&amp;"|"&amp;E373)*(HISTORIAL!$F$3:$F$371&lt;&gt;"")),HISTORIAL!$G$3:$G$371),"")</f>
        <v>6</v>
      </c>
      <c r="I373" s="37">
        <f>IFERROR(LOOKUP(2,1/((HISTORIAL!$O$3:$O$371=D373&amp;"|"&amp;E373)*(HISTORIAL!$F$3:$F$371&lt;&gt;"")),HISTORIAL!$H$3:$H$371),"")</f>
        <v>0</v>
      </c>
      <c r="J373" s="37" t="str">
        <f>IFERROR(LOOKUP(2,1/((HISTORIAL!$O$3:$O$371=D373&amp;"|"&amp;E373)*(HISTORIAL!$F$3:$F$371&lt;&gt;"")),HISTORIAL!$I$3:$I$371),"")</f>
        <v>B</v>
      </c>
      <c r="K373" s="58">
        <f>IFERROR(IF(OR(G373="",N373="SIN"),"--",IF(N373="SUBIR_F",IF(F373="polea",IFERROR(INDEX(CONFIG!$B$25:$B$40,MATCH(G373,CONFIG!$B$25:$B$40,0)+2),IFERROR(INDEX(CONFIG!$B$25:$B$40,MATCH(G373,CONFIG!$B$25:$B$40,0)+1),G373)),G373+5),IF(OR(N373="SUBIR",N373="SUBIR_E"),IF(F373="polea",IFERROR(INDEX(CONFIG!$B$25:$B$40,MATCH(G373,CONFIG!$B$25:$B$40,0)+1),G373),G373+2.5),IF(N373="BAJAR",IF(F373="polea",IFERROR(INDEX(CONFIG!$B$25:$B$40,MAX(1,MATCH(G373,CONFIG!$B$25:$B$40,0)-1)),G373),MAX(0,G373-2.5)),G373)))),"--")</f>
        <v>40</v>
      </c>
      <c r="L373" s="59">
        <f>IFERROR(IF(N373="SIN","--",IF(N373="MANT",IF(H373="","--",H373+1),IFERROR(VLOOKUP(CONFIG!$E$2,CONFIG!$A$6:$E$8,2,0),"--"))),"--")</f>
        <v>7</v>
      </c>
      <c r="M373" s="59">
        <f>IFERROR(IF(N373="SIN","--",IF(CONFIG!$E$2="HIP",2,IF(CONFIG!$E$2="FUE",1,2))),"--")</f>
        <v>2</v>
      </c>
      <c r="N373" s="53" t="str">
        <f>IFERROR(IF(G373="","SIN",IF(O373=1,"SUBIR_E",IF(H373&lt;IFERROR(VLOOKUP(CONFIG!$E$2,CONFIG!$A$6:$E$8,2,0),6),"BAJAR",IF(H373+I373&gt;=IFERROR(VLOOKUP(CONFIG!$E$2,CONFIG!$A$6:$E$8,3,0),12),"SUBIR_F",IF(AND(H373&gt;=IFERROR(VLOOKUP(CONFIG!$E$2,CONFIG!$A$6:$E$8,2,0),6)+2,I373&gt;=2),"SUBIR",IF(I373&gt;IFERROR(VLOOKUP(CONFIG!$E$2,CONFIG!$A$6:$E$8,5,0),3),"SUBIR","MANT")))))),"SIN")</f>
        <v>MANT</v>
      </c>
      <c r="O373" s="55">
        <f>IF(COUNTIFS(HISTORIAL!$O$3:$O$371,D373&amp;"|"&amp;E373,HISTORIAL!$F$3:$F$371,"&gt;0")&lt;2,0,IF(COUNTIFS(HISTORIAL!$O$3:$O$371,D373&amp;"|"&amp;E373,HISTORIAL!$F$3:$F$371,IFERROR(LOOKUP(2,1/((HISTORIAL!$O$3:$O$371=D373&amp;"|"&amp;E373)*(HISTORIAL!$F$3:$F$371&gt;0)),HISTORIAL!$F$3:$F$371),0))&gt;=2,IF(IFERROR(LOOKUP(2,1/((HISTORIAL!$O$3:$O$371=D373&amp;"|"&amp;E373)*(HISTORIAL!$F$3:$F$371&gt;0)),HISTORIAL!$G$3:$G$371),0)&gt;0,IF(F373&gt;0,IF(G373&lt;=IFERROR(LOOKUP(2,1/((HISTORIAL!$O$3:$O$371=D373&amp;"|"&amp;E373)*(HISTORIAL!$F$3:$F$371&gt;0)),HISTORIAL!$G$3:$G$371),0),1,0),0),0),0))</f>
        <v>0</v>
      </c>
    </row>
    <row r="374" spans="1:15" ht="14.1" customHeight="1">
      <c r="A374" s="37">
        <v>6</v>
      </c>
      <c r="B374" s="37" t="s">
        <v>281</v>
      </c>
      <c r="C374" s="37">
        <v>6</v>
      </c>
      <c r="D374" s="56" t="str">
        <f>SABADO!$A$140</f>
        <v>Curl Martillo</v>
      </c>
      <c r="E374" s="57" t="str">
        <f>SABADO!$B$140</f>
        <v>Polea Individual</v>
      </c>
      <c r="F374" s="37" t="str">
        <f>SABADO!$C$140</f>
        <v>polea</v>
      </c>
      <c r="G374" s="37">
        <f>IFERROR(LOOKUP(2,1/((HISTORIAL!$O$3:$O$372=D374&amp;"|"&amp;E374)*(HISTORIAL!$F$3:$F$372&lt;&gt;"")),HISTORIAL!$F$3:$F$372),"")</f>
        <v>20</v>
      </c>
      <c r="H374" s="37">
        <f>IFERROR(LOOKUP(2,1/((HISTORIAL!$O$3:$O$372=D374&amp;"|"&amp;E374)*(HISTORIAL!$F$3:$F$372&lt;&gt;"")),HISTORIAL!$G$3:$G$372),"")</f>
        <v>8</v>
      </c>
      <c r="I374" s="37">
        <f>IFERROR(LOOKUP(2,1/((HISTORIAL!$O$3:$O$372=D374&amp;"|"&amp;E374)*(HISTORIAL!$F$3:$F$372&lt;&gt;"")),HISTORIAL!$H$3:$H$372),"")</f>
        <v>3</v>
      </c>
      <c r="J374" s="37" t="str">
        <f>IFERROR(LOOKUP(2,1/((HISTORIAL!$O$3:$O$372=D374&amp;"|"&amp;E374)*(HISTORIAL!$F$3:$F$372&lt;&gt;"")),HISTORIAL!$I$3:$I$372),"")</f>
        <v>A</v>
      </c>
      <c r="K374" s="58">
        <f>IFERROR(IF(OR(G374="",N374="SIN"),"--",IF(N374="SUBIR_F",IF(F374="polea",IFERROR(INDEX(CONFIG!$B$25:$B$40,MATCH(G374,CONFIG!$B$25:$B$40,0)+2),IFERROR(INDEX(CONFIG!$B$25:$B$40,MATCH(G374,CONFIG!$B$25:$B$40,0)+1),G374)),G374+5),IF(OR(N374="SUBIR",N374="SUBIR_E"),IF(F374="polea",IFERROR(INDEX(CONFIG!$B$25:$B$40,MATCH(G374,CONFIG!$B$25:$B$40,0)+1),G374),G374+2.5),IF(N374="BAJAR",IF(F374="polea",IFERROR(INDEX(CONFIG!$B$25:$B$40,MAX(1,MATCH(G374,CONFIG!$B$25:$B$40,0)-1)),G374),MAX(0,G374-2.5)),G374)))),"--")</f>
        <v>20</v>
      </c>
      <c r="L374" s="59">
        <f>IFERROR(IF(N374="SIN","--",IF(N374="MANT",IF(H374="","--",H374+1),IFERROR(VLOOKUP(CONFIG!$E$2,CONFIG!$A$6:$E$8,2,0),"--"))),"--")</f>
        <v>6</v>
      </c>
      <c r="M374" s="59">
        <f>IFERROR(IF(N374="SIN","--",IF(CONFIG!$E$2="HIP",2,IF(CONFIG!$E$2="FUE",1,2))),"--")</f>
        <v>2</v>
      </c>
      <c r="N374" s="53" t="str">
        <f>IFERROR(IF(G374="","SIN",IF(O374=1,"SUBIR_E",IF(H374&lt;IFERROR(VLOOKUP(CONFIG!$E$2,CONFIG!$A$6:$E$8,2,0),6),"BAJAR",IF(H374+I374&gt;=IFERROR(VLOOKUP(CONFIG!$E$2,CONFIG!$A$6:$E$8,3,0),12),"SUBIR_F",IF(AND(H374&gt;=IFERROR(VLOOKUP(CONFIG!$E$2,CONFIG!$A$6:$E$8,2,0),6)+2,I374&gt;=2),"SUBIR",IF(I374&gt;IFERROR(VLOOKUP(CONFIG!$E$2,CONFIG!$A$6:$E$8,5,0),3),"SUBIR","MANT")))))),"SIN")</f>
        <v>SUBIR</v>
      </c>
      <c r="O374" s="55">
        <f>IF(COUNTIFS(HISTORIAL!$O$3:$O$372,D374&amp;"|"&amp;E374,HISTORIAL!$F$3:$F$372,"&gt;0")&lt;2,0,IF(COUNTIFS(HISTORIAL!$O$3:$O$372,D374&amp;"|"&amp;E374,HISTORIAL!$F$3:$F$372,IFERROR(LOOKUP(2,1/((HISTORIAL!$O$3:$O$372=D374&amp;"|"&amp;E374)*(HISTORIAL!$F$3:$F$372&gt;0)),HISTORIAL!$F$3:$F$372),0))&gt;=2,IF(IFERROR(LOOKUP(2,1/((HISTORIAL!$O$3:$O$372=D374&amp;"|"&amp;E374)*(HISTORIAL!$F$3:$F$372&gt;0)),HISTORIAL!$G$3:$G$372),0)&gt;0,IF(F374&gt;0,IF(G374&lt;=IFERROR(LOOKUP(2,1/((HISTORIAL!$O$3:$O$372=D374&amp;"|"&amp;E374)*(HISTORIAL!$F$3:$F$372&gt;0)),HISTORIAL!$G$3:$G$372),0),1,0),0),0),0))</f>
        <v>0</v>
      </c>
    </row>
    <row r="375" spans="1:15" ht="14.1" customHeight="1">
      <c r="A375" s="37">
        <v>6</v>
      </c>
      <c r="B375" s="37" t="s">
        <v>281</v>
      </c>
      <c r="C375" s="37">
        <v>7</v>
      </c>
      <c r="D375" s="56" t="str">
        <f>SABADO!$A$142</f>
        <v>Curl Muneca</v>
      </c>
      <c r="E375" s="57" t="str">
        <f>SABADO!$B$142</f>
        <v>Supinado</v>
      </c>
      <c r="F375" s="37" t="str">
        <f>SABADO!$C$142</f>
        <v>mancuerna</v>
      </c>
      <c r="G375" s="37" t="str">
        <f>IFERROR(LOOKUP(2,1/((HISTORIAL!$O$3:$O$373=D375&amp;"|"&amp;E375)*(HISTORIAL!$F$3:$F$373&lt;&gt;"")),HISTORIAL!$F$3:$F$373),"")</f>
        <v/>
      </c>
      <c r="H375" s="37" t="str">
        <f>IFERROR(LOOKUP(2,1/((HISTORIAL!$O$3:$O$373=D375&amp;"|"&amp;E375)*(HISTORIAL!$F$3:$F$373&lt;&gt;"")),HISTORIAL!$G$3:$G$373),"")</f>
        <v/>
      </c>
      <c r="I375" s="37" t="str">
        <f>IFERROR(LOOKUP(2,1/((HISTORIAL!$O$3:$O$373=D375&amp;"|"&amp;E375)*(HISTORIAL!$F$3:$F$373&lt;&gt;"")),HISTORIAL!$H$3:$H$373),"")</f>
        <v/>
      </c>
      <c r="J375" s="37" t="str">
        <f>IFERROR(LOOKUP(2,1/((HISTORIAL!$O$3:$O$373=D375&amp;"|"&amp;E375)*(HISTORIAL!$F$3:$F$373&lt;&gt;"")),HISTORIAL!$I$3:$I$373),"")</f>
        <v/>
      </c>
      <c r="K375" s="58" t="str">
        <f>IFERROR(IF(OR(G375="",N375="SIN"),"--",IF(N375="SUBIR_F",IF(F375="polea",IFERROR(INDEX(CONFIG!$B$25:$B$40,MATCH(G375,CONFIG!$B$25:$B$40,0)+2),IFERROR(INDEX(CONFIG!$B$25:$B$40,MATCH(G375,CONFIG!$B$25:$B$40,0)+1),G375)),G375+5),IF(OR(N375="SUBIR",N375="SUBIR_E"),IF(F375="polea",IFERROR(INDEX(CONFIG!$B$25:$B$40,MATCH(G375,CONFIG!$B$25:$B$40,0)+1),G375),G375+2.5),IF(N375="BAJAR",IF(F375="polea",IFERROR(INDEX(CONFIG!$B$25:$B$40,MAX(1,MATCH(G375,CONFIG!$B$25:$B$40,0)-1)),G375),MAX(0,G375-2.5)),G375)))),"--")</f>
        <v>--</v>
      </c>
      <c r="L375" s="59" t="str">
        <f>IFERROR(IF(N375="SIN","--",IF(N375="MANT",IF(H375="","--",H375+1),IFERROR(VLOOKUP(CONFIG!$E$2,CONFIG!$A$6:$E$8,2,0),"--"))),"--")</f>
        <v>--</v>
      </c>
      <c r="M375" s="59" t="str">
        <f>IFERROR(IF(N375="SIN","--",IF(CONFIG!$E$2="HIP",2,IF(CONFIG!$E$2="FUE",1,2))),"--")</f>
        <v>--</v>
      </c>
      <c r="N375" s="53" t="str">
        <f>IFERROR(IF(G375="","SIN",IF(O375=1,"SUBIR_E",IF(H375&lt;IFERROR(VLOOKUP(CONFIG!$E$2,CONFIG!$A$6:$E$8,2,0),6),"BAJAR",IF(H375+I375&gt;=IFERROR(VLOOKUP(CONFIG!$E$2,CONFIG!$A$6:$E$8,3,0),12),"SUBIR_F",IF(AND(H375&gt;=IFERROR(VLOOKUP(CONFIG!$E$2,CONFIG!$A$6:$E$8,2,0),6)+2,I375&gt;=2),"SUBIR",IF(I375&gt;IFERROR(VLOOKUP(CONFIG!$E$2,CONFIG!$A$6:$E$8,5,0),3),"SUBIR","MANT")))))),"SIN")</f>
        <v>SIN</v>
      </c>
      <c r="O375" s="55">
        <f>IF(COUNTIFS(HISTORIAL!$O$3:$O$373,D375&amp;"|"&amp;E375,HISTORIAL!$F$3:$F$373,"&gt;0")&lt;2,0,IF(COUNTIFS(HISTORIAL!$O$3:$O$373,D375&amp;"|"&amp;E375,HISTORIAL!$F$3:$F$373,IFERROR(LOOKUP(2,1/((HISTORIAL!$O$3:$O$373=D375&amp;"|"&amp;E375)*(HISTORIAL!$F$3:$F$373&gt;0)),HISTORIAL!$F$3:$F$373),0))&gt;=2,IF(IFERROR(LOOKUP(2,1/((HISTORIAL!$O$3:$O$373=D375&amp;"|"&amp;E375)*(HISTORIAL!$F$3:$F$373&gt;0)),HISTORIAL!$G$3:$G$373),0)&gt;0,IF(F375&gt;0,IF(G375&lt;=IFERROR(LOOKUP(2,1/((HISTORIAL!$O$3:$O$373=D375&amp;"|"&amp;E375)*(HISTORIAL!$F$3:$F$373&gt;0)),HISTORIAL!$G$3:$G$373),0),1,0),0),0),0))</f>
        <v>0</v>
      </c>
    </row>
    <row r="376" spans="1:15" ht="14.1" customHeight="1">
      <c r="A376" s="37">
        <v>6</v>
      </c>
      <c r="B376" s="37" t="s">
        <v>281</v>
      </c>
      <c r="C376" s="37">
        <v>8</v>
      </c>
      <c r="D376" s="56" t="str">
        <f>SABADO!$A$143</f>
        <v>Curl Muneca</v>
      </c>
      <c r="E376" s="57" t="str">
        <f>SABADO!$B$143</f>
        <v>Pronado</v>
      </c>
      <c r="F376" s="37" t="str">
        <f>SABADO!$C$143</f>
        <v>mancuerna</v>
      </c>
      <c r="G376" s="37" t="str">
        <f>IFERROR(LOOKUP(2,1/((HISTORIAL!$O$3:$O$374=D376&amp;"|"&amp;E376)*(HISTORIAL!$F$3:$F$374&lt;&gt;"")),HISTORIAL!$F$3:$F$374),"")</f>
        <v/>
      </c>
      <c r="H376" s="37" t="str">
        <f>IFERROR(LOOKUP(2,1/((HISTORIAL!$O$3:$O$374=D376&amp;"|"&amp;E376)*(HISTORIAL!$F$3:$F$374&lt;&gt;"")),HISTORIAL!$G$3:$G$374),"")</f>
        <v/>
      </c>
      <c r="I376" s="37" t="str">
        <f>IFERROR(LOOKUP(2,1/((HISTORIAL!$O$3:$O$374=D376&amp;"|"&amp;E376)*(HISTORIAL!$F$3:$F$374&lt;&gt;"")),HISTORIAL!$H$3:$H$374),"")</f>
        <v/>
      </c>
      <c r="J376" s="37" t="str">
        <f>IFERROR(LOOKUP(2,1/((HISTORIAL!$O$3:$O$374=D376&amp;"|"&amp;E376)*(HISTORIAL!$F$3:$F$374&lt;&gt;"")),HISTORIAL!$I$3:$I$374),"")</f>
        <v/>
      </c>
      <c r="K376" s="58" t="str">
        <f>IFERROR(IF(OR(G376="",N376="SIN"),"--",IF(N376="SUBIR_F",IF(F376="polea",IFERROR(INDEX(CONFIG!$B$25:$B$40,MATCH(G376,CONFIG!$B$25:$B$40,0)+2),IFERROR(INDEX(CONFIG!$B$25:$B$40,MATCH(G376,CONFIG!$B$25:$B$40,0)+1),G376)),G376+5),IF(OR(N376="SUBIR",N376="SUBIR_E"),IF(F376="polea",IFERROR(INDEX(CONFIG!$B$25:$B$40,MATCH(G376,CONFIG!$B$25:$B$40,0)+1),G376),G376+2.5),IF(N376="BAJAR",IF(F376="polea",IFERROR(INDEX(CONFIG!$B$25:$B$40,MAX(1,MATCH(G376,CONFIG!$B$25:$B$40,0)-1)),G376),MAX(0,G376-2.5)),G376)))),"--")</f>
        <v>--</v>
      </c>
      <c r="L376" s="59" t="str">
        <f>IFERROR(IF(N376="SIN","--",IF(N376="MANT",IF(H376="","--",H376+1),IFERROR(VLOOKUP(CONFIG!$E$2,CONFIG!$A$6:$E$8,2,0),"--"))),"--")</f>
        <v>--</v>
      </c>
      <c r="M376" s="59" t="str">
        <f>IFERROR(IF(N376="SIN","--",IF(CONFIG!$E$2="HIP",2,IF(CONFIG!$E$2="FUE",1,2))),"--")</f>
        <v>--</v>
      </c>
      <c r="N376" s="53" t="str">
        <f>IFERROR(IF(G376="","SIN",IF(O376=1,"SUBIR_E",IF(H376&lt;IFERROR(VLOOKUP(CONFIG!$E$2,CONFIG!$A$6:$E$8,2,0),6),"BAJAR",IF(H376+I376&gt;=IFERROR(VLOOKUP(CONFIG!$E$2,CONFIG!$A$6:$E$8,3,0),12),"SUBIR_F",IF(AND(H376&gt;=IFERROR(VLOOKUP(CONFIG!$E$2,CONFIG!$A$6:$E$8,2,0),6)+2,I376&gt;=2),"SUBIR",IF(I376&gt;IFERROR(VLOOKUP(CONFIG!$E$2,CONFIG!$A$6:$E$8,5,0),3),"SUBIR","MANT")))))),"SIN")</f>
        <v>SIN</v>
      </c>
      <c r="O376" s="55">
        <f>IF(COUNTIFS(HISTORIAL!$O$3:$O$374,D376&amp;"|"&amp;E376,HISTORIAL!$F$3:$F$374,"&gt;0")&lt;2,0,IF(COUNTIFS(HISTORIAL!$O$3:$O$374,D376&amp;"|"&amp;E376,HISTORIAL!$F$3:$F$374,IFERROR(LOOKUP(2,1/((HISTORIAL!$O$3:$O$374=D376&amp;"|"&amp;E376)*(HISTORIAL!$F$3:$F$374&gt;0)),HISTORIAL!$F$3:$F$374),0))&gt;=2,IF(IFERROR(LOOKUP(2,1/((HISTORIAL!$O$3:$O$374=D376&amp;"|"&amp;E376)*(HISTORIAL!$F$3:$F$374&gt;0)),HISTORIAL!$G$3:$G$374),0)&gt;0,IF(F376&gt;0,IF(G376&lt;=IFERROR(LOOKUP(2,1/((HISTORIAL!$O$3:$O$374=D376&amp;"|"&amp;E376)*(HISTORIAL!$F$3:$F$374&gt;0)),HISTORIAL!$G$3:$G$374),0),1,0),0),0),0))</f>
        <v>0</v>
      </c>
    </row>
    <row r="377" spans="1:15" ht="14.1" customHeight="1">
      <c r="A377" s="37">
        <v>6</v>
      </c>
      <c r="B377" s="37" t="s">
        <v>281</v>
      </c>
      <c r="C377" s="37">
        <v>9</v>
      </c>
      <c r="D377" s="56" t="str">
        <f>SABADO!$A$145</f>
        <v>Elevaciones Laterales</v>
      </c>
      <c r="E377" s="57" t="str">
        <f>SABADO!$B$145</f>
        <v>Cable Polea Individual</v>
      </c>
      <c r="F377" s="37" t="str">
        <f>SABADO!$C$145</f>
        <v>polea</v>
      </c>
      <c r="G377" s="37" t="str">
        <f>IFERROR(LOOKUP(2,1/((HISTORIAL!$O$3:$O$375=D377&amp;"|"&amp;E377)*(HISTORIAL!$F$3:$F$375&lt;&gt;"")),HISTORIAL!$F$3:$F$375),"")</f>
        <v/>
      </c>
      <c r="H377" s="37" t="str">
        <f>IFERROR(LOOKUP(2,1/((HISTORIAL!$O$3:$O$375=D377&amp;"|"&amp;E377)*(HISTORIAL!$F$3:$F$375&lt;&gt;"")),HISTORIAL!$G$3:$G$375),"")</f>
        <v/>
      </c>
      <c r="I377" s="37" t="str">
        <f>IFERROR(LOOKUP(2,1/((HISTORIAL!$O$3:$O$375=D377&amp;"|"&amp;E377)*(HISTORIAL!$F$3:$F$375&lt;&gt;"")),HISTORIAL!$H$3:$H$375),"")</f>
        <v/>
      </c>
      <c r="J377" s="37" t="str">
        <f>IFERROR(LOOKUP(2,1/((HISTORIAL!$O$3:$O$375=D377&amp;"|"&amp;E377)*(HISTORIAL!$F$3:$F$375&lt;&gt;"")),HISTORIAL!$I$3:$I$375),"")</f>
        <v/>
      </c>
      <c r="K377" s="58" t="str">
        <f>IFERROR(IF(OR(G377="",N377="SIN"),"--",IF(N377="SUBIR_F",IF(F377="polea",IFERROR(INDEX(CONFIG!$B$25:$B$40,MATCH(G377,CONFIG!$B$25:$B$40,0)+2),IFERROR(INDEX(CONFIG!$B$25:$B$40,MATCH(G377,CONFIG!$B$25:$B$40,0)+1),G377)),G377+5),IF(OR(N377="SUBIR",N377="SUBIR_E"),IF(F377="polea",IFERROR(INDEX(CONFIG!$B$25:$B$40,MATCH(G377,CONFIG!$B$25:$B$40,0)+1),G377),G377+2.5),IF(N377="BAJAR",IF(F377="polea",IFERROR(INDEX(CONFIG!$B$25:$B$40,MAX(1,MATCH(G377,CONFIG!$B$25:$B$40,0)-1)),G377),MAX(0,G377-2.5)),G377)))),"--")</f>
        <v>--</v>
      </c>
      <c r="L377" s="59" t="str">
        <f>IFERROR(IF(N377="SIN","--",IF(N377="MANT",IF(H377="","--",H377+1),IFERROR(VLOOKUP(CONFIG!$E$2,CONFIG!$A$6:$E$8,2,0),"--"))),"--")</f>
        <v>--</v>
      </c>
      <c r="M377" s="59" t="str">
        <f>IFERROR(IF(N377="SIN","--",IF(CONFIG!$E$2="HIP",2,IF(CONFIG!$E$2="FUE",1,2))),"--")</f>
        <v>--</v>
      </c>
      <c r="N377" s="53" t="str">
        <f>IFERROR(IF(G377="","SIN",IF(O377=1,"SUBIR_E",IF(H377&lt;IFERROR(VLOOKUP(CONFIG!$E$2,CONFIG!$A$6:$E$8,2,0),6),"BAJAR",IF(H377+I377&gt;=IFERROR(VLOOKUP(CONFIG!$E$2,CONFIG!$A$6:$E$8,3,0),12),"SUBIR_F",IF(AND(H377&gt;=IFERROR(VLOOKUP(CONFIG!$E$2,CONFIG!$A$6:$E$8,2,0),6)+2,I377&gt;=2),"SUBIR",IF(I377&gt;IFERROR(VLOOKUP(CONFIG!$E$2,CONFIG!$A$6:$E$8,5,0),3),"SUBIR","MANT")))))),"SIN")</f>
        <v>SIN</v>
      </c>
      <c r="O377" s="55">
        <f>IF(COUNTIFS(HISTORIAL!$O$3:$O$375,D377&amp;"|"&amp;E377,HISTORIAL!$F$3:$F$375,"&gt;0")&lt;2,0,IF(COUNTIFS(HISTORIAL!$O$3:$O$375,D377&amp;"|"&amp;E377,HISTORIAL!$F$3:$F$375,IFERROR(LOOKUP(2,1/((HISTORIAL!$O$3:$O$375=D377&amp;"|"&amp;E377)*(HISTORIAL!$F$3:$F$375&gt;0)),HISTORIAL!$F$3:$F$375),0))&gt;=2,IF(IFERROR(LOOKUP(2,1/((HISTORIAL!$O$3:$O$375=D377&amp;"|"&amp;E377)*(HISTORIAL!$F$3:$F$375&gt;0)),HISTORIAL!$G$3:$G$375),0)&gt;0,IF(F377&gt;0,IF(G377&lt;=IFERROR(LOOKUP(2,1/((HISTORIAL!$O$3:$O$375=D377&amp;"|"&amp;E377)*(HISTORIAL!$F$3:$F$375&gt;0)),HISTORIAL!$G$3:$G$375),0),1,0),0),0),0))</f>
        <v>0</v>
      </c>
    </row>
    <row r="378" spans="1:15" ht="14.1" customHeight="1">
      <c r="A378" s="37">
        <v>6</v>
      </c>
      <c r="B378" s="37" t="s">
        <v>281</v>
      </c>
      <c r="C378" s="37">
        <v>10</v>
      </c>
      <c r="D378" s="56" t="str">
        <f>SABADO!$A$147</f>
        <v>Encogimientos</v>
      </c>
      <c r="E378" s="57" t="str">
        <f>SABADO!$B$147</f>
        <v>Mancuernas Trapecio</v>
      </c>
      <c r="F378" s="37" t="str">
        <f>SABADO!$C$147</f>
        <v>mancuerna</v>
      </c>
      <c r="G378" s="37" t="str">
        <f>IFERROR(LOOKUP(2,1/((HISTORIAL!$O$3:$O$376=D378&amp;"|"&amp;E378)*(HISTORIAL!$F$3:$F$376&lt;&gt;"")),HISTORIAL!$F$3:$F$376),"")</f>
        <v/>
      </c>
      <c r="H378" s="37" t="str">
        <f>IFERROR(LOOKUP(2,1/((HISTORIAL!$O$3:$O$376=D378&amp;"|"&amp;E378)*(HISTORIAL!$F$3:$F$376&lt;&gt;"")),HISTORIAL!$G$3:$G$376),"")</f>
        <v/>
      </c>
      <c r="I378" s="37" t="str">
        <f>IFERROR(LOOKUP(2,1/((HISTORIAL!$O$3:$O$376=D378&amp;"|"&amp;E378)*(HISTORIAL!$F$3:$F$376&lt;&gt;"")),HISTORIAL!$H$3:$H$376),"")</f>
        <v/>
      </c>
      <c r="J378" s="37" t="str">
        <f>IFERROR(LOOKUP(2,1/((HISTORIAL!$O$3:$O$376=D378&amp;"|"&amp;E378)*(HISTORIAL!$F$3:$F$376&lt;&gt;"")),HISTORIAL!$I$3:$I$376),"")</f>
        <v/>
      </c>
      <c r="K378" s="58" t="str">
        <f>IFERROR(IF(OR(G378="",N378="SIN"),"--",IF(N378="SUBIR_F",IF(F378="polea",IFERROR(INDEX(CONFIG!$B$25:$B$40,MATCH(G378,CONFIG!$B$25:$B$40,0)+2),IFERROR(INDEX(CONFIG!$B$25:$B$40,MATCH(G378,CONFIG!$B$25:$B$40,0)+1),G378)),G378+5),IF(OR(N378="SUBIR",N378="SUBIR_E"),IF(F378="polea",IFERROR(INDEX(CONFIG!$B$25:$B$40,MATCH(G378,CONFIG!$B$25:$B$40,0)+1),G378),G378+2.5),IF(N378="BAJAR",IF(F378="polea",IFERROR(INDEX(CONFIG!$B$25:$B$40,MAX(1,MATCH(G378,CONFIG!$B$25:$B$40,0)-1)),G378),MAX(0,G378-2.5)),G378)))),"--")</f>
        <v>--</v>
      </c>
      <c r="L378" s="59" t="str">
        <f>IFERROR(IF(N378="SIN","--",IF(N378="MANT",IF(H378="","--",H378+1),IFERROR(VLOOKUP(CONFIG!$E$2,CONFIG!$A$6:$E$8,2,0),"--"))),"--")</f>
        <v>--</v>
      </c>
      <c r="M378" s="59" t="str">
        <f>IFERROR(IF(N378="SIN","--",IF(CONFIG!$E$2="HIP",2,IF(CONFIG!$E$2="FUE",1,2))),"--")</f>
        <v>--</v>
      </c>
      <c r="N378" s="53" t="str">
        <f>IFERROR(IF(G378="","SIN",IF(O378=1,"SUBIR_E",IF(H378&lt;IFERROR(VLOOKUP(CONFIG!$E$2,CONFIG!$A$6:$E$8,2,0),6),"BAJAR",IF(H378+I378&gt;=IFERROR(VLOOKUP(CONFIG!$E$2,CONFIG!$A$6:$E$8,3,0),12),"SUBIR_F",IF(AND(H378&gt;=IFERROR(VLOOKUP(CONFIG!$E$2,CONFIG!$A$6:$E$8,2,0),6)+2,I378&gt;=2),"SUBIR",IF(I378&gt;IFERROR(VLOOKUP(CONFIG!$E$2,CONFIG!$A$6:$E$8,5,0),3),"SUBIR","MANT")))))),"SIN")</f>
        <v>SIN</v>
      </c>
      <c r="O378" s="55">
        <f>IF(COUNTIFS(HISTORIAL!$O$3:$O$376,D378&amp;"|"&amp;E378,HISTORIAL!$F$3:$F$376,"&gt;0")&lt;2,0,IF(COUNTIFS(HISTORIAL!$O$3:$O$376,D378&amp;"|"&amp;E378,HISTORIAL!$F$3:$F$376,IFERROR(LOOKUP(2,1/((HISTORIAL!$O$3:$O$376=D378&amp;"|"&amp;E378)*(HISTORIAL!$F$3:$F$376&gt;0)),HISTORIAL!$F$3:$F$376),0))&gt;=2,IF(IFERROR(LOOKUP(2,1/((HISTORIAL!$O$3:$O$376=D378&amp;"|"&amp;E378)*(HISTORIAL!$F$3:$F$376&gt;0)),HISTORIAL!$G$3:$G$376),0)&gt;0,IF(F378&gt;0,IF(G378&lt;=IFERROR(LOOKUP(2,1/((HISTORIAL!$O$3:$O$376=D378&amp;"|"&amp;E378)*(HISTORIAL!$F$3:$F$376&gt;0)),HISTORIAL!$G$3:$G$376),0),1,0),0),0),0))</f>
        <v>0</v>
      </c>
    </row>
    <row r="379" spans="1:15" ht="14.1" customHeight="1">
      <c r="A379" s="37">
        <v>6</v>
      </c>
      <c r="B379" s="37" t="s">
        <v>281</v>
      </c>
      <c r="C379" s="37">
        <v>11</v>
      </c>
      <c r="D379" s="56" t="str">
        <f>SABADO!$A$148</f>
        <v>Face Pull</v>
      </c>
      <c r="E379" s="57" t="str">
        <f>SABADO!$B$148</f>
        <v>Polea Alta Cuerda</v>
      </c>
      <c r="F379" s="37" t="str">
        <f>SABADO!$C$148</f>
        <v>polea</v>
      </c>
      <c r="G379" s="37" t="str">
        <f>IFERROR(LOOKUP(2,1/((HISTORIAL!$O$3:$O$377=D379&amp;"|"&amp;E379)*(HISTORIAL!$F$3:$F$377&lt;&gt;"")),HISTORIAL!$F$3:$F$377),"")</f>
        <v/>
      </c>
      <c r="H379" s="37" t="str">
        <f>IFERROR(LOOKUP(2,1/((HISTORIAL!$O$3:$O$377=D379&amp;"|"&amp;E379)*(HISTORIAL!$F$3:$F$377&lt;&gt;"")),HISTORIAL!$G$3:$G$377),"")</f>
        <v/>
      </c>
      <c r="I379" s="37" t="str">
        <f>IFERROR(LOOKUP(2,1/((HISTORIAL!$O$3:$O$377=D379&amp;"|"&amp;E379)*(HISTORIAL!$F$3:$F$377&lt;&gt;"")),HISTORIAL!$H$3:$H$377),"")</f>
        <v/>
      </c>
      <c r="J379" s="37" t="str">
        <f>IFERROR(LOOKUP(2,1/((HISTORIAL!$O$3:$O$377=D379&amp;"|"&amp;E379)*(HISTORIAL!$F$3:$F$377&lt;&gt;"")),HISTORIAL!$I$3:$I$377),"")</f>
        <v/>
      </c>
      <c r="K379" s="58" t="str">
        <f>IFERROR(IF(OR(G379="",N379="SIN"),"--",IF(N379="SUBIR_F",IF(F379="polea",IFERROR(INDEX(CONFIG!$B$25:$B$40,MATCH(G379,CONFIG!$B$25:$B$40,0)+2),IFERROR(INDEX(CONFIG!$B$25:$B$40,MATCH(G379,CONFIG!$B$25:$B$40,0)+1),G379)),G379+5),IF(OR(N379="SUBIR",N379="SUBIR_E"),IF(F379="polea",IFERROR(INDEX(CONFIG!$B$25:$B$40,MATCH(G379,CONFIG!$B$25:$B$40,0)+1),G379),G379+2.5),IF(N379="BAJAR",IF(F379="polea",IFERROR(INDEX(CONFIG!$B$25:$B$40,MAX(1,MATCH(G379,CONFIG!$B$25:$B$40,0)-1)),G379),MAX(0,G379-2.5)),G379)))),"--")</f>
        <v>--</v>
      </c>
      <c r="L379" s="59" t="str">
        <f>IFERROR(IF(N379="SIN","--",IF(N379="MANT",IF(H379="","--",H379+1),IFERROR(VLOOKUP(CONFIG!$E$2,CONFIG!$A$6:$E$8,2,0),"--"))),"--")</f>
        <v>--</v>
      </c>
      <c r="M379" s="59" t="str">
        <f>IFERROR(IF(N379="SIN","--",IF(CONFIG!$E$2="HIP",2,IF(CONFIG!$E$2="FUE",1,2))),"--")</f>
        <v>--</v>
      </c>
      <c r="N379" s="53" t="str">
        <f>IFERROR(IF(G379="","SIN",IF(O379=1,"SUBIR_E",IF(H379&lt;IFERROR(VLOOKUP(CONFIG!$E$2,CONFIG!$A$6:$E$8,2,0),6),"BAJAR",IF(H379+I379&gt;=IFERROR(VLOOKUP(CONFIG!$E$2,CONFIG!$A$6:$E$8,3,0),12),"SUBIR_F",IF(AND(H379&gt;=IFERROR(VLOOKUP(CONFIG!$E$2,CONFIG!$A$6:$E$8,2,0),6)+2,I379&gt;=2),"SUBIR",IF(I379&gt;IFERROR(VLOOKUP(CONFIG!$E$2,CONFIG!$A$6:$E$8,5,0),3),"SUBIR","MANT")))))),"SIN")</f>
        <v>SIN</v>
      </c>
      <c r="O379" s="55">
        <f>IF(COUNTIFS(HISTORIAL!$O$3:$O$377,D379&amp;"|"&amp;E379,HISTORIAL!$F$3:$F$377,"&gt;0")&lt;2,0,IF(COUNTIFS(HISTORIAL!$O$3:$O$377,D379&amp;"|"&amp;E379,HISTORIAL!$F$3:$F$377,IFERROR(LOOKUP(2,1/((HISTORIAL!$O$3:$O$377=D379&amp;"|"&amp;E379)*(HISTORIAL!$F$3:$F$377&gt;0)),HISTORIAL!$F$3:$F$377),0))&gt;=2,IF(IFERROR(LOOKUP(2,1/((HISTORIAL!$O$3:$O$377=D379&amp;"|"&amp;E379)*(HISTORIAL!$F$3:$F$377&gt;0)),HISTORIAL!$G$3:$G$377),0)&gt;0,IF(F379&gt;0,IF(G379&lt;=IFERROR(LOOKUP(2,1/((HISTORIAL!$O$3:$O$377=D379&amp;"|"&amp;E379)*(HISTORIAL!$F$3:$F$377&gt;0)),HISTORIAL!$G$3:$G$377),0),1,0),0),0),0))</f>
        <v>0</v>
      </c>
    </row>
    <row r="380" spans="1:15" ht="14.1" customHeight="1">
      <c r="A380" s="37">
        <v>6</v>
      </c>
      <c r="B380" s="37" t="s">
        <v>281</v>
      </c>
      <c r="C380" s="37">
        <v>12</v>
      </c>
      <c r="D380" s="56" t="str">
        <f>SABADO!$A$150</f>
        <v>Hiperextension</v>
      </c>
      <c r="E380" s="57" t="str">
        <f>SABADO!$B$150</f>
        <v>Banco Romano</v>
      </c>
      <c r="F380" s="37" t="str">
        <f>SABADO!$C$150</f>
        <v>peso_corporal</v>
      </c>
      <c r="G380" s="37" t="str">
        <f>IFERROR(LOOKUP(2,1/((HISTORIAL!$O$3:$O$378=D380&amp;"|"&amp;E380)*(HISTORIAL!$F$3:$F$378&lt;&gt;"")),HISTORIAL!$F$3:$F$378),"")</f>
        <v/>
      </c>
      <c r="H380" s="37" t="str">
        <f>IFERROR(LOOKUP(2,1/((HISTORIAL!$O$3:$O$378=D380&amp;"|"&amp;E380)*(HISTORIAL!$F$3:$F$378&lt;&gt;"")),HISTORIAL!$G$3:$G$378),"")</f>
        <v/>
      </c>
      <c r="I380" s="37" t="str">
        <f>IFERROR(LOOKUP(2,1/((HISTORIAL!$O$3:$O$378=D380&amp;"|"&amp;E380)*(HISTORIAL!$F$3:$F$378&lt;&gt;"")),HISTORIAL!$H$3:$H$378),"")</f>
        <v/>
      </c>
      <c r="J380" s="37" t="str">
        <f>IFERROR(LOOKUP(2,1/((HISTORIAL!$O$3:$O$378=D380&amp;"|"&amp;E380)*(HISTORIAL!$F$3:$F$378&lt;&gt;"")),HISTORIAL!$I$3:$I$378),"")</f>
        <v/>
      </c>
      <c r="K380" s="58" t="str">
        <f>IFERROR(IF(OR(G380="",N380="SIN"),"--",IF(N380="SUBIR_F",IF(F380="polea",IFERROR(INDEX(CONFIG!$B$25:$B$40,MATCH(G380,CONFIG!$B$25:$B$40,0)+2),IFERROR(INDEX(CONFIG!$B$25:$B$40,MATCH(G380,CONFIG!$B$25:$B$40,0)+1),G380)),G380+5),IF(OR(N380="SUBIR",N380="SUBIR_E"),IF(F380="polea",IFERROR(INDEX(CONFIG!$B$25:$B$40,MATCH(G380,CONFIG!$B$25:$B$40,0)+1),G380),G380+2.5),IF(N380="BAJAR",IF(F380="polea",IFERROR(INDEX(CONFIG!$B$25:$B$40,MAX(1,MATCH(G380,CONFIG!$B$25:$B$40,0)-1)),G380),MAX(0,G380-2.5)),G380)))),"--")</f>
        <v>--</v>
      </c>
      <c r="L380" s="59" t="str">
        <f>IFERROR(IF(N380="SIN","--",IF(N380="MANT",IF(H380="","--",H380+1),IFERROR(VLOOKUP(CONFIG!$E$2,CONFIG!$A$6:$E$8,2,0),"--"))),"--")</f>
        <v>--</v>
      </c>
      <c r="M380" s="59" t="str">
        <f>IFERROR(IF(N380="SIN","--",IF(CONFIG!$E$2="HIP",2,IF(CONFIG!$E$2="FUE",1,2))),"--")</f>
        <v>--</v>
      </c>
      <c r="N380" s="53" t="str">
        <f>IFERROR(IF(G380="","SIN",IF(O380=1,"SUBIR_E",IF(H380&lt;IFERROR(VLOOKUP(CONFIG!$E$2,CONFIG!$A$6:$E$8,2,0),6),"BAJAR",IF(H380+I380&gt;=IFERROR(VLOOKUP(CONFIG!$E$2,CONFIG!$A$6:$E$8,3,0),12),"SUBIR_F",IF(AND(H380&gt;=IFERROR(VLOOKUP(CONFIG!$E$2,CONFIG!$A$6:$E$8,2,0),6)+2,I380&gt;=2),"SUBIR",IF(I380&gt;IFERROR(VLOOKUP(CONFIG!$E$2,CONFIG!$A$6:$E$8,5,0),3),"SUBIR","MANT")))))),"SIN")</f>
        <v>SIN</v>
      </c>
      <c r="O380" s="55">
        <f>IF(COUNTIFS(HISTORIAL!$O$3:$O$378,D380&amp;"|"&amp;E380,HISTORIAL!$F$3:$F$378,"&gt;0")&lt;2,0,IF(COUNTIFS(HISTORIAL!$O$3:$O$378,D380&amp;"|"&amp;E380,HISTORIAL!$F$3:$F$378,IFERROR(LOOKUP(2,1/((HISTORIAL!$O$3:$O$378=D380&amp;"|"&amp;E380)*(HISTORIAL!$F$3:$F$378&gt;0)),HISTORIAL!$F$3:$F$378),0))&gt;=2,IF(IFERROR(LOOKUP(2,1/((HISTORIAL!$O$3:$O$378=D380&amp;"|"&amp;E380)*(HISTORIAL!$F$3:$F$378&gt;0)),HISTORIAL!$G$3:$G$378),0)&gt;0,IF(F380&gt;0,IF(G380&lt;=IFERROR(LOOKUP(2,1/((HISTORIAL!$O$3:$O$378=D380&amp;"|"&amp;E380)*(HISTORIAL!$F$3:$F$378&gt;0)),HISTORIAL!$G$3:$G$378),0),1,0),0),0),0))</f>
        <v>0</v>
      </c>
    </row>
    <row r="381" spans="1:15" ht="14.1" customHeight="1">
      <c r="A381" s="37">
        <v>6</v>
      </c>
      <c r="B381" s="37" t="s">
        <v>281</v>
      </c>
      <c r="C381" s="37">
        <v>13</v>
      </c>
      <c r="D381" s="56" t="str">
        <f>SABADO!$A$152</f>
        <v>Crunch</v>
      </c>
      <c r="E381" s="57" t="str">
        <f>SABADO!$B$152</f>
        <v>Polea</v>
      </c>
      <c r="F381" s="37" t="str">
        <f>SABADO!$C$152</f>
        <v>polea</v>
      </c>
      <c r="G381" s="37" t="str">
        <f>IFERROR(LOOKUP(2,1/((HISTORIAL!$O$3:$O$379=D381&amp;"|"&amp;E381)*(HISTORIAL!$F$3:$F$379&lt;&gt;"")),HISTORIAL!$F$3:$F$379),"")</f>
        <v/>
      </c>
      <c r="H381" s="37" t="str">
        <f>IFERROR(LOOKUP(2,1/((HISTORIAL!$O$3:$O$379=D381&amp;"|"&amp;E381)*(HISTORIAL!$F$3:$F$379&lt;&gt;"")),HISTORIAL!$G$3:$G$379),"")</f>
        <v/>
      </c>
      <c r="I381" s="37" t="str">
        <f>IFERROR(LOOKUP(2,1/((HISTORIAL!$O$3:$O$379=D381&amp;"|"&amp;E381)*(HISTORIAL!$F$3:$F$379&lt;&gt;"")),HISTORIAL!$H$3:$H$379),"")</f>
        <v/>
      </c>
      <c r="J381" s="37" t="str">
        <f>IFERROR(LOOKUP(2,1/((HISTORIAL!$O$3:$O$379=D381&amp;"|"&amp;E381)*(HISTORIAL!$F$3:$F$379&lt;&gt;"")),HISTORIAL!$I$3:$I$379),"")</f>
        <v/>
      </c>
      <c r="K381" s="58" t="str">
        <f>IFERROR(IF(OR(G381="",N381="SIN"),"--",IF(N381="SUBIR_F",IF(F381="polea",IFERROR(INDEX(CONFIG!$B$25:$B$40,MATCH(G381,CONFIG!$B$25:$B$40,0)+2),IFERROR(INDEX(CONFIG!$B$25:$B$40,MATCH(G381,CONFIG!$B$25:$B$40,0)+1),G381)),G381+5),IF(OR(N381="SUBIR",N381="SUBIR_E"),IF(F381="polea",IFERROR(INDEX(CONFIG!$B$25:$B$40,MATCH(G381,CONFIG!$B$25:$B$40,0)+1),G381),G381+2.5),IF(N381="BAJAR",IF(F381="polea",IFERROR(INDEX(CONFIG!$B$25:$B$40,MAX(1,MATCH(G381,CONFIG!$B$25:$B$40,0)-1)),G381),MAX(0,G381-2.5)),G381)))),"--")</f>
        <v>--</v>
      </c>
      <c r="L381" s="59" t="str">
        <f>IFERROR(IF(N381="SIN","--",IF(N381="MANT",IF(H381="","--",H381+1),IFERROR(VLOOKUP(CONFIG!$E$2,CONFIG!$A$6:$E$8,2,0),"--"))),"--")</f>
        <v>--</v>
      </c>
      <c r="M381" s="59" t="str">
        <f>IFERROR(IF(N381="SIN","--",IF(CONFIG!$E$2="HIP",2,IF(CONFIG!$E$2="FUE",1,2))),"--")</f>
        <v>--</v>
      </c>
      <c r="N381" s="53" t="str">
        <f>IFERROR(IF(G381="","SIN",IF(O381=1,"SUBIR_E",IF(H381&lt;IFERROR(VLOOKUP(CONFIG!$E$2,CONFIG!$A$6:$E$8,2,0),6),"BAJAR",IF(H381+I381&gt;=IFERROR(VLOOKUP(CONFIG!$E$2,CONFIG!$A$6:$E$8,3,0),12),"SUBIR_F",IF(AND(H381&gt;=IFERROR(VLOOKUP(CONFIG!$E$2,CONFIG!$A$6:$E$8,2,0),6)+2,I381&gt;=2),"SUBIR",IF(I381&gt;IFERROR(VLOOKUP(CONFIG!$E$2,CONFIG!$A$6:$E$8,5,0),3),"SUBIR","MANT")))))),"SIN")</f>
        <v>SIN</v>
      </c>
      <c r="O381" s="55">
        <f>IF(COUNTIFS(HISTORIAL!$O$3:$O$379,D381&amp;"|"&amp;E381,HISTORIAL!$F$3:$F$379,"&gt;0")&lt;2,0,IF(COUNTIFS(HISTORIAL!$O$3:$O$379,D381&amp;"|"&amp;E381,HISTORIAL!$F$3:$F$379,IFERROR(LOOKUP(2,1/((HISTORIAL!$O$3:$O$379=D381&amp;"|"&amp;E381)*(HISTORIAL!$F$3:$F$379&gt;0)),HISTORIAL!$F$3:$F$379),0))&gt;=2,IF(IFERROR(LOOKUP(2,1/((HISTORIAL!$O$3:$O$379=D381&amp;"|"&amp;E381)*(HISTORIAL!$F$3:$F$379&gt;0)),HISTORIAL!$G$3:$G$379),0)&gt;0,IF(F381&gt;0,IF(G381&lt;=IFERROR(LOOKUP(2,1/((HISTORIAL!$O$3:$O$379=D381&amp;"|"&amp;E381)*(HISTORIAL!$F$3:$F$379&gt;0)),HISTORIAL!$G$3:$G$379),0),1,0),0),0),0))</f>
        <v>0</v>
      </c>
    </row>
    <row r="382" spans="1:15" ht="14.1" customHeight="1">
      <c r="A382" s="37">
        <v>7</v>
      </c>
      <c r="B382" s="37" t="s">
        <v>277</v>
      </c>
      <c r="C382" s="37">
        <v>1</v>
      </c>
      <c r="D382" s="56" t="str">
        <f>LUNES!$A$145</f>
        <v>Press Plano</v>
      </c>
      <c r="E382" s="57" t="str">
        <f>LUNES!$B$145</f>
        <v>Barra</v>
      </c>
      <c r="F382" s="37" t="str">
        <f>LUNES!$C$145</f>
        <v>disco</v>
      </c>
      <c r="G382" s="37" t="str">
        <f>IFERROR(LOOKUP(2,1/((HISTORIAL!$O$3:$O$380=D382&amp;"|"&amp;E382)*(HISTORIAL!$F$3:$F$380&lt;&gt;"")),HISTORIAL!$F$3:$F$380),"")</f>
        <v/>
      </c>
      <c r="H382" s="37" t="str">
        <f>IFERROR(LOOKUP(2,1/((HISTORIAL!$O$3:$O$380=D382&amp;"|"&amp;E382)*(HISTORIAL!$F$3:$F$380&lt;&gt;"")),HISTORIAL!$G$3:$G$380),"")</f>
        <v/>
      </c>
      <c r="I382" s="37" t="str">
        <f>IFERROR(LOOKUP(2,1/((HISTORIAL!$O$3:$O$380=D382&amp;"|"&amp;E382)*(HISTORIAL!$F$3:$F$380&lt;&gt;"")),HISTORIAL!$H$3:$H$380),"")</f>
        <v/>
      </c>
      <c r="J382" s="37" t="str">
        <f>IFERROR(LOOKUP(2,1/((HISTORIAL!$O$3:$O$380=D382&amp;"|"&amp;E382)*(HISTORIAL!$F$3:$F$380&lt;&gt;"")),HISTORIAL!$I$3:$I$380),"")</f>
        <v/>
      </c>
      <c r="K382" s="58" t="str">
        <f>IFERROR(IF(OR(G382="",N382="SIN"),"--",IF(N382="SUBIR_F",IF(F382="polea",IFERROR(INDEX(CONFIG!$B$25:$B$40,MATCH(G382,CONFIG!$B$25:$B$40,0)+2),IFERROR(INDEX(CONFIG!$B$25:$B$40,MATCH(G382,CONFIG!$B$25:$B$40,0)+1),G382)),G382+5),IF(OR(N382="SUBIR",N382="SUBIR_E"),IF(F382="polea",IFERROR(INDEX(CONFIG!$B$25:$B$40,MATCH(G382,CONFIG!$B$25:$B$40,0)+1),G382),G382+2.5),IF(N382="BAJAR",IF(F382="polea",IFERROR(INDEX(CONFIG!$B$25:$B$40,MAX(1,MATCH(G382,CONFIG!$B$25:$B$40,0)-1)),G382),MAX(0,G382-2.5)),G382)))),"--")</f>
        <v>--</v>
      </c>
      <c r="L382" s="59" t="str">
        <f>IFERROR(IF(N382="SIN","--",IF(N382="MANT",IF(H382="","--",H382+1),IFERROR(VLOOKUP(CONFIG!$E$2,CONFIG!$A$6:$E$8,2,0),"--"))),"--")</f>
        <v>--</v>
      </c>
      <c r="M382" s="59" t="str">
        <f>IFERROR(IF(N382="SIN","--",IF(CONFIG!$E$2="HIP",2,IF(CONFIG!$E$2="FUE",1,2))),"--")</f>
        <v>--</v>
      </c>
      <c r="N382" s="53" t="str">
        <f>IFERROR(IF(G382="","SIN",IF(O382=1,"SUBIR_E",IF(H382&lt;IFERROR(VLOOKUP(CONFIG!$E$2,CONFIG!$A$6:$E$8,2,0),6),"BAJAR",IF(H382+I382&gt;=IFERROR(VLOOKUP(CONFIG!$E$2,CONFIG!$A$6:$E$8,3,0),12),"SUBIR_F",IF(AND(H382&gt;=IFERROR(VLOOKUP(CONFIG!$E$2,CONFIG!$A$6:$E$8,2,0),6)+2,I382&gt;=2),"SUBIR",IF(I382&gt;IFERROR(VLOOKUP(CONFIG!$E$2,CONFIG!$A$6:$E$8,5,0),3),"SUBIR","MANT")))))),"SIN")</f>
        <v>SIN</v>
      </c>
      <c r="O382" s="55">
        <f>IF(COUNTIFS(HISTORIAL!$O$3:$O$380,D382&amp;"|"&amp;E382,HISTORIAL!$F$3:$F$380,"&gt;0")&lt;2,0,IF(COUNTIFS(HISTORIAL!$O$3:$O$380,D382&amp;"|"&amp;E382,HISTORIAL!$F$3:$F$380,IFERROR(LOOKUP(2,1/((HISTORIAL!$O$3:$O$380=D382&amp;"|"&amp;E382)*(HISTORIAL!$F$3:$F$380&gt;0)),HISTORIAL!$F$3:$F$380),0))&gt;=2,IF(IFERROR(LOOKUP(2,1/((HISTORIAL!$O$3:$O$380=D382&amp;"|"&amp;E382)*(HISTORIAL!$F$3:$F$380&gt;0)),HISTORIAL!$G$3:$G$380),0)&gt;0,IF(F382&gt;0,IF(G382&lt;=IFERROR(LOOKUP(2,1/((HISTORIAL!$O$3:$O$380=D382&amp;"|"&amp;E382)*(HISTORIAL!$F$3:$F$380&gt;0)),HISTORIAL!$G$3:$G$380),0),1,0),0),0),0))</f>
        <v>0</v>
      </c>
    </row>
    <row r="383" spans="1:15" ht="14.1" customHeight="1">
      <c r="A383" s="37">
        <v>7</v>
      </c>
      <c r="B383" s="37" t="s">
        <v>277</v>
      </c>
      <c r="C383" s="37">
        <v>2</v>
      </c>
      <c r="D383" s="56" t="str">
        <f>LUNES!$A$147</f>
        <v>Press Inclinado</v>
      </c>
      <c r="E383" s="57" t="str">
        <f>LUNES!$B$147</f>
        <v>Mancuernas</v>
      </c>
      <c r="F383" s="37" t="str">
        <f>LUNES!$C$147</f>
        <v>mancuerna</v>
      </c>
      <c r="G383" s="37" t="str">
        <f>IFERROR(LOOKUP(2,1/((HISTORIAL!$O$3:$O$381=D383&amp;"|"&amp;E383)*(HISTORIAL!$F$3:$F$381&lt;&gt;"")),HISTORIAL!$F$3:$F$381),"")</f>
        <v/>
      </c>
      <c r="H383" s="37" t="str">
        <f>IFERROR(LOOKUP(2,1/((HISTORIAL!$O$3:$O$381=D383&amp;"|"&amp;E383)*(HISTORIAL!$F$3:$F$381&lt;&gt;"")),HISTORIAL!$G$3:$G$381),"")</f>
        <v/>
      </c>
      <c r="I383" s="37" t="str">
        <f>IFERROR(LOOKUP(2,1/((HISTORIAL!$O$3:$O$381=D383&amp;"|"&amp;E383)*(HISTORIAL!$F$3:$F$381&lt;&gt;"")),HISTORIAL!$H$3:$H$381),"")</f>
        <v/>
      </c>
      <c r="J383" s="37" t="str">
        <f>IFERROR(LOOKUP(2,1/((HISTORIAL!$O$3:$O$381=D383&amp;"|"&amp;E383)*(HISTORIAL!$F$3:$F$381&lt;&gt;"")),HISTORIAL!$I$3:$I$381),"")</f>
        <v/>
      </c>
      <c r="K383" s="58" t="str">
        <f>IFERROR(IF(OR(G383="",N383="SIN"),"--",IF(N383="SUBIR_F",IF(F383="polea",IFERROR(INDEX(CONFIG!$B$25:$B$40,MATCH(G383,CONFIG!$B$25:$B$40,0)+2),IFERROR(INDEX(CONFIG!$B$25:$B$40,MATCH(G383,CONFIG!$B$25:$B$40,0)+1),G383)),G383+5),IF(OR(N383="SUBIR",N383="SUBIR_E"),IF(F383="polea",IFERROR(INDEX(CONFIG!$B$25:$B$40,MATCH(G383,CONFIG!$B$25:$B$40,0)+1),G383),G383+2.5),IF(N383="BAJAR",IF(F383="polea",IFERROR(INDEX(CONFIG!$B$25:$B$40,MAX(1,MATCH(G383,CONFIG!$B$25:$B$40,0)-1)),G383),MAX(0,G383-2.5)),G383)))),"--")</f>
        <v>--</v>
      </c>
      <c r="L383" s="59" t="str">
        <f>IFERROR(IF(N383="SIN","--",IF(N383="MANT",IF(H383="","--",H383+1),IFERROR(VLOOKUP(CONFIG!$E$2,CONFIG!$A$6:$E$8,2,0),"--"))),"--")</f>
        <v>--</v>
      </c>
      <c r="M383" s="59" t="str">
        <f>IFERROR(IF(N383="SIN","--",IF(CONFIG!$E$2="HIP",2,IF(CONFIG!$E$2="FUE",1,2))),"--")</f>
        <v>--</v>
      </c>
      <c r="N383" s="53" t="str">
        <f>IFERROR(IF(G383="","SIN",IF(O383=1,"SUBIR_E",IF(H383&lt;IFERROR(VLOOKUP(CONFIG!$E$2,CONFIG!$A$6:$E$8,2,0),6),"BAJAR",IF(H383+I383&gt;=IFERROR(VLOOKUP(CONFIG!$E$2,CONFIG!$A$6:$E$8,3,0),12),"SUBIR_F",IF(AND(H383&gt;=IFERROR(VLOOKUP(CONFIG!$E$2,CONFIG!$A$6:$E$8,2,0),6)+2,I383&gt;=2),"SUBIR",IF(I383&gt;IFERROR(VLOOKUP(CONFIG!$E$2,CONFIG!$A$6:$E$8,5,0),3),"SUBIR","MANT")))))),"SIN")</f>
        <v>SIN</v>
      </c>
      <c r="O383" s="55">
        <f>IF(COUNTIFS(HISTORIAL!$O$3:$O$381,D383&amp;"|"&amp;E383,HISTORIAL!$F$3:$F$381,"&gt;0")&lt;2,0,IF(COUNTIFS(HISTORIAL!$O$3:$O$381,D383&amp;"|"&amp;E383,HISTORIAL!$F$3:$F$381,IFERROR(LOOKUP(2,1/((HISTORIAL!$O$3:$O$381=D383&amp;"|"&amp;E383)*(HISTORIAL!$F$3:$F$381&gt;0)),HISTORIAL!$F$3:$F$381),0))&gt;=2,IF(IFERROR(LOOKUP(2,1/((HISTORIAL!$O$3:$O$381=D383&amp;"|"&amp;E383)*(HISTORIAL!$F$3:$F$381&gt;0)),HISTORIAL!$G$3:$G$381),0)&gt;0,IF(F383&gt;0,IF(G383&lt;=IFERROR(LOOKUP(2,1/((HISTORIAL!$O$3:$O$381=D383&amp;"|"&amp;E383)*(HISTORIAL!$F$3:$F$381&gt;0)),HISTORIAL!$G$3:$G$381),0),1,0),0),0),0))</f>
        <v>0</v>
      </c>
    </row>
    <row r="384" spans="1:15" ht="14.1" customHeight="1">
      <c r="A384" s="37">
        <v>7</v>
      </c>
      <c r="B384" s="37" t="s">
        <v>277</v>
      </c>
      <c r="C384" s="37">
        <v>3</v>
      </c>
      <c r="D384" s="56" t="str">
        <f>LUNES!$A$149</f>
        <v>Fondos</v>
      </c>
      <c r="E384" s="57" t="str">
        <f>LUNES!$B$149</f>
        <v>Paralelas</v>
      </c>
      <c r="F384" s="37" t="str">
        <f>LUNES!$C$149</f>
        <v>peso_corporal</v>
      </c>
      <c r="G384" s="37">
        <f>IFERROR(LOOKUP(2,1/((HISTORIAL!$O$3:$O$382=D384&amp;"|"&amp;E384)*(HISTORIAL!$F$3:$F$382&lt;&gt;"")),HISTORIAL!$F$3:$F$382),"")</f>
        <v>0</v>
      </c>
      <c r="H384" s="37">
        <f>IFERROR(LOOKUP(2,1/((HISTORIAL!$O$3:$O$382=D384&amp;"|"&amp;E384)*(HISTORIAL!$F$3:$F$382&lt;&gt;"")),HISTORIAL!$G$3:$G$382),"")</f>
        <v>12</v>
      </c>
      <c r="I384" s="37">
        <f>IFERROR(LOOKUP(2,1/((HISTORIAL!$O$3:$O$382=D384&amp;"|"&amp;E384)*(HISTORIAL!$F$3:$F$382&lt;&gt;"")),HISTORIAL!$H$3:$H$382),"")</f>
        <v>0</v>
      </c>
      <c r="J384" s="37" t="str">
        <f>IFERROR(LOOKUP(2,1/((HISTORIAL!$O$3:$O$382=D384&amp;"|"&amp;E384)*(HISTORIAL!$F$3:$F$382&lt;&gt;"")),HISTORIAL!$I$3:$I$382),"")</f>
        <v>B</v>
      </c>
      <c r="K384" s="58">
        <f>IFERROR(IF(OR(G384="",N384="SIN"),"--",IF(N384="SUBIR_F",IF(F384="polea",IFERROR(INDEX(CONFIG!$B$25:$B$40,MATCH(G384,CONFIG!$B$25:$B$40,0)+2),IFERROR(INDEX(CONFIG!$B$25:$B$40,MATCH(G384,CONFIG!$B$25:$B$40,0)+1),G384)),G384+5),IF(OR(N384="SUBIR",N384="SUBIR_E"),IF(F384="polea",IFERROR(INDEX(CONFIG!$B$25:$B$40,MATCH(G384,CONFIG!$B$25:$B$40,0)+1),G384),G384+2.5),IF(N384="BAJAR",IF(F384="polea",IFERROR(INDEX(CONFIG!$B$25:$B$40,MAX(1,MATCH(G384,CONFIG!$B$25:$B$40,0)-1)),G384),MAX(0,G384-2.5)),G384)))),"--")</f>
        <v>5</v>
      </c>
      <c r="L384" s="59">
        <f>IFERROR(IF(N384="SIN","--",IF(N384="MANT",IF(H384="","--",H384+1),IFERROR(VLOOKUP(CONFIG!$E$2,CONFIG!$A$6:$E$8,2,0),"--"))),"--")</f>
        <v>6</v>
      </c>
      <c r="M384" s="59">
        <f>IFERROR(IF(N384="SIN","--",IF(CONFIG!$E$2="HIP",2,IF(CONFIG!$E$2="FUE",1,2))),"--")</f>
        <v>2</v>
      </c>
      <c r="N384" s="53" t="str">
        <f>IFERROR(IF(G384="","SIN",IF(O384=1,"SUBIR_E",IF(H384&lt;IFERROR(VLOOKUP(CONFIG!$E$2,CONFIG!$A$6:$E$8,2,0),6),"BAJAR",IF(H384+I384&gt;=IFERROR(VLOOKUP(CONFIG!$E$2,CONFIG!$A$6:$E$8,3,0),12),"SUBIR_F",IF(AND(H384&gt;=IFERROR(VLOOKUP(CONFIG!$E$2,CONFIG!$A$6:$E$8,2,0),6)+2,I384&gt;=2),"SUBIR",IF(I384&gt;IFERROR(VLOOKUP(CONFIG!$E$2,CONFIG!$A$6:$E$8,5,0),3),"SUBIR","MANT")))))),"SIN")</f>
        <v>SUBIR_F</v>
      </c>
      <c r="O384" s="55">
        <f>IF(COUNTIFS(HISTORIAL!$O$3:$O$382,D384&amp;"|"&amp;E384,HISTORIAL!$F$3:$F$382,"&gt;0")&lt;2,0,IF(COUNTIFS(HISTORIAL!$O$3:$O$382,D384&amp;"|"&amp;E384,HISTORIAL!$F$3:$F$382,IFERROR(LOOKUP(2,1/((HISTORIAL!$O$3:$O$382=D384&amp;"|"&amp;E384)*(HISTORIAL!$F$3:$F$382&gt;0)),HISTORIAL!$F$3:$F$382),0))&gt;=2,IF(IFERROR(LOOKUP(2,1/((HISTORIAL!$O$3:$O$382=D384&amp;"|"&amp;E384)*(HISTORIAL!$F$3:$F$382&gt;0)),HISTORIAL!$G$3:$G$382),0)&gt;0,IF(F384&gt;0,IF(G384&lt;=IFERROR(LOOKUP(2,1/((HISTORIAL!$O$3:$O$382=D384&amp;"|"&amp;E384)*(HISTORIAL!$F$3:$F$382&gt;0)),HISTORIAL!$G$3:$G$382),0),1,0),0),0),0))</f>
        <v>0</v>
      </c>
    </row>
    <row r="385" spans="1:15" ht="14.1" customHeight="1">
      <c r="A385" s="37">
        <v>7</v>
      </c>
      <c r="B385" s="37" t="s">
        <v>277</v>
      </c>
      <c r="C385" s="37">
        <v>4</v>
      </c>
      <c r="D385" s="56" t="str">
        <f>LUNES!$A$150</f>
        <v>Aperturas</v>
      </c>
      <c r="E385" s="57" t="str">
        <f>LUNES!$B$150</f>
        <v>Polea Baja Crossover</v>
      </c>
      <c r="F385" s="37" t="str">
        <f>LUNES!$C$150</f>
        <v>--</v>
      </c>
      <c r="G385" s="37" t="str">
        <f>IFERROR(LOOKUP(2,1/((HISTORIAL!$O$3:$O$383=D385&amp;"|"&amp;E385)*(HISTORIAL!$F$3:$F$383&lt;&gt;"")),HISTORIAL!$F$3:$F$383),"")</f>
        <v/>
      </c>
      <c r="H385" s="37" t="str">
        <f>IFERROR(LOOKUP(2,1/((HISTORIAL!$O$3:$O$383=D385&amp;"|"&amp;E385)*(HISTORIAL!$F$3:$F$383&lt;&gt;"")),HISTORIAL!$G$3:$G$383),"")</f>
        <v/>
      </c>
      <c r="I385" s="37" t="str">
        <f>IFERROR(LOOKUP(2,1/((HISTORIAL!$O$3:$O$383=D385&amp;"|"&amp;E385)*(HISTORIAL!$F$3:$F$383&lt;&gt;"")),HISTORIAL!$H$3:$H$383),"")</f>
        <v/>
      </c>
      <c r="J385" s="37" t="str">
        <f>IFERROR(LOOKUP(2,1/((HISTORIAL!$O$3:$O$383=D385&amp;"|"&amp;E385)*(HISTORIAL!$F$3:$F$383&lt;&gt;"")),HISTORIAL!$I$3:$I$383),"")</f>
        <v/>
      </c>
      <c r="K385" s="58" t="str">
        <f>IFERROR(IF(OR(G385="",N385="SIN"),"--",IF(N385="SUBIR_F",IF(F385="polea",IFERROR(INDEX(CONFIG!$B$25:$B$40,MATCH(G385,CONFIG!$B$25:$B$40,0)+2),IFERROR(INDEX(CONFIG!$B$25:$B$40,MATCH(G385,CONFIG!$B$25:$B$40,0)+1),G385)),G385+5),IF(OR(N385="SUBIR",N385="SUBIR_E"),IF(F385="polea",IFERROR(INDEX(CONFIG!$B$25:$B$40,MATCH(G385,CONFIG!$B$25:$B$40,0)+1),G385),G385+2.5),IF(N385="BAJAR",IF(F385="polea",IFERROR(INDEX(CONFIG!$B$25:$B$40,MAX(1,MATCH(G385,CONFIG!$B$25:$B$40,0)-1)),G385),MAX(0,G385-2.5)),G385)))),"--")</f>
        <v>--</v>
      </c>
      <c r="L385" s="59" t="str">
        <f>IFERROR(IF(N385="SIN","--",IF(N385="MANT",IF(H385="","--",H385+1),IFERROR(VLOOKUP(CONFIG!$E$2,CONFIG!$A$6:$E$8,2,0),"--"))),"--")</f>
        <v>--</v>
      </c>
      <c r="M385" s="59" t="str">
        <f>IFERROR(IF(N385="SIN","--",IF(CONFIG!$E$2="HIP",2,IF(CONFIG!$E$2="FUE",1,2))),"--")</f>
        <v>--</v>
      </c>
      <c r="N385" s="53" t="str">
        <f>IFERROR(IF(G385="","SIN",IF(O385=1,"SUBIR_E",IF(H385&lt;IFERROR(VLOOKUP(CONFIG!$E$2,CONFIG!$A$6:$E$8,2,0),6),"BAJAR",IF(H385+I385&gt;=IFERROR(VLOOKUP(CONFIG!$E$2,CONFIG!$A$6:$E$8,3,0),12),"SUBIR_F",IF(AND(H385&gt;=IFERROR(VLOOKUP(CONFIG!$E$2,CONFIG!$A$6:$E$8,2,0),6)+2,I385&gt;=2),"SUBIR",IF(I385&gt;IFERROR(VLOOKUP(CONFIG!$E$2,CONFIG!$A$6:$E$8,5,0),3),"SUBIR","MANT")))))),"SIN")</f>
        <v>SIN</v>
      </c>
      <c r="O385" s="55">
        <f>IF(COUNTIFS(HISTORIAL!$O$3:$O$383,D385&amp;"|"&amp;E385,HISTORIAL!$F$3:$F$383,"&gt;0")&lt;2,0,IF(COUNTIFS(HISTORIAL!$O$3:$O$383,D385&amp;"|"&amp;E385,HISTORIAL!$F$3:$F$383,IFERROR(LOOKUP(2,1/((HISTORIAL!$O$3:$O$383=D385&amp;"|"&amp;E385)*(HISTORIAL!$F$3:$F$383&gt;0)),HISTORIAL!$F$3:$F$383),0))&gt;=2,IF(IFERROR(LOOKUP(2,1/((HISTORIAL!$O$3:$O$383=D385&amp;"|"&amp;E385)*(HISTORIAL!$F$3:$F$383&gt;0)),HISTORIAL!$G$3:$G$383),0)&gt;0,IF(F385&gt;0,IF(G385&lt;=IFERROR(LOOKUP(2,1/((HISTORIAL!$O$3:$O$383=D385&amp;"|"&amp;E385)*(HISTORIAL!$F$3:$F$383&gt;0)),HISTORIAL!$G$3:$G$383),0),1,0),0),0),0))</f>
        <v>0</v>
      </c>
    </row>
    <row r="386" spans="1:15" ht="14.1" customHeight="1">
      <c r="A386" s="37">
        <v>7</v>
      </c>
      <c r="B386" s="37" t="s">
        <v>277</v>
      </c>
      <c r="C386" s="37">
        <v>5</v>
      </c>
      <c r="D386" s="56" t="str">
        <f>LUNES!$A$151</f>
        <v>Aperturas</v>
      </c>
      <c r="E386" s="57" t="str">
        <f>LUNES!$B$151</f>
        <v>Pec Deck Maquina</v>
      </c>
      <c r="F386" s="37" t="str">
        <f>LUNES!$C$151</f>
        <v>--</v>
      </c>
      <c r="G386" s="37" t="str">
        <f>IFERROR(LOOKUP(2,1/((HISTORIAL!$O$3:$O$384=D386&amp;"|"&amp;E386)*(HISTORIAL!$F$3:$F$384&lt;&gt;"")),HISTORIAL!$F$3:$F$384),"")</f>
        <v/>
      </c>
      <c r="H386" s="37" t="str">
        <f>IFERROR(LOOKUP(2,1/((HISTORIAL!$O$3:$O$384=D386&amp;"|"&amp;E386)*(HISTORIAL!$F$3:$F$384&lt;&gt;"")),HISTORIAL!$G$3:$G$384),"")</f>
        <v/>
      </c>
      <c r="I386" s="37" t="str">
        <f>IFERROR(LOOKUP(2,1/((HISTORIAL!$O$3:$O$384=D386&amp;"|"&amp;E386)*(HISTORIAL!$F$3:$F$384&lt;&gt;"")),HISTORIAL!$H$3:$H$384),"")</f>
        <v/>
      </c>
      <c r="J386" s="37" t="str">
        <f>IFERROR(LOOKUP(2,1/((HISTORIAL!$O$3:$O$384=D386&amp;"|"&amp;E386)*(HISTORIAL!$F$3:$F$384&lt;&gt;"")),HISTORIAL!$I$3:$I$384),"")</f>
        <v/>
      </c>
      <c r="K386" s="58" t="str">
        <f>IFERROR(IF(OR(G386="",N386="SIN"),"--",IF(N386="SUBIR_F",IF(F386="polea",IFERROR(INDEX(CONFIG!$B$25:$B$40,MATCH(G386,CONFIG!$B$25:$B$40,0)+2),IFERROR(INDEX(CONFIG!$B$25:$B$40,MATCH(G386,CONFIG!$B$25:$B$40,0)+1),G386)),G386+5),IF(OR(N386="SUBIR",N386="SUBIR_E"),IF(F386="polea",IFERROR(INDEX(CONFIG!$B$25:$B$40,MATCH(G386,CONFIG!$B$25:$B$40,0)+1),G386),G386+2.5),IF(N386="BAJAR",IF(F386="polea",IFERROR(INDEX(CONFIG!$B$25:$B$40,MAX(1,MATCH(G386,CONFIG!$B$25:$B$40,0)-1)),G386),MAX(0,G386-2.5)),G386)))),"--")</f>
        <v>--</v>
      </c>
      <c r="L386" s="59" t="str">
        <f>IFERROR(IF(N386="SIN","--",IF(N386="MANT",IF(H386="","--",H386+1),IFERROR(VLOOKUP(CONFIG!$E$2,CONFIG!$A$6:$E$8,2,0),"--"))),"--")</f>
        <v>--</v>
      </c>
      <c r="M386" s="59" t="str">
        <f>IFERROR(IF(N386="SIN","--",IF(CONFIG!$E$2="HIP",2,IF(CONFIG!$E$2="FUE",1,2))),"--")</f>
        <v>--</v>
      </c>
      <c r="N386" s="53" t="str">
        <f>IFERROR(IF(G386="","SIN",IF(O386=1,"SUBIR_E",IF(H386&lt;IFERROR(VLOOKUP(CONFIG!$E$2,CONFIG!$A$6:$E$8,2,0),6),"BAJAR",IF(H386+I386&gt;=IFERROR(VLOOKUP(CONFIG!$E$2,CONFIG!$A$6:$E$8,3,0),12),"SUBIR_F",IF(AND(H386&gt;=IFERROR(VLOOKUP(CONFIG!$E$2,CONFIG!$A$6:$E$8,2,0),6)+2,I386&gt;=2),"SUBIR",IF(I386&gt;IFERROR(VLOOKUP(CONFIG!$E$2,CONFIG!$A$6:$E$8,5,0),3),"SUBIR","MANT")))))),"SIN")</f>
        <v>SIN</v>
      </c>
      <c r="O386" s="55">
        <f>IF(COUNTIFS(HISTORIAL!$O$3:$O$384,D386&amp;"|"&amp;E386,HISTORIAL!$F$3:$F$384,"&gt;0")&lt;2,0,IF(COUNTIFS(HISTORIAL!$O$3:$O$384,D386&amp;"|"&amp;E386,HISTORIAL!$F$3:$F$384,IFERROR(LOOKUP(2,1/((HISTORIAL!$O$3:$O$384=D386&amp;"|"&amp;E386)*(HISTORIAL!$F$3:$F$384&gt;0)),HISTORIAL!$F$3:$F$384),0))&gt;=2,IF(IFERROR(LOOKUP(2,1/((HISTORIAL!$O$3:$O$384=D386&amp;"|"&amp;E386)*(HISTORIAL!$F$3:$F$384&gt;0)),HISTORIAL!$G$3:$G$384),0)&gt;0,IF(F386&gt;0,IF(G386&lt;=IFERROR(LOOKUP(2,1/((HISTORIAL!$O$3:$O$384=D386&amp;"|"&amp;E386)*(HISTORIAL!$F$3:$F$384&gt;0)),HISTORIAL!$G$3:$G$384),0),1,0),0),0),0))</f>
        <v>0</v>
      </c>
    </row>
    <row r="387" spans="1:15" ht="14.1" customHeight="1">
      <c r="A387" s="37">
        <v>7</v>
      </c>
      <c r="B387" s="37" t="s">
        <v>277</v>
      </c>
      <c r="C387" s="37">
        <v>6</v>
      </c>
      <c r="D387" s="56" t="str">
        <f>LUNES!$A$153</f>
        <v>Elevaciones Laterales</v>
      </c>
      <c r="E387" s="57" t="str">
        <f>LUNES!$B$153</f>
        <v>Cable Polea Individual</v>
      </c>
      <c r="F387" s="37" t="str">
        <f>LUNES!$C$153</f>
        <v>polea</v>
      </c>
      <c r="G387" s="37" t="str">
        <f>IFERROR(LOOKUP(2,1/((HISTORIAL!$O$3:$O$385=D387&amp;"|"&amp;E387)*(HISTORIAL!$F$3:$F$385&lt;&gt;"")),HISTORIAL!$F$3:$F$385),"")</f>
        <v/>
      </c>
      <c r="H387" s="37" t="str">
        <f>IFERROR(LOOKUP(2,1/((HISTORIAL!$O$3:$O$385=D387&amp;"|"&amp;E387)*(HISTORIAL!$F$3:$F$385&lt;&gt;"")),HISTORIAL!$G$3:$G$385),"")</f>
        <v/>
      </c>
      <c r="I387" s="37" t="str">
        <f>IFERROR(LOOKUP(2,1/((HISTORIAL!$O$3:$O$385=D387&amp;"|"&amp;E387)*(HISTORIAL!$F$3:$F$385&lt;&gt;"")),HISTORIAL!$H$3:$H$385),"")</f>
        <v/>
      </c>
      <c r="J387" s="37" t="str">
        <f>IFERROR(LOOKUP(2,1/((HISTORIAL!$O$3:$O$385=D387&amp;"|"&amp;E387)*(HISTORIAL!$F$3:$F$385&lt;&gt;"")),HISTORIAL!$I$3:$I$385),"")</f>
        <v/>
      </c>
      <c r="K387" s="58" t="str">
        <f>IFERROR(IF(OR(G387="",N387="SIN"),"--",IF(N387="SUBIR_F",IF(F387="polea",IFERROR(INDEX(CONFIG!$B$25:$B$40,MATCH(G387,CONFIG!$B$25:$B$40,0)+2),IFERROR(INDEX(CONFIG!$B$25:$B$40,MATCH(G387,CONFIG!$B$25:$B$40,0)+1),G387)),G387+5),IF(OR(N387="SUBIR",N387="SUBIR_E"),IF(F387="polea",IFERROR(INDEX(CONFIG!$B$25:$B$40,MATCH(G387,CONFIG!$B$25:$B$40,0)+1),G387),G387+2.5),IF(N387="BAJAR",IF(F387="polea",IFERROR(INDEX(CONFIG!$B$25:$B$40,MAX(1,MATCH(G387,CONFIG!$B$25:$B$40,0)-1)),G387),MAX(0,G387-2.5)),G387)))),"--")</f>
        <v>--</v>
      </c>
      <c r="L387" s="59" t="str">
        <f>IFERROR(IF(N387="SIN","--",IF(N387="MANT",IF(H387="","--",H387+1),IFERROR(VLOOKUP(CONFIG!$E$2,CONFIG!$A$6:$E$8,2,0),"--"))),"--")</f>
        <v>--</v>
      </c>
      <c r="M387" s="59" t="str">
        <f>IFERROR(IF(N387="SIN","--",IF(CONFIG!$E$2="HIP",2,IF(CONFIG!$E$2="FUE",1,2))),"--")</f>
        <v>--</v>
      </c>
      <c r="N387" s="53" t="str">
        <f>IFERROR(IF(G387="","SIN",IF(O387=1,"SUBIR_E",IF(H387&lt;IFERROR(VLOOKUP(CONFIG!$E$2,CONFIG!$A$6:$E$8,2,0),6),"BAJAR",IF(H387+I387&gt;=IFERROR(VLOOKUP(CONFIG!$E$2,CONFIG!$A$6:$E$8,3,0),12),"SUBIR_F",IF(AND(H387&gt;=IFERROR(VLOOKUP(CONFIG!$E$2,CONFIG!$A$6:$E$8,2,0),6)+2,I387&gt;=2),"SUBIR",IF(I387&gt;IFERROR(VLOOKUP(CONFIG!$E$2,CONFIG!$A$6:$E$8,5,0),3),"SUBIR","MANT")))))),"SIN")</f>
        <v>SIN</v>
      </c>
      <c r="O387" s="55">
        <f>IF(COUNTIFS(HISTORIAL!$O$3:$O$385,D387&amp;"|"&amp;E387,HISTORIAL!$F$3:$F$385,"&gt;0")&lt;2,0,IF(COUNTIFS(HISTORIAL!$O$3:$O$385,D387&amp;"|"&amp;E387,HISTORIAL!$F$3:$F$385,IFERROR(LOOKUP(2,1/((HISTORIAL!$O$3:$O$385=D387&amp;"|"&amp;E387)*(HISTORIAL!$F$3:$F$385&gt;0)),HISTORIAL!$F$3:$F$385),0))&gt;=2,IF(IFERROR(LOOKUP(2,1/((HISTORIAL!$O$3:$O$385=D387&amp;"|"&amp;E387)*(HISTORIAL!$F$3:$F$385&gt;0)),HISTORIAL!$G$3:$G$385),0)&gt;0,IF(F387&gt;0,IF(G387&lt;=IFERROR(LOOKUP(2,1/((HISTORIAL!$O$3:$O$385=D387&amp;"|"&amp;E387)*(HISTORIAL!$F$3:$F$385&gt;0)),HISTORIAL!$G$3:$G$385),0),1,0),0),0),0))</f>
        <v>0</v>
      </c>
    </row>
    <row r="388" spans="1:15" ht="14.1" customHeight="1">
      <c r="A388" s="37">
        <v>7</v>
      </c>
      <c r="B388" s="37" t="s">
        <v>277</v>
      </c>
      <c r="C388" s="37">
        <v>7</v>
      </c>
      <c r="D388" s="56" t="str">
        <f>LUNES!$A$154</f>
        <v>Press Militar</v>
      </c>
      <c r="E388" s="57" t="str">
        <f>LUNES!$B$154</f>
        <v>Mancuernas Sentado</v>
      </c>
      <c r="F388" s="37" t="str">
        <f>LUNES!$C$154</f>
        <v>mancuerna</v>
      </c>
      <c r="G388" s="37" t="str">
        <f>IFERROR(LOOKUP(2,1/((HISTORIAL!$O$3:$O$386=D388&amp;"|"&amp;E388)*(HISTORIAL!$F$3:$F$386&lt;&gt;"")),HISTORIAL!$F$3:$F$386),"")</f>
        <v/>
      </c>
      <c r="H388" s="37" t="str">
        <f>IFERROR(LOOKUP(2,1/((HISTORIAL!$O$3:$O$386=D388&amp;"|"&amp;E388)*(HISTORIAL!$F$3:$F$386&lt;&gt;"")),HISTORIAL!$G$3:$G$386),"")</f>
        <v/>
      </c>
      <c r="I388" s="37" t="str">
        <f>IFERROR(LOOKUP(2,1/((HISTORIAL!$O$3:$O$386=D388&amp;"|"&amp;E388)*(HISTORIAL!$F$3:$F$386&lt;&gt;"")),HISTORIAL!$H$3:$H$386),"")</f>
        <v/>
      </c>
      <c r="J388" s="37" t="str">
        <f>IFERROR(LOOKUP(2,1/((HISTORIAL!$O$3:$O$386=D388&amp;"|"&amp;E388)*(HISTORIAL!$F$3:$F$386&lt;&gt;"")),HISTORIAL!$I$3:$I$386),"")</f>
        <v/>
      </c>
      <c r="K388" s="58" t="str">
        <f>IFERROR(IF(OR(G388="",N388="SIN"),"--",IF(N388="SUBIR_F",IF(F388="polea",IFERROR(INDEX(CONFIG!$B$25:$B$40,MATCH(G388,CONFIG!$B$25:$B$40,0)+2),IFERROR(INDEX(CONFIG!$B$25:$B$40,MATCH(G388,CONFIG!$B$25:$B$40,0)+1),G388)),G388+5),IF(OR(N388="SUBIR",N388="SUBIR_E"),IF(F388="polea",IFERROR(INDEX(CONFIG!$B$25:$B$40,MATCH(G388,CONFIG!$B$25:$B$40,0)+1),G388),G388+2.5),IF(N388="BAJAR",IF(F388="polea",IFERROR(INDEX(CONFIG!$B$25:$B$40,MAX(1,MATCH(G388,CONFIG!$B$25:$B$40,0)-1)),G388),MAX(0,G388-2.5)),G388)))),"--")</f>
        <v>--</v>
      </c>
      <c r="L388" s="59" t="str">
        <f>IFERROR(IF(N388="SIN","--",IF(N388="MANT",IF(H388="","--",H388+1),IFERROR(VLOOKUP(CONFIG!$E$2,CONFIG!$A$6:$E$8,2,0),"--"))),"--")</f>
        <v>--</v>
      </c>
      <c r="M388" s="59" t="str">
        <f>IFERROR(IF(N388="SIN","--",IF(CONFIG!$E$2="HIP",2,IF(CONFIG!$E$2="FUE",1,2))),"--")</f>
        <v>--</v>
      </c>
      <c r="N388" s="53" t="str">
        <f>IFERROR(IF(G388="","SIN",IF(O388=1,"SUBIR_E",IF(H388&lt;IFERROR(VLOOKUP(CONFIG!$E$2,CONFIG!$A$6:$E$8,2,0),6),"BAJAR",IF(H388+I388&gt;=IFERROR(VLOOKUP(CONFIG!$E$2,CONFIG!$A$6:$E$8,3,0),12),"SUBIR_F",IF(AND(H388&gt;=IFERROR(VLOOKUP(CONFIG!$E$2,CONFIG!$A$6:$E$8,2,0),6)+2,I388&gt;=2),"SUBIR",IF(I388&gt;IFERROR(VLOOKUP(CONFIG!$E$2,CONFIG!$A$6:$E$8,5,0),3),"SUBIR","MANT")))))),"SIN")</f>
        <v>SIN</v>
      </c>
      <c r="O388" s="55">
        <f>IF(COUNTIFS(HISTORIAL!$O$3:$O$386,D388&amp;"|"&amp;E388,HISTORIAL!$F$3:$F$386,"&gt;0")&lt;2,0,IF(COUNTIFS(HISTORIAL!$O$3:$O$386,D388&amp;"|"&amp;E388,HISTORIAL!$F$3:$F$386,IFERROR(LOOKUP(2,1/((HISTORIAL!$O$3:$O$386=D388&amp;"|"&amp;E388)*(HISTORIAL!$F$3:$F$386&gt;0)),HISTORIAL!$F$3:$F$386),0))&gt;=2,IF(IFERROR(LOOKUP(2,1/((HISTORIAL!$O$3:$O$386=D388&amp;"|"&amp;E388)*(HISTORIAL!$F$3:$F$386&gt;0)),HISTORIAL!$G$3:$G$386),0)&gt;0,IF(F388&gt;0,IF(G388&lt;=IFERROR(LOOKUP(2,1/((HISTORIAL!$O$3:$O$386=D388&amp;"|"&amp;E388)*(HISTORIAL!$F$3:$F$386&gt;0)),HISTORIAL!$G$3:$G$386),0),1,0),0),0),0))</f>
        <v>0</v>
      </c>
    </row>
    <row r="389" spans="1:15" ht="14.1" customHeight="1">
      <c r="A389" s="37">
        <v>7</v>
      </c>
      <c r="B389" s="37" t="s">
        <v>277</v>
      </c>
      <c r="C389" s="37">
        <v>8</v>
      </c>
      <c r="D389" s="56" t="str">
        <f>LUNES!$A$156</f>
        <v>Extension Triceps</v>
      </c>
      <c r="E389" s="57" t="str">
        <f>LUNES!$B$156</f>
        <v>Press Neutro Polea Individual</v>
      </c>
      <c r="F389" s="37" t="str">
        <f>LUNES!$C$156</f>
        <v>--</v>
      </c>
      <c r="G389" s="37" t="str">
        <f>IFERROR(LOOKUP(2,1/((HISTORIAL!$O$3:$O$387=D389&amp;"|"&amp;E389)*(HISTORIAL!$F$3:$F$387&lt;&gt;"")),HISTORIAL!$F$3:$F$387),"")</f>
        <v/>
      </c>
      <c r="H389" s="37" t="str">
        <f>IFERROR(LOOKUP(2,1/((HISTORIAL!$O$3:$O$387=D389&amp;"|"&amp;E389)*(HISTORIAL!$F$3:$F$387&lt;&gt;"")),HISTORIAL!$G$3:$G$387),"")</f>
        <v/>
      </c>
      <c r="I389" s="37" t="str">
        <f>IFERROR(LOOKUP(2,1/((HISTORIAL!$O$3:$O$387=D389&amp;"|"&amp;E389)*(HISTORIAL!$F$3:$F$387&lt;&gt;"")),HISTORIAL!$H$3:$H$387),"")</f>
        <v/>
      </c>
      <c r="J389" s="37" t="str">
        <f>IFERROR(LOOKUP(2,1/((HISTORIAL!$O$3:$O$387=D389&amp;"|"&amp;E389)*(HISTORIAL!$F$3:$F$387&lt;&gt;"")),HISTORIAL!$I$3:$I$387),"")</f>
        <v/>
      </c>
      <c r="K389" s="58" t="str">
        <f>IFERROR(IF(OR(G389="",N389="SIN"),"--",IF(N389="SUBIR_F",IF(F389="polea",IFERROR(INDEX(CONFIG!$B$25:$B$40,MATCH(G389,CONFIG!$B$25:$B$40,0)+2),IFERROR(INDEX(CONFIG!$B$25:$B$40,MATCH(G389,CONFIG!$B$25:$B$40,0)+1),G389)),G389+5),IF(OR(N389="SUBIR",N389="SUBIR_E"),IF(F389="polea",IFERROR(INDEX(CONFIG!$B$25:$B$40,MATCH(G389,CONFIG!$B$25:$B$40,0)+1),G389),G389+2.5),IF(N389="BAJAR",IF(F389="polea",IFERROR(INDEX(CONFIG!$B$25:$B$40,MAX(1,MATCH(G389,CONFIG!$B$25:$B$40,0)-1)),G389),MAX(0,G389-2.5)),G389)))),"--")</f>
        <v>--</v>
      </c>
      <c r="L389" s="59" t="str">
        <f>IFERROR(IF(N389="SIN","--",IF(N389="MANT",IF(H389="","--",H389+1),IFERROR(VLOOKUP(CONFIG!$E$2,CONFIG!$A$6:$E$8,2,0),"--"))),"--")</f>
        <v>--</v>
      </c>
      <c r="M389" s="59" t="str">
        <f>IFERROR(IF(N389="SIN","--",IF(CONFIG!$E$2="HIP",2,IF(CONFIG!$E$2="FUE",1,2))),"--")</f>
        <v>--</v>
      </c>
      <c r="N389" s="53" t="str">
        <f>IFERROR(IF(G389="","SIN",IF(O389=1,"SUBIR_E",IF(H389&lt;IFERROR(VLOOKUP(CONFIG!$E$2,CONFIG!$A$6:$E$8,2,0),6),"BAJAR",IF(H389+I389&gt;=IFERROR(VLOOKUP(CONFIG!$E$2,CONFIG!$A$6:$E$8,3,0),12),"SUBIR_F",IF(AND(H389&gt;=IFERROR(VLOOKUP(CONFIG!$E$2,CONFIG!$A$6:$E$8,2,0),6)+2,I389&gt;=2),"SUBIR",IF(I389&gt;IFERROR(VLOOKUP(CONFIG!$E$2,CONFIG!$A$6:$E$8,5,0),3),"SUBIR","MANT")))))),"SIN")</f>
        <v>SIN</v>
      </c>
      <c r="O389" s="55">
        <f>IF(COUNTIFS(HISTORIAL!$O$3:$O$387,D389&amp;"|"&amp;E389,HISTORIAL!$F$3:$F$387,"&gt;0")&lt;2,0,IF(COUNTIFS(HISTORIAL!$O$3:$O$387,D389&amp;"|"&amp;E389,HISTORIAL!$F$3:$F$387,IFERROR(LOOKUP(2,1/((HISTORIAL!$O$3:$O$387=D389&amp;"|"&amp;E389)*(HISTORIAL!$F$3:$F$387&gt;0)),HISTORIAL!$F$3:$F$387),0))&gt;=2,IF(IFERROR(LOOKUP(2,1/((HISTORIAL!$O$3:$O$387=D389&amp;"|"&amp;E389)*(HISTORIAL!$F$3:$F$387&gt;0)),HISTORIAL!$G$3:$G$387),0)&gt;0,IF(F389&gt;0,IF(G389&lt;=IFERROR(LOOKUP(2,1/((HISTORIAL!$O$3:$O$387=D389&amp;"|"&amp;E389)*(HISTORIAL!$F$3:$F$387&gt;0)),HISTORIAL!$G$3:$G$387),0),1,0),0),0),0))</f>
        <v>0</v>
      </c>
    </row>
    <row r="390" spans="1:15" ht="14.1" customHeight="1">
      <c r="A390" s="37">
        <v>7</v>
      </c>
      <c r="B390" s="37" t="s">
        <v>277</v>
      </c>
      <c r="C390" s="37">
        <v>9</v>
      </c>
      <c r="D390" s="56" t="str">
        <f>LUNES!$A$158</f>
        <v>Extension Cuadriceps</v>
      </c>
      <c r="E390" s="57" t="str">
        <f>LUNES!$B$158</f>
        <v>Vasto Externo</v>
      </c>
      <c r="F390" s="37" t="str">
        <f>LUNES!$C$158</f>
        <v>--</v>
      </c>
      <c r="G390" s="37" t="str">
        <f>IFERROR(LOOKUP(2,1/((HISTORIAL!$O$3:$O$388=D390&amp;"|"&amp;E390)*(HISTORIAL!$F$3:$F$388&lt;&gt;"")),HISTORIAL!$F$3:$F$388),"")</f>
        <v/>
      </c>
      <c r="H390" s="37" t="str">
        <f>IFERROR(LOOKUP(2,1/((HISTORIAL!$O$3:$O$388=D390&amp;"|"&amp;E390)*(HISTORIAL!$F$3:$F$388&lt;&gt;"")),HISTORIAL!$G$3:$G$388),"")</f>
        <v/>
      </c>
      <c r="I390" s="37" t="str">
        <f>IFERROR(LOOKUP(2,1/((HISTORIAL!$O$3:$O$388=D390&amp;"|"&amp;E390)*(HISTORIAL!$F$3:$F$388&lt;&gt;"")),HISTORIAL!$H$3:$H$388),"")</f>
        <v/>
      </c>
      <c r="J390" s="37" t="str">
        <f>IFERROR(LOOKUP(2,1/((HISTORIAL!$O$3:$O$388=D390&amp;"|"&amp;E390)*(HISTORIAL!$F$3:$F$388&lt;&gt;"")),HISTORIAL!$I$3:$I$388),"")</f>
        <v/>
      </c>
      <c r="K390" s="58" t="str">
        <f>IFERROR(IF(OR(G390="",N390="SIN"),"--",IF(N390="SUBIR_F",IF(F390="polea",IFERROR(INDEX(CONFIG!$B$25:$B$40,MATCH(G390,CONFIG!$B$25:$B$40,0)+2),IFERROR(INDEX(CONFIG!$B$25:$B$40,MATCH(G390,CONFIG!$B$25:$B$40,0)+1),G390)),G390+5),IF(OR(N390="SUBIR",N390="SUBIR_E"),IF(F390="polea",IFERROR(INDEX(CONFIG!$B$25:$B$40,MATCH(G390,CONFIG!$B$25:$B$40,0)+1),G390),G390+2.5),IF(N390="BAJAR",IF(F390="polea",IFERROR(INDEX(CONFIG!$B$25:$B$40,MAX(1,MATCH(G390,CONFIG!$B$25:$B$40,0)-1)),G390),MAX(0,G390-2.5)),G390)))),"--")</f>
        <v>--</v>
      </c>
      <c r="L390" s="59" t="str">
        <f>IFERROR(IF(N390="SIN","--",IF(N390="MANT",IF(H390="","--",H390+1),IFERROR(VLOOKUP(CONFIG!$E$2,CONFIG!$A$6:$E$8,2,0),"--"))),"--")</f>
        <v>--</v>
      </c>
      <c r="M390" s="59" t="str">
        <f>IFERROR(IF(N390="SIN","--",IF(CONFIG!$E$2="HIP",2,IF(CONFIG!$E$2="FUE",1,2))),"--")</f>
        <v>--</v>
      </c>
      <c r="N390" s="53" t="str">
        <f>IFERROR(IF(G390="","SIN",IF(O390=1,"SUBIR_E",IF(H390&lt;IFERROR(VLOOKUP(CONFIG!$E$2,CONFIG!$A$6:$E$8,2,0),6),"BAJAR",IF(H390+I390&gt;=IFERROR(VLOOKUP(CONFIG!$E$2,CONFIG!$A$6:$E$8,3,0),12),"SUBIR_F",IF(AND(H390&gt;=IFERROR(VLOOKUP(CONFIG!$E$2,CONFIG!$A$6:$E$8,2,0),6)+2,I390&gt;=2),"SUBIR",IF(I390&gt;IFERROR(VLOOKUP(CONFIG!$E$2,CONFIG!$A$6:$E$8,5,0),3),"SUBIR","MANT")))))),"SIN")</f>
        <v>SIN</v>
      </c>
      <c r="O390" s="55">
        <f>IF(COUNTIFS(HISTORIAL!$O$3:$O$388,D390&amp;"|"&amp;E390,HISTORIAL!$F$3:$F$388,"&gt;0")&lt;2,0,IF(COUNTIFS(HISTORIAL!$O$3:$O$388,D390&amp;"|"&amp;E390,HISTORIAL!$F$3:$F$388,IFERROR(LOOKUP(2,1/((HISTORIAL!$O$3:$O$388=D390&amp;"|"&amp;E390)*(HISTORIAL!$F$3:$F$388&gt;0)),HISTORIAL!$F$3:$F$388),0))&gt;=2,IF(IFERROR(LOOKUP(2,1/((HISTORIAL!$O$3:$O$388=D390&amp;"|"&amp;E390)*(HISTORIAL!$F$3:$F$388&gt;0)),HISTORIAL!$G$3:$G$388),0)&gt;0,IF(F390&gt;0,IF(G390&lt;=IFERROR(LOOKUP(2,1/((HISTORIAL!$O$3:$O$388=D390&amp;"|"&amp;E390)*(HISTORIAL!$F$3:$F$388&gt;0)),HISTORIAL!$G$3:$G$388),0),1,0),0),0),0))</f>
        <v>0</v>
      </c>
    </row>
    <row r="391" spans="1:15" ht="14.1" customHeight="1">
      <c r="A391" s="37">
        <v>7</v>
      </c>
      <c r="B391" s="37" t="s">
        <v>277</v>
      </c>
      <c r="C391" s="37">
        <v>10</v>
      </c>
      <c r="D391" s="56" t="str">
        <f>LUNES!$A$160</f>
        <v>Curl Biceps</v>
      </c>
      <c r="E391" s="57" t="str">
        <f>LUNES!$B$160</f>
        <v>Inclinado Banco Mancuernas</v>
      </c>
      <c r="F391" s="37" t="str">
        <f>LUNES!$C$160</f>
        <v>mancuerna</v>
      </c>
      <c r="G391" s="37" t="str">
        <f>IFERROR(LOOKUP(2,1/((HISTORIAL!$O$3:$O$389=D391&amp;"|"&amp;E391)*(HISTORIAL!$F$3:$F$389&lt;&gt;"")),HISTORIAL!$F$3:$F$389),"")</f>
        <v/>
      </c>
      <c r="H391" s="37" t="str">
        <f>IFERROR(LOOKUP(2,1/((HISTORIAL!$O$3:$O$389=D391&amp;"|"&amp;E391)*(HISTORIAL!$F$3:$F$389&lt;&gt;"")),HISTORIAL!$G$3:$G$389),"")</f>
        <v/>
      </c>
      <c r="I391" s="37" t="str">
        <f>IFERROR(LOOKUP(2,1/((HISTORIAL!$O$3:$O$389=D391&amp;"|"&amp;E391)*(HISTORIAL!$F$3:$F$389&lt;&gt;"")),HISTORIAL!$H$3:$H$389),"")</f>
        <v/>
      </c>
      <c r="J391" s="37" t="str">
        <f>IFERROR(LOOKUP(2,1/((HISTORIAL!$O$3:$O$389=D391&amp;"|"&amp;E391)*(HISTORIAL!$F$3:$F$389&lt;&gt;"")),HISTORIAL!$I$3:$I$389),"")</f>
        <v/>
      </c>
      <c r="K391" s="58" t="str">
        <f>IFERROR(IF(OR(G391="",N391="SIN"),"--",IF(N391="SUBIR_F",IF(F391="polea",IFERROR(INDEX(CONFIG!$B$25:$B$40,MATCH(G391,CONFIG!$B$25:$B$40,0)+2),IFERROR(INDEX(CONFIG!$B$25:$B$40,MATCH(G391,CONFIG!$B$25:$B$40,0)+1),G391)),G391+5),IF(OR(N391="SUBIR",N391="SUBIR_E"),IF(F391="polea",IFERROR(INDEX(CONFIG!$B$25:$B$40,MATCH(G391,CONFIG!$B$25:$B$40,0)+1),G391),G391+2.5),IF(N391="BAJAR",IF(F391="polea",IFERROR(INDEX(CONFIG!$B$25:$B$40,MAX(1,MATCH(G391,CONFIG!$B$25:$B$40,0)-1)),G391),MAX(0,G391-2.5)),G391)))),"--")</f>
        <v>--</v>
      </c>
      <c r="L391" s="59" t="str">
        <f>IFERROR(IF(N391="SIN","--",IF(N391="MANT",IF(H391="","--",H391+1),IFERROR(VLOOKUP(CONFIG!$E$2,CONFIG!$A$6:$E$8,2,0),"--"))),"--")</f>
        <v>--</v>
      </c>
      <c r="M391" s="59" t="str">
        <f>IFERROR(IF(N391="SIN","--",IF(CONFIG!$E$2="HIP",2,IF(CONFIG!$E$2="FUE",1,2))),"--")</f>
        <v>--</v>
      </c>
      <c r="N391" s="53" t="str">
        <f>IFERROR(IF(G391="","SIN",IF(O391=1,"SUBIR_E",IF(H391&lt;IFERROR(VLOOKUP(CONFIG!$E$2,CONFIG!$A$6:$E$8,2,0),6),"BAJAR",IF(H391+I391&gt;=IFERROR(VLOOKUP(CONFIG!$E$2,CONFIG!$A$6:$E$8,3,0),12),"SUBIR_F",IF(AND(H391&gt;=IFERROR(VLOOKUP(CONFIG!$E$2,CONFIG!$A$6:$E$8,2,0),6)+2,I391&gt;=2),"SUBIR",IF(I391&gt;IFERROR(VLOOKUP(CONFIG!$E$2,CONFIG!$A$6:$E$8,5,0),3),"SUBIR","MANT")))))),"SIN")</f>
        <v>SIN</v>
      </c>
      <c r="O391" s="55">
        <f>IF(COUNTIFS(HISTORIAL!$O$3:$O$389,D391&amp;"|"&amp;E391,HISTORIAL!$F$3:$F$389,"&gt;0")&lt;2,0,IF(COUNTIFS(HISTORIAL!$O$3:$O$389,D391&amp;"|"&amp;E391,HISTORIAL!$F$3:$F$389,IFERROR(LOOKUP(2,1/((HISTORIAL!$O$3:$O$389=D391&amp;"|"&amp;E391)*(HISTORIAL!$F$3:$F$389&gt;0)),HISTORIAL!$F$3:$F$389),0))&gt;=2,IF(IFERROR(LOOKUP(2,1/((HISTORIAL!$O$3:$O$389=D391&amp;"|"&amp;E391)*(HISTORIAL!$F$3:$F$389&gt;0)),HISTORIAL!$G$3:$G$389),0)&gt;0,IF(F391&gt;0,IF(G391&lt;=IFERROR(LOOKUP(2,1/((HISTORIAL!$O$3:$O$389=D391&amp;"|"&amp;E391)*(HISTORIAL!$F$3:$F$389&gt;0)),HISTORIAL!$G$3:$G$389),0),1,0),0),0),0))</f>
        <v>0</v>
      </c>
    </row>
    <row r="392" spans="1:15" ht="14.1" customHeight="1">
      <c r="A392" s="37">
        <v>7</v>
      </c>
      <c r="B392" s="37" t="s">
        <v>277</v>
      </c>
      <c r="C392" s="37">
        <v>11</v>
      </c>
      <c r="D392" s="56" t="str">
        <f>LUNES!$A$162</f>
        <v>Crunch</v>
      </c>
      <c r="E392" s="57" t="str">
        <f>LUNES!$B$162</f>
        <v>Polea</v>
      </c>
      <c r="F392" s="37" t="str">
        <f>LUNES!$C$162</f>
        <v>polea</v>
      </c>
      <c r="G392" s="37" t="str">
        <f>IFERROR(LOOKUP(2,1/((HISTORIAL!$O$3:$O$390=D392&amp;"|"&amp;E392)*(HISTORIAL!$F$3:$F$390&lt;&gt;"")),HISTORIAL!$F$3:$F$390),"")</f>
        <v/>
      </c>
      <c r="H392" s="37" t="str">
        <f>IFERROR(LOOKUP(2,1/((HISTORIAL!$O$3:$O$390=D392&amp;"|"&amp;E392)*(HISTORIAL!$F$3:$F$390&lt;&gt;"")),HISTORIAL!$G$3:$G$390),"")</f>
        <v/>
      </c>
      <c r="I392" s="37" t="str">
        <f>IFERROR(LOOKUP(2,1/((HISTORIAL!$O$3:$O$390=D392&amp;"|"&amp;E392)*(HISTORIAL!$F$3:$F$390&lt;&gt;"")),HISTORIAL!$H$3:$H$390),"")</f>
        <v/>
      </c>
      <c r="J392" s="37" t="str">
        <f>IFERROR(LOOKUP(2,1/((HISTORIAL!$O$3:$O$390=D392&amp;"|"&amp;E392)*(HISTORIAL!$F$3:$F$390&lt;&gt;"")),HISTORIAL!$I$3:$I$390),"")</f>
        <v/>
      </c>
      <c r="K392" s="58" t="str">
        <f>IFERROR(IF(OR(G392="",N392="SIN"),"--",IF(N392="SUBIR_F",IF(F392="polea",IFERROR(INDEX(CONFIG!$B$25:$B$40,MATCH(G392,CONFIG!$B$25:$B$40,0)+2),IFERROR(INDEX(CONFIG!$B$25:$B$40,MATCH(G392,CONFIG!$B$25:$B$40,0)+1),G392)),G392+5),IF(OR(N392="SUBIR",N392="SUBIR_E"),IF(F392="polea",IFERROR(INDEX(CONFIG!$B$25:$B$40,MATCH(G392,CONFIG!$B$25:$B$40,0)+1),G392),G392+2.5),IF(N392="BAJAR",IF(F392="polea",IFERROR(INDEX(CONFIG!$B$25:$B$40,MAX(1,MATCH(G392,CONFIG!$B$25:$B$40,0)-1)),G392),MAX(0,G392-2.5)),G392)))),"--")</f>
        <v>--</v>
      </c>
      <c r="L392" s="59" t="str">
        <f>IFERROR(IF(N392="SIN","--",IF(N392="MANT",IF(H392="","--",H392+1),IFERROR(VLOOKUP(CONFIG!$E$2,CONFIG!$A$6:$E$8,2,0),"--"))),"--")</f>
        <v>--</v>
      </c>
      <c r="M392" s="59" t="str">
        <f>IFERROR(IF(N392="SIN","--",IF(CONFIG!$E$2="HIP",2,IF(CONFIG!$E$2="FUE",1,2))),"--")</f>
        <v>--</v>
      </c>
      <c r="N392" s="53" t="str">
        <f>IFERROR(IF(G392="","SIN",IF(O392=1,"SUBIR_E",IF(H392&lt;IFERROR(VLOOKUP(CONFIG!$E$2,CONFIG!$A$6:$E$8,2,0),6),"BAJAR",IF(H392+I392&gt;=IFERROR(VLOOKUP(CONFIG!$E$2,CONFIG!$A$6:$E$8,3,0),12),"SUBIR_F",IF(AND(H392&gt;=IFERROR(VLOOKUP(CONFIG!$E$2,CONFIG!$A$6:$E$8,2,0),6)+2,I392&gt;=2),"SUBIR",IF(I392&gt;IFERROR(VLOOKUP(CONFIG!$E$2,CONFIG!$A$6:$E$8,5,0),3),"SUBIR","MANT")))))),"SIN")</f>
        <v>SIN</v>
      </c>
      <c r="O392" s="55">
        <f>IF(COUNTIFS(HISTORIAL!$O$3:$O$390,D392&amp;"|"&amp;E392,HISTORIAL!$F$3:$F$390,"&gt;0")&lt;2,0,IF(COUNTIFS(HISTORIAL!$O$3:$O$390,D392&amp;"|"&amp;E392,HISTORIAL!$F$3:$F$390,IFERROR(LOOKUP(2,1/((HISTORIAL!$O$3:$O$390=D392&amp;"|"&amp;E392)*(HISTORIAL!$F$3:$F$390&gt;0)),HISTORIAL!$F$3:$F$390),0))&gt;=2,IF(IFERROR(LOOKUP(2,1/((HISTORIAL!$O$3:$O$390=D392&amp;"|"&amp;E392)*(HISTORIAL!$F$3:$F$390&gt;0)),HISTORIAL!$G$3:$G$390),0)&gt;0,IF(F392&gt;0,IF(G392&lt;=IFERROR(LOOKUP(2,1/((HISTORIAL!$O$3:$O$390=D392&amp;"|"&amp;E392)*(HISTORIAL!$F$3:$F$390&gt;0)),HISTORIAL!$G$3:$G$390),0),1,0),0),0),0))</f>
        <v>0</v>
      </c>
    </row>
    <row r="393" spans="1:15" ht="14.1" customHeight="1">
      <c r="A393" s="37">
        <v>7</v>
      </c>
      <c r="B393" s="37" t="s">
        <v>278</v>
      </c>
      <c r="C393" s="37">
        <v>1</v>
      </c>
      <c r="D393" s="56" t="str">
        <f>MARTES!$A$139</f>
        <v>Dominadas</v>
      </c>
      <c r="E393" s="57" t="str">
        <f>MARTES!$B$139</f>
        <v>Polea Alta Prono Ancho</v>
      </c>
      <c r="F393" s="37" t="str">
        <f>MARTES!$C$139</f>
        <v>peso_corporal</v>
      </c>
      <c r="G393" s="37" t="str">
        <f>IFERROR(LOOKUP(2,1/((HISTORIAL!$O$3:$O$391=D393&amp;"|"&amp;E393)*(HISTORIAL!$F$3:$F$391&lt;&gt;"")),HISTORIAL!$F$3:$F$391),"")</f>
        <v/>
      </c>
      <c r="H393" s="37" t="str">
        <f>IFERROR(LOOKUP(2,1/((HISTORIAL!$O$3:$O$391=D393&amp;"|"&amp;E393)*(HISTORIAL!$F$3:$F$391&lt;&gt;"")),HISTORIAL!$G$3:$G$391),"")</f>
        <v/>
      </c>
      <c r="I393" s="37" t="str">
        <f>IFERROR(LOOKUP(2,1/((HISTORIAL!$O$3:$O$391=D393&amp;"|"&amp;E393)*(HISTORIAL!$F$3:$F$391&lt;&gt;"")),HISTORIAL!$H$3:$H$391),"")</f>
        <v/>
      </c>
      <c r="J393" s="37" t="str">
        <f>IFERROR(LOOKUP(2,1/((HISTORIAL!$O$3:$O$391=D393&amp;"|"&amp;E393)*(HISTORIAL!$F$3:$F$391&lt;&gt;"")),HISTORIAL!$I$3:$I$391),"")</f>
        <v/>
      </c>
      <c r="K393" s="58" t="str">
        <f>IFERROR(IF(OR(G393="",N393="SIN"),"--",IF(N393="SUBIR_F",IF(F393="polea",IFERROR(INDEX(CONFIG!$B$25:$B$40,MATCH(G393,CONFIG!$B$25:$B$40,0)+2),IFERROR(INDEX(CONFIG!$B$25:$B$40,MATCH(G393,CONFIG!$B$25:$B$40,0)+1),G393)),G393+5),IF(OR(N393="SUBIR",N393="SUBIR_E"),IF(F393="polea",IFERROR(INDEX(CONFIG!$B$25:$B$40,MATCH(G393,CONFIG!$B$25:$B$40,0)+1),G393),G393+2.5),IF(N393="BAJAR",IF(F393="polea",IFERROR(INDEX(CONFIG!$B$25:$B$40,MAX(1,MATCH(G393,CONFIG!$B$25:$B$40,0)-1)),G393),MAX(0,G393-2.5)),G393)))),"--")</f>
        <v>--</v>
      </c>
      <c r="L393" s="59" t="str">
        <f>IFERROR(IF(N393="SIN","--",IF(N393="MANT",IF(H393="","--",H393+1),IFERROR(VLOOKUP(CONFIG!$E$2,CONFIG!$A$6:$E$8,2,0),"--"))),"--")</f>
        <v>--</v>
      </c>
      <c r="M393" s="59" t="str">
        <f>IFERROR(IF(N393="SIN","--",IF(CONFIG!$E$2="HIP",2,IF(CONFIG!$E$2="FUE",1,2))),"--")</f>
        <v>--</v>
      </c>
      <c r="N393" s="53" t="str">
        <f>IFERROR(IF(G393="","SIN",IF(O393=1,"SUBIR_E",IF(H393&lt;IFERROR(VLOOKUP(CONFIG!$E$2,CONFIG!$A$6:$E$8,2,0),6),"BAJAR",IF(H393+I393&gt;=IFERROR(VLOOKUP(CONFIG!$E$2,CONFIG!$A$6:$E$8,3,0),12),"SUBIR_F",IF(AND(H393&gt;=IFERROR(VLOOKUP(CONFIG!$E$2,CONFIG!$A$6:$E$8,2,0),6)+2,I393&gt;=2),"SUBIR",IF(I393&gt;IFERROR(VLOOKUP(CONFIG!$E$2,CONFIG!$A$6:$E$8,5,0),3),"SUBIR","MANT")))))),"SIN")</f>
        <v>SIN</v>
      </c>
      <c r="O393" s="55">
        <f>IF(COUNTIFS(HISTORIAL!$O$3:$O$391,D393&amp;"|"&amp;E393,HISTORIAL!$F$3:$F$391,"&gt;0")&lt;2,0,IF(COUNTIFS(HISTORIAL!$O$3:$O$391,D393&amp;"|"&amp;E393,HISTORIAL!$F$3:$F$391,IFERROR(LOOKUP(2,1/((HISTORIAL!$O$3:$O$391=D393&amp;"|"&amp;E393)*(HISTORIAL!$F$3:$F$391&gt;0)),HISTORIAL!$F$3:$F$391),0))&gt;=2,IF(IFERROR(LOOKUP(2,1/((HISTORIAL!$O$3:$O$391=D393&amp;"|"&amp;E393)*(HISTORIAL!$F$3:$F$391&gt;0)),HISTORIAL!$G$3:$G$391),0)&gt;0,IF(F393&gt;0,IF(G393&lt;=IFERROR(LOOKUP(2,1/((HISTORIAL!$O$3:$O$391=D393&amp;"|"&amp;E393)*(HISTORIAL!$F$3:$F$391&gt;0)),HISTORIAL!$G$3:$G$391),0),1,0),0),0),0))</f>
        <v>0</v>
      </c>
    </row>
    <row r="394" spans="1:15" ht="14.1" customHeight="1">
      <c r="A394" s="37">
        <v>7</v>
      </c>
      <c r="B394" s="37" t="s">
        <v>278</v>
      </c>
      <c r="C394" s="37">
        <v>2</v>
      </c>
      <c r="D394" s="56" t="str">
        <f>MARTES!$A$140</f>
        <v>Pulldown</v>
      </c>
      <c r="E394" s="57" t="str">
        <f>MARTES!$B$140</f>
        <v>Polea Alta Brazos Rectos Prono</v>
      </c>
      <c r="F394" s="37" t="str">
        <f>MARTES!$C$140</f>
        <v>polea</v>
      </c>
      <c r="G394" s="37" t="str">
        <f>IFERROR(LOOKUP(2,1/((HISTORIAL!$O$3:$O$392=D394&amp;"|"&amp;E394)*(HISTORIAL!$F$3:$F$392&lt;&gt;"")),HISTORIAL!$F$3:$F$392),"")</f>
        <v/>
      </c>
      <c r="H394" s="37" t="str">
        <f>IFERROR(LOOKUP(2,1/((HISTORIAL!$O$3:$O$392=D394&amp;"|"&amp;E394)*(HISTORIAL!$F$3:$F$392&lt;&gt;"")),HISTORIAL!$G$3:$G$392),"")</f>
        <v/>
      </c>
      <c r="I394" s="37" t="str">
        <f>IFERROR(LOOKUP(2,1/((HISTORIAL!$O$3:$O$392=D394&amp;"|"&amp;E394)*(HISTORIAL!$F$3:$F$392&lt;&gt;"")),HISTORIAL!$H$3:$H$392),"")</f>
        <v/>
      </c>
      <c r="J394" s="37" t="str">
        <f>IFERROR(LOOKUP(2,1/((HISTORIAL!$O$3:$O$392=D394&amp;"|"&amp;E394)*(HISTORIAL!$F$3:$F$392&lt;&gt;"")),HISTORIAL!$I$3:$I$392),"")</f>
        <v/>
      </c>
      <c r="K394" s="58" t="str">
        <f>IFERROR(IF(OR(G394="",N394="SIN"),"--",IF(N394="SUBIR_F",IF(F394="polea",IFERROR(INDEX(CONFIG!$B$25:$B$40,MATCH(G394,CONFIG!$B$25:$B$40,0)+2),IFERROR(INDEX(CONFIG!$B$25:$B$40,MATCH(G394,CONFIG!$B$25:$B$40,0)+1),G394)),G394+5),IF(OR(N394="SUBIR",N394="SUBIR_E"),IF(F394="polea",IFERROR(INDEX(CONFIG!$B$25:$B$40,MATCH(G394,CONFIG!$B$25:$B$40,0)+1),G394),G394+2.5),IF(N394="BAJAR",IF(F394="polea",IFERROR(INDEX(CONFIG!$B$25:$B$40,MAX(1,MATCH(G394,CONFIG!$B$25:$B$40,0)-1)),G394),MAX(0,G394-2.5)),G394)))),"--")</f>
        <v>--</v>
      </c>
      <c r="L394" s="59" t="str">
        <f>IFERROR(IF(N394="SIN","--",IF(N394="MANT",IF(H394="","--",H394+1),IFERROR(VLOOKUP(CONFIG!$E$2,CONFIG!$A$6:$E$8,2,0),"--"))),"--")</f>
        <v>--</v>
      </c>
      <c r="M394" s="59" t="str">
        <f>IFERROR(IF(N394="SIN","--",IF(CONFIG!$E$2="HIP",2,IF(CONFIG!$E$2="FUE",1,2))),"--")</f>
        <v>--</v>
      </c>
      <c r="N394" s="53" t="str">
        <f>IFERROR(IF(G394="","SIN",IF(O394=1,"SUBIR_E",IF(H394&lt;IFERROR(VLOOKUP(CONFIG!$E$2,CONFIG!$A$6:$E$8,2,0),6),"BAJAR",IF(H394+I394&gt;=IFERROR(VLOOKUP(CONFIG!$E$2,CONFIG!$A$6:$E$8,3,0),12),"SUBIR_F",IF(AND(H394&gt;=IFERROR(VLOOKUP(CONFIG!$E$2,CONFIG!$A$6:$E$8,2,0),6)+2,I394&gt;=2),"SUBIR",IF(I394&gt;IFERROR(VLOOKUP(CONFIG!$E$2,CONFIG!$A$6:$E$8,5,0),3),"SUBIR","MANT")))))),"SIN")</f>
        <v>SIN</v>
      </c>
      <c r="O394" s="55">
        <f>IF(COUNTIFS(HISTORIAL!$O$3:$O$392,D394&amp;"|"&amp;E394,HISTORIAL!$F$3:$F$392,"&gt;0")&lt;2,0,IF(COUNTIFS(HISTORIAL!$O$3:$O$392,D394&amp;"|"&amp;E394,HISTORIAL!$F$3:$F$392,IFERROR(LOOKUP(2,1/((HISTORIAL!$O$3:$O$392=D394&amp;"|"&amp;E394)*(HISTORIAL!$F$3:$F$392&gt;0)),HISTORIAL!$F$3:$F$392),0))&gt;=2,IF(IFERROR(LOOKUP(2,1/((HISTORIAL!$O$3:$O$392=D394&amp;"|"&amp;E394)*(HISTORIAL!$F$3:$F$392&gt;0)),HISTORIAL!$G$3:$G$392),0)&gt;0,IF(F394&gt;0,IF(G394&lt;=IFERROR(LOOKUP(2,1/((HISTORIAL!$O$3:$O$392=D394&amp;"|"&amp;E394)*(HISTORIAL!$F$3:$F$392&gt;0)),HISTORIAL!$G$3:$G$392),0),1,0),0),0),0))</f>
        <v>0</v>
      </c>
    </row>
    <row r="395" spans="1:15" ht="14.1" customHeight="1">
      <c r="A395" s="37">
        <v>7</v>
      </c>
      <c r="B395" s="37" t="s">
        <v>278</v>
      </c>
      <c r="C395" s="37">
        <v>3</v>
      </c>
      <c r="D395" s="56" t="str">
        <f>MARTES!$A$142</f>
        <v>Remo</v>
      </c>
      <c r="E395" s="57" t="str">
        <f>MARTES!$B$142</f>
        <v>Maquina Hammer Neutro Unilateral</v>
      </c>
      <c r="F395" s="37" t="str">
        <f>MARTES!$C$142</f>
        <v>polea</v>
      </c>
      <c r="G395" s="37" t="str">
        <f>IFERROR(LOOKUP(2,1/((HISTORIAL!$O$3:$O$393=D395&amp;"|"&amp;E395)*(HISTORIAL!$F$3:$F$393&lt;&gt;"")),HISTORIAL!$F$3:$F$393),"")</f>
        <v/>
      </c>
      <c r="H395" s="37" t="str">
        <f>IFERROR(LOOKUP(2,1/((HISTORIAL!$O$3:$O$393=D395&amp;"|"&amp;E395)*(HISTORIAL!$F$3:$F$393&lt;&gt;"")),HISTORIAL!$G$3:$G$393),"")</f>
        <v/>
      </c>
      <c r="I395" s="37" t="str">
        <f>IFERROR(LOOKUP(2,1/((HISTORIAL!$O$3:$O$393=D395&amp;"|"&amp;E395)*(HISTORIAL!$F$3:$F$393&lt;&gt;"")),HISTORIAL!$H$3:$H$393),"")</f>
        <v/>
      </c>
      <c r="J395" s="37" t="str">
        <f>IFERROR(LOOKUP(2,1/((HISTORIAL!$O$3:$O$393=D395&amp;"|"&amp;E395)*(HISTORIAL!$F$3:$F$393&lt;&gt;"")),HISTORIAL!$I$3:$I$393),"")</f>
        <v/>
      </c>
      <c r="K395" s="58" t="str">
        <f>IFERROR(IF(OR(G395="",N395="SIN"),"--",IF(N395="SUBIR_F",IF(F395="polea",IFERROR(INDEX(CONFIG!$B$25:$B$40,MATCH(G395,CONFIG!$B$25:$B$40,0)+2),IFERROR(INDEX(CONFIG!$B$25:$B$40,MATCH(G395,CONFIG!$B$25:$B$40,0)+1),G395)),G395+5),IF(OR(N395="SUBIR",N395="SUBIR_E"),IF(F395="polea",IFERROR(INDEX(CONFIG!$B$25:$B$40,MATCH(G395,CONFIG!$B$25:$B$40,0)+1),G395),G395+2.5),IF(N395="BAJAR",IF(F395="polea",IFERROR(INDEX(CONFIG!$B$25:$B$40,MAX(1,MATCH(G395,CONFIG!$B$25:$B$40,0)-1)),G395),MAX(0,G395-2.5)),G395)))),"--")</f>
        <v>--</v>
      </c>
      <c r="L395" s="59" t="str">
        <f>IFERROR(IF(N395="SIN","--",IF(N395="MANT",IF(H395="","--",H395+1),IFERROR(VLOOKUP(CONFIG!$E$2,CONFIG!$A$6:$E$8,2,0),"--"))),"--")</f>
        <v>--</v>
      </c>
      <c r="M395" s="59" t="str">
        <f>IFERROR(IF(N395="SIN","--",IF(CONFIG!$E$2="HIP",2,IF(CONFIG!$E$2="FUE",1,2))),"--")</f>
        <v>--</v>
      </c>
      <c r="N395" s="53" t="str">
        <f>IFERROR(IF(G395="","SIN",IF(O395=1,"SUBIR_E",IF(H395&lt;IFERROR(VLOOKUP(CONFIG!$E$2,CONFIG!$A$6:$E$8,2,0),6),"BAJAR",IF(H395+I395&gt;=IFERROR(VLOOKUP(CONFIG!$E$2,CONFIG!$A$6:$E$8,3,0),12),"SUBIR_F",IF(AND(H395&gt;=IFERROR(VLOOKUP(CONFIG!$E$2,CONFIG!$A$6:$E$8,2,0),6)+2,I395&gt;=2),"SUBIR",IF(I395&gt;IFERROR(VLOOKUP(CONFIG!$E$2,CONFIG!$A$6:$E$8,5,0),3),"SUBIR","MANT")))))),"SIN")</f>
        <v>SIN</v>
      </c>
      <c r="O395" s="55">
        <f>IF(COUNTIFS(HISTORIAL!$O$3:$O$393,D395&amp;"|"&amp;E395,HISTORIAL!$F$3:$F$393,"&gt;0")&lt;2,0,IF(COUNTIFS(HISTORIAL!$O$3:$O$393,D395&amp;"|"&amp;E395,HISTORIAL!$F$3:$F$393,IFERROR(LOOKUP(2,1/((HISTORIAL!$O$3:$O$393=D395&amp;"|"&amp;E395)*(HISTORIAL!$F$3:$F$393&gt;0)),HISTORIAL!$F$3:$F$393),0))&gt;=2,IF(IFERROR(LOOKUP(2,1/((HISTORIAL!$O$3:$O$393=D395&amp;"|"&amp;E395)*(HISTORIAL!$F$3:$F$393&gt;0)),HISTORIAL!$G$3:$G$393),0)&gt;0,IF(F395&gt;0,IF(G395&lt;=IFERROR(LOOKUP(2,1/((HISTORIAL!$O$3:$O$393=D395&amp;"|"&amp;E395)*(HISTORIAL!$F$3:$F$393&gt;0)),HISTORIAL!$G$3:$G$393),0),1,0),0),0),0))</f>
        <v>0</v>
      </c>
    </row>
    <row r="396" spans="1:15" ht="14.1" customHeight="1">
      <c r="A396" s="37">
        <v>7</v>
      </c>
      <c r="B396" s="37" t="s">
        <v>278</v>
      </c>
      <c r="C396" s="37">
        <v>4</v>
      </c>
      <c r="D396" s="56" t="str">
        <f>MARTES!$A$143</f>
        <v>Remo</v>
      </c>
      <c r="E396" s="57" t="str">
        <f>MARTES!$B$143</f>
        <v>Maquina Prono</v>
      </c>
      <c r="F396" s="37" t="str">
        <f>MARTES!$C$143</f>
        <v>polea</v>
      </c>
      <c r="G396" s="37" t="str">
        <f>IFERROR(LOOKUP(2,1/((HISTORIAL!$O$3:$O$394=D396&amp;"|"&amp;E396)*(HISTORIAL!$F$3:$F$394&lt;&gt;"")),HISTORIAL!$F$3:$F$394),"")</f>
        <v/>
      </c>
      <c r="H396" s="37" t="str">
        <f>IFERROR(LOOKUP(2,1/((HISTORIAL!$O$3:$O$394=D396&amp;"|"&amp;E396)*(HISTORIAL!$F$3:$F$394&lt;&gt;"")),HISTORIAL!$G$3:$G$394),"")</f>
        <v/>
      </c>
      <c r="I396" s="37" t="str">
        <f>IFERROR(LOOKUP(2,1/((HISTORIAL!$O$3:$O$394=D396&amp;"|"&amp;E396)*(HISTORIAL!$F$3:$F$394&lt;&gt;"")),HISTORIAL!$H$3:$H$394),"")</f>
        <v/>
      </c>
      <c r="J396" s="37" t="str">
        <f>IFERROR(LOOKUP(2,1/((HISTORIAL!$O$3:$O$394=D396&amp;"|"&amp;E396)*(HISTORIAL!$F$3:$F$394&lt;&gt;"")),HISTORIAL!$I$3:$I$394),"")</f>
        <v/>
      </c>
      <c r="K396" s="58" t="str">
        <f>IFERROR(IF(OR(G396="",N396="SIN"),"--",IF(N396="SUBIR_F",IF(F396="polea",IFERROR(INDEX(CONFIG!$B$25:$B$40,MATCH(G396,CONFIG!$B$25:$B$40,0)+2),IFERROR(INDEX(CONFIG!$B$25:$B$40,MATCH(G396,CONFIG!$B$25:$B$40,0)+1),G396)),G396+5),IF(OR(N396="SUBIR",N396="SUBIR_E"),IF(F396="polea",IFERROR(INDEX(CONFIG!$B$25:$B$40,MATCH(G396,CONFIG!$B$25:$B$40,0)+1),G396),G396+2.5),IF(N396="BAJAR",IF(F396="polea",IFERROR(INDEX(CONFIG!$B$25:$B$40,MAX(1,MATCH(G396,CONFIG!$B$25:$B$40,0)-1)),G396),MAX(0,G396-2.5)),G396)))),"--")</f>
        <v>--</v>
      </c>
      <c r="L396" s="59" t="str">
        <f>IFERROR(IF(N396="SIN","--",IF(N396="MANT",IF(H396="","--",H396+1),IFERROR(VLOOKUP(CONFIG!$E$2,CONFIG!$A$6:$E$8,2,0),"--"))),"--")</f>
        <v>--</v>
      </c>
      <c r="M396" s="59" t="str">
        <f>IFERROR(IF(N396="SIN","--",IF(CONFIG!$E$2="HIP",2,IF(CONFIG!$E$2="FUE",1,2))),"--")</f>
        <v>--</v>
      </c>
      <c r="N396" s="53" t="str">
        <f>IFERROR(IF(G396="","SIN",IF(O396=1,"SUBIR_E",IF(H396&lt;IFERROR(VLOOKUP(CONFIG!$E$2,CONFIG!$A$6:$E$8,2,0),6),"BAJAR",IF(H396+I396&gt;=IFERROR(VLOOKUP(CONFIG!$E$2,CONFIG!$A$6:$E$8,3,0),12),"SUBIR_F",IF(AND(H396&gt;=IFERROR(VLOOKUP(CONFIG!$E$2,CONFIG!$A$6:$E$8,2,0),6)+2,I396&gt;=2),"SUBIR",IF(I396&gt;IFERROR(VLOOKUP(CONFIG!$E$2,CONFIG!$A$6:$E$8,5,0),3),"SUBIR","MANT")))))),"SIN")</f>
        <v>SIN</v>
      </c>
      <c r="O396" s="55">
        <f>IF(COUNTIFS(HISTORIAL!$O$3:$O$394,D396&amp;"|"&amp;E396,HISTORIAL!$F$3:$F$394,"&gt;0")&lt;2,0,IF(COUNTIFS(HISTORIAL!$O$3:$O$394,D396&amp;"|"&amp;E396,HISTORIAL!$F$3:$F$394,IFERROR(LOOKUP(2,1/((HISTORIAL!$O$3:$O$394=D396&amp;"|"&amp;E396)*(HISTORIAL!$F$3:$F$394&gt;0)),HISTORIAL!$F$3:$F$394),0))&gt;=2,IF(IFERROR(LOOKUP(2,1/((HISTORIAL!$O$3:$O$394=D396&amp;"|"&amp;E396)*(HISTORIAL!$F$3:$F$394&gt;0)),HISTORIAL!$G$3:$G$394),0)&gt;0,IF(F396&gt;0,IF(G396&lt;=IFERROR(LOOKUP(2,1/((HISTORIAL!$O$3:$O$394=D396&amp;"|"&amp;E396)*(HISTORIAL!$F$3:$F$394&gt;0)),HISTORIAL!$G$3:$G$394),0),1,0),0),0),0))</f>
        <v>0</v>
      </c>
    </row>
    <row r="397" spans="1:15" ht="14.1" customHeight="1">
      <c r="A397" s="37">
        <v>7</v>
      </c>
      <c r="B397" s="37" t="s">
        <v>278</v>
      </c>
      <c r="C397" s="37">
        <v>5</v>
      </c>
      <c r="D397" s="56" t="str">
        <f>MARTES!$A$145</f>
        <v>Curl Biceps</v>
      </c>
      <c r="E397" s="57" t="str">
        <f>MARTES!$B$145</f>
        <v>Inclinado Banco Mancuernas</v>
      </c>
      <c r="F397" s="37" t="str">
        <f>MARTES!$C$145</f>
        <v>mancuerna</v>
      </c>
      <c r="G397" s="37" t="str">
        <f>IFERROR(LOOKUP(2,1/((HISTORIAL!$O$3:$O$395=D397&amp;"|"&amp;E397)*(HISTORIAL!$F$3:$F$395&lt;&gt;"")),HISTORIAL!$F$3:$F$395),"")</f>
        <v/>
      </c>
      <c r="H397" s="37" t="str">
        <f>IFERROR(LOOKUP(2,1/((HISTORIAL!$O$3:$O$395=D397&amp;"|"&amp;E397)*(HISTORIAL!$F$3:$F$395&lt;&gt;"")),HISTORIAL!$G$3:$G$395),"")</f>
        <v/>
      </c>
      <c r="I397" s="37" t="str">
        <f>IFERROR(LOOKUP(2,1/((HISTORIAL!$O$3:$O$395=D397&amp;"|"&amp;E397)*(HISTORIAL!$F$3:$F$395&lt;&gt;"")),HISTORIAL!$H$3:$H$395),"")</f>
        <v/>
      </c>
      <c r="J397" s="37" t="str">
        <f>IFERROR(LOOKUP(2,1/((HISTORIAL!$O$3:$O$395=D397&amp;"|"&amp;E397)*(HISTORIAL!$F$3:$F$395&lt;&gt;"")),HISTORIAL!$I$3:$I$395),"")</f>
        <v/>
      </c>
      <c r="K397" s="58" t="str">
        <f>IFERROR(IF(OR(G397="",N397="SIN"),"--",IF(N397="SUBIR_F",IF(F397="polea",IFERROR(INDEX(CONFIG!$B$25:$B$40,MATCH(G397,CONFIG!$B$25:$B$40,0)+2),IFERROR(INDEX(CONFIG!$B$25:$B$40,MATCH(G397,CONFIG!$B$25:$B$40,0)+1),G397)),G397+5),IF(OR(N397="SUBIR",N397="SUBIR_E"),IF(F397="polea",IFERROR(INDEX(CONFIG!$B$25:$B$40,MATCH(G397,CONFIG!$B$25:$B$40,0)+1),G397),G397+2.5),IF(N397="BAJAR",IF(F397="polea",IFERROR(INDEX(CONFIG!$B$25:$B$40,MAX(1,MATCH(G397,CONFIG!$B$25:$B$40,0)-1)),G397),MAX(0,G397-2.5)),G397)))),"--")</f>
        <v>--</v>
      </c>
      <c r="L397" s="59" t="str">
        <f>IFERROR(IF(N397="SIN","--",IF(N397="MANT",IF(H397="","--",H397+1),IFERROR(VLOOKUP(CONFIG!$E$2,CONFIG!$A$6:$E$8,2,0),"--"))),"--")</f>
        <v>--</v>
      </c>
      <c r="M397" s="59" t="str">
        <f>IFERROR(IF(N397="SIN","--",IF(CONFIG!$E$2="HIP",2,IF(CONFIG!$E$2="FUE",1,2))),"--")</f>
        <v>--</v>
      </c>
      <c r="N397" s="53" t="str">
        <f>IFERROR(IF(G397="","SIN",IF(O397=1,"SUBIR_E",IF(H397&lt;IFERROR(VLOOKUP(CONFIG!$E$2,CONFIG!$A$6:$E$8,2,0),6),"BAJAR",IF(H397+I397&gt;=IFERROR(VLOOKUP(CONFIG!$E$2,CONFIG!$A$6:$E$8,3,0),12),"SUBIR_F",IF(AND(H397&gt;=IFERROR(VLOOKUP(CONFIG!$E$2,CONFIG!$A$6:$E$8,2,0),6)+2,I397&gt;=2),"SUBIR",IF(I397&gt;IFERROR(VLOOKUP(CONFIG!$E$2,CONFIG!$A$6:$E$8,5,0),3),"SUBIR","MANT")))))),"SIN")</f>
        <v>SIN</v>
      </c>
      <c r="O397" s="55">
        <f>IF(COUNTIFS(HISTORIAL!$O$3:$O$395,D397&amp;"|"&amp;E397,HISTORIAL!$F$3:$F$395,"&gt;0")&lt;2,0,IF(COUNTIFS(HISTORIAL!$O$3:$O$395,D397&amp;"|"&amp;E397,HISTORIAL!$F$3:$F$395,IFERROR(LOOKUP(2,1/((HISTORIAL!$O$3:$O$395=D397&amp;"|"&amp;E397)*(HISTORIAL!$F$3:$F$395&gt;0)),HISTORIAL!$F$3:$F$395),0))&gt;=2,IF(IFERROR(LOOKUP(2,1/((HISTORIAL!$O$3:$O$395=D397&amp;"|"&amp;E397)*(HISTORIAL!$F$3:$F$395&gt;0)),HISTORIAL!$G$3:$G$395),0)&gt;0,IF(F397&gt;0,IF(G397&lt;=IFERROR(LOOKUP(2,1/((HISTORIAL!$O$3:$O$395=D397&amp;"|"&amp;E397)*(HISTORIAL!$F$3:$F$395&gt;0)),HISTORIAL!$G$3:$G$395),0),1,0),0),0),0))</f>
        <v>0</v>
      </c>
    </row>
    <row r="398" spans="1:15" ht="14.1" customHeight="1">
      <c r="A398" s="37">
        <v>7</v>
      </c>
      <c r="B398" s="37" t="s">
        <v>278</v>
      </c>
      <c r="C398" s="37">
        <v>6</v>
      </c>
      <c r="D398" s="56" t="str">
        <f>MARTES!$A$146</f>
        <v>Curl Biceps</v>
      </c>
      <c r="E398" s="57" t="str">
        <f>MARTES!$B$146</f>
        <v>Polea Baja Supino</v>
      </c>
      <c r="F398" s="37" t="str">
        <f>MARTES!$C$146</f>
        <v>polea</v>
      </c>
      <c r="G398" s="37" t="str">
        <f>IFERROR(LOOKUP(2,1/((HISTORIAL!$O$3:$O$396=D398&amp;"|"&amp;E398)*(HISTORIAL!$F$3:$F$396&lt;&gt;"")),HISTORIAL!$F$3:$F$396),"")</f>
        <v/>
      </c>
      <c r="H398" s="37" t="str">
        <f>IFERROR(LOOKUP(2,1/((HISTORIAL!$O$3:$O$396=D398&amp;"|"&amp;E398)*(HISTORIAL!$F$3:$F$396&lt;&gt;"")),HISTORIAL!$G$3:$G$396),"")</f>
        <v/>
      </c>
      <c r="I398" s="37" t="str">
        <f>IFERROR(LOOKUP(2,1/((HISTORIAL!$O$3:$O$396=D398&amp;"|"&amp;E398)*(HISTORIAL!$F$3:$F$396&lt;&gt;"")),HISTORIAL!$H$3:$H$396),"")</f>
        <v/>
      </c>
      <c r="J398" s="37" t="str">
        <f>IFERROR(LOOKUP(2,1/((HISTORIAL!$O$3:$O$396=D398&amp;"|"&amp;E398)*(HISTORIAL!$F$3:$F$396&lt;&gt;"")),HISTORIAL!$I$3:$I$396),"")</f>
        <v/>
      </c>
      <c r="K398" s="58" t="str">
        <f>IFERROR(IF(OR(G398="",N398="SIN"),"--",IF(N398="SUBIR_F",IF(F398="polea",IFERROR(INDEX(CONFIG!$B$25:$B$40,MATCH(G398,CONFIG!$B$25:$B$40,0)+2),IFERROR(INDEX(CONFIG!$B$25:$B$40,MATCH(G398,CONFIG!$B$25:$B$40,0)+1),G398)),G398+5),IF(OR(N398="SUBIR",N398="SUBIR_E"),IF(F398="polea",IFERROR(INDEX(CONFIG!$B$25:$B$40,MATCH(G398,CONFIG!$B$25:$B$40,0)+1),G398),G398+2.5),IF(N398="BAJAR",IF(F398="polea",IFERROR(INDEX(CONFIG!$B$25:$B$40,MAX(1,MATCH(G398,CONFIG!$B$25:$B$40,0)-1)),G398),MAX(0,G398-2.5)),G398)))),"--")</f>
        <v>--</v>
      </c>
      <c r="L398" s="59" t="str">
        <f>IFERROR(IF(N398="SIN","--",IF(N398="MANT",IF(H398="","--",H398+1),IFERROR(VLOOKUP(CONFIG!$E$2,CONFIG!$A$6:$E$8,2,0),"--"))),"--")</f>
        <v>--</v>
      </c>
      <c r="M398" s="59" t="str">
        <f>IFERROR(IF(N398="SIN","--",IF(CONFIG!$E$2="HIP",2,IF(CONFIG!$E$2="FUE",1,2))),"--")</f>
        <v>--</v>
      </c>
      <c r="N398" s="53" t="str">
        <f>IFERROR(IF(G398="","SIN",IF(O398=1,"SUBIR_E",IF(H398&lt;IFERROR(VLOOKUP(CONFIG!$E$2,CONFIG!$A$6:$E$8,2,0),6),"BAJAR",IF(H398+I398&gt;=IFERROR(VLOOKUP(CONFIG!$E$2,CONFIG!$A$6:$E$8,3,0),12),"SUBIR_F",IF(AND(H398&gt;=IFERROR(VLOOKUP(CONFIG!$E$2,CONFIG!$A$6:$E$8,2,0),6)+2,I398&gt;=2),"SUBIR",IF(I398&gt;IFERROR(VLOOKUP(CONFIG!$E$2,CONFIG!$A$6:$E$8,5,0),3),"SUBIR","MANT")))))),"SIN")</f>
        <v>SIN</v>
      </c>
      <c r="O398" s="55">
        <f>IF(COUNTIFS(HISTORIAL!$O$3:$O$396,D398&amp;"|"&amp;E398,HISTORIAL!$F$3:$F$396,"&gt;0")&lt;2,0,IF(COUNTIFS(HISTORIAL!$O$3:$O$396,D398&amp;"|"&amp;E398,HISTORIAL!$F$3:$F$396,IFERROR(LOOKUP(2,1/((HISTORIAL!$O$3:$O$396=D398&amp;"|"&amp;E398)*(HISTORIAL!$F$3:$F$396&gt;0)),HISTORIAL!$F$3:$F$396),0))&gt;=2,IF(IFERROR(LOOKUP(2,1/((HISTORIAL!$O$3:$O$396=D398&amp;"|"&amp;E398)*(HISTORIAL!$F$3:$F$396&gt;0)),HISTORIAL!$G$3:$G$396),0)&gt;0,IF(F398&gt;0,IF(G398&lt;=IFERROR(LOOKUP(2,1/((HISTORIAL!$O$3:$O$396=D398&amp;"|"&amp;E398)*(HISTORIAL!$F$3:$F$396&gt;0)),HISTORIAL!$G$3:$G$396),0),1,0),0),0),0))</f>
        <v>0</v>
      </c>
    </row>
    <row r="399" spans="1:15" ht="14.1" customHeight="1">
      <c r="A399" s="37">
        <v>7</v>
      </c>
      <c r="B399" s="37" t="s">
        <v>278</v>
      </c>
      <c r="C399" s="37">
        <v>7</v>
      </c>
      <c r="D399" s="56" t="str">
        <f>MARTES!$A$148</f>
        <v>Curl Muneca</v>
      </c>
      <c r="E399" s="57" t="str">
        <f>MARTES!$B$148</f>
        <v>Supinado</v>
      </c>
      <c r="F399" s="37" t="str">
        <f>MARTES!$C$148</f>
        <v>mancuerna</v>
      </c>
      <c r="G399" s="37" t="str">
        <f>IFERROR(LOOKUP(2,1/((HISTORIAL!$O$3:$O$397=D399&amp;"|"&amp;E399)*(HISTORIAL!$F$3:$F$397&lt;&gt;"")),HISTORIAL!$F$3:$F$397),"")</f>
        <v/>
      </c>
      <c r="H399" s="37" t="str">
        <f>IFERROR(LOOKUP(2,1/((HISTORIAL!$O$3:$O$397=D399&amp;"|"&amp;E399)*(HISTORIAL!$F$3:$F$397&lt;&gt;"")),HISTORIAL!$G$3:$G$397),"")</f>
        <v/>
      </c>
      <c r="I399" s="37" t="str">
        <f>IFERROR(LOOKUP(2,1/((HISTORIAL!$O$3:$O$397=D399&amp;"|"&amp;E399)*(HISTORIAL!$F$3:$F$397&lt;&gt;"")),HISTORIAL!$H$3:$H$397),"")</f>
        <v/>
      </c>
      <c r="J399" s="37" t="str">
        <f>IFERROR(LOOKUP(2,1/((HISTORIAL!$O$3:$O$397=D399&amp;"|"&amp;E399)*(HISTORIAL!$F$3:$F$397&lt;&gt;"")),HISTORIAL!$I$3:$I$397),"")</f>
        <v/>
      </c>
      <c r="K399" s="58" t="str">
        <f>IFERROR(IF(OR(G399="",N399="SIN"),"--",IF(N399="SUBIR_F",IF(F399="polea",IFERROR(INDEX(CONFIG!$B$25:$B$40,MATCH(G399,CONFIG!$B$25:$B$40,0)+2),IFERROR(INDEX(CONFIG!$B$25:$B$40,MATCH(G399,CONFIG!$B$25:$B$40,0)+1),G399)),G399+5),IF(OR(N399="SUBIR",N399="SUBIR_E"),IF(F399="polea",IFERROR(INDEX(CONFIG!$B$25:$B$40,MATCH(G399,CONFIG!$B$25:$B$40,0)+1),G399),G399+2.5),IF(N399="BAJAR",IF(F399="polea",IFERROR(INDEX(CONFIG!$B$25:$B$40,MAX(1,MATCH(G399,CONFIG!$B$25:$B$40,0)-1)),G399),MAX(0,G399-2.5)),G399)))),"--")</f>
        <v>--</v>
      </c>
      <c r="L399" s="59" t="str">
        <f>IFERROR(IF(N399="SIN","--",IF(N399="MANT",IF(H399="","--",H399+1),IFERROR(VLOOKUP(CONFIG!$E$2,CONFIG!$A$6:$E$8,2,0),"--"))),"--")</f>
        <v>--</v>
      </c>
      <c r="M399" s="59" t="str">
        <f>IFERROR(IF(N399="SIN","--",IF(CONFIG!$E$2="HIP",2,IF(CONFIG!$E$2="FUE",1,2))),"--")</f>
        <v>--</v>
      </c>
      <c r="N399" s="53" t="str">
        <f>IFERROR(IF(G399="","SIN",IF(O399=1,"SUBIR_E",IF(H399&lt;IFERROR(VLOOKUP(CONFIG!$E$2,CONFIG!$A$6:$E$8,2,0),6),"BAJAR",IF(H399+I399&gt;=IFERROR(VLOOKUP(CONFIG!$E$2,CONFIG!$A$6:$E$8,3,0),12),"SUBIR_F",IF(AND(H399&gt;=IFERROR(VLOOKUP(CONFIG!$E$2,CONFIG!$A$6:$E$8,2,0),6)+2,I399&gt;=2),"SUBIR",IF(I399&gt;IFERROR(VLOOKUP(CONFIG!$E$2,CONFIG!$A$6:$E$8,5,0),3),"SUBIR","MANT")))))),"SIN")</f>
        <v>SIN</v>
      </c>
      <c r="O399" s="55">
        <f>IF(COUNTIFS(HISTORIAL!$O$3:$O$397,D399&amp;"|"&amp;E399,HISTORIAL!$F$3:$F$397,"&gt;0")&lt;2,0,IF(COUNTIFS(HISTORIAL!$O$3:$O$397,D399&amp;"|"&amp;E399,HISTORIAL!$F$3:$F$397,IFERROR(LOOKUP(2,1/((HISTORIAL!$O$3:$O$397=D399&amp;"|"&amp;E399)*(HISTORIAL!$F$3:$F$397&gt;0)),HISTORIAL!$F$3:$F$397),0))&gt;=2,IF(IFERROR(LOOKUP(2,1/((HISTORIAL!$O$3:$O$397=D399&amp;"|"&amp;E399)*(HISTORIAL!$F$3:$F$397&gt;0)),HISTORIAL!$G$3:$G$397),0)&gt;0,IF(F399&gt;0,IF(G399&lt;=IFERROR(LOOKUP(2,1/((HISTORIAL!$O$3:$O$397=D399&amp;"|"&amp;E399)*(HISTORIAL!$F$3:$F$397&gt;0)),HISTORIAL!$G$3:$G$397),0),1,0),0),0),0))</f>
        <v>0</v>
      </c>
    </row>
    <row r="400" spans="1:15" ht="14.1" customHeight="1">
      <c r="A400" s="37">
        <v>7</v>
      </c>
      <c r="B400" s="37" t="s">
        <v>278</v>
      </c>
      <c r="C400" s="37">
        <v>8</v>
      </c>
      <c r="D400" s="56" t="str">
        <f>MARTES!$A$149</f>
        <v>Curl Muneca</v>
      </c>
      <c r="E400" s="57" t="str">
        <f>MARTES!$B$149</f>
        <v>Pronado</v>
      </c>
      <c r="F400" s="37" t="str">
        <f>MARTES!$C$149</f>
        <v>mancuerna</v>
      </c>
      <c r="G400" s="37" t="str">
        <f>IFERROR(LOOKUP(2,1/((HISTORIAL!$O$3:$O$398=D400&amp;"|"&amp;E400)*(HISTORIAL!$F$3:$F$398&lt;&gt;"")),HISTORIAL!$F$3:$F$398),"")</f>
        <v/>
      </c>
      <c r="H400" s="37" t="str">
        <f>IFERROR(LOOKUP(2,1/((HISTORIAL!$O$3:$O$398=D400&amp;"|"&amp;E400)*(HISTORIAL!$F$3:$F$398&lt;&gt;"")),HISTORIAL!$G$3:$G$398),"")</f>
        <v/>
      </c>
      <c r="I400" s="37" t="str">
        <f>IFERROR(LOOKUP(2,1/((HISTORIAL!$O$3:$O$398=D400&amp;"|"&amp;E400)*(HISTORIAL!$F$3:$F$398&lt;&gt;"")),HISTORIAL!$H$3:$H$398),"")</f>
        <v/>
      </c>
      <c r="J400" s="37" t="str">
        <f>IFERROR(LOOKUP(2,1/((HISTORIAL!$O$3:$O$398=D400&amp;"|"&amp;E400)*(HISTORIAL!$F$3:$F$398&lt;&gt;"")),HISTORIAL!$I$3:$I$398),"")</f>
        <v/>
      </c>
      <c r="K400" s="58" t="str">
        <f>IFERROR(IF(OR(G400="",N400="SIN"),"--",IF(N400="SUBIR_F",IF(F400="polea",IFERROR(INDEX(CONFIG!$B$25:$B$40,MATCH(G400,CONFIG!$B$25:$B$40,0)+2),IFERROR(INDEX(CONFIG!$B$25:$B$40,MATCH(G400,CONFIG!$B$25:$B$40,0)+1),G400)),G400+5),IF(OR(N400="SUBIR",N400="SUBIR_E"),IF(F400="polea",IFERROR(INDEX(CONFIG!$B$25:$B$40,MATCH(G400,CONFIG!$B$25:$B$40,0)+1),G400),G400+2.5),IF(N400="BAJAR",IF(F400="polea",IFERROR(INDEX(CONFIG!$B$25:$B$40,MAX(1,MATCH(G400,CONFIG!$B$25:$B$40,0)-1)),G400),MAX(0,G400-2.5)),G400)))),"--")</f>
        <v>--</v>
      </c>
      <c r="L400" s="59" t="str">
        <f>IFERROR(IF(N400="SIN","--",IF(N400="MANT",IF(H400="","--",H400+1),IFERROR(VLOOKUP(CONFIG!$E$2,CONFIG!$A$6:$E$8,2,0),"--"))),"--")</f>
        <v>--</v>
      </c>
      <c r="M400" s="59" t="str">
        <f>IFERROR(IF(N400="SIN","--",IF(CONFIG!$E$2="HIP",2,IF(CONFIG!$E$2="FUE",1,2))),"--")</f>
        <v>--</v>
      </c>
      <c r="N400" s="53" t="str">
        <f>IFERROR(IF(G400="","SIN",IF(O400=1,"SUBIR_E",IF(H400&lt;IFERROR(VLOOKUP(CONFIG!$E$2,CONFIG!$A$6:$E$8,2,0),6),"BAJAR",IF(H400+I400&gt;=IFERROR(VLOOKUP(CONFIG!$E$2,CONFIG!$A$6:$E$8,3,0),12),"SUBIR_F",IF(AND(H400&gt;=IFERROR(VLOOKUP(CONFIG!$E$2,CONFIG!$A$6:$E$8,2,0),6)+2,I400&gt;=2),"SUBIR",IF(I400&gt;IFERROR(VLOOKUP(CONFIG!$E$2,CONFIG!$A$6:$E$8,5,0),3),"SUBIR","MANT")))))),"SIN")</f>
        <v>SIN</v>
      </c>
      <c r="O400" s="55">
        <f>IF(COUNTIFS(HISTORIAL!$O$3:$O$398,D400&amp;"|"&amp;E400,HISTORIAL!$F$3:$F$398,"&gt;0")&lt;2,0,IF(COUNTIFS(HISTORIAL!$O$3:$O$398,D400&amp;"|"&amp;E400,HISTORIAL!$F$3:$F$398,IFERROR(LOOKUP(2,1/((HISTORIAL!$O$3:$O$398=D400&amp;"|"&amp;E400)*(HISTORIAL!$F$3:$F$398&gt;0)),HISTORIAL!$F$3:$F$398),0))&gt;=2,IF(IFERROR(LOOKUP(2,1/((HISTORIAL!$O$3:$O$398=D400&amp;"|"&amp;E400)*(HISTORIAL!$F$3:$F$398&gt;0)),HISTORIAL!$G$3:$G$398),0)&gt;0,IF(F400&gt;0,IF(G400&lt;=IFERROR(LOOKUP(2,1/((HISTORIAL!$O$3:$O$398=D400&amp;"|"&amp;E400)*(HISTORIAL!$F$3:$F$398&gt;0)),HISTORIAL!$G$3:$G$398),0),1,0),0),0),0))</f>
        <v>0</v>
      </c>
    </row>
    <row r="401" spans="1:15" ht="14.1" customHeight="1">
      <c r="A401" s="37">
        <v>7</v>
      </c>
      <c r="B401" s="37" t="s">
        <v>278</v>
      </c>
      <c r="C401" s="37">
        <v>9</v>
      </c>
      <c r="D401" s="56" t="str">
        <f>MARTES!$A$151</f>
        <v>Farmer Carry</v>
      </c>
      <c r="E401" s="57" t="str">
        <f>MARTES!$B$151</f>
        <v>Libre</v>
      </c>
      <c r="F401" s="37" t="str">
        <f>MARTES!$C$151</f>
        <v>mancuerna</v>
      </c>
      <c r="G401" s="37" t="str">
        <f>IFERROR(LOOKUP(2,1/((HISTORIAL!$O$3:$O$399=D401&amp;"|"&amp;E401)*(HISTORIAL!$F$3:$F$399&lt;&gt;"")),HISTORIAL!$F$3:$F$399),"")</f>
        <v/>
      </c>
      <c r="H401" s="37" t="str">
        <f>IFERROR(LOOKUP(2,1/((HISTORIAL!$O$3:$O$399=D401&amp;"|"&amp;E401)*(HISTORIAL!$F$3:$F$399&lt;&gt;"")),HISTORIAL!$G$3:$G$399),"")</f>
        <v/>
      </c>
      <c r="I401" s="37" t="str">
        <f>IFERROR(LOOKUP(2,1/((HISTORIAL!$O$3:$O$399=D401&amp;"|"&amp;E401)*(HISTORIAL!$F$3:$F$399&lt;&gt;"")),HISTORIAL!$H$3:$H$399),"")</f>
        <v/>
      </c>
      <c r="J401" s="37" t="str">
        <f>IFERROR(LOOKUP(2,1/((HISTORIAL!$O$3:$O$399=D401&amp;"|"&amp;E401)*(HISTORIAL!$F$3:$F$399&lt;&gt;"")),HISTORIAL!$I$3:$I$399),"")</f>
        <v/>
      </c>
      <c r="K401" s="58" t="str">
        <f>IFERROR(IF(OR(G401="",N401="SIN"),"--",IF(N401="SUBIR_F",IF(F401="polea",IFERROR(INDEX(CONFIG!$B$25:$B$40,MATCH(G401,CONFIG!$B$25:$B$40,0)+2),IFERROR(INDEX(CONFIG!$B$25:$B$40,MATCH(G401,CONFIG!$B$25:$B$40,0)+1),G401)),G401+5),IF(OR(N401="SUBIR",N401="SUBIR_E"),IF(F401="polea",IFERROR(INDEX(CONFIG!$B$25:$B$40,MATCH(G401,CONFIG!$B$25:$B$40,0)+1),G401),G401+2.5),IF(N401="BAJAR",IF(F401="polea",IFERROR(INDEX(CONFIG!$B$25:$B$40,MAX(1,MATCH(G401,CONFIG!$B$25:$B$40,0)-1)),G401),MAX(0,G401-2.5)),G401)))),"--")</f>
        <v>--</v>
      </c>
      <c r="L401" s="59" t="str">
        <f>IFERROR(IF(N401="SIN","--",IF(N401="MANT",IF(H401="","--",H401+1),IFERROR(VLOOKUP(CONFIG!$E$2,CONFIG!$A$6:$E$8,2,0),"--"))),"--")</f>
        <v>--</v>
      </c>
      <c r="M401" s="59" t="str">
        <f>IFERROR(IF(N401="SIN","--",IF(CONFIG!$E$2="HIP",2,IF(CONFIG!$E$2="FUE",1,2))),"--")</f>
        <v>--</v>
      </c>
      <c r="N401" s="53" t="str">
        <f>IFERROR(IF(G401="","SIN",IF(O401=1,"SUBIR_E",IF(H401&lt;IFERROR(VLOOKUP(CONFIG!$E$2,CONFIG!$A$6:$E$8,2,0),6),"BAJAR",IF(H401+I401&gt;=IFERROR(VLOOKUP(CONFIG!$E$2,CONFIG!$A$6:$E$8,3,0),12),"SUBIR_F",IF(AND(H401&gt;=IFERROR(VLOOKUP(CONFIG!$E$2,CONFIG!$A$6:$E$8,2,0),6)+2,I401&gt;=2),"SUBIR",IF(I401&gt;IFERROR(VLOOKUP(CONFIG!$E$2,CONFIG!$A$6:$E$8,5,0),3),"SUBIR","MANT")))))),"SIN")</f>
        <v>SIN</v>
      </c>
      <c r="O401" s="55">
        <f>IF(COUNTIFS(HISTORIAL!$O$3:$O$399,D401&amp;"|"&amp;E401,HISTORIAL!$F$3:$F$399,"&gt;0")&lt;2,0,IF(COUNTIFS(HISTORIAL!$O$3:$O$399,D401&amp;"|"&amp;E401,HISTORIAL!$F$3:$F$399,IFERROR(LOOKUP(2,1/((HISTORIAL!$O$3:$O$399=D401&amp;"|"&amp;E401)*(HISTORIAL!$F$3:$F$399&gt;0)),HISTORIAL!$F$3:$F$399),0))&gt;=2,IF(IFERROR(LOOKUP(2,1/((HISTORIAL!$O$3:$O$399=D401&amp;"|"&amp;E401)*(HISTORIAL!$F$3:$F$399&gt;0)),HISTORIAL!$G$3:$G$399),0)&gt;0,IF(F401&gt;0,IF(G401&lt;=IFERROR(LOOKUP(2,1/((HISTORIAL!$O$3:$O$399=D401&amp;"|"&amp;E401)*(HISTORIAL!$F$3:$F$399&gt;0)),HISTORIAL!$G$3:$G$399),0),1,0),0),0),0))</f>
        <v>0</v>
      </c>
    </row>
    <row r="402" spans="1:15" ht="14.1" customHeight="1">
      <c r="A402" s="37">
        <v>7</v>
      </c>
      <c r="B402" s="37" t="s">
        <v>278</v>
      </c>
      <c r="C402" s="37">
        <v>10</v>
      </c>
      <c r="D402" s="56" t="str">
        <f>MARTES!$A$153</f>
        <v>Skullcrusher</v>
      </c>
      <c r="E402" s="57" t="str">
        <f>MARTES!$B$153</f>
        <v>Mancuerna Tumbado</v>
      </c>
      <c r="F402" s="37" t="str">
        <f>MARTES!$C$153</f>
        <v>--</v>
      </c>
      <c r="G402" s="37" t="str">
        <f>IFERROR(LOOKUP(2,1/((HISTORIAL!$O$3:$O$400=D402&amp;"|"&amp;E402)*(HISTORIAL!$F$3:$F$400&lt;&gt;"")),HISTORIAL!$F$3:$F$400),"")</f>
        <v/>
      </c>
      <c r="H402" s="37" t="str">
        <f>IFERROR(LOOKUP(2,1/((HISTORIAL!$O$3:$O$400=D402&amp;"|"&amp;E402)*(HISTORIAL!$F$3:$F$400&lt;&gt;"")),HISTORIAL!$G$3:$G$400),"")</f>
        <v/>
      </c>
      <c r="I402" s="37" t="str">
        <f>IFERROR(LOOKUP(2,1/((HISTORIAL!$O$3:$O$400=D402&amp;"|"&amp;E402)*(HISTORIAL!$F$3:$F$400&lt;&gt;"")),HISTORIAL!$H$3:$H$400),"")</f>
        <v/>
      </c>
      <c r="J402" s="37" t="str">
        <f>IFERROR(LOOKUP(2,1/((HISTORIAL!$O$3:$O$400=D402&amp;"|"&amp;E402)*(HISTORIAL!$F$3:$F$400&lt;&gt;"")),HISTORIAL!$I$3:$I$400),"")</f>
        <v/>
      </c>
      <c r="K402" s="58" t="str">
        <f>IFERROR(IF(OR(G402="",N402="SIN"),"--",IF(N402="SUBIR_F",IF(F402="polea",IFERROR(INDEX(CONFIG!$B$25:$B$40,MATCH(G402,CONFIG!$B$25:$B$40,0)+2),IFERROR(INDEX(CONFIG!$B$25:$B$40,MATCH(G402,CONFIG!$B$25:$B$40,0)+1),G402)),G402+5),IF(OR(N402="SUBIR",N402="SUBIR_E"),IF(F402="polea",IFERROR(INDEX(CONFIG!$B$25:$B$40,MATCH(G402,CONFIG!$B$25:$B$40,0)+1),G402),G402+2.5),IF(N402="BAJAR",IF(F402="polea",IFERROR(INDEX(CONFIG!$B$25:$B$40,MAX(1,MATCH(G402,CONFIG!$B$25:$B$40,0)-1)),G402),MAX(0,G402-2.5)),G402)))),"--")</f>
        <v>--</v>
      </c>
      <c r="L402" s="59" t="str">
        <f>IFERROR(IF(N402="SIN","--",IF(N402="MANT",IF(H402="","--",H402+1),IFERROR(VLOOKUP(CONFIG!$E$2,CONFIG!$A$6:$E$8,2,0),"--"))),"--")</f>
        <v>--</v>
      </c>
      <c r="M402" s="59" t="str">
        <f>IFERROR(IF(N402="SIN","--",IF(CONFIG!$E$2="HIP",2,IF(CONFIG!$E$2="FUE",1,2))),"--")</f>
        <v>--</v>
      </c>
      <c r="N402" s="53" t="str">
        <f>IFERROR(IF(G402="","SIN",IF(O402=1,"SUBIR_E",IF(H402&lt;IFERROR(VLOOKUP(CONFIG!$E$2,CONFIG!$A$6:$E$8,2,0),6),"BAJAR",IF(H402+I402&gt;=IFERROR(VLOOKUP(CONFIG!$E$2,CONFIG!$A$6:$E$8,3,0),12),"SUBIR_F",IF(AND(H402&gt;=IFERROR(VLOOKUP(CONFIG!$E$2,CONFIG!$A$6:$E$8,2,0),6)+2,I402&gt;=2),"SUBIR",IF(I402&gt;IFERROR(VLOOKUP(CONFIG!$E$2,CONFIG!$A$6:$E$8,5,0),3),"SUBIR","MANT")))))),"SIN")</f>
        <v>SIN</v>
      </c>
      <c r="O402" s="55">
        <f>IF(COUNTIFS(HISTORIAL!$O$3:$O$400,D402&amp;"|"&amp;E402,HISTORIAL!$F$3:$F$400,"&gt;0")&lt;2,0,IF(COUNTIFS(HISTORIAL!$O$3:$O$400,D402&amp;"|"&amp;E402,HISTORIAL!$F$3:$F$400,IFERROR(LOOKUP(2,1/((HISTORIAL!$O$3:$O$400=D402&amp;"|"&amp;E402)*(HISTORIAL!$F$3:$F$400&gt;0)),HISTORIAL!$F$3:$F$400),0))&gt;=2,IF(IFERROR(LOOKUP(2,1/((HISTORIAL!$O$3:$O$400=D402&amp;"|"&amp;E402)*(HISTORIAL!$F$3:$F$400&gt;0)),HISTORIAL!$G$3:$G$400),0)&gt;0,IF(F402&gt;0,IF(G402&lt;=IFERROR(LOOKUP(2,1/((HISTORIAL!$O$3:$O$400=D402&amp;"|"&amp;E402)*(HISTORIAL!$F$3:$F$400&gt;0)),HISTORIAL!$G$3:$G$400),0),1,0),0),0),0))</f>
        <v>0</v>
      </c>
    </row>
    <row r="403" spans="1:15" ht="14.1" customHeight="1">
      <c r="A403" s="37">
        <v>7</v>
      </c>
      <c r="B403" s="37" t="s">
        <v>278</v>
      </c>
      <c r="C403" s="37">
        <v>11</v>
      </c>
      <c r="D403" s="56" t="str">
        <f>MARTES!$A$155</f>
        <v>Crunch</v>
      </c>
      <c r="E403" s="57" t="str">
        <f>MARTES!$B$155</f>
        <v>Polea</v>
      </c>
      <c r="F403" s="37" t="str">
        <f>MARTES!$C$155</f>
        <v>polea</v>
      </c>
      <c r="G403" s="37" t="str">
        <f>IFERROR(LOOKUP(2,1/((HISTORIAL!$O$3:$O$401=D403&amp;"|"&amp;E403)*(HISTORIAL!$F$3:$F$401&lt;&gt;"")),HISTORIAL!$F$3:$F$401),"")</f>
        <v/>
      </c>
      <c r="H403" s="37" t="str">
        <f>IFERROR(LOOKUP(2,1/((HISTORIAL!$O$3:$O$401=D403&amp;"|"&amp;E403)*(HISTORIAL!$F$3:$F$401&lt;&gt;"")),HISTORIAL!$G$3:$G$401),"")</f>
        <v/>
      </c>
      <c r="I403" s="37" t="str">
        <f>IFERROR(LOOKUP(2,1/((HISTORIAL!$O$3:$O$401=D403&amp;"|"&amp;E403)*(HISTORIAL!$F$3:$F$401&lt;&gt;"")),HISTORIAL!$H$3:$H$401),"")</f>
        <v/>
      </c>
      <c r="J403" s="37" t="str">
        <f>IFERROR(LOOKUP(2,1/((HISTORIAL!$O$3:$O$401=D403&amp;"|"&amp;E403)*(HISTORIAL!$F$3:$F$401&lt;&gt;"")),HISTORIAL!$I$3:$I$401),"")</f>
        <v/>
      </c>
      <c r="K403" s="58" t="str">
        <f>IFERROR(IF(OR(G403="",N403="SIN"),"--",IF(N403="SUBIR_F",IF(F403="polea",IFERROR(INDEX(CONFIG!$B$25:$B$40,MATCH(G403,CONFIG!$B$25:$B$40,0)+2),IFERROR(INDEX(CONFIG!$B$25:$B$40,MATCH(G403,CONFIG!$B$25:$B$40,0)+1),G403)),G403+5),IF(OR(N403="SUBIR",N403="SUBIR_E"),IF(F403="polea",IFERROR(INDEX(CONFIG!$B$25:$B$40,MATCH(G403,CONFIG!$B$25:$B$40,0)+1),G403),G403+2.5),IF(N403="BAJAR",IF(F403="polea",IFERROR(INDEX(CONFIG!$B$25:$B$40,MAX(1,MATCH(G403,CONFIG!$B$25:$B$40,0)-1)),G403),MAX(0,G403-2.5)),G403)))),"--")</f>
        <v>--</v>
      </c>
      <c r="L403" s="59" t="str">
        <f>IFERROR(IF(N403="SIN","--",IF(N403="MANT",IF(H403="","--",H403+1),IFERROR(VLOOKUP(CONFIG!$E$2,CONFIG!$A$6:$E$8,2,0),"--"))),"--")</f>
        <v>--</v>
      </c>
      <c r="M403" s="59" t="str">
        <f>IFERROR(IF(N403="SIN","--",IF(CONFIG!$E$2="HIP",2,IF(CONFIG!$E$2="FUE",1,2))),"--")</f>
        <v>--</v>
      </c>
      <c r="N403" s="53" t="str">
        <f>IFERROR(IF(G403="","SIN",IF(O403=1,"SUBIR_E",IF(H403&lt;IFERROR(VLOOKUP(CONFIG!$E$2,CONFIG!$A$6:$E$8,2,0),6),"BAJAR",IF(H403+I403&gt;=IFERROR(VLOOKUP(CONFIG!$E$2,CONFIG!$A$6:$E$8,3,0),12),"SUBIR_F",IF(AND(H403&gt;=IFERROR(VLOOKUP(CONFIG!$E$2,CONFIG!$A$6:$E$8,2,0),6)+2,I403&gt;=2),"SUBIR",IF(I403&gt;IFERROR(VLOOKUP(CONFIG!$E$2,CONFIG!$A$6:$E$8,5,0),3),"SUBIR","MANT")))))),"SIN")</f>
        <v>SIN</v>
      </c>
      <c r="O403" s="55">
        <f>IF(COUNTIFS(HISTORIAL!$O$3:$O$401,D403&amp;"|"&amp;E403,HISTORIAL!$F$3:$F$401,"&gt;0")&lt;2,0,IF(COUNTIFS(HISTORIAL!$O$3:$O$401,D403&amp;"|"&amp;E403,HISTORIAL!$F$3:$F$401,IFERROR(LOOKUP(2,1/((HISTORIAL!$O$3:$O$401=D403&amp;"|"&amp;E403)*(HISTORIAL!$F$3:$F$401&gt;0)),HISTORIAL!$F$3:$F$401),0))&gt;=2,IF(IFERROR(LOOKUP(2,1/((HISTORIAL!$O$3:$O$401=D403&amp;"|"&amp;E403)*(HISTORIAL!$F$3:$F$401&gt;0)),HISTORIAL!$G$3:$G$401),0)&gt;0,IF(F403&gt;0,IF(G403&lt;=IFERROR(LOOKUP(2,1/((HISTORIAL!$O$3:$O$401=D403&amp;"|"&amp;E403)*(HISTORIAL!$F$3:$F$401&gt;0)),HISTORIAL!$G$3:$G$401),0),1,0),0),0),0))</f>
        <v>0</v>
      </c>
    </row>
    <row r="404" spans="1:15" ht="14.1" customHeight="1">
      <c r="A404" s="37">
        <v>7</v>
      </c>
      <c r="B404" s="37" t="s">
        <v>279</v>
      </c>
      <c r="C404" s="37">
        <v>1</v>
      </c>
      <c r="D404" s="56" t="str">
        <f>MIERCOLES!$A$144</f>
        <v>Curl Femoral</v>
      </c>
      <c r="E404" s="57" t="str">
        <f>MIERCOLES!$B$144</f>
        <v>Tumbado Maquina</v>
      </c>
      <c r="F404" s="37" t="str">
        <f>MIERCOLES!$C$144</f>
        <v>polea</v>
      </c>
      <c r="G404" s="37" t="str">
        <f>IFERROR(LOOKUP(2,1/((HISTORIAL!$O$3:$O$402=D404&amp;"|"&amp;E404)*(HISTORIAL!$F$3:$F$402&lt;&gt;"")),HISTORIAL!$F$3:$F$402),"")</f>
        <v/>
      </c>
      <c r="H404" s="37" t="str">
        <f>IFERROR(LOOKUP(2,1/((HISTORIAL!$O$3:$O$402=D404&amp;"|"&amp;E404)*(HISTORIAL!$F$3:$F$402&lt;&gt;"")),HISTORIAL!$G$3:$G$402),"")</f>
        <v/>
      </c>
      <c r="I404" s="37" t="str">
        <f>IFERROR(LOOKUP(2,1/((HISTORIAL!$O$3:$O$402=D404&amp;"|"&amp;E404)*(HISTORIAL!$F$3:$F$402&lt;&gt;"")),HISTORIAL!$H$3:$H$402),"")</f>
        <v/>
      </c>
      <c r="J404" s="37" t="str">
        <f>IFERROR(LOOKUP(2,1/((HISTORIAL!$O$3:$O$402=D404&amp;"|"&amp;E404)*(HISTORIAL!$F$3:$F$402&lt;&gt;"")),HISTORIAL!$I$3:$I$402),"")</f>
        <v/>
      </c>
      <c r="K404" s="58" t="str">
        <f>IFERROR(IF(OR(G404="",N404="SIN"),"--",IF(N404="SUBIR_F",IF(F404="polea",IFERROR(INDEX(CONFIG!$B$25:$B$40,MATCH(G404,CONFIG!$B$25:$B$40,0)+2),IFERROR(INDEX(CONFIG!$B$25:$B$40,MATCH(G404,CONFIG!$B$25:$B$40,0)+1),G404)),G404+5),IF(OR(N404="SUBIR",N404="SUBIR_E"),IF(F404="polea",IFERROR(INDEX(CONFIG!$B$25:$B$40,MATCH(G404,CONFIG!$B$25:$B$40,0)+1),G404),G404+2.5),IF(N404="BAJAR",IF(F404="polea",IFERROR(INDEX(CONFIG!$B$25:$B$40,MAX(1,MATCH(G404,CONFIG!$B$25:$B$40,0)-1)),G404),MAX(0,G404-2.5)),G404)))),"--")</f>
        <v>--</v>
      </c>
      <c r="L404" s="59" t="str">
        <f>IFERROR(IF(N404="SIN","--",IF(N404="MANT",IF(H404="","--",H404+1),IFERROR(VLOOKUP(CONFIG!$E$2,CONFIG!$A$6:$E$8,2,0),"--"))),"--")</f>
        <v>--</v>
      </c>
      <c r="M404" s="59" t="str">
        <f>IFERROR(IF(N404="SIN","--",IF(CONFIG!$E$2="HIP",2,IF(CONFIG!$E$2="FUE",1,2))),"--")</f>
        <v>--</v>
      </c>
      <c r="N404" s="53" t="str">
        <f>IFERROR(IF(G404="","SIN",IF(O404=1,"SUBIR_E",IF(H404&lt;IFERROR(VLOOKUP(CONFIG!$E$2,CONFIG!$A$6:$E$8,2,0),6),"BAJAR",IF(H404+I404&gt;=IFERROR(VLOOKUP(CONFIG!$E$2,CONFIG!$A$6:$E$8,3,0),12),"SUBIR_F",IF(AND(H404&gt;=IFERROR(VLOOKUP(CONFIG!$E$2,CONFIG!$A$6:$E$8,2,0),6)+2,I404&gt;=2),"SUBIR",IF(I404&gt;IFERROR(VLOOKUP(CONFIG!$E$2,CONFIG!$A$6:$E$8,5,0),3),"SUBIR","MANT")))))),"SIN")</f>
        <v>SIN</v>
      </c>
      <c r="O404" s="55">
        <f>IF(COUNTIFS(HISTORIAL!$O$3:$O$402,D404&amp;"|"&amp;E404,HISTORIAL!$F$3:$F$402,"&gt;0")&lt;2,0,IF(COUNTIFS(HISTORIAL!$O$3:$O$402,D404&amp;"|"&amp;E404,HISTORIAL!$F$3:$F$402,IFERROR(LOOKUP(2,1/((HISTORIAL!$O$3:$O$402=D404&amp;"|"&amp;E404)*(HISTORIAL!$F$3:$F$402&gt;0)),HISTORIAL!$F$3:$F$402),0))&gt;=2,IF(IFERROR(LOOKUP(2,1/((HISTORIAL!$O$3:$O$402=D404&amp;"|"&amp;E404)*(HISTORIAL!$F$3:$F$402&gt;0)),HISTORIAL!$G$3:$G$402),0)&gt;0,IF(F404&gt;0,IF(G404&lt;=IFERROR(LOOKUP(2,1/((HISTORIAL!$O$3:$O$402=D404&amp;"|"&amp;E404)*(HISTORIAL!$F$3:$F$402&gt;0)),HISTORIAL!$G$3:$G$402),0),1,0),0),0),0))</f>
        <v>0</v>
      </c>
    </row>
    <row r="405" spans="1:15" ht="14.1" customHeight="1">
      <c r="A405" s="37">
        <v>7</v>
      </c>
      <c r="B405" s="37" t="s">
        <v>279</v>
      </c>
      <c r="C405" s="37">
        <v>2</v>
      </c>
      <c r="D405" s="56" t="str">
        <f>MIERCOLES!$A$145</f>
        <v>Curl Femoral</v>
      </c>
      <c r="E405" s="57" t="str">
        <f>MIERCOLES!$B$145</f>
        <v>Sentado Maquina</v>
      </c>
      <c r="F405" s="37" t="str">
        <f>MIERCOLES!$C$145</f>
        <v>polea</v>
      </c>
      <c r="G405" s="37" t="str">
        <f>IFERROR(LOOKUP(2,1/((HISTORIAL!$O$3:$O$403=D405&amp;"|"&amp;E405)*(HISTORIAL!$F$3:$F$403&lt;&gt;"")),HISTORIAL!$F$3:$F$403),"")</f>
        <v/>
      </c>
      <c r="H405" s="37" t="str">
        <f>IFERROR(LOOKUP(2,1/((HISTORIAL!$O$3:$O$403=D405&amp;"|"&amp;E405)*(HISTORIAL!$F$3:$F$403&lt;&gt;"")),HISTORIAL!$G$3:$G$403),"")</f>
        <v/>
      </c>
      <c r="I405" s="37" t="str">
        <f>IFERROR(LOOKUP(2,1/((HISTORIAL!$O$3:$O$403=D405&amp;"|"&amp;E405)*(HISTORIAL!$F$3:$F$403&lt;&gt;"")),HISTORIAL!$H$3:$H$403),"")</f>
        <v/>
      </c>
      <c r="J405" s="37" t="str">
        <f>IFERROR(LOOKUP(2,1/((HISTORIAL!$O$3:$O$403=D405&amp;"|"&amp;E405)*(HISTORIAL!$F$3:$F$403&lt;&gt;"")),HISTORIAL!$I$3:$I$403),"")</f>
        <v/>
      </c>
      <c r="K405" s="58" t="str">
        <f>IFERROR(IF(OR(G405="",N405="SIN"),"--",IF(N405="SUBIR_F",IF(F405="polea",IFERROR(INDEX(CONFIG!$B$25:$B$40,MATCH(G405,CONFIG!$B$25:$B$40,0)+2),IFERROR(INDEX(CONFIG!$B$25:$B$40,MATCH(G405,CONFIG!$B$25:$B$40,0)+1),G405)),G405+5),IF(OR(N405="SUBIR",N405="SUBIR_E"),IF(F405="polea",IFERROR(INDEX(CONFIG!$B$25:$B$40,MATCH(G405,CONFIG!$B$25:$B$40,0)+1),G405),G405+2.5),IF(N405="BAJAR",IF(F405="polea",IFERROR(INDEX(CONFIG!$B$25:$B$40,MAX(1,MATCH(G405,CONFIG!$B$25:$B$40,0)-1)),G405),MAX(0,G405-2.5)),G405)))),"--")</f>
        <v>--</v>
      </c>
      <c r="L405" s="59" t="str">
        <f>IFERROR(IF(N405="SIN","--",IF(N405="MANT",IF(H405="","--",H405+1),IFERROR(VLOOKUP(CONFIG!$E$2,CONFIG!$A$6:$E$8,2,0),"--"))),"--")</f>
        <v>--</v>
      </c>
      <c r="M405" s="59" t="str">
        <f>IFERROR(IF(N405="SIN","--",IF(CONFIG!$E$2="HIP",2,IF(CONFIG!$E$2="FUE",1,2))),"--")</f>
        <v>--</v>
      </c>
      <c r="N405" s="53" t="str">
        <f>IFERROR(IF(G405="","SIN",IF(O405=1,"SUBIR_E",IF(H405&lt;IFERROR(VLOOKUP(CONFIG!$E$2,CONFIG!$A$6:$E$8,2,0),6),"BAJAR",IF(H405+I405&gt;=IFERROR(VLOOKUP(CONFIG!$E$2,CONFIG!$A$6:$E$8,3,0),12),"SUBIR_F",IF(AND(H405&gt;=IFERROR(VLOOKUP(CONFIG!$E$2,CONFIG!$A$6:$E$8,2,0),6)+2,I405&gt;=2),"SUBIR",IF(I405&gt;IFERROR(VLOOKUP(CONFIG!$E$2,CONFIG!$A$6:$E$8,5,0),3),"SUBIR","MANT")))))),"SIN")</f>
        <v>SIN</v>
      </c>
      <c r="O405" s="55">
        <f>IF(COUNTIFS(HISTORIAL!$O$3:$O$403,D405&amp;"|"&amp;E405,HISTORIAL!$F$3:$F$403,"&gt;0")&lt;2,0,IF(COUNTIFS(HISTORIAL!$O$3:$O$403,D405&amp;"|"&amp;E405,HISTORIAL!$F$3:$F$403,IFERROR(LOOKUP(2,1/((HISTORIAL!$O$3:$O$403=D405&amp;"|"&amp;E405)*(HISTORIAL!$F$3:$F$403&gt;0)),HISTORIAL!$F$3:$F$403),0))&gt;=2,IF(IFERROR(LOOKUP(2,1/((HISTORIAL!$O$3:$O$403=D405&amp;"|"&amp;E405)*(HISTORIAL!$F$3:$F$403&gt;0)),HISTORIAL!$G$3:$G$403),0)&gt;0,IF(F405&gt;0,IF(G405&lt;=IFERROR(LOOKUP(2,1/((HISTORIAL!$O$3:$O$403=D405&amp;"|"&amp;E405)*(HISTORIAL!$F$3:$F$403&gt;0)),HISTORIAL!$G$3:$G$403),0),1,0),0),0),0))</f>
        <v>0</v>
      </c>
    </row>
    <row r="406" spans="1:15" ht="14.1" customHeight="1">
      <c r="A406" s="37">
        <v>7</v>
      </c>
      <c r="B406" s="37" t="s">
        <v>279</v>
      </c>
      <c r="C406" s="37">
        <v>3</v>
      </c>
      <c r="D406" s="56" t="str">
        <f>MIERCOLES!$A$146</f>
        <v>Curl Rumano</v>
      </c>
      <c r="E406" s="57" t="str">
        <f>MIERCOLES!$B$146</f>
        <v>Mancuernas</v>
      </c>
      <c r="F406" s="37" t="str">
        <f>MIERCOLES!$C$146</f>
        <v>mancuerna</v>
      </c>
      <c r="G406" s="37" t="str">
        <f>IFERROR(LOOKUP(2,1/((HISTORIAL!$O$3:$O$404=D406&amp;"|"&amp;E406)*(HISTORIAL!$F$3:$F$404&lt;&gt;"")),HISTORIAL!$F$3:$F$404),"")</f>
        <v/>
      </c>
      <c r="H406" s="37" t="str">
        <f>IFERROR(LOOKUP(2,1/((HISTORIAL!$O$3:$O$404=D406&amp;"|"&amp;E406)*(HISTORIAL!$F$3:$F$404&lt;&gt;"")),HISTORIAL!$G$3:$G$404),"")</f>
        <v/>
      </c>
      <c r="I406" s="37" t="str">
        <f>IFERROR(LOOKUP(2,1/((HISTORIAL!$O$3:$O$404=D406&amp;"|"&amp;E406)*(HISTORIAL!$F$3:$F$404&lt;&gt;"")),HISTORIAL!$H$3:$H$404),"")</f>
        <v/>
      </c>
      <c r="J406" s="37" t="str">
        <f>IFERROR(LOOKUP(2,1/((HISTORIAL!$O$3:$O$404=D406&amp;"|"&amp;E406)*(HISTORIAL!$F$3:$F$404&lt;&gt;"")),HISTORIAL!$I$3:$I$404),"")</f>
        <v/>
      </c>
      <c r="K406" s="58" t="str">
        <f>IFERROR(IF(OR(G406="",N406="SIN"),"--",IF(N406="SUBIR_F",IF(F406="polea",IFERROR(INDEX(CONFIG!$B$25:$B$40,MATCH(G406,CONFIG!$B$25:$B$40,0)+2),IFERROR(INDEX(CONFIG!$B$25:$B$40,MATCH(G406,CONFIG!$B$25:$B$40,0)+1),G406)),G406+5),IF(OR(N406="SUBIR",N406="SUBIR_E"),IF(F406="polea",IFERROR(INDEX(CONFIG!$B$25:$B$40,MATCH(G406,CONFIG!$B$25:$B$40,0)+1),G406),G406+2.5),IF(N406="BAJAR",IF(F406="polea",IFERROR(INDEX(CONFIG!$B$25:$B$40,MAX(1,MATCH(G406,CONFIG!$B$25:$B$40,0)-1)),G406),MAX(0,G406-2.5)),G406)))),"--")</f>
        <v>--</v>
      </c>
      <c r="L406" s="59" t="str">
        <f>IFERROR(IF(N406="SIN","--",IF(N406="MANT",IF(H406="","--",H406+1),IFERROR(VLOOKUP(CONFIG!$E$2,CONFIG!$A$6:$E$8,2,0),"--"))),"--")</f>
        <v>--</v>
      </c>
      <c r="M406" s="59" t="str">
        <f>IFERROR(IF(N406="SIN","--",IF(CONFIG!$E$2="HIP",2,IF(CONFIG!$E$2="FUE",1,2))),"--")</f>
        <v>--</v>
      </c>
      <c r="N406" s="53" t="str">
        <f>IFERROR(IF(G406="","SIN",IF(O406=1,"SUBIR_E",IF(H406&lt;IFERROR(VLOOKUP(CONFIG!$E$2,CONFIG!$A$6:$E$8,2,0),6),"BAJAR",IF(H406+I406&gt;=IFERROR(VLOOKUP(CONFIG!$E$2,CONFIG!$A$6:$E$8,3,0),12),"SUBIR_F",IF(AND(H406&gt;=IFERROR(VLOOKUP(CONFIG!$E$2,CONFIG!$A$6:$E$8,2,0),6)+2,I406&gt;=2),"SUBIR",IF(I406&gt;IFERROR(VLOOKUP(CONFIG!$E$2,CONFIG!$A$6:$E$8,5,0),3),"SUBIR","MANT")))))),"SIN")</f>
        <v>SIN</v>
      </c>
      <c r="O406" s="55">
        <f>IF(COUNTIFS(HISTORIAL!$O$3:$O$404,D406&amp;"|"&amp;E406,HISTORIAL!$F$3:$F$404,"&gt;0")&lt;2,0,IF(COUNTIFS(HISTORIAL!$O$3:$O$404,D406&amp;"|"&amp;E406,HISTORIAL!$F$3:$F$404,IFERROR(LOOKUP(2,1/((HISTORIAL!$O$3:$O$404=D406&amp;"|"&amp;E406)*(HISTORIAL!$F$3:$F$404&gt;0)),HISTORIAL!$F$3:$F$404),0))&gt;=2,IF(IFERROR(LOOKUP(2,1/((HISTORIAL!$O$3:$O$404=D406&amp;"|"&amp;E406)*(HISTORIAL!$F$3:$F$404&gt;0)),HISTORIAL!$G$3:$G$404),0)&gt;0,IF(F406&gt;0,IF(G406&lt;=IFERROR(LOOKUP(2,1/((HISTORIAL!$O$3:$O$404=D406&amp;"|"&amp;E406)*(HISTORIAL!$F$3:$F$404&gt;0)),HISTORIAL!$G$3:$G$404),0),1,0),0),0),0))</f>
        <v>0</v>
      </c>
    </row>
    <row r="407" spans="1:15" ht="14.1" customHeight="1">
      <c r="A407" s="37">
        <v>7</v>
      </c>
      <c r="B407" s="37" t="s">
        <v>279</v>
      </c>
      <c r="C407" s="37">
        <v>4</v>
      </c>
      <c r="D407" s="56" t="str">
        <f>MIERCOLES!$A$148</f>
        <v>Sentadilla</v>
      </c>
      <c r="E407" s="57" t="str">
        <f>MIERCOLES!$B$148</f>
        <v>Multipower Cuna Talones</v>
      </c>
      <c r="F407" s="37" t="str">
        <f>MIERCOLES!$C$148</f>
        <v>--</v>
      </c>
      <c r="G407" s="37" t="str">
        <f>IFERROR(LOOKUP(2,1/((HISTORIAL!$O$3:$O$405=D407&amp;"|"&amp;E407)*(HISTORIAL!$F$3:$F$405&lt;&gt;"")),HISTORIAL!$F$3:$F$405),"")</f>
        <v/>
      </c>
      <c r="H407" s="37" t="str">
        <f>IFERROR(LOOKUP(2,1/((HISTORIAL!$O$3:$O$405=D407&amp;"|"&amp;E407)*(HISTORIAL!$F$3:$F$405&lt;&gt;"")),HISTORIAL!$G$3:$G$405),"")</f>
        <v/>
      </c>
      <c r="I407" s="37" t="str">
        <f>IFERROR(LOOKUP(2,1/((HISTORIAL!$O$3:$O$405=D407&amp;"|"&amp;E407)*(HISTORIAL!$F$3:$F$405&lt;&gt;"")),HISTORIAL!$H$3:$H$405),"")</f>
        <v/>
      </c>
      <c r="J407" s="37" t="str">
        <f>IFERROR(LOOKUP(2,1/((HISTORIAL!$O$3:$O$405=D407&amp;"|"&amp;E407)*(HISTORIAL!$F$3:$F$405&lt;&gt;"")),HISTORIAL!$I$3:$I$405),"")</f>
        <v/>
      </c>
      <c r="K407" s="58" t="str">
        <f>IFERROR(IF(OR(G407="",N407="SIN"),"--",IF(N407="SUBIR_F",IF(F407="polea",IFERROR(INDEX(CONFIG!$B$25:$B$40,MATCH(G407,CONFIG!$B$25:$B$40,0)+2),IFERROR(INDEX(CONFIG!$B$25:$B$40,MATCH(G407,CONFIG!$B$25:$B$40,0)+1),G407)),G407+5),IF(OR(N407="SUBIR",N407="SUBIR_E"),IF(F407="polea",IFERROR(INDEX(CONFIG!$B$25:$B$40,MATCH(G407,CONFIG!$B$25:$B$40,0)+1),G407),G407+2.5),IF(N407="BAJAR",IF(F407="polea",IFERROR(INDEX(CONFIG!$B$25:$B$40,MAX(1,MATCH(G407,CONFIG!$B$25:$B$40,0)-1)),G407),MAX(0,G407-2.5)),G407)))),"--")</f>
        <v>--</v>
      </c>
      <c r="L407" s="59" t="str">
        <f>IFERROR(IF(N407="SIN","--",IF(N407="MANT",IF(H407="","--",H407+1),IFERROR(VLOOKUP(CONFIG!$E$2,CONFIG!$A$6:$E$8,2,0),"--"))),"--")</f>
        <v>--</v>
      </c>
      <c r="M407" s="59" t="str">
        <f>IFERROR(IF(N407="SIN","--",IF(CONFIG!$E$2="HIP",2,IF(CONFIG!$E$2="FUE",1,2))),"--")</f>
        <v>--</v>
      </c>
      <c r="N407" s="53" t="str">
        <f>IFERROR(IF(G407="","SIN",IF(O407=1,"SUBIR_E",IF(H407&lt;IFERROR(VLOOKUP(CONFIG!$E$2,CONFIG!$A$6:$E$8,2,0),6),"BAJAR",IF(H407+I407&gt;=IFERROR(VLOOKUP(CONFIG!$E$2,CONFIG!$A$6:$E$8,3,0),12),"SUBIR_F",IF(AND(H407&gt;=IFERROR(VLOOKUP(CONFIG!$E$2,CONFIG!$A$6:$E$8,2,0),6)+2,I407&gt;=2),"SUBIR",IF(I407&gt;IFERROR(VLOOKUP(CONFIG!$E$2,CONFIG!$A$6:$E$8,5,0),3),"SUBIR","MANT")))))),"SIN")</f>
        <v>SIN</v>
      </c>
      <c r="O407" s="55">
        <f>IF(COUNTIFS(HISTORIAL!$O$3:$O$405,D407&amp;"|"&amp;E407,HISTORIAL!$F$3:$F$405,"&gt;0")&lt;2,0,IF(COUNTIFS(HISTORIAL!$O$3:$O$405,D407&amp;"|"&amp;E407,HISTORIAL!$F$3:$F$405,IFERROR(LOOKUP(2,1/((HISTORIAL!$O$3:$O$405=D407&amp;"|"&amp;E407)*(HISTORIAL!$F$3:$F$405&gt;0)),HISTORIAL!$F$3:$F$405),0))&gt;=2,IF(IFERROR(LOOKUP(2,1/((HISTORIAL!$O$3:$O$405=D407&amp;"|"&amp;E407)*(HISTORIAL!$F$3:$F$405&gt;0)),HISTORIAL!$G$3:$G$405),0)&gt;0,IF(F407&gt;0,IF(G407&lt;=IFERROR(LOOKUP(2,1/((HISTORIAL!$O$3:$O$405=D407&amp;"|"&amp;E407)*(HISTORIAL!$F$3:$F$405&gt;0)),HISTORIAL!$G$3:$G$405),0),1,0),0),0),0))</f>
        <v>0</v>
      </c>
    </row>
    <row r="408" spans="1:15" ht="14.1" customHeight="1">
      <c r="A408" s="37">
        <v>7</v>
      </c>
      <c r="B408" s="37" t="s">
        <v>279</v>
      </c>
      <c r="C408" s="37">
        <v>5</v>
      </c>
      <c r="D408" s="56" t="str">
        <f>MIERCOLES!$A$149</f>
        <v>Prensa Pierna</v>
      </c>
      <c r="E408" s="57" t="str">
        <f>MIERCOLES!$B$149</f>
        <v>Individual Horizontal</v>
      </c>
      <c r="F408" s="37" t="str">
        <f>MIERCOLES!$C$149</f>
        <v>--</v>
      </c>
      <c r="G408" s="37" t="str">
        <f>IFERROR(LOOKUP(2,1/((HISTORIAL!$O$3:$O$406=D408&amp;"|"&amp;E408)*(HISTORIAL!$F$3:$F$406&lt;&gt;"")),HISTORIAL!$F$3:$F$406),"")</f>
        <v/>
      </c>
      <c r="H408" s="37" t="str">
        <f>IFERROR(LOOKUP(2,1/((HISTORIAL!$O$3:$O$406=D408&amp;"|"&amp;E408)*(HISTORIAL!$F$3:$F$406&lt;&gt;"")),HISTORIAL!$G$3:$G$406),"")</f>
        <v/>
      </c>
      <c r="I408" s="37" t="str">
        <f>IFERROR(LOOKUP(2,1/((HISTORIAL!$O$3:$O$406=D408&amp;"|"&amp;E408)*(HISTORIAL!$F$3:$F$406&lt;&gt;"")),HISTORIAL!$H$3:$H$406),"")</f>
        <v/>
      </c>
      <c r="J408" s="37" t="str">
        <f>IFERROR(LOOKUP(2,1/((HISTORIAL!$O$3:$O$406=D408&amp;"|"&amp;E408)*(HISTORIAL!$F$3:$F$406&lt;&gt;"")),HISTORIAL!$I$3:$I$406),"")</f>
        <v/>
      </c>
      <c r="K408" s="58" t="str">
        <f>IFERROR(IF(OR(G408="",N408="SIN"),"--",IF(N408="SUBIR_F",IF(F408="polea",IFERROR(INDEX(CONFIG!$B$25:$B$40,MATCH(G408,CONFIG!$B$25:$B$40,0)+2),IFERROR(INDEX(CONFIG!$B$25:$B$40,MATCH(G408,CONFIG!$B$25:$B$40,0)+1),G408)),G408+5),IF(OR(N408="SUBIR",N408="SUBIR_E"),IF(F408="polea",IFERROR(INDEX(CONFIG!$B$25:$B$40,MATCH(G408,CONFIG!$B$25:$B$40,0)+1),G408),G408+2.5),IF(N408="BAJAR",IF(F408="polea",IFERROR(INDEX(CONFIG!$B$25:$B$40,MAX(1,MATCH(G408,CONFIG!$B$25:$B$40,0)-1)),G408),MAX(0,G408-2.5)),G408)))),"--")</f>
        <v>--</v>
      </c>
      <c r="L408" s="59" t="str">
        <f>IFERROR(IF(N408="SIN","--",IF(N408="MANT",IF(H408="","--",H408+1),IFERROR(VLOOKUP(CONFIG!$E$2,CONFIG!$A$6:$E$8,2,0),"--"))),"--")</f>
        <v>--</v>
      </c>
      <c r="M408" s="59" t="str">
        <f>IFERROR(IF(N408="SIN","--",IF(CONFIG!$E$2="HIP",2,IF(CONFIG!$E$2="FUE",1,2))),"--")</f>
        <v>--</v>
      </c>
      <c r="N408" s="53" t="str">
        <f>IFERROR(IF(G408="","SIN",IF(O408=1,"SUBIR_E",IF(H408&lt;IFERROR(VLOOKUP(CONFIG!$E$2,CONFIG!$A$6:$E$8,2,0),6),"BAJAR",IF(H408+I408&gt;=IFERROR(VLOOKUP(CONFIG!$E$2,CONFIG!$A$6:$E$8,3,0),12),"SUBIR_F",IF(AND(H408&gt;=IFERROR(VLOOKUP(CONFIG!$E$2,CONFIG!$A$6:$E$8,2,0),6)+2,I408&gt;=2),"SUBIR",IF(I408&gt;IFERROR(VLOOKUP(CONFIG!$E$2,CONFIG!$A$6:$E$8,5,0),3),"SUBIR","MANT")))))),"SIN")</f>
        <v>SIN</v>
      </c>
      <c r="O408" s="55">
        <f>IF(COUNTIFS(HISTORIAL!$O$3:$O$406,D408&amp;"|"&amp;E408,HISTORIAL!$F$3:$F$406,"&gt;0")&lt;2,0,IF(COUNTIFS(HISTORIAL!$O$3:$O$406,D408&amp;"|"&amp;E408,HISTORIAL!$F$3:$F$406,IFERROR(LOOKUP(2,1/((HISTORIAL!$O$3:$O$406=D408&amp;"|"&amp;E408)*(HISTORIAL!$F$3:$F$406&gt;0)),HISTORIAL!$F$3:$F$406),0))&gt;=2,IF(IFERROR(LOOKUP(2,1/((HISTORIAL!$O$3:$O$406=D408&amp;"|"&amp;E408)*(HISTORIAL!$F$3:$F$406&gt;0)),HISTORIAL!$G$3:$G$406),0)&gt;0,IF(F408&gt;0,IF(G408&lt;=IFERROR(LOOKUP(2,1/((HISTORIAL!$O$3:$O$406=D408&amp;"|"&amp;E408)*(HISTORIAL!$F$3:$F$406&gt;0)),HISTORIAL!$G$3:$G$406),0),1,0),0),0),0))</f>
        <v>0</v>
      </c>
    </row>
    <row r="409" spans="1:15" ht="14.1" customHeight="1">
      <c r="A409" s="37">
        <v>7</v>
      </c>
      <c r="B409" s="37" t="s">
        <v>279</v>
      </c>
      <c r="C409" s="37">
        <v>6</v>
      </c>
      <c r="D409" s="56" t="str">
        <f>MIERCOLES!$A$150</f>
        <v>Extension Cuadriceps</v>
      </c>
      <c r="E409" s="57" t="str">
        <f>MIERCOLES!$B$150</f>
        <v>Vasto Externo</v>
      </c>
      <c r="F409" s="37" t="str">
        <f>MIERCOLES!$C$150</f>
        <v>--</v>
      </c>
      <c r="G409" s="37" t="str">
        <f>IFERROR(LOOKUP(2,1/((HISTORIAL!$O$3:$O$407=D409&amp;"|"&amp;E409)*(HISTORIAL!$F$3:$F$407&lt;&gt;"")),HISTORIAL!$F$3:$F$407),"")</f>
        <v/>
      </c>
      <c r="H409" s="37" t="str">
        <f>IFERROR(LOOKUP(2,1/((HISTORIAL!$O$3:$O$407=D409&amp;"|"&amp;E409)*(HISTORIAL!$F$3:$F$407&lt;&gt;"")),HISTORIAL!$G$3:$G$407),"")</f>
        <v/>
      </c>
      <c r="I409" s="37" t="str">
        <f>IFERROR(LOOKUP(2,1/((HISTORIAL!$O$3:$O$407=D409&amp;"|"&amp;E409)*(HISTORIAL!$F$3:$F$407&lt;&gt;"")),HISTORIAL!$H$3:$H$407),"")</f>
        <v/>
      </c>
      <c r="J409" s="37" t="str">
        <f>IFERROR(LOOKUP(2,1/((HISTORIAL!$O$3:$O$407=D409&amp;"|"&amp;E409)*(HISTORIAL!$F$3:$F$407&lt;&gt;"")),HISTORIAL!$I$3:$I$407),"")</f>
        <v/>
      </c>
      <c r="K409" s="58" t="str">
        <f>IFERROR(IF(OR(G409="",N409="SIN"),"--",IF(N409="SUBIR_F",IF(F409="polea",IFERROR(INDEX(CONFIG!$B$25:$B$40,MATCH(G409,CONFIG!$B$25:$B$40,0)+2),IFERROR(INDEX(CONFIG!$B$25:$B$40,MATCH(G409,CONFIG!$B$25:$B$40,0)+1),G409)),G409+5),IF(OR(N409="SUBIR",N409="SUBIR_E"),IF(F409="polea",IFERROR(INDEX(CONFIG!$B$25:$B$40,MATCH(G409,CONFIG!$B$25:$B$40,0)+1),G409),G409+2.5),IF(N409="BAJAR",IF(F409="polea",IFERROR(INDEX(CONFIG!$B$25:$B$40,MAX(1,MATCH(G409,CONFIG!$B$25:$B$40,0)-1)),G409),MAX(0,G409-2.5)),G409)))),"--")</f>
        <v>--</v>
      </c>
      <c r="L409" s="59" t="str">
        <f>IFERROR(IF(N409="SIN","--",IF(N409="MANT",IF(H409="","--",H409+1),IFERROR(VLOOKUP(CONFIG!$E$2,CONFIG!$A$6:$E$8,2,0),"--"))),"--")</f>
        <v>--</v>
      </c>
      <c r="M409" s="59" t="str">
        <f>IFERROR(IF(N409="SIN","--",IF(CONFIG!$E$2="HIP",2,IF(CONFIG!$E$2="FUE",1,2))),"--")</f>
        <v>--</v>
      </c>
      <c r="N409" s="53" t="str">
        <f>IFERROR(IF(G409="","SIN",IF(O409=1,"SUBIR_E",IF(H409&lt;IFERROR(VLOOKUP(CONFIG!$E$2,CONFIG!$A$6:$E$8,2,0),6),"BAJAR",IF(H409+I409&gt;=IFERROR(VLOOKUP(CONFIG!$E$2,CONFIG!$A$6:$E$8,3,0),12),"SUBIR_F",IF(AND(H409&gt;=IFERROR(VLOOKUP(CONFIG!$E$2,CONFIG!$A$6:$E$8,2,0),6)+2,I409&gt;=2),"SUBIR",IF(I409&gt;IFERROR(VLOOKUP(CONFIG!$E$2,CONFIG!$A$6:$E$8,5,0),3),"SUBIR","MANT")))))),"SIN")</f>
        <v>SIN</v>
      </c>
      <c r="O409" s="55">
        <f>IF(COUNTIFS(HISTORIAL!$O$3:$O$407,D409&amp;"|"&amp;E409,HISTORIAL!$F$3:$F$407,"&gt;0")&lt;2,0,IF(COUNTIFS(HISTORIAL!$O$3:$O$407,D409&amp;"|"&amp;E409,HISTORIAL!$F$3:$F$407,IFERROR(LOOKUP(2,1/((HISTORIAL!$O$3:$O$407=D409&amp;"|"&amp;E409)*(HISTORIAL!$F$3:$F$407&gt;0)),HISTORIAL!$F$3:$F$407),0))&gt;=2,IF(IFERROR(LOOKUP(2,1/((HISTORIAL!$O$3:$O$407=D409&amp;"|"&amp;E409)*(HISTORIAL!$F$3:$F$407&gt;0)),HISTORIAL!$G$3:$G$407),0)&gt;0,IF(F409&gt;0,IF(G409&lt;=IFERROR(LOOKUP(2,1/((HISTORIAL!$O$3:$O$407=D409&amp;"|"&amp;E409)*(HISTORIAL!$F$3:$F$407&gt;0)),HISTORIAL!$G$3:$G$407),0),1,0),0),0),0))</f>
        <v>0</v>
      </c>
    </row>
    <row r="410" spans="1:15" ht="14.1" customHeight="1">
      <c r="A410" s="37">
        <v>7</v>
      </c>
      <c r="B410" s="37" t="s">
        <v>279</v>
      </c>
      <c r="C410" s="37">
        <v>7</v>
      </c>
      <c r="D410" s="56" t="str">
        <f>MIERCOLES!$A$151</f>
        <v>Extension Cuadriceps</v>
      </c>
      <c r="E410" s="57" t="str">
        <f>MIERCOLES!$B$151</f>
        <v>Vasto Interno</v>
      </c>
      <c r="F410" s="37" t="str">
        <f>MIERCOLES!$C$151</f>
        <v>--</v>
      </c>
      <c r="G410" s="37" t="str">
        <f>IFERROR(LOOKUP(2,1/((HISTORIAL!$O$3:$O$408=D410&amp;"|"&amp;E410)*(HISTORIAL!$F$3:$F$408&lt;&gt;"")),HISTORIAL!$F$3:$F$408),"")</f>
        <v/>
      </c>
      <c r="H410" s="37" t="str">
        <f>IFERROR(LOOKUP(2,1/((HISTORIAL!$O$3:$O$408=D410&amp;"|"&amp;E410)*(HISTORIAL!$F$3:$F$408&lt;&gt;"")),HISTORIAL!$G$3:$G$408),"")</f>
        <v/>
      </c>
      <c r="I410" s="37" t="str">
        <f>IFERROR(LOOKUP(2,1/((HISTORIAL!$O$3:$O$408=D410&amp;"|"&amp;E410)*(HISTORIAL!$F$3:$F$408&lt;&gt;"")),HISTORIAL!$H$3:$H$408),"")</f>
        <v/>
      </c>
      <c r="J410" s="37" t="str">
        <f>IFERROR(LOOKUP(2,1/((HISTORIAL!$O$3:$O$408=D410&amp;"|"&amp;E410)*(HISTORIAL!$F$3:$F$408&lt;&gt;"")),HISTORIAL!$I$3:$I$408),"")</f>
        <v/>
      </c>
      <c r="K410" s="58" t="str">
        <f>IFERROR(IF(OR(G410="",N410="SIN"),"--",IF(N410="SUBIR_F",IF(F410="polea",IFERROR(INDEX(CONFIG!$B$25:$B$40,MATCH(G410,CONFIG!$B$25:$B$40,0)+2),IFERROR(INDEX(CONFIG!$B$25:$B$40,MATCH(G410,CONFIG!$B$25:$B$40,0)+1),G410)),G410+5),IF(OR(N410="SUBIR",N410="SUBIR_E"),IF(F410="polea",IFERROR(INDEX(CONFIG!$B$25:$B$40,MATCH(G410,CONFIG!$B$25:$B$40,0)+1),G410),G410+2.5),IF(N410="BAJAR",IF(F410="polea",IFERROR(INDEX(CONFIG!$B$25:$B$40,MAX(1,MATCH(G410,CONFIG!$B$25:$B$40,0)-1)),G410),MAX(0,G410-2.5)),G410)))),"--")</f>
        <v>--</v>
      </c>
      <c r="L410" s="59" t="str">
        <f>IFERROR(IF(N410="SIN","--",IF(N410="MANT",IF(H410="","--",H410+1),IFERROR(VLOOKUP(CONFIG!$E$2,CONFIG!$A$6:$E$8,2,0),"--"))),"--")</f>
        <v>--</v>
      </c>
      <c r="M410" s="59" t="str">
        <f>IFERROR(IF(N410="SIN","--",IF(CONFIG!$E$2="HIP",2,IF(CONFIG!$E$2="FUE",1,2))),"--")</f>
        <v>--</v>
      </c>
      <c r="N410" s="53" t="str">
        <f>IFERROR(IF(G410="","SIN",IF(O410=1,"SUBIR_E",IF(H410&lt;IFERROR(VLOOKUP(CONFIG!$E$2,CONFIG!$A$6:$E$8,2,0),6),"BAJAR",IF(H410+I410&gt;=IFERROR(VLOOKUP(CONFIG!$E$2,CONFIG!$A$6:$E$8,3,0),12),"SUBIR_F",IF(AND(H410&gt;=IFERROR(VLOOKUP(CONFIG!$E$2,CONFIG!$A$6:$E$8,2,0),6)+2,I410&gt;=2),"SUBIR",IF(I410&gt;IFERROR(VLOOKUP(CONFIG!$E$2,CONFIG!$A$6:$E$8,5,0),3),"SUBIR","MANT")))))),"SIN")</f>
        <v>SIN</v>
      </c>
      <c r="O410" s="55">
        <f>IF(COUNTIFS(HISTORIAL!$O$3:$O$408,D410&amp;"|"&amp;E410,HISTORIAL!$F$3:$F$408,"&gt;0")&lt;2,0,IF(COUNTIFS(HISTORIAL!$O$3:$O$408,D410&amp;"|"&amp;E410,HISTORIAL!$F$3:$F$408,IFERROR(LOOKUP(2,1/((HISTORIAL!$O$3:$O$408=D410&amp;"|"&amp;E410)*(HISTORIAL!$F$3:$F$408&gt;0)),HISTORIAL!$F$3:$F$408),0))&gt;=2,IF(IFERROR(LOOKUP(2,1/((HISTORIAL!$O$3:$O$408=D410&amp;"|"&amp;E410)*(HISTORIAL!$F$3:$F$408&gt;0)),HISTORIAL!$G$3:$G$408),0)&gt;0,IF(F410&gt;0,IF(G410&lt;=IFERROR(LOOKUP(2,1/((HISTORIAL!$O$3:$O$408=D410&amp;"|"&amp;E410)*(HISTORIAL!$F$3:$F$408&gt;0)),HISTORIAL!$G$3:$G$408),0),1,0),0),0),0))</f>
        <v>0</v>
      </c>
    </row>
    <row r="411" spans="1:15" ht="14.1" customHeight="1">
      <c r="A411" s="37">
        <v>7</v>
      </c>
      <c r="B411" s="37" t="s">
        <v>279</v>
      </c>
      <c r="C411" s="37">
        <v>8</v>
      </c>
      <c r="D411" s="56" t="str">
        <f>MIERCOLES!$A$153</f>
        <v>Elevacion Gemelo</v>
      </c>
      <c r="E411" s="57" t="str">
        <f>MIERCOLES!$B$153</f>
        <v>Sentado</v>
      </c>
      <c r="F411" s="37" t="str">
        <f>MIERCOLES!$C$153</f>
        <v>disco</v>
      </c>
      <c r="G411" s="37" t="str">
        <f>IFERROR(LOOKUP(2,1/((HISTORIAL!$O$3:$O$409=D411&amp;"|"&amp;E411)*(HISTORIAL!$F$3:$F$409&lt;&gt;"")),HISTORIAL!$F$3:$F$409),"")</f>
        <v/>
      </c>
      <c r="H411" s="37" t="str">
        <f>IFERROR(LOOKUP(2,1/((HISTORIAL!$O$3:$O$409=D411&amp;"|"&amp;E411)*(HISTORIAL!$F$3:$F$409&lt;&gt;"")),HISTORIAL!$G$3:$G$409),"")</f>
        <v/>
      </c>
      <c r="I411" s="37" t="str">
        <f>IFERROR(LOOKUP(2,1/((HISTORIAL!$O$3:$O$409=D411&amp;"|"&amp;E411)*(HISTORIAL!$F$3:$F$409&lt;&gt;"")),HISTORIAL!$H$3:$H$409),"")</f>
        <v/>
      </c>
      <c r="J411" s="37" t="str">
        <f>IFERROR(LOOKUP(2,1/((HISTORIAL!$O$3:$O$409=D411&amp;"|"&amp;E411)*(HISTORIAL!$F$3:$F$409&lt;&gt;"")),HISTORIAL!$I$3:$I$409),"")</f>
        <v/>
      </c>
      <c r="K411" s="58" t="str">
        <f>IFERROR(IF(OR(G411="",N411="SIN"),"--",IF(N411="SUBIR_F",IF(F411="polea",IFERROR(INDEX(CONFIG!$B$25:$B$40,MATCH(G411,CONFIG!$B$25:$B$40,0)+2),IFERROR(INDEX(CONFIG!$B$25:$B$40,MATCH(G411,CONFIG!$B$25:$B$40,0)+1),G411)),G411+5),IF(OR(N411="SUBIR",N411="SUBIR_E"),IF(F411="polea",IFERROR(INDEX(CONFIG!$B$25:$B$40,MATCH(G411,CONFIG!$B$25:$B$40,0)+1),G411),G411+2.5),IF(N411="BAJAR",IF(F411="polea",IFERROR(INDEX(CONFIG!$B$25:$B$40,MAX(1,MATCH(G411,CONFIG!$B$25:$B$40,0)-1)),G411),MAX(0,G411-2.5)),G411)))),"--")</f>
        <v>--</v>
      </c>
      <c r="L411" s="59" t="str">
        <f>IFERROR(IF(N411="SIN","--",IF(N411="MANT",IF(H411="","--",H411+1),IFERROR(VLOOKUP(CONFIG!$E$2,CONFIG!$A$6:$E$8,2,0),"--"))),"--")</f>
        <v>--</v>
      </c>
      <c r="M411" s="59" t="str">
        <f>IFERROR(IF(N411="SIN","--",IF(CONFIG!$E$2="HIP",2,IF(CONFIG!$E$2="FUE",1,2))),"--")</f>
        <v>--</v>
      </c>
      <c r="N411" s="53" t="str">
        <f>IFERROR(IF(G411="","SIN",IF(O411=1,"SUBIR_E",IF(H411&lt;IFERROR(VLOOKUP(CONFIG!$E$2,CONFIG!$A$6:$E$8,2,0),6),"BAJAR",IF(H411+I411&gt;=IFERROR(VLOOKUP(CONFIG!$E$2,CONFIG!$A$6:$E$8,3,0),12),"SUBIR_F",IF(AND(H411&gt;=IFERROR(VLOOKUP(CONFIG!$E$2,CONFIG!$A$6:$E$8,2,0),6)+2,I411&gt;=2),"SUBIR",IF(I411&gt;IFERROR(VLOOKUP(CONFIG!$E$2,CONFIG!$A$6:$E$8,5,0),3),"SUBIR","MANT")))))),"SIN")</f>
        <v>SIN</v>
      </c>
      <c r="O411" s="55">
        <f>IF(COUNTIFS(HISTORIAL!$O$3:$O$409,D411&amp;"|"&amp;E411,HISTORIAL!$F$3:$F$409,"&gt;0")&lt;2,0,IF(COUNTIFS(HISTORIAL!$O$3:$O$409,D411&amp;"|"&amp;E411,HISTORIAL!$F$3:$F$409,IFERROR(LOOKUP(2,1/((HISTORIAL!$O$3:$O$409=D411&amp;"|"&amp;E411)*(HISTORIAL!$F$3:$F$409&gt;0)),HISTORIAL!$F$3:$F$409),0))&gt;=2,IF(IFERROR(LOOKUP(2,1/((HISTORIAL!$O$3:$O$409=D411&amp;"|"&amp;E411)*(HISTORIAL!$F$3:$F$409&gt;0)),HISTORIAL!$G$3:$G$409),0)&gt;0,IF(F411&gt;0,IF(G411&lt;=IFERROR(LOOKUP(2,1/((HISTORIAL!$O$3:$O$409=D411&amp;"|"&amp;E411)*(HISTORIAL!$F$3:$F$409&gt;0)),HISTORIAL!$G$3:$G$409),0),1,0),0),0),0))</f>
        <v>0</v>
      </c>
    </row>
    <row r="412" spans="1:15" ht="14.1" customHeight="1">
      <c r="A412" s="37">
        <v>7</v>
      </c>
      <c r="B412" s="37" t="s">
        <v>279</v>
      </c>
      <c r="C412" s="37">
        <v>9</v>
      </c>
      <c r="D412" s="56" t="str">
        <f>MIERCOLES!$A$154</f>
        <v>Elevacion Gemelo</v>
      </c>
      <c r="E412" s="57" t="str">
        <f>MIERCOLES!$B$154</f>
        <v>De Pie</v>
      </c>
      <c r="F412" s="37" t="str">
        <f>MIERCOLES!$C$154</f>
        <v>disco</v>
      </c>
      <c r="G412" s="37" t="str">
        <f>IFERROR(LOOKUP(2,1/((HISTORIAL!$O$3:$O$410=D412&amp;"|"&amp;E412)*(HISTORIAL!$F$3:$F$410&lt;&gt;"")),HISTORIAL!$F$3:$F$410),"")</f>
        <v/>
      </c>
      <c r="H412" s="37" t="str">
        <f>IFERROR(LOOKUP(2,1/((HISTORIAL!$O$3:$O$410=D412&amp;"|"&amp;E412)*(HISTORIAL!$F$3:$F$410&lt;&gt;"")),HISTORIAL!$G$3:$G$410),"")</f>
        <v/>
      </c>
      <c r="I412" s="37" t="str">
        <f>IFERROR(LOOKUP(2,1/((HISTORIAL!$O$3:$O$410=D412&amp;"|"&amp;E412)*(HISTORIAL!$F$3:$F$410&lt;&gt;"")),HISTORIAL!$H$3:$H$410),"")</f>
        <v/>
      </c>
      <c r="J412" s="37" t="str">
        <f>IFERROR(LOOKUP(2,1/((HISTORIAL!$O$3:$O$410=D412&amp;"|"&amp;E412)*(HISTORIAL!$F$3:$F$410&lt;&gt;"")),HISTORIAL!$I$3:$I$410),"")</f>
        <v/>
      </c>
      <c r="K412" s="58" t="str">
        <f>IFERROR(IF(OR(G412="",N412="SIN"),"--",IF(N412="SUBIR_F",IF(F412="polea",IFERROR(INDEX(CONFIG!$B$25:$B$40,MATCH(G412,CONFIG!$B$25:$B$40,0)+2),IFERROR(INDEX(CONFIG!$B$25:$B$40,MATCH(G412,CONFIG!$B$25:$B$40,0)+1),G412)),G412+5),IF(OR(N412="SUBIR",N412="SUBIR_E"),IF(F412="polea",IFERROR(INDEX(CONFIG!$B$25:$B$40,MATCH(G412,CONFIG!$B$25:$B$40,0)+1),G412),G412+2.5),IF(N412="BAJAR",IF(F412="polea",IFERROR(INDEX(CONFIG!$B$25:$B$40,MAX(1,MATCH(G412,CONFIG!$B$25:$B$40,0)-1)),G412),MAX(0,G412-2.5)),G412)))),"--")</f>
        <v>--</v>
      </c>
      <c r="L412" s="59" t="str">
        <f>IFERROR(IF(N412="SIN","--",IF(N412="MANT",IF(H412="","--",H412+1),IFERROR(VLOOKUP(CONFIG!$E$2,CONFIG!$A$6:$E$8,2,0),"--"))),"--")</f>
        <v>--</v>
      </c>
      <c r="M412" s="59" t="str">
        <f>IFERROR(IF(N412="SIN","--",IF(CONFIG!$E$2="HIP",2,IF(CONFIG!$E$2="FUE",1,2))),"--")</f>
        <v>--</v>
      </c>
      <c r="N412" s="53" t="str">
        <f>IFERROR(IF(G412="","SIN",IF(O412=1,"SUBIR_E",IF(H412&lt;IFERROR(VLOOKUP(CONFIG!$E$2,CONFIG!$A$6:$E$8,2,0),6),"BAJAR",IF(H412+I412&gt;=IFERROR(VLOOKUP(CONFIG!$E$2,CONFIG!$A$6:$E$8,3,0),12),"SUBIR_F",IF(AND(H412&gt;=IFERROR(VLOOKUP(CONFIG!$E$2,CONFIG!$A$6:$E$8,2,0),6)+2,I412&gt;=2),"SUBIR",IF(I412&gt;IFERROR(VLOOKUP(CONFIG!$E$2,CONFIG!$A$6:$E$8,5,0),3),"SUBIR","MANT")))))),"SIN")</f>
        <v>SIN</v>
      </c>
      <c r="O412" s="55">
        <f>IF(COUNTIFS(HISTORIAL!$O$3:$O$410,D412&amp;"|"&amp;E412,HISTORIAL!$F$3:$F$410,"&gt;0")&lt;2,0,IF(COUNTIFS(HISTORIAL!$O$3:$O$410,D412&amp;"|"&amp;E412,HISTORIAL!$F$3:$F$410,IFERROR(LOOKUP(2,1/((HISTORIAL!$O$3:$O$410=D412&amp;"|"&amp;E412)*(HISTORIAL!$F$3:$F$410&gt;0)),HISTORIAL!$F$3:$F$410),0))&gt;=2,IF(IFERROR(LOOKUP(2,1/((HISTORIAL!$O$3:$O$410=D412&amp;"|"&amp;E412)*(HISTORIAL!$F$3:$F$410&gt;0)),HISTORIAL!$G$3:$G$410),0)&gt;0,IF(F412&gt;0,IF(G412&lt;=IFERROR(LOOKUP(2,1/((HISTORIAL!$O$3:$O$410=D412&amp;"|"&amp;E412)*(HISTORIAL!$F$3:$F$410&gt;0)),HISTORIAL!$G$3:$G$410),0),1,0),0),0),0))</f>
        <v>0</v>
      </c>
    </row>
    <row r="413" spans="1:15" ht="14.1" customHeight="1">
      <c r="A413" s="37">
        <v>7</v>
      </c>
      <c r="B413" s="37" t="s">
        <v>279</v>
      </c>
      <c r="C413" s="37">
        <v>10</v>
      </c>
      <c r="D413" s="56" t="str">
        <f>MIERCOLES!$A$156</f>
        <v>Hiperextension</v>
      </c>
      <c r="E413" s="57" t="str">
        <f>MIERCOLES!$B$156</f>
        <v>Banco Romano</v>
      </c>
      <c r="F413" s="37" t="str">
        <f>MIERCOLES!$C$156</f>
        <v>peso_corporal</v>
      </c>
      <c r="G413" s="37" t="str">
        <f>IFERROR(LOOKUP(2,1/((HISTORIAL!$O$3:$O$411=D413&amp;"|"&amp;E413)*(HISTORIAL!$F$3:$F$411&lt;&gt;"")),HISTORIAL!$F$3:$F$411),"")</f>
        <v/>
      </c>
      <c r="H413" s="37" t="str">
        <f>IFERROR(LOOKUP(2,1/((HISTORIAL!$O$3:$O$411=D413&amp;"|"&amp;E413)*(HISTORIAL!$F$3:$F$411&lt;&gt;"")),HISTORIAL!$G$3:$G$411),"")</f>
        <v/>
      </c>
      <c r="I413" s="37" t="str">
        <f>IFERROR(LOOKUP(2,1/((HISTORIAL!$O$3:$O$411=D413&amp;"|"&amp;E413)*(HISTORIAL!$F$3:$F$411&lt;&gt;"")),HISTORIAL!$H$3:$H$411),"")</f>
        <v/>
      </c>
      <c r="J413" s="37" t="str">
        <f>IFERROR(LOOKUP(2,1/((HISTORIAL!$O$3:$O$411=D413&amp;"|"&amp;E413)*(HISTORIAL!$F$3:$F$411&lt;&gt;"")),HISTORIAL!$I$3:$I$411),"")</f>
        <v/>
      </c>
      <c r="K413" s="58" t="str">
        <f>IFERROR(IF(OR(G413="",N413="SIN"),"--",IF(N413="SUBIR_F",IF(F413="polea",IFERROR(INDEX(CONFIG!$B$25:$B$40,MATCH(G413,CONFIG!$B$25:$B$40,0)+2),IFERROR(INDEX(CONFIG!$B$25:$B$40,MATCH(G413,CONFIG!$B$25:$B$40,0)+1),G413)),G413+5),IF(OR(N413="SUBIR",N413="SUBIR_E"),IF(F413="polea",IFERROR(INDEX(CONFIG!$B$25:$B$40,MATCH(G413,CONFIG!$B$25:$B$40,0)+1),G413),G413+2.5),IF(N413="BAJAR",IF(F413="polea",IFERROR(INDEX(CONFIG!$B$25:$B$40,MAX(1,MATCH(G413,CONFIG!$B$25:$B$40,0)-1)),G413),MAX(0,G413-2.5)),G413)))),"--")</f>
        <v>--</v>
      </c>
      <c r="L413" s="59" t="str">
        <f>IFERROR(IF(N413="SIN","--",IF(N413="MANT",IF(H413="","--",H413+1),IFERROR(VLOOKUP(CONFIG!$E$2,CONFIG!$A$6:$E$8,2,0),"--"))),"--")</f>
        <v>--</v>
      </c>
      <c r="M413" s="59" t="str">
        <f>IFERROR(IF(N413="SIN","--",IF(CONFIG!$E$2="HIP",2,IF(CONFIG!$E$2="FUE",1,2))),"--")</f>
        <v>--</v>
      </c>
      <c r="N413" s="53" t="str">
        <f>IFERROR(IF(G413="","SIN",IF(O413=1,"SUBIR_E",IF(H413&lt;IFERROR(VLOOKUP(CONFIG!$E$2,CONFIG!$A$6:$E$8,2,0),6),"BAJAR",IF(H413+I413&gt;=IFERROR(VLOOKUP(CONFIG!$E$2,CONFIG!$A$6:$E$8,3,0),12),"SUBIR_F",IF(AND(H413&gt;=IFERROR(VLOOKUP(CONFIG!$E$2,CONFIG!$A$6:$E$8,2,0),6)+2,I413&gt;=2),"SUBIR",IF(I413&gt;IFERROR(VLOOKUP(CONFIG!$E$2,CONFIG!$A$6:$E$8,5,0),3),"SUBIR","MANT")))))),"SIN")</f>
        <v>SIN</v>
      </c>
      <c r="O413" s="55">
        <f>IF(COUNTIFS(HISTORIAL!$O$3:$O$411,D413&amp;"|"&amp;E413,HISTORIAL!$F$3:$F$411,"&gt;0")&lt;2,0,IF(COUNTIFS(HISTORIAL!$O$3:$O$411,D413&amp;"|"&amp;E413,HISTORIAL!$F$3:$F$411,IFERROR(LOOKUP(2,1/((HISTORIAL!$O$3:$O$411=D413&amp;"|"&amp;E413)*(HISTORIAL!$F$3:$F$411&gt;0)),HISTORIAL!$F$3:$F$411),0))&gt;=2,IF(IFERROR(LOOKUP(2,1/((HISTORIAL!$O$3:$O$411=D413&amp;"|"&amp;E413)*(HISTORIAL!$F$3:$F$411&gt;0)),HISTORIAL!$G$3:$G$411),0)&gt;0,IF(F413&gt;0,IF(G413&lt;=IFERROR(LOOKUP(2,1/((HISTORIAL!$O$3:$O$411=D413&amp;"|"&amp;E413)*(HISTORIAL!$F$3:$F$411&gt;0)),HISTORIAL!$G$3:$G$411),0),1,0),0),0),0))</f>
        <v>0</v>
      </c>
    </row>
    <row r="414" spans="1:15" ht="14.1" customHeight="1">
      <c r="A414" s="37">
        <v>7</v>
      </c>
      <c r="B414" s="37" t="s">
        <v>279</v>
      </c>
      <c r="C414" s="37">
        <v>11</v>
      </c>
      <c r="D414" s="56" t="str">
        <f>MIERCOLES!$A$157</f>
        <v>Peso Muerto Parcial</v>
      </c>
      <c r="E414" s="57" t="str">
        <f>MIERCOLES!$B$157</f>
        <v>Barra</v>
      </c>
      <c r="F414" s="37" t="str">
        <f>MIERCOLES!$C$157</f>
        <v>disco</v>
      </c>
      <c r="G414" s="37" t="str">
        <f>IFERROR(LOOKUP(2,1/((HISTORIAL!$O$3:$O$412=D414&amp;"|"&amp;E414)*(HISTORIAL!$F$3:$F$412&lt;&gt;"")),HISTORIAL!$F$3:$F$412),"")</f>
        <v/>
      </c>
      <c r="H414" s="37" t="str">
        <f>IFERROR(LOOKUP(2,1/((HISTORIAL!$O$3:$O$412=D414&amp;"|"&amp;E414)*(HISTORIAL!$F$3:$F$412&lt;&gt;"")),HISTORIAL!$G$3:$G$412),"")</f>
        <v/>
      </c>
      <c r="I414" s="37" t="str">
        <f>IFERROR(LOOKUP(2,1/((HISTORIAL!$O$3:$O$412=D414&amp;"|"&amp;E414)*(HISTORIAL!$F$3:$F$412&lt;&gt;"")),HISTORIAL!$H$3:$H$412),"")</f>
        <v/>
      </c>
      <c r="J414" s="37" t="str">
        <f>IFERROR(LOOKUP(2,1/((HISTORIAL!$O$3:$O$412=D414&amp;"|"&amp;E414)*(HISTORIAL!$F$3:$F$412&lt;&gt;"")),HISTORIAL!$I$3:$I$412),"")</f>
        <v/>
      </c>
      <c r="K414" s="58" t="str">
        <f>IFERROR(IF(OR(G414="",N414="SIN"),"--",IF(N414="SUBIR_F",IF(F414="polea",IFERROR(INDEX(CONFIG!$B$25:$B$40,MATCH(G414,CONFIG!$B$25:$B$40,0)+2),IFERROR(INDEX(CONFIG!$B$25:$B$40,MATCH(G414,CONFIG!$B$25:$B$40,0)+1),G414)),G414+5),IF(OR(N414="SUBIR",N414="SUBIR_E"),IF(F414="polea",IFERROR(INDEX(CONFIG!$B$25:$B$40,MATCH(G414,CONFIG!$B$25:$B$40,0)+1),G414),G414+2.5),IF(N414="BAJAR",IF(F414="polea",IFERROR(INDEX(CONFIG!$B$25:$B$40,MAX(1,MATCH(G414,CONFIG!$B$25:$B$40,0)-1)),G414),MAX(0,G414-2.5)),G414)))),"--")</f>
        <v>--</v>
      </c>
      <c r="L414" s="59" t="str">
        <f>IFERROR(IF(N414="SIN","--",IF(N414="MANT",IF(H414="","--",H414+1),IFERROR(VLOOKUP(CONFIG!$E$2,CONFIG!$A$6:$E$8,2,0),"--"))),"--")</f>
        <v>--</v>
      </c>
      <c r="M414" s="59" t="str">
        <f>IFERROR(IF(N414="SIN","--",IF(CONFIG!$E$2="HIP",2,IF(CONFIG!$E$2="FUE",1,2))),"--")</f>
        <v>--</v>
      </c>
      <c r="N414" s="53" t="str">
        <f>IFERROR(IF(G414="","SIN",IF(O414=1,"SUBIR_E",IF(H414&lt;IFERROR(VLOOKUP(CONFIG!$E$2,CONFIG!$A$6:$E$8,2,0),6),"BAJAR",IF(H414+I414&gt;=IFERROR(VLOOKUP(CONFIG!$E$2,CONFIG!$A$6:$E$8,3,0),12),"SUBIR_F",IF(AND(H414&gt;=IFERROR(VLOOKUP(CONFIG!$E$2,CONFIG!$A$6:$E$8,2,0),6)+2,I414&gt;=2),"SUBIR",IF(I414&gt;IFERROR(VLOOKUP(CONFIG!$E$2,CONFIG!$A$6:$E$8,5,0),3),"SUBIR","MANT")))))),"SIN")</f>
        <v>SIN</v>
      </c>
      <c r="O414" s="55">
        <f>IF(COUNTIFS(HISTORIAL!$O$3:$O$412,D414&amp;"|"&amp;E414,HISTORIAL!$F$3:$F$412,"&gt;0")&lt;2,0,IF(COUNTIFS(HISTORIAL!$O$3:$O$412,D414&amp;"|"&amp;E414,HISTORIAL!$F$3:$F$412,IFERROR(LOOKUP(2,1/((HISTORIAL!$O$3:$O$412=D414&amp;"|"&amp;E414)*(HISTORIAL!$F$3:$F$412&gt;0)),HISTORIAL!$F$3:$F$412),0))&gt;=2,IF(IFERROR(LOOKUP(2,1/((HISTORIAL!$O$3:$O$412=D414&amp;"|"&amp;E414)*(HISTORIAL!$F$3:$F$412&gt;0)),HISTORIAL!$G$3:$G$412),0)&gt;0,IF(F414&gt;0,IF(G414&lt;=IFERROR(LOOKUP(2,1/((HISTORIAL!$O$3:$O$412=D414&amp;"|"&amp;E414)*(HISTORIAL!$F$3:$F$412&gt;0)),HISTORIAL!$G$3:$G$412),0),1,0),0),0),0))</f>
        <v>0</v>
      </c>
    </row>
    <row r="415" spans="1:15" ht="14.1" customHeight="1">
      <c r="A415" s="37">
        <v>7</v>
      </c>
      <c r="B415" s="37" t="s">
        <v>279</v>
      </c>
      <c r="C415" s="37">
        <v>12</v>
      </c>
      <c r="D415" s="56" t="str">
        <f>MIERCOLES!$A$159</f>
        <v>Crunch</v>
      </c>
      <c r="E415" s="57" t="str">
        <f>MIERCOLES!$B$159</f>
        <v>Polea</v>
      </c>
      <c r="F415" s="37" t="str">
        <f>MIERCOLES!$C$159</f>
        <v>polea</v>
      </c>
      <c r="G415" s="37" t="str">
        <f>IFERROR(LOOKUP(2,1/((HISTORIAL!$O$3:$O$413=D415&amp;"|"&amp;E415)*(HISTORIAL!$F$3:$F$413&lt;&gt;"")),HISTORIAL!$F$3:$F$413),"")</f>
        <v/>
      </c>
      <c r="H415" s="37" t="str">
        <f>IFERROR(LOOKUP(2,1/((HISTORIAL!$O$3:$O$413=D415&amp;"|"&amp;E415)*(HISTORIAL!$F$3:$F$413&lt;&gt;"")),HISTORIAL!$G$3:$G$413),"")</f>
        <v/>
      </c>
      <c r="I415" s="37" t="str">
        <f>IFERROR(LOOKUP(2,1/((HISTORIAL!$O$3:$O$413=D415&amp;"|"&amp;E415)*(HISTORIAL!$F$3:$F$413&lt;&gt;"")),HISTORIAL!$H$3:$H$413),"")</f>
        <v/>
      </c>
      <c r="J415" s="37" t="str">
        <f>IFERROR(LOOKUP(2,1/((HISTORIAL!$O$3:$O$413=D415&amp;"|"&amp;E415)*(HISTORIAL!$F$3:$F$413&lt;&gt;"")),HISTORIAL!$I$3:$I$413),"")</f>
        <v/>
      </c>
      <c r="K415" s="58" t="str">
        <f>IFERROR(IF(OR(G415="",N415="SIN"),"--",IF(N415="SUBIR_F",IF(F415="polea",IFERROR(INDEX(CONFIG!$B$25:$B$40,MATCH(G415,CONFIG!$B$25:$B$40,0)+2),IFERROR(INDEX(CONFIG!$B$25:$B$40,MATCH(G415,CONFIG!$B$25:$B$40,0)+1),G415)),G415+5),IF(OR(N415="SUBIR",N415="SUBIR_E"),IF(F415="polea",IFERROR(INDEX(CONFIG!$B$25:$B$40,MATCH(G415,CONFIG!$B$25:$B$40,0)+1),G415),G415+2.5),IF(N415="BAJAR",IF(F415="polea",IFERROR(INDEX(CONFIG!$B$25:$B$40,MAX(1,MATCH(G415,CONFIG!$B$25:$B$40,0)-1)),G415),MAX(0,G415-2.5)),G415)))),"--")</f>
        <v>--</v>
      </c>
      <c r="L415" s="59" t="str">
        <f>IFERROR(IF(N415="SIN","--",IF(N415="MANT",IF(H415="","--",H415+1),IFERROR(VLOOKUP(CONFIG!$E$2,CONFIG!$A$6:$E$8,2,0),"--"))),"--")</f>
        <v>--</v>
      </c>
      <c r="M415" s="59" t="str">
        <f>IFERROR(IF(N415="SIN","--",IF(CONFIG!$E$2="HIP",2,IF(CONFIG!$E$2="FUE",1,2))),"--")</f>
        <v>--</v>
      </c>
      <c r="N415" s="53" t="str">
        <f>IFERROR(IF(G415="","SIN",IF(O415=1,"SUBIR_E",IF(H415&lt;IFERROR(VLOOKUP(CONFIG!$E$2,CONFIG!$A$6:$E$8,2,0),6),"BAJAR",IF(H415+I415&gt;=IFERROR(VLOOKUP(CONFIG!$E$2,CONFIG!$A$6:$E$8,3,0),12),"SUBIR_F",IF(AND(H415&gt;=IFERROR(VLOOKUP(CONFIG!$E$2,CONFIG!$A$6:$E$8,2,0),6)+2,I415&gt;=2),"SUBIR",IF(I415&gt;IFERROR(VLOOKUP(CONFIG!$E$2,CONFIG!$A$6:$E$8,5,0),3),"SUBIR","MANT")))))),"SIN")</f>
        <v>SIN</v>
      </c>
      <c r="O415" s="55">
        <f>IF(COUNTIFS(HISTORIAL!$O$3:$O$413,D415&amp;"|"&amp;E415,HISTORIAL!$F$3:$F$413,"&gt;0")&lt;2,0,IF(COUNTIFS(HISTORIAL!$O$3:$O$413,D415&amp;"|"&amp;E415,HISTORIAL!$F$3:$F$413,IFERROR(LOOKUP(2,1/((HISTORIAL!$O$3:$O$413=D415&amp;"|"&amp;E415)*(HISTORIAL!$F$3:$F$413&gt;0)),HISTORIAL!$F$3:$F$413),0))&gt;=2,IF(IFERROR(LOOKUP(2,1/((HISTORIAL!$O$3:$O$413=D415&amp;"|"&amp;E415)*(HISTORIAL!$F$3:$F$413&gt;0)),HISTORIAL!$G$3:$G$413),0)&gt;0,IF(F415&gt;0,IF(G415&lt;=IFERROR(LOOKUP(2,1/((HISTORIAL!$O$3:$O$413=D415&amp;"|"&amp;E415)*(HISTORIAL!$F$3:$F$413&gt;0)),HISTORIAL!$G$3:$G$413),0),1,0),0),0),0))</f>
        <v>0</v>
      </c>
    </row>
    <row r="416" spans="1:15" ht="14.1" customHeight="1">
      <c r="A416" s="37">
        <v>7</v>
      </c>
      <c r="B416" s="37" t="s">
        <v>279</v>
      </c>
      <c r="C416" s="37">
        <v>13</v>
      </c>
      <c r="D416" s="56" t="str">
        <f>MIERCOLES!$A$160</f>
        <v>Plancha</v>
      </c>
      <c r="E416" s="57" t="str">
        <f>MIERCOLES!$B$160</f>
        <v>Abdominal</v>
      </c>
      <c r="F416" s="37" t="str">
        <f>MIERCOLES!$C$160</f>
        <v>--</v>
      </c>
      <c r="G416" s="37" t="str">
        <f>IFERROR(LOOKUP(2,1/((HISTORIAL!$O$3:$O$414=D416&amp;"|"&amp;E416)*(HISTORIAL!$F$3:$F$414&lt;&gt;"")),HISTORIAL!$F$3:$F$414),"")</f>
        <v/>
      </c>
      <c r="H416" s="37" t="str">
        <f>IFERROR(LOOKUP(2,1/((HISTORIAL!$O$3:$O$414=D416&amp;"|"&amp;E416)*(HISTORIAL!$F$3:$F$414&lt;&gt;"")),HISTORIAL!$G$3:$G$414),"")</f>
        <v/>
      </c>
      <c r="I416" s="37" t="str">
        <f>IFERROR(LOOKUP(2,1/((HISTORIAL!$O$3:$O$414=D416&amp;"|"&amp;E416)*(HISTORIAL!$F$3:$F$414&lt;&gt;"")),HISTORIAL!$H$3:$H$414),"")</f>
        <v/>
      </c>
      <c r="J416" s="37" t="str">
        <f>IFERROR(LOOKUP(2,1/((HISTORIAL!$O$3:$O$414=D416&amp;"|"&amp;E416)*(HISTORIAL!$F$3:$F$414&lt;&gt;"")),HISTORIAL!$I$3:$I$414),"")</f>
        <v/>
      </c>
      <c r="K416" s="58" t="str">
        <f>IFERROR(IF(OR(G416="",N416="SIN"),"--",IF(N416="SUBIR_F",IF(F416="polea",IFERROR(INDEX(CONFIG!$B$25:$B$40,MATCH(G416,CONFIG!$B$25:$B$40,0)+2),IFERROR(INDEX(CONFIG!$B$25:$B$40,MATCH(G416,CONFIG!$B$25:$B$40,0)+1),G416)),G416+5),IF(OR(N416="SUBIR",N416="SUBIR_E"),IF(F416="polea",IFERROR(INDEX(CONFIG!$B$25:$B$40,MATCH(G416,CONFIG!$B$25:$B$40,0)+1),G416),G416+2.5),IF(N416="BAJAR",IF(F416="polea",IFERROR(INDEX(CONFIG!$B$25:$B$40,MAX(1,MATCH(G416,CONFIG!$B$25:$B$40,0)-1)),G416),MAX(0,G416-2.5)),G416)))),"--")</f>
        <v>--</v>
      </c>
      <c r="L416" s="59" t="str">
        <f>IFERROR(IF(N416="SIN","--",IF(N416="MANT",IF(H416="","--",H416+1),IFERROR(VLOOKUP(CONFIG!$E$2,CONFIG!$A$6:$E$8,2,0),"--"))),"--")</f>
        <v>--</v>
      </c>
      <c r="M416" s="59" t="str">
        <f>IFERROR(IF(N416="SIN","--",IF(CONFIG!$E$2="HIP",2,IF(CONFIG!$E$2="FUE",1,2))),"--")</f>
        <v>--</v>
      </c>
      <c r="N416" s="53" t="str">
        <f>IFERROR(IF(G416="","SIN",IF(O416=1,"SUBIR_E",IF(H416&lt;IFERROR(VLOOKUP(CONFIG!$E$2,CONFIG!$A$6:$E$8,2,0),6),"BAJAR",IF(H416+I416&gt;=IFERROR(VLOOKUP(CONFIG!$E$2,CONFIG!$A$6:$E$8,3,0),12),"SUBIR_F",IF(AND(H416&gt;=IFERROR(VLOOKUP(CONFIG!$E$2,CONFIG!$A$6:$E$8,2,0),6)+2,I416&gt;=2),"SUBIR",IF(I416&gt;IFERROR(VLOOKUP(CONFIG!$E$2,CONFIG!$A$6:$E$8,5,0),3),"SUBIR","MANT")))))),"SIN")</f>
        <v>SIN</v>
      </c>
      <c r="O416" s="55">
        <f>IF(COUNTIFS(HISTORIAL!$O$3:$O$414,D416&amp;"|"&amp;E416,HISTORIAL!$F$3:$F$414,"&gt;0")&lt;2,0,IF(COUNTIFS(HISTORIAL!$O$3:$O$414,D416&amp;"|"&amp;E416,HISTORIAL!$F$3:$F$414,IFERROR(LOOKUP(2,1/((HISTORIAL!$O$3:$O$414=D416&amp;"|"&amp;E416)*(HISTORIAL!$F$3:$F$414&gt;0)),HISTORIAL!$F$3:$F$414),0))&gt;=2,IF(IFERROR(LOOKUP(2,1/((HISTORIAL!$O$3:$O$414=D416&amp;"|"&amp;E416)*(HISTORIAL!$F$3:$F$414&gt;0)),HISTORIAL!$G$3:$G$414),0)&gt;0,IF(F416&gt;0,IF(G416&lt;=IFERROR(LOOKUP(2,1/((HISTORIAL!$O$3:$O$414=D416&amp;"|"&amp;E416)*(HISTORIAL!$F$3:$F$414&gt;0)),HISTORIAL!$G$3:$G$414),0),1,0),0),0),0))</f>
        <v>0</v>
      </c>
    </row>
    <row r="417" spans="1:15" ht="14.1" customHeight="1">
      <c r="A417" s="37">
        <v>7</v>
      </c>
      <c r="B417" s="37" t="s">
        <v>279</v>
      </c>
      <c r="C417" s="37">
        <v>14</v>
      </c>
      <c r="D417" s="56" t="str">
        <f>MIERCOLES!$A$161</f>
        <v>Rueda Abdominal</v>
      </c>
      <c r="E417" s="57" t="str">
        <f>MIERCOLES!$B$161</f>
        <v>Ab Wheel</v>
      </c>
      <c r="F417" s="37" t="str">
        <f>MIERCOLES!$C$161</f>
        <v>--</v>
      </c>
      <c r="G417" s="37" t="str">
        <f>IFERROR(LOOKUP(2,1/((HISTORIAL!$O$3:$O$415=D417&amp;"|"&amp;E417)*(HISTORIAL!$F$3:$F$415&lt;&gt;"")),HISTORIAL!$F$3:$F$415),"")</f>
        <v/>
      </c>
      <c r="H417" s="37" t="str">
        <f>IFERROR(LOOKUP(2,1/((HISTORIAL!$O$3:$O$415=D417&amp;"|"&amp;E417)*(HISTORIAL!$F$3:$F$415&lt;&gt;"")),HISTORIAL!$G$3:$G$415),"")</f>
        <v/>
      </c>
      <c r="I417" s="37" t="str">
        <f>IFERROR(LOOKUP(2,1/((HISTORIAL!$O$3:$O$415=D417&amp;"|"&amp;E417)*(HISTORIAL!$F$3:$F$415&lt;&gt;"")),HISTORIAL!$H$3:$H$415),"")</f>
        <v/>
      </c>
      <c r="J417" s="37" t="str">
        <f>IFERROR(LOOKUP(2,1/((HISTORIAL!$O$3:$O$415=D417&amp;"|"&amp;E417)*(HISTORIAL!$F$3:$F$415&lt;&gt;"")),HISTORIAL!$I$3:$I$415),"")</f>
        <v/>
      </c>
      <c r="K417" s="58" t="str">
        <f>IFERROR(IF(OR(G417="",N417="SIN"),"--",IF(N417="SUBIR_F",IF(F417="polea",IFERROR(INDEX(CONFIG!$B$25:$B$40,MATCH(G417,CONFIG!$B$25:$B$40,0)+2),IFERROR(INDEX(CONFIG!$B$25:$B$40,MATCH(G417,CONFIG!$B$25:$B$40,0)+1),G417)),G417+5),IF(OR(N417="SUBIR",N417="SUBIR_E"),IF(F417="polea",IFERROR(INDEX(CONFIG!$B$25:$B$40,MATCH(G417,CONFIG!$B$25:$B$40,0)+1),G417),G417+2.5),IF(N417="BAJAR",IF(F417="polea",IFERROR(INDEX(CONFIG!$B$25:$B$40,MAX(1,MATCH(G417,CONFIG!$B$25:$B$40,0)-1)),G417),MAX(0,G417-2.5)),G417)))),"--")</f>
        <v>--</v>
      </c>
      <c r="L417" s="59" t="str">
        <f>IFERROR(IF(N417="SIN","--",IF(N417="MANT",IF(H417="","--",H417+1),IFERROR(VLOOKUP(CONFIG!$E$2,CONFIG!$A$6:$E$8,2,0),"--"))),"--")</f>
        <v>--</v>
      </c>
      <c r="M417" s="59" t="str">
        <f>IFERROR(IF(N417="SIN","--",IF(CONFIG!$E$2="HIP",2,IF(CONFIG!$E$2="FUE",1,2))),"--")</f>
        <v>--</v>
      </c>
      <c r="N417" s="53" t="str">
        <f>IFERROR(IF(G417="","SIN",IF(O417=1,"SUBIR_E",IF(H417&lt;IFERROR(VLOOKUP(CONFIG!$E$2,CONFIG!$A$6:$E$8,2,0),6),"BAJAR",IF(H417+I417&gt;=IFERROR(VLOOKUP(CONFIG!$E$2,CONFIG!$A$6:$E$8,3,0),12),"SUBIR_F",IF(AND(H417&gt;=IFERROR(VLOOKUP(CONFIG!$E$2,CONFIG!$A$6:$E$8,2,0),6)+2,I417&gt;=2),"SUBIR",IF(I417&gt;IFERROR(VLOOKUP(CONFIG!$E$2,CONFIG!$A$6:$E$8,5,0),3),"SUBIR","MANT")))))),"SIN")</f>
        <v>SIN</v>
      </c>
      <c r="O417" s="55">
        <f>IF(COUNTIFS(HISTORIAL!$O$3:$O$415,D417&amp;"|"&amp;E417,HISTORIAL!$F$3:$F$415,"&gt;0")&lt;2,0,IF(COUNTIFS(HISTORIAL!$O$3:$O$415,D417&amp;"|"&amp;E417,HISTORIAL!$F$3:$F$415,IFERROR(LOOKUP(2,1/((HISTORIAL!$O$3:$O$415=D417&amp;"|"&amp;E417)*(HISTORIAL!$F$3:$F$415&gt;0)),HISTORIAL!$F$3:$F$415),0))&gt;=2,IF(IFERROR(LOOKUP(2,1/((HISTORIAL!$O$3:$O$415=D417&amp;"|"&amp;E417)*(HISTORIAL!$F$3:$F$415&gt;0)),HISTORIAL!$G$3:$G$415),0)&gt;0,IF(F417&gt;0,IF(G417&lt;=IFERROR(LOOKUP(2,1/((HISTORIAL!$O$3:$O$415=D417&amp;"|"&amp;E417)*(HISTORIAL!$F$3:$F$415&gt;0)),HISTORIAL!$G$3:$G$415),0),1,0),0),0),0))</f>
        <v>0</v>
      </c>
    </row>
    <row r="418" spans="1:15" ht="14.1" customHeight="1">
      <c r="A418" s="37">
        <v>7</v>
      </c>
      <c r="B418" s="37" t="s">
        <v>279</v>
      </c>
      <c r="C418" s="37">
        <v>15</v>
      </c>
      <c r="D418" s="56" t="str">
        <f>MIERCOLES!$A$162</f>
        <v>Elevacion Piernas</v>
      </c>
      <c r="E418" s="57" t="str">
        <f>MIERCOLES!$B$162</f>
        <v>Colgado</v>
      </c>
      <c r="F418" s="37" t="str">
        <f>MIERCOLES!$C$162</f>
        <v>peso_corporal</v>
      </c>
      <c r="G418" s="37" t="str">
        <f>IFERROR(LOOKUP(2,1/((HISTORIAL!$O$3:$O$416=D418&amp;"|"&amp;E418)*(HISTORIAL!$F$3:$F$416&lt;&gt;"")),HISTORIAL!$F$3:$F$416),"")</f>
        <v/>
      </c>
      <c r="H418" s="37" t="str">
        <f>IFERROR(LOOKUP(2,1/((HISTORIAL!$O$3:$O$416=D418&amp;"|"&amp;E418)*(HISTORIAL!$F$3:$F$416&lt;&gt;"")),HISTORIAL!$G$3:$G$416),"")</f>
        <v/>
      </c>
      <c r="I418" s="37" t="str">
        <f>IFERROR(LOOKUP(2,1/((HISTORIAL!$O$3:$O$416=D418&amp;"|"&amp;E418)*(HISTORIAL!$F$3:$F$416&lt;&gt;"")),HISTORIAL!$H$3:$H$416),"")</f>
        <v/>
      </c>
      <c r="J418" s="37" t="str">
        <f>IFERROR(LOOKUP(2,1/((HISTORIAL!$O$3:$O$416=D418&amp;"|"&amp;E418)*(HISTORIAL!$F$3:$F$416&lt;&gt;"")),HISTORIAL!$I$3:$I$416),"")</f>
        <v/>
      </c>
      <c r="K418" s="58" t="str">
        <f>IFERROR(IF(OR(G418="",N418="SIN"),"--",IF(N418="SUBIR_F",IF(F418="polea",IFERROR(INDEX(CONFIG!$B$25:$B$40,MATCH(G418,CONFIG!$B$25:$B$40,0)+2),IFERROR(INDEX(CONFIG!$B$25:$B$40,MATCH(G418,CONFIG!$B$25:$B$40,0)+1),G418)),G418+5),IF(OR(N418="SUBIR",N418="SUBIR_E"),IF(F418="polea",IFERROR(INDEX(CONFIG!$B$25:$B$40,MATCH(G418,CONFIG!$B$25:$B$40,0)+1),G418),G418+2.5),IF(N418="BAJAR",IF(F418="polea",IFERROR(INDEX(CONFIG!$B$25:$B$40,MAX(1,MATCH(G418,CONFIG!$B$25:$B$40,0)-1)),G418),MAX(0,G418-2.5)),G418)))),"--")</f>
        <v>--</v>
      </c>
      <c r="L418" s="59" t="str">
        <f>IFERROR(IF(N418="SIN","--",IF(N418="MANT",IF(H418="","--",H418+1),IFERROR(VLOOKUP(CONFIG!$E$2,CONFIG!$A$6:$E$8,2,0),"--"))),"--")</f>
        <v>--</v>
      </c>
      <c r="M418" s="59" t="str">
        <f>IFERROR(IF(N418="SIN","--",IF(CONFIG!$E$2="HIP",2,IF(CONFIG!$E$2="FUE",1,2))),"--")</f>
        <v>--</v>
      </c>
      <c r="N418" s="53" t="str">
        <f>IFERROR(IF(G418="","SIN",IF(O418=1,"SUBIR_E",IF(H418&lt;IFERROR(VLOOKUP(CONFIG!$E$2,CONFIG!$A$6:$E$8,2,0),6),"BAJAR",IF(H418+I418&gt;=IFERROR(VLOOKUP(CONFIG!$E$2,CONFIG!$A$6:$E$8,3,0),12),"SUBIR_F",IF(AND(H418&gt;=IFERROR(VLOOKUP(CONFIG!$E$2,CONFIG!$A$6:$E$8,2,0),6)+2,I418&gt;=2),"SUBIR",IF(I418&gt;IFERROR(VLOOKUP(CONFIG!$E$2,CONFIG!$A$6:$E$8,5,0),3),"SUBIR","MANT")))))),"SIN")</f>
        <v>SIN</v>
      </c>
      <c r="O418" s="55">
        <f>IF(COUNTIFS(HISTORIAL!$O$3:$O$416,D418&amp;"|"&amp;E418,HISTORIAL!$F$3:$F$416,"&gt;0")&lt;2,0,IF(COUNTIFS(HISTORIAL!$O$3:$O$416,D418&amp;"|"&amp;E418,HISTORIAL!$F$3:$F$416,IFERROR(LOOKUP(2,1/((HISTORIAL!$O$3:$O$416=D418&amp;"|"&amp;E418)*(HISTORIAL!$F$3:$F$416&gt;0)),HISTORIAL!$F$3:$F$416),0))&gt;=2,IF(IFERROR(LOOKUP(2,1/((HISTORIAL!$O$3:$O$416=D418&amp;"|"&amp;E418)*(HISTORIAL!$F$3:$F$416&gt;0)),HISTORIAL!$G$3:$G$416),0)&gt;0,IF(F418&gt;0,IF(G418&lt;=IFERROR(LOOKUP(2,1/((HISTORIAL!$O$3:$O$416=D418&amp;"|"&amp;E418)*(HISTORIAL!$F$3:$F$416&gt;0)),HISTORIAL!$G$3:$G$416),0),1,0),0),0),0))</f>
        <v>0</v>
      </c>
    </row>
    <row r="419" spans="1:15" ht="14.1" customHeight="1">
      <c r="A419" s="37">
        <v>7</v>
      </c>
      <c r="B419" s="37" t="s">
        <v>280</v>
      </c>
      <c r="C419" s="37">
        <v>1</v>
      </c>
      <c r="D419" s="56" t="str">
        <f>JUEVES!$A$162</f>
        <v>Press Militar</v>
      </c>
      <c r="E419" s="57" t="str">
        <f>JUEVES!$B$162</f>
        <v>Multipower</v>
      </c>
      <c r="F419" s="37" t="str">
        <f>JUEVES!$C$162</f>
        <v>--</v>
      </c>
      <c r="G419" s="37" t="str">
        <f>IFERROR(LOOKUP(2,1/((HISTORIAL!$O$3:$O$417=D419&amp;"|"&amp;E419)*(HISTORIAL!$F$3:$F$417&lt;&gt;"")),HISTORIAL!$F$3:$F$417),"")</f>
        <v/>
      </c>
      <c r="H419" s="37" t="str">
        <f>IFERROR(LOOKUP(2,1/((HISTORIAL!$O$3:$O$417=D419&amp;"|"&amp;E419)*(HISTORIAL!$F$3:$F$417&lt;&gt;"")),HISTORIAL!$G$3:$G$417),"")</f>
        <v/>
      </c>
      <c r="I419" s="37" t="str">
        <f>IFERROR(LOOKUP(2,1/((HISTORIAL!$O$3:$O$417=D419&amp;"|"&amp;E419)*(HISTORIAL!$F$3:$F$417&lt;&gt;"")),HISTORIAL!$H$3:$H$417),"")</f>
        <v/>
      </c>
      <c r="J419" s="37" t="str">
        <f>IFERROR(LOOKUP(2,1/((HISTORIAL!$O$3:$O$417=D419&amp;"|"&amp;E419)*(HISTORIAL!$F$3:$F$417&lt;&gt;"")),HISTORIAL!$I$3:$I$417),"")</f>
        <v/>
      </c>
      <c r="K419" s="58" t="str">
        <f>IFERROR(IF(OR(G419="",N419="SIN"),"--",IF(N419="SUBIR_F",IF(F419="polea",IFERROR(INDEX(CONFIG!$B$25:$B$40,MATCH(G419,CONFIG!$B$25:$B$40,0)+2),IFERROR(INDEX(CONFIG!$B$25:$B$40,MATCH(G419,CONFIG!$B$25:$B$40,0)+1),G419)),G419+5),IF(OR(N419="SUBIR",N419="SUBIR_E"),IF(F419="polea",IFERROR(INDEX(CONFIG!$B$25:$B$40,MATCH(G419,CONFIG!$B$25:$B$40,0)+1),G419),G419+2.5),IF(N419="BAJAR",IF(F419="polea",IFERROR(INDEX(CONFIG!$B$25:$B$40,MAX(1,MATCH(G419,CONFIG!$B$25:$B$40,0)-1)),G419),MAX(0,G419-2.5)),G419)))),"--")</f>
        <v>--</v>
      </c>
      <c r="L419" s="59" t="str">
        <f>IFERROR(IF(N419="SIN","--",IF(N419="MANT",IF(H419="","--",H419+1),IFERROR(VLOOKUP(CONFIG!$E$2,CONFIG!$A$6:$E$8,2,0),"--"))),"--")</f>
        <v>--</v>
      </c>
      <c r="M419" s="59" t="str">
        <f>IFERROR(IF(N419="SIN","--",IF(CONFIG!$E$2="HIP",2,IF(CONFIG!$E$2="FUE",1,2))),"--")</f>
        <v>--</v>
      </c>
      <c r="N419" s="53" t="str">
        <f>IFERROR(IF(G419="","SIN",IF(O419=1,"SUBIR_E",IF(H419&lt;IFERROR(VLOOKUP(CONFIG!$E$2,CONFIG!$A$6:$E$8,2,0),6),"BAJAR",IF(H419+I419&gt;=IFERROR(VLOOKUP(CONFIG!$E$2,CONFIG!$A$6:$E$8,3,0),12),"SUBIR_F",IF(AND(H419&gt;=IFERROR(VLOOKUP(CONFIG!$E$2,CONFIG!$A$6:$E$8,2,0),6)+2,I419&gt;=2),"SUBIR",IF(I419&gt;IFERROR(VLOOKUP(CONFIG!$E$2,CONFIG!$A$6:$E$8,5,0),3),"SUBIR","MANT")))))),"SIN")</f>
        <v>SIN</v>
      </c>
      <c r="O419" s="55">
        <f>IF(COUNTIFS(HISTORIAL!$O$3:$O$417,D419&amp;"|"&amp;E419,HISTORIAL!$F$3:$F$417,"&gt;0")&lt;2,0,IF(COUNTIFS(HISTORIAL!$O$3:$O$417,D419&amp;"|"&amp;E419,HISTORIAL!$F$3:$F$417,IFERROR(LOOKUP(2,1/((HISTORIAL!$O$3:$O$417=D419&amp;"|"&amp;E419)*(HISTORIAL!$F$3:$F$417&gt;0)),HISTORIAL!$F$3:$F$417),0))&gt;=2,IF(IFERROR(LOOKUP(2,1/((HISTORIAL!$O$3:$O$417=D419&amp;"|"&amp;E419)*(HISTORIAL!$F$3:$F$417&gt;0)),HISTORIAL!$G$3:$G$417),0)&gt;0,IF(F419&gt;0,IF(G419&lt;=IFERROR(LOOKUP(2,1/((HISTORIAL!$O$3:$O$417=D419&amp;"|"&amp;E419)*(HISTORIAL!$F$3:$F$417&gt;0)),HISTORIAL!$G$3:$G$417),0),1,0),0),0),0))</f>
        <v>0</v>
      </c>
    </row>
    <row r="420" spans="1:15" ht="14.1" customHeight="1">
      <c r="A420" s="37">
        <v>7</v>
      </c>
      <c r="B420" s="37" t="s">
        <v>280</v>
      </c>
      <c r="C420" s="37">
        <v>2</v>
      </c>
      <c r="D420" s="56" t="str">
        <f>JUEVES!$A$163</f>
        <v>Elevaciones Laterales</v>
      </c>
      <c r="E420" s="57" t="str">
        <f>JUEVES!$B$163</f>
        <v>Drop Set Maquina</v>
      </c>
      <c r="F420" s="37" t="str">
        <f>JUEVES!$C$163</f>
        <v>--</v>
      </c>
      <c r="G420" s="37" t="str">
        <f>IFERROR(LOOKUP(2,1/((HISTORIAL!$O$3:$O$418=D420&amp;"|"&amp;E420)*(HISTORIAL!$F$3:$F$418&lt;&gt;"")),HISTORIAL!$F$3:$F$418),"")</f>
        <v/>
      </c>
      <c r="H420" s="37" t="str">
        <f>IFERROR(LOOKUP(2,1/((HISTORIAL!$O$3:$O$418=D420&amp;"|"&amp;E420)*(HISTORIAL!$F$3:$F$418&lt;&gt;"")),HISTORIAL!$G$3:$G$418),"")</f>
        <v/>
      </c>
      <c r="I420" s="37" t="str">
        <f>IFERROR(LOOKUP(2,1/((HISTORIAL!$O$3:$O$418=D420&amp;"|"&amp;E420)*(HISTORIAL!$F$3:$F$418&lt;&gt;"")),HISTORIAL!$H$3:$H$418),"")</f>
        <v/>
      </c>
      <c r="J420" s="37" t="str">
        <f>IFERROR(LOOKUP(2,1/((HISTORIAL!$O$3:$O$418=D420&amp;"|"&amp;E420)*(HISTORIAL!$F$3:$F$418&lt;&gt;"")),HISTORIAL!$I$3:$I$418),"")</f>
        <v/>
      </c>
      <c r="K420" s="58" t="str">
        <f>IFERROR(IF(OR(G420="",N420="SIN"),"--",IF(N420="SUBIR_F",IF(F420="polea",IFERROR(INDEX(CONFIG!$B$25:$B$40,MATCH(G420,CONFIG!$B$25:$B$40,0)+2),IFERROR(INDEX(CONFIG!$B$25:$B$40,MATCH(G420,CONFIG!$B$25:$B$40,0)+1),G420)),G420+5),IF(OR(N420="SUBIR",N420="SUBIR_E"),IF(F420="polea",IFERROR(INDEX(CONFIG!$B$25:$B$40,MATCH(G420,CONFIG!$B$25:$B$40,0)+1),G420),G420+2.5),IF(N420="BAJAR",IF(F420="polea",IFERROR(INDEX(CONFIG!$B$25:$B$40,MAX(1,MATCH(G420,CONFIG!$B$25:$B$40,0)-1)),G420),MAX(0,G420-2.5)),G420)))),"--")</f>
        <v>--</v>
      </c>
      <c r="L420" s="59" t="str">
        <f>IFERROR(IF(N420="SIN","--",IF(N420="MANT",IF(H420="","--",H420+1),IFERROR(VLOOKUP(CONFIG!$E$2,CONFIG!$A$6:$E$8,2,0),"--"))),"--")</f>
        <v>--</v>
      </c>
      <c r="M420" s="59" t="str">
        <f>IFERROR(IF(N420="SIN","--",IF(CONFIG!$E$2="HIP",2,IF(CONFIG!$E$2="FUE",1,2))),"--")</f>
        <v>--</v>
      </c>
      <c r="N420" s="53" t="str">
        <f>IFERROR(IF(G420="","SIN",IF(O420=1,"SUBIR_E",IF(H420&lt;IFERROR(VLOOKUP(CONFIG!$E$2,CONFIG!$A$6:$E$8,2,0),6),"BAJAR",IF(H420+I420&gt;=IFERROR(VLOOKUP(CONFIG!$E$2,CONFIG!$A$6:$E$8,3,0),12),"SUBIR_F",IF(AND(H420&gt;=IFERROR(VLOOKUP(CONFIG!$E$2,CONFIG!$A$6:$E$8,2,0),6)+2,I420&gt;=2),"SUBIR",IF(I420&gt;IFERROR(VLOOKUP(CONFIG!$E$2,CONFIG!$A$6:$E$8,5,0),3),"SUBIR","MANT")))))),"SIN")</f>
        <v>SIN</v>
      </c>
      <c r="O420" s="55">
        <f>IF(COUNTIFS(HISTORIAL!$O$3:$O$418,D420&amp;"|"&amp;E420,HISTORIAL!$F$3:$F$418,"&gt;0")&lt;2,0,IF(COUNTIFS(HISTORIAL!$O$3:$O$418,D420&amp;"|"&amp;E420,HISTORIAL!$F$3:$F$418,IFERROR(LOOKUP(2,1/((HISTORIAL!$O$3:$O$418=D420&amp;"|"&amp;E420)*(HISTORIAL!$F$3:$F$418&gt;0)),HISTORIAL!$F$3:$F$418),0))&gt;=2,IF(IFERROR(LOOKUP(2,1/((HISTORIAL!$O$3:$O$418=D420&amp;"|"&amp;E420)*(HISTORIAL!$F$3:$F$418&gt;0)),HISTORIAL!$G$3:$G$418),0)&gt;0,IF(F420&gt;0,IF(G420&lt;=IFERROR(LOOKUP(2,1/((HISTORIAL!$O$3:$O$418=D420&amp;"|"&amp;E420)*(HISTORIAL!$F$3:$F$418&gt;0)),HISTORIAL!$G$3:$G$418),0),1,0),0),0),0))</f>
        <v>0</v>
      </c>
    </row>
    <row r="421" spans="1:15" ht="14.1" customHeight="1">
      <c r="A421" s="37">
        <v>7</v>
      </c>
      <c r="B421" s="37" t="s">
        <v>280</v>
      </c>
      <c r="C421" s="37">
        <v>3</v>
      </c>
      <c r="D421" s="56" t="str">
        <f>JUEVES!$A$165</f>
        <v>Pajaro</v>
      </c>
      <c r="E421" s="57" t="str">
        <f>JUEVES!$B$165</f>
        <v>Elevacion Posterior</v>
      </c>
      <c r="F421" s="37" t="str">
        <f>JUEVES!$C$165</f>
        <v>mancuerna</v>
      </c>
      <c r="G421" s="37" t="str">
        <f>IFERROR(LOOKUP(2,1/((HISTORIAL!$O$3:$O$419=D421&amp;"|"&amp;E421)*(HISTORIAL!$F$3:$F$419&lt;&gt;"")),HISTORIAL!$F$3:$F$419),"")</f>
        <v/>
      </c>
      <c r="H421" s="37" t="str">
        <f>IFERROR(LOOKUP(2,1/((HISTORIAL!$O$3:$O$419=D421&amp;"|"&amp;E421)*(HISTORIAL!$F$3:$F$419&lt;&gt;"")),HISTORIAL!$G$3:$G$419),"")</f>
        <v/>
      </c>
      <c r="I421" s="37" t="str">
        <f>IFERROR(LOOKUP(2,1/((HISTORIAL!$O$3:$O$419=D421&amp;"|"&amp;E421)*(HISTORIAL!$F$3:$F$419&lt;&gt;"")),HISTORIAL!$H$3:$H$419),"")</f>
        <v/>
      </c>
      <c r="J421" s="37" t="str">
        <f>IFERROR(LOOKUP(2,1/((HISTORIAL!$O$3:$O$419=D421&amp;"|"&amp;E421)*(HISTORIAL!$F$3:$F$419&lt;&gt;"")),HISTORIAL!$I$3:$I$419),"")</f>
        <v/>
      </c>
      <c r="K421" s="58" t="str">
        <f>IFERROR(IF(OR(G421="",N421="SIN"),"--",IF(N421="SUBIR_F",IF(F421="polea",IFERROR(INDEX(CONFIG!$B$25:$B$40,MATCH(G421,CONFIG!$B$25:$B$40,0)+2),IFERROR(INDEX(CONFIG!$B$25:$B$40,MATCH(G421,CONFIG!$B$25:$B$40,0)+1),G421)),G421+5),IF(OR(N421="SUBIR",N421="SUBIR_E"),IF(F421="polea",IFERROR(INDEX(CONFIG!$B$25:$B$40,MATCH(G421,CONFIG!$B$25:$B$40,0)+1),G421),G421+2.5),IF(N421="BAJAR",IF(F421="polea",IFERROR(INDEX(CONFIG!$B$25:$B$40,MAX(1,MATCH(G421,CONFIG!$B$25:$B$40,0)-1)),G421),MAX(0,G421-2.5)),G421)))),"--")</f>
        <v>--</v>
      </c>
      <c r="L421" s="59" t="str">
        <f>IFERROR(IF(N421="SIN","--",IF(N421="MANT",IF(H421="","--",H421+1),IFERROR(VLOOKUP(CONFIG!$E$2,CONFIG!$A$6:$E$8,2,0),"--"))),"--")</f>
        <v>--</v>
      </c>
      <c r="M421" s="59" t="str">
        <f>IFERROR(IF(N421="SIN","--",IF(CONFIG!$E$2="HIP",2,IF(CONFIG!$E$2="FUE",1,2))),"--")</f>
        <v>--</v>
      </c>
      <c r="N421" s="53" t="str">
        <f>IFERROR(IF(G421="","SIN",IF(O421=1,"SUBIR_E",IF(H421&lt;IFERROR(VLOOKUP(CONFIG!$E$2,CONFIG!$A$6:$E$8,2,0),6),"BAJAR",IF(H421+I421&gt;=IFERROR(VLOOKUP(CONFIG!$E$2,CONFIG!$A$6:$E$8,3,0),12),"SUBIR_F",IF(AND(H421&gt;=IFERROR(VLOOKUP(CONFIG!$E$2,CONFIG!$A$6:$E$8,2,0),6)+2,I421&gt;=2),"SUBIR",IF(I421&gt;IFERROR(VLOOKUP(CONFIG!$E$2,CONFIG!$A$6:$E$8,5,0),3),"SUBIR","MANT")))))),"SIN")</f>
        <v>SIN</v>
      </c>
      <c r="O421" s="55">
        <f>IF(COUNTIFS(HISTORIAL!$O$3:$O$419,D421&amp;"|"&amp;E421,HISTORIAL!$F$3:$F$419,"&gt;0")&lt;2,0,IF(COUNTIFS(HISTORIAL!$O$3:$O$419,D421&amp;"|"&amp;E421,HISTORIAL!$F$3:$F$419,IFERROR(LOOKUP(2,1/((HISTORIAL!$O$3:$O$419=D421&amp;"|"&amp;E421)*(HISTORIAL!$F$3:$F$419&gt;0)),HISTORIAL!$F$3:$F$419),0))&gt;=2,IF(IFERROR(LOOKUP(2,1/((HISTORIAL!$O$3:$O$419=D421&amp;"|"&amp;E421)*(HISTORIAL!$F$3:$F$419&gt;0)),HISTORIAL!$G$3:$G$419),0)&gt;0,IF(F421&gt;0,IF(G421&lt;=IFERROR(LOOKUP(2,1/((HISTORIAL!$O$3:$O$419=D421&amp;"|"&amp;E421)*(HISTORIAL!$F$3:$F$419&gt;0)),HISTORIAL!$G$3:$G$419),0),1,0),0),0),0))</f>
        <v>0</v>
      </c>
    </row>
    <row r="422" spans="1:15" ht="14.1" customHeight="1">
      <c r="A422" s="37">
        <v>7</v>
      </c>
      <c r="B422" s="37" t="s">
        <v>280</v>
      </c>
      <c r="C422" s="37">
        <v>4</v>
      </c>
      <c r="D422" s="56" t="str">
        <f>JUEVES!$A$166</f>
        <v>Peck Deck Invertida</v>
      </c>
      <c r="E422" s="57" t="str">
        <f>JUEVES!$B$166</f>
        <v>Maquina</v>
      </c>
      <c r="F422" s="37" t="str">
        <f>JUEVES!$C$166</f>
        <v>polea</v>
      </c>
      <c r="G422" s="37" t="str">
        <f>IFERROR(LOOKUP(2,1/((HISTORIAL!$O$3:$O$420=D422&amp;"|"&amp;E422)*(HISTORIAL!$F$3:$F$420&lt;&gt;"")),HISTORIAL!$F$3:$F$420),"")</f>
        <v/>
      </c>
      <c r="H422" s="37" t="str">
        <f>IFERROR(LOOKUP(2,1/((HISTORIAL!$O$3:$O$420=D422&amp;"|"&amp;E422)*(HISTORIAL!$F$3:$F$420&lt;&gt;"")),HISTORIAL!$G$3:$G$420),"")</f>
        <v/>
      </c>
      <c r="I422" s="37" t="str">
        <f>IFERROR(LOOKUP(2,1/((HISTORIAL!$O$3:$O$420=D422&amp;"|"&amp;E422)*(HISTORIAL!$F$3:$F$420&lt;&gt;"")),HISTORIAL!$H$3:$H$420),"")</f>
        <v/>
      </c>
      <c r="J422" s="37" t="str">
        <f>IFERROR(LOOKUP(2,1/((HISTORIAL!$O$3:$O$420=D422&amp;"|"&amp;E422)*(HISTORIAL!$F$3:$F$420&lt;&gt;"")),HISTORIAL!$I$3:$I$420),"")</f>
        <v/>
      </c>
      <c r="K422" s="58" t="str">
        <f>IFERROR(IF(OR(G422="",N422="SIN"),"--",IF(N422="SUBIR_F",IF(F422="polea",IFERROR(INDEX(CONFIG!$B$25:$B$40,MATCH(G422,CONFIG!$B$25:$B$40,0)+2),IFERROR(INDEX(CONFIG!$B$25:$B$40,MATCH(G422,CONFIG!$B$25:$B$40,0)+1),G422)),G422+5),IF(OR(N422="SUBIR",N422="SUBIR_E"),IF(F422="polea",IFERROR(INDEX(CONFIG!$B$25:$B$40,MATCH(G422,CONFIG!$B$25:$B$40,0)+1),G422),G422+2.5),IF(N422="BAJAR",IF(F422="polea",IFERROR(INDEX(CONFIG!$B$25:$B$40,MAX(1,MATCH(G422,CONFIG!$B$25:$B$40,0)-1)),G422),MAX(0,G422-2.5)),G422)))),"--")</f>
        <v>--</v>
      </c>
      <c r="L422" s="59" t="str">
        <f>IFERROR(IF(N422="SIN","--",IF(N422="MANT",IF(H422="","--",H422+1),IFERROR(VLOOKUP(CONFIG!$E$2,CONFIG!$A$6:$E$8,2,0),"--"))),"--")</f>
        <v>--</v>
      </c>
      <c r="M422" s="59" t="str">
        <f>IFERROR(IF(N422="SIN","--",IF(CONFIG!$E$2="HIP",2,IF(CONFIG!$E$2="FUE",1,2))),"--")</f>
        <v>--</v>
      </c>
      <c r="N422" s="53" t="str">
        <f>IFERROR(IF(G422="","SIN",IF(O422=1,"SUBIR_E",IF(H422&lt;IFERROR(VLOOKUP(CONFIG!$E$2,CONFIG!$A$6:$E$8,2,0),6),"BAJAR",IF(H422+I422&gt;=IFERROR(VLOOKUP(CONFIG!$E$2,CONFIG!$A$6:$E$8,3,0),12),"SUBIR_F",IF(AND(H422&gt;=IFERROR(VLOOKUP(CONFIG!$E$2,CONFIG!$A$6:$E$8,2,0),6)+2,I422&gt;=2),"SUBIR",IF(I422&gt;IFERROR(VLOOKUP(CONFIG!$E$2,CONFIG!$A$6:$E$8,5,0),3),"SUBIR","MANT")))))),"SIN")</f>
        <v>SIN</v>
      </c>
      <c r="O422" s="55">
        <f>IF(COUNTIFS(HISTORIAL!$O$3:$O$420,D422&amp;"|"&amp;E422,HISTORIAL!$F$3:$F$420,"&gt;0")&lt;2,0,IF(COUNTIFS(HISTORIAL!$O$3:$O$420,D422&amp;"|"&amp;E422,HISTORIAL!$F$3:$F$420,IFERROR(LOOKUP(2,1/((HISTORIAL!$O$3:$O$420=D422&amp;"|"&amp;E422)*(HISTORIAL!$F$3:$F$420&gt;0)),HISTORIAL!$F$3:$F$420),0))&gt;=2,IF(IFERROR(LOOKUP(2,1/((HISTORIAL!$O$3:$O$420=D422&amp;"|"&amp;E422)*(HISTORIAL!$F$3:$F$420&gt;0)),HISTORIAL!$G$3:$G$420),0)&gt;0,IF(F422&gt;0,IF(G422&lt;=IFERROR(LOOKUP(2,1/((HISTORIAL!$O$3:$O$420=D422&amp;"|"&amp;E422)*(HISTORIAL!$F$3:$F$420&gt;0)),HISTORIAL!$G$3:$G$420),0),1,0),0),0),0))</f>
        <v>0</v>
      </c>
    </row>
    <row r="423" spans="1:15" ht="14.1" customHeight="1">
      <c r="A423" s="37">
        <v>7</v>
      </c>
      <c r="B423" s="37" t="s">
        <v>280</v>
      </c>
      <c r="C423" s="37">
        <v>5</v>
      </c>
      <c r="D423" s="56" t="str">
        <f>JUEVES!$A$167</f>
        <v>Elevaciones Posteriores</v>
      </c>
      <c r="E423" s="57" t="str">
        <f>JUEVES!$B$167</f>
        <v>Polea Individual</v>
      </c>
      <c r="F423" s="37" t="str">
        <f>JUEVES!$C$167</f>
        <v>polea</v>
      </c>
      <c r="G423" s="37" t="str">
        <f>IFERROR(LOOKUP(2,1/((HISTORIAL!$O$3:$O$421=D423&amp;"|"&amp;E423)*(HISTORIAL!$F$3:$F$421&lt;&gt;"")),HISTORIAL!$F$3:$F$421),"")</f>
        <v/>
      </c>
      <c r="H423" s="37" t="str">
        <f>IFERROR(LOOKUP(2,1/((HISTORIAL!$O$3:$O$421=D423&amp;"|"&amp;E423)*(HISTORIAL!$F$3:$F$421&lt;&gt;"")),HISTORIAL!$G$3:$G$421),"")</f>
        <v/>
      </c>
      <c r="I423" s="37" t="str">
        <f>IFERROR(LOOKUP(2,1/((HISTORIAL!$O$3:$O$421=D423&amp;"|"&amp;E423)*(HISTORIAL!$F$3:$F$421&lt;&gt;"")),HISTORIAL!$H$3:$H$421),"")</f>
        <v/>
      </c>
      <c r="J423" s="37" t="str">
        <f>IFERROR(LOOKUP(2,1/((HISTORIAL!$O$3:$O$421=D423&amp;"|"&amp;E423)*(HISTORIAL!$F$3:$F$421&lt;&gt;"")),HISTORIAL!$I$3:$I$421),"")</f>
        <v/>
      </c>
      <c r="K423" s="58" t="str">
        <f>IFERROR(IF(OR(G423="",N423="SIN"),"--",IF(N423="SUBIR_F",IF(F423="polea",IFERROR(INDEX(CONFIG!$B$25:$B$40,MATCH(G423,CONFIG!$B$25:$B$40,0)+2),IFERROR(INDEX(CONFIG!$B$25:$B$40,MATCH(G423,CONFIG!$B$25:$B$40,0)+1),G423)),G423+5),IF(OR(N423="SUBIR",N423="SUBIR_E"),IF(F423="polea",IFERROR(INDEX(CONFIG!$B$25:$B$40,MATCH(G423,CONFIG!$B$25:$B$40,0)+1),G423),G423+2.5),IF(N423="BAJAR",IF(F423="polea",IFERROR(INDEX(CONFIG!$B$25:$B$40,MAX(1,MATCH(G423,CONFIG!$B$25:$B$40,0)-1)),G423),MAX(0,G423-2.5)),G423)))),"--")</f>
        <v>--</v>
      </c>
      <c r="L423" s="59" t="str">
        <f>IFERROR(IF(N423="SIN","--",IF(N423="MANT",IF(H423="","--",H423+1),IFERROR(VLOOKUP(CONFIG!$E$2,CONFIG!$A$6:$E$8,2,0),"--"))),"--")</f>
        <v>--</v>
      </c>
      <c r="M423" s="59" t="str">
        <f>IFERROR(IF(N423="SIN","--",IF(CONFIG!$E$2="HIP",2,IF(CONFIG!$E$2="FUE",1,2))),"--")</f>
        <v>--</v>
      </c>
      <c r="N423" s="53" t="str">
        <f>IFERROR(IF(G423="","SIN",IF(O423=1,"SUBIR_E",IF(H423&lt;IFERROR(VLOOKUP(CONFIG!$E$2,CONFIG!$A$6:$E$8,2,0),6),"BAJAR",IF(H423+I423&gt;=IFERROR(VLOOKUP(CONFIG!$E$2,CONFIG!$A$6:$E$8,3,0),12),"SUBIR_F",IF(AND(H423&gt;=IFERROR(VLOOKUP(CONFIG!$E$2,CONFIG!$A$6:$E$8,2,0),6)+2,I423&gt;=2),"SUBIR",IF(I423&gt;IFERROR(VLOOKUP(CONFIG!$E$2,CONFIG!$A$6:$E$8,5,0),3),"SUBIR","MANT")))))),"SIN")</f>
        <v>SIN</v>
      </c>
      <c r="O423" s="55">
        <f>IF(COUNTIFS(HISTORIAL!$O$3:$O$421,D423&amp;"|"&amp;E423,HISTORIAL!$F$3:$F$421,"&gt;0")&lt;2,0,IF(COUNTIFS(HISTORIAL!$O$3:$O$421,D423&amp;"|"&amp;E423,HISTORIAL!$F$3:$F$421,IFERROR(LOOKUP(2,1/((HISTORIAL!$O$3:$O$421=D423&amp;"|"&amp;E423)*(HISTORIAL!$F$3:$F$421&gt;0)),HISTORIAL!$F$3:$F$421),0))&gt;=2,IF(IFERROR(LOOKUP(2,1/((HISTORIAL!$O$3:$O$421=D423&amp;"|"&amp;E423)*(HISTORIAL!$F$3:$F$421&gt;0)),HISTORIAL!$G$3:$G$421),0)&gt;0,IF(F423&gt;0,IF(G423&lt;=IFERROR(LOOKUP(2,1/((HISTORIAL!$O$3:$O$421=D423&amp;"|"&amp;E423)*(HISTORIAL!$F$3:$F$421&gt;0)),HISTORIAL!$G$3:$G$421),0),1,0),0),0),0))</f>
        <v>0</v>
      </c>
    </row>
    <row r="424" spans="1:15" ht="14.1" customHeight="1">
      <c r="A424" s="37">
        <v>7</v>
      </c>
      <c r="B424" s="37" t="s">
        <v>280</v>
      </c>
      <c r="C424" s="37">
        <v>6</v>
      </c>
      <c r="D424" s="56" t="str">
        <f>JUEVES!$A$170</f>
        <v>Press Plano</v>
      </c>
      <c r="E424" s="57" t="str">
        <f>JUEVES!$B$170</f>
        <v>Mancuernas</v>
      </c>
      <c r="F424" s="37" t="str">
        <f>JUEVES!$C$170</f>
        <v>mancuerna</v>
      </c>
      <c r="G424" s="37" t="str">
        <f>IFERROR(LOOKUP(2,1/((HISTORIAL!$O$3:$O$422=D424&amp;"|"&amp;E424)*(HISTORIAL!$F$3:$F$422&lt;&gt;"")),HISTORIAL!$F$3:$F$422),"")</f>
        <v/>
      </c>
      <c r="H424" s="37" t="str">
        <f>IFERROR(LOOKUP(2,1/((HISTORIAL!$O$3:$O$422=D424&amp;"|"&amp;E424)*(HISTORIAL!$F$3:$F$422&lt;&gt;"")),HISTORIAL!$G$3:$G$422),"")</f>
        <v/>
      </c>
      <c r="I424" s="37" t="str">
        <f>IFERROR(LOOKUP(2,1/((HISTORIAL!$O$3:$O$422=D424&amp;"|"&amp;E424)*(HISTORIAL!$F$3:$F$422&lt;&gt;"")),HISTORIAL!$H$3:$H$422),"")</f>
        <v/>
      </c>
      <c r="J424" s="37" t="str">
        <f>IFERROR(LOOKUP(2,1/((HISTORIAL!$O$3:$O$422=D424&amp;"|"&amp;E424)*(HISTORIAL!$F$3:$F$422&lt;&gt;"")),HISTORIAL!$I$3:$I$422),"")</f>
        <v/>
      </c>
      <c r="K424" s="58" t="str">
        <f>IFERROR(IF(OR(G424="",N424="SIN"),"--",IF(N424="SUBIR_F",IF(F424="polea",IFERROR(INDEX(CONFIG!$B$25:$B$40,MATCH(G424,CONFIG!$B$25:$B$40,0)+2),IFERROR(INDEX(CONFIG!$B$25:$B$40,MATCH(G424,CONFIG!$B$25:$B$40,0)+1),G424)),G424+5),IF(OR(N424="SUBIR",N424="SUBIR_E"),IF(F424="polea",IFERROR(INDEX(CONFIG!$B$25:$B$40,MATCH(G424,CONFIG!$B$25:$B$40,0)+1),G424),G424+2.5),IF(N424="BAJAR",IF(F424="polea",IFERROR(INDEX(CONFIG!$B$25:$B$40,MAX(1,MATCH(G424,CONFIG!$B$25:$B$40,0)-1)),G424),MAX(0,G424-2.5)),G424)))),"--")</f>
        <v>--</v>
      </c>
      <c r="L424" s="59" t="str">
        <f>IFERROR(IF(N424="SIN","--",IF(N424="MANT",IF(H424="","--",H424+1),IFERROR(VLOOKUP(CONFIG!$E$2,CONFIG!$A$6:$E$8,2,0),"--"))),"--")</f>
        <v>--</v>
      </c>
      <c r="M424" s="59" t="str">
        <f>IFERROR(IF(N424="SIN","--",IF(CONFIG!$E$2="HIP",2,IF(CONFIG!$E$2="FUE",1,2))),"--")</f>
        <v>--</v>
      </c>
      <c r="N424" s="53" t="str">
        <f>IFERROR(IF(G424="","SIN",IF(O424=1,"SUBIR_E",IF(H424&lt;IFERROR(VLOOKUP(CONFIG!$E$2,CONFIG!$A$6:$E$8,2,0),6),"BAJAR",IF(H424+I424&gt;=IFERROR(VLOOKUP(CONFIG!$E$2,CONFIG!$A$6:$E$8,3,0),12),"SUBIR_F",IF(AND(H424&gt;=IFERROR(VLOOKUP(CONFIG!$E$2,CONFIG!$A$6:$E$8,2,0),6)+2,I424&gt;=2),"SUBIR",IF(I424&gt;IFERROR(VLOOKUP(CONFIG!$E$2,CONFIG!$A$6:$E$8,5,0),3),"SUBIR","MANT")))))),"SIN")</f>
        <v>SIN</v>
      </c>
      <c r="O424" s="55">
        <f>IF(COUNTIFS(HISTORIAL!$O$3:$O$422,D424&amp;"|"&amp;E424,HISTORIAL!$F$3:$F$422,"&gt;0")&lt;2,0,IF(COUNTIFS(HISTORIAL!$O$3:$O$422,D424&amp;"|"&amp;E424,HISTORIAL!$F$3:$F$422,IFERROR(LOOKUP(2,1/((HISTORIAL!$O$3:$O$422=D424&amp;"|"&amp;E424)*(HISTORIAL!$F$3:$F$422&gt;0)),HISTORIAL!$F$3:$F$422),0))&gt;=2,IF(IFERROR(LOOKUP(2,1/((HISTORIAL!$O$3:$O$422=D424&amp;"|"&amp;E424)*(HISTORIAL!$F$3:$F$422&gt;0)),HISTORIAL!$G$3:$G$422),0)&gt;0,IF(F424&gt;0,IF(G424&lt;=IFERROR(LOOKUP(2,1/((HISTORIAL!$O$3:$O$422=D424&amp;"|"&amp;E424)*(HISTORIAL!$F$3:$F$422&gt;0)),HISTORIAL!$G$3:$G$422),0),1,0),0),0),0))</f>
        <v>0</v>
      </c>
    </row>
    <row r="425" spans="1:15" ht="14.1" customHeight="1">
      <c r="A425" s="37">
        <v>7</v>
      </c>
      <c r="B425" s="37" t="s">
        <v>280</v>
      </c>
      <c r="C425" s="37">
        <v>7</v>
      </c>
      <c r="D425" s="56" t="str">
        <f>JUEVES!$A$172</f>
        <v>Press Inclinado</v>
      </c>
      <c r="E425" s="57" t="str">
        <f>JUEVES!$B$172</f>
        <v>Multipower</v>
      </c>
      <c r="F425" s="37" t="str">
        <f>JUEVES!$C$172</f>
        <v>disco</v>
      </c>
      <c r="G425" s="37" t="str">
        <f>IFERROR(LOOKUP(2,1/((HISTORIAL!$O$3:$O$423=D425&amp;"|"&amp;E425)*(HISTORIAL!$F$3:$F$423&lt;&gt;"")),HISTORIAL!$F$3:$F$423),"")</f>
        <v/>
      </c>
      <c r="H425" s="37" t="str">
        <f>IFERROR(LOOKUP(2,1/((HISTORIAL!$O$3:$O$423=D425&amp;"|"&amp;E425)*(HISTORIAL!$F$3:$F$423&lt;&gt;"")),HISTORIAL!$G$3:$G$423),"")</f>
        <v/>
      </c>
      <c r="I425" s="37" t="str">
        <f>IFERROR(LOOKUP(2,1/((HISTORIAL!$O$3:$O$423=D425&amp;"|"&amp;E425)*(HISTORIAL!$F$3:$F$423&lt;&gt;"")),HISTORIAL!$H$3:$H$423),"")</f>
        <v/>
      </c>
      <c r="J425" s="37" t="str">
        <f>IFERROR(LOOKUP(2,1/((HISTORIAL!$O$3:$O$423=D425&amp;"|"&amp;E425)*(HISTORIAL!$F$3:$F$423&lt;&gt;"")),HISTORIAL!$I$3:$I$423),"")</f>
        <v/>
      </c>
      <c r="K425" s="58" t="str">
        <f>IFERROR(IF(OR(G425="",N425="SIN"),"--",IF(N425="SUBIR_F",IF(F425="polea",IFERROR(INDEX(CONFIG!$B$25:$B$40,MATCH(G425,CONFIG!$B$25:$B$40,0)+2),IFERROR(INDEX(CONFIG!$B$25:$B$40,MATCH(G425,CONFIG!$B$25:$B$40,0)+1),G425)),G425+5),IF(OR(N425="SUBIR",N425="SUBIR_E"),IF(F425="polea",IFERROR(INDEX(CONFIG!$B$25:$B$40,MATCH(G425,CONFIG!$B$25:$B$40,0)+1),G425),G425+2.5),IF(N425="BAJAR",IF(F425="polea",IFERROR(INDEX(CONFIG!$B$25:$B$40,MAX(1,MATCH(G425,CONFIG!$B$25:$B$40,0)-1)),G425),MAX(0,G425-2.5)),G425)))),"--")</f>
        <v>--</v>
      </c>
      <c r="L425" s="59" t="str">
        <f>IFERROR(IF(N425="SIN","--",IF(N425="MANT",IF(H425="","--",H425+1),IFERROR(VLOOKUP(CONFIG!$E$2,CONFIG!$A$6:$E$8,2,0),"--"))),"--")</f>
        <v>--</v>
      </c>
      <c r="M425" s="59" t="str">
        <f>IFERROR(IF(N425="SIN","--",IF(CONFIG!$E$2="HIP",2,IF(CONFIG!$E$2="FUE",1,2))),"--")</f>
        <v>--</v>
      </c>
      <c r="N425" s="53" t="str">
        <f>IFERROR(IF(G425="","SIN",IF(O425=1,"SUBIR_E",IF(H425&lt;IFERROR(VLOOKUP(CONFIG!$E$2,CONFIG!$A$6:$E$8,2,0),6),"BAJAR",IF(H425+I425&gt;=IFERROR(VLOOKUP(CONFIG!$E$2,CONFIG!$A$6:$E$8,3,0),12),"SUBIR_F",IF(AND(H425&gt;=IFERROR(VLOOKUP(CONFIG!$E$2,CONFIG!$A$6:$E$8,2,0),6)+2,I425&gt;=2),"SUBIR",IF(I425&gt;IFERROR(VLOOKUP(CONFIG!$E$2,CONFIG!$A$6:$E$8,5,0),3),"SUBIR","MANT")))))),"SIN")</f>
        <v>SIN</v>
      </c>
      <c r="O425" s="55">
        <f>IF(COUNTIFS(HISTORIAL!$O$3:$O$423,D425&amp;"|"&amp;E425,HISTORIAL!$F$3:$F$423,"&gt;0")&lt;2,0,IF(COUNTIFS(HISTORIAL!$O$3:$O$423,D425&amp;"|"&amp;E425,HISTORIAL!$F$3:$F$423,IFERROR(LOOKUP(2,1/((HISTORIAL!$O$3:$O$423=D425&amp;"|"&amp;E425)*(HISTORIAL!$F$3:$F$423&gt;0)),HISTORIAL!$F$3:$F$423),0))&gt;=2,IF(IFERROR(LOOKUP(2,1/((HISTORIAL!$O$3:$O$423=D425&amp;"|"&amp;E425)*(HISTORIAL!$F$3:$F$423&gt;0)),HISTORIAL!$G$3:$G$423),0)&gt;0,IF(F425&gt;0,IF(G425&lt;=IFERROR(LOOKUP(2,1/((HISTORIAL!$O$3:$O$423=D425&amp;"|"&amp;E425)*(HISTORIAL!$F$3:$F$423&gt;0)),HISTORIAL!$G$3:$G$423),0),1,0),0),0),0))</f>
        <v>0</v>
      </c>
    </row>
    <row r="426" spans="1:15" ht="14.1" customHeight="1">
      <c r="A426" s="37">
        <v>7</v>
      </c>
      <c r="B426" s="37" t="s">
        <v>280</v>
      </c>
      <c r="C426" s="37">
        <v>8</v>
      </c>
      <c r="D426" s="56" t="str">
        <f>JUEVES!$A$174</f>
        <v>Aperturas</v>
      </c>
      <c r="E426" s="57" t="str">
        <f>JUEVES!$B$174</f>
        <v>Pec Deck Maquina</v>
      </c>
      <c r="F426" s="37" t="str">
        <f>JUEVES!$C$174</f>
        <v>--</v>
      </c>
      <c r="G426" s="37" t="str">
        <f>IFERROR(LOOKUP(2,1/((HISTORIAL!$O$3:$O$424=D426&amp;"|"&amp;E426)*(HISTORIAL!$F$3:$F$424&lt;&gt;"")),HISTORIAL!$F$3:$F$424),"")</f>
        <v/>
      </c>
      <c r="H426" s="37" t="str">
        <f>IFERROR(LOOKUP(2,1/((HISTORIAL!$O$3:$O$424=D426&amp;"|"&amp;E426)*(HISTORIAL!$F$3:$F$424&lt;&gt;"")),HISTORIAL!$G$3:$G$424),"")</f>
        <v/>
      </c>
      <c r="I426" s="37" t="str">
        <f>IFERROR(LOOKUP(2,1/((HISTORIAL!$O$3:$O$424=D426&amp;"|"&amp;E426)*(HISTORIAL!$F$3:$F$424&lt;&gt;"")),HISTORIAL!$H$3:$H$424),"")</f>
        <v/>
      </c>
      <c r="J426" s="37" t="str">
        <f>IFERROR(LOOKUP(2,1/((HISTORIAL!$O$3:$O$424=D426&amp;"|"&amp;E426)*(HISTORIAL!$F$3:$F$424&lt;&gt;"")),HISTORIAL!$I$3:$I$424),"")</f>
        <v/>
      </c>
      <c r="K426" s="58" t="str">
        <f>IFERROR(IF(OR(G426="",N426="SIN"),"--",IF(N426="SUBIR_F",IF(F426="polea",IFERROR(INDEX(CONFIG!$B$25:$B$40,MATCH(G426,CONFIG!$B$25:$B$40,0)+2),IFERROR(INDEX(CONFIG!$B$25:$B$40,MATCH(G426,CONFIG!$B$25:$B$40,0)+1),G426)),G426+5),IF(OR(N426="SUBIR",N426="SUBIR_E"),IF(F426="polea",IFERROR(INDEX(CONFIG!$B$25:$B$40,MATCH(G426,CONFIG!$B$25:$B$40,0)+1),G426),G426+2.5),IF(N426="BAJAR",IF(F426="polea",IFERROR(INDEX(CONFIG!$B$25:$B$40,MAX(1,MATCH(G426,CONFIG!$B$25:$B$40,0)-1)),G426),MAX(0,G426-2.5)),G426)))),"--")</f>
        <v>--</v>
      </c>
      <c r="L426" s="59" t="str">
        <f>IFERROR(IF(N426="SIN","--",IF(N426="MANT",IF(H426="","--",H426+1),IFERROR(VLOOKUP(CONFIG!$E$2,CONFIG!$A$6:$E$8,2,0),"--"))),"--")</f>
        <v>--</v>
      </c>
      <c r="M426" s="59" t="str">
        <f>IFERROR(IF(N426="SIN","--",IF(CONFIG!$E$2="HIP",2,IF(CONFIG!$E$2="FUE",1,2))),"--")</f>
        <v>--</v>
      </c>
      <c r="N426" s="53" t="str">
        <f>IFERROR(IF(G426="","SIN",IF(O426=1,"SUBIR_E",IF(H426&lt;IFERROR(VLOOKUP(CONFIG!$E$2,CONFIG!$A$6:$E$8,2,0),6),"BAJAR",IF(H426+I426&gt;=IFERROR(VLOOKUP(CONFIG!$E$2,CONFIG!$A$6:$E$8,3,0),12),"SUBIR_F",IF(AND(H426&gt;=IFERROR(VLOOKUP(CONFIG!$E$2,CONFIG!$A$6:$E$8,2,0),6)+2,I426&gt;=2),"SUBIR",IF(I426&gt;IFERROR(VLOOKUP(CONFIG!$E$2,CONFIG!$A$6:$E$8,5,0),3),"SUBIR","MANT")))))),"SIN")</f>
        <v>SIN</v>
      </c>
      <c r="O426" s="55">
        <f>IF(COUNTIFS(HISTORIAL!$O$3:$O$424,D426&amp;"|"&amp;E426,HISTORIAL!$F$3:$F$424,"&gt;0")&lt;2,0,IF(COUNTIFS(HISTORIAL!$O$3:$O$424,D426&amp;"|"&amp;E426,HISTORIAL!$F$3:$F$424,IFERROR(LOOKUP(2,1/((HISTORIAL!$O$3:$O$424=D426&amp;"|"&amp;E426)*(HISTORIAL!$F$3:$F$424&gt;0)),HISTORIAL!$F$3:$F$424),0))&gt;=2,IF(IFERROR(LOOKUP(2,1/((HISTORIAL!$O$3:$O$424=D426&amp;"|"&amp;E426)*(HISTORIAL!$F$3:$F$424&gt;0)),HISTORIAL!$G$3:$G$424),0)&gt;0,IF(F426&gt;0,IF(G426&lt;=IFERROR(LOOKUP(2,1/((HISTORIAL!$O$3:$O$424=D426&amp;"|"&amp;E426)*(HISTORIAL!$F$3:$F$424&gt;0)),HISTORIAL!$G$3:$G$424),0),1,0),0),0),0))</f>
        <v>0</v>
      </c>
    </row>
    <row r="427" spans="1:15" ht="14.1" customHeight="1">
      <c r="A427" s="37">
        <v>7</v>
      </c>
      <c r="B427" s="37" t="s">
        <v>280</v>
      </c>
      <c r="C427" s="37">
        <v>9</v>
      </c>
      <c r="D427" s="56" t="str">
        <f>JUEVES!$A$176</f>
        <v>Press Polea</v>
      </c>
      <c r="E427" s="57" t="str">
        <f>JUEVES!$B$176</f>
        <v>Barra Recta Diagonal Arriba</v>
      </c>
      <c r="F427" s="37" t="str">
        <f>JUEVES!$C$176</f>
        <v>polea</v>
      </c>
      <c r="G427" s="37" t="str">
        <f>IFERROR(LOOKUP(2,1/((HISTORIAL!$O$3:$O$425=D427&amp;"|"&amp;E427)*(HISTORIAL!$F$3:$F$425&lt;&gt;"")),HISTORIAL!$F$3:$F$425),"")</f>
        <v/>
      </c>
      <c r="H427" s="37" t="str">
        <f>IFERROR(LOOKUP(2,1/((HISTORIAL!$O$3:$O$425=D427&amp;"|"&amp;E427)*(HISTORIAL!$F$3:$F$425&lt;&gt;"")),HISTORIAL!$G$3:$G$425),"")</f>
        <v/>
      </c>
      <c r="I427" s="37" t="str">
        <f>IFERROR(LOOKUP(2,1/((HISTORIAL!$O$3:$O$425=D427&amp;"|"&amp;E427)*(HISTORIAL!$F$3:$F$425&lt;&gt;"")),HISTORIAL!$H$3:$H$425),"")</f>
        <v/>
      </c>
      <c r="J427" s="37" t="str">
        <f>IFERROR(LOOKUP(2,1/((HISTORIAL!$O$3:$O$425=D427&amp;"|"&amp;E427)*(HISTORIAL!$F$3:$F$425&lt;&gt;"")),HISTORIAL!$I$3:$I$425),"")</f>
        <v/>
      </c>
      <c r="K427" s="58" t="str">
        <f>IFERROR(IF(OR(G427="",N427="SIN"),"--",IF(N427="SUBIR_F",IF(F427="polea",IFERROR(INDEX(CONFIG!$B$25:$B$40,MATCH(G427,CONFIG!$B$25:$B$40,0)+2),IFERROR(INDEX(CONFIG!$B$25:$B$40,MATCH(G427,CONFIG!$B$25:$B$40,0)+1),G427)),G427+5),IF(OR(N427="SUBIR",N427="SUBIR_E"),IF(F427="polea",IFERROR(INDEX(CONFIG!$B$25:$B$40,MATCH(G427,CONFIG!$B$25:$B$40,0)+1),G427),G427+2.5),IF(N427="BAJAR",IF(F427="polea",IFERROR(INDEX(CONFIG!$B$25:$B$40,MAX(1,MATCH(G427,CONFIG!$B$25:$B$40,0)-1)),G427),MAX(0,G427-2.5)),G427)))),"--")</f>
        <v>--</v>
      </c>
      <c r="L427" s="59" t="str">
        <f>IFERROR(IF(N427="SIN","--",IF(N427="MANT",IF(H427="","--",H427+1),IFERROR(VLOOKUP(CONFIG!$E$2,CONFIG!$A$6:$E$8,2,0),"--"))),"--")</f>
        <v>--</v>
      </c>
      <c r="M427" s="59" t="str">
        <f>IFERROR(IF(N427="SIN","--",IF(CONFIG!$E$2="HIP",2,IF(CONFIG!$E$2="FUE",1,2))),"--")</f>
        <v>--</v>
      </c>
      <c r="N427" s="53" t="str">
        <f>IFERROR(IF(G427="","SIN",IF(O427=1,"SUBIR_E",IF(H427&lt;IFERROR(VLOOKUP(CONFIG!$E$2,CONFIG!$A$6:$E$8,2,0),6),"BAJAR",IF(H427+I427&gt;=IFERROR(VLOOKUP(CONFIG!$E$2,CONFIG!$A$6:$E$8,3,0),12),"SUBIR_F",IF(AND(H427&gt;=IFERROR(VLOOKUP(CONFIG!$E$2,CONFIG!$A$6:$E$8,2,0),6)+2,I427&gt;=2),"SUBIR",IF(I427&gt;IFERROR(VLOOKUP(CONFIG!$E$2,CONFIG!$A$6:$E$8,5,0),3),"SUBIR","MANT")))))),"SIN")</f>
        <v>SIN</v>
      </c>
      <c r="O427" s="55">
        <f>IF(COUNTIFS(HISTORIAL!$O$3:$O$425,D427&amp;"|"&amp;E427,HISTORIAL!$F$3:$F$425,"&gt;0")&lt;2,0,IF(COUNTIFS(HISTORIAL!$O$3:$O$425,D427&amp;"|"&amp;E427,HISTORIAL!$F$3:$F$425,IFERROR(LOOKUP(2,1/((HISTORIAL!$O$3:$O$425=D427&amp;"|"&amp;E427)*(HISTORIAL!$F$3:$F$425&gt;0)),HISTORIAL!$F$3:$F$425),0))&gt;=2,IF(IFERROR(LOOKUP(2,1/((HISTORIAL!$O$3:$O$425=D427&amp;"|"&amp;E427)*(HISTORIAL!$F$3:$F$425&gt;0)),HISTORIAL!$G$3:$G$425),0)&gt;0,IF(F427&gt;0,IF(G427&lt;=IFERROR(LOOKUP(2,1/((HISTORIAL!$O$3:$O$425=D427&amp;"|"&amp;E427)*(HISTORIAL!$F$3:$F$425&gt;0)),HISTORIAL!$G$3:$G$425),0),1,0),0),0),0))</f>
        <v>0</v>
      </c>
    </row>
    <row r="428" spans="1:15" ht="14.1" customHeight="1">
      <c r="A428" s="37">
        <v>7</v>
      </c>
      <c r="B428" s="37" t="s">
        <v>280</v>
      </c>
      <c r="C428" s="37">
        <v>10</v>
      </c>
      <c r="D428" s="56" t="str">
        <f>JUEVES!$A$177</f>
        <v>Extension Triceps</v>
      </c>
      <c r="E428" s="57" t="str">
        <f>JUEVES!$B$177</f>
        <v>Polea Sobre Cabeza</v>
      </c>
      <c r="F428" s="37" t="str">
        <f>JUEVES!$C$177</f>
        <v>--</v>
      </c>
      <c r="G428" s="37" t="str">
        <f>IFERROR(LOOKUP(2,1/((HISTORIAL!$O$3:$O$426=D428&amp;"|"&amp;E428)*(HISTORIAL!$F$3:$F$426&lt;&gt;"")),HISTORIAL!$F$3:$F$426),"")</f>
        <v/>
      </c>
      <c r="H428" s="37" t="str">
        <f>IFERROR(LOOKUP(2,1/((HISTORIAL!$O$3:$O$426=D428&amp;"|"&amp;E428)*(HISTORIAL!$F$3:$F$426&lt;&gt;"")),HISTORIAL!$G$3:$G$426),"")</f>
        <v/>
      </c>
      <c r="I428" s="37" t="str">
        <f>IFERROR(LOOKUP(2,1/((HISTORIAL!$O$3:$O$426=D428&amp;"|"&amp;E428)*(HISTORIAL!$F$3:$F$426&lt;&gt;"")),HISTORIAL!$H$3:$H$426),"")</f>
        <v/>
      </c>
      <c r="J428" s="37" t="str">
        <f>IFERROR(LOOKUP(2,1/((HISTORIAL!$O$3:$O$426=D428&amp;"|"&amp;E428)*(HISTORIAL!$F$3:$F$426&lt;&gt;"")),HISTORIAL!$I$3:$I$426),"")</f>
        <v/>
      </c>
      <c r="K428" s="58" t="str">
        <f>IFERROR(IF(OR(G428="",N428="SIN"),"--",IF(N428="SUBIR_F",IF(F428="polea",IFERROR(INDEX(CONFIG!$B$25:$B$40,MATCH(G428,CONFIG!$B$25:$B$40,0)+2),IFERROR(INDEX(CONFIG!$B$25:$B$40,MATCH(G428,CONFIG!$B$25:$B$40,0)+1),G428)),G428+5),IF(OR(N428="SUBIR",N428="SUBIR_E"),IF(F428="polea",IFERROR(INDEX(CONFIG!$B$25:$B$40,MATCH(G428,CONFIG!$B$25:$B$40,0)+1),G428),G428+2.5),IF(N428="BAJAR",IF(F428="polea",IFERROR(INDEX(CONFIG!$B$25:$B$40,MAX(1,MATCH(G428,CONFIG!$B$25:$B$40,0)-1)),G428),MAX(0,G428-2.5)),G428)))),"--")</f>
        <v>--</v>
      </c>
      <c r="L428" s="59" t="str">
        <f>IFERROR(IF(N428="SIN","--",IF(N428="MANT",IF(H428="","--",H428+1),IFERROR(VLOOKUP(CONFIG!$E$2,CONFIG!$A$6:$E$8,2,0),"--"))),"--")</f>
        <v>--</v>
      </c>
      <c r="M428" s="59" t="str">
        <f>IFERROR(IF(N428="SIN","--",IF(CONFIG!$E$2="HIP",2,IF(CONFIG!$E$2="FUE",1,2))),"--")</f>
        <v>--</v>
      </c>
      <c r="N428" s="53" t="str">
        <f>IFERROR(IF(G428="","SIN",IF(O428=1,"SUBIR_E",IF(H428&lt;IFERROR(VLOOKUP(CONFIG!$E$2,CONFIG!$A$6:$E$8,2,0),6),"BAJAR",IF(H428+I428&gt;=IFERROR(VLOOKUP(CONFIG!$E$2,CONFIG!$A$6:$E$8,3,0),12),"SUBIR_F",IF(AND(H428&gt;=IFERROR(VLOOKUP(CONFIG!$E$2,CONFIG!$A$6:$E$8,2,0),6)+2,I428&gt;=2),"SUBIR",IF(I428&gt;IFERROR(VLOOKUP(CONFIG!$E$2,CONFIG!$A$6:$E$8,5,0),3),"SUBIR","MANT")))))),"SIN")</f>
        <v>SIN</v>
      </c>
      <c r="O428" s="55">
        <f>IF(COUNTIFS(HISTORIAL!$O$3:$O$426,D428&amp;"|"&amp;E428,HISTORIAL!$F$3:$F$426,"&gt;0")&lt;2,0,IF(COUNTIFS(HISTORIAL!$O$3:$O$426,D428&amp;"|"&amp;E428,HISTORIAL!$F$3:$F$426,IFERROR(LOOKUP(2,1/((HISTORIAL!$O$3:$O$426=D428&amp;"|"&amp;E428)*(HISTORIAL!$F$3:$F$426&gt;0)),HISTORIAL!$F$3:$F$426),0))&gt;=2,IF(IFERROR(LOOKUP(2,1/((HISTORIAL!$O$3:$O$426=D428&amp;"|"&amp;E428)*(HISTORIAL!$F$3:$F$426&gt;0)),HISTORIAL!$G$3:$G$426),0)&gt;0,IF(F428&gt;0,IF(G428&lt;=IFERROR(LOOKUP(2,1/((HISTORIAL!$O$3:$O$426=D428&amp;"|"&amp;E428)*(HISTORIAL!$F$3:$F$426&gt;0)),HISTORIAL!$G$3:$G$426),0),1,0),0),0),0))</f>
        <v>0</v>
      </c>
    </row>
    <row r="429" spans="1:15" ht="14.1" customHeight="1">
      <c r="A429" s="37">
        <v>7</v>
      </c>
      <c r="B429" s="37" t="s">
        <v>280</v>
      </c>
      <c r="C429" s="37">
        <v>11</v>
      </c>
      <c r="D429" s="56" t="str">
        <f>JUEVES!$A$179</f>
        <v>Extension Cuadriceps</v>
      </c>
      <c r="E429" s="57" t="str">
        <f>JUEVES!$B$179</f>
        <v>Vasto Interno</v>
      </c>
      <c r="F429" s="37" t="str">
        <f>JUEVES!$C$179</f>
        <v>--</v>
      </c>
      <c r="G429" s="37" t="str">
        <f>IFERROR(LOOKUP(2,1/((HISTORIAL!$O$3:$O$427=D429&amp;"|"&amp;E429)*(HISTORIAL!$F$3:$F$427&lt;&gt;"")),HISTORIAL!$F$3:$F$427),"")</f>
        <v/>
      </c>
      <c r="H429" s="37" t="str">
        <f>IFERROR(LOOKUP(2,1/((HISTORIAL!$O$3:$O$427=D429&amp;"|"&amp;E429)*(HISTORIAL!$F$3:$F$427&lt;&gt;"")),HISTORIAL!$G$3:$G$427),"")</f>
        <v/>
      </c>
      <c r="I429" s="37" t="str">
        <f>IFERROR(LOOKUP(2,1/((HISTORIAL!$O$3:$O$427=D429&amp;"|"&amp;E429)*(HISTORIAL!$F$3:$F$427&lt;&gt;"")),HISTORIAL!$H$3:$H$427),"")</f>
        <v/>
      </c>
      <c r="J429" s="37" t="str">
        <f>IFERROR(LOOKUP(2,1/((HISTORIAL!$O$3:$O$427=D429&amp;"|"&amp;E429)*(HISTORIAL!$F$3:$F$427&lt;&gt;"")),HISTORIAL!$I$3:$I$427),"")</f>
        <v/>
      </c>
      <c r="K429" s="58" t="str">
        <f>IFERROR(IF(OR(G429="",N429="SIN"),"--",IF(N429="SUBIR_F",IF(F429="polea",IFERROR(INDEX(CONFIG!$B$25:$B$40,MATCH(G429,CONFIG!$B$25:$B$40,0)+2),IFERROR(INDEX(CONFIG!$B$25:$B$40,MATCH(G429,CONFIG!$B$25:$B$40,0)+1),G429)),G429+5),IF(OR(N429="SUBIR",N429="SUBIR_E"),IF(F429="polea",IFERROR(INDEX(CONFIG!$B$25:$B$40,MATCH(G429,CONFIG!$B$25:$B$40,0)+1),G429),G429+2.5),IF(N429="BAJAR",IF(F429="polea",IFERROR(INDEX(CONFIG!$B$25:$B$40,MAX(1,MATCH(G429,CONFIG!$B$25:$B$40,0)-1)),G429),MAX(0,G429-2.5)),G429)))),"--")</f>
        <v>--</v>
      </c>
      <c r="L429" s="59" t="str">
        <f>IFERROR(IF(N429="SIN","--",IF(N429="MANT",IF(H429="","--",H429+1),IFERROR(VLOOKUP(CONFIG!$E$2,CONFIG!$A$6:$E$8,2,0),"--"))),"--")</f>
        <v>--</v>
      </c>
      <c r="M429" s="59" t="str">
        <f>IFERROR(IF(N429="SIN","--",IF(CONFIG!$E$2="HIP",2,IF(CONFIG!$E$2="FUE",1,2))),"--")</f>
        <v>--</v>
      </c>
      <c r="N429" s="53" t="str">
        <f>IFERROR(IF(G429="","SIN",IF(O429=1,"SUBIR_E",IF(H429&lt;IFERROR(VLOOKUP(CONFIG!$E$2,CONFIG!$A$6:$E$8,2,0),6),"BAJAR",IF(H429+I429&gt;=IFERROR(VLOOKUP(CONFIG!$E$2,CONFIG!$A$6:$E$8,3,0),12),"SUBIR_F",IF(AND(H429&gt;=IFERROR(VLOOKUP(CONFIG!$E$2,CONFIG!$A$6:$E$8,2,0),6)+2,I429&gt;=2),"SUBIR",IF(I429&gt;IFERROR(VLOOKUP(CONFIG!$E$2,CONFIG!$A$6:$E$8,5,0),3),"SUBIR","MANT")))))),"SIN")</f>
        <v>SIN</v>
      </c>
      <c r="O429" s="55">
        <f>IF(COUNTIFS(HISTORIAL!$O$3:$O$427,D429&amp;"|"&amp;E429,HISTORIAL!$F$3:$F$427,"&gt;0")&lt;2,0,IF(COUNTIFS(HISTORIAL!$O$3:$O$427,D429&amp;"|"&amp;E429,HISTORIAL!$F$3:$F$427,IFERROR(LOOKUP(2,1/((HISTORIAL!$O$3:$O$427=D429&amp;"|"&amp;E429)*(HISTORIAL!$F$3:$F$427&gt;0)),HISTORIAL!$F$3:$F$427),0))&gt;=2,IF(IFERROR(LOOKUP(2,1/((HISTORIAL!$O$3:$O$427=D429&amp;"|"&amp;E429)*(HISTORIAL!$F$3:$F$427&gt;0)),HISTORIAL!$G$3:$G$427),0)&gt;0,IF(F429&gt;0,IF(G429&lt;=IFERROR(LOOKUP(2,1/((HISTORIAL!$O$3:$O$427=D429&amp;"|"&amp;E429)*(HISTORIAL!$F$3:$F$427&gt;0)),HISTORIAL!$G$3:$G$427),0),1,0),0),0),0))</f>
        <v>0</v>
      </c>
    </row>
    <row r="430" spans="1:15" ht="14.1" customHeight="1">
      <c r="A430" s="37">
        <v>7</v>
      </c>
      <c r="B430" s="37" t="s">
        <v>280</v>
      </c>
      <c r="C430" s="37">
        <v>12</v>
      </c>
      <c r="D430" s="56" t="str">
        <f>JUEVES!$A$181</f>
        <v>Curl Biceps</v>
      </c>
      <c r="E430" s="57" t="str">
        <f>JUEVES!$B$181</f>
        <v>Concentrado Maquina</v>
      </c>
      <c r="F430" s="37" t="str">
        <f>JUEVES!$C$181</f>
        <v>polea</v>
      </c>
      <c r="G430" s="37">
        <f>IFERROR(LOOKUP(2,1/((HISTORIAL!$O$3:$O$428=D430&amp;"|"&amp;E430)*(HISTORIAL!$F$3:$F$428&lt;&gt;"")),HISTORIAL!$F$3:$F$428),"")</f>
        <v>40</v>
      </c>
      <c r="H430" s="37">
        <f>IFERROR(LOOKUP(2,1/((HISTORIAL!$O$3:$O$428=D430&amp;"|"&amp;E430)*(HISTORIAL!$F$3:$F$428&lt;&gt;"")),HISTORIAL!$G$3:$G$428),"")</f>
        <v>6</v>
      </c>
      <c r="I430" s="37">
        <f>IFERROR(LOOKUP(2,1/((HISTORIAL!$O$3:$O$428=D430&amp;"|"&amp;E430)*(HISTORIAL!$F$3:$F$428&lt;&gt;"")),HISTORIAL!$H$3:$H$428),"")</f>
        <v>0</v>
      </c>
      <c r="J430" s="37" t="str">
        <f>IFERROR(LOOKUP(2,1/((HISTORIAL!$O$3:$O$428=D430&amp;"|"&amp;E430)*(HISTORIAL!$F$3:$F$428&lt;&gt;"")),HISTORIAL!$I$3:$I$428),"")</f>
        <v>B</v>
      </c>
      <c r="K430" s="58">
        <f>IFERROR(IF(OR(G430="",N430="SIN"),"--",IF(N430="SUBIR_F",IF(F430="polea",IFERROR(INDEX(CONFIG!$B$25:$B$40,MATCH(G430,CONFIG!$B$25:$B$40,0)+2),IFERROR(INDEX(CONFIG!$B$25:$B$40,MATCH(G430,CONFIG!$B$25:$B$40,0)+1),G430)),G430+5),IF(OR(N430="SUBIR",N430="SUBIR_E"),IF(F430="polea",IFERROR(INDEX(CONFIG!$B$25:$B$40,MATCH(G430,CONFIG!$B$25:$B$40,0)+1),G430),G430+2.5),IF(N430="BAJAR",IF(F430="polea",IFERROR(INDEX(CONFIG!$B$25:$B$40,MAX(1,MATCH(G430,CONFIG!$B$25:$B$40,0)-1)),G430),MAX(0,G430-2.5)),G430)))),"--")</f>
        <v>40</v>
      </c>
      <c r="L430" s="59">
        <f>IFERROR(IF(N430="SIN","--",IF(N430="MANT",IF(H430="","--",H430+1),IFERROR(VLOOKUP(CONFIG!$E$2,CONFIG!$A$6:$E$8,2,0),"--"))),"--")</f>
        <v>7</v>
      </c>
      <c r="M430" s="59">
        <f>IFERROR(IF(N430="SIN","--",IF(CONFIG!$E$2="HIP",2,IF(CONFIG!$E$2="FUE",1,2))),"--")</f>
        <v>2</v>
      </c>
      <c r="N430" s="53" t="str">
        <f>IFERROR(IF(G430="","SIN",IF(O430=1,"SUBIR_E",IF(H430&lt;IFERROR(VLOOKUP(CONFIG!$E$2,CONFIG!$A$6:$E$8,2,0),6),"BAJAR",IF(H430+I430&gt;=IFERROR(VLOOKUP(CONFIG!$E$2,CONFIG!$A$6:$E$8,3,0),12),"SUBIR_F",IF(AND(H430&gt;=IFERROR(VLOOKUP(CONFIG!$E$2,CONFIG!$A$6:$E$8,2,0),6)+2,I430&gt;=2),"SUBIR",IF(I430&gt;IFERROR(VLOOKUP(CONFIG!$E$2,CONFIG!$A$6:$E$8,5,0),3),"SUBIR","MANT")))))),"SIN")</f>
        <v>MANT</v>
      </c>
      <c r="O430" s="55">
        <f>IF(COUNTIFS(HISTORIAL!$O$3:$O$428,D430&amp;"|"&amp;E430,HISTORIAL!$F$3:$F$428,"&gt;0")&lt;2,0,IF(COUNTIFS(HISTORIAL!$O$3:$O$428,D430&amp;"|"&amp;E430,HISTORIAL!$F$3:$F$428,IFERROR(LOOKUP(2,1/((HISTORIAL!$O$3:$O$428=D430&amp;"|"&amp;E430)*(HISTORIAL!$F$3:$F$428&gt;0)),HISTORIAL!$F$3:$F$428),0))&gt;=2,IF(IFERROR(LOOKUP(2,1/((HISTORIAL!$O$3:$O$428=D430&amp;"|"&amp;E430)*(HISTORIAL!$F$3:$F$428&gt;0)),HISTORIAL!$G$3:$G$428),0)&gt;0,IF(F430&gt;0,IF(G430&lt;=IFERROR(LOOKUP(2,1/((HISTORIAL!$O$3:$O$428=D430&amp;"|"&amp;E430)*(HISTORIAL!$F$3:$F$428&gt;0)),HISTORIAL!$G$3:$G$428),0),1,0),0),0),0))</f>
        <v>0</v>
      </c>
    </row>
    <row r="431" spans="1:15" ht="14.1" customHeight="1">
      <c r="A431" s="37">
        <v>7</v>
      </c>
      <c r="B431" s="37" t="s">
        <v>280</v>
      </c>
      <c r="C431" s="37">
        <v>13</v>
      </c>
      <c r="D431" s="56" t="str">
        <f>JUEVES!$A$183</f>
        <v>Crunch</v>
      </c>
      <c r="E431" s="57" t="str">
        <f>JUEVES!$B$183</f>
        <v>Polea</v>
      </c>
      <c r="F431" s="37" t="str">
        <f>JUEVES!$C$183</f>
        <v>polea</v>
      </c>
      <c r="G431" s="37" t="str">
        <f>IFERROR(LOOKUP(2,1/((HISTORIAL!$O$3:$O$429=D431&amp;"|"&amp;E431)*(HISTORIAL!$F$3:$F$429&lt;&gt;"")),HISTORIAL!$F$3:$F$429),"")</f>
        <v/>
      </c>
      <c r="H431" s="37" t="str">
        <f>IFERROR(LOOKUP(2,1/((HISTORIAL!$O$3:$O$429=D431&amp;"|"&amp;E431)*(HISTORIAL!$F$3:$F$429&lt;&gt;"")),HISTORIAL!$G$3:$G$429),"")</f>
        <v/>
      </c>
      <c r="I431" s="37" t="str">
        <f>IFERROR(LOOKUP(2,1/((HISTORIAL!$O$3:$O$429=D431&amp;"|"&amp;E431)*(HISTORIAL!$F$3:$F$429&lt;&gt;"")),HISTORIAL!$H$3:$H$429),"")</f>
        <v/>
      </c>
      <c r="J431" s="37" t="str">
        <f>IFERROR(LOOKUP(2,1/((HISTORIAL!$O$3:$O$429=D431&amp;"|"&amp;E431)*(HISTORIAL!$F$3:$F$429&lt;&gt;"")),HISTORIAL!$I$3:$I$429),"")</f>
        <v/>
      </c>
      <c r="K431" s="58" t="str">
        <f>IFERROR(IF(OR(G431="",N431="SIN"),"--",IF(N431="SUBIR_F",IF(F431="polea",IFERROR(INDEX(CONFIG!$B$25:$B$40,MATCH(G431,CONFIG!$B$25:$B$40,0)+2),IFERROR(INDEX(CONFIG!$B$25:$B$40,MATCH(G431,CONFIG!$B$25:$B$40,0)+1),G431)),G431+5),IF(OR(N431="SUBIR",N431="SUBIR_E"),IF(F431="polea",IFERROR(INDEX(CONFIG!$B$25:$B$40,MATCH(G431,CONFIG!$B$25:$B$40,0)+1),G431),G431+2.5),IF(N431="BAJAR",IF(F431="polea",IFERROR(INDEX(CONFIG!$B$25:$B$40,MAX(1,MATCH(G431,CONFIG!$B$25:$B$40,0)-1)),G431),MAX(0,G431-2.5)),G431)))),"--")</f>
        <v>--</v>
      </c>
      <c r="L431" s="59" t="str">
        <f>IFERROR(IF(N431="SIN","--",IF(N431="MANT",IF(H431="","--",H431+1),IFERROR(VLOOKUP(CONFIG!$E$2,CONFIG!$A$6:$E$8,2,0),"--"))),"--")</f>
        <v>--</v>
      </c>
      <c r="M431" s="59" t="str">
        <f>IFERROR(IF(N431="SIN","--",IF(CONFIG!$E$2="HIP",2,IF(CONFIG!$E$2="FUE",1,2))),"--")</f>
        <v>--</v>
      </c>
      <c r="N431" s="53" t="str">
        <f>IFERROR(IF(G431="","SIN",IF(O431=1,"SUBIR_E",IF(H431&lt;IFERROR(VLOOKUP(CONFIG!$E$2,CONFIG!$A$6:$E$8,2,0),6),"BAJAR",IF(H431+I431&gt;=IFERROR(VLOOKUP(CONFIG!$E$2,CONFIG!$A$6:$E$8,3,0),12),"SUBIR_F",IF(AND(H431&gt;=IFERROR(VLOOKUP(CONFIG!$E$2,CONFIG!$A$6:$E$8,2,0),6)+2,I431&gt;=2),"SUBIR",IF(I431&gt;IFERROR(VLOOKUP(CONFIG!$E$2,CONFIG!$A$6:$E$8,5,0),3),"SUBIR","MANT")))))),"SIN")</f>
        <v>SIN</v>
      </c>
      <c r="O431" s="55">
        <f>IF(COUNTIFS(HISTORIAL!$O$3:$O$429,D431&amp;"|"&amp;E431,HISTORIAL!$F$3:$F$429,"&gt;0")&lt;2,0,IF(COUNTIFS(HISTORIAL!$O$3:$O$429,D431&amp;"|"&amp;E431,HISTORIAL!$F$3:$F$429,IFERROR(LOOKUP(2,1/((HISTORIAL!$O$3:$O$429=D431&amp;"|"&amp;E431)*(HISTORIAL!$F$3:$F$429&gt;0)),HISTORIAL!$F$3:$F$429),0))&gt;=2,IF(IFERROR(LOOKUP(2,1/((HISTORIAL!$O$3:$O$429=D431&amp;"|"&amp;E431)*(HISTORIAL!$F$3:$F$429&gt;0)),HISTORIAL!$G$3:$G$429),0)&gt;0,IF(F431&gt;0,IF(G431&lt;=IFERROR(LOOKUP(2,1/((HISTORIAL!$O$3:$O$429=D431&amp;"|"&amp;E431)*(HISTORIAL!$F$3:$F$429&gt;0)),HISTORIAL!$G$3:$G$429),0),1,0),0),0),0))</f>
        <v>0</v>
      </c>
    </row>
    <row r="432" spans="1:15" ht="14.1" customHeight="1">
      <c r="A432" s="37">
        <v>7</v>
      </c>
      <c r="B432" s="37" t="s">
        <v>281</v>
      </c>
      <c r="C432" s="37">
        <v>1</v>
      </c>
      <c r="D432" s="56" t="str">
        <f>SABADO!$A$157</f>
        <v>Pulldown</v>
      </c>
      <c r="E432" s="57" t="str">
        <f>SABADO!$B$157</f>
        <v>Polea Alta Brazos Rectos Prono</v>
      </c>
      <c r="F432" s="37" t="str">
        <f>SABADO!$C$157</f>
        <v>polea</v>
      </c>
      <c r="G432" s="37" t="str">
        <f>IFERROR(LOOKUP(2,1/((HISTORIAL!$O$3:$O$430=D432&amp;"|"&amp;E432)*(HISTORIAL!$F$3:$F$430&lt;&gt;"")),HISTORIAL!$F$3:$F$430),"")</f>
        <v/>
      </c>
      <c r="H432" s="37" t="str">
        <f>IFERROR(LOOKUP(2,1/((HISTORIAL!$O$3:$O$430=D432&amp;"|"&amp;E432)*(HISTORIAL!$F$3:$F$430&lt;&gt;"")),HISTORIAL!$G$3:$G$430),"")</f>
        <v/>
      </c>
      <c r="I432" s="37" t="str">
        <f>IFERROR(LOOKUP(2,1/((HISTORIAL!$O$3:$O$430=D432&amp;"|"&amp;E432)*(HISTORIAL!$F$3:$F$430&lt;&gt;"")),HISTORIAL!$H$3:$H$430),"")</f>
        <v/>
      </c>
      <c r="J432" s="37" t="str">
        <f>IFERROR(LOOKUP(2,1/((HISTORIAL!$O$3:$O$430=D432&amp;"|"&amp;E432)*(HISTORIAL!$F$3:$F$430&lt;&gt;"")),HISTORIAL!$I$3:$I$430),"")</f>
        <v/>
      </c>
      <c r="K432" s="58" t="str">
        <f>IFERROR(IF(OR(G432="",N432="SIN"),"--",IF(N432="SUBIR_F",IF(F432="polea",IFERROR(INDEX(CONFIG!$B$25:$B$40,MATCH(G432,CONFIG!$B$25:$B$40,0)+2),IFERROR(INDEX(CONFIG!$B$25:$B$40,MATCH(G432,CONFIG!$B$25:$B$40,0)+1),G432)),G432+5),IF(OR(N432="SUBIR",N432="SUBIR_E"),IF(F432="polea",IFERROR(INDEX(CONFIG!$B$25:$B$40,MATCH(G432,CONFIG!$B$25:$B$40,0)+1),G432),G432+2.5),IF(N432="BAJAR",IF(F432="polea",IFERROR(INDEX(CONFIG!$B$25:$B$40,MAX(1,MATCH(G432,CONFIG!$B$25:$B$40,0)-1)),G432),MAX(0,G432-2.5)),G432)))),"--")</f>
        <v>--</v>
      </c>
      <c r="L432" s="59" t="str">
        <f>IFERROR(IF(N432="SIN","--",IF(N432="MANT",IF(H432="","--",H432+1),IFERROR(VLOOKUP(CONFIG!$E$2,CONFIG!$A$6:$E$8,2,0),"--"))),"--")</f>
        <v>--</v>
      </c>
      <c r="M432" s="59" t="str">
        <f>IFERROR(IF(N432="SIN","--",IF(CONFIG!$E$2="HIP",2,IF(CONFIG!$E$2="FUE",1,2))),"--")</f>
        <v>--</v>
      </c>
      <c r="N432" s="53" t="str">
        <f>IFERROR(IF(G432="","SIN",IF(O432=1,"SUBIR_E",IF(H432&lt;IFERROR(VLOOKUP(CONFIG!$E$2,CONFIG!$A$6:$E$8,2,0),6),"BAJAR",IF(H432+I432&gt;=IFERROR(VLOOKUP(CONFIG!$E$2,CONFIG!$A$6:$E$8,3,0),12),"SUBIR_F",IF(AND(H432&gt;=IFERROR(VLOOKUP(CONFIG!$E$2,CONFIG!$A$6:$E$8,2,0),6)+2,I432&gt;=2),"SUBIR",IF(I432&gt;IFERROR(VLOOKUP(CONFIG!$E$2,CONFIG!$A$6:$E$8,5,0),3),"SUBIR","MANT")))))),"SIN")</f>
        <v>SIN</v>
      </c>
      <c r="O432" s="55">
        <f>IF(COUNTIFS(HISTORIAL!$O$3:$O$430,D432&amp;"|"&amp;E432,HISTORIAL!$F$3:$F$430,"&gt;0")&lt;2,0,IF(COUNTIFS(HISTORIAL!$O$3:$O$430,D432&amp;"|"&amp;E432,HISTORIAL!$F$3:$F$430,IFERROR(LOOKUP(2,1/((HISTORIAL!$O$3:$O$430=D432&amp;"|"&amp;E432)*(HISTORIAL!$F$3:$F$430&gt;0)),HISTORIAL!$F$3:$F$430),0))&gt;=2,IF(IFERROR(LOOKUP(2,1/((HISTORIAL!$O$3:$O$430=D432&amp;"|"&amp;E432)*(HISTORIAL!$F$3:$F$430&gt;0)),HISTORIAL!$G$3:$G$430),0)&gt;0,IF(F432&gt;0,IF(G432&lt;=IFERROR(LOOKUP(2,1/((HISTORIAL!$O$3:$O$430=D432&amp;"|"&amp;E432)*(HISTORIAL!$F$3:$F$430&gt;0)),HISTORIAL!$G$3:$G$430),0),1,0),0),0),0))</f>
        <v>0</v>
      </c>
    </row>
    <row r="433" spans="1:15" ht="14.1" customHeight="1">
      <c r="A433" s="37">
        <v>7</v>
      </c>
      <c r="B433" s="37" t="s">
        <v>281</v>
      </c>
      <c r="C433" s="37">
        <v>2</v>
      </c>
      <c r="D433" s="56" t="str">
        <f>SABADO!$A$159</f>
        <v>Remo</v>
      </c>
      <c r="E433" s="57" t="str">
        <f>SABADO!$B$159</f>
        <v>Maquina Neutro Estrecho</v>
      </c>
      <c r="F433" s="37" t="str">
        <f>SABADO!$C$159</f>
        <v>polea</v>
      </c>
      <c r="G433" s="37" t="str">
        <f>IFERROR(LOOKUP(2,1/((HISTORIAL!$O$3:$O$431=D433&amp;"|"&amp;E433)*(HISTORIAL!$F$3:$F$431&lt;&gt;"")),HISTORIAL!$F$3:$F$431),"")</f>
        <v/>
      </c>
      <c r="H433" s="37" t="str">
        <f>IFERROR(LOOKUP(2,1/((HISTORIAL!$O$3:$O$431=D433&amp;"|"&amp;E433)*(HISTORIAL!$F$3:$F$431&lt;&gt;"")),HISTORIAL!$G$3:$G$431),"")</f>
        <v/>
      </c>
      <c r="I433" s="37" t="str">
        <f>IFERROR(LOOKUP(2,1/((HISTORIAL!$O$3:$O$431=D433&amp;"|"&amp;E433)*(HISTORIAL!$F$3:$F$431&lt;&gt;"")),HISTORIAL!$H$3:$H$431),"")</f>
        <v/>
      </c>
      <c r="J433" s="37" t="str">
        <f>IFERROR(LOOKUP(2,1/((HISTORIAL!$O$3:$O$431=D433&amp;"|"&amp;E433)*(HISTORIAL!$F$3:$F$431&lt;&gt;"")),HISTORIAL!$I$3:$I$431),"")</f>
        <v/>
      </c>
      <c r="K433" s="58" t="str">
        <f>IFERROR(IF(OR(G433="",N433="SIN"),"--",IF(N433="SUBIR_F",IF(F433="polea",IFERROR(INDEX(CONFIG!$B$25:$B$40,MATCH(G433,CONFIG!$B$25:$B$40,0)+2),IFERROR(INDEX(CONFIG!$B$25:$B$40,MATCH(G433,CONFIG!$B$25:$B$40,0)+1),G433)),G433+5),IF(OR(N433="SUBIR",N433="SUBIR_E"),IF(F433="polea",IFERROR(INDEX(CONFIG!$B$25:$B$40,MATCH(G433,CONFIG!$B$25:$B$40,0)+1),G433),G433+2.5),IF(N433="BAJAR",IF(F433="polea",IFERROR(INDEX(CONFIG!$B$25:$B$40,MAX(1,MATCH(G433,CONFIG!$B$25:$B$40,0)-1)),G433),MAX(0,G433-2.5)),G433)))),"--")</f>
        <v>--</v>
      </c>
      <c r="L433" s="59" t="str">
        <f>IFERROR(IF(N433="SIN","--",IF(N433="MANT",IF(H433="","--",H433+1),IFERROR(VLOOKUP(CONFIG!$E$2,CONFIG!$A$6:$E$8,2,0),"--"))),"--")</f>
        <v>--</v>
      </c>
      <c r="M433" s="59" t="str">
        <f>IFERROR(IF(N433="SIN","--",IF(CONFIG!$E$2="HIP",2,IF(CONFIG!$E$2="FUE",1,2))),"--")</f>
        <v>--</v>
      </c>
      <c r="N433" s="53" t="str">
        <f>IFERROR(IF(G433="","SIN",IF(O433=1,"SUBIR_E",IF(H433&lt;IFERROR(VLOOKUP(CONFIG!$E$2,CONFIG!$A$6:$E$8,2,0),6),"BAJAR",IF(H433+I433&gt;=IFERROR(VLOOKUP(CONFIG!$E$2,CONFIG!$A$6:$E$8,3,0),12),"SUBIR_F",IF(AND(H433&gt;=IFERROR(VLOOKUP(CONFIG!$E$2,CONFIG!$A$6:$E$8,2,0),6)+2,I433&gt;=2),"SUBIR",IF(I433&gt;IFERROR(VLOOKUP(CONFIG!$E$2,CONFIG!$A$6:$E$8,5,0),3),"SUBIR","MANT")))))),"SIN")</f>
        <v>SIN</v>
      </c>
      <c r="O433" s="55">
        <f>IF(COUNTIFS(HISTORIAL!$O$3:$O$431,D433&amp;"|"&amp;E433,HISTORIAL!$F$3:$F$431,"&gt;0")&lt;2,0,IF(COUNTIFS(HISTORIAL!$O$3:$O$431,D433&amp;"|"&amp;E433,HISTORIAL!$F$3:$F$431,IFERROR(LOOKUP(2,1/((HISTORIAL!$O$3:$O$431=D433&amp;"|"&amp;E433)*(HISTORIAL!$F$3:$F$431&gt;0)),HISTORIAL!$F$3:$F$431),0))&gt;=2,IF(IFERROR(LOOKUP(2,1/((HISTORIAL!$O$3:$O$431=D433&amp;"|"&amp;E433)*(HISTORIAL!$F$3:$F$431&gt;0)),HISTORIAL!$G$3:$G$431),0)&gt;0,IF(F433&gt;0,IF(G433&lt;=IFERROR(LOOKUP(2,1/((HISTORIAL!$O$3:$O$431=D433&amp;"|"&amp;E433)*(HISTORIAL!$F$3:$F$431&gt;0)),HISTORIAL!$G$3:$G$431),0),1,0),0),0),0))</f>
        <v>0</v>
      </c>
    </row>
    <row r="434" spans="1:15" ht="14.1" customHeight="1">
      <c r="A434" s="37">
        <v>7</v>
      </c>
      <c r="B434" s="37" t="s">
        <v>281</v>
      </c>
      <c r="C434" s="37">
        <v>3</v>
      </c>
      <c r="D434" s="56" t="str">
        <f>SABADO!$A$160</f>
        <v>Remo</v>
      </c>
      <c r="E434" s="57" t="str">
        <f>SABADO!$B$160</f>
        <v>Maquina Neutro Ancho</v>
      </c>
      <c r="F434" s="37" t="str">
        <f>SABADO!$C$160</f>
        <v>polea</v>
      </c>
      <c r="G434" s="37" t="str">
        <f>IFERROR(LOOKUP(2,1/((HISTORIAL!$O$3:$O$432=D434&amp;"|"&amp;E434)*(HISTORIAL!$F$3:$F$432&lt;&gt;"")),HISTORIAL!$F$3:$F$432),"")</f>
        <v/>
      </c>
      <c r="H434" s="37" t="str">
        <f>IFERROR(LOOKUP(2,1/((HISTORIAL!$O$3:$O$432=D434&amp;"|"&amp;E434)*(HISTORIAL!$F$3:$F$432&lt;&gt;"")),HISTORIAL!$G$3:$G$432),"")</f>
        <v/>
      </c>
      <c r="I434" s="37" t="str">
        <f>IFERROR(LOOKUP(2,1/((HISTORIAL!$O$3:$O$432=D434&amp;"|"&amp;E434)*(HISTORIAL!$F$3:$F$432&lt;&gt;"")),HISTORIAL!$H$3:$H$432),"")</f>
        <v/>
      </c>
      <c r="J434" s="37" t="str">
        <f>IFERROR(LOOKUP(2,1/((HISTORIAL!$O$3:$O$432=D434&amp;"|"&amp;E434)*(HISTORIAL!$F$3:$F$432&lt;&gt;"")),HISTORIAL!$I$3:$I$432),"")</f>
        <v/>
      </c>
      <c r="K434" s="58" t="str">
        <f>IFERROR(IF(OR(G434="",N434="SIN"),"--",IF(N434="SUBIR_F",IF(F434="polea",IFERROR(INDEX(CONFIG!$B$25:$B$40,MATCH(G434,CONFIG!$B$25:$B$40,0)+2),IFERROR(INDEX(CONFIG!$B$25:$B$40,MATCH(G434,CONFIG!$B$25:$B$40,0)+1),G434)),G434+5),IF(OR(N434="SUBIR",N434="SUBIR_E"),IF(F434="polea",IFERROR(INDEX(CONFIG!$B$25:$B$40,MATCH(G434,CONFIG!$B$25:$B$40,0)+1),G434),G434+2.5),IF(N434="BAJAR",IF(F434="polea",IFERROR(INDEX(CONFIG!$B$25:$B$40,MAX(1,MATCH(G434,CONFIG!$B$25:$B$40,0)-1)),G434),MAX(0,G434-2.5)),G434)))),"--")</f>
        <v>--</v>
      </c>
      <c r="L434" s="59" t="str">
        <f>IFERROR(IF(N434="SIN","--",IF(N434="MANT",IF(H434="","--",H434+1),IFERROR(VLOOKUP(CONFIG!$E$2,CONFIG!$A$6:$E$8,2,0),"--"))),"--")</f>
        <v>--</v>
      </c>
      <c r="M434" s="59" t="str">
        <f>IFERROR(IF(N434="SIN","--",IF(CONFIG!$E$2="HIP",2,IF(CONFIG!$E$2="FUE",1,2))),"--")</f>
        <v>--</v>
      </c>
      <c r="N434" s="53" t="str">
        <f>IFERROR(IF(G434="","SIN",IF(O434=1,"SUBIR_E",IF(H434&lt;IFERROR(VLOOKUP(CONFIG!$E$2,CONFIG!$A$6:$E$8,2,0),6),"BAJAR",IF(H434+I434&gt;=IFERROR(VLOOKUP(CONFIG!$E$2,CONFIG!$A$6:$E$8,3,0),12),"SUBIR_F",IF(AND(H434&gt;=IFERROR(VLOOKUP(CONFIG!$E$2,CONFIG!$A$6:$E$8,2,0),6)+2,I434&gt;=2),"SUBIR",IF(I434&gt;IFERROR(VLOOKUP(CONFIG!$E$2,CONFIG!$A$6:$E$8,5,0),3),"SUBIR","MANT")))))),"SIN")</f>
        <v>SIN</v>
      </c>
      <c r="O434" s="55">
        <f>IF(COUNTIFS(HISTORIAL!$O$3:$O$432,D434&amp;"|"&amp;E434,HISTORIAL!$F$3:$F$432,"&gt;0")&lt;2,0,IF(COUNTIFS(HISTORIAL!$O$3:$O$432,D434&amp;"|"&amp;E434,HISTORIAL!$F$3:$F$432,IFERROR(LOOKUP(2,1/((HISTORIAL!$O$3:$O$432=D434&amp;"|"&amp;E434)*(HISTORIAL!$F$3:$F$432&gt;0)),HISTORIAL!$F$3:$F$432),0))&gt;=2,IF(IFERROR(LOOKUP(2,1/((HISTORIAL!$O$3:$O$432=D434&amp;"|"&amp;E434)*(HISTORIAL!$F$3:$F$432&gt;0)),HISTORIAL!$G$3:$G$432),0)&gt;0,IF(F434&gt;0,IF(G434&lt;=IFERROR(LOOKUP(2,1/((HISTORIAL!$O$3:$O$432=D434&amp;"|"&amp;E434)*(HISTORIAL!$F$3:$F$432&gt;0)),HISTORIAL!$G$3:$G$432),0),1,0),0),0),0))</f>
        <v>0</v>
      </c>
    </row>
    <row r="435" spans="1:15" ht="14.1" customHeight="1">
      <c r="A435" s="37">
        <v>7</v>
      </c>
      <c r="B435" s="37" t="s">
        <v>281</v>
      </c>
      <c r="C435" s="37">
        <v>4</v>
      </c>
      <c r="D435" s="56" t="str">
        <f>SABADO!$A$161</f>
        <v>Peck Deck Invertida</v>
      </c>
      <c r="E435" s="57" t="str">
        <f>SABADO!$B$161</f>
        <v>Maquina</v>
      </c>
      <c r="F435" s="37" t="str">
        <f>SABADO!$C$161</f>
        <v>polea</v>
      </c>
      <c r="G435" s="37" t="str">
        <f>IFERROR(LOOKUP(2,1/((HISTORIAL!$O$3:$O$433=D435&amp;"|"&amp;E435)*(HISTORIAL!$F$3:$F$433&lt;&gt;"")),HISTORIAL!$F$3:$F$433),"")</f>
        <v/>
      </c>
      <c r="H435" s="37" t="str">
        <f>IFERROR(LOOKUP(2,1/((HISTORIAL!$O$3:$O$433=D435&amp;"|"&amp;E435)*(HISTORIAL!$F$3:$F$433&lt;&gt;"")),HISTORIAL!$G$3:$G$433),"")</f>
        <v/>
      </c>
      <c r="I435" s="37" t="str">
        <f>IFERROR(LOOKUP(2,1/((HISTORIAL!$O$3:$O$433=D435&amp;"|"&amp;E435)*(HISTORIAL!$F$3:$F$433&lt;&gt;"")),HISTORIAL!$H$3:$H$433),"")</f>
        <v/>
      </c>
      <c r="J435" s="37" t="str">
        <f>IFERROR(LOOKUP(2,1/((HISTORIAL!$O$3:$O$433=D435&amp;"|"&amp;E435)*(HISTORIAL!$F$3:$F$433&lt;&gt;"")),HISTORIAL!$I$3:$I$433),"")</f>
        <v/>
      </c>
      <c r="K435" s="58" t="str">
        <f>IFERROR(IF(OR(G435="",N435="SIN"),"--",IF(N435="SUBIR_F",IF(F435="polea",IFERROR(INDEX(CONFIG!$B$25:$B$40,MATCH(G435,CONFIG!$B$25:$B$40,0)+2),IFERROR(INDEX(CONFIG!$B$25:$B$40,MATCH(G435,CONFIG!$B$25:$B$40,0)+1),G435)),G435+5),IF(OR(N435="SUBIR",N435="SUBIR_E"),IF(F435="polea",IFERROR(INDEX(CONFIG!$B$25:$B$40,MATCH(G435,CONFIG!$B$25:$B$40,0)+1),G435),G435+2.5),IF(N435="BAJAR",IF(F435="polea",IFERROR(INDEX(CONFIG!$B$25:$B$40,MAX(1,MATCH(G435,CONFIG!$B$25:$B$40,0)-1)),G435),MAX(0,G435-2.5)),G435)))),"--")</f>
        <v>--</v>
      </c>
      <c r="L435" s="59" t="str">
        <f>IFERROR(IF(N435="SIN","--",IF(N435="MANT",IF(H435="","--",H435+1),IFERROR(VLOOKUP(CONFIG!$E$2,CONFIG!$A$6:$E$8,2,0),"--"))),"--")</f>
        <v>--</v>
      </c>
      <c r="M435" s="59" t="str">
        <f>IFERROR(IF(N435="SIN","--",IF(CONFIG!$E$2="HIP",2,IF(CONFIG!$E$2="FUE",1,2))),"--")</f>
        <v>--</v>
      </c>
      <c r="N435" s="53" t="str">
        <f>IFERROR(IF(G435="","SIN",IF(O435=1,"SUBIR_E",IF(H435&lt;IFERROR(VLOOKUP(CONFIG!$E$2,CONFIG!$A$6:$E$8,2,0),6),"BAJAR",IF(H435+I435&gt;=IFERROR(VLOOKUP(CONFIG!$E$2,CONFIG!$A$6:$E$8,3,0),12),"SUBIR_F",IF(AND(H435&gt;=IFERROR(VLOOKUP(CONFIG!$E$2,CONFIG!$A$6:$E$8,2,0),6)+2,I435&gt;=2),"SUBIR",IF(I435&gt;IFERROR(VLOOKUP(CONFIG!$E$2,CONFIG!$A$6:$E$8,5,0),3),"SUBIR","MANT")))))),"SIN")</f>
        <v>SIN</v>
      </c>
      <c r="O435" s="55">
        <f>IF(COUNTIFS(HISTORIAL!$O$3:$O$433,D435&amp;"|"&amp;E435,HISTORIAL!$F$3:$F$433,"&gt;0")&lt;2,0,IF(COUNTIFS(HISTORIAL!$O$3:$O$433,D435&amp;"|"&amp;E435,HISTORIAL!$F$3:$F$433,IFERROR(LOOKUP(2,1/((HISTORIAL!$O$3:$O$433=D435&amp;"|"&amp;E435)*(HISTORIAL!$F$3:$F$433&gt;0)),HISTORIAL!$F$3:$F$433),0))&gt;=2,IF(IFERROR(LOOKUP(2,1/((HISTORIAL!$O$3:$O$433=D435&amp;"|"&amp;E435)*(HISTORIAL!$F$3:$F$433&gt;0)),HISTORIAL!$G$3:$G$433),0)&gt;0,IF(F435&gt;0,IF(G435&lt;=IFERROR(LOOKUP(2,1/((HISTORIAL!$O$3:$O$433=D435&amp;"|"&amp;E435)*(HISTORIAL!$F$3:$F$433&gt;0)),HISTORIAL!$G$3:$G$433),0),1,0),0),0),0))</f>
        <v>0</v>
      </c>
    </row>
    <row r="436" spans="1:15" ht="14.1" customHeight="1">
      <c r="A436" s="37">
        <v>7</v>
      </c>
      <c r="B436" s="37" t="s">
        <v>281</v>
      </c>
      <c r="C436" s="37">
        <v>5</v>
      </c>
      <c r="D436" s="56" t="str">
        <f>SABADO!$A$163</f>
        <v>Curl Biceps</v>
      </c>
      <c r="E436" s="57" t="str">
        <f>SABADO!$B$163</f>
        <v>Concentrado Maquina</v>
      </c>
      <c r="F436" s="37" t="str">
        <f>SABADO!$C$163</f>
        <v>polea</v>
      </c>
      <c r="G436" s="37">
        <f>IFERROR(LOOKUP(2,1/((HISTORIAL!$O$3:$O$434=D436&amp;"|"&amp;E436)*(HISTORIAL!$F$3:$F$434&lt;&gt;"")),HISTORIAL!$F$3:$F$434),"")</f>
        <v>40</v>
      </c>
      <c r="H436" s="37">
        <f>IFERROR(LOOKUP(2,1/((HISTORIAL!$O$3:$O$434=D436&amp;"|"&amp;E436)*(HISTORIAL!$F$3:$F$434&lt;&gt;"")),HISTORIAL!$G$3:$G$434),"")</f>
        <v>6</v>
      </c>
      <c r="I436" s="37">
        <f>IFERROR(LOOKUP(2,1/((HISTORIAL!$O$3:$O$434=D436&amp;"|"&amp;E436)*(HISTORIAL!$F$3:$F$434&lt;&gt;"")),HISTORIAL!$H$3:$H$434),"")</f>
        <v>0</v>
      </c>
      <c r="J436" s="37" t="str">
        <f>IFERROR(LOOKUP(2,1/((HISTORIAL!$O$3:$O$434=D436&amp;"|"&amp;E436)*(HISTORIAL!$F$3:$F$434&lt;&gt;"")),HISTORIAL!$I$3:$I$434),"")</f>
        <v>B</v>
      </c>
      <c r="K436" s="58">
        <f>IFERROR(IF(OR(G436="",N436="SIN"),"--",IF(N436="SUBIR_F",IF(F436="polea",IFERROR(INDEX(CONFIG!$B$25:$B$40,MATCH(G436,CONFIG!$B$25:$B$40,0)+2),IFERROR(INDEX(CONFIG!$B$25:$B$40,MATCH(G436,CONFIG!$B$25:$B$40,0)+1),G436)),G436+5),IF(OR(N436="SUBIR",N436="SUBIR_E"),IF(F436="polea",IFERROR(INDEX(CONFIG!$B$25:$B$40,MATCH(G436,CONFIG!$B$25:$B$40,0)+1),G436),G436+2.5),IF(N436="BAJAR",IF(F436="polea",IFERROR(INDEX(CONFIG!$B$25:$B$40,MAX(1,MATCH(G436,CONFIG!$B$25:$B$40,0)-1)),G436),MAX(0,G436-2.5)),G436)))),"--")</f>
        <v>40</v>
      </c>
      <c r="L436" s="59">
        <f>IFERROR(IF(N436="SIN","--",IF(N436="MANT",IF(H436="","--",H436+1),IFERROR(VLOOKUP(CONFIG!$E$2,CONFIG!$A$6:$E$8,2,0),"--"))),"--")</f>
        <v>7</v>
      </c>
      <c r="M436" s="59">
        <f>IFERROR(IF(N436="SIN","--",IF(CONFIG!$E$2="HIP",2,IF(CONFIG!$E$2="FUE",1,2))),"--")</f>
        <v>2</v>
      </c>
      <c r="N436" s="53" t="str">
        <f>IFERROR(IF(G436="","SIN",IF(O436=1,"SUBIR_E",IF(H436&lt;IFERROR(VLOOKUP(CONFIG!$E$2,CONFIG!$A$6:$E$8,2,0),6),"BAJAR",IF(H436+I436&gt;=IFERROR(VLOOKUP(CONFIG!$E$2,CONFIG!$A$6:$E$8,3,0),12),"SUBIR_F",IF(AND(H436&gt;=IFERROR(VLOOKUP(CONFIG!$E$2,CONFIG!$A$6:$E$8,2,0),6)+2,I436&gt;=2),"SUBIR",IF(I436&gt;IFERROR(VLOOKUP(CONFIG!$E$2,CONFIG!$A$6:$E$8,5,0),3),"SUBIR","MANT")))))),"SIN")</f>
        <v>MANT</v>
      </c>
      <c r="O436" s="55">
        <f>IF(COUNTIFS(HISTORIAL!$O$3:$O$434,D436&amp;"|"&amp;E436,HISTORIAL!$F$3:$F$434,"&gt;0")&lt;2,0,IF(COUNTIFS(HISTORIAL!$O$3:$O$434,D436&amp;"|"&amp;E436,HISTORIAL!$F$3:$F$434,IFERROR(LOOKUP(2,1/((HISTORIAL!$O$3:$O$434=D436&amp;"|"&amp;E436)*(HISTORIAL!$F$3:$F$434&gt;0)),HISTORIAL!$F$3:$F$434),0))&gt;=2,IF(IFERROR(LOOKUP(2,1/((HISTORIAL!$O$3:$O$434=D436&amp;"|"&amp;E436)*(HISTORIAL!$F$3:$F$434&gt;0)),HISTORIAL!$G$3:$G$434),0)&gt;0,IF(F436&gt;0,IF(G436&lt;=IFERROR(LOOKUP(2,1/((HISTORIAL!$O$3:$O$434=D436&amp;"|"&amp;E436)*(HISTORIAL!$F$3:$F$434&gt;0)),HISTORIAL!$G$3:$G$434),0),1,0),0),0),0))</f>
        <v>0</v>
      </c>
    </row>
    <row r="437" spans="1:15" ht="14.1" customHeight="1">
      <c r="A437" s="37">
        <v>7</v>
      </c>
      <c r="B437" s="37" t="s">
        <v>281</v>
      </c>
      <c r="C437" s="37">
        <v>6</v>
      </c>
      <c r="D437" s="56" t="str">
        <f>SABADO!$A$164</f>
        <v>Curl Martillo</v>
      </c>
      <c r="E437" s="57" t="str">
        <f>SABADO!$B$164</f>
        <v>Polea Individual</v>
      </c>
      <c r="F437" s="37" t="str">
        <f>SABADO!$C$164</f>
        <v>polea</v>
      </c>
      <c r="G437" s="37">
        <f>IFERROR(LOOKUP(2,1/((HISTORIAL!$O$3:$O$435=D437&amp;"|"&amp;E437)*(HISTORIAL!$F$3:$F$435&lt;&gt;"")),HISTORIAL!$F$3:$F$435),"")</f>
        <v>20</v>
      </c>
      <c r="H437" s="37">
        <f>IFERROR(LOOKUP(2,1/((HISTORIAL!$O$3:$O$435=D437&amp;"|"&amp;E437)*(HISTORIAL!$F$3:$F$435&lt;&gt;"")),HISTORIAL!$G$3:$G$435),"")</f>
        <v>8</v>
      </c>
      <c r="I437" s="37">
        <f>IFERROR(LOOKUP(2,1/((HISTORIAL!$O$3:$O$435=D437&amp;"|"&amp;E437)*(HISTORIAL!$F$3:$F$435&lt;&gt;"")),HISTORIAL!$H$3:$H$435),"")</f>
        <v>3</v>
      </c>
      <c r="J437" s="37" t="str">
        <f>IFERROR(LOOKUP(2,1/((HISTORIAL!$O$3:$O$435=D437&amp;"|"&amp;E437)*(HISTORIAL!$F$3:$F$435&lt;&gt;"")),HISTORIAL!$I$3:$I$435),"")</f>
        <v>A</v>
      </c>
      <c r="K437" s="58">
        <f>IFERROR(IF(OR(G437="",N437="SIN"),"--",IF(N437="SUBIR_F",IF(F437="polea",IFERROR(INDEX(CONFIG!$B$25:$B$40,MATCH(G437,CONFIG!$B$25:$B$40,0)+2),IFERROR(INDEX(CONFIG!$B$25:$B$40,MATCH(G437,CONFIG!$B$25:$B$40,0)+1),G437)),G437+5),IF(OR(N437="SUBIR",N437="SUBIR_E"),IF(F437="polea",IFERROR(INDEX(CONFIG!$B$25:$B$40,MATCH(G437,CONFIG!$B$25:$B$40,0)+1),G437),G437+2.5),IF(N437="BAJAR",IF(F437="polea",IFERROR(INDEX(CONFIG!$B$25:$B$40,MAX(1,MATCH(G437,CONFIG!$B$25:$B$40,0)-1)),G437),MAX(0,G437-2.5)),G437)))),"--")</f>
        <v>20</v>
      </c>
      <c r="L437" s="59">
        <f>IFERROR(IF(N437="SIN","--",IF(N437="MANT",IF(H437="","--",H437+1),IFERROR(VLOOKUP(CONFIG!$E$2,CONFIG!$A$6:$E$8,2,0),"--"))),"--")</f>
        <v>6</v>
      </c>
      <c r="M437" s="59">
        <f>IFERROR(IF(N437="SIN","--",IF(CONFIG!$E$2="HIP",2,IF(CONFIG!$E$2="FUE",1,2))),"--")</f>
        <v>2</v>
      </c>
      <c r="N437" s="53" t="str">
        <f>IFERROR(IF(G437="","SIN",IF(O437=1,"SUBIR_E",IF(H437&lt;IFERROR(VLOOKUP(CONFIG!$E$2,CONFIG!$A$6:$E$8,2,0),6),"BAJAR",IF(H437+I437&gt;=IFERROR(VLOOKUP(CONFIG!$E$2,CONFIG!$A$6:$E$8,3,0),12),"SUBIR_F",IF(AND(H437&gt;=IFERROR(VLOOKUP(CONFIG!$E$2,CONFIG!$A$6:$E$8,2,0),6)+2,I437&gt;=2),"SUBIR",IF(I437&gt;IFERROR(VLOOKUP(CONFIG!$E$2,CONFIG!$A$6:$E$8,5,0),3),"SUBIR","MANT")))))),"SIN")</f>
        <v>SUBIR</v>
      </c>
      <c r="O437" s="55">
        <f>IF(COUNTIFS(HISTORIAL!$O$3:$O$435,D437&amp;"|"&amp;E437,HISTORIAL!$F$3:$F$435,"&gt;0")&lt;2,0,IF(COUNTIFS(HISTORIAL!$O$3:$O$435,D437&amp;"|"&amp;E437,HISTORIAL!$F$3:$F$435,IFERROR(LOOKUP(2,1/((HISTORIAL!$O$3:$O$435=D437&amp;"|"&amp;E437)*(HISTORIAL!$F$3:$F$435&gt;0)),HISTORIAL!$F$3:$F$435),0))&gt;=2,IF(IFERROR(LOOKUP(2,1/((HISTORIAL!$O$3:$O$435=D437&amp;"|"&amp;E437)*(HISTORIAL!$F$3:$F$435&gt;0)),HISTORIAL!$G$3:$G$435),0)&gt;0,IF(F437&gt;0,IF(G437&lt;=IFERROR(LOOKUP(2,1/((HISTORIAL!$O$3:$O$435=D437&amp;"|"&amp;E437)*(HISTORIAL!$F$3:$F$435&gt;0)),HISTORIAL!$G$3:$G$435),0),1,0),0),0),0))</f>
        <v>0</v>
      </c>
    </row>
    <row r="438" spans="1:15" ht="14.1" customHeight="1">
      <c r="A438" s="37">
        <v>7</v>
      </c>
      <c r="B438" s="37" t="s">
        <v>281</v>
      </c>
      <c r="C438" s="37">
        <v>7</v>
      </c>
      <c r="D438" s="56" t="str">
        <f>SABADO!$A$166</f>
        <v>Curl Muneca</v>
      </c>
      <c r="E438" s="57" t="str">
        <f>SABADO!$B$166</f>
        <v>Supinado</v>
      </c>
      <c r="F438" s="37" t="str">
        <f>SABADO!$C$166</f>
        <v>mancuerna</v>
      </c>
      <c r="G438" s="37" t="str">
        <f>IFERROR(LOOKUP(2,1/((HISTORIAL!$O$3:$O$436=D438&amp;"|"&amp;E438)*(HISTORIAL!$F$3:$F$436&lt;&gt;"")),HISTORIAL!$F$3:$F$436),"")</f>
        <v/>
      </c>
      <c r="H438" s="37" t="str">
        <f>IFERROR(LOOKUP(2,1/((HISTORIAL!$O$3:$O$436=D438&amp;"|"&amp;E438)*(HISTORIAL!$F$3:$F$436&lt;&gt;"")),HISTORIAL!$G$3:$G$436),"")</f>
        <v/>
      </c>
      <c r="I438" s="37" t="str">
        <f>IFERROR(LOOKUP(2,1/((HISTORIAL!$O$3:$O$436=D438&amp;"|"&amp;E438)*(HISTORIAL!$F$3:$F$436&lt;&gt;"")),HISTORIAL!$H$3:$H$436),"")</f>
        <v/>
      </c>
      <c r="J438" s="37" t="str">
        <f>IFERROR(LOOKUP(2,1/((HISTORIAL!$O$3:$O$436=D438&amp;"|"&amp;E438)*(HISTORIAL!$F$3:$F$436&lt;&gt;"")),HISTORIAL!$I$3:$I$436),"")</f>
        <v/>
      </c>
      <c r="K438" s="58" t="str">
        <f>IFERROR(IF(OR(G438="",N438="SIN"),"--",IF(N438="SUBIR_F",IF(F438="polea",IFERROR(INDEX(CONFIG!$B$25:$B$40,MATCH(G438,CONFIG!$B$25:$B$40,0)+2),IFERROR(INDEX(CONFIG!$B$25:$B$40,MATCH(G438,CONFIG!$B$25:$B$40,0)+1),G438)),G438+5),IF(OR(N438="SUBIR",N438="SUBIR_E"),IF(F438="polea",IFERROR(INDEX(CONFIG!$B$25:$B$40,MATCH(G438,CONFIG!$B$25:$B$40,0)+1),G438),G438+2.5),IF(N438="BAJAR",IF(F438="polea",IFERROR(INDEX(CONFIG!$B$25:$B$40,MAX(1,MATCH(G438,CONFIG!$B$25:$B$40,0)-1)),G438),MAX(0,G438-2.5)),G438)))),"--")</f>
        <v>--</v>
      </c>
      <c r="L438" s="59" t="str">
        <f>IFERROR(IF(N438="SIN","--",IF(N438="MANT",IF(H438="","--",H438+1),IFERROR(VLOOKUP(CONFIG!$E$2,CONFIG!$A$6:$E$8,2,0),"--"))),"--")</f>
        <v>--</v>
      </c>
      <c r="M438" s="59" t="str">
        <f>IFERROR(IF(N438="SIN","--",IF(CONFIG!$E$2="HIP",2,IF(CONFIG!$E$2="FUE",1,2))),"--")</f>
        <v>--</v>
      </c>
      <c r="N438" s="53" t="str">
        <f>IFERROR(IF(G438="","SIN",IF(O438=1,"SUBIR_E",IF(H438&lt;IFERROR(VLOOKUP(CONFIG!$E$2,CONFIG!$A$6:$E$8,2,0),6),"BAJAR",IF(H438+I438&gt;=IFERROR(VLOOKUP(CONFIG!$E$2,CONFIG!$A$6:$E$8,3,0),12),"SUBIR_F",IF(AND(H438&gt;=IFERROR(VLOOKUP(CONFIG!$E$2,CONFIG!$A$6:$E$8,2,0),6)+2,I438&gt;=2),"SUBIR",IF(I438&gt;IFERROR(VLOOKUP(CONFIG!$E$2,CONFIG!$A$6:$E$8,5,0),3),"SUBIR","MANT")))))),"SIN")</f>
        <v>SIN</v>
      </c>
      <c r="O438" s="55">
        <f>IF(COUNTIFS(HISTORIAL!$O$3:$O$436,D438&amp;"|"&amp;E438,HISTORIAL!$F$3:$F$436,"&gt;0")&lt;2,0,IF(COUNTIFS(HISTORIAL!$O$3:$O$436,D438&amp;"|"&amp;E438,HISTORIAL!$F$3:$F$436,IFERROR(LOOKUP(2,1/((HISTORIAL!$O$3:$O$436=D438&amp;"|"&amp;E438)*(HISTORIAL!$F$3:$F$436&gt;0)),HISTORIAL!$F$3:$F$436),0))&gt;=2,IF(IFERROR(LOOKUP(2,1/((HISTORIAL!$O$3:$O$436=D438&amp;"|"&amp;E438)*(HISTORIAL!$F$3:$F$436&gt;0)),HISTORIAL!$G$3:$G$436),0)&gt;0,IF(F438&gt;0,IF(G438&lt;=IFERROR(LOOKUP(2,1/((HISTORIAL!$O$3:$O$436=D438&amp;"|"&amp;E438)*(HISTORIAL!$F$3:$F$436&gt;0)),HISTORIAL!$G$3:$G$436),0),1,0),0),0),0))</f>
        <v>0</v>
      </c>
    </row>
    <row r="439" spans="1:15" ht="14.1" customHeight="1">
      <c r="A439" s="37">
        <v>7</v>
      </c>
      <c r="B439" s="37" t="s">
        <v>281</v>
      </c>
      <c r="C439" s="37">
        <v>8</v>
      </c>
      <c r="D439" s="56" t="str">
        <f>SABADO!$A$167</f>
        <v>Curl Muneca</v>
      </c>
      <c r="E439" s="57" t="str">
        <f>SABADO!$B$167</f>
        <v>Pronado</v>
      </c>
      <c r="F439" s="37" t="str">
        <f>SABADO!$C$167</f>
        <v>mancuerna</v>
      </c>
      <c r="G439" s="37" t="str">
        <f>IFERROR(LOOKUP(2,1/((HISTORIAL!$O$3:$O$437=D439&amp;"|"&amp;E439)*(HISTORIAL!$F$3:$F$437&lt;&gt;"")),HISTORIAL!$F$3:$F$437),"")</f>
        <v/>
      </c>
      <c r="H439" s="37" t="str">
        <f>IFERROR(LOOKUP(2,1/((HISTORIAL!$O$3:$O$437=D439&amp;"|"&amp;E439)*(HISTORIAL!$F$3:$F$437&lt;&gt;"")),HISTORIAL!$G$3:$G$437),"")</f>
        <v/>
      </c>
      <c r="I439" s="37" t="str">
        <f>IFERROR(LOOKUP(2,1/((HISTORIAL!$O$3:$O$437=D439&amp;"|"&amp;E439)*(HISTORIAL!$F$3:$F$437&lt;&gt;"")),HISTORIAL!$H$3:$H$437),"")</f>
        <v/>
      </c>
      <c r="J439" s="37" t="str">
        <f>IFERROR(LOOKUP(2,1/((HISTORIAL!$O$3:$O$437=D439&amp;"|"&amp;E439)*(HISTORIAL!$F$3:$F$437&lt;&gt;"")),HISTORIAL!$I$3:$I$437),"")</f>
        <v/>
      </c>
      <c r="K439" s="58" t="str">
        <f>IFERROR(IF(OR(G439="",N439="SIN"),"--",IF(N439="SUBIR_F",IF(F439="polea",IFERROR(INDEX(CONFIG!$B$25:$B$40,MATCH(G439,CONFIG!$B$25:$B$40,0)+2),IFERROR(INDEX(CONFIG!$B$25:$B$40,MATCH(G439,CONFIG!$B$25:$B$40,0)+1),G439)),G439+5),IF(OR(N439="SUBIR",N439="SUBIR_E"),IF(F439="polea",IFERROR(INDEX(CONFIG!$B$25:$B$40,MATCH(G439,CONFIG!$B$25:$B$40,0)+1),G439),G439+2.5),IF(N439="BAJAR",IF(F439="polea",IFERROR(INDEX(CONFIG!$B$25:$B$40,MAX(1,MATCH(G439,CONFIG!$B$25:$B$40,0)-1)),G439),MAX(0,G439-2.5)),G439)))),"--")</f>
        <v>--</v>
      </c>
      <c r="L439" s="59" t="str">
        <f>IFERROR(IF(N439="SIN","--",IF(N439="MANT",IF(H439="","--",H439+1),IFERROR(VLOOKUP(CONFIG!$E$2,CONFIG!$A$6:$E$8,2,0),"--"))),"--")</f>
        <v>--</v>
      </c>
      <c r="M439" s="59" t="str">
        <f>IFERROR(IF(N439="SIN","--",IF(CONFIG!$E$2="HIP",2,IF(CONFIG!$E$2="FUE",1,2))),"--")</f>
        <v>--</v>
      </c>
      <c r="N439" s="53" t="str">
        <f>IFERROR(IF(G439="","SIN",IF(O439=1,"SUBIR_E",IF(H439&lt;IFERROR(VLOOKUP(CONFIG!$E$2,CONFIG!$A$6:$E$8,2,0),6),"BAJAR",IF(H439+I439&gt;=IFERROR(VLOOKUP(CONFIG!$E$2,CONFIG!$A$6:$E$8,3,0),12),"SUBIR_F",IF(AND(H439&gt;=IFERROR(VLOOKUP(CONFIG!$E$2,CONFIG!$A$6:$E$8,2,0),6)+2,I439&gt;=2),"SUBIR",IF(I439&gt;IFERROR(VLOOKUP(CONFIG!$E$2,CONFIG!$A$6:$E$8,5,0),3),"SUBIR","MANT")))))),"SIN")</f>
        <v>SIN</v>
      </c>
      <c r="O439" s="55">
        <f>IF(COUNTIFS(HISTORIAL!$O$3:$O$437,D439&amp;"|"&amp;E439,HISTORIAL!$F$3:$F$437,"&gt;0")&lt;2,0,IF(COUNTIFS(HISTORIAL!$O$3:$O$437,D439&amp;"|"&amp;E439,HISTORIAL!$F$3:$F$437,IFERROR(LOOKUP(2,1/((HISTORIAL!$O$3:$O$437=D439&amp;"|"&amp;E439)*(HISTORIAL!$F$3:$F$437&gt;0)),HISTORIAL!$F$3:$F$437),0))&gt;=2,IF(IFERROR(LOOKUP(2,1/((HISTORIAL!$O$3:$O$437=D439&amp;"|"&amp;E439)*(HISTORIAL!$F$3:$F$437&gt;0)),HISTORIAL!$G$3:$G$437),0)&gt;0,IF(F439&gt;0,IF(G439&lt;=IFERROR(LOOKUP(2,1/((HISTORIAL!$O$3:$O$437=D439&amp;"|"&amp;E439)*(HISTORIAL!$F$3:$F$437&gt;0)),HISTORIAL!$G$3:$G$437),0),1,0),0),0),0))</f>
        <v>0</v>
      </c>
    </row>
    <row r="440" spans="1:15" ht="14.1" customHeight="1">
      <c r="A440" s="37">
        <v>7</v>
      </c>
      <c r="B440" s="37" t="s">
        <v>281</v>
      </c>
      <c r="C440" s="37">
        <v>9</v>
      </c>
      <c r="D440" s="56" t="str">
        <f>SABADO!$A$169</f>
        <v>Elevaciones Laterales</v>
      </c>
      <c r="E440" s="57" t="str">
        <f>SABADO!$B$169</f>
        <v>Cable Polea Individual</v>
      </c>
      <c r="F440" s="37" t="str">
        <f>SABADO!$C$169</f>
        <v>polea</v>
      </c>
      <c r="G440" s="37" t="str">
        <f>IFERROR(LOOKUP(2,1/((HISTORIAL!$O$3:$O$438=D440&amp;"|"&amp;E440)*(HISTORIAL!$F$3:$F$438&lt;&gt;"")),HISTORIAL!$F$3:$F$438),"")</f>
        <v/>
      </c>
      <c r="H440" s="37" t="str">
        <f>IFERROR(LOOKUP(2,1/((HISTORIAL!$O$3:$O$438=D440&amp;"|"&amp;E440)*(HISTORIAL!$F$3:$F$438&lt;&gt;"")),HISTORIAL!$G$3:$G$438),"")</f>
        <v/>
      </c>
      <c r="I440" s="37" t="str">
        <f>IFERROR(LOOKUP(2,1/((HISTORIAL!$O$3:$O$438=D440&amp;"|"&amp;E440)*(HISTORIAL!$F$3:$F$438&lt;&gt;"")),HISTORIAL!$H$3:$H$438),"")</f>
        <v/>
      </c>
      <c r="J440" s="37" t="str">
        <f>IFERROR(LOOKUP(2,1/((HISTORIAL!$O$3:$O$438=D440&amp;"|"&amp;E440)*(HISTORIAL!$F$3:$F$438&lt;&gt;"")),HISTORIAL!$I$3:$I$438),"")</f>
        <v/>
      </c>
      <c r="K440" s="58" t="str">
        <f>IFERROR(IF(OR(G440="",N440="SIN"),"--",IF(N440="SUBIR_F",IF(F440="polea",IFERROR(INDEX(CONFIG!$B$25:$B$40,MATCH(G440,CONFIG!$B$25:$B$40,0)+2),IFERROR(INDEX(CONFIG!$B$25:$B$40,MATCH(G440,CONFIG!$B$25:$B$40,0)+1),G440)),G440+5),IF(OR(N440="SUBIR",N440="SUBIR_E"),IF(F440="polea",IFERROR(INDEX(CONFIG!$B$25:$B$40,MATCH(G440,CONFIG!$B$25:$B$40,0)+1),G440),G440+2.5),IF(N440="BAJAR",IF(F440="polea",IFERROR(INDEX(CONFIG!$B$25:$B$40,MAX(1,MATCH(G440,CONFIG!$B$25:$B$40,0)-1)),G440),MAX(0,G440-2.5)),G440)))),"--")</f>
        <v>--</v>
      </c>
      <c r="L440" s="59" t="str">
        <f>IFERROR(IF(N440="SIN","--",IF(N440="MANT",IF(H440="","--",H440+1),IFERROR(VLOOKUP(CONFIG!$E$2,CONFIG!$A$6:$E$8,2,0),"--"))),"--")</f>
        <v>--</v>
      </c>
      <c r="M440" s="59" t="str">
        <f>IFERROR(IF(N440="SIN","--",IF(CONFIG!$E$2="HIP",2,IF(CONFIG!$E$2="FUE",1,2))),"--")</f>
        <v>--</v>
      </c>
      <c r="N440" s="53" t="str">
        <f>IFERROR(IF(G440="","SIN",IF(O440=1,"SUBIR_E",IF(H440&lt;IFERROR(VLOOKUP(CONFIG!$E$2,CONFIG!$A$6:$E$8,2,0),6),"BAJAR",IF(H440+I440&gt;=IFERROR(VLOOKUP(CONFIG!$E$2,CONFIG!$A$6:$E$8,3,0),12),"SUBIR_F",IF(AND(H440&gt;=IFERROR(VLOOKUP(CONFIG!$E$2,CONFIG!$A$6:$E$8,2,0),6)+2,I440&gt;=2),"SUBIR",IF(I440&gt;IFERROR(VLOOKUP(CONFIG!$E$2,CONFIG!$A$6:$E$8,5,0),3),"SUBIR","MANT")))))),"SIN")</f>
        <v>SIN</v>
      </c>
      <c r="O440" s="55">
        <f>IF(COUNTIFS(HISTORIAL!$O$3:$O$438,D440&amp;"|"&amp;E440,HISTORIAL!$F$3:$F$438,"&gt;0")&lt;2,0,IF(COUNTIFS(HISTORIAL!$O$3:$O$438,D440&amp;"|"&amp;E440,HISTORIAL!$F$3:$F$438,IFERROR(LOOKUP(2,1/((HISTORIAL!$O$3:$O$438=D440&amp;"|"&amp;E440)*(HISTORIAL!$F$3:$F$438&gt;0)),HISTORIAL!$F$3:$F$438),0))&gt;=2,IF(IFERROR(LOOKUP(2,1/((HISTORIAL!$O$3:$O$438=D440&amp;"|"&amp;E440)*(HISTORIAL!$F$3:$F$438&gt;0)),HISTORIAL!$G$3:$G$438),0)&gt;0,IF(F440&gt;0,IF(G440&lt;=IFERROR(LOOKUP(2,1/((HISTORIAL!$O$3:$O$438=D440&amp;"|"&amp;E440)*(HISTORIAL!$F$3:$F$438&gt;0)),HISTORIAL!$G$3:$G$438),0),1,0),0),0),0))</f>
        <v>0</v>
      </c>
    </row>
    <row r="441" spans="1:15" ht="14.1" customHeight="1">
      <c r="A441" s="37">
        <v>7</v>
      </c>
      <c r="B441" s="37" t="s">
        <v>281</v>
      </c>
      <c r="C441" s="37">
        <v>10</v>
      </c>
      <c r="D441" s="56" t="str">
        <f>SABADO!$A$171</f>
        <v>Encogimientos</v>
      </c>
      <c r="E441" s="57" t="str">
        <f>SABADO!$B$171</f>
        <v>Mancuernas Trapecio</v>
      </c>
      <c r="F441" s="37" t="str">
        <f>SABADO!$C$171</f>
        <v>mancuerna</v>
      </c>
      <c r="G441" s="37" t="str">
        <f>IFERROR(LOOKUP(2,1/((HISTORIAL!$O$3:$O$439=D441&amp;"|"&amp;E441)*(HISTORIAL!$F$3:$F$439&lt;&gt;"")),HISTORIAL!$F$3:$F$439),"")</f>
        <v/>
      </c>
      <c r="H441" s="37" t="str">
        <f>IFERROR(LOOKUP(2,1/((HISTORIAL!$O$3:$O$439=D441&amp;"|"&amp;E441)*(HISTORIAL!$F$3:$F$439&lt;&gt;"")),HISTORIAL!$G$3:$G$439),"")</f>
        <v/>
      </c>
      <c r="I441" s="37" t="str">
        <f>IFERROR(LOOKUP(2,1/((HISTORIAL!$O$3:$O$439=D441&amp;"|"&amp;E441)*(HISTORIAL!$F$3:$F$439&lt;&gt;"")),HISTORIAL!$H$3:$H$439),"")</f>
        <v/>
      </c>
      <c r="J441" s="37" t="str">
        <f>IFERROR(LOOKUP(2,1/((HISTORIAL!$O$3:$O$439=D441&amp;"|"&amp;E441)*(HISTORIAL!$F$3:$F$439&lt;&gt;"")),HISTORIAL!$I$3:$I$439),"")</f>
        <v/>
      </c>
      <c r="K441" s="58" t="str">
        <f>IFERROR(IF(OR(G441="",N441="SIN"),"--",IF(N441="SUBIR_F",IF(F441="polea",IFERROR(INDEX(CONFIG!$B$25:$B$40,MATCH(G441,CONFIG!$B$25:$B$40,0)+2),IFERROR(INDEX(CONFIG!$B$25:$B$40,MATCH(G441,CONFIG!$B$25:$B$40,0)+1),G441)),G441+5),IF(OR(N441="SUBIR",N441="SUBIR_E"),IF(F441="polea",IFERROR(INDEX(CONFIG!$B$25:$B$40,MATCH(G441,CONFIG!$B$25:$B$40,0)+1),G441),G441+2.5),IF(N441="BAJAR",IF(F441="polea",IFERROR(INDEX(CONFIG!$B$25:$B$40,MAX(1,MATCH(G441,CONFIG!$B$25:$B$40,0)-1)),G441),MAX(0,G441-2.5)),G441)))),"--")</f>
        <v>--</v>
      </c>
      <c r="L441" s="59" t="str">
        <f>IFERROR(IF(N441="SIN","--",IF(N441="MANT",IF(H441="","--",H441+1),IFERROR(VLOOKUP(CONFIG!$E$2,CONFIG!$A$6:$E$8,2,0),"--"))),"--")</f>
        <v>--</v>
      </c>
      <c r="M441" s="59" t="str">
        <f>IFERROR(IF(N441="SIN","--",IF(CONFIG!$E$2="HIP",2,IF(CONFIG!$E$2="FUE",1,2))),"--")</f>
        <v>--</v>
      </c>
      <c r="N441" s="53" t="str">
        <f>IFERROR(IF(G441="","SIN",IF(O441=1,"SUBIR_E",IF(H441&lt;IFERROR(VLOOKUP(CONFIG!$E$2,CONFIG!$A$6:$E$8,2,0),6),"BAJAR",IF(H441+I441&gt;=IFERROR(VLOOKUP(CONFIG!$E$2,CONFIG!$A$6:$E$8,3,0),12),"SUBIR_F",IF(AND(H441&gt;=IFERROR(VLOOKUP(CONFIG!$E$2,CONFIG!$A$6:$E$8,2,0),6)+2,I441&gt;=2),"SUBIR",IF(I441&gt;IFERROR(VLOOKUP(CONFIG!$E$2,CONFIG!$A$6:$E$8,5,0),3),"SUBIR","MANT")))))),"SIN")</f>
        <v>SIN</v>
      </c>
      <c r="O441" s="55">
        <f>IF(COUNTIFS(HISTORIAL!$O$3:$O$439,D441&amp;"|"&amp;E441,HISTORIAL!$F$3:$F$439,"&gt;0")&lt;2,0,IF(COUNTIFS(HISTORIAL!$O$3:$O$439,D441&amp;"|"&amp;E441,HISTORIAL!$F$3:$F$439,IFERROR(LOOKUP(2,1/((HISTORIAL!$O$3:$O$439=D441&amp;"|"&amp;E441)*(HISTORIAL!$F$3:$F$439&gt;0)),HISTORIAL!$F$3:$F$439),0))&gt;=2,IF(IFERROR(LOOKUP(2,1/((HISTORIAL!$O$3:$O$439=D441&amp;"|"&amp;E441)*(HISTORIAL!$F$3:$F$439&gt;0)),HISTORIAL!$G$3:$G$439),0)&gt;0,IF(F441&gt;0,IF(G441&lt;=IFERROR(LOOKUP(2,1/((HISTORIAL!$O$3:$O$439=D441&amp;"|"&amp;E441)*(HISTORIAL!$F$3:$F$439&gt;0)),HISTORIAL!$G$3:$G$439),0),1,0),0),0),0))</f>
        <v>0</v>
      </c>
    </row>
    <row r="442" spans="1:15" ht="14.1" customHeight="1">
      <c r="A442" s="37">
        <v>7</v>
      </c>
      <c r="B442" s="37" t="s">
        <v>281</v>
      </c>
      <c r="C442" s="37">
        <v>11</v>
      </c>
      <c r="D442" s="56" t="str">
        <f>SABADO!$A$172</f>
        <v>Face Pull</v>
      </c>
      <c r="E442" s="57" t="str">
        <f>SABADO!$B$172</f>
        <v>Polea Alta Cuerda</v>
      </c>
      <c r="F442" s="37" t="str">
        <f>SABADO!$C$172</f>
        <v>polea</v>
      </c>
      <c r="G442" s="37" t="str">
        <f>IFERROR(LOOKUP(2,1/((HISTORIAL!$O$3:$O$440=D442&amp;"|"&amp;E442)*(HISTORIAL!$F$3:$F$440&lt;&gt;"")),HISTORIAL!$F$3:$F$440),"")</f>
        <v/>
      </c>
      <c r="H442" s="37" t="str">
        <f>IFERROR(LOOKUP(2,1/((HISTORIAL!$O$3:$O$440=D442&amp;"|"&amp;E442)*(HISTORIAL!$F$3:$F$440&lt;&gt;"")),HISTORIAL!$G$3:$G$440),"")</f>
        <v/>
      </c>
      <c r="I442" s="37" t="str">
        <f>IFERROR(LOOKUP(2,1/((HISTORIAL!$O$3:$O$440=D442&amp;"|"&amp;E442)*(HISTORIAL!$F$3:$F$440&lt;&gt;"")),HISTORIAL!$H$3:$H$440),"")</f>
        <v/>
      </c>
      <c r="J442" s="37" t="str">
        <f>IFERROR(LOOKUP(2,1/((HISTORIAL!$O$3:$O$440=D442&amp;"|"&amp;E442)*(HISTORIAL!$F$3:$F$440&lt;&gt;"")),HISTORIAL!$I$3:$I$440),"")</f>
        <v/>
      </c>
      <c r="K442" s="58" t="str">
        <f>IFERROR(IF(OR(G442="",N442="SIN"),"--",IF(N442="SUBIR_F",IF(F442="polea",IFERROR(INDEX(CONFIG!$B$25:$B$40,MATCH(G442,CONFIG!$B$25:$B$40,0)+2),IFERROR(INDEX(CONFIG!$B$25:$B$40,MATCH(G442,CONFIG!$B$25:$B$40,0)+1),G442)),G442+5),IF(OR(N442="SUBIR",N442="SUBIR_E"),IF(F442="polea",IFERROR(INDEX(CONFIG!$B$25:$B$40,MATCH(G442,CONFIG!$B$25:$B$40,0)+1),G442),G442+2.5),IF(N442="BAJAR",IF(F442="polea",IFERROR(INDEX(CONFIG!$B$25:$B$40,MAX(1,MATCH(G442,CONFIG!$B$25:$B$40,0)-1)),G442),MAX(0,G442-2.5)),G442)))),"--")</f>
        <v>--</v>
      </c>
      <c r="L442" s="59" t="str">
        <f>IFERROR(IF(N442="SIN","--",IF(N442="MANT",IF(H442="","--",H442+1),IFERROR(VLOOKUP(CONFIG!$E$2,CONFIG!$A$6:$E$8,2,0),"--"))),"--")</f>
        <v>--</v>
      </c>
      <c r="M442" s="59" t="str">
        <f>IFERROR(IF(N442="SIN","--",IF(CONFIG!$E$2="HIP",2,IF(CONFIG!$E$2="FUE",1,2))),"--")</f>
        <v>--</v>
      </c>
      <c r="N442" s="53" t="str">
        <f>IFERROR(IF(G442="","SIN",IF(O442=1,"SUBIR_E",IF(H442&lt;IFERROR(VLOOKUP(CONFIG!$E$2,CONFIG!$A$6:$E$8,2,0),6),"BAJAR",IF(H442+I442&gt;=IFERROR(VLOOKUP(CONFIG!$E$2,CONFIG!$A$6:$E$8,3,0),12),"SUBIR_F",IF(AND(H442&gt;=IFERROR(VLOOKUP(CONFIG!$E$2,CONFIG!$A$6:$E$8,2,0),6)+2,I442&gt;=2),"SUBIR",IF(I442&gt;IFERROR(VLOOKUP(CONFIG!$E$2,CONFIG!$A$6:$E$8,5,0),3),"SUBIR","MANT")))))),"SIN")</f>
        <v>SIN</v>
      </c>
      <c r="O442" s="55">
        <f>IF(COUNTIFS(HISTORIAL!$O$3:$O$440,D442&amp;"|"&amp;E442,HISTORIAL!$F$3:$F$440,"&gt;0")&lt;2,0,IF(COUNTIFS(HISTORIAL!$O$3:$O$440,D442&amp;"|"&amp;E442,HISTORIAL!$F$3:$F$440,IFERROR(LOOKUP(2,1/((HISTORIAL!$O$3:$O$440=D442&amp;"|"&amp;E442)*(HISTORIAL!$F$3:$F$440&gt;0)),HISTORIAL!$F$3:$F$440),0))&gt;=2,IF(IFERROR(LOOKUP(2,1/((HISTORIAL!$O$3:$O$440=D442&amp;"|"&amp;E442)*(HISTORIAL!$F$3:$F$440&gt;0)),HISTORIAL!$G$3:$G$440),0)&gt;0,IF(F442&gt;0,IF(G442&lt;=IFERROR(LOOKUP(2,1/((HISTORIAL!$O$3:$O$440=D442&amp;"|"&amp;E442)*(HISTORIAL!$F$3:$F$440&gt;0)),HISTORIAL!$G$3:$G$440),0),1,0),0),0),0))</f>
        <v>0</v>
      </c>
    </row>
    <row r="443" spans="1:15" ht="14.1" customHeight="1">
      <c r="A443" s="37">
        <v>7</v>
      </c>
      <c r="B443" s="37" t="s">
        <v>281</v>
      </c>
      <c r="C443" s="37">
        <v>12</v>
      </c>
      <c r="D443" s="56" t="str">
        <f>SABADO!$A$174</f>
        <v>Hiperextension</v>
      </c>
      <c r="E443" s="57" t="str">
        <f>SABADO!$B$174</f>
        <v>Banco Romano</v>
      </c>
      <c r="F443" s="37" t="str">
        <f>SABADO!$C$174</f>
        <v>peso_corporal</v>
      </c>
      <c r="G443" s="37" t="str">
        <f>IFERROR(LOOKUP(2,1/((HISTORIAL!$O$3:$O$441=D443&amp;"|"&amp;E443)*(HISTORIAL!$F$3:$F$441&lt;&gt;"")),HISTORIAL!$F$3:$F$441),"")</f>
        <v/>
      </c>
      <c r="H443" s="37" t="str">
        <f>IFERROR(LOOKUP(2,1/((HISTORIAL!$O$3:$O$441=D443&amp;"|"&amp;E443)*(HISTORIAL!$F$3:$F$441&lt;&gt;"")),HISTORIAL!$G$3:$G$441),"")</f>
        <v/>
      </c>
      <c r="I443" s="37" t="str">
        <f>IFERROR(LOOKUP(2,1/((HISTORIAL!$O$3:$O$441=D443&amp;"|"&amp;E443)*(HISTORIAL!$F$3:$F$441&lt;&gt;"")),HISTORIAL!$H$3:$H$441),"")</f>
        <v/>
      </c>
      <c r="J443" s="37" t="str">
        <f>IFERROR(LOOKUP(2,1/((HISTORIAL!$O$3:$O$441=D443&amp;"|"&amp;E443)*(HISTORIAL!$F$3:$F$441&lt;&gt;"")),HISTORIAL!$I$3:$I$441),"")</f>
        <v/>
      </c>
      <c r="K443" s="58" t="str">
        <f>IFERROR(IF(OR(G443="",N443="SIN"),"--",IF(N443="SUBIR_F",IF(F443="polea",IFERROR(INDEX(CONFIG!$B$25:$B$40,MATCH(G443,CONFIG!$B$25:$B$40,0)+2),IFERROR(INDEX(CONFIG!$B$25:$B$40,MATCH(G443,CONFIG!$B$25:$B$40,0)+1),G443)),G443+5),IF(OR(N443="SUBIR",N443="SUBIR_E"),IF(F443="polea",IFERROR(INDEX(CONFIG!$B$25:$B$40,MATCH(G443,CONFIG!$B$25:$B$40,0)+1),G443),G443+2.5),IF(N443="BAJAR",IF(F443="polea",IFERROR(INDEX(CONFIG!$B$25:$B$40,MAX(1,MATCH(G443,CONFIG!$B$25:$B$40,0)-1)),G443),MAX(0,G443-2.5)),G443)))),"--")</f>
        <v>--</v>
      </c>
      <c r="L443" s="59" t="str">
        <f>IFERROR(IF(N443="SIN","--",IF(N443="MANT",IF(H443="","--",H443+1),IFERROR(VLOOKUP(CONFIG!$E$2,CONFIG!$A$6:$E$8,2,0),"--"))),"--")</f>
        <v>--</v>
      </c>
      <c r="M443" s="59" t="str">
        <f>IFERROR(IF(N443="SIN","--",IF(CONFIG!$E$2="HIP",2,IF(CONFIG!$E$2="FUE",1,2))),"--")</f>
        <v>--</v>
      </c>
      <c r="N443" s="53" t="str">
        <f>IFERROR(IF(G443="","SIN",IF(O443=1,"SUBIR_E",IF(H443&lt;IFERROR(VLOOKUP(CONFIG!$E$2,CONFIG!$A$6:$E$8,2,0),6),"BAJAR",IF(H443+I443&gt;=IFERROR(VLOOKUP(CONFIG!$E$2,CONFIG!$A$6:$E$8,3,0),12),"SUBIR_F",IF(AND(H443&gt;=IFERROR(VLOOKUP(CONFIG!$E$2,CONFIG!$A$6:$E$8,2,0),6)+2,I443&gt;=2),"SUBIR",IF(I443&gt;IFERROR(VLOOKUP(CONFIG!$E$2,CONFIG!$A$6:$E$8,5,0),3),"SUBIR","MANT")))))),"SIN")</f>
        <v>SIN</v>
      </c>
      <c r="O443" s="55">
        <f>IF(COUNTIFS(HISTORIAL!$O$3:$O$441,D443&amp;"|"&amp;E443,HISTORIAL!$F$3:$F$441,"&gt;0")&lt;2,0,IF(COUNTIFS(HISTORIAL!$O$3:$O$441,D443&amp;"|"&amp;E443,HISTORIAL!$F$3:$F$441,IFERROR(LOOKUP(2,1/((HISTORIAL!$O$3:$O$441=D443&amp;"|"&amp;E443)*(HISTORIAL!$F$3:$F$441&gt;0)),HISTORIAL!$F$3:$F$441),0))&gt;=2,IF(IFERROR(LOOKUP(2,1/((HISTORIAL!$O$3:$O$441=D443&amp;"|"&amp;E443)*(HISTORIAL!$F$3:$F$441&gt;0)),HISTORIAL!$G$3:$G$441),0)&gt;0,IF(F443&gt;0,IF(G443&lt;=IFERROR(LOOKUP(2,1/((HISTORIAL!$O$3:$O$441=D443&amp;"|"&amp;E443)*(HISTORIAL!$F$3:$F$441&gt;0)),HISTORIAL!$G$3:$G$441),0),1,0),0),0),0))</f>
        <v>0</v>
      </c>
    </row>
    <row r="444" spans="1:15" ht="14.1" customHeight="1">
      <c r="A444" s="37">
        <v>7</v>
      </c>
      <c r="B444" s="37" t="s">
        <v>281</v>
      </c>
      <c r="C444" s="37">
        <v>13</v>
      </c>
      <c r="D444" s="56" t="str">
        <f>SABADO!$A$176</f>
        <v>Crunch</v>
      </c>
      <c r="E444" s="57" t="str">
        <f>SABADO!$B$176</f>
        <v>Polea</v>
      </c>
      <c r="F444" s="37" t="str">
        <f>SABADO!$C$176</f>
        <v>polea</v>
      </c>
      <c r="G444" s="37" t="str">
        <f>IFERROR(LOOKUP(2,1/((HISTORIAL!$O$3:$O$442=D444&amp;"|"&amp;E444)*(HISTORIAL!$F$3:$F$442&lt;&gt;"")),HISTORIAL!$F$3:$F$442),"")</f>
        <v/>
      </c>
      <c r="H444" s="37" t="str">
        <f>IFERROR(LOOKUP(2,1/((HISTORIAL!$O$3:$O$442=D444&amp;"|"&amp;E444)*(HISTORIAL!$F$3:$F$442&lt;&gt;"")),HISTORIAL!$G$3:$G$442),"")</f>
        <v/>
      </c>
      <c r="I444" s="37" t="str">
        <f>IFERROR(LOOKUP(2,1/((HISTORIAL!$O$3:$O$442=D444&amp;"|"&amp;E444)*(HISTORIAL!$F$3:$F$442&lt;&gt;"")),HISTORIAL!$H$3:$H$442),"")</f>
        <v/>
      </c>
      <c r="J444" s="37" t="str">
        <f>IFERROR(LOOKUP(2,1/((HISTORIAL!$O$3:$O$442=D444&amp;"|"&amp;E444)*(HISTORIAL!$F$3:$F$442&lt;&gt;"")),HISTORIAL!$I$3:$I$442),"")</f>
        <v/>
      </c>
      <c r="K444" s="58" t="str">
        <f>IFERROR(IF(OR(G444="",N444="SIN"),"--",IF(N444="SUBIR_F",IF(F444="polea",IFERROR(INDEX(CONFIG!$B$25:$B$40,MATCH(G444,CONFIG!$B$25:$B$40,0)+2),IFERROR(INDEX(CONFIG!$B$25:$B$40,MATCH(G444,CONFIG!$B$25:$B$40,0)+1),G444)),G444+5),IF(OR(N444="SUBIR",N444="SUBIR_E"),IF(F444="polea",IFERROR(INDEX(CONFIG!$B$25:$B$40,MATCH(G444,CONFIG!$B$25:$B$40,0)+1),G444),G444+2.5),IF(N444="BAJAR",IF(F444="polea",IFERROR(INDEX(CONFIG!$B$25:$B$40,MAX(1,MATCH(G444,CONFIG!$B$25:$B$40,0)-1)),G444),MAX(0,G444-2.5)),G444)))),"--")</f>
        <v>--</v>
      </c>
      <c r="L444" s="59" t="str">
        <f>IFERROR(IF(N444="SIN","--",IF(N444="MANT",IF(H444="","--",H444+1),IFERROR(VLOOKUP(CONFIG!$E$2,CONFIG!$A$6:$E$8,2,0),"--"))),"--")</f>
        <v>--</v>
      </c>
      <c r="M444" s="59" t="str">
        <f>IFERROR(IF(N444="SIN","--",IF(CONFIG!$E$2="HIP",2,IF(CONFIG!$E$2="FUE",1,2))),"--")</f>
        <v>--</v>
      </c>
      <c r="N444" s="53" t="str">
        <f>IFERROR(IF(G444="","SIN",IF(O444=1,"SUBIR_E",IF(H444&lt;IFERROR(VLOOKUP(CONFIG!$E$2,CONFIG!$A$6:$E$8,2,0),6),"BAJAR",IF(H444+I444&gt;=IFERROR(VLOOKUP(CONFIG!$E$2,CONFIG!$A$6:$E$8,3,0),12),"SUBIR_F",IF(AND(H444&gt;=IFERROR(VLOOKUP(CONFIG!$E$2,CONFIG!$A$6:$E$8,2,0),6)+2,I444&gt;=2),"SUBIR",IF(I444&gt;IFERROR(VLOOKUP(CONFIG!$E$2,CONFIG!$A$6:$E$8,5,0),3),"SUBIR","MANT")))))),"SIN")</f>
        <v>SIN</v>
      </c>
      <c r="O444" s="55">
        <f>IF(COUNTIFS(HISTORIAL!$O$3:$O$442,D444&amp;"|"&amp;E444,HISTORIAL!$F$3:$F$442,"&gt;0")&lt;2,0,IF(COUNTIFS(HISTORIAL!$O$3:$O$442,D444&amp;"|"&amp;E444,HISTORIAL!$F$3:$F$442,IFERROR(LOOKUP(2,1/((HISTORIAL!$O$3:$O$442=D444&amp;"|"&amp;E444)*(HISTORIAL!$F$3:$F$442&gt;0)),HISTORIAL!$F$3:$F$442),0))&gt;=2,IF(IFERROR(LOOKUP(2,1/((HISTORIAL!$O$3:$O$442=D444&amp;"|"&amp;E444)*(HISTORIAL!$F$3:$F$442&gt;0)),HISTORIAL!$G$3:$G$442),0)&gt;0,IF(F444&gt;0,IF(G444&lt;=IFERROR(LOOKUP(2,1/((HISTORIAL!$O$3:$O$442=D444&amp;"|"&amp;E444)*(HISTORIAL!$F$3:$F$442&gt;0)),HISTORIAL!$G$3:$G$442),0),1,0),0),0),0))</f>
        <v>0</v>
      </c>
    </row>
    <row r="445" spans="1:15" ht="14.1" customHeight="1">
      <c r="A445" s="37">
        <v>8</v>
      </c>
      <c r="B445" s="37" t="s">
        <v>277</v>
      </c>
      <c r="C445" s="37">
        <v>1</v>
      </c>
      <c r="D445" s="56" t="str">
        <f>LUNES!$A$167</f>
        <v>Press Plano</v>
      </c>
      <c r="E445" s="57" t="str">
        <f>LUNES!$B$167</f>
        <v>Barra</v>
      </c>
      <c r="F445" s="37" t="str">
        <f>LUNES!$C$167</f>
        <v>disco</v>
      </c>
      <c r="G445" s="37" t="str">
        <f>IFERROR(LOOKUP(2,1/((HISTORIAL!$O$3:$O$443=D445&amp;"|"&amp;E445)*(HISTORIAL!$F$3:$F$443&lt;&gt;"")),HISTORIAL!$F$3:$F$443),"")</f>
        <v/>
      </c>
      <c r="H445" s="37" t="str">
        <f>IFERROR(LOOKUP(2,1/((HISTORIAL!$O$3:$O$443=D445&amp;"|"&amp;E445)*(HISTORIAL!$F$3:$F$443&lt;&gt;"")),HISTORIAL!$G$3:$G$443),"")</f>
        <v/>
      </c>
      <c r="I445" s="37" t="str">
        <f>IFERROR(LOOKUP(2,1/((HISTORIAL!$O$3:$O$443=D445&amp;"|"&amp;E445)*(HISTORIAL!$F$3:$F$443&lt;&gt;"")),HISTORIAL!$H$3:$H$443),"")</f>
        <v/>
      </c>
      <c r="J445" s="37" t="str">
        <f>IFERROR(LOOKUP(2,1/((HISTORIAL!$O$3:$O$443=D445&amp;"|"&amp;E445)*(HISTORIAL!$F$3:$F$443&lt;&gt;"")),HISTORIAL!$I$3:$I$443),"")</f>
        <v/>
      </c>
      <c r="K445" s="58" t="str">
        <f>IFERROR(IF(OR(G445="",N445="SIN"),"--",IF(N445="SUBIR_F",IF(F445="polea",IFERROR(INDEX(CONFIG!$B$25:$B$40,MATCH(G445,CONFIG!$B$25:$B$40,0)+2),IFERROR(INDEX(CONFIG!$B$25:$B$40,MATCH(G445,CONFIG!$B$25:$B$40,0)+1),G445)),G445+5),IF(OR(N445="SUBIR",N445="SUBIR_E"),IF(F445="polea",IFERROR(INDEX(CONFIG!$B$25:$B$40,MATCH(G445,CONFIG!$B$25:$B$40,0)+1),G445),G445+2.5),IF(N445="BAJAR",IF(F445="polea",IFERROR(INDEX(CONFIG!$B$25:$B$40,MAX(1,MATCH(G445,CONFIG!$B$25:$B$40,0)-1)),G445),MAX(0,G445-2.5)),G445)))),"--")</f>
        <v>--</v>
      </c>
      <c r="L445" s="59" t="str">
        <f>IFERROR(IF(N445="SIN","--",IF(N445="MANT",IF(H445="","--",H445+1),IFERROR(VLOOKUP(CONFIG!$E$2,CONFIG!$A$6:$E$8,2,0),"--"))),"--")</f>
        <v>--</v>
      </c>
      <c r="M445" s="59" t="str">
        <f>IFERROR(IF(N445="SIN","--",IF(CONFIG!$E$2="HIP",2,IF(CONFIG!$E$2="FUE",1,2))),"--")</f>
        <v>--</v>
      </c>
      <c r="N445" s="53" t="str">
        <f>IFERROR(IF(G445="","SIN",IF(O445=1,"SUBIR_E",IF(H445&lt;IFERROR(VLOOKUP(CONFIG!$E$2,CONFIG!$A$6:$E$8,2,0),6),"BAJAR",IF(H445+I445&gt;=IFERROR(VLOOKUP(CONFIG!$E$2,CONFIG!$A$6:$E$8,3,0),12),"SUBIR_F",IF(AND(H445&gt;=IFERROR(VLOOKUP(CONFIG!$E$2,CONFIG!$A$6:$E$8,2,0),6)+2,I445&gt;=2),"SUBIR",IF(I445&gt;IFERROR(VLOOKUP(CONFIG!$E$2,CONFIG!$A$6:$E$8,5,0),3),"SUBIR","MANT")))))),"SIN")</f>
        <v>SIN</v>
      </c>
      <c r="O445" s="55">
        <f>IF(COUNTIFS(HISTORIAL!$O$3:$O$443,D445&amp;"|"&amp;E445,HISTORIAL!$F$3:$F$443,"&gt;0")&lt;2,0,IF(COUNTIFS(HISTORIAL!$O$3:$O$443,D445&amp;"|"&amp;E445,HISTORIAL!$F$3:$F$443,IFERROR(LOOKUP(2,1/((HISTORIAL!$O$3:$O$443=D445&amp;"|"&amp;E445)*(HISTORIAL!$F$3:$F$443&gt;0)),HISTORIAL!$F$3:$F$443),0))&gt;=2,IF(IFERROR(LOOKUP(2,1/((HISTORIAL!$O$3:$O$443=D445&amp;"|"&amp;E445)*(HISTORIAL!$F$3:$F$443&gt;0)),HISTORIAL!$G$3:$G$443),0)&gt;0,IF(F445&gt;0,IF(G445&lt;=IFERROR(LOOKUP(2,1/((HISTORIAL!$O$3:$O$443=D445&amp;"|"&amp;E445)*(HISTORIAL!$F$3:$F$443&gt;0)),HISTORIAL!$G$3:$G$443),0),1,0),0),0),0))</f>
        <v>0</v>
      </c>
    </row>
    <row r="446" spans="1:15" ht="14.1" customHeight="1">
      <c r="A446" s="37">
        <v>8</v>
      </c>
      <c r="B446" s="37" t="s">
        <v>277</v>
      </c>
      <c r="C446" s="37">
        <v>2</v>
      </c>
      <c r="D446" s="56" t="str">
        <f>LUNES!$A$169</f>
        <v>Press Inclinado</v>
      </c>
      <c r="E446" s="57" t="str">
        <f>LUNES!$B$169</f>
        <v>Mancuernas</v>
      </c>
      <c r="F446" s="37" t="str">
        <f>LUNES!$C$169</f>
        <v>mancuerna</v>
      </c>
      <c r="G446" s="37" t="str">
        <f>IFERROR(LOOKUP(2,1/((HISTORIAL!$O$3:$O$444=D446&amp;"|"&amp;E446)*(HISTORIAL!$F$3:$F$444&lt;&gt;"")),HISTORIAL!$F$3:$F$444),"")</f>
        <v/>
      </c>
      <c r="H446" s="37" t="str">
        <f>IFERROR(LOOKUP(2,1/((HISTORIAL!$O$3:$O$444=D446&amp;"|"&amp;E446)*(HISTORIAL!$F$3:$F$444&lt;&gt;"")),HISTORIAL!$G$3:$G$444),"")</f>
        <v/>
      </c>
      <c r="I446" s="37" t="str">
        <f>IFERROR(LOOKUP(2,1/((HISTORIAL!$O$3:$O$444=D446&amp;"|"&amp;E446)*(HISTORIAL!$F$3:$F$444&lt;&gt;"")),HISTORIAL!$H$3:$H$444),"")</f>
        <v/>
      </c>
      <c r="J446" s="37" t="str">
        <f>IFERROR(LOOKUP(2,1/((HISTORIAL!$O$3:$O$444=D446&amp;"|"&amp;E446)*(HISTORIAL!$F$3:$F$444&lt;&gt;"")),HISTORIAL!$I$3:$I$444),"")</f>
        <v/>
      </c>
      <c r="K446" s="58" t="str">
        <f>IFERROR(IF(OR(G446="",N446="SIN"),"--",IF(N446="SUBIR_F",IF(F446="polea",IFERROR(INDEX(CONFIG!$B$25:$B$40,MATCH(G446,CONFIG!$B$25:$B$40,0)+2),IFERROR(INDEX(CONFIG!$B$25:$B$40,MATCH(G446,CONFIG!$B$25:$B$40,0)+1),G446)),G446+5),IF(OR(N446="SUBIR",N446="SUBIR_E"),IF(F446="polea",IFERROR(INDEX(CONFIG!$B$25:$B$40,MATCH(G446,CONFIG!$B$25:$B$40,0)+1),G446),G446+2.5),IF(N446="BAJAR",IF(F446="polea",IFERROR(INDEX(CONFIG!$B$25:$B$40,MAX(1,MATCH(G446,CONFIG!$B$25:$B$40,0)-1)),G446),MAX(0,G446-2.5)),G446)))),"--")</f>
        <v>--</v>
      </c>
      <c r="L446" s="59" t="str">
        <f>IFERROR(IF(N446="SIN","--",IF(N446="MANT",IF(H446="","--",H446+1),IFERROR(VLOOKUP(CONFIG!$E$2,CONFIG!$A$6:$E$8,2,0),"--"))),"--")</f>
        <v>--</v>
      </c>
      <c r="M446" s="59" t="str">
        <f>IFERROR(IF(N446="SIN","--",IF(CONFIG!$E$2="HIP",2,IF(CONFIG!$E$2="FUE",1,2))),"--")</f>
        <v>--</v>
      </c>
      <c r="N446" s="53" t="str">
        <f>IFERROR(IF(G446="","SIN",IF(O446=1,"SUBIR_E",IF(H446&lt;IFERROR(VLOOKUP(CONFIG!$E$2,CONFIG!$A$6:$E$8,2,0),6),"BAJAR",IF(H446+I446&gt;=IFERROR(VLOOKUP(CONFIG!$E$2,CONFIG!$A$6:$E$8,3,0),12),"SUBIR_F",IF(AND(H446&gt;=IFERROR(VLOOKUP(CONFIG!$E$2,CONFIG!$A$6:$E$8,2,0),6)+2,I446&gt;=2),"SUBIR",IF(I446&gt;IFERROR(VLOOKUP(CONFIG!$E$2,CONFIG!$A$6:$E$8,5,0),3),"SUBIR","MANT")))))),"SIN")</f>
        <v>SIN</v>
      </c>
      <c r="O446" s="55">
        <f>IF(COUNTIFS(HISTORIAL!$O$3:$O$444,D446&amp;"|"&amp;E446,HISTORIAL!$F$3:$F$444,"&gt;0")&lt;2,0,IF(COUNTIFS(HISTORIAL!$O$3:$O$444,D446&amp;"|"&amp;E446,HISTORIAL!$F$3:$F$444,IFERROR(LOOKUP(2,1/((HISTORIAL!$O$3:$O$444=D446&amp;"|"&amp;E446)*(HISTORIAL!$F$3:$F$444&gt;0)),HISTORIAL!$F$3:$F$444),0))&gt;=2,IF(IFERROR(LOOKUP(2,1/((HISTORIAL!$O$3:$O$444=D446&amp;"|"&amp;E446)*(HISTORIAL!$F$3:$F$444&gt;0)),HISTORIAL!$G$3:$G$444),0)&gt;0,IF(F446&gt;0,IF(G446&lt;=IFERROR(LOOKUP(2,1/((HISTORIAL!$O$3:$O$444=D446&amp;"|"&amp;E446)*(HISTORIAL!$F$3:$F$444&gt;0)),HISTORIAL!$G$3:$G$444),0),1,0),0),0),0))</f>
        <v>0</v>
      </c>
    </row>
    <row r="447" spans="1:15" ht="14.1" customHeight="1">
      <c r="A447" s="37">
        <v>8</v>
      </c>
      <c r="B447" s="37" t="s">
        <v>277</v>
      </c>
      <c r="C447" s="37">
        <v>3</v>
      </c>
      <c r="D447" s="56" t="str">
        <f>LUNES!$A$171</f>
        <v>Fondos</v>
      </c>
      <c r="E447" s="57" t="str">
        <f>LUNES!$B$171</f>
        <v>Paralelas</v>
      </c>
      <c r="F447" s="37" t="str">
        <f>LUNES!$C$171</f>
        <v>peso_corporal</v>
      </c>
      <c r="G447" s="37">
        <f>IFERROR(LOOKUP(2,1/((HISTORIAL!$O$3:$O$445=D447&amp;"|"&amp;E447)*(HISTORIAL!$F$3:$F$445&lt;&gt;"")),HISTORIAL!$F$3:$F$445),"")</f>
        <v>0</v>
      </c>
      <c r="H447" s="37">
        <f>IFERROR(LOOKUP(2,1/((HISTORIAL!$O$3:$O$445=D447&amp;"|"&amp;E447)*(HISTORIAL!$F$3:$F$445&lt;&gt;"")),HISTORIAL!$G$3:$G$445),"")</f>
        <v>12</v>
      </c>
      <c r="I447" s="37">
        <f>IFERROR(LOOKUP(2,1/((HISTORIAL!$O$3:$O$445=D447&amp;"|"&amp;E447)*(HISTORIAL!$F$3:$F$445&lt;&gt;"")),HISTORIAL!$H$3:$H$445),"")</f>
        <v>0</v>
      </c>
      <c r="J447" s="37" t="str">
        <f>IFERROR(LOOKUP(2,1/((HISTORIAL!$O$3:$O$445=D447&amp;"|"&amp;E447)*(HISTORIAL!$F$3:$F$445&lt;&gt;"")),HISTORIAL!$I$3:$I$445),"")</f>
        <v>B</v>
      </c>
      <c r="K447" s="58">
        <f>IFERROR(IF(OR(G447="",N447="SIN"),"--",IF(N447="SUBIR_F",IF(F447="polea",IFERROR(INDEX(CONFIG!$B$25:$B$40,MATCH(G447,CONFIG!$B$25:$B$40,0)+2),IFERROR(INDEX(CONFIG!$B$25:$B$40,MATCH(G447,CONFIG!$B$25:$B$40,0)+1),G447)),G447+5),IF(OR(N447="SUBIR",N447="SUBIR_E"),IF(F447="polea",IFERROR(INDEX(CONFIG!$B$25:$B$40,MATCH(G447,CONFIG!$B$25:$B$40,0)+1),G447),G447+2.5),IF(N447="BAJAR",IF(F447="polea",IFERROR(INDEX(CONFIG!$B$25:$B$40,MAX(1,MATCH(G447,CONFIG!$B$25:$B$40,0)-1)),G447),MAX(0,G447-2.5)),G447)))),"--")</f>
        <v>5</v>
      </c>
      <c r="L447" s="59">
        <f>IFERROR(IF(N447="SIN","--",IF(N447="MANT",IF(H447="","--",H447+1),IFERROR(VLOOKUP(CONFIG!$E$2,CONFIG!$A$6:$E$8,2,0),"--"))),"--")</f>
        <v>6</v>
      </c>
      <c r="M447" s="59">
        <f>IFERROR(IF(N447="SIN","--",IF(CONFIG!$E$2="HIP",2,IF(CONFIG!$E$2="FUE",1,2))),"--")</f>
        <v>2</v>
      </c>
      <c r="N447" s="53" t="str">
        <f>IFERROR(IF(G447="","SIN",IF(O447=1,"SUBIR_E",IF(H447&lt;IFERROR(VLOOKUP(CONFIG!$E$2,CONFIG!$A$6:$E$8,2,0),6),"BAJAR",IF(H447+I447&gt;=IFERROR(VLOOKUP(CONFIG!$E$2,CONFIG!$A$6:$E$8,3,0),12),"SUBIR_F",IF(AND(H447&gt;=IFERROR(VLOOKUP(CONFIG!$E$2,CONFIG!$A$6:$E$8,2,0),6)+2,I447&gt;=2),"SUBIR",IF(I447&gt;IFERROR(VLOOKUP(CONFIG!$E$2,CONFIG!$A$6:$E$8,5,0),3),"SUBIR","MANT")))))),"SIN")</f>
        <v>SUBIR_F</v>
      </c>
      <c r="O447" s="55">
        <f>IF(COUNTIFS(HISTORIAL!$O$3:$O$445,D447&amp;"|"&amp;E447,HISTORIAL!$F$3:$F$445,"&gt;0")&lt;2,0,IF(COUNTIFS(HISTORIAL!$O$3:$O$445,D447&amp;"|"&amp;E447,HISTORIAL!$F$3:$F$445,IFERROR(LOOKUP(2,1/((HISTORIAL!$O$3:$O$445=D447&amp;"|"&amp;E447)*(HISTORIAL!$F$3:$F$445&gt;0)),HISTORIAL!$F$3:$F$445),0))&gt;=2,IF(IFERROR(LOOKUP(2,1/((HISTORIAL!$O$3:$O$445=D447&amp;"|"&amp;E447)*(HISTORIAL!$F$3:$F$445&gt;0)),HISTORIAL!$G$3:$G$445),0)&gt;0,IF(F447&gt;0,IF(G447&lt;=IFERROR(LOOKUP(2,1/((HISTORIAL!$O$3:$O$445=D447&amp;"|"&amp;E447)*(HISTORIAL!$F$3:$F$445&gt;0)),HISTORIAL!$G$3:$G$445),0),1,0),0),0),0))</f>
        <v>0</v>
      </c>
    </row>
    <row r="448" spans="1:15" ht="14.1" customHeight="1">
      <c r="A448" s="37">
        <v>8</v>
      </c>
      <c r="B448" s="37" t="s">
        <v>277</v>
      </c>
      <c r="C448" s="37">
        <v>4</v>
      </c>
      <c r="D448" s="56" t="str">
        <f>LUNES!$A$172</f>
        <v>Aperturas</v>
      </c>
      <c r="E448" s="57" t="str">
        <f>LUNES!$B$172</f>
        <v>Polea Baja Crossover</v>
      </c>
      <c r="F448" s="37" t="str">
        <f>LUNES!$C$172</f>
        <v>--</v>
      </c>
      <c r="G448" s="37" t="str">
        <f>IFERROR(LOOKUP(2,1/((HISTORIAL!$O$3:$O$446=D448&amp;"|"&amp;E448)*(HISTORIAL!$F$3:$F$446&lt;&gt;"")),HISTORIAL!$F$3:$F$446),"")</f>
        <v/>
      </c>
      <c r="H448" s="37" t="str">
        <f>IFERROR(LOOKUP(2,1/((HISTORIAL!$O$3:$O$446=D448&amp;"|"&amp;E448)*(HISTORIAL!$F$3:$F$446&lt;&gt;"")),HISTORIAL!$G$3:$G$446),"")</f>
        <v/>
      </c>
      <c r="I448" s="37" t="str">
        <f>IFERROR(LOOKUP(2,1/((HISTORIAL!$O$3:$O$446=D448&amp;"|"&amp;E448)*(HISTORIAL!$F$3:$F$446&lt;&gt;"")),HISTORIAL!$H$3:$H$446),"")</f>
        <v/>
      </c>
      <c r="J448" s="37" t="str">
        <f>IFERROR(LOOKUP(2,1/((HISTORIAL!$O$3:$O$446=D448&amp;"|"&amp;E448)*(HISTORIAL!$F$3:$F$446&lt;&gt;"")),HISTORIAL!$I$3:$I$446),"")</f>
        <v/>
      </c>
      <c r="K448" s="58" t="str">
        <f>IFERROR(IF(OR(G448="",N448="SIN"),"--",IF(N448="SUBIR_F",IF(F448="polea",IFERROR(INDEX(CONFIG!$B$25:$B$40,MATCH(G448,CONFIG!$B$25:$B$40,0)+2),IFERROR(INDEX(CONFIG!$B$25:$B$40,MATCH(G448,CONFIG!$B$25:$B$40,0)+1),G448)),G448+5),IF(OR(N448="SUBIR",N448="SUBIR_E"),IF(F448="polea",IFERROR(INDEX(CONFIG!$B$25:$B$40,MATCH(G448,CONFIG!$B$25:$B$40,0)+1),G448),G448+2.5),IF(N448="BAJAR",IF(F448="polea",IFERROR(INDEX(CONFIG!$B$25:$B$40,MAX(1,MATCH(G448,CONFIG!$B$25:$B$40,0)-1)),G448),MAX(0,G448-2.5)),G448)))),"--")</f>
        <v>--</v>
      </c>
      <c r="L448" s="59" t="str">
        <f>IFERROR(IF(N448="SIN","--",IF(N448="MANT",IF(H448="","--",H448+1),IFERROR(VLOOKUP(CONFIG!$E$2,CONFIG!$A$6:$E$8,2,0),"--"))),"--")</f>
        <v>--</v>
      </c>
      <c r="M448" s="59" t="str">
        <f>IFERROR(IF(N448="SIN","--",IF(CONFIG!$E$2="HIP",2,IF(CONFIG!$E$2="FUE",1,2))),"--")</f>
        <v>--</v>
      </c>
      <c r="N448" s="53" t="str">
        <f>IFERROR(IF(G448="","SIN",IF(O448=1,"SUBIR_E",IF(H448&lt;IFERROR(VLOOKUP(CONFIG!$E$2,CONFIG!$A$6:$E$8,2,0),6),"BAJAR",IF(H448+I448&gt;=IFERROR(VLOOKUP(CONFIG!$E$2,CONFIG!$A$6:$E$8,3,0),12),"SUBIR_F",IF(AND(H448&gt;=IFERROR(VLOOKUP(CONFIG!$E$2,CONFIG!$A$6:$E$8,2,0),6)+2,I448&gt;=2),"SUBIR",IF(I448&gt;IFERROR(VLOOKUP(CONFIG!$E$2,CONFIG!$A$6:$E$8,5,0),3),"SUBIR","MANT")))))),"SIN")</f>
        <v>SIN</v>
      </c>
      <c r="O448" s="55">
        <f>IF(COUNTIFS(HISTORIAL!$O$3:$O$446,D448&amp;"|"&amp;E448,HISTORIAL!$F$3:$F$446,"&gt;0")&lt;2,0,IF(COUNTIFS(HISTORIAL!$O$3:$O$446,D448&amp;"|"&amp;E448,HISTORIAL!$F$3:$F$446,IFERROR(LOOKUP(2,1/((HISTORIAL!$O$3:$O$446=D448&amp;"|"&amp;E448)*(HISTORIAL!$F$3:$F$446&gt;0)),HISTORIAL!$F$3:$F$446),0))&gt;=2,IF(IFERROR(LOOKUP(2,1/((HISTORIAL!$O$3:$O$446=D448&amp;"|"&amp;E448)*(HISTORIAL!$F$3:$F$446&gt;0)),HISTORIAL!$G$3:$G$446),0)&gt;0,IF(F448&gt;0,IF(G448&lt;=IFERROR(LOOKUP(2,1/((HISTORIAL!$O$3:$O$446=D448&amp;"|"&amp;E448)*(HISTORIAL!$F$3:$F$446&gt;0)),HISTORIAL!$G$3:$G$446),0),1,0),0),0),0))</f>
        <v>0</v>
      </c>
    </row>
    <row r="449" spans="1:15" ht="14.1" customHeight="1">
      <c r="A449" s="37">
        <v>8</v>
      </c>
      <c r="B449" s="37" t="s">
        <v>277</v>
      </c>
      <c r="C449" s="37">
        <v>5</v>
      </c>
      <c r="D449" s="56" t="str">
        <f>LUNES!$A$173</f>
        <v>Aperturas</v>
      </c>
      <c r="E449" s="57" t="str">
        <f>LUNES!$B$173</f>
        <v>Pec Deck Maquina</v>
      </c>
      <c r="F449" s="37" t="str">
        <f>LUNES!$C$173</f>
        <v>--</v>
      </c>
      <c r="G449" s="37" t="str">
        <f>IFERROR(LOOKUP(2,1/((HISTORIAL!$O$3:$O$447=D449&amp;"|"&amp;E449)*(HISTORIAL!$F$3:$F$447&lt;&gt;"")),HISTORIAL!$F$3:$F$447),"")</f>
        <v/>
      </c>
      <c r="H449" s="37" t="str">
        <f>IFERROR(LOOKUP(2,1/((HISTORIAL!$O$3:$O$447=D449&amp;"|"&amp;E449)*(HISTORIAL!$F$3:$F$447&lt;&gt;"")),HISTORIAL!$G$3:$G$447),"")</f>
        <v/>
      </c>
      <c r="I449" s="37" t="str">
        <f>IFERROR(LOOKUP(2,1/((HISTORIAL!$O$3:$O$447=D449&amp;"|"&amp;E449)*(HISTORIAL!$F$3:$F$447&lt;&gt;"")),HISTORIAL!$H$3:$H$447),"")</f>
        <v/>
      </c>
      <c r="J449" s="37" t="str">
        <f>IFERROR(LOOKUP(2,1/((HISTORIAL!$O$3:$O$447=D449&amp;"|"&amp;E449)*(HISTORIAL!$F$3:$F$447&lt;&gt;"")),HISTORIAL!$I$3:$I$447),"")</f>
        <v/>
      </c>
      <c r="K449" s="58" t="str">
        <f>IFERROR(IF(OR(G449="",N449="SIN"),"--",IF(N449="SUBIR_F",IF(F449="polea",IFERROR(INDEX(CONFIG!$B$25:$B$40,MATCH(G449,CONFIG!$B$25:$B$40,0)+2),IFERROR(INDEX(CONFIG!$B$25:$B$40,MATCH(G449,CONFIG!$B$25:$B$40,0)+1),G449)),G449+5),IF(OR(N449="SUBIR",N449="SUBIR_E"),IF(F449="polea",IFERROR(INDEX(CONFIG!$B$25:$B$40,MATCH(G449,CONFIG!$B$25:$B$40,0)+1),G449),G449+2.5),IF(N449="BAJAR",IF(F449="polea",IFERROR(INDEX(CONFIG!$B$25:$B$40,MAX(1,MATCH(G449,CONFIG!$B$25:$B$40,0)-1)),G449),MAX(0,G449-2.5)),G449)))),"--")</f>
        <v>--</v>
      </c>
      <c r="L449" s="59" t="str">
        <f>IFERROR(IF(N449="SIN","--",IF(N449="MANT",IF(H449="","--",H449+1),IFERROR(VLOOKUP(CONFIG!$E$2,CONFIG!$A$6:$E$8,2,0),"--"))),"--")</f>
        <v>--</v>
      </c>
      <c r="M449" s="59" t="str">
        <f>IFERROR(IF(N449="SIN","--",IF(CONFIG!$E$2="HIP",2,IF(CONFIG!$E$2="FUE",1,2))),"--")</f>
        <v>--</v>
      </c>
      <c r="N449" s="53" t="str">
        <f>IFERROR(IF(G449="","SIN",IF(O449=1,"SUBIR_E",IF(H449&lt;IFERROR(VLOOKUP(CONFIG!$E$2,CONFIG!$A$6:$E$8,2,0),6),"BAJAR",IF(H449+I449&gt;=IFERROR(VLOOKUP(CONFIG!$E$2,CONFIG!$A$6:$E$8,3,0),12),"SUBIR_F",IF(AND(H449&gt;=IFERROR(VLOOKUP(CONFIG!$E$2,CONFIG!$A$6:$E$8,2,0),6)+2,I449&gt;=2),"SUBIR",IF(I449&gt;IFERROR(VLOOKUP(CONFIG!$E$2,CONFIG!$A$6:$E$8,5,0),3),"SUBIR","MANT")))))),"SIN")</f>
        <v>SIN</v>
      </c>
      <c r="O449" s="55">
        <f>IF(COUNTIFS(HISTORIAL!$O$3:$O$447,D449&amp;"|"&amp;E449,HISTORIAL!$F$3:$F$447,"&gt;0")&lt;2,0,IF(COUNTIFS(HISTORIAL!$O$3:$O$447,D449&amp;"|"&amp;E449,HISTORIAL!$F$3:$F$447,IFERROR(LOOKUP(2,1/((HISTORIAL!$O$3:$O$447=D449&amp;"|"&amp;E449)*(HISTORIAL!$F$3:$F$447&gt;0)),HISTORIAL!$F$3:$F$447),0))&gt;=2,IF(IFERROR(LOOKUP(2,1/((HISTORIAL!$O$3:$O$447=D449&amp;"|"&amp;E449)*(HISTORIAL!$F$3:$F$447&gt;0)),HISTORIAL!$G$3:$G$447),0)&gt;0,IF(F449&gt;0,IF(G449&lt;=IFERROR(LOOKUP(2,1/((HISTORIAL!$O$3:$O$447=D449&amp;"|"&amp;E449)*(HISTORIAL!$F$3:$F$447&gt;0)),HISTORIAL!$G$3:$G$447),0),1,0),0),0),0))</f>
        <v>0</v>
      </c>
    </row>
    <row r="450" spans="1:15" ht="14.1" customHeight="1">
      <c r="A450" s="37">
        <v>8</v>
      </c>
      <c r="B450" s="37" t="s">
        <v>277</v>
      </c>
      <c r="C450" s="37">
        <v>6</v>
      </c>
      <c r="D450" s="56" t="str">
        <f>LUNES!$A$175</f>
        <v>Elevaciones Laterales</v>
      </c>
      <c r="E450" s="57" t="str">
        <f>LUNES!$B$175</f>
        <v>Cable Polea Individual</v>
      </c>
      <c r="F450" s="37" t="str">
        <f>LUNES!$C$175</f>
        <v>polea</v>
      </c>
      <c r="G450" s="37" t="str">
        <f>IFERROR(LOOKUP(2,1/((HISTORIAL!$O$3:$O$448=D450&amp;"|"&amp;E450)*(HISTORIAL!$F$3:$F$448&lt;&gt;"")),HISTORIAL!$F$3:$F$448),"")</f>
        <v/>
      </c>
      <c r="H450" s="37" t="str">
        <f>IFERROR(LOOKUP(2,1/((HISTORIAL!$O$3:$O$448=D450&amp;"|"&amp;E450)*(HISTORIAL!$F$3:$F$448&lt;&gt;"")),HISTORIAL!$G$3:$G$448),"")</f>
        <v/>
      </c>
      <c r="I450" s="37" t="str">
        <f>IFERROR(LOOKUP(2,1/((HISTORIAL!$O$3:$O$448=D450&amp;"|"&amp;E450)*(HISTORIAL!$F$3:$F$448&lt;&gt;"")),HISTORIAL!$H$3:$H$448),"")</f>
        <v/>
      </c>
      <c r="J450" s="37" t="str">
        <f>IFERROR(LOOKUP(2,1/((HISTORIAL!$O$3:$O$448=D450&amp;"|"&amp;E450)*(HISTORIAL!$F$3:$F$448&lt;&gt;"")),HISTORIAL!$I$3:$I$448),"")</f>
        <v/>
      </c>
      <c r="K450" s="58" t="str">
        <f>IFERROR(IF(OR(G450="",N450="SIN"),"--",IF(N450="SUBIR_F",IF(F450="polea",IFERROR(INDEX(CONFIG!$B$25:$B$40,MATCH(G450,CONFIG!$B$25:$B$40,0)+2),IFERROR(INDEX(CONFIG!$B$25:$B$40,MATCH(G450,CONFIG!$B$25:$B$40,0)+1),G450)),G450+5),IF(OR(N450="SUBIR",N450="SUBIR_E"),IF(F450="polea",IFERROR(INDEX(CONFIG!$B$25:$B$40,MATCH(G450,CONFIG!$B$25:$B$40,0)+1),G450),G450+2.5),IF(N450="BAJAR",IF(F450="polea",IFERROR(INDEX(CONFIG!$B$25:$B$40,MAX(1,MATCH(G450,CONFIG!$B$25:$B$40,0)-1)),G450),MAX(0,G450-2.5)),G450)))),"--")</f>
        <v>--</v>
      </c>
      <c r="L450" s="59" t="str">
        <f>IFERROR(IF(N450="SIN","--",IF(N450="MANT",IF(H450="","--",H450+1),IFERROR(VLOOKUP(CONFIG!$E$2,CONFIG!$A$6:$E$8,2,0),"--"))),"--")</f>
        <v>--</v>
      </c>
      <c r="M450" s="59" t="str">
        <f>IFERROR(IF(N450="SIN","--",IF(CONFIG!$E$2="HIP",2,IF(CONFIG!$E$2="FUE",1,2))),"--")</f>
        <v>--</v>
      </c>
      <c r="N450" s="53" t="str">
        <f>IFERROR(IF(G450="","SIN",IF(O450=1,"SUBIR_E",IF(H450&lt;IFERROR(VLOOKUP(CONFIG!$E$2,CONFIG!$A$6:$E$8,2,0),6),"BAJAR",IF(H450+I450&gt;=IFERROR(VLOOKUP(CONFIG!$E$2,CONFIG!$A$6:$E$8,3,0),12),"SUBIR_F",IF(AND(H450&gt;=IFERROR(VLOOKUP(CONFIG!$E$2,CONFIG!$A$6:$E$8,2,0),6)+2,I450&gt;=2),"SUBIR",IF(I450&gt;IFERROR(VLOOKUP(CONFIG!$E$2,CONFIG!$A$6:$E$8,5,0),3),"SUBIR","MANT")))))),"SIN")</f>
        <v>SIN</v>
      </c>
      <c r="O450" s="55">
        <f>IF(COUNTIFS(HISTORIAL!$O$3:$O$448,D450&amp;"|"&amp;E450,HISTORIAL!$F$3:$F$448,"&gt;0")&lt;2,0,IF(COUNTIFS(HISTORIAL!$O$3:$O$448,D450&amp;"|"&amp;E450,HISTORIAL!$F$3:$F$448,IFERROR(LOOKUP(2,1/((HISTORIAL!$O$3:$O$448=D450&amp;"|"&amp;E450)*(HISTORIAL!$F$3:$F$448&gt;0)),HISTORIAL!$F$3:$F$448),0))&gt;=2,IF(IFERROR(LOOKUP(2,1/((HISTORIAL!$O$3:$O$448=D450&amp;"|"&amp;E450)*(HISTORIAL!$F$3:$F$448&gt;0)),HISTORIAL!$G$3:$G$448),0)&gt;0,IF(F450&gt;0,IF(G450&lt;=IFERROR(LOOKUP(2,1/((HISTORIAL!$O$3:$O$448=D450&amp;"|"&amp;E450)*(HISTORIAL!$F$3:$F$448&gt;0)),HISTORIAL!$G$3:$G$448),0),1,0),0),0),0))</f>
        <v>0</v>
      </c>
    </row>
    <row r="451" spans="1:15" ht="14.1" customHeight="1">
      <c r="A451" s="37">
        <v>8</v>
      </c>
      <c r="B451" s="37" t="s">
        <v>277</v>
      </c>
      <c r="C451" s="37">
        <v>7</v>
      </c>
      <c r="D451" s="56" t="str">
        <f>LUNES!$A$176</f>
        <v>Press Militar</v>
      </c>
      <c r="E451" s="57" t="str">
        <f>LUNES!$B$176</f>
        <v>Mancuernas Sentado</v>
      </c>
      <c r="F451" s="37" t="str">
        <f>LUNES!$C$176</f>
        <v>mancuerna</v>
      </c>
      <c r="G451" s="37" t="str">
        <f>IFERROR(LOOKUP(2,1/((HISTORIAL!$O$3:$O$449=D451&amp;"|"&amp;E451)*(HISTORIAL!$F$3:$F$449&lt;&gt;"")),HISTORIAL!$F$3:$F$449),"")</f>
        <v/>
      </c>
      <c r="H451" s="37" t="str">
        <f>IFERROR(LOOKUP(2,1/((HISTORIAL!$O$3:$O$449=D451&amp;"|"&amp;E451)*(HISTORIAL!$F$3:$F$449&lt;&gt;"")),HISTORIAL!$G$3:$G$449),"")</f>
        <v/>
      </c>
      <c r="I451" s="37" t="str">
        <f>IFERROR(LOOKUP(2,1/((HISTORIAL!$O$3:$O$449=D451&amp;"|"&amp;E451)*(HISTORIAL!$F$3:$F$449&lt;&gt;"")),HISTORIAL!$H$3:$H$449),"")</f>
        <v/>
      </c>
      <c r="J451" s="37" t="str">
        <f>IFERROR(LOOKUP(2,1/((HISTORIAL!$O$3:$O$449=D451&amp;"|"&amp;E451)*(HISTORIAL!$F$3:$F$449&lt;&gt;"")),HISTORIAL!$I$3:$I$449),"")</f>
        <v/>
      </c>
      <c r="K451" s="58" t="str">
        <f>IFERROR(IF(OR(G451="",N451="SIN"),"--",IF(N451="SUBIR_F",IF(F451="polea",IFERROR(INDEX(CONFIG!$B$25:$B$40,MATCH(G451,CONFIG!$B$25:$B$40,0)+2),IFERROR(INDEX(CONFIG!$B$25:$B$40,MATCH(G451,CONFIG!$B$25:$B$40,0)+1),G451)),G451+5),IF(OR(N451="SUBIR",N451="SUBIR_E"),IF(F451="polea",IFERROR(INDEX(CONFIG!$B$25:$B$40,MATCH(G451,CONFIG!$B$25:$B$40,0)+1),G451),G451+2.5),IF(N451="BAJAR",IF(F451="polea",IFERROR(INDEX(CONFIG!$B$25:$B$40,MAX(1,MATCH(G451,CONFIG!$B$25:$B$40,0)-1)),G451),MAX(0,G451-2.5)),G451)))),"--")</f>
        <v>--</v>
      </c>
      <c r="L451" s="59" t="str">
        <f>IFERROR(IF(N451="SIN","--",IF(N451="MANT",IF(H451="","--",H451+1),IFERROR(VLOOKUP(CONFIG!$E$2,CONFIG!$A$6:$E$8,2,0),"--"))),"--")</f>
        <v>--</v>
      </c>
      <c r="M451" s="59" t="str">
        <f>IFERROR(IF(N451="SIN","--",IF(CONFIG!$E$2="HIP",2,IF(CONFIG!$E$2="FUE",1,2))),"--")</f>
        <v>--</v>
      </c>
      <c r="N451" s="53" t="str">
        <f>IFERROR(IF(G451="","SIN",IF(O451=1,"SUBIR_E",IF(H451&lt;IFERROR(VLOOKUP(CONFIG!$E$2,CONFIG!$A$6:$E$8,2,0),6),"BAJAR",IF(H451+I451&gt;=IFERROR(VLOOKUP(CONFIG!$E$2,CONFIG!$A$6:$E$8,3,0),12),"SUBIR_F",IF(AND(H451&gt;=IFERROR(VLOOKUP(CONFIG!$E$2,CONFIG!$A$6:$E$8,2,0),6)+2,I451&gt;=2),"SUBIR",IF(I451&gt;IFERROR(VLOOKUP(CONFIG!$E$2,CONFIG!$A$6:$E$8,5,0),3),"SUBIR","MANT")))))),"SIN")</f>
        <v>SIN</v>
      </c>
      <c r="O451" s="55">
        <f>IF(COUNTIFS(HISTORIAL!$O$3:$O$449,D451&amp;"|"&amp;E451,HISTORIAL!$F$3:$F$449,"&gt;0")&lt;2,0,IF(COUNTIFS(HISTORIAL!$O$3:$O$449,D451&amp;"|"&amp;E451,HISTORIAL!$F$3:$F$449,IFERROR(LOOKUP(2,1/((HISTORIAL!$O$3:$O$449=D451&amp;"|"&amp;E451)*(HISTORIAL!$F$3:$F$449&gt;0)),HISTORIAL!$F$3:$F$449),0))&gt;=2,IF(IFERROR(LOOKUP(2,1/((HISTORIAL!$O$3:$O$449=D451&amp;"|"&amp;E451)*(HISTORIAL!$F$3:$F$449&gt;0)),HISTORIAL!$G$3:$G$449),0)&gt;0,IF(F451&gt;0,IF(G451&lt;=IFERROR(LOOKUP(2,1/((HISTORIAL!$O$3:$O$449=D451&amp;"|"&amp;E451)*(HISTORIAL!$F$3:$F$449&gt;0)),HISTORIAL!$G$3:$G$449),0),1,0),0),0),0))</f>
        <v>0</v>
      </c>
    </row>
    <row r="452" spans="1:15" ht="14.1" customHeight="1">
      <c r="A452" s="37">
        <v>8</v>
      </c>
      <c r="B452" s="37" t="s">
        <v>277</v>
      </c>
      <c r="C452" s="37">
        <v>8</v>
      </c>
      <c r="D452" s="56" t="str">
        <f>LUNES!$A$178</f>
        <v>Extension Triceps</v>
      </c>
      <c r="E452" s="57" t="str">
        <f>LUNES!$B$178</f>
        <v>Press Neutro Polea Individual</v>
      </c>
      <c r="F452" s="37" t="str">
        <f>LUNES!$C$178</f>
        <v>--</v>
      </c>
      <c r="G452" s="37" t="str">
        <f>IFERROR(LOOKUP(2,1/((HISTORIAL!$O$3:$O$450=D452&amp;"|"&amp;E452)*(HISTORIAL!$F$3:$F$450&lt;&gt;"")),HISTORIAL!$F$3:$F$450),"")</f>
        <v/>
      </c>
      <c r="H452" s="37" t="str">
        <f>IFERROR(LOOKUP(2,1/((HISTORIAL!$O$3:$O$450=D452&amp;"|"&amp;E452)*(HISTORIAL!$F$3:$F$450&lt;&gt;"")),HISTORIAL!$G$3:$G$450),"")</f>
        <v/>
      </c>
      <c r="I452" s="37" t="str">
        <f>IFERROR(LOOKUP(2,1/((HISTORIAL!$O$3:$O$450=D452&amp;"|"&amp;E452)*(HISTORIAL!$F$3:$F$450&lt;&gt;"")),HISTORIAL!$H$3:$H$450),"")</f>
        <v/>
      </c>
      <c r="J452" s="37" t="str">
        <f>IFERROR(LOOKUP(2,1/((HISTORIAL!$O$3:$O$450=D452&amp;"|"&amp;E452)*(HISTORIAL!$F$3:$F$450&lt;&gt;"")),HISTORIAL!$I$3:$I$450),"")</f>
        <v/>
      </c>
      <c r="K452" s="58" t="str">
        <f>IFERROR(IF(OR(G452="",N452="SIN"),"--",IF(N452="SUBIR_F",IF(F452="polea",IFERROR(INDEX(CONFIG!$B$25:$B$40,MATCH(G452,CONFIG!$B$25:$B$40,0)+2),IFERROR(INDEX(CONFIG!$B$25:$B$40,MATCH(G452,CONFIG!$B$25:$B$40,0)+1),G452)),G452+5),IF(OR(N452="SUBIR",N452="SUBIR_E"),IF(F452="polea",IFERROR(INDEX(CONFIG!$B$25:$B$40,MATCH(G452,CONFIG!$B$25:$B$40,0)+1),G452),G452+2.5),IF(N452="BAJAR",IF(F452="polea",IFERROR(INDEX(CONFIG!$B$25:$B$40,MAX(1,MATCH(G452,CONFIG!$B$25:$B$40,0)-1)),G452),MAX(0,G452-2.5)),G452)))),"--")</f>
        <v>--</v>
      </c>
      <c r="L452" s="59" t="str">
        <f>IFERROR(IF(N452="SIN","--",IF(N452="MANT",IF(H452="","--",H452+1),IFERROR(VLOOKUP(CONFIG!$E$2,CONFIG!$A$6:$E$8,2,0),"--"))),"--")</f>
        <v>--</v>
      </c>
      <c r="M452" s="59" t="str">
        <f>IFERROR(IF(N452="SIN","--",IF(CONFIG!$E$2="HIP",2,IF(CONFIG!$E$2="FUE",1,2))),"--")</f>
        <v>--</v>
      </c>
      <c r="N452" s="53" t="str">
        <f>IFERROR(IF(G452="","SIN",IF(O452=1,"SUBIR_E",IF(H452&lt;IFERROR(VLOOKUP(CONFIG!$E$2,CONFIG!$A$6:$E$8,2,0),6),"BAJAR",IF(H452+I452&gt;=IFERROR(VLOOKUP(CONFIG!$E$2,CONFIG!$A$6:$E$8,3,0),12),"SUBIR_F",IF(AND(H452&gt;=IFERROR(VLOOKUP(CONFIG!$E$2,CONFIG!$A$6:$E$8,2,0),6)+2,I452&gt;=2),"SUBIR",IF(I452&gt;IFERROR(VLOOKUP(CONFIG!$E$2,CONFIG!$A$6:$E$8,5,0),3),"SUBIR","MANT")))))),"SIN")</f>
        <v>SIN</v>
      </c>
      <c r="O452" s="55">
        <f>IF(COUNTIFS(HISTORIAL!$O$3:$O$450,D452&amp;"|"&amp;E452,HISTORIAL!$F$3:$F$450,"&gt;0")&lt;2,0,IF(COUNTIFS(HISTORIAL!$O$3:$O$450,D452&amp;"|"&amp;E452,HISTORIAL!$F$3:$F$450,IFERROR(LOOKUP(2,1/((HISTORIAL!$O$3:$O$450=D452&amp;"|"&amp;E452)*(HISTORIAL!$F$3:$F$450&gt;0)),HISTORIAL!$F$3:$F$450),0))&gt;=2,IF(IFERROR(LOOKUP(2,1/((HISTORIAL!$O$3:$O$450=D452&amp;"|"&amp;E452)*(HISTORIAL!$F$3:$F$450&gt;0)),HISTORIAL!$G$3:$G$450),0)&gt;0,IF(F452&gt;0,IF(G452&lt;=IFERROR(LOOKUP(2,1/((HISTORIAL!$O$3:$O$450=D452&amp;"|"&amp;E452)*(HISTORIAL!$F$3:$F$450&gt;0)),HISTORIAL!$G$3:$G$450),0),1,0),0),0),0))</f>
        <v>0</v>
      </c>
    </row>
    <row r="453" spans="1:15" ht="14.1" customHeight="1">
      <c r="A453" s="37">
        <v>8</v>
      </c>
      <c r="B453" s="37" t="s">
        <v>277</v>
      </c>
      <c r="C453" s="37">
        <v>9</v>
      </c>
      <c r="D453" s="56" t="str">
        <f>LUNES!$A$180</f>
        <v>Extension Cuadriceps</v>
      </c>
      <c r="E453" s="57" t="str">
        <f>LUNES!$B$180</f>
        <v>Vasto Externo</v>
      </c>
      <c r="F453" s="37" t="str">
        <f>LUNES!$C$180</f>
        <v>--</v>
      </c>
      <c r="G453" s="37" t="str">
        <f>IFERROR(LOOKUP(2,1/((HISTORIAL!$O$3:$O$451=D453&amp;"|"&amp;E453)*(HISTORIAL!$F$3:$F$451&lt;&gt;"")),HISTORIAL!$F$3:$F$451),"")</f>
        <v/>
      </c>
      <c r="H453" s="37" t="str">
        <f>IFERROR(LOOKUP(2,1/((HISTORIAL!$O$3:$O$451=D453&amp;"|"&amp;E453)*(HISTORIAL!$F$3:$F$451&lt;&gt;"")),HISTORIAL!$G$3:$G$451),"")</f>
        <v/>
      </c>
      <c r="I453" s="37" t="str">
        <f>IFERROR(LOOKUP(2,1/((HISTORIAL!$O$3:$O$451=D453&amp;"|"&amp;E453)*(HISTORIAL!$F$3:$F$451&lt;&gt;"")),HISTORIAL!$H$3:$H$451),"")</f>
        <v/>
      </c>
      <c r="J453" s="37" t="str">
        <f>IFERROR(LOOKUP(2,1/((HISTORIAL!$O$3:$O$451=D453&amp;"|"&amp;E453)*(HISTORIAL!$F$3:$F$451&lt;&gt;"")),HISTORIAL!$I$3:$I$451),"")</f>
        <v/>
      </c>
      <c r="K453" s="58" t="str">
        <f>IFERROR(IF(OR(G453="",N453="SIN"),"--",IF(N453="SUBIR_F",IF(F453="polea",IFERROR(INDEX(CONFIG!$B$25:$B$40,MATCH(G453,CONFIG!$B$25:$B$40,0)+2),IFERROR(INDEX(CONFIG!$B$25:$B$40,MATCH(G453,CONFIG!$B$25:$B$40,0)+1),G453)),G453+5),IF(OR(N453="SUBIR",N453="SUBIR_E"),IF(F453="polea",IFERROR(INDEX(CONFIG!$B$25:$B$40,MATCH(G453,CONFIG!$B$25:$B$40,0)+1),G453),G453+2.5),IF(N453="BAJAR",IF(F453="polea",IFERROR(INDEX(CONFIG!$B$25:$B$40,MAX(1,MATCH(G453,CONFIG!$B$25:$B$40,0)-1)),G453),MAX(0,G453-2.5)),G453)))),"--")</f>
        <v>--</v>
      </c>
      <c r="L453" s="59" t="str">
        <f>IFERROR(IF(N453="SIN","--",IF(N453="MANT",IF(H453="","--",H453+1),IFERROR(VLOOKUP(CONFIG!$E$2,CONFIG!$A$6:$E$8,2,0),"--"))),"--")</f>
        <v>--</v>
      </c>
      <c r="M453" s="59" t="str">
        <f>IFERROR(IF(N453="SIN","--",IF(CONFIG!$E$2="HIP",2,IF(CONFIG!$E$2="FUE",1,2))),"--")</f>
        <v>--</v>
      </c>
      <c r="N453" s="53" t="str">
        <f>IFERROR(IF(G453="","SIN",IF(O453=1,"SUBIR_E",IF(H453&lt;IFERROR(VLOOKUP(CONFIG!$E$2,CONFIG!$A$6:$E$8,2,0),6),"BAJAR",IF(H453+I453&gt;=IFERROR(VLOOKUP(CONFIG!$E$2,CONFIG!$A$6:$E$8,3,0),12),"SUBIR_F",IF(AND(H453&gt;=IFERROR(VLOOKUP(CONFIG!$E$2,CONFIG!$A$6:$E$8,2,0),6)+2,I453&gt;=2),"SUBIR",IF(I453&gt;IFERROR(VLOOKUP(CONFIG!$E$2,CONFIG!$A$6:$E$8,5,0),3),"SUBIR","MANT")))))),"SIN")</f>
        <v>SIN</v>
      </c>
      <c r="O453" s="55">
        <f>IF(COUNTIFS(HISTORIAL!$O$3:$O$451,D453&amp;"|"&amp;E453,HISTORIAL!$F$3:$F$451,"&gt;0")&lt;2,0,IF(COUNTIFS(HISTORIAL!$O$3:$O$451,D453&amp;"|"&amp;E453,HISTORIAL!$F$3:$F$451,IFERROR(LOOKUP(2,1/((HISTORIAL!$O$3:$O$451=D453&amp;"|"&amp;E453)*(HISTORIAL!$F$3:$F$451&gt;0)),HISTORIAL!$F$3:$F$451),0))&gt;=2,IF(IFERROR(LOOKUP(2,1/((HISTORIAL!$O$3:$O$451=D453&amp;"|"&amp;E453)*(HISTORIAL!$F$3:$F$451&gt;0)),HISTORIAL!$G$3:$G$451),0)&gt;0,IF(F453&gt;0,IF(G453&lt;=IFERROR(LOOKUP(2,1/((HISTORIAL!$O$3:$O$451=D453&amp;"|"&amp;E453)*(HISTORIAL!$F$3:$F$451&gt;0)),HISTORIAL!$G$3:$G$451),0),1,0),0),0),0))</f>
        <v>0</v>
      </c>
    </row>
    <row r="454" spans="1:15" ht="14.1" customHeight="1">
      <c r="A454" s="37">
        <v>8</v>
      </c>
      <c r="B454" s="37" t="s">
        <v>277</v>
      </c>
      <c r="C454" s="37">
        <v>10</v>
      </c>
      <c r="D454" s="56" t="str">
        <f>LUNES!$A$182</f>
        <v>Curl Biceps</v>
      </c>
      <c r="E454" s="57" t="str">
        <f>LUNES!$B$182</f>
        <v>Inclinado Banco Mancuernas</v>
      </c>
      <c r="F454" s="37" t="str">
        <f>LUNES!$C$182</f>
        <v>mancuerna</v>
      </c>
      <c r="G454" s="37" t="str">
        <f>IFERROR(LOOKUP(2,1/((HISTORIAL!$O$3:$O$452=D454&amp;"|"&amp;E454)*(HISTORIAL!$F$3:$F$452&lt;&gt;"")),HISTORIAL!$F$3:$F$452),"")</f>
        <v/>
      </c>
      <c r="H454" s="37" t="str">
        <f>IFERROR(LOOKUP(2,1/((HISTORIAL!$O$3:$O$452=D454&amp;"|"&amp;E454)*(HISTORIAL!$F$3:$F$452&lt;&gt;"")),HISTORIAL!$G$3:$G$452),"")</f>
        <v/>
      </c>
      <c r="I454" s="37" t="str">
        <f>IFERROR(LOOKUP(2,1/((HISTORIAL!$O$3:$O$452=D454&amp;"|"&amp;E454)*(HISTORIAL!$F$3:$F$452&lt;&gt;"")),HISTORIAL!$H$3:$H$452),"")</f>
        <v/>
      </c>
      <c r="J454" s="37" t="str">
        <f>IFERROR(LOOKUP(2,1/((HISTORIAL!$O$3:$O$452=D454&amp;"|"&amp;E454)*(HISTORIAL!$F$3:$F$452&lt;&gt;"")),HISTORIAL!$I$3:$I$452),"")</f>
        <v/>
      </c>
      <c r="K454" s="58" t="str">
        <f>IFERROR(IF(OR(G454="",N454="SIN"),"--",IF(N454="SUBIR_F",IF(F454="polea",IFERROR(INDEX(CONFIG!$B$25:$B$40,MATCH(G454,CONFIG!$B$25:$B$40,0)+2),IFERROR(INDEX(CONFIG!$B$25:$B$40,MATCH(G454,CONFIG!$B$25:$B$40,0)+1),G454)),G454+5),IF(OR(N454="SUBIR",N454="SUBIR_E"),IF(F454="polea",IFERROR(INDEX(CONFIG!$B$25:$B$40,MATCH(G454,CONFIG!$B$25:$B$40,0)+1),G454),G454+2.5),IF(N454="BAJAR",IF(F454="polea",IFERROR(INDEX(CONFIG!$B$25:$B$40,MAX(1,MATCH(G454,CONFIG!$B$25:$B$40,0)-1)),G454),MAX(0,G454-2.5)),G454)))),"--")</f>
        <v>--</v>
      </c>
      <c r="L454" s="59" t="str">
        <f>IFERROR(IF(N454="SIN","--",IF(N454="MANT",IF(H454="","--",H454+1),IFERROR(VLOOKUP(CONFIG!$E$2,CONFIG!$A$6:$E$8,2,0),"--"))),"--")</f>
        <v>--</v>
      </c>
      <c r="M454" s="59" t="str">
        <f>IFERROR(IF(N454="SIN","--",IF(CONFIG!$E$2="HIP",2,IF(CONFIG!$E$2="FUE",1,2))),"--")</f>
        <v>--</v>
      </c>
      <c r="N454" s="53" t="str">
        <f>IFERROR(IF(G454="","SIN",IF(O454=1,"SUBIR_E",IF(H454&lt;IFERROR(VLOOKUP(CONFIG!$E$2,CONFIG!$A$6:$E$8,2,0),6),"BAJAR",IF(H454+I454&gt;=IFERROR(VLOOKUP(CONFIG!$E$2,CONFIG!$A$6:$E$8,3,0),12),"SUBIR_F",IF(AND(H454&gt;=IFERROR(VLOOKUP(CONFIG!$E$2,CONFIG!$A$6:$E$8,2,0),6)+2,I454&gt;=2),"SUBIR",IF(I454&gt;IFERROR(VLOOKUP(CONFIG!$E$2,CONFIG!$A$6:$E$8,5,0),3),"SUBIR","MANT")))))),"SIN")</f>
        <v>SIN</v>
      </c>
      <c r="O454" s="55">
        <f>IF(COUNTIFS(HISTORIAL!$O$3:$O$452,D454&amp;"|"&amp;E454,HISTORIAL!$F$3:$F$452,"&gt;0")&lt;2,0,IF(COUNTIFS(HISTORIAL!$O$3:$O$452,D454&amp;"|"&amp;E454,HISTORIAL!$F$3:$F$452,IFERROR(LOOKUP(2,1/((HISTORIAL!$O$3:$O$452=D454&amp;"|"&amp;E454)*(HISTORIAL!$F$3:$F$452&gt;0)),HISTORIAL!$F$3:$F$452),0))&gt;=2,IF(IFERROR(LOOKUP(2,1/((HISTORIAL!$O$3:$O$452=D454&amp;"|"&amp;E454)*(HISTORIAL!$F$3:$F$452&gt;0)),HISTORIAL!$G$3:$G$452),0)&gt;0,IF(F454&gt;0,IF(G454&lt;=IFERROR(LOOKUP(2,1/((HISTORIAL!$O$3:$O$452=D454&amp;"|"&amp;E454)*(HISTORIAL!$F$3:$F$452&gt;0)),HISTORIAL!$G$3:$G$452),0),1,0),0),0),0))</f>
        <v>0</v>
      </c>
    </row>
    <row r="455" spans="1:15" ht="14.1" customHeight="1">
      <c r="A455" s="37">
        <v>8</v>
      </c>
      <c r="B455" s="37" t="s">
        <v>277</v>
      </c>
      <c r="C455" s="37">
        <v>11</v>
      </c>
      <c r="D455" s="56" t="str">
        <f>LUNES!$A$184</f>
        <v>Crunch</v>
      </c>
      <c r="E455" s="57" t="str">
        <f>LUNES!$B$184</f>
        <v>Polea</v>
      </c>
      <c r="F455" s="37" t="str">
        <f>LUNES!$C$184</f>
        <v>polea</v>
      </c>
      <c r="G455" s="37" t="str">
        <f>IFERROR(LOOKUP(2,1/((HISTORIAL!$O$3:$O$453=D455&amp;"|"&amp;E455)*(HISTORIAL!$F$3:$F$453&lt;&gt;"")),HISTORIAL!$F$3:$F$453),"")</f>
        <v/>
      </c>
      <c r="H455" s="37" t="str">
        <f>IFERROR(LOOKUP(2,1/((HISTORIAL!$O$3:$O$453=D455&amp;"|"&amp;E455)*(HISTORIAL!$F$3:$F$453&lt;&gt;"")),HISTORIAL!$G$3:$G$453),"")</f>
        <v/>
      </c>
      <c r="I455" s="37" t="str">
        <f>IFERROR(LOOKUP(2,1/((HISTORIAL!$O$3:$O$453=D455&amp;"|"&amp;E455)*(HISTORIAL!$F$3:$F$453&lt;&gt;"")),HISTORIAL!$H$3:$H$453),"")</f>
        <v/>
      </c>
      <c r="J455" s="37" t="str">
        <f>IFERROR(LOOKUP(2,1/((HISTORIAL!$O$3:$O$453=D455&amp;"|"&amp;E455)*(HISTORIAL!$F$3:$F$453&lt;&gt;"")),HISTORIAL!$I$3:$I$453),"")</f>
        <v/>
      </c>
      <c r="K455" s="58" t="str">
        <f>IFERROR(IF(OR(G455="",N455="SIN"),"--",IF(N455="SUBIR_F",IF(F455="polea",IFERROR(INDEX(CONFIG!$B$25:$B$40,MATCH(G455,CONFIG!$B$25:$B$40,0)+2),IFERROR(INDEX(CONFIG!$B$25:$B$40,MATCH(G455,CONFIG!$B$25:$B$40,0)+1),G455)),G455+5),IF(OR(N455="SUBIR",N455="SUBIR_E"),IF(F455="polea",IFERROR(INDEX(CONFIG!$B$25:$B$40,MATCH(G455,CONFIG!$B$25:$B$40,0)+1),G455),G455+2.5),IF(N455="BAJAR",IF(F455="polea",IFERROR(INDEX(CONFIG!$B$25:$B$40,MAX(1,MATCH(G455,CONFIG!$B$25:$B$40,0)-1)),G455),MAX(0,G455-2.5)),G455)))),"--")</f>
        <v>--</v>
      </c>
      <c r="L455" s="59" t="str">
        <f>IFERROR(IF(N455="SIN","--",IF(N455="MANT",IF(H455="","--",H455+1),IFERROR(VLOOKUP(CONFIG!$E$2,CONFIG!$A$6:$E$8,2,0),"--"))),"--")</f>
        <v>--</v>
      </c>
      <c r="M455" s="59" t="str">
        <f>IFERROR(IF(N455="SIN","--",IF(CONFIG!$E$2="HIP",2,IF(CONFIG!$E$2="FUE",1,2))),"--")</f>
        <v>--</v>
      </c>
      <c r="N455" s="53" t="str">
        <f>IFERROR(IF(G455="","SIN",IF(O455=1,"SUBIR_E",IF(H455&lt;IFERROR(VLOOKUP(CONFIG!$E$2,CONFIG!$A$6:$E$8,2,0),6),"BAJAR",IF(H455+I455&gt;=IFERROR(VLOOKUP(CONFIG!$E$2,CONFIG!$A$6:$E$8,3,0),12),"SUBIR_F",IF(AND(H455&gt;=IFERROR(VLOOKUP(CONFIG!$E$2,CONFIG!$A$6:$E$8,2,0),6)+2,I455&gt;=2),"SUBIR",IF(I455&gt;IFERROR(VLOOKUP(CONFIG!$E$2,CONFIG!$A$6:$E$8,5,0),3),"SUBIR","MANT")))))),"SIN")</f>
        <v>SIN</v>
      </c>
      <c r="O455" s="55">
        <f>IF(COUNTIFS(HISTORIAL!$O$3:$O$453,D455&amp;"|"&amp;E455,HISTORIAL!$F$3:$F$453,"&gt;0")&lt;2,0,IF(COUNTIFS(HISTORIAL!$O$3:$O$453,D455&amp;"|"&amp;E455,HISTORIAL!$F$3:$F$453,IFERROR(LOOKUP(2,1/((HISTORIAL!$O$3:$O$453=D455&amp;"|"&amp;E455)*(HISTORIAL!$F$3:$F$453&gt;0)),HISTORIAL!$F$3:$F$453),0))&gt;=2,IF(IFERROR(LOOKUP(2,1/((HISTORIAL!$O$3:$O$453=D455&amp;"|"&amp;E455)*(HISTORIAL!$F$3:$F$453&gt;0)),HISTORIAL!$G$3:$G$453),0)&gt;0,IF(F455&gt;0,IF(G455&lt;=IFERROR(LOOKUP(2,1/((HISTORIAL!$O$3:$O$453=D455&amp;"|"&amp;E455)*(HISTORIAL!$F$3:$F$453&gt;0)),HISTORIAL!$G$3:$G$453),0),1,0),0),0),0))</f>
        <v>0</v>
      </c>
    </row>
    <row r="456" spans="1:15" ht="14.1" customHeight="1">
      <c r="A456" s="37">
        <v>8</v>
      </c>
      <c r="B456" s="37" t="s">
        <v>278</v>
      </c>
      <c r="C456" s="37">
        <v>1</v>
      </c>
      <c r="D456" s="56" t="str">
        <f>MARTES!$A$160</f>
        <v>Dominadas</v>
      </c>
      <c r="E456" s="57" t="str">
        <f>MARTES!$B$160</f>
        <v>Polea Alta Prono Ancho</v>
      </c>
      <c r="F456" s="37" t="str">
        <f>MARTES!$C$160</f>
        <v>peso_corporal</v>
      </c>
      <c r="G456" s="37" t="str">
        <f>IFERROR(LOOKUP(2,1/((HISTORIAL!$O$3:$O$454=D456&amp;"|"&amp;E456)*(HISTORIAL!$F$3:$F$454&lt;&gt;"")),HISTORIAL!$F$3:$F$454),"")</f>
        <v/>
      </c>
      <c r="H456" s="37" t="str">
        <f>IFERROR(LOOKUP(2,1/((HISTORIAL!$O$3:$O$454=D456&amp;"|"&amp;E456)*(HISTORIAL!$F$3:$F$454&lt;&gt;"")),HISTORIAL!$G$3:$G$454),"")</f>
        <v/>
      </c>
      <c r="I456" s="37" t="str">
        <f>IFERROR(LOOKUP(2,1/((HISTORIAL!$O$3:$O$454=D456&amp;"|"&amp;E456)*(HISTORIAL!$F$3:$F$454&lt;&gt;"")),HISTORIAL!$H$3:$H$454),"")</f>
        <v/>
      </c>
      <c r="J456" s="37" t="str">
        <f>IFERROR(LOOKUP(2,1/((HISTORIAL!$O$3:$O$454=D456&amp;"|"&amp;E456)*(HISTORIAL!$F$3:$F$454&lt;&gt;"")),HISTORIAL!$I$3:$I$454),"")</f>
        <v/>
      </c>
      <c r="K456" s="58" t="str">
        <f>IFERROR(IF(OR(G456="",N456="SIN"),"--",IF(N456="SUBIR_F",IF(F456="polea",IFERROR(INDEX(CONFIG!$B$25:$B$40,MATCH(G456,CONFIG!$B$25:$B$40,0)+2),IFERROR(INDEX(CONFIG!$B$25:$B$40,MATCH(G456,CONFIG!$B$25:$B$40,0)+1),G456)),G456+5),IF(OR(N456="SUBIR",N456="SUBIR_E"),IF(F456="polea",IFERROR(INDEX(CONFIG!$B$25:$B$40,MATCH(G456,CONFIG!$B$25:$B$40,0)+1),G456),G456+2.5),IF(N456="BAJAR",IF(F456="polea",IFERROR(INDEX(CONFIG!$B$25:$B$40,MAX(1,MATCH(G456,CONFIG!$B$25:$B$40,0)-1)),G456),MAX(0,G456-2.5)),G456)))),"--")</f>
        <v>--</v>
      </c>
      <c r="L456" s="59" t="str">
        <f>IFERROR(IF(N456="SIN","--",IF(N456="MANT",IF(H456="","--",H456+1),IFERROR(VLOOKUP(CONFIG!$E$2,CONFIG!$A$6:$E$8,2,0),"--"))),"--")</f>
        <v>--</v>
      </c>
      <c r="M456" s="59" t="str">
        <f>IFERROR(IF(N456="SIN","--",IF(CONFIG!$E$2="HIP",2,IF(CONFIG!$E$2="FUE",1,2))),"--")</f>
        <v>--</v>
      </c>
      <c r="N456" s="53" t="str">
        <f>IFERROR(IF(G456="","SIN",IF(O456=1,"SUBIR_E",IF(H456&lt;IFERROR(VLOOKUP(CONFIG!$E$2,CONFIG!$A$6:$E$8,2,0),6),"BAJAR",IF(H456+I456&gt;=IFERROR(VLOOKUP(CONFIG!$E$2,CONFIG!$A$6:$E$8,3,0),12),"SUBIR_F",IF(AND(H456&gt;=IFERROR(VLOOKUP(CONFIG!$E$2,CONFIG!$A$6:$E$8,2,0),6)+2,I456&gt;=2),"SUBIR",IF(I456&gt;IFERROR(VLOOKUP(CONFIG!$E$2,CONFIG!$A$6:$E$8,5,0),3),"SUBIR","MANT")))))),"SIN")</f>
        <v>SIN</v>
      </c>
      <c r="O456" s="55">
        <f>IF(COUNTIFS(HISTORIAL!$O$3:$O$454,D456&amp;"|"&amp;E456,HISTORIAL!$F$3:$F$454,"&gt;0")&lt;2,0,IF(COUNTIFS(HISTORIAL!$O$3:$O$454,D456&amp;"|"&amp;E456,HISTORIAL!$F$3:$F$454,IFERROR(LOOKUP(2,1/((HISTORIAL!$O$3:$O$454=D456&amp;"|"&amp;E456)*(HISTORIAL!$F$3:$F$454&gt;0)),HISTORIAL!$F$3:$F$454),0))&gt;=2,IF(IFERROR(LOOKUP(2,1/((HISTORIAL!$O$3:$O$454=D456&amp;"|"&amp;E456)*(HISTORIAL!$F$3:$F$454&gt;0)),HISTORIAL!$G$3:$G$454),0)&gt;0,IF(F456&gt;0,IF(G456&lt;=IFERROR(LOOKUP(2,1/((HISTORIAL!$O$3:$O$454=D456&amp;"|"&amp;E456)*(HISTORIAL!$F$3:$F$454&gt;0)),HISTORIAL!$G$3:$G$454),0),1,0),0),0),0))</f>
        <v>0</v>
      </c>
    </row>
    <row r="457" spans="1:15" ht="14.1" customHeight="1">
      <c r="A457" s="37">
        <v>8</v>
      </c>
      <c r="B457" s="37" t="s">
        <v>278</v>
      </c>
      <c r="C457" s="37">
        <v>2</v>
      </c>
      <c r="D457" s="56" t="str">
        <f>MARTES!$A$161</f>
        <v>Pulldown</v>
      </c>
      <c r="E457" s="57" t="str">
        <f>MARTES!$B$161</f>
        <v>Polea Alta Brazos Rectos Prono</v>
      </c>
      <c r="F457" s="37" t="str">
        <f>MARTES!$C$161</f>
        <v>polea</v>
      </c>
      <c r="G457" s="37" t="str">
        <f>IFERROR(LOOKUP(2,1/((HISTORIAL!$O$3:$O$455=D457&amp;"|"&amp;E457)*(HISTORIAL!$F$3:$F$455&lt;&gt;"")),HISTORIAL!$F$3:$F$455),"")</f>
        <v/>
      </c>
      <c r="H457" s="37" t="str">
        <f>IFERROR(LOOKUP(2,1/((HISTORIAL!$O$3:$O$455=D457&amp;"|"&amp;E457)*(HISTORIAL!$F$3:$F$455&lt;&gt;"")),HISTORIAL!$G$3:$G$455),"")</f>
        <v/>
      </c>
      <c r="I457" s="37" t="str">
        <f>IFERROR(LOOKUP(2,1/((HISTORIAL!$O$3:$O$455=D457&amp;"|"&amp;E457)*(HISTORIAL!$F$3:$F$455&lt;&gt;"")),HISTORIAL!$H$3:$H$455),"")</f>
        <v/>
      </c>
      <c r="J457" s="37" t="str">
        <f>IFERROR(LOOKUP(2,1/((HISTORIAL!$O$3:$O$455=D457&amp;"|"&amp;E457)*(HISTORIAL!$F$3:$F$455&lt;&gt;"")),HISTORIAL!$I$3:$I$455),"")</f>
        <v/>
      </c>
      <c r="K457" s="58" t="str">
        <f>IFERROR(IF(OR(G457="",N457="SIN"),"--",IF(N457="SUBIR_F",IF(F457="polea",IFERROR(INDEX(CONFIG!$B$25:$B$40,MATCH(G457,CONFIG!$B$25:$B$40,0)+2),IFERROR(INDEX(CONFIG!$B$25:$B$40,MATCH(G457,CONFIG!$B$25:$B$40,0)+1),G457)),G457+5),IF(OR(N457="SUBIR",N457="SUBIR_E"),IF(F457="polea",IFERROR(INDEX(CONFIG!$B$25:$B$40,MATCH(G457,CONFIG!$B$25:$B$40,0)+1),G457),G457+2.5),IF(N457="BAJAR",IF(F457="polea",IFERROR(INDEX(CONFIG!$B$25:$B$40,MAX(1,MATCH(G457,CONFIG!$B$25:$B$40,0)-1)),G457),MAX(0,G457-2.5)),G457)))),"--")</f>
        <v>--</v>
      </c>
      <c r="L457" s="59" t="str">
        <f>IFERROR(IF(N457="SIN","--",IF(N457="MANT",IF(H457="","--",H457+1),IFERROR(VLOOKUP(CONFIG!$E$2,CONFIG!$A$6:$E$8,2,0),"--"))),"--")</f>
        <v>--</v>
      </c>
      <c r="M457" s="59" t="str">
        <f>IFERROR(IF(N457="SIN","--",IF(CONFIG!$E$2="HIP",2,IF(CONFIG!$E$2="FUE",1,2))),"--")</f>
        <v>--</v>
      </c>
      <c r="N457" s="53" t="str">
        <f>IFERROR(IF(G457="","SIN",IF(O457=1,"SUBIR_E",IF(H457&lt;IFERROR(VLOOKUP(CONFIG!$E$2,CONFIG!$A$6:$E$8,2,0),6),"BAJAR",IF(H457+I457&gt;=IFERROR(VLOOKUP(CONFIG!$E$2,CONFIG!$A$6:$E$8,3,0),12),"SUBIR_F",IF(AND(H457&gt;=IFERROR(VLOOKUP(CONFIG!$E$2,CONFIG!$A$6:$E$8,2,0),6)+2,I457&gt;=2),"SUBIR",IF(I457&gt;IFERROR(VLOOKUP(CONFIG!$E$2,CONFIG!$A$6:$E$8,5,0),3),"SUBIR","MANT")))))),"SIN")</f>
        <v>SIN</v>
      </c>
      <c r="O457" s="55">
        <f>IF(COUNTIFS(HISTORIAL!$O$3:$O$455,D457&amp;"|"&amp;E457,HISTORIAL!$F$3:$F$455,"&gt;0")&lt;2,0,IF(COUNTIFS(HISTORIAL!$O$3:$O$455,D457&amp;"|"&amp;E457,HISTORIAL!$F$3:$F$455,IFERROR(LOOKUP(2,1/((HISTORIAL!$O$3:$O$455=D457&amp;"|"&amp;E457)*(HISTORIAL!$F$3:$F$455&gt;0)),HISTORIAL!$F$3:$F$455),0))&gt;=2,IF(IFERROR(LOOKUP(2,1/((HISTORIAL!$O$3:$O$455=D457&amp;"|"&amp;E457)*(HISTORIAL!$F$3:$F$455&gt;0)),HISTORIAL!$G$3:$G$455),0)&gt;0,IF(F457&gt;0,IF(G457&lt;=IFERROR(LOOKUP(2,1/((HISTORIAL!$O$3:$O$455=D457&amp;"|"&amp;E457)*(HISTORIAL!$F$3:$F$455&gt;0)),HISTORIAL!$G$3:$G$455),0),1,0),0),0),0))</f>
        <v>0</v>
      </c>
    </row>
    <row r="458" spans="1:15" ht="14.1" customHeight="1">
      <c r="A458" s="37">
        <v>8</v>
      </c>
      <c r="B458" s="37" t="s">
        <v>278</v>
      </c>
      <c r="C458" s="37">
        <v>3</v>
      </c>
      <c r="D458" s="56" t="str">
        <f>MARTES!$A$163</f>
        <v>Remo</v>
      </c>
      <c r="E458" s="57" t="str">
        <f>MARTES!$B$163</f>
        <v>Maquina Hammer Neutro Unilateral</v>
      </c>
      <c r="F458" s="37" t="str">
        <f>MARTES!$C$163</f>
        <v>polea</v>
      </c>
      <c r="G458" s="37" t="str">
        <f>IFERROR(LOOKUP(2,1/((HISTORIAL!$O$3:$O$456=D458&amp;"|"&amp;E458)*(HISTORIAL!$F$3:$F$456&lt;&gt;"")),HISTORIAL!$F$3:$F$456),"")</f>
        <v/>
      </c>
      <c r="H458" s="37" t="str">
        <f>IFERROR(LOOKUP(2,1/((HISTORIAL!$O$3:$O$456=D458&amp;"|"&amp;E458)*(HISTORIAL!$F$3:$F$456&lt;&gt;"")),HISTORIAL!$G$3:$G$456),"")</f>
        <v/>
      </c>
      <c r="I458" s="37" t="str">
        <f>IFERROR(LOOKUP(2,1/((HISTORIAL!$O$3:$O$456=D458&amp;"|"&amp;E458)*(HISTORIAL!$F$3:$F$456&lt;&gt;"")),HISTORIAL!$H$3:$H$456),"")</f>
        <v/>
      </c>
      <c r="J458" s="37" t="str">
        <f>IFERROR(LOOKUP(2,1/((HISTORIAL!$O$3:$O$456=D458&amp;"|"&amp;E458)*(HISTORIAL!$F$3:$F$456&lt;&gt;"")),HISTORIAL!$I$3:$I$456),"")</f>
        <v/>
      </c>
      <c r="K458" s="58" t="str">
        <f>IFERROR(IF(OR(G458="",N458="SIN"),"--",IF(N458="SUBIR_F",IF(F458="polea",IFERROR(INDEX(CONFIG!$B$25:$B$40,MATCH(G458,CONFIG!$B$25:$B$40,0)+2),IFERROR(INDEX(CONFIG!$B$25:$B$40,MATCH(G458,CONFIG!$B$25:$B$40,0)+1),G458)),G458+5),IF(OR(N458="SUBIR",N458="SUBIR_E"),IF(F458="polea",IFERROR(INDEX(CONFIG!$B$25:$B$40,MATCH(G458,CONFIG!$B$25:$B$40,0)+1),G458),G458+2.5),IF(N458="BAJAR",IF(F458="polea",IFERROR(INDEX(CONFIG!$B$25:$B$40,MAX(1,MATCH(G458,CONFIG!$B$25:$B$40,0)-1)),G458),MAX(0,G458-2.5)),G458)))),"--")</f>
        <v>--</v>
      </c>
      <c r="L458" s="59" t="str">
        <f>IFERROR(IF(N458="SIN","--",IF(N458="MANT",IF(H458="","--",H458+1),IFERROR(VLOOKUP(CONFIG!$E$2,CONFIG!$A$6:$E$8,2,0),"--"))),"--")</f>
        <v>--</v>
      </c>
      <c r="M458" s="59" t="str">
        <f>IFERROR(IF(N458="SIN","--",IF(CONFIG!$E$2="HIP",2,IF(CONFIG!$E$2="FUE",1,2))),"--")</f>
        <v>--</v>
      </c>
      <c r="N458" s="53" t="str">
        <f>IFERROR(IF(G458="","SIN",IF(O458=1,"SUBIR_E",IF(H458&lt;IFERROR(VLOOKUP(CONFIG!$E$2,CONFIG!$A$6:$E$8,2,0),6),"BAJAR",IF(H458+I458&gt;=IFERROR(VLOOKUP(CONFIG!$E$2,CONFIG!$A$6:$E$8,3,0),12),"SUBIR_F",IF(AND(H458&gt;=IFERROR(VLOOKUP(CONFIG!$E$2,CONFIG!$A$6:$E$8,2,0),6)+2,I458&gt;=2),"SUBIR",IF(I458&gt;IFERROR(VLOOKUP(CONFIG!$E$2,CONFIG!$A$6:$E$8,5,0),3),"SUBIR","MANT")))))),"SIN")</f>
        <v>SIN</v>
      </c>
      <c r="O458" s="55">
        <f>IF(COUNTIFS(HISTORIAL!$O$3:$O$456,D458&amp;"|"&amp;E458,HISTORIAL!$F$3:$F$456,"&gt;0")&lt;2,0,IF(COUNTIFS(HISTORIAL!$O$3:$O$456,D458&amp;"|"&amp;E458,HISTORIAL!$F$3:$F$456,IFERROR(LOOKUP(2,1/((HISTORIAL!$O$3:$O$456=D458&amp;"|"&amp;E458)*(HISTORIAL!$F$3:$F$456&gt;0)),HISTORIAL!$F$3:$F$456),0))&gt;=2,IF(IFERROR(LOOKUP(2,1/((HISTORIAL!$O$3:$O$456=D458&amp;"|"&amp;E458)*(HISTORIAL!$F$3:$F$456&gt;0)),HISTORIAL!$G$3:$G$456),0)&gt;0,IF(F458&gt;0,IF(G458&lt;=IFERROR(LOOKUP(2,1/((HISTORIAL!$O$3:$O$456=D458&amp;"|"&amp;E458)*(HISTORIAL!$F$3:$F$456&gt;0)),HISTORIAL!$G$3:$G$456),0),1,0),0),0),0))</f>
        <v>0</v>
      </c>
    </row>
    <row r="459" spans="1:15" ht="14.1" customHeight="1">
      <c r="A459" s="37">
        <v>8</v>
      </c>
      <c r="B459" s="37" t="s">
        <v>278</v>
      </c>
      <c r="C459" s="37">
        <v>4</v>
      </c>
      <c r="D459" s="56" t="str">
        <f>MARTES!$A$164</f>
        <v>Remo</v>
      </c>
      <c r="E459" s="57" t="str">
        <f>MARTES!$B$164</f>
        <v>Maquina Prono</v>
      </c>
      <c r="F459" s="37" t="str">
        <f>MARTES!$C$164</f>
        <v>polea</v>
      </c>
      <c r="G459" s="37" t="str">
        <f>IFERROR(LOOKUP(2,1/((HISTORIAL!$O$3:$O$457=D459&amp;"|"&amp;E459)*(HISTORIAL!$F$3:$F$457&lt;&gt;"")),HISTORIAL!$F$3:$F$457),"")</f>
        <v/>
      </c>
      <c r="H459" s="37" t="str">
        <f>IFERROR(LOOKUP(2,1/((HISTORIAL!$O$3:$O$457=D459&amp;"|"&amp;E459)*(HISTORIAL!$F$3:$F$457&lt;&gt;"")),HISTORIAL!$G$3:$G$457),"")</f>
        <v/>
      </c>
      <c r="I459" s="37" t="str">
        <f>IFERROR(LOOKUP(2,1/((HISTORIAL!$O$3:$O$457=D459&amp;"|"&amp;E459)*(HISTORIAL!$F$3:$F$457&lt;&gt;"")),HISTORIAL!$H$3:$H$457),"")</f>
        <v/>
      </c>
      <c r="J459" s="37" t="str">
        <f>IFERROR(LOOKUP(2,1/((HISTORIAL!$O$3:$O$457=D459&amp;"|"&amp;E459)*(HISTORIAL!$F$3:$F$457&lt;&gt;"")),HISTORIAL!$I$3:$I$457),"")</f>
        <v/>
      </c>
      <c r="K459" s="58" t="str">
        <f>IFERROR(IF(OR(G459="",N459="SIN"),"--",IF(N459="SUBIR_F",IF(F459="polea",IFERROR(INDEX(CONFIG!$B$25:$B$40,MATCH(G459,CONFIG!$B$25:$B$40,0)+2),IFERROR(INDEX(CONFIG!$B$25:$B$40,MATCH(G459,CONFIG!$B$25:$B$40,0)+1),G459)),G459+5),IF(OR(N459="SUBIR",N459="SUBIR_E"),IF(F459="polea",IFERROR(INDEX(CONFIG!$B$25:$B$40,MATCH(G459,CONFIG!$B$25:$B$40,0)+1),G459),G459+2.5),IF(N459="BAJAR",IF(F459="polea",IFERROR(INDEX(CONFIG!$B$25:$B$40,MAX(1,MATCH(G459,CONFIG!$B$25:$B$40,0)-1)),G459),MAX(0,G459-2.5)),G459)))),"--")</f>
        <v>--</v>
      </c>
      <c r="L459" s="59" t="str">
        <f>IFERROR(IF(N459="SIN","--",IF(N459="MANT",IF(H459="","--",H459+1),IFERROR(VLOOKUP(CONFIG!$E$2,CONFIG!$A$6:$E$8,2,0),"--"))),"--")</f>
        <v>--</v>
      </c>
      <c r="M459" s="59" t="str">
        <f>IFERROR(IF(N459="SIN","--",IF(CONFIG!$E$2="HIP",2,IF(CONFIG!$E$2="FUE",1,2))),"--")</f>
        <v>--</v>
      </c>
      <c r="N459" s="53" t="str">
        <f>IFERROR(IF(G459="","SIN",IF(O459=1,"SUBIR_E",IF(H459&lt;IFERROR(VLOOKUP(CONFIG!$E$2,CONFIG!$A$6:$E$8,2,0),6),"BAJAR",IF(H459+I459&gt;=IFERROR(VLOOKUP(CONFIG!$E$2,CONFIG!$A$6:$E$8,3,0),12),"SUBIR_F",IF(AND(H459&gt;=IFERROR(VLOOKUP(CONFIG!$E$2,CONFIG!$A$6:$E$8,2,0),6)+2,I459&gt;=2),"SUBIR",IF(I459&gt;IFERROR(VLOOKUP(CONFIG!$E$2,CONFIG!$A$6:$E$8,5,0),3),"SUBIR","MANT")))))),"SIN")</f>
        <v>SIN</v>
      </c>
      <c r="O459" s="55">
        <f>IF(COUNTIFS(HISTORIAL!$O$3:$O$457,D459&amp;"|"&amp;E459,HISTORIAL!$F$3:$F$457,"&gt;0")&lt;2,0,IF(COUNTIFS(HISTORIAL!$O$3:$O$457,D459&amp;"|"&amp;E459,HISTORIAL!$F$3:$F$457,IFERROR(LOOKUP(2,1/((HISTORIAL!$O$3:$O$457=D459&amp;"|"&amp;E459)*(HISTORIAL!$F$3:$F$457&gt;0)),HISTORIAL!$F$3:$F$457),0))&gt;=2,IF(IFERROR(LOOKUP(2,1/((HISTORIAL!$O$3:$O$457=D459&amp;"|"&amp;E459)*(HISTORIAL!$F$3:$F$457&gt;0)),HISTORIAL!$G$3:$G$457),0)&gt;0,IF(F459&gt;0,IF(G459&lt;=IFERROR(LOOKUP(2,1/((HISTORIAL!$O$3:$O$457=D459&amp;"|"&amp;E459)*(HISTORIAL!$F$3:$F$457&gt;0)),HISTORIAL!$G$3:$G$457),0),1,0),0),0),0))</f>
        <v>0</v>
      </c>
    </row>
    <row r="460" spans="1:15" ht="14.1" customHeight="1">
      <c r="A460" s="37">
        <v>8</v>
      </c>
      <c r="B460" s="37" t="s">
        <v>278</v>
      </c>
      <c r="C460" s="37">
        <v>5</v>
      </c>
      <c r="D460" s="56" t="str">
        <f>MARTES!$A$166</f>
        <v>Curl Biceps</v>
      </c>
      <c r="E460" s="57" t="str">
        <f>MARTES!$B$166</f>
        <v>Inclinado Banco Mancuernas</v>
      </c>
      <c r="F460" s="37" t="str">
        <f>MARTES!$C$166</f>
        <v>mancuerna</v>
      </c>
      <c r="G460" s="37" t="str">
        <f>IFERROR(LOOKUP(2,1/((HISTORIAL!$O$3:$O$458=D460&amp;"|"&amp;E460)*(HISTORIAL!$F$3:$F$458&lt;&gt;"")),HISTORIAL!$F$3:$F$458),"")</f>
        <v/>
      </c>
      <c r="H460" s="37" t="str">
        <f>IFERROR(LOOKUP(2,1/((HISTORIAL!$O$3:$O$458=D460&amp;"|"&amp;E460)*(HISTORIAL!$F$3:$F$458&lt;&gt;"")),HISTORIAL!$G$3:$G$458),"")</f>
        <v/>
      </c>
      <c r="I460" s="37" t="str">
        <f>IFERROR(LOOKUP(2,1/((HISTORIAL!$O$3:$O$458=D460&amp;"|"&amp;E460)*(HISTORIAL!$F$3:$F$458&lt;&gt;"")),HISTORIAL!$H$3:$H$458),"")</f>
        <v/>
      </c>
      <c r="J460" s="37" t="str">
        <f>IFERROR(LOOKUP(2,1/((HISTORIAL!$O$3:$O$458=D460&amp;"|"&amp;E460)*(HISTORIAL!$F$3:$F$458&lt;&gt;"")),HISTORIAL!$I$3:$I$458),"")</f>
        <v/>
      </c>
      <c r="K460" s="58" t="str">
        <f>IFERROR(IF(OR(G460="",N460="SIN"),"--",IF(N460="SUBIR_F",IF(F460="polea",IFERROR(INDEX(CONFIG!$B$25:$B$40,MATCH(G460,CONFIG!$B$25:$B$40,0)+2),IFERROR(INDEX(CONFIG!$B$25:$B$40,MATCH(G460,CONFIG!$B$25:$B$40,0)+1),G460)),G460+5),IF(OR(N460="SUBIR",N460="SUBIR_E"),IF(F460="polea",IFERROR(INDEX(CONFIG!$B$25:$B$40,MATCH(G460,CONFIG!$B$25:$B$40,0)+1),G460),G460+2.5),IF(N460="BAJAR",IF(F460="polea",IFERROR(INDEX(CONFIG!$B$25:$B$40,MAX(1,MATCH(G460,CONFIG!$B$25:$B$40,0)-1)),G460),MAX(0,G460-2.5)),G460)))),"--")</f>
        <v>--</v>
      </c>
      <c r="L460" s="59" t="str">
        <f>IFERROR(IF(N460="SIN","--",IF(N460="MANT",IF(H460="","--",H460+1),IFERROR(VLOOKUP(CONFIG!$E$2,CONFIG!$A$6:$E$8,2,0),"--"))),"--")</f>
        <v>--</v>
      </c>
      <c r="M460" s="59" t="str">
        <f>IFERROR(IF(N460="SIN","--",IF(CONFIG!$E$2="HIP",2,IF(CONFIG!$E$2="FUE",1,2))),"--")</f>
        <v>--</v>
      </c>
      <c r="N460" s="53" t="str">
        <f>IFERROR(IF(G460="","SIN",IF(O460=1,"SUBIR_E",IF(H460&lt;IFERROR(VLOOKUP(CONFIG!$E$2,CONFIG!$A$6:$E$8,2,0),6),"BAJAR",IF(H460+I460&gt;=IFERROR(VLOOKUP(CONFIG!$E$2,CONFIG!$A$6:$E$8,3,0),12),"SUBIR_F",IF(AND(H460&gt;=IFERROR(VLOOKUP(CONFIG!$E$2,CONFIG!$A$6:$E$8,2,0),6)+2,I460&gt;=2),"SUBIR",IF(I460&gt;IFERROR(VLOOKUP(CONFIG!$E$2,CONFIG!$A$6:$E$8,5,0),3),"SUBIR","MANT")))))),"SIN")</f>
        <v>SIN</v>
      </c>
      <c r="O460" s="55">
        <f>IF(COUNTIFS(HISTORIAL!$O$3:$O$458,D460&amp;"|"&amp;E460,HISTORIAL!$F$3:$F$458,"&gt;0")&lt;2,0,IF(COUNTIFS(HISTORIAL!$O$3:$O$458,D460&amp;"|"&amp;E460,HISTORIAL!$F$3:$F$458,IFERROR(LOOKUP(2,1/((HISTORIAL!$O$3:$O$458=D460&amp;"|"&amp;E460)*(HISTORIAL!$F$3:$F$458&gt;0)),HISTORIAL!$F$3:$F$458),0))&gt;=2,IF(IFERROR(LOOKUP(2,1/((HISTORIAL!$O$3:$O$458=D460&amp;"|"&amp;E460)*(HISTORIAL!$F$3:$F$458&gt;0)),HISTORIAL!$G$3:$G$458),0)&gt;0,IF(F460&gt;0,IF(G460&lt;=IFERROR(LOOKUP(2,1/((HISTORIAL!$O$3:$O$458=D460&amp;"|"&amp;E460)*(HISTORIAL!$F$3:$F$458&gt;0)),HISTORIAL!$G$3:$G$458),0),1,0),0),0),0))</f>
        <v>0</v>
      </c>
    </row>
    <row r="461" spans="1:15" ht="14.1" customHeight="1">
      <c r="A461" s="37">
        <v>8</v>
      </c>
      <c r="B461" s="37" t="s">
        <v>278</v>
      </c>
      <c r="C461" s="37">
        <v>6</v>
      </c>
      <c r="D461" s="56" t="str">
        <f>MARTES!$A$167</f>
        <v>Curl Biceps</v>
      </c>
      <c r="E461" s="57" t="str">
        <f>MARTES!$B$167</f>
        <v>Polea Baja Supino</v>
      </c>
      <c r="F461" s="37" t="str">
        <f>MARTES!$C$167</f>
        <v>polea</v>
      </c>
      <c r="G461" s="37" t="str">
        <f>IFERROR(LOOKUP(2,1/((HISTORIAL!$O$3:$O$459=D461&amp;"|"&amp;E461)*(HISTORIAL!$F$3:$F$459&lt;&gt;"")),HISTORIAL!$F$3:$F$459),"")</f>
        <v/>
      </c>
      <c r="H461" s="37" t="str">
        <f>IFERROR(LOOKUP(2,1/((HISTORIAL!$O$3:$O$459=D461&amp;"|"&amp;E461)*(HISTORIAL!$F$3:$F$459&lt;&gt;"")),HISTORIAL!$G$3:$G$459),"")</f>
        <v/>
      </c>
      <c r="I461" s="37" t="str">
        <f>IFERROR(LOOKUP(2,1/((HISTORIAL!$O$3:$O$459=D461&amp;"|"&amp;E461)*(HISTORIAL!$F$3:$F$459&lt;&gt;"")),HISTORIAL!$H$3:$H$459),"")</f>
        <v/>
      </c>
      <c r="J461" s="37" t="str">
        <f>IFERROR(LOOKUP(2,1/((HISTORIAL!$O$3:$O$459=D461&amp;"|"&amp;E461)*(HISTORIAL!$F$3:$F$459&lt;&gt;"")),HISTORIAL!$I$3:$I$459),"")</f>
        <v/>
      </c>
      <c r="K461" s="58" t="str">
        <f>IFERROR(IF(OR(G461="",N461="SIN"),"--",IF(N461="SUBIR_F",IF(F461="polea",IFERROR(INDEX(CONFIG!$B$25:$B$40,MATCH(G461,CONFIG!$B$25:$B$40,0)+2),IFERROR(INDEX(CONFIG!$B$25:$B$40,MATCH(G461,CONFIG!$B$25:$B$40,0)+1),G461)),G461+5),IF(OR(N461="SUBIR",N461="SUBIR_E"),IF(F461="polea",IFERROR(INDEX(CONFIG!$B$25:$B$40,MATCH(G461,CONFIG!$B$25:$B$40,0)+1),G461),G461+2.5),IF(N461="BAJAR",IF(F461="polea",IFERROR(INDEX(CONFIG!$B$25:$B$40,MAX(1,MATCH(G461,CONFIG!$B$25:$B$40,0)-1)),G461),MAX(0,G461-2.5)),G461)))),"--")</f>
        <v>--</v>
      </c>
      <c r="L461" s="59" t="str">
        <f>IFERROR(IF(N461="SIN","--",IF(N461="MANT",IF(H461="","--",H461+1),IFERROR(VLOOKUP(CONFIG!$E$2,CONFIG!$A$6:$E$8,2,0),"--"))),"--")</f>
        <v>--</v>
      </c>
      <c r="M461" s="59" t="str">
        <f>IFERROR(IF(N461="SIN","--",IF(CONFIG!$E$2="HIP",2,IF(CONFIG!$E$2="FUE",1,2))),"--")</f>
        <v>--</v>
      </c>
      <c r="N461" s="53" t="str">
        <f>IFERROR(IF(G461="","SIN",IF(O461=1,"SUBIR_E",IF(H461&lt;IFERROR(VLOOKUP(CONFIG!$E$2,CONFIG!$A$6:$E$8,2,0),6),"BAJAR",IF(H461+I461&gt;=IFERROR(VLOOKUP(CONFIG!$E$2,CONFIG!$A$6:$E$8,3,0),12),"SUBIR_F",IF(AND(H461&gt;=IFERROR(VLOOKUP(CONFIG!$E$2,CONFIG!$A$6:$E$8,2,0),6)+2,I461&gt;=2),"SUBIR",IF(I461&gt;IFERROR(VLOOKUP(CONFIG!$E$2,CONFIG!$A$6:$E$8,5,0),3),"SUBIR","MANT")))))),"SIN")</f>
        <v>SIN</v>
      </c>
      <c r="O461" s="55">
        <f>IF(COUNTIFS(HISTORIAL!$O$3:$O$459,D461&amp;"|"&amp;E461,HISTORIAL!$F$3:$F$459,"&gt;0")&lt;2,0,IF(COUNTIFS(HISTORIAL!$O$3:$O$459,D461&amp;"|"&amp;E461,HISTORIAL!$F$3:$F$459,IFERROR(LOOKUP(2,1/((HISTORIAL!$O$3:$O$459=D461&amp;"|"&amp;E461)*(HISTORIAL!$F$3:$F$459&gt;0)),HISTORIAL!$F$3:$F$459),0))&gt;=2,IF(IFERROR(LOOKUP(2,1/((HISTORIAL!$O$3:$O$459=D461&amp;"|"&amp;E461)*(HISTORIAL!$F$3:$F$459&gt;0)),HISTORIAL!$G$3:$G$459),0)&gt;0,IF(F461&gt;0,IF(G461&lt;=IFERROR(LOOKUP(2,1/((HISTORIAL!$O$3:$O$459=D461&amp;"|"&amp;E461)*(HISTORIAL!$F$3:$F$459&gt;0)),HISTORIAL!$G$3:$G$459),0),1,0),0),0),0))</f>
        <v>0</v>
      </c>
    </row>
    <row r="462" spans="1:15" ht="14.1" customHeight="1">
      <c r="A462" s="37">
        <v>8</v>
      </c>
      <c r="B462" s="37" t="s">
        <v>278</v>
      </c>
      <c r="C462" s="37">
        <v>7</v>
      </c>
      <c r="D462" s="56" t="str">
        <f>MARTES!$A$169</f>
        <v>Curl Muneca</v>
      </c>
      <c r="E462" s="57" t="str">
        <f>MARTES!$B$169</f>
        <v>Supinado</v>
      </c>
      <c r="F462" s="37" t="str">
        <f>MARTES!$C$169</f>
        <v>mancuerna</v>
      </c>
      <c r="G462" s="37" t="str">
        <f>IFERROR(LOOKUP(2,1/((HISTORIAL!$O$3:$O$460=D462&amp;"|"&amp;E462)*(HISTORIAL!$F$3:$F$460&lt;&gt;"")),HISTORIAL!$F$3:$F$460),"")</f>
        <v/>
      </c>
      <c r="H462" s="37" t="str">
        <f>IFERROR(LOOKUP(2,1/((HISTORIAL!$O$3:$O$460=D462&amp;"|"&amp;E462)*(HISTORIAL!$F$3:$F$460&lt;&gt;"")),HISTORIAL!$G$3:$G$460),"")</f>
        <v/>
      </c>
      <c r="I462" s="37" t="str">
        <f>IFERROR(LOOKUP(2,1/((HISTORIAL!$O$3:$O$460=D462&amp;"|"&amp;E462)*(HISTORIAL!$F$3:$F$460&lt;&gt;"")),HISTORIAL!$H$3:$H$460),"")</f>
        <v/>
      </c>
      <c r="J462" s="37" t="str">
        <f>IFERROR(LOOKUP(2,1/((HISTORIAL!$O$3:$O$460=D462&amp;"|"&amp;E462)*(HISTORIAL!$F$3:$F$460&lt;&gt;"")),HISTORIAL!$I$3:$I$460),"")</f>
        <v/>
      </c>
      <c r="K462" s="58" t="str">
        <f>IFERROR(IF(OR(G462="",N462="SIN"),"--",IF(N462="SUBIR_F",IF(F462="polea",IFERROR(INDEX(CONFIG!$B$25:$B$40,MATCH(G462,CONFIG!$B$25:$B$40,0)+2),IFERROR(INDEX(CONFIG!$B$25:$B$40,MATCH(G462,CONFIG!$B$25:$B$40,0)+1),G462)),G462+5),IF(OR(N462="SUBIR",N462="SUBIR_E"),IF(F462="polea",IFERROR(INDEX(CONFIG!$B$25:$B$40,MATCH(G462,CONFIG!$B$25:$B$40,0)+1),G462),G462+2.5),IF(N462="BAJAR",IF(F462="polea",IFERROR(INDEX(CONFIG!$B$25:$B$40,MAX(1,MATCH(G462,CONFIG!$B$25:$B$40,0)-1)),G462),MAX(0,G462-2.5)),G462)))),"--")</f>
        <v>--</v>
      </c>
      <c r="L462" s="59" t="str">
        <f>IFERROR(IF(N462="SIN","--",IF(N462="MANT",IF(H462="","--",H462+1),IFERROR(VLOOKUP(CONFIG!$E$2,CONFIG!$A$6:$E$8,2,0),"--"))),"--")</f>
        <v>--</v>
      </c>
      <c r="M462" s="59" t="str">
        <f>IFERROR(IF(N462="SIN","--",IF(CONFIG!$E$2="HIP",2,IF(CONFIG!$E$2="FUE",1,2))),"--")</f>
        <v>--</v>
      </c>
      <c r="N462" s="53" t="str">
        <f>IFERROR(IF(G462="","SIN",IF(O462=1,"SUBIR_E",IF(H462&lt;IFERROR(VLOOKUP(CONFIG!$E$2,CONFIG!$A$6:$E$8,2,0),6),"BAJAR",IF(H462+I462&gt;=IFERROR(VLOOKUP(CONFIG!$E$2,CONFIG!$A$6:$E$8,3,0),12),"SUBIR_F",IF(AND(H462&gt;=IFERROR(VLOOKUP(CONFIG!$E$2,CONFIG!$A$6:$E$8,2,0),6)+2,I462&gt;=2),"SUBIR",IF(I462&gt;IFERROR(VLOOKUP(CONFIG!$E$2,CONFIG!$A$6:$E$8,5,0),3),"SUBIR","MANT")))))),"SIN")</f>
        <v>SIN</v>
      </c>
      <c r="O462" s="55">
        <f>IF(COUNTIFS(HISTORIAL!$O$3:$O$460,D462&amp;"|"&amp;E462,HISTORIAL!$F$3:$F$460,"&gt;0")&lt;2,0,IF(COUNTIFS(HISTORIAL!$O$3:$O$460,D462&amp;"|"&amp;E462,HISTORIAL!$F$3:$F$460,IFERROR(LOOKUP(2,1/((HISTORIAL!$O$3:$O$460=D462&amp;"|"&amp;E462)*(HISTORIAL!$F$3:$F$460&gt;0)),HISTORIAL!$F$3:$F$460),0))&gt;=2,IF(IFERROR(LOOKUP(2,1/((HISTORIAL!$O$3:$O$460=D462&amp;"|"&amp;E462)*(HISTORIAL!$F$3:$F$460&gt;0)),HISTORIAL!$G$3:$G$460),0)&gt;0,IF(F462&gt;0,IF(G462&lt;=IFERROR(LOOKUP(2,1/((HISTORIAL!$O$3:$O$460=D462&amp;"|"&amp;E462)*(HISTORIAL!$F$3:$F$460&gt;0)),HISTORIAL!$G$3:$G$460),0),1,0),0),0),0))</f>
        <v>0</v>
      </c>
    </row>
    <row r="463" spans="1:15" ht="14.1" customHeight="1">
      <c r="A463" s="37">
        <v>8</v>
      </c>
      <c r="B463" s="37" t="s">
        <v>278</v>
      </c>
      <c r="C463" s="37">
        <v>8</v>
      </c>
      <c r="D463" s="56" t="str">
        <f>MARTES!$A$170</f>
        <v>Curl Muneca</v>
      </c>
      <c r="E463" s="57" t="str">
        <f>MARTES!$B$170</f>
        <v>Pronado</v>
      </c>
      <c r="F463" s="37" t="str">
        <f>MARTES!$C$170</f>
        <v>mancuerna</v>
      </c>
      <c r="G463" s="37" t="str">
        <f>IFERROR(LOOKUP(2,1/((HISTORIAL!$O$3:$O$461=D463&amp;"|"&amp;E463)*(HISTORIAL!$F$3:$F$461&lt;&gt;"")),HISTORIAL!$F$3:$F$461),"")</f>
        <v/>
      </c>
      <c r="H463" s="37" t="str">
        <f>IFERROR(LOOKUP(2,1/((HISTORIAL!$O$3:$O$461=D463&amp;"|"&amp;E463)*(HISTORIAL!$F$3:$F$461&lt;&gt;"")),HISTORIAL!$G$3:$G$461),"")</f>
        <v/>
      </c>
      <c r="I463" s="37" t="str">
        <f>IFERROR(LOOKUP(2,1/((HISTORIAL!$O$3:$O$461=D463&amp;"|"&amp;E463)*(HISTORIAL!$F$3:$F$461&lt;&gt;"")),HISTORIAL!$H$3:$H$461),"")</f>
        <v/>
      </c>
      <c r="J463" s="37" t="str">
        <f>IFERROR(LOOKUP(2,1/((HISTORIAL!$O$3:$O$461=D463&amp;"|"&amp;E463)*(HISTORIAL!$F$3:$F$461&lt;&gt;"")),HISTORIAL!$I$3:$I$461),"")</f>
        <v/>
      </c>
      <c r="K463" s="58" t="str">
        <f>IFERROR(IF(OR(G463="",N463="SIN"),"--",IF(N463="SUBIR_F",IF(F463="polea",IFERROR(INDEX(CONFIG!$B$25:$B$40,MATCH(G463,CONFIG!$B$25:$B$40,0)+2),IFERROR(INDEX(CONFIG!$B$25:$B$40,MATCH(G463,CONFIG!$B$25:$B$40,0)+1),G463)),G463+5),IF(OR(N463="SUBIR",N463="SUBIR_E"),IF(F463="polea",IFERROR(INDEX(CONFIG!$B$25:$B$40,MATCH(G463,CONFIG!$B$25:$B$40,0)+1),G463),G463+2.5),IF(N463="BAJAR",IF(F463="polea",IFERROR(INDEX(CONFIG!$B$25:$B$40,MAX(1,MATCH(G463,CONFIG!$B$25:$B$40,0)-1)),G463),MAX(0,G463-2.5)),G463)))),"--")</f>
        <v>--</v>
      </c>
      <c r="L463" s="59" t="str">
        <f>IFERROR(IF(N463="SIN","--",IF(N463="MANT",IF(H463="","--",H463+1),IFERROR(VLOOKUP(CONFIG!$E$2,CONFIG!$A$6:$E$8,2,0),"--"))),"--")</f>
        <v>--</v>
      </c>
      <c r="M463" s="59" t="str">
        <f>IFERROR(IF(N463="SIN","--",IF(CONFIG!$E$2="HIP",2,IF(CONFIG!$E$2="FUE",1,2))),"--")</f>
        <v>--</v>
      </c>
      <c r="N463" s="53" t="str">
        <f>IFERROR(IF(G463="","SIN",IF(O463=1,"SUBIR_E",IF(H463&lt;IFERROR(VLOOKUP(CONFIG!$E$2,CONFIG!$A$6:$E$8,2,0),6),"BAJAR",IF(H463+I463&gt;=IFERROR(VLOOKUP(CONFIG!$E$2,CONFIG!$A$6:$E$8,3,0),12),"SUBIR_F",IF(AND(H463&gt;=IFERROR(VLOOKUP(CONFIG!$E$2,CONFIG!$A$6:$E$8,2,0),6)+2,I463&gt;=2),"SUBIR",IF(I463&gt;IFERROR(VLOOKUP(CONFIG!$E$2,CONFIG!$A$6:$E$8,5,0),3),"SUBIR","MANT")))))),"SIN")</f>
        <v>SIN</v>
      </c>
      <c r="O463" s="55">
        <f>IF(COUNTIFS(HISTORIAL!$O$3:$O$461,D463&amp;"|"&amp;E463,HISTORIAL!$F$3:$F$461,"&gt;0")&lt;2,0,IF(COUNTIFS(HISTORIAL!$O$3:$O$461,D463&amp;"|"&amp;E463,HISTORIAL!$F$3:$F$461,IFERROR(LOOKUP(2,1/((HISTORIAL!$O$3:$O$461=D463&amp;"|"&amp;E463)*(HISTORIAL!$F$3:$F$461&gt;0)),HISTORIAL!$F$3:$F$461),0))&gt;=2,IF(IFERROR(LOOKUP(2,1/((HISTORIAL!$O$3:$O$461=D463&amp;"|"&amp;E463)*(HISTORIAL!$F$3:$F$461&gt;0)),HISTORIAL!$G$3:$G$461),0)&gt;0,IF(F463&gt;0,IF(G463&lt;=IFERROR(LOOKUP(2,1/((HISTORIAL!$O$3:$O$461=D463&amp;"|"&amp;E463)*(HISTORIAL!$F$3:$F$461&gt;0)),HISTORIAL!$G$3:$G$461),0),1,0),0),0),0))</f>
        <v>0</v>
      </c>
    </row>
    <row r="464" spans="1:15" ht="14.1" customHeight="1">
      <c r="A464" s="37">
        <v>8</v>
      </c>
      <c r="B464" s="37" t="s">
        <v>278</v>
      </c>
      <c r="C464" s="37">
        <v>9</v>
      </c>
      <c r="D464" s="56" t="str">
        <f>MARTES!$A$172</f>
        <v>Farmer Carry</v>
      </c>
      <c r="E464" s="57" t="str">
        <f>MARTES!$B$172</f>
        <v>Libre</v>
      </c>
      <c r="F464" s="37" t="str">
        <f>MARTES!$C$172</f>
        <v>mancuerna</v>
      </c>
      <c r="G464" s="37" t="str">
        <f>IFERROR(LOOKUP(2,1/((HISTORIAL!$O$3:$O$462=D464&amp;"|"&amp;E464)*(HISTORIAL!$F$3:$F$462&lt;&gt;"")),HISTORIAL!$F$3:$F$462),"")</f>
        <v/>
      </c>
      <c r="H464" s="37" t="str">
        <f>IFERROR(LOOKUP(2,1/((HISTORIAL!$O$3:$O$462=D464&amp;"|"&amp;E464)*(HISTORIAL!$F$3:$F$462&lt;&gt;"")),HISTORIAL!$G$3:$G$462),"")</f>
        <v/>
      </c>
      <c r="I464" s="37" t="str">
        <f>IFERROR(LOOKUP(2,1/((HISTORIAL!$O$3:$O$462=D464&amp;"|"&amp;E464)*(HISTORIAL!$F$3:$F$462&lt;&gt;"")),HISTORIAL!$H$3:$H$462),"")</f>
        <v/>
      </c>
      <c r="J464" s="37" t="str">
        <f>IFERROR(LOOKUP(2,1/((HISTORIAL!$O$3:$O$462=D464&amp;"|"&amp;E464)*(HISTORIAL!$F$3:$F$462&lt;&gt;"")),HISTORIAL!$I$3:$I$462),"")</f>
        <v/>
      </c>
      <c r="K464" s="58" t="str">
        <f>IFERROR(IF(OR(G464="",N464="SIN"),"--",IF(N464="SUBIR_F",IF(F464="polea",IFERROR(INDEX(CONFIG!$B$25:$B$40,MATCH(G464,CONFIG!$B$25:$B$40,0)+2),IFERROR(INDEX(CONFIG!$B$25:$B$40,MATCH(G464,CONFIG!$B$25:$B$40,0)+1),G464)),G464+5),IF(OR(N464="SUBIR",N464="SUBIR_E"),IF(F464="polea",IFERROR(INDEX(CONFIG!$B$25:$B$40,MATCH(G464,CONFIG!$B$25:$B$40,0)+1),G464),G464+2.5),IF(N464="BAJAR",IF(F464="polea",IFERROR(INDEX(CONFIG!$B$25:$B$40,MAX(1,MATCH(G464,CONFIG!$B$25:$B$40,0)-1)),G464),MAX(0,G464-2.5)),G464)))),"--")</f>
        <v>--</v>
      </c>
      <c r="L464" s="59" t="str">
        <f>IFERROR(IF(N464="SIN","--",IF(N464="MANT",IF(H464="","--",H464+1),IFERROR(VLOOKUP(CONFIG!$E$2,CONFIG!$A$6:$E$8,2,0),"--"))),"--")</f>
        <v>--</v>
      </c>
      <c r="M464" s="59" t="str">
        <f>IFERROR(IF(N464="SIN","--",IF(CONFIG!$E$2="HIP",2,IF(CONFIG!$E$2="FUE",1,2))),"--")</f>
        <v>--</v>
      </c>
      <c r="N464" s="53" t="str">
        <f>IFERROR(IF(G464="","SIN",IF(O464=1,"SUBIR_E",IF(H464&lt;IFERROR(VLOOKUP(CONFIG!$E$2,CONFIG!$A$6:$E$8,2,0),6),"BAJAR",IF(H464+I464&gt;=IFERROR(VLOOKUP(CONFIG!$E$2,CONFIG!$A$6:$E$8,3,0),12),"SUBIR_F",IF(AND(H464&gt;=IFERROR(VLOOKUP(CONFIG!$E$2,CONFIG!$A$6:$E$8,2,0),6)+2,I464&gt;=2),"SUBIR",IF(I464&gt;IFERROR(VLOOKUP(CONFIG!$E$2,CONFIG!$A$6:$E$8,5,0),3),"SUBIR","MANT")))))),"SIN")</f>
        <v>SIN</v>
      </c>
      <c r="O464" s="55">
        <f>IF(COUNTIFS(HISTORIAL!$O$3:$O$462,D464&amp;"|"&amp;E464,HISTORIAL!$F$3:$F$462,"&gt;0")&lt;2,0,IF(COUNTIFS(HISTORIAL!$O$3:$O$462,D464&amp;"|"&amp;E464,HISTORIAL!$F$3:$F$462,IFERROR(LOOKUP(2,1/((HISTORIAL!$O$3:$O$462=D464&amp;"|"&amp;E464)*(HISTORIAL!$F$3:$F$462&gt;0)),HISTORIAL!$F$3:$F$462),0))&gt;=2,IF(IFERROR(LOOKUP(2,1/((HISTORIAL!$O$3:$O$462=D464&amp;"|"&amp;E464)*(HISTORIAL!$F$3:$F$462&gt;0)),HISTORIAL!$G$3:$G$462),0)&gt;0,IF(F464&gt;0,IF(G464&lt;=IFERROR(LOOKUP(2,1/((HISTORIAL!$O$3:$O$462=D464&amp;"|"&amp;E464)*(HISTORIAL!$F$3:$F$462&gt;0)),HISTORIAL!$G$3:$G$462),0),1,0),0),0),0))</f>
        <v>0</v>
      </c>
    </row>
    <row r="465" spans="1:15" ht="14.1" customHeight="1">
      <c r="A465" s="37">
        <v>8</v>
      </c>
      <c r="B465" s="37" t="s">
        <v>278</v>
      </c>
      <c r="C465" s="37">
        <v>10</v>
      </c>
      <c r="D465" s="56" t="str">
        <f>MARTES!$A$174</f>
        <v>Skullcrusher</v>
      </c>
      <c r="E465" s="57" t="str">
        <f>MARTES!$B$174</f>
        <v>Mancuerna Tumbado</v>
      </c>
      <c r="F465" s="37" t="str">
        <f>MARTES!$C$174</f>
        <v>--</v>
      </c>
      <c r="G465" s="37" t="str">
        <f>IFERROR(LOOKUP(2,1/((HISTORIAL!$O$3:$O$463=D465&amp;"|"&amp;E465)*(HISTORIAL!$F$3:$F$463&lt;&gt;"")),HISTORIAL!$F$3:$F$463),"")</f>
        <v/>
      </c>
      <c r="H465" s="37" t="str">
        <f>IFERROR(LOOKUP(2,1/((HISTORIAL!$O$3:$O$463=D465&amp;"|"&amp;E465)*(HISTORIAL!$F$3:$F$463&lt;&gt;"")),HISTORIAL!$G$3:$G$463),"")</f>
        <v/>
      </c>
      <c r="I465" s="37" t="str">
        <f>IFERROR(LOOKUP(2,1/((HISTORIAL!$O$3:$O$463=D465&amp;"|"&amp;E465)*(HISTORIAL!$F$3:$F$463&lt;&gt;"")),HISTORIAL!$H$3:$H$463),"")</f>
        <v/>
      </c>
      <c r="J465" s="37" t="str">
        <f>IFERROR(LOOKUP(2,1/((HISTORIAL!$O$3:$O$463=D465&amp;"|"&amp;E465)*(HISTORIAL!$F$3:$F$463&lt;&gt;"")),HISTORIAL!$I$3:$I$463),"")</f>
        <v/>
      </c>
      <c r="K465" s="58" t="str">
        <f>IFERROR(IF(OR(G465="",N465="SIN"),"--",IF(N465="SUBIR_F",IF(F465="polea",IFERROR(INDEX(CONFIG!$B$25:$B$40,MATCH(G465,CONFIG!$B$25:$B$40,0)+2),IFERROR(INDEX(CONFIG!$B$25:$B$40,MATCH(G465,CONFIG!$B$25:$B$40,0)+1),G465)),G465+5),IF(OR(N465="SUBIR",N465="SUBIR_E"),IF(F465="polea",IFERROR(INDEX(CONFIG!$B$25:$B$40,MATCH(G465,CONFIG!$B$25:$B$40,0)+1),G465),G465+2.5),IF(N465="BAJAR",IF(F465="polea",IFERROR(INDEX(CONFIG!$B$25:$B$40,MAX(1,MATCH(G465,CONFIG!$B$25:$B$40,0)-1)),G465),MAX(0,G465-2.5)),G465)))),"--")</f>
        <v>--</v>
      </c>
      <c r="L465" s="59" t="str">
        <f>IFERROR(IF(N465="SIN","--",IF(N465="MANT",IF(H465="","--",H465+1),IFERROR(VLOOKUP(CONFIG!$E$2,CONFIG!$A$6:$E$8,2,0),"--"))),"--")</f>
        <v>--</v>
      </c>
      <c r="M465" s="59" t="str">
        <f>IFERROR(IF(N465="SIN","--",IF(CONFIG!$E$2="HIP",2,IF(CONFIG!$E$2="FUE",1,2))),"--")</f>
        <v>--</v>
      </c>
      <c r="N465" s="53" t="str">
        <f>IFERROR(IF(G465="","SIN",IF(O465=1,"SUBIR_E",IF(H465&lt;IFERROR(VLOOKUP(CONFIG!$E$2,CONFIG!$A$6:$E$8,2,0),6),"BAJAR",IF(H465+I465&gt;=IFERROR(VLOOKUP(CONFIG!$E$2,CONFIG!$A$6:$E$8,3,0),12),"SUBIR_F",IF(AND(H465&gt;=IFERROR(VLOOKUP(CONFIG!$E$2,CONFIG!$A$6:$E$8,2,0),6)+2,I465&gt;=2),"SUBIR",IF(I465&gt;IFERROR(VLOOKUP(CONFIG!$E$2,CONFIG!$A$6:$E$8,5,0),3),"SUBIR","MANT")))))),"SIN")</f>
        <v>SIN</v>
      </c>
      <c r="O465" s="55">
        <f>IF(COUNTIFS(HISTORIAL!$O$3:$O$463,D465&amp;"|"&amp;E465,HISTORIAL!$F$3:$F$463,"&gt;0")&lt;2,0,IF(COUNTIFS(HISTORIAL!$O$3:$O$463,D465&amp;"|"&amp;E465,HISTORIAL!$F$3:$F$463,IFERROR(LOOKUP(2,1/((HISTORIAL!$O$3:$O$463=D465&amp;"|"&amp;E465)*(HISTORIAL!$F$3:$F$463&gt;0)),HISTORIAL!$F$3:$F$463),0))&gt;=2,IF(IFERROR(LOOKUP(2,1/((HISTORIAL!$O$3:$O$463=D465&amp;"|"&amp;E465)*(HISTORIAL!$F$3:$F$463&gt;0)),HISTORIAL!$G$3:$G$463),0)&gt;0,IF(F465&gt;0,IF(G465&lt;=IFERROR(LOOKUP(2,1/((HISTORIAL!$O$3:$O$463=D465&amp;"|"&amp;E465)*(HISTORIAL!$F$3:$F$463&gt;0)),HISTORIAL!$G$3:$G$463),0),1,0),0),0),0))</f>
        <v>0</v>
      </c>
    </row>
    <row r="466" spans="1:15" ht="14.1" customHeight="1">
      <c r="A466" s="37">
        <v>8</v>
      </c>
      <c r="B466" s="37" t="s">
        <v>278</v>
      </c>
      <c r="C466" s="37">
        <v>11</v>
      </c>
      <c r="D466" s="56" t="str">
        <f>MARTES!$A$176</f>
        <v>Crunch</v>
      </c>
      <c r="E466" s="57" t="str">
        <f>MARTES!$B$176</f>
        <v>Polea</v>
      </c>
      <c r="F466" s="37" t="str">
        <f>MARTES!$C$176</f>
        <v>polea</v>
      </c>
      <c r="G466" s="37" t="str">
        <f>IFERROR(LOOKUP(2,1/((HISTORIAL!$O$3:$O$464=D466&amp;"|"&amp;E466)*(HISTORIAL!$F$3:$F$464&lt;&gt;"")),HISTORIAL!$F$3:$F$464),"")</f>
        <v/>
      </c>
      <c r="H466" s="37" t="str">
        <f>IFERROR(LOOKUP(2,1/((HISTORIAL!$O$3:$O$464=D466&amp;"|"&amp;E466)*(HISTORIAL!$F$3:$F$464&lt;&gt;"")),HISTORIAL!$G$3:$G$464),"")</f>
        <v/>
      </c>
      <c r="I466" s="37" t="str">
        <f>IFERROR(LOOKUP(2,1/((HISTORIAL!$O$3:$O$464=D466&amp;"|"&amp;E466)*(HISTORIAL!$F$3:$F$464&lt;&gt;"")),HISTORIAL!$H$3:$H$464),"")</f>
        <v/>
      </c>
      <c r="J466" s="37" t="str">
        <f>IFERROR(LOOKUP(2,1/((HISTORIAL!$O$3:$O$464=D466&amp;"|"&amp;E466)*(HISTORIAL!$F$3:$F$464&lt;&gt;"")),HISTORIAL!$I$3:$I$464),"")</f>
        <v/>
      </c>
      <c r="K466" s="58" t="str">
        <f>IFERROR(IF(OR(G466="",N466="SIN"),"--",IF(N466="SUBIR_F",IF(F466="polea",IFERROR(INDEX(CONFIG!$B$25:$B$40,MATCH(G466,CONFIG!$B$25:$B$40,0)+2),IFERROR(INDEX(CONFIG!$B$25:$B$40,MATCH(G466,CONFIG!$B$25:$B$40,0)+1),G466)),G466+5),IF(OR(N466="SUBIR",N466="SUBIR_E"),IF(F466="polea",IFERROR(INDEX(CONFIG!$B$25:$B$40,MATCH(G466,CONFIG!$B$25:$B$40,0)+1),G466),G466+2.5),IF(N466="BAJAR",IF(F466="polea",IFERROR(INDEX(CONFIG!$B$25:$B$40,MAX(1,MATCH(G466,CONFIG!$B$25:$B$40,0)-1)),G466),MAX(0,G466-2.5)),G466)))),"--")</f>
        <v>--</v>
      </c>
      <c r="L466" s="59" t="str">
        <f>IFERROR(IF(N466="SIN","--",IF(N466="MANT",IF(H466="","--",H466+1),IFERROR(VLOOKUP(CONFIG!$E$2,CONFIG!$A$6:$E$8,2,0),"--"))),"--")</f>
        <v>--</v>
      </c>
      <c r="M466" s="59" t="str">
        <f>IFERROR(IF(N466="SIN","--",IF(CONFIG!$E$2="HIP",2,IF(CONFIG!$E$2="FUE",1,2))),"--")</f>
        <v>--</v>
      </c>
      <c r="N466" s="53" t="str">
        <f>IFERROR(IF(G466="","SIN",IF(O466=1,"SUBIR_E",IF(H466&lt;IFERROR(VLOOKUP(CONFIG!$E$2,CONFIG!$A$6:$E$8,2,0),6),"BAJAR",IF(H466+I466&gt;=IFERROR(VLOOKUP(CONFIG!$E$2,CONFIG!$A$6:$E$8,3,0),12),"SUBIR_F",IF(AND(H466&gt;=IFERROR(VLOOKUP(CONFIG!$E$2,CONFIG!$A$6:$E$8,2,0),6)+2,I466&gt;=2),"SUBIR",IF(I466&gt;IFERROR(VLOOKUP(CONFIG!$E$2,CONFIG!$A$6:$E$8,5,0),3),"SUBIR","MANT")))))),"SIN")</f>
        <v>SIN</v>
      </c>
      <c r="O466" s="55">
        <f>IF(COUNTIFS(HISTORIAL!$O$3:$O$464,D466&amp;"|"&amp;E466,HISTORIAL!$F$3:$F$464,"&gt;0")&lt;2,0,IF(COUNTIFS(HISTORIAL!$O$3:$O$464,D466&amp;"|"&amp;E466,HISTORIAL!$F$3:$F$464,IFERROR(LOOKUP(2,1/((HISTORIAL!$O$3:$O$464=D466&amp;"|"&amp;E466)*(HISTORIAL!$F$3:$F$464&gt;0)),HISTORIAL!$F$3:$F$464),0))&gt;=2,IF(IFERROR(LOOKUP(2,1/((HISTORIAL!$O$3:$O$464=D466&amp;"|"&amp;E466)*(HISTORIAL!$F$3:$F$464&gt;0)),HISTORIAL!$G$3:$G$464),0)&gt;0,IF(F466&gt;0,IF(G466&lt;=IFERROR(LOOKUP(2,1/((HISTORIAL!$O$3:$O$464=D466&amp;"|"&amp;E466)*(HISTORIAL!$F$3:$F$464&gt;0)),HISTORIAL!$G$3:$G$464),0),1,0),0),0),0))</f>
        <v>0</v>
      </c>
    </row>
    <row r="467" spans="1:15" ht="14.1" customHeight="1">
      <c r="A467" s="37">
        <v>8</v>
      </c>
      <c r="B467" s="37" t="s">
        <v>279</v>
      </c>
      <c r="C467" s="37">
        <v>1</v>
      </c>
      <c r="D467" s="56" t="str">
        <f>MIERCOLES!$A$166</f>
        <v>Curl Femoral</v>
      </c>
      <c r="E467" s="57" t="str">
        <f>MIERCOLES!$B$166</f>
        <v>Tumbado Maquina</v>
      </c>
      <c r="F467" s="37" t="str">
        <f>MIERCOLES!$C$166</f>
        <v>polea</v>
      </c>
      <c r="G467" s="37" t="str">
        <f>IFERROR(LOOKUP(2,1/((HISTORIAL!$O$3:$O$465=D467&amp;"|"&amp;E467)*(HISTORIAL!$F$3:$F$465&lt;&gt;"")),HISTORIAL!$F$3:$F$465),"")</f>
        <v/>
      </c>
      <c r="H467" s="37" t="str">
        <f>IFERROR(LOOKUP(2,1/((HISTORIAL!$O$3:$O$465=D467&amp;"|"&amp;E467)*(HISTORIAL!$F$3:$F$465&lt;&gt;"")),HISTORIAL!$G$3:$G$465),"")</f>
        <v/>
      </c>
      <c r="I467" s="37" t="str">
        <f>IFERROR(LOOKUP(2,1/((HISTORIAL!$O$3:$O$465=D467&amp;"|"&amp;E467)*(HISTORIAL!$F$3:$F$465&lt;&gt;"")),HISTORIAL!$H$3:$H$465),"")</f>
        <v/>
      </c>
      <c r="J467" s="37" t="str">
        <f>IFERROR(LOOKUP(2,1/((HISTORIAL!$O$3:$O$465=D467&amp;"|"&amp;E467)*(HISTORIAL!$F$3:$F$465&lt;&gt;"")),HISTORIAL!$I$3:$I$465),"")</f>
        <v/>
      </c>
      <c r="K467" s="58" t="str">
        <f>IFERROR(IF(OR(G467="",N467="SIN"),"--",IF(N467="SUBIR_F",IF(F467="polea",IFERROR(INDEX(CONFIG!$B$25:$B$40,MATCH(G467,CONFIG!$B$25:$B$40,0)+2),IFERROR(INDEX(CONFIG!$B$25:$B$40,MATCH(G467,CONFIG!$B$25:$B$40,0)+1),G467)),G467+5),IF(OR(N467="SUBIR",N467="SUBIR_E"),IF(F467="polea",IFERROR(INDEX(CONFIG!$B$25:$B$40,MATCH(G467,CONFIG!$B$25:$B$40,0)+1),G467),G467+2.5),IF(N467="BAJAR",IF(F467="polea",IFERROR(INDEX(CONFIG!$B$25:$B$40,MAX(1,MATCH(G467,CONFIG!$B$25:$B$40,0)-1)),G467),MAX(0,G467-2.5)),G467)))),"--")</f>
        <v>--</v>
      </c>
      <c r="L467" s="59" t="str">
        <f>IFERROR(IF(N467="SIN","--",IF(N467="MANT",IF(H467="","--",H467+1),IFERROR(VLOOKUP(CONFIG!$E$2,CONFIG!$A$6:$E$8,2,0),"--"))),"--")</f>
        <v>--</v>
      </c>
      <c r="M467" s="59" t="str">
        <f>IFERROR(IF(N467="SIN","--",IF(CONFIG!$E$2="HIP",2,IF(CONFIG!$E$2="FUE",1,2))),"--")</f>
        <v>--</v>
      </c>
      <c r="N467" s="53" t="str">
        <f>IFERROR(IF(G467="","SIN",IF(O467=1,"SUBIR_E",IF(H467&lt;IFERROR(VLOOKUP(CONFIG!$E$2,CONFIG!$A$6:$E$8,2,0),6),"BAJAR",IF(H467+I467&gt;=IFERROR(VLOOKUP(CONFIG!$E$2,CONFIG!$A$6:$E$8,3,0),12),"SUBIR_F",IF(AND(H467&gt;=IFERROR(VLOOKUP(CONFIG!$E$2,CONFIG!$A$6:$E$8,2,0),6)+2,I467&gt;=2),"SUBIR",IF(I467&gt;IFERROR(VLOOKUP(CONFIG!$E$2,CONFIG!$A$6:$E$8,5,0),3),"SUBIR","MANT")))))),"SIN")</f>
        <v>SIN</v>
      </c>
      <c r="O467" s="55">
        <f>IF(COUNTIFS(HISTORIAL!$O$3:$O$465,D467&amp;"|"&amp;E467,HISTORIAL!$F$3:$F$465,"&gt;0")&lt;2,0,IF(COUNTIFS(HISTORIAL!$O$3:$O$465,D467&amp;"|"&amp;E467,HISTORIAL!$F$3:$F$465,IFERROR(LOOKUP(2,1/((HISTORIAL!$O$3:$O$465=D467&amp;"|"&amp;E467)*(HISTORIAL!$F$3:$F$465&gt;0)),HISTORIAL!$F$3:$F$465),0))&gt;=2,IF(IFERROR(LOOKUP(2,1/((HISTORIAL!$O$3:$O$465=D467&amp;"|"&amp;E467)*(HISTORIAL!$F$3:$F$465&gt;0)),HISTORIAL!$G$3:$G$465),0)&gt;0,IF(F467&gt;0,IF(G467&lt;=IFERROR(LOOKUP(2,1/((HISTORIAL!$O$3:$O$465=D467&amp;"|"&amp;E467)*(HISTORIAL!$F$3:$F$465&gt;0)),HISTORIAL!$G$3:$G$465),0),1,0),0),0),0))</f>
        <v>0</v>
      </c>
    </row>
    <row r="468" spans="1:15" ht="14.1" customHeight="1">
      <c r="A468" s="37">
        <v>8</v>
      </c>
      <c r="B468" s="37" t="s">
        <v>279</v>
      </c>
      <c r="C468" s="37">
        <v>2</v>
      </c>
      <c r="D468" s="56" t="str">
        <f>MIERCOLES!$A$167</f>
        <v>Curl Femoral</v>
      </c>
      <c r="E468" s="57" t="str">
        <f>MIERCOLES!$B$167</f>
        <v>Sentado Maquina</v>
      </c>
      <c r="F468" s="37" t="str">
        <f>MIERCOLES!$C$167</f>
        <v>polea</v>
      </c>
      <c r="G468" s="37" t="str">
        <f>IFERROR(LOOKUP(2,1/((HISTORIAL!$O$3:$O$466=D468&amp;"|"&amp;E468)*(HISTORIAL!$F$3:$F$466&lt;&gt;"")),HISTORIAL!$F$3:$F$466),"")</f>
        <v/>
      </c>
      <c r="H468" s="37" t="str">
        <f>IFERROR(LOOKUP(2,1/((HISTORIAL!$O$3:$O$466=D468&amp;"|"&amp;E468)*(HISTORIAL!$F$3:$F$466&lt;&gt;"")),HISTORIAL!$G$3:$G$466),"")</f>
        <v/>
      </c>
      <c r="I468" s="37" t="str">
        <f>IFERROR(LOOKUP(2,1/((HISTORIAL!$O$3:$O$466=D468&amp;"|"&amp;E468)*(HISTORIAL!$F$3:$F$466&lt;&gt;"")),HISTORIAL!$H$3:$H$466),"")</f>
        <v/>
      </c>
      <c r="J468" s="37" t="str">
        <f>IFERROR(LOOKUP(2,1/((HISTORIAL!$O$3:$O$466=D468&amp;"|"&amp;E468)*(HISTORIAL!$F$3:$F$466&lt;&gt;"")),HISTORIAL!$I$3:$I$466),"")</f>
        <v/>
      </c>
      <c r="K468" s="58" t="str">
        <f>IFERROR(IF(OR(G468="",N468="SIN"),"--",IF(N468="SUBIR_F",IF(F468="polea",IFERROR(INDEX(CONFIG!$B$25:$B$40,MATCH(G468,CONFIG!$B$25:$B$40,0)+2),IFERROR(INDEX(CONFIG!$B$25:$B$40,MATCH(G468,CONFIG!$B$25:$B$40,0)+1),G468)),G468+5),IF(OR(N468="SUBIR",N468="SUBIR_E"),IF(F468="polea",IFERROR(INDEX(CONFIG!$B$25:$B$40,MATCH(G468,CONFIG!$B$25:$B$40,0)+1),G468),G468+2.5),IF(N468="BAJAR",IF(F468="polea",IFERROR(INDEX(CONFIG!$B$25:$B$40,MAX(1,MATCH(G468,CONFIG!$B$25:$B$40,0)-1)),G468),MAX(0,G468-2.5)),G468)))),"--")</f>
        <v>--</v>
      </c>
      <c r="L468" s="59" t="str">
        <f>IFERROR(IF(N468="SIN","--",IF(N468="MANT",IF(H468="","--",H468+1),IFERROR(VLOOKUP(CONFIG!$E$2,CONFIG!$A$6:$E$8,2,0),"--"))),"--")</f>
        <v>--</v>
      </c>
      <c r="M468" s="59" t="str">
        <f>IFERROR(IF(N468="SIN","--",IF(CONFIG!$E$2="HIP",2,IF(CONFIG!$E$2="FUE",1,2))),"--")</f>
        <v>--</v>
      </c>
      <c r="N468" s="53" t="str">
        <f>IFERROR(IF(G468="","SIN",IF(O468=1,"SUBIR_E",IF(H468&lt;IFERROR(VLOOKUP(CONFIG!$E$2,CONFIG!$A$6:$E$8,2,0),6),"BAJAR",IF(H468+I468&gt;=IFERROR(VLOOKUP(CONFIG!$E$2,CONFIG!$A$6:$E$8,3,0),12),"SUBIR_F",IF(AND(H468&gt;=IFERROR(VLOOKUP(CONFIG!$E$2,CONFIG!$A$6:$E$8,2,0),6)+2,I468&gt;=2),"SUBIR",IF(I468&gt;IFERROR(VLOOKUP(CONFIG!$E$2,CONFIG!$A$6:$E$8,5,0),3),"SUBIR","MANT")))))),"SIN")</f>
        <v>SIN</v>
      </c>
      <c r="O468" s="55">
        <f>IF(COUNTIFS(HISTORIAL!$O$3:$O$466,D468&amp;"|"&amp;E468,HISTORIAL!$F$3:$F$466,"&gt;0")&lt;2,0,IF(COUNTIFS(HISTORIAL!$O$3:$O$466,D468&amp;"|"&amp;E468,HISTORIAL!$F$3:$F$466,IFERROR(LOOKUP(2,1/((HISTORIAL!$O$3:$O$466=D468&amp;"|"&amp;E468)*(HISTORIAL!$F$3:$F$466&gt;0)),HISTORIAL!$F$3:$F$466),0))&gt;=2,IF(IFERROR(LOOKUP(2,1/((HISTORIAL!$O$3:$O$466=D468&amp;"|"&amp;E468)*(HISTORIAL!$F$3:$F$466&gt;0)),HISTORIAL!$G$3:$G$466),0)&gt;0,IF(F468&gt;0,IF(G468&lt;=IFERROR(LOOKUP(2,1/((HISTORIAL!$O$3:$O$466=D468&amp;"|"&amp;E468)*(HISTORIAL!$F$3:$F$466&gt;0)),HISTORIAL!$G$3:$G$466),0),1,0),0),0),0))</f>
        <v>0</v>
      </c>
    </row>
    <row r="469" spans="1:15" ht="14.1" customHeight="1">
      <c r="A469" s="37">
        <v>8</v>
      </c>
      <c r="B469" s="37" t="s">
        <v>279</v>
      </c>
      <c r="C469" s="37">
        <v>3</v>
      </c>
      <c r="D469" s="56" t="str">
        <f>MIERCOLES!$A$168</f>
        <v>Curl Rumano</v>
      </c>
      <c r="E469" s="57" t="str">
        <f>MIERCOLES!$B$168</f>
        <v>Mancuernas</v>
      </c>
      <c r="F469" s="37" t="str">
        <f>MIERCOLES!$C$168</f>
        <v>mancuerna</v>
      </c>
      <c r="G469" s="37" t="str">
        <f>IFERROR(LOOKUP(2,1/((HISTORIAL!$O$3:$O$467=D469&amp;"|"&amp;E469)*(HISTORIAL!$F$3:$F$467&lt;&gt;"")),HISTORIAL!$F$3:$F$467),"")</f>
        <v/>
      </c>
      <c r="H469" s="37" t="str">
        <f>IFERROR(LOOKUP(2,1/((HISTORIAL!$O$3:$O$467=D469&amp;"|"&amp;E469)*(HISTORIAL!$F$3:$F$467&lt;&gt;"")),HISTORIAL!$G$3:$G$467),"")</f>
        <v/>
      </c>
      <c r="I469" s="37" t="str">
        <f>IFERROR(LOOKUP(2,1/((HISTORIAL!$O$3:$O$467=D469&amp;"|"&amp;E469)*(HISTORIAL!$F$3:$F$467&lt;&gt;"")),HISTORIAL!$H$3:$H$467),"")</f>
        <v/>
      </c>
      <c r="J469" s="37" t="str">
        <f>IFERROR(LOOKUP(2,1/((HISTORIAL!$O$3:$O$467=D469&amp;"|"&amp;E469)*(HISTORIAL!$F$3:$F$467&lt;&gt;"")),HISTORIAL!$I$3:$I$467),"")</f>
        <v/>
      </c>
      <c r="K469" s="58" t="str">
        <f>IFERROR(IF(OR(G469="",N469="SIN"),"--",IF(N469="SUBIR_F",IF(F469="polea",IFERROR(INDEX(CONFIG!$B$25:$B$40,MATCH(G469,CONFIG!$B$25:$B$40,0)+2),IFERROR(INDEX(CONFIG!$B$25:$B$40,MATCH(G469,CONFIG!$B$25:$B$40,0)+1),G469)),G469+5),IF(OR(N469="SUBIR",N469="SUBIR_E"),IF(F469="polea",IFERROR(INDEX(CONFIG!$B$25:$B$40,MATCH(G469,CONFIG!$B$25:$B$40,0)+1),G469),G469+2.5),IF(N469="BAJAR",IF(F469="polea",IFERROR(INDEX(CONFIG!$B$25:$B$40,MAX(1,MATCH(G469,CONFIG!$B$25:$B$40,0)-1)),G469),MAX(0,G469-2.5)),G469)))),"--")</f>
        <v>--</v>
      </c>
      <c r="L469" s="59" t="str">
        <f>IFERROR(IF(N469="SIN","--",IF(N469="MANT",IF(H469="","--",H469+1),IFERROR(VLOOKUP(CONFIG!$E$2,CONFIG!$A$6:$E$8,2,0),"--"))),"--")</f>
        <v>--</v>
      </c>
      <c r="M469" s="59" t="str">
        <f>IFERROR(IF(N469="SIN","--",IF(CONFIG!$E$2="HIP",2,IF(CONFIG!$E$2="FUE",1,2))),"--")</f>
        <v>--</v>
      </c>
      <c r="N469" s="53" t="str">
        <f>IFERROR(IF(G469="","SIN",IF(O469=1,"SUBIR_E",IF(H469&lt;IFERROR(VLOOKUP(CONFIG!$E$2,CONFIG!$A$6:$E$8,2,0),6),"BAJAR",IF(H469+I469&gt;=IFERROR(VLOOKUP(CONFIG!$E$2,CONFIG!$A$6:$E$8,3,0),12),"SUBIR_F",IF(AND(H469&gt;=IFERROR(VLOOKUP(CONFIG!$E$2,CONFIG!$A$6:$E$8,2,0),6)+2,I469&gt;=2),"SUBIR",IF(I469&gt;IFERROR(VLOOKUP(CONFIG!$E$2,CONFIG!$A$6:$E$8,5,0),3),"SUBIR","MANT")))))),"SIN")</f>
        <v>SIN</v>
      </c>
      <c r="O469" s="55">
        <f>IF(COUNTIFS(HISTORIAL!$O$3:$O$467,D469&amp;"|"&amp;E469,HISTORIAL!$F$3:$F$467,"&gt;0")&lt;2,0,IF(COUNTIFS(HISTORIAL!$O$3:$O$467,D469&amp;"|"&amp;E469,HISTORIAL!$F$3:$F$467,IFERROR(LOOKUP(2,1/((HISTORIAL!$O$3:$O$467=D469&amp;"|"&amp;E469)*(HISTORIAL!$F$3:$F$467&gt;0)),HISTORIAL!$F$3:$F$467),0))&gt;=2,IF(IFERROR(LOOKUP(2,1/((HISTORIAL!$O$3:$O$467=D469&amp;"|"&amp;E469)*(HISTORIAL!$F$3:$F$467&gt;0)),HISTORIAL!$G$3:$G$467),0)&gt;0,IF(F469&gt;0,IF(G469&lt;=IFERROR(LOOKUP(2,1/((HISTORIAL!$O$3:$O$467=D469&amp;"|"&amp;E469)*(HISTORIAL!$F$3:$F$467&gt;0)),HISTORIAL!$G$3:$G$467),0),1,0),0),0),0))</f>
        <v>0</v>
      </c>
    </row>
    <row r="470" spans="1:15" ht="14.1" customHeight="1">
      <c r="A470" s="37">
        <v>8</v>
      </c>
      <c r="B470" s="37" t="s">
        <v>279</v>
      </c>
      <c r="C470" s="37">
        <v>4</v>
      </c>
      <c r="D470" s="56" t="str">
        <f>MIERCOLES!$A$170</f>
        <v>Sentadilla</v>
      </c>
      <c r="E470" s="57" t="str">
        <f>MIERCOLES!$B$170</f>
        <v>Multipower Cuna Talones</v>
      </c>
      <c r="F470" s="37" t="str">
        <f>MIERCOLES!$C$170</f>
        <v>--</v>
      </c>
      <c r="G470" s="37" t="str">
        <f>IFERROR(LOOKUP(2,1/((HISTORIAL!$O$3:$O$468=D470&amp;"|"&amp;E470)*(HISTORIAL!$F$3:$F$468&lt;&gt;"")),HISTORIAL!$F$3:$F$468),"")</f>
        <v/>
      </c>
      <c r="H470" s="37" t="str">
        <f>IFERROR(LOOKUP(2,1/((HISTORIAL!$O$3:$O$468=D470&amp;"|"&amp;E470)*(HISTORIAL!$F$3:$F$468&lt;&gt;"")),HISTORIAL!$G$3:$G$468),"")</f>
        <v/>
      </c>
      <c r="I470" s="37" t="str">
        <f>IFERROR(LOOKUP(2,1/((HISTORIAL!$O$3:$O$468=D470&amp;"|"&amp;E470)*(HISTORIAL!$F$3:$F$468&lt;&gt;"")),HISTORIAL!$H$3:$H$468),"")</f>
        <v/>
      </c>
      <c r="J470" s="37" t="str">
        <f>IFERROR(LOOKUP(2,1/((HISTORIAL!$O$3:$O$468=D470&amp;"|"&amp;E470)*(HISTORIAL!$F$3:$F$468&lt;&gt;"")),HISTORIAL!$I$3:$I$468),"")</f>
        <v/>
      </c>
      <c r="K470" s="58" t="str">
        <f>IFERROR(IF(OR(G470="",N470="SIN"),"--",IF(N470="SUBIR_F",IF(F470="polea",IFERROR(INDEX(CONFIG!$B$25:$B$40,MATCH(G470,CONFIG!$B$25:$B$40,0)+2),IFERROR(INDEX(CONFIG!$B$25:$B$40,MATCH(G470,CONFIG!$B$25:$B$40,0)+1),G470)),G470+5),IF(OR(N470="SUBIR",N470="SUBIR_E"),IF(F470="polea",IFERROR(INDEX(CONFIG!$B$25:$B$40,MATCH(G470,CONFIG!$B$25:$B$40,0)+1),G470),G470+2.5),IF(N470="BAJAR",IF(F470="polea",IFERROR(INDEX(CONFIG!$B$25:$B$40,MAX(1,MATCH(G470,CONFIG!$B$25:$B$40,0)-1)),G470),MAX(0,G470-2.5)),G470)))),"--")</f>
        <v>--</v>
      </c>
      <c r="L470" s="59" t="str">
        <f>IFERROR(IF(N470="SIN","--",IF(N470="MANT",IF(H470="","--",H470+1),IFERROR(VLOOKUP(CONFIG!$E$2,CONFIG!$A$6:$E$8,2,0),"--"))),"--")</f>
        <v>--</v>
      </c>
      <c r="M470" s="59" t="str">
        <f>IFERROR(IF(N470="SIN","--",IF(CONFIG!$E$2="HIP",2,IF(CONFIG!$E$2="FUE",1,2))),"--")</f>
        <v>--</v>
      </c>
      <c r="N470" s="53" t="str">
        <f>IFERROR(IF(G470="","SIN",IF(O470=1,"SUBIR_E",IF(H470&lt;IFERROR(VLOOKUP(CONFIG!$E$2,CONFIG!$A$6:$E$8,2,0),6),"BAJAR",IF(H470+I470&gt;=IFERROR(VLOOKUP(CONFIG!$E$2,CONFIG!$A$6:$E$8,3,0),12),"SUBIR_F",IF(AND(H470&gt;=IFERROR(VLOOKUP(CONFIG!$E$2,CONFIG!$A$6:$E$8,2,0),6)+2,I470&gt;=2),"SUBIR",IF(I470&gt;IFERROR(VLOOKUP(CONFIG!$E$2,CONFIG!$A$6:$E$8,5,0),3),"SUBIR","MANT")))))),"SIN")</f>
        <v>SIN</v>
      </c>
      <c r="O470" s="55">
        <f>IF(COUNTIFS(HISTORIAL!$O$3:$O$468,D470&amp;"|"&amp;E470,HISTORIAL!$F$3:$F$468,"&gt;0")&lt;2,0,IF(COUNTIFS(HISTORIAL!$O$3:$O$468,D470&amp;"|"&amp;E470,HISTORIAL!$F$3:$F$468,IFERROR(LOOKUP(2,1/((HISTORIAL!$O$3:$O$468=D470&amp;"|"&amp;E470)*(HISTORIAL!$F$3:$F$468&gt;0)),HISTORIAL!$F$3:$F$468),0))&gt;=2,IF(IFERROR(LOOKUP(2,1/((HISTORIAL!$O$3:$O$468=D470&amp;"|"&amp;E470)*(HISTORIAL!$F$3:$F$468&gt;0)),HISTORIAL!$G$3:$G$468),0)&gt;0,IF(F470&gt;0,IF(G470&lt;=IFERROR(LOOKUP(2,1/((HISTORIAL!$O$3:$O$468=D470&amp;"|"&amp;E470)*(HISTORIAL!$F$3:$F$468&gt;0)),HISTORIAL!$G$3:$G$468),0),1,0),0),0),0))</f>
        <v>0</v>
      </c>
    </row>
    <row r="471" spans="1:15" ht="14.1" customHeight="1">
      <c r="A471" s="37">
        <v>8</v>
      </c>
      <c r="B471" s="37" t="s">
        <v>279</v>
      </c>
      <c r="C471" s="37">
        <v>5</v>
      </c>
      <c r="D471" s="56" t="str">
        <f>MIERCOLES!$A$171</f>
        <v>Prensa Pierna</v>
      </c>
      <c r="E471" s="57" t="str">
        <f>MIERCOLES!$B$171</f>
        <v>Individual Horizontal</v>
      </c>
      <c r="F471" s="37" t="str">
        <f>MIERCOLES!$C$171</f>
        <v>--</v>
      </c>
      <c r="G471" s="37" t="str">
        <f>IFERROR(LOOKUP(2,1/((HISTORIAL!$O$3:$O$469=D471&amp;"|"&amp;E471)*(HISTORIAL!$F$3:$F$469&lt;&gt;"")),HISTORIAL!$F$3:$F$469),"")</f>
        <v/>
      </c>
      <c r="H471" s="37" t="str">
        <f>IFERROR(LOOKUP(2,1/((HISTORIAL!$O$3:$O$469=D471&amp;"|"&amp;E471)*(HISTORIAL!$F$3:$F$469&lt;&gt;"")),HISTORIAL!$G$3:$G$469),"")</f>
        <v/>
      </c>
      <c r="I471" s="37" t="str">
        <f>IFERROR(LOOKUP(2,1/((HISTORIAL!$O$3:$O$469=D471&amp;"|"&amp;E471)*(HISTORIAL!$F$3:$F$469&lt;&gt;"")),HISTORIAL!$H$3:$H$469),"")</f>
        <v/>
      </c>
      <c r="J471" s="37" t="str">
        <f>IFERROR(LOOKUP(2,1/((HISTORIAL!$O$3:$O$469=D471&amp;"|"&amp;E471)*(HISTORIAL!$F$3:$F$469&lt;&gt;"")),HISTORIAL!$I$3:$I$469),"")</f>
        <v/>
      </c>
      <c r="K471" s="58" t="str">
        <f>IFERROR(IF(OR(G471="",N471="SIN"),"--",IF(N471="SUBIR_F",IF(F471="polea",IFERROR(INDEX(CONFIG!$B$25:$B$40,MATCH(G471,CONFIG!$B$25:$B$40,0)+2),IFERROR(INDEX(CONFIG!$B$25:$B$40,MATCH(G471,CONFIG!$B$25:$B$40,0)+1),G471)),G471+5),IF(OR(N471="SUBIR",N471="SUBIR_E"),IF(F471="polea",IFERROR(INDEX(CONFIG!$B$25:$B$40,MATCH(G471,CONFIG!$B$25:$B$40,0)+1),G471),G471+2.5),IF(N471="BAJAR",IF(F471="polea",IFERROR(INDEX(CONFIG!$B$25:$B$40,MAX(1,MATCH(G471,CONFIG!$B$25:$B$40,0)-1)),G471),MAX(0,G471-2.5)),G471)))),"--")</f>
        <v>--</v>
      </c>
      <c r="L471" s="59" t="str">
        <f>IFERROR(IF(N471="SIN","--",IF(N471="MANT",IF(H471="","--",H471+1),IFERROR(VLOOKUP(CONFIG!$E$2,CONFIG!$A$6:$E$8,2,0),"--"))),"--")</f>
        <v>--</v>
      </c>
      <c r="M471" s="59" t="str">
        <f>IFERROR(IF(N471="SIN","--",IF(CONFIG!$E$2="HIP",2,IF(CONFIG!$E$2="FUE",1,2))),"--")</f>
        <v>--</v>
      </c>
      <c r="N471" s="53" t="str">
        <f>IFERROR(IF(G471="","SIN",IF(O471=1,"SUBIR_E",IF(H471&lt;IFERROR(VLOOKUP(CONFIG!$E$2,CONFIG!$A$6:$E$8,2,0),6),"BAJAR",IF(H471+I471&gt;=IFERROR(VLOOKUP(CONFIG!$E$2,CONFIG!$A$6:$E$8,3,0),12),"SUBIR_F",IF(AND(H471&gt;=IFERROR(VLOOKUP(CONFIG!$E$2,CONFIG!$A$6:$E$8,2,0),6)+2,I471&gt;=2),"SUBIR",IF(I471&gt;IFERROR(VLOOKUP(CONFIG!$E$2,CONFIG!$A$6:$E$8,5,0),3),"SUBIR","MANT")))))),"SIN")</f>
        <v>SIN</v>
      </c>
      <c r="O471" s="55">
        <f>IF(COUNTIFS(HISTORIAL!$O$3:$O$469,D471&amp;"|"&amp;E471,HISTORIAL!$F$3:$F$469,"&gt;0")&lt;2,0,IF(COUNTIFS(HISTORIAL!$O$3:$O$469,D471&amp;"|"&amp;E471,HISTORIAL!$F$3:$F$469,IFERROR(LOOKUP(2,1/((HISTORIAL!$O$3:$O$469=D471&amp;"|"&amp;E471)*(HISTORIAL!$F$3:$F$469&gt;0)),HISTORIAL!$F$3:$F$469),0))&gt;=2,IF(IFERROR(LOOKUP(2,1/((HISTORIAL!$O$3:$O$469=D471&amp;"|"&amp;E471)*(HISTORIAL!$F$3:$F$469&gt;0)),HISTORIAL!$G$3:$G$469),0)&gt;0,IF(F471&gt;0,IF(G471&lt;=IFERROR(LOOKUP(2,1/((HISTORIAL!$O$3:$O$469=D471&amp;"|"&amp;E471)*(HISTORIAL!$F$3:$F$469&gt;0)),HISTORIAL!$G$3:$G$469),0),1,0),0),0),0))</f>
        <v>0</v>
      </c>
    </row>
    <row r="472" spans="1:15" ht="14.1" customHeight="1">
      <c r="A472" s="37">
        <v>8</v>
      </c>
      <c r="B472" s="37" t="s">
        <v>279</v>
      </c>
      <c r="C472" s="37">
        <v>6</v>
      </c>
      <c r="D472" s="56" t="str">
        <f>MIERCOLES!$A$172</f>
        <v>Extension Cuadriceps</v>
      </c>
      <c r="E472" s="57" t="str">
        <f>MIERCOLES!$B$172</f>
        <v>Vasto Externo</v>
      </c>
      <c r="F472" s="37" t="str">
        <f>MIERCOLES!$C$172</f>
        <v>--</v>
      </c>
      <c r="G472" s="37" t="str">
        <f>IFERROR(LOOKUP(2,1/((HISTORIAL!$O$3:$O$470=D472&amp;"|"&amp;E472)*(HISTORIAL!$F$3:$F$470&lt;&gt;"")),HISTORIAL!$F$3:$F$470),"")</f>
        <v/>
      </c>
      <c r="H472" s="37" t="str">
        <f>IFERROR(LOOKUP(2,1/((HISTORIAL!$O$3:$O$470=D472&amp;"|"&amp;E472)*(HISTORIAL!$F$3:$F$470&lt;&gt;"")),HISTORIAL!$G$3:$G$470),"")</f>
        <v/>
      </c>
      <c r="I472" s="37" t="str">
        <f>IFERROR(LOOKUP(2,1/((HISTORIAL!$O$3:$O$470=D472&amp;"|"&amp;E472)*(HISTORIAL!$F$3:$F$470&lt;&gt;"")),HISTORIAL!$H$3:$H$470),"")</f>
        <v/>
      </c>
      <c r="J472" s="37" t="str">
        <f>IFERROR(LOOKUP(2,1/((HISTORIAL!$O$3:$O$470=D472&amp;"|"&amp;E472)*(HISTORIAL!$F$3:$F$470&lt;&gt;"")),HISTORIAL!$I$3:$I$470),"")</f>
        <v/>
      </c>
      <c r="K472" s="58" t="str">
        <f>IFERROR(IF(OR(G472="",N472="SIN"),"--",IF(N472="SUBIR_F",IF(F472="polea",IFERROR(INDEX(CONFIG!$B$25:$B$40,MATCH(G472,CONFIG!$B$25:$B$40,0)+2),IFERROR(INDEX(CONFIG!$B$25:$B$40,MATCH(G472,CONFIG!$B$25:$B$40,0)+1),G472)),G472+5),IF(OR(N472="SUBIR",N472="SUBIR_E"),IF(F472="polea",IFERROR(INDEX(CONFIG!$B$25:$B$40,MATCH(G472,CONFIG!$B$25:$B$40,0)+1),G472),G472+2.5),IF(N472="BAJAR",IF(F472="polea",IFERROR(INDEX(CONFIG!$B$25:$B$40,MAX(1,MATCH(G472,CONFIG!$B$25:$B$40,0)-1)),G472),MAX(0,G472-2.5)),G472)))),"--")</f>
        <v>--</v>
      </c>
      <c r="L472" s="59" t="str">
        <f>IFERROR(IF(N472="SIN","--",IF(N472="MANT",IF(H472="","--",H472+1),IFERROR(VLOOKUP(CONFIG!$E$2,CONFIG!$A$6:$E$8,2,0),"--"))),"--")</f>
        <v>--</v>
      </c>
      <c r="M472" s="59" t="str">
        <f>IFERROR(IF(N472="SIN","--",IF(CONFIG!$E$2="HIP",2,IF(CONFIG!$E$2="FUE",1,2))),"--")</f>
        <v>--</v>
      </c>
      <c r="N472" s="53" t="str">
        <f>IFERROR(IF(G472="","SIN",IF(O472=1,"SUBIR_E",IF(H472&lt;IFERROR(VLOOKUP(CONFIG!$E$2,CONFIG!$A$6:$E$8,2,0),6),"BAJAR",IF(H472+I472&gt;=IFERROR(VLOOKUP(CONFIG!$E$2,CONFIG!$A$6:$E$8,3,0),12),"SUBIR_F",IF(AND(H472&gt;=IFERROR(VLOOKUP(CONFIG!$E$2,CONFIG!$A$6:$E$8,2,0),6)+2,I472&gt;=2),"SUBIR",IF(I472&gt;IFERROR(VLOOKUP(CONFIG!$E$2,CONFIG!$A$6:$E$8,5,0),3),"SUBIR","MANT")))))),"SIN")</f>
        <v>SIN</v>
      </c>
      <c r="O472" s="55">
        <f>IF(COUNTIFS(HISTORIAL!$O$3:$O$470,D472&amp;"|"&amp;E472,HISTORIAL!$F$3:$F$470,"&gt;0")&lt;2,0,IF(COUNTIFS(HISTORIAL!$O$3:$O$470,D472&amp;"|"&amp;E472,HISTORIAL!$F$3:$F$470,IFERROR(LOOKUP(2,1/((HISTORIAL!$O$3:$O$470=D472&amp;"|"&amp;E472)*(HISTORIAL!$F$3:$F$470&gt;0)),HISTORIAL!$F$3:$F$470),0))&gt;=2,IF(IFERROR(LOOKUP(2,1/((HISTORIAL!$O$3:$O$470=D472&amp;"|"&amp;E472)*(HISTORIAL!$F$3:$F$470&gt;0)),HISTORIAL!$G$3:$G$470),0)&gt;0,IF(F472&gt;0,IF(G472&lt;=IFERROR(LOOKUP(2,1/((HISTORIAL!$O$3:$O$470=D472&amp;"|"&amp;E472)*(HISTORIAL!$F$3:$F$470&gt;0)),HISTORIAL!$G$3:$G$470),0),1,0),0),0),0))</f>
        <v>0</v>
      </c>
    </row>
    <row r="473" spans="1:15" ht="14.1" customHeight="1">
      <c r="A473" s="37">
        <v>8</v>
      </c>
      <c r="B473" s="37" t="s">
        <v>279</v>
      </c>
      <c r="C473" s="37">
        <v>7</v>
      </c>
      <c r="D473" s="56" t="str">
        <f>MIERCOLES!$A$173</f>
        <v>Extension Cuadriceps</v>
      </c>
      <c r="E473" s="57" t="str">
        <f>MIERCOLES!$B$173</f>
        <v>Vasto Interno</v>
      </c>
      <c r="F473" s="37" t="str">
        <f>MIERCOLES!$C$173</f>
        <v>--</v>
      </c>
      <c r="G473" s="37" t="str">
        <f>IFERROR(LOOKUP(2,1/((HISTORIAL!$O$3:$O$471=D473&amp;"|"&amp;E473)*(HISTORIAL!$F$3:$F$471&lt;&gt;"")),HISTORIAL!$F$3:$F$471),"")</f>
        <v/>
      </c>
      <c r="H473" s="37" t="str">
        <f>IFERROR(LOOKUP(2,1/((HISTORIAL!$O$3:$O$471=D473&amp;"|"&amp;E473)*(HISTORIAL!$F$3:$F$471&lt;&gt;"")),HISTORIAL!$G$3:$G$471),"")</f>
        <v/>
      </c>
      <c r="I473" s="37" t="str">
        <f>IFERROR(LOOKUP(2,1/((HISTORIAL!$O$3:$O$471=D473&amp;"|"&amp;E473)*(HISTORIAL!$F$3:$F$471&lt;&gt;"")),HISTORIAL!$H$3:$H$471),"")</f>
        <v/>
      </c>
      <c r="J473" s="37" t="str">
        <f>IFERROR(LOOKUP(2,1/((HISTORIAL!$O$3:$O$471=D473&amp;"|"&amp;E473)*(HISTORIAL!$F$3:$F$471&lt;&gt;"")),HISTORIAL!$I$3:$I$471),"")</f>
        <v/>
      </c>
      <c r="K473" s="58" t="str">
        <f>IFERROR(IF(OR(G473="",N473="SIN"),"--",IF(N473="SUBIR_F",IF(F473="polea",IFERROR(INDEX(CONFIG!$B$25:$B$40,MATCH(G473,CONFIG!$B$25:$B$40,0)+2),IFERROR(INDEX(CONFIG!$B$25:$B$40,MATCH(G473,CONFIG!$B$25:$B$40,0)+1),G473)),G473+5),IF(OR(N473="SUBIR",N473="SUBIR_E"),IF(F473="polea",IFERROR(INDEX(CONFIG!$B$25:$B$40,MATCH(G473,CONFIG!$B$25:$B$40,0)+1),G473),G473+2.5),IF(N473="BAJAR",IF(F473="polea",IFERROR(INDEX(CONFIG!$B$25:$B$40,MAX(1,MATCH(G473,CONFIG!$B$25:$B$40,0)-1)),G473),MAX(0,G473-2.5)),G473)))),"--")</f>
        <v>--</v>
      </c>
      <c r="L473" s="59" t="str">
        <f>IFERROR(IF(N473="SIN","--",IF(N473="MANT",IF(H473="","--",H473+1),IFERROR(VLOOKUP(CONFIG!$E$2,CONFIG!$A$6:$E$8,2,0),"--"))),"--")</f>
        <v>--</v>
      </c>
      <c r="M473" s="59" t="str">
        <f>IFERROR(IF(N473="SIN","--",IF(CONFIG!$E$2="HIP",2,IF(CONFIG!$E$2="FUE",1,2))),"--")</f>
        <v>--</v>
      </c>
      <c r="N473" s="53" t="str">
        <f>IFERROR(IF(G473="","SIN",IF(O473=1,"SUBIR_E",IF(H473&lt;IFERROR(VLOOKUP(CONFIG!$E$2,CONFIG!$A$6:$E$8,2,0),6),"BAJAR",IF(H473+I473&gt;=IFERROR(VLOOKUP(CONFIG!$E$2,CONFIG!$A$6:$E$8,3,0),12),"SUBIR_F",IF(AND(H473&gt;=IFERROR(VLOOKUP(CONFIG!$E$2,CONFIG!$A$6:$E$8,2,0),6)+2,I473&gt;=2),"SUBIR",IF(I473&gt;IFERROR(VLOOKUP(CONFIG!$E$2,CONFIG!$A$6:$E$8,5,0),3),"SUBIR","MANT")))))),"SIN")</f>
        <v>SIN</v>
      </c>
      <c r="O473" s="55">
        <f>IF(COUNTIFS(HISTORIAL!$O$3:$O$471,D473&amp;"|"&amp;E473,HISTORIAL!$F$3:$F$471,"&gt;0")&lt;2,0,IF(COUNTIFS(HISTORIAL!$O$3:$O$471,D473&amp;"|"&amp;E473,HISTORIAL!$F$3:$F$471,IFERROR(LOOKUP(2,1/((HISTORIAL!$O$3:$O$471=D473&amp;"|"&amp;E473)*(HISTORIAL!$F$3:$F$471&gt;0)),HISTORIAL!$F$3:$F$471),0))&gt;=2,IF(IFERROR(LOOKUP(2,1/((HISTORIAL!$O$3:$O$471=D473&amp;"|"&amp;E473)*(HISTORIAL!$F$3:$F$471&gt;0)),HISTORIAL!$G$3:$G$471),0)&gt;0,IF(F473&gt;0,IF(G473&lt;=IFERROR(LOOKUP(2,1/((HISTORIAL!$O$3:$O$471=D473&amp;"|"&amp;E473)*(HISTORIAL!$F$3:$F$471&gt;0)),HISTORIAL!$G$3:$G$471),0),1,0),0),0),0))</f>
        <v>0</v>
      </c>
    </row>
    <row r="474" spans="1:15" ht="14.1" customHeight="1">
      <c r="A474" s="37">
        <v>8</v>
      </c>
      <c r="B474" s="37" t="s">
        <v>279</v>
      </c>
      <c r="C474" s="37">
        <v>8</v>
      </c>
      <c r="D474" s="56" t="str">
        <f>MIERCOLES!$A$175</f>
        <v>Elevacion Gemelo</v>
      </c>
      <c r="E474" s="57" t="str">
        <f>MIERCOLES!$B$175</f>
        <v>Sentado</v>
      </c>
      <c r="F474" s="37" t="str">
        <f>MIERCOLES!$C$175</f>
        <v>disco</v>
      </c>
      <c r="G474" s="37" t="str">
        <f>IFERROR(LOOKUP(2,1/((HISTORIAL!$O$3:$O$472=D474&amp;"|"&amp;E474)*(HISTORIAL!$F$3:$F$472&lt;&gt;"")),HISTORIAL!$F$3:$F$472),"")</f>
        <v/>
      </c>
      <c r="H474" s="37" t="str">
        <f>IFERROR(LOOKUP(2,1/((HISTORIAL!$O$3:$O$472=D474&amp;"|"&amp;E474)*(HISTORIAL!$F$3:$F$472&lt;&gt;"")),HISTORIAL!$G$3:$G$472),"")</f>
        <v/>
      </c>
      <c r="I474" s="37" t="str">
        <f>IFERROR(LOOKUP(2,1/((HISTORIAL!$O$3:$O$472=D474&amp;"|"&amp;E474)*(HISTORIAL!$F$3:$F$472&lt;&gt;"")),HISTORIAL!$H$3:$H$472),"")</f>
        <v/>
      </c>
      <c r="J474" s="37" t="str">
        <f>IFERROR(LOOKUP(2,1/((HISTORIAL!$O$3:$O$472=D474&amp;"|"&amp;E474)*(HISTORIAL!$F$3:$F$472&lt;&gt;"")),HISTORIAL!$I$3:$I$472),"")</f>
        <v/>
      </c>
      <c r="K474" s="58" t="str">
        <f>IFERROR(IF(OR(G474="",N474="SIN"),"--",IF(N474="SUBIR_F",IF(F474="polea",IFERROR(INDEX(CONFIG!$B$25:$B$40,MATCH(G474,CONFIG!$B$25:$B$40,0)+2),IFERROR(INDEX(CONFIG!$B$25:$B$40,MATCH(G474,CONFIG!$B$25:$B$40,0)+1),G474)),G474+5),IF(OR(N474="SUBIR",N474="SUBIR_E"),IF(F474="polea",IFERROR(INDEX(CONFIG!$B$25:$B$40,MATCH(G474,CONFIG!$B$25:$B$40,0)+1),G474),G474+2.5),IF(N474="BAJAR",IF(F474="polea",IFERROR(INDEX(CONFIG!$B$25:$B$40,MAX(1,MATCH(G474,CONFIG!$B$25:$B$40,0)-1)),G474),MAX(0,G474-2.5)),G474)))),"--")</f>
        <v>--</v>
      </c>
      <c r="L474" s="59" t="str">
        <f>IFERROR(IF(N474="SIN","--",IF(N474="MANT",IF(H474="","--",H474+1),IFERROR(VLOOKUP(CONFIG!$E$2,CONFIG!$A$6:$E$8,2,0),"--"))),"--")</f>
        <v>--</v>
      </c>
      <c r="M474" s="59" t="str">
        <f>IFERROR(IF(N474="SIN","--",IF(CONFIG!$E$2="HIP",2,IF(CONFIG!$E$2="FUE",1,2))),"--")</f>
        <v>--</v>
      </c>
      <c r="N474" s="53" t="str">
        <f>IFERROR(IF(G474="","SIN",IF(O474=1,"SUBIR_E",IF(H474&lt;IFERROR(VLOOKUP(CONFIG!$E$2,CONFIG!$A$6:$E$8,2,0),6),"BAJAR",IF(H474+I474&gt;=IFERROR(VLOOKUP(CONFIG!$E$2,CONFIG!$A$6:$E$8,3,0),12),"SUBIR_F",IF(AND(H474&gt;=IFERROR(VLOOKUP(CONFIG!$E$2,CONFIG!$A$6:$E$8,2,0),6)+2,I474&gt;=2),"SUBIR",IF(I474&gt;IFERROR(VLOOKUP(CONFIG!$E$2,CONFIG!$A$6:$E$8,5,0),3),"SUBIR","MANT")))))),"SIN")</f>
        <v>SIN</v>
      </c>
      <c r="O474" s="55">
        <f>IF(COUNTIFS(HISTORIAL!$O$3:$O$472,D474&amp;"|"&amp;E474,HISTORIAL!$F$3:$F$472,"&gt;0")&lt;2,0,IF(COUNTIFS(HISTORIAL!$O$3:$O$472,D474&amp;"|"&amp;E474,HISTORIAL!$F$3:$F$472,IFERROR(LOOKUP(2,1/((HISTORIAL!$O$3:$O$472=D474&amp;"|"&amp;E474)*(HISTORIAL!$F$3:$F$472&gt;0)),HISTORIAL!$F$3:$F$472),0))&gt;=2,IF(IFERROR(LOOKUP(2,1/((HISTORIAL!$O$3:$O$472=D474&amp;"|"&amp;E474)*(HISTORIAL!$F$3:$F$472&gt;0)),HISTORIAL!$G$3:$G$472),0)&gt;0,IF(F474&gt;0,IF(G474&lt;=IFERROR(LOOKUP(2,1/((HISTORIAL!$O$3:$O$472=D474&amp;"|"&amp;E474)*(HISTORIAL!$F$3:$F$472&gt;0)),HISTORIAL!$G$3:$G$472),0),1,0),0),0),0))</f>
        <v>0</v>
      </c>
    </row>
    <row r="475" spans="1:15" ht="14.1" customHeight="1">
      <c r="A475" s="37">
        <v>8</v>
      </c>
      <c r="B475" s="37" t="s">
        <v>279</v>
      </c>
      <c r="C475" s="37">
        <v>9</v>
      </c>
      <c r="D475" s="56" t="str">
        <f>MIERCOLES!$A$176</f>
        <v>Elevacion Gemelo</v>
      </c>
      <c r="E475" s="57" t="str">
        <f>MIERCOLES!$B$176</f>
        <v>De Pie</v>
      </c>
      <c r="F475" s="37" t="str">
        <f>MIERCOLES!$C$176</f>
        <v>disco</v>
      </c>
      <c r="G475" s="37" t="str">
        <f>IFERROR(LOOKUP(2,1/((HISTORIAL!$O$3:$O$473=D475&amp;"|"&amp;E475)*(HISTORIAL!$F$3:$F$473&lt;&gt;"")),HISTORIAL!$F$3:$F$473),"")</f>
        <v/>
      </c>
      <c r="H475" s="37" t="str">
        <f>IFERROR(LOOKUP(2,1/((HISTORIAL!$O$3:$O$473=D475&amp;"|"&amp;E475)*(HISTORIAL!$F$3:$F$473&lt;&gt;"")),HISTORIAL!$G$3:$G$473),"")</f>
        <v/>
      </c>
      <c r="I475" s="37" t="str">
        <f>IFERROR(LOOKUP(2,1/((HISTORIAL!$O$3:$O$473=D475&amp;"|"&amp;E475)*(HISTORIAL!$F$3:$F$473&lt;&gt;"")),HISTORIAL!$H$3:$H$473),"")</f>
        <v/>
      </c>
      <c r="J475" s="37" t="str">
        <f>IFERROR(LOOKUP(2,1/((HISTORIAL!$O$3:$O$473=D475&amp;"|"&amp;E475)*(HISTORIAL!$F$3:$F$473&lt;&gt;"")),HISTORIAL!$I$3:$I$473),"")</f>
        <v/>
      </c>
      <c r="K475" s="58" t="str">
        <f>IFERROR(IF(OR(G475="",N475="SIN"),"--",IF(N475="SUBIR_F",IF(F475="polea",IFERROR(INDEX(CONFIG!$B$25:$B$40,MATCH(G475,CONFIG!$B$25:$B$40,0)+2),IFERROR(INDEX(CONFIG!$B$25:$B$40,MATCH(G475,CONFIG!$B$25:$B$40,0)+1),G475)),G475+5),IF(OR(N475="SUBIR",N475="SUBIR_E"),IF(F475="polea",IFERROR(INDEX(CONFIG!$B$25:$B$40,MATCH(G475,CONFIG!$B$25:$B$40,0)+1),G475),G475+2.5),IF(N475="BAJAR",IF(F475="polea",IFERROR(INDEX(CONFIG!$B$25:$B$40,MAX(1,MATCH(G475,CONFIG!$B$25:$B$40,0)-1)),G475),MAX(0,G475-2.5)),G475)))),"--")</f>
        <v>--</v>
      </c>
      <c r="L475" s="59" t="str">
        <f>IFERROR(IF(N475="SIN","--",IF(N475="MANT",IF(H475="","--",H475+1),IFERROR(VLOOKUP(CONFIG!$E$2,CONFIG!$A$6:$E$8,2,0),"--"))),"--")</f>
        <v>--</v>
      </c>
      <c r="M475" s="59" t="str">
        <f>IFERROR(IF(N475="SIN","--",IF(CONFIG!$E$2="HIP",2,IF(CONFIG!$E$2="FUE",1,2))),"--")</f>
        <v>--</v>
      </c>
      <c r="N475" s="53" t="str">
        <f>IFERROR(IF(G475="","SIN",IF(O475=1,"SUBIR_E",IF(H475&lt;IFERROR(VLOOKUP(CONFIG!$E$2,CONFIG!$A$6:$E$8,2,0),6),"BAJAR",IF(H475+I475&gt;=IFERROR(VLOOKUP(CONFIG!$E$2,CONFIG!$A$6:$E$8,3,0),12),"SUBIR_F",IF(AND(H475&gt;=IFERROR(VLOOKUP(CONFIG!$E$2,CONFIG!$A$6:$E$8,2,0),6)+2,I475&gt;=2),"SUBIR",IF(I475&gt;IFERROR(VLOOKUP(CONFIG!$E$2,CONFIG!$A$6:$E$8,5,0),3),"SUBIR","MANT")))))),"SIN")</f>
        <v>SIN</v>
      </c>
      <c r="O475" s="55">
        <f>IF(COUNTIFS(HISTORIAL!$O$3:$O$473,D475&amp;"|"&amp;E475,HISTORIAL!$F$3:$F$473,"&gt;0")&lt;2,0,IF(COUNTIFS(HISTORIAL!$O$3:$O$473,D475&amp;"|"&amp;E475,HISTORIAL!$F$3:$F$473,IFERROR(LOOKUP(2,1/((HISTORIAL!$O$3:$O$473=D475&amp;"|"&amp;E475)*(HISTORIAL!$F$3:$F$473&gt;0)),HISTORIAL!$F$3:$F$473),0))&gt;=2,IF(IFERROR(LOOKUP(2,1/((HISTORIAL!$O$3:$O$473=D475&amp;"|"&amp;E475)*(HISTORIAL!$F$3:$F$473&gt;0)),HISTORIAL!$G$3:$G$473),0)&gt;0,IF(F475&gt;0,IF(G475&lt;=IFERROR(LOOKUP(2,1/((HISTORIAL!$O$3:$O$473=D475&amp;"|"&amp;E475)*(HISTORIAL!$F$3:$F$473&gt;0)),HISTORIAL!$G$3:$G$473),0),1,0),0),0),0))</f>
        <v>0</v>
      </c>
    </row>
    <row r="476" spans="1:15" ht="14.1" customHeight="1">
      <c r="A476" s="37">
        <v>8</v>
      </c>
      <c r="B476" s="37" t="s">
        <v>279</v>
      </c>
      <c r="C476" s="37">
        <v>10</v>
      </c>
      <c r="D476" s="56" t="str">
        <f>MIERCOLES!$A$178</f>
        <v>Hiperextension</v>
      </c>
      <c r="E476" s="57" t="str">
        <f>MIERCOLES!$B$178</f>
        <v>Banco Romano</v>
      </c>
      <c r="F476" s="37" t="str">
        <f>MIERCOLES!$C$178</f>
        <v>peso_corporal</v>
      </c>
      <c r="G476" s="37" t="str">
        <f>IFERROR(LOOKUP(2,1/((HISTORIAL!$O$3:$O$474=D476&amp;"|"&amp;E476)*(HISTORIAL!$F$3:$F$474&lt;&gt;"")),HISTORIAL!$F$3:$F$474),"")</f>
        <v/>
      </c>
      <c r="H476" s="37" t="str">
        <f>IFERROR(LOOKUP(2,1/((HISTORIAL!$O$3:$O$474=D476&amp;"|"&amp;E476)*(HISTORIAL!$F$3:$F$474&lt;&gt;"")),HISTORIAL!$G$3:$G$474),"")</f>
        <v/>
      </c>
      <c r="I476" s="37" t="str">
        <f>IFERROR(LOOKUP(2,1/((HISTORIAL!$O$3:$O$474=D476&amp;"|"&amp;E476)*(HISTORIAL!$F$3:$F$474&lt;&gt;"")),HISTORIAL!$H$3:$H$474),"")</f>
        <v/>
      </c>
      <c r="J476" s="37" t="str">
        <f>IFERROR(LOOKUP(2,1/((HISTORIAL!$O$3:$O$474=D476&amp;"|"&amp;E476)*(HISTORIAL!$F$3:$F$474&lt;&gt;"")),HISTORIAL!$I$3:$I$474),"")</f>
        <v/>
      </c>
      <c r="K476" s="58" t="str">
        <f>IFERROR(IF(OR(G476="",N476="SIN"),"--",IF(N476="SUBIR_F",IF(F476="polea",IFERROR(INDEX(CONFIG!$B$25:$B$40,MATCH(G476,CONFIG!$B$25:$B$40,0)+2),IFERROR(INDEX(CONFIG!$B$25:$B$40,MATCH(G476,CONFIG!$B$25:$B$40,0)+1),G476)),G476+5),IF(OR(N476="SUBIR",N476="SUBIR_E"),IF(F476="polea",IFERROR(INDEX(CONFIG!$B$25:$B$40,MATCH(G476,CONFIG!$B$25:$B$40,0)+1),G476),G476+2.5),IF(N476="BAJAR",IF(F476="polea",IFERROR(INDEX(CONFIG!$B$25:$B$40,MAX(1,MATCH(G476,CONFIG!$B$25:$B$40,0)-1)),G476),MAX(0,G476-2.5)),G476)))),"--")</f>
        <v>--</v>
      </c>
      <c r="L476" s="59" t="str">
        <f>IFERROR(IF(N476="SIN","--",IF(N476="MANT",IF(H476="","--",H476+1),IFERROR(VLOOKUP(CONFIG!$E$2,CONFIG!$A$6:$E$8,2,0),"--"))),"--")</f>
        <v>--</v>
      </c>
      <c r="M476" s="59" t="str">
        <f>IFERROR(IF(N476="SIN","--",IF(CONFIG!$E$2="HIP",2,IF(CONFIG!$E$2="FUE",1,2))),"--")</f>
        <v>--</v>
      </c>
      <c r="N476" s="53" t="str">
        <f>IFERROR(IF(G476="","SIN",IF(O476=1,"SUBIR_E",IF(H476&lt;IFERROR(VLOOKUP(CONFIG!$E$2,CONFIG!$A$6:$E$8,2,0),6),"BAJAR",IF(H476+I476&gt;=IFERROR(VLOOKUP(CONFIG!$E$2,CONFIG!$A$6:$E$8,3,0),12),"SUBIR_F",IF(AND(H476&gt;=IFERROR(VLOOKUP(CONFIG!$E$2,CONFIG!$A$6:$E$8,2,0),6)+2,I476&gt;=2),"SUBIR",IF(I476&gt;IFERROR(VLOOKUP(CONFIG!$E$2,CONFIG!$A$6:$E$8,5,0),3),"SUBIR","MANT")))))),"SIN")</f>
        <v>SIN</v>
      </c>
      <c r="O476" s="55">
        <f>IF(COUNTIFS(HISTORIAL!$O$3:$O$474,D476&amp;"|"&amp;E476,HISTORIAL!$F$3:$F$474,"&gt;0")&lt;2,0,IF(COUNTIFS(HISTORIAL!$O$3:$O$474,D476&amp;"|"&amp;E476,HISTORIAL!$F$3:$F$474,IFERROR(LOOKUP(2,1/((HISTORIAL!$O$3:$O$474=D476&amp;"|"&amp;E476)*(HISTORIAL!$F$3:$F$474&gt;0)),HISTORIAL!$F$3:$F$474),0))&gt;=2,IF(IFERROR(LOOKUP(2,1/((HISTORIAL!$O$3:$O$474=D476&amp;"|"&amp;E476)*(HISTORIAL!$F$3:$F$474&gt;0)),HISTORIAL!$G$3:$G$474),0)&gt;0,IF(F476&gt;0,IF(G476&lt;=IFERROR(LOOKUP(2,1/((HISTORIAL!$O$3:$O$474=D476&amp;"|"&amp;E476)*(HISTORIAL!$F$3:$F$474&gt;0)),HISTORIAL!$G$3:$G$474),0),1,0),0),0),0))</f>
        <v>0</v>
      </c>
    </row>
    <row r="477" spans="1:15" ht="14.1" customHeight="1">
      <c r="A477" s="37">
        <v>8</v>
      </c>
      <c r="B477" s="37" t="s">
        <v>279</v>
      </c>
      <c r="C477" s="37">
        <v>11</v>
      </c>
      <c r="D477" s="56" t="str">
        <f>MIERCOLES!$A$179</f>
        <v>Peso Muerto Parcial</v>
      </c>
      <c r="E477" s="57" t="str">
        <f>MIERCOLES!$B$179</f>
        <v>Barra</v>
      </c>
      <c r="F477" s="37" t="str">
        <f>MIERCOLES!$C$179</f>
        <v>disco</v>
      </c>
      <c r="G477" s="37" t="str">
        <f>IFERROR(LOOKUP(2,1/((HISTORIAL!$O$3:$O$475=D477&amp;"|"&amp;E477)*(HISTORIAL!$F$3:$F$475&lt;&gt;"")),HISTORIAL!$F$3:$F$475),"")</f>
        <v/>
      </c>
      <c r="H477" s="37" t="str">
        <f>IFERROR(LOOKUP(2,1/((HISTORIAL!$O$3:$O$475=D477&amp;"|"&amp;E477)*(HISTORIAL!$F$3:$F$475&lt;&gt;"")),HISTORIAL!$G$3:$G$475),"")</f>
        <v/>
      </c>
      <c r="I477" s="37" t="str">
        <f>IFERROR(LOOKUP(2,1/((HISTORIAL!$O$3:$O$475=D477&amp;"|"&amp;E477)*(HISTORIAL!$F$3:$F$475&lt;&gt;"")),HISTORIAL!$H$3:$H$475),"")</f>
        <v/>
      </c>
      <c r="J477" s="37" t="str">
        <f>IFERROR(LOOKUP(2,1/((HISTORIAL!$O$3:$O$475=D477&amp;"|"&amp;E477)*(HISTORIAL!$F$3:$F$475&lt;&gt;"")),HISTORIAL!$I$3:$I$475),"")</f>
        <v/>
      </c>
      <c r="K477" s="58" t="str">
        <f>IFERROR(IF(OR(G477="",N477="SIN"),"--",IF(N477="SUBIR_F",IF(F477="polea",IFERROR(INDEX(CONFIG!$B$25:$B$40,MATCH(G477,CONFIG!$B$25:$B$40,0)+2),IFERROR(INDEX(CONFIG!$B$25:$B$40,MATCH(G477,CONFIG!$B$25:$B$40,0)+1),G477)),G477+5),IF(OR(N477="SUBIR",N477="SUBIR_E"),IF(F477="polea",IFERROR(INDEX(CONFIG!$B$25:$B$40,MATCH(G477,CONFIG!$B$25:$B$40,0)+1),G477),G477+2.5),IF(N477="BAJAR",IF(F477="polea",IFERROR(INDEX(CONFIG!$B$25:$B$40,MAX(1,MATCH(G477,CONFIG!$B$25:$B$40,0)-1)),G477),MAX(0,G477-2.5)),G477)))),"--")</f>
        <v>--</v>
      </c>
      <c r="L477" s="59" t="str">
        <f>IFERROR(IF(N477="SIN","--",IF(N477="MANT",IF(H477="","--",H477+1),IFERROR(VLOOKUP(CONFIG!$E$2,CONFIG!$A$6:$E$8,2,0),"--"))),"--")</f>
        <v>--</v>
      </c>
      <c r="M477" s="59" t="str">
        <f>IFERROR(IF(N477="SIN","--",IF(CONFIG!$E$2="HIP",2,IF(CONFIG!$E$2="FUE",1,2))),"--")</f>
        <v>--</v>
      </c>
      <c r="N477" s="53" t="str">
        <f>IFERROR(IF(G477="","SIN",IF(O477=1,"SUBIR_E",IF(H477&lt;IFERROR(VLOOKUP(CONFIG!$E$2,CONFIG!$A$6:$E$8,2,0),6),"BAJAR",IF(H477+I477&gt;=IFERROR(VLOOKUP(CONFIG!$E$2,CONFIG!$A$6:$E$8,3,0),12),"SUBIR_F",IF(AND(H477&gt;=IFERROR(VLOOKUP(CONFIG!$E$2,CONFIG!$A$6:$E$8,2,0),6)+2,I477&gt;=2),"SUBIR",IF(I477&gt;IFERROR(VLOOKUP(CONFIG!$E$2,CONFIG!$A$6:$E$8,5,0),3),"SUBIR","MANT")))))),"SIN")</f>
        <v>SIN</v>
      </c>
      <c r="O477" s="55">
        <f>IF(COUNTIFS(HISTORIAL!$O$3:$O$475,D477&amp;"|"&amp;E477,HISTORIAL!$F$3:$F$475,"&gt;0")&lt;2,0,IF(COUNTIFS(HISTORIAL!$O$3:$O$475,D477&amp;"|"&amp;E477,HISTORIAL!$F$3:$F$475,IFERROR(LOOKUP(2,1/((HISTORIAL!$O$3:$O$475=D477&amp;"|"&amp;E477)*(HISTORIAL!$F$3:$F$475&gt;0)),HISTORIAL!$F$3:$F$475),0))&gt;=2,IF(IFERROR(LOOKUP(2,1/((HISTORIAL!$O$3:$O$475=D477&amp;"|"&amp;E477)*(HISTORIAL!$F$3:$F$475&gt;0)),HISTORIAL!$G$3:$G$475),0)&gt;0,IF(F477&gt;0,IF(G477&lt;=IFERROR(LOOKUP(2,1/((HISTORIAL!$O$3:$O$475=D477&amp;"|"&amp;E477)*(HISTORIAL!$F$3:$F$475&gt;0)),HISTORIAL!$G$3:$G$475),0),1,0),0),0),0))</f>
        <v>0</v>
      </c>
    </row>
    <row r="478" spans="1:15" ht="14.1" customHeight="1">
      <c r="A478" s="37">
        <v>8</v>
      </c>
      <c r="B478" s="37" t="s">
        <v>279</v>
      </c>
      <c r="C478" s="37">
        <v>12</v>
      </c>
      <c r="D478" s="56" t="str">
        <f>MIERCOLES!$A$181</f>
        <v>Crunch</v>
      </c>
      <c r="E478" s="57" t="str">
        <f>MIERCOLES!$B$181</f>
        <v>Polea</v>
      </c>
      <c r="F478" s="37" t="str">
        <f>MIERCOLES!$C$181</f>
        <v>polea</v>
      </c>
      <c r="G478" s="37" t="str">
        <f>IFERROR(LOOKUP(2,1/((HISTORIAL!$O$3:$O$476=D478&amp;"|"&amp;E478)*(HISTORIAL!$F$3:$F$476&lt;&gt;"")),HISTORIAL!$F$3:$F$476),"")</f>
        <v/>
      </c>
      <c r="H478" s="37" t="str">
        <f>IFERROR(LOOKUP(2,1/((HISTORIAL!$O$3:$O$476=D478&amp;"|"&amp;E478)*(HISTORIAL!$F$3:$F$476&lt;&gt;"")),HISTORIAL!$G$3:$G$476),"")</f>
        <v/>
      </c>
      <c r="I478" s="37" t="str">
        <f>IFERROR(LOOKUP(2,1/((HISTORIAL!$O$3:$O$476=D478&amp;"|"&amp;E478)*(HISTORIAL!$F$3:$F$476&lt;&gt;"")),HISTORIAL!$H$3:$H$476),"")</f>
        <v/>
      </c>
      <c r="J478" s="37" t="str">
        <f>IFERROR(LOOKUP(2,1/((HISTORIAL!$O$3:$O$476=D478&amp;"|"&amp;E478)*(HISTORIAL!$F$3:$F$476&lt;&gt;"")),HISTORIAL!$I$3:$I$476),"")</f>
        <v/>
      </c>
      <c r="K478" s="58" t="str">
        <f>IFERROR(IF(OR(G478="",N478="SIN"),"--",IF(N478="SUBIR_F",IF(F478="polea",IFERROR(INDEX(CONFIG!$B$25:$B$40,MATCH(G478,CONFIG!$B$25:$B$40,0)+2),IFERROR(INDEX(CONFIG!$B$25:$B$40,MATCH(G478,CONFIG!$B$25:$B$40,0)+1),G478)),G478+5),IF(OR(N478="SUBIR",N478="SUBIR_E"),IF(F478="polea",IFERROR(INDEX(CONFIG!$B$25:$B$40,MATCH(G478,CONFIG!$B$25:$B$40,0)+1),G478),G478+2.5),IF(N478="BAJAR",IF(F478="polea",IFERROR(INDEX(CONFIG!$B$25:$B$40,MAX(1,MATCH(G478,CONFIG!$B$25:$B$40,0)-1)),G478),MAX(0,G478-2.5)),G478)))),"--")</f>
        <v>--</v>
      </c>
      <c r="L478" s="59" t="str">
        <f>IFERROR(IF(N478="SIN","--",IF(N478="MANT",IF(H478="","--",H478+1),IFERROR(VLOOKUP(CONFIG!$E$2,CONFIG!$A$6:$E$8,2,0),"--"))),"--")</f>
        <v>--</v>
      </c>
      <c r="M478" s="59" t="str">
        <f>IFERROR(IF(N478="SIN","--",IF(CONFIG!$E$2="HIP",2,IF(CONFIG!$E$2="FUE",1,2))),"--")</f>
        <v>--</v>
      </c>
      <c r="N478" s="53" t="str">
        <f>IFERROR(IF(G478="","SIN",IF(O478=1,"SUBIR_E",IF(H478&lt;IFERROR(VLOOKUP(CONFIG!$E$2,CONFIG!$A$6:$E$8,2,0),6),"BAJAR",IF(H478+I478&gt;=IFERROR(VLOOKUP(CONFIG!$E$2,CONFIG!$A$6:$E$8,3,0),12),"SUBIR_F",IF(AND(H478&gt;=IFERROR(VLOOKUP(CONFIG!$E$2,CONFIG!$A$6:$E$8,2,0),6)+2,I478&gt;=2),"SUBIR",IF(I478&gt;IFERROR(VLOOKUP(CONFIG!$E$2,CONFIG!$A$6:$E$8,5,0),3),"SUBIR","MANT")))))),"SIN")</f>
        <v>SIN</v>
      </c>
      <c r="O478" s="55">
        <f>IF(COUNTIFS(HISTORIAL!$O$3:$O$476,D478&amp;"|"&amp;E478,HISTORIAL!$F$3:$F$476,"&gt;0")&lt;2,0,IF(COUNTIFS(HISTORIAL!$O$3:$O$476,D478&amp;"|"&amp;E478,HISTORIAL!$F$3:$F$476,IFERROR(LOOKUP(2,1/((HISTORIAL!$O$3:$O$476=D478&amp;"|"&amp;E478)*(HISTORIAL!$F$3:$F$476&gt;0)),HISTORIAL!$F$3:$F$476),0))&gt;=2,IF(IFERROR(LOOKUP(2,1/((HISTORIAL!$O$3:$O$476=D478&amp;"|"&amp;E478)*(HISTORIAL!$F$3:$F$476&gt;0)),HISTORIAL!$G$3:$G$476),0)&gt;0,IF(F478&gt;0,IF(G478&lt;=IFERROR(LOOKUP(2,1/((HISTORIAL!$O$3:$O$476=D478&amp;"|"&amp;E478)*(HISTORIAL!$F$3:$F$476&gt;0)),HISTORIAL!$G$3:$G$476),0),1,0),0),0),0))</f>
        <v>0</v>
      </c>
    </row>
    <row r="479" spans="1:15" ht="14.1" customHeight="1">
      <c r="A479" s="37">
        <v>8</v>
      </c>
      <c r="B479" s="37" t="s">
        <v>279</v>
      </c>
      <c r="C479" s="37">
        <v>13</v>
      </c>
      <c r="D479" s="56" t="str">
        <f>MIERCOLES!$A$182</f>
        <v>Plancha</v>
      </c>
      <c r="E479" s="57" t="str">
        <f>MIERCOLES!$B$182</f>
        <v>Abdominal</v>
      </c>
      <c r="F479" s="37" t="str">
        <f>MIERCOLES!$C$182</f>
        <v>--</v>
      </c>
      <c r="G479" s="37" t="str">
        <f>IFERROR(LOOKUP(2,1/((HISTORIAL!$O$3:$O$477=D479&amp;"|"&amp;E479)*(HISTORIAL!$F$3:$F$477&lt;&gt;"")),HISTORIAL!$F$3:$F$477),"")</f>
        <v/>
      </c>
      <c r="H479" s="37" t="str">
        <f>IFERROR(LOOKUP(2,1/((HISTORIAL!$O$3:$O$477=D479&amp;"|"&amp;E479)*(HISTORIAL!$F$3:$F$477&lt;&gt;"")),HISTORIAL!$G$3:$G$477),"")</f>
        <v/>
      </c>
      <c r="I479" s="37" t="str">
        <f>IFERROR(LOOKUP(2,1/((HISTORIAL!$O$3:$O$477=D479&amp;"|"&amp;E479)*(HISTORIAL!$F$3:$F$477&lt;&gt;"")),HISTORIAL!$H$3:$H$477),"")</f>
        <v/>
      </c>
      <c r="J479" s="37" t="str">
        <f>IFERROR(LOOKUP(2,1/((HISTORIAL!$O$3:$O$477=D479&amp;"|"&amp;E479)*(HISTORIAL!$F$3:$F$477&lt;&gt;"")),HISTORIAL!$I$3:$I$477),"")</f>
        <v/>
      </c>
      <c r="K479" s="58" t="str">
        <f>IFERROR(IF(OR(G479="",N479="SIN"),"--",IF(N479="SUBIR_F",IF(F479="polea",IFERROR(INDEX(CONFIG!$B$25:$B$40,MATCH(G479,CONFIG!$B$25:$B$40,0)+2),IFERROR(INDEX(CONFIG!$B$25:$B$40,MATCH(G479,CONFIG!$B$25:$B$40,0)+1),G479)),G479+5),IF(OR(N479="SUBIR",N479="SUBIR_E"),IF(F479="polea",IFERROR(INDEX(CONFIG!$B$25:$B$40,MATCH(G479,CONFIG!$B$25:$B$40,0)+1),G479),G479+2.5),IF(N479="BAJAR",IF(F479="polea",IFERROR(INDEX(CONFIG!$B$25:$B$40,MAX(1,MATCH(G479,CONFIG!$B$25:$B$40,0)-1)),G479),MAX(0,G479-2.5)),G479)))),"--")</f>
        <v>--</v>
      </c>
      <c r="L479" s="59" t="str">
        <f>IFERROR(IF(N479="SIN","--",IF(N479="MANT",IF(H479="","--",H479+1),IFERROR(VLOOKUP(CONFIG!$E$2,CONFIG!$A$6:$E$8,2,0),"--"))),"--")</f>
        <v>--</v>
      </c>
      <c r="M479" s="59" t="str">
        <f>IFERROR(IF(N479="SIN","--",IF(CONFIG!$E$2="HIP",2,IF(CONFIG!$E$2="FUE",1,2))),"--")</f>
        <v>--</v>
      </c>
      <c r="N479" s="53" t="str">
        <f>IFERROR(IF(G479="","SIN",IF(O479=1,"SUBIR_E",IF(H479&lt;IFERROR(VLOOKUP(CONFIG!$E$2,CONFIG!$A$6:$E$8,2,0),6),"BAJAR",IF(H479+I479&gt;=IFERROR(VLOOKUP(CONFIG!$E$2,CONFIG!$A$6:$E$8,3,0),12),"SUBIR_F",IF(AND(H479&gt;=IFERROR(VLOOKUP(CONFIG!$E$2,CONFIG!$A$6:$E$8,2,0),6)+2,I479&gt;=2),"SUBIR",IF(I479&gt;IFERROR(VLOOKUP(CONFIG!$E$2,CONFIG!$A$6:$E$8,5,0),3),"SUBIR","MANT")))))),"SIN")</f>
        <v>SIN</v>
      </c>
      <c r="O479" s="55">
        <f>IF(COUNTIFS(HISTORIAL!$O$3:$O$477,D479&amp;"|"&amp;E479,HISTORIAL!$F$3:$F$477,"&gt;0")&lt;2,0,IF(COUNTIFS(HISTORIAL!$O$3:$O$477,D479&amp;"|"&amp;E479,HISTORIAL!$F$3:$F$477,IFERROR(LOOKUP(2,1/((HISTORIAL!$O$3:$O$477=D479&amp;"|"&amp;E479)*(HISTORIAL!$F$3:$F$477&gt;0)),HISTORIAL!$F$3:$F$477),0))&gt;=2,IF(IFERROR(LOOKUP(2,1/((HISTORIAL!$O$3:$O$477=D479&amp;"|"&amp;E479)*(HISTORIAL!$F$3:$F$477&gt;0)),HISTORIAL!$G$3:$G$477),0)&gt;0,IF(F479&gt;0,IF(G479&lt;=IFERROR(LOOKUP(2,1/((HISTORIAL!$O$3:$O$477=D479&amp;"|"&amp;E479)*(HISTORIAL!$F$3:$F$477&gt;0)),HISTORIAL!$G$3:$G$477),0),1,0),0),0),0))</f>
        <v>0</v>
      </c>
    </row>
    <row r="480" spans="1:15" ht="14.1" customHeight="1">
      <c r="A480" s="37">
        <v>8</v>
      </c>
      <c r="B480" s="37" t="s">
        <v>279</v>
      </c>
      <c r="C480" s="37">
        <v>14</v>
      </c>
      <c r="D480" s="56" t="str">
        <f>MIERCOLES!$A$183</f>
        <v>Rueda Abdominal</v>
      </c>
      <c r="E480" s="57" t="str">
        <f>MIERCOLES!$B$183</f>
        <v>Ab Wheel</v>
      </c>
      <c r="F480" s="37" t="str">
        <f>MIERCOLES!$C$183</f>
        <v>--</v>
      </c>
      <c r="G480" s="37" t="str">
        <f>IFERROR(LOOKUP(2,1/((HISTORIAL!$O$3:$O$478=D480&amp;"|"&amp;E480)*(HISTORIAL!$F$3:$F$478&lt;&gt;"")),HISTORIAL!$F$3:$F$478),"")</f>
        <v/>
      </c>
      <c r="H480" s="37" t="str">
        <f>IFERROR(LOOKUP(2,1/((HISTORIAL!$O$3:$O$478=D480&amp;"|"&amp;E480)*(HISTORIAL!$F$3:$F$478&lt;&gt;"")),HISTORIAL!$G$3:$G$478),"")</f>
        <v/>
      </c>
      <c r="I480" s="37" t="str">
        <f>IFERROR(LOOKUP(2,1/((HISTORIAL!$O$3:$O$478=D480&amp;"|"&amp;E480)*(HISTORIAL!$F$3:$F$478&lt;&gt;"")),HISTORIAL!$H$3:$H$478),"")</f>
        <v/>
      </c>
      <c r="J480" s="37" t="str">
        <f>IFERROR(LOOKUP(2,1/((HISTORIAL!$O$3:$O$478=D480&amp;"|"&amp;E480)*(HISTORIAL!$F$3:$F$478&lt;&gt;"")),HISTORIAL!$I$3:$I$478),"")</f>
        <v/>
      </c>
      <c r="K480" s="58" t="str">
        <f>IFERROR(IF(OR(G480="",N480="SIN"),"--",IF(N480="SUBIR_F",IF(F480="polea",IFERROR(INDEX(CONFIG!$B$25:$B$40,MATCH(G480,CONFIG!$B$25:$B$40,0)+2),IFERROR(INDEX(CONFIG!$B$25:$B$40,MATCH(G480,CONFIG!$B$25:$B$40,0)+1),G480)),G480+5),IF(OR(N480="SUBIR",N480="SUBIR_E"),IF(F480="polea",IFERROR(INDEX(CONFIG!$B$25:$B$40,MATCH(G480,CONFIG!$B$25:$B$40,0)+1),G480),G480+2.5),IF(N480="BAJAR",IF(F480="polea",IFERROR(INDEX(CONFIG!$B$25:$B$40,MAX(1,MATCH(G480,CONFIG!$B$25:$B$40,0)-1)),G480),MAX(0,G480-2.5)),G480)))),"--")</f>
        <v>--</v>
      </c>
      <c r="L480" s="59" t="str">
        <f>IFERROR(IF(N480="SIN","--",IF(N480="MANT",IF(H480="","--",H480+1),IFERROR(VLOOKUP(CONFIG!$E$2,CONFIG!$A$6:$E$8,2,0),"--"))),"--")</f>
        <v>--</v>
      </c>
      <c r="M480" s="59" t="str">
        <f>IFERROR(IF(N480="SIN","--",IF(CONFIG!$E$2="HIP",2,IF(CONFIG!$E$2="FUE",1,2))),"--")</f>
        <v>--</v>
      </c>
      <c r="N480" s="53" t="str">
        <f>IFERROR(IF(G480="","SIN",IF(O480=1,"SUBIR_E",IF(H480&lt;IFERROR(VLOOKUP(CONFIG!$E$2,CONFIG!$A$6:$E$8,2,0),6),"BAJAR",IF(H480+I480&gt;=IFERROR(VLOOKUP(CONFIG!$E$2,CONFIG!$A$6:$E$8,3,0),12),"SUBIR_F",IF(AND(H480&gt;=IFERROR(VLOOKUP(CONFIG!$E$2,CONFIG!$A$6:$E$8,2,0),6)+2,I480&gt;=2),"SUBIR",IF(I480&gt;IFERROR(VLOOKUP(CONFIG!$E$2,CONFIG!$A$6:$E$8,5,0),3),"SUBIR","MANT")))))),"SIN")</f>
        <v>SIN</v>
      </c>
      <c r="O480" s="55">
        <f>IF(COUNTIFS(HISTORIAL!$O$3:$O$478,D480&amp;"|"&amp;E480,HISTORIAL!$F$3:$F$478,"&gt;0")&lt;2,0,IF(COUNTIFS(HISTORIAL!$O$3:$O$478,D480&amp;"|"&amp;E480,HISTORIAL!$F$3:$F$478,IFERROR(LOOKUP(2,1/((HISTORIAL!$O$3:$O$478=D480&amp;"|"&amp;E480)*(HISTORIAL!$F$3:$F$478&gt;0)),HISTORIAL!$F$3:$F$478),0))&gt;=2,IF(IFERROR(LOOKUP(2,1/((HISTORIAL!$O$3:$O$478=D480&amp;"|"&amp;E480)*(HISTORIAL!$F$3:$F$478&gt;0)),HISTORIAL!$G$3:$G$478),0)&gt;0,IF(F480&gt;0,IF(G480&lt;=IFERROR(LOOKUP(2,1/((HISTORIAL!$O$3:$O$478=D480&amp;"|"&amp;E480)*(HISTORIAL!$F$3:$F$478&gt;0)),HISTORIAL!$G$3:$G$478),0),1,0),0),0),0))</f>
        <v>0</v>
      </c>
    </row>
    <row r="481" spans="1:15" ht="14.1" customHeight="1">
      <c r="A481" s="37">
        <v>8</v>
      </c>
      <c r="B481" s="37" t="s">
        <v>279</v>
      </c>
      <c r="C481" s="37">
        <v>15</v>
      </c>
      <c r="D481" s="56" t="str">
        <f>MIERCOLES!$A$184</f>
        <v>Elevacion Piernas</v>
      </c>
      <c r="E481" s="57" t="str">
        <f>MIERCOLES!$B$184</f>
        <v>Colgado</v>
      </c>
      <c r="F481" s="37" t="str">
        <f>MIERCOLES!$C$184</f>
        <v>peso_corporal</v>
      </c>
      <c r="G481" s="37" t="str">
        <f>IFERROR(LOOKUP(2,1/((HISTORIAL!$O$3:$O$479=D481&amp;"|"&amp;E481)*(HISTORIAL!$F$3:$F$479&lt;&gt;"")),HISTORIAL!$F$3:$F$479),"")</f>
        <v/>
      </c>
      <c r="H481" s="37" t="str">
        <f>IFERROR(LOOKUP(2,1/((HISTORIAL!$O$3:$O$479=D481&amp;"|"&amp;E481)*(HISTORIAL!$F$3:$F$479&lt;&gt;"")),HISTORIAL!$G$3:$G$479),"")</f>
        <v/>
      </c>
      <c r="I481" s="37" t="str">
        <f>IFERROR(LOOKUP(2,1/((HISTORIAL!$O$3:$O$479=D481&amp;"|"&amp;E481)*(HISTORIAL!$F$3:$F$479&lt;&gt;"")),HISTORIAL!$H$3:$H$479),"")</f>
        <v/>
      </c>
      <c r="J481" s="37" t="str">
        <f>IFERROR(LOOKUP(2,1/((HISTORIAL!$O$3:$O$479=D481&amp;"|"&amp;E481)*(HISTORIAL!$F$3:$F$479&lt;&gt;"")),HISTORIAL!$I$3:$I$479),"")</f>
        <v/>
      </c>
      <c r="K481" s="58" t="str">
        <f>IFERROR(IF(OR(G481="",N481="SIN"),"--",IF(N481="SUBIR_F",IF(F481="polea",IFERROR(INDEX(CONFIG!$B$25:$B$40,MATCH(G481,CONFIG!$B$25:$B$40,0)+2),IFERROR(INDEX(CONFIG!$B$25:$B$40,MATCH(G481,CONFIG!$B$25:$B$40,0)+1),G481)),G481+5),IF(OR(N481="SUBIR",N481="SUBIR_E"),IF(F481="polea",IFERROR(INDEX(CONFIG!$B$25:$B$40,MATCH(G481,CONFIG!$B$25:$B$40,0)+1),G481),G481+2.5),IF(N481="BAJAR",IF(F481="polea",IFERROR(INDEX(CONFIG!$B$25:$B$40,MAX(1,MATCH(G481,CONFIG!$B$25:$B$40,0)-1)),G481),MAX(0,G481-2.5)),G481)))),"--")</f>
        <v>--</v>
      </c>
      <c r="L481" s="59" t="str">
        <f>IFERROR(IF(N481="SIN","--",IF(N481="MANT",IF(H481="","--",H481+1),IFERROR(VLOOKUP(CONFIG!$E$2,CONFIG!$A$6:$E$8,2,0),"--"))),"--")</f>
        <v>--</v>
      </c>
      <c r="M481" s="59" t="str">
        <f>IFERROR(IF(N481="SIN","--",IF(CONFIG!$E$2="HIP",2,IF(CONFIG!$E$2="FUE",1,2))),"--")</f>
        <v>--</v>
      </c>
      <c r="N481" s="53" t="str">
        <f>IFERROR(IF(G481="","SIN",IF(O481=1,"SUBIR_E",IF(H481&lt;IFERROR(VLOOKUP(CONFIG!$E$2,CONFIG!$A$6:$E$8,2,0),6),"BAJAR",IF(H481+I481&gt;=IFERROR(VLOOKUP(CONFIG!$E$2,CONFIG!$A$6:$E$8,3,0),12),"SUBIR_F",IF(AND(H481&gt;=IFERROR(VLOOKUP(CONFIG!$E$2,CONFIG!$A$6:$E$8,2,0),6)+2,I481&gt;=2),"SUBIR",IF(I481&gt;IFERROR(VLOOKUP(CONFIG!$E$2,CONFIG!$A$6:$E$8,5,0),3),"SUBIR","MANT")))))),"SIN")</f>
        <v>SIN</v>
      </c>
      <c r="O481" s="55">
        <f>IF(COUNTIFS(HISTORIAL!$O$3:$O$479,D481&amp;"|"&amp;E481,HISTORIAL!$F$3:$F$479,"&gt;0")&lt;2,0,IF(COUNTIFS(HISTORIAL!$O$3:$O$479,D481&amp;"|"&amp;E481,HISTORIAL!$F$3:$F$479,IFERROR(LOOKUP(2,1/((HISTORIAL!$O$3:$O$479=D481&amp;"|"&amp;E481)*(HISTORIAL!$F$3:$F$479&gt;0)),HISTORIAL!$F$3:$F$479),0))&gt;=2,IF(IFERROR(LOOKUP(2,1/((HISTORIAL!$O$3:$O$479=D481&amp;"|"&amp;E481)*(HISTORIAL!$F$3:$F$479&gt;0)),HISTORIAL!$G$3:$G$479),0)&gt;0,IF(F481&gt;0,IF(G481&lt;=IFERROR(LOOKUP(2,1/((HISTORIAL!$O$3:$O$479=D481&amp;"|"&amp;E481)*(HISTORIAL!$F$3:$F$479&gt;0)),HISTORIAL!$G$3:$G$479),0),1,0),0),0),0))</f>
        <v>0</v>
      </c>
    </row>
    <row r="482" spans="1:15" ht="14.1" customHeight="1">
      <c r="A482" s="37">
        <v>8</v>
      </c>
      <c r="B482" s="37" t="s">
        <v>280</v>
      </c>
      <c r="C482" s="37">
        <v>1</v>
      </c>
      <c r="D482" s="56" t="str">
        <f>JUEVES!$A$187</f>
        <v>Press Militar</v>
      </c>
      <c r="E482" s="57" t="str">
        <f>JUEVES!$B$187</f>
        <v>Multipower</v>
      </c>
      <c r="F482" s="37" t="str">
        <f>JUEVES!$C$187</f>
        <v>--</v>
      </c>
      <c r="G482" s="37" t="str">
        <f>IFERROR(LOOKUP(2,1/((HISTORIAL!$O$3:$O$480=D482&amp;"|"&amp;E482)*(HISTORIAL!$F$3:$F$480&lt;&gt;"")),HISTORIAL!$F$3:$F$480),"")</f>
        <v/>
      </c>
      <c r="H482" s="37" t="str">
        <f>IFERROR(LOOKUP(2,1/((HISTORIAL!$O$3:$O$480=D482&amp;"|"&amp;E482)*(HISTORIAL!$F$3:$F$480&lt;&gt;"")),HISTORIAL!$G$3:$G$480),"")</f>
        <v/>
      </c>
      <c r="I482" s="37" t="str">
        <f>IFERROR(LOOKUP(2,1/((HISTORIAL!$O$3:$O$480=D482&amp;"|"&amp;E482)*(HISTORIAL!$F$3:$F$480&lt;&gt;"")),HISTORIAL!$H$3:$H$480),"")</f>
        <v/>
      </c>
      <c r="J482" s="37" t="str">
        <f>IFERROR(LOOKUP(2,1/((HISTORIAL!$O$3:$O$480=D482&amp;"|"&amp;E482)*(HISTORIAL!$F$3:$F$480&lt;&gt;"")),HISTORIAL!$I$3:$I$480),"")</f>
        <v/>
      </c>
      <c r="K482" s="58" t="str">
        <f>IFERROR(IF(OR(G482="",N482="SIN"),"--",IF(N482="SUBIR_F",IF(F482="polea",IFERROR(INDEX(CONFIG!$B$25:$B$40,MATCH(G482,CONFIG!$B$25:$B$40,0)+2),IFERROR(INDEX(CONFIG!$B$25:$B$40,MATCH(G482,CONFIG!$B$25:$B$40,0)+1),G482)),G482+5),IF(OR(N482="SUBIR",N482="SUBIR_E"),IF(F482="polea",IFERROR(INDEX(CONFIG!$B$25:$B$40,MATCH(G482,CONFIG!$B$25:$B$40,0)+1),G482),G482+2.5),IF(N482="BAJAR",IF(F482="polea",IFERROR(INDEX(CONFIG!$B$25:$B$40,MAX(1,MATCH(G482,CONFIG!$B$25:$B$40,0)-1)),G482),MAX(0,G482-2.5)),G482)))),"--")</f>
        <v>--</v>
      </c>
      <c r="L482" s="59" t="str">
        <f>IFERROR(IF(N482="SIN","--",IF(N482="MANT",IF(H482="","--",H482+1),IFERROR(VLOOKUP(CONFIG!$E$2,CONFIG!$A$6:$E$8,2,0),"--"))),"--")</f>
        <v>--</v>
      </c>
      <c r="M482" s="59" t="str">
        <f>IFERROR(IF(N482="SIN","--",IF(CONFIG!$E$2="HIP",2,IF(CONFIG!$E$2="FUE",1,2))),"--")</f>
        <v>--</v>
      </c>
      <c r="N482" s="53" t="str">
        <f>IFERROR(IF(G482="","SIN",IF(O482=1,"SUBIR_E",IF(H482&lt;IFERROR(VLOOKUP(CONFIG!$E$2,CONFIG!$A$6:$E$8,2,0),6),"BAJAR",IF(H482+I482&gt;=IFERROR(VLOOKUP(CONFIG!$E$2,CONFIG!$A$6:$E$8,3,0),12),"SUBIR_F",IF(AND(H482&gt;=IFERROR(VLOOKUP(CONFIG!$E$2,CONFIG!$A$6:$E$8,2,0),6)+2,I482&gt;=2),"SUBIR",IF(I482&gt;IFERROR(VLOOKUP(CONFIG!$E$2,CONFIG!$A$6:$E$8,5,0),3),"SUBIR","MANT")))))),"SIN")</f>
        <v>SIN</v>
      </c>
      <c r="O482" s="55">
        <f>IF(COUNTIFS(HISTORIAL!$O$3:$O$480,D482&amp;"|"&amp;E482,HISTORIAL!$F$3:$F$480,"&gt;0")&lt;2,0,IF(COUNTIFS(HISTORIAL!$O$3:$O$480,D482&amp;"|"&amp;E482,HISTORIAL!$F$3:$F$480,IFERROR(LOOKUP(2,1/((HISTORIAL!$O$3:$O$480=D482&amp;"|"&amp;E482)*(HISTORIAL!$F$3:$F$480&gt;0)),HISTORIAL!$F$3:$F$480),0))&gt;=2,IF(IFERROR(LOOKUP(2,1/((HISTORIAL!$O$3:$O$480=D482&amp;"|"&amp;E482)*(HISTORIAL!$F$3:$F$480&gt;0)),HISTORIAL!$G$3:$G$480),0)&gt;0,IF(F482&gt;0,IF(G482&lt;=IFERROR(LOOKUP(2,1/((HISTORIAL!$O$3:$O$480=D482&amp;"|"&amp;E482)*(HISTORIAL!$F$3:$F$480&gt;0)),HISTORIAL!$G$3:$G$480),0),1,0),0),0),0))</f>
        <v>0</v>
      </c>
    </row>
    <row r="483" spans="1:15" ht="14.1" customHeight="1">
      <c r="A483" s="37">
        <v>8</v>
      </c>
      <c r="B483" s="37" t="s">
        <v>280</v>
      </c>
      <c r="C483" s="37">
        <v>2</v>
      </c>
      <c r="D483" s="56" t="str">
        <f>JUEVES!$A$188</f>
        <v>Elevaciones Laterales</v>
      </c>
      <c r="E483" s="57" t="str">
        <f>JUEVES!$B$188</f>
        <v>Drop Set Maquina</v>
      </c>
      <c r="F483" s="37" t="str">
        <f>JUEVES!$C$188</f>
        <v>--</v>
      </c>
      <c r="G483" s="37" t="str">
        <f>IFERROR(LOOKUP(2,1/((HISTORIAL!$O$3:$O$481=D483&amp;"|"&amp;E483)*(HISTORIAL!$F$3:$F$481&lt;&gt;"")),HISTORIAL!$F$3:$F$481),"")</f>
        <v/>
      </c>
      <c r="H483" s="37" t="str">
        <f>IFERROR(LOOKUP(2,1/((HISTORIAL!$O$3:$O$481=D483&amp;"|"&amp;E483)*(HISTORIAL!$F$3:$F$481&lt;&gt;"")),HISTORIAL!$G$3:$G$481),"")</f>
        <v/>
      </c>
      <c r="I483" s="37" t="str">
        <f>IFERROR(LOOKUP(2,1/((HISTORIAL!$O$3:$O$481=D483&amp;"|"&amp;E483)*(HISTORIAL!$F$3:$F$481&lt;&gt;"")),HISTORIAL!$H$3:$H$481),"")</f>
        <v/>
      </c>
      <c r="J483" s="37" t="str">
        <f>IFERROR(LOOKUP(2,1/((HISTORIAL!$O$3:$O$481=D483&amp;"|"&amp;E483)*(HISTORIAL!$F$3:$F$481&lt;&gt;"")),HISTORIAL!$I$3:$I$481),"")</f>
        <v/>
      </c>
      <c r="K483" s="58" t="str">
        <f>IFERROR(IF(OR(G483="",N483="SIN"),"--",IF(N483="SUBIR_F",IF(F483="polea",IFERROR(INDEX(CONFIG!$B$25:$B$40,MATCH(G483,CONFIG!$B$25:$B$40,0)+2),IFERROR(INDEX(CONFIG!$B$25:$B$40,MATCH(G483,CONFIG!$B$25:$B$40,0)+1),G483)),G483+5),IF(OR(N483="SUBIR",N483="SUBIR_E"),IF(F483="polea",IFERROR(INDEX(CONFIG!$B$25:$B$40,MATCH(G483,CONFIG!$B$25:$B$40,0)+1),G483),G483+2.5),IF(N483="BAJAR",IF(F483="polea",IFERROR(INDEX(CONFIG!$B$25:$B$40,MAX(1,MATCH(G483,CONFIG!$B$25:$B$40,0)-1)),G483),MAX(0,G483-2.5)),G483)))),"--")</f>
        <v>--</v>
      </c>
      <c r="L483" s="59" t="str">
        <f>IFERROR(IF(N483="SIN","--",IF(N483="MANT",IF(H483="","--",H483+1),IFERROR(VLOOKUP(CONFIG!$E$2,CONFIG!$A$6:$E$8,2,0),"--"))),"--")</f>
        <v>--</v>
      </c>
      <c r="M483" s="59" t="str">
        <f>IFERROR(IF(N483="SIN","--",IF(CONFIG!$E$2="HIP",2,IF(CONFIG!$E$2="FUE",1,2))),"--")</f>
        <v>--</v>
      </c>
      <c r="N483" s="53" t="str">
        <f>IFERROR(IF(G483="","SIN",IF(O483=1,"SUBIR_E",IF(H483&lt;IFERROR(VLOOKUP(CONFIG!$E$2,CONFIG!$A$6:$E$8,2,0),6),"BAJAR",IF(H483+I483&gt;=IFERROR(VLOOKUP(CONFIG!$E$2,CONFIG!$A$6:$E$8,3,0),12),"SUBIR_F",IF(AND(H483&gt;=IFERROR(VLOOKUP(CONFIG!$E$2,CONFIG!$A$6:$E$8,2,0),6)+2,I483&gt;=2),"SUBIR",IF(I483&gt;IFERROR(VLOOKUP(CONFIG!$E$2,CONFIG!$A$6:$E$8,5,0),3),"SUBIR","MANT")))))),"SIN")</f>
        <v>SIN</v>
      </c>
      <c r="O483" s="55">
        <f>IF(COUNTIFS(HISTORIAL!$O$3:$O$481,D483&amp;"|"&amp;E483,HISTORIAL!$F$3:$F$481,"&gt;0")&lt;2,0,IF(COUNTIFS(HISTORIAL!$O$3:$O$481,D483&amp;"|"&amp;E483,HISTORIAL!$F$3:$F$481,IFERROR(LOOKUP(2,1/((HISTORIAL!$O$3:$O$481=D483&amp;"|"&amp;E483)*(HISTORIAL!$F$3:$F$481&gt;0)),HISTORIAL!$F$3:$F$481),0))&gt;=2,IF(IFERROR(LOOKUP(2,1/((HISTORIAL!$O$3:$O$481=D483&amp;"|"&amp;E483)*(HISTORIAL!$F$3:$F$481&gt;0)),HISTORIAL!$G$3:$G$481),0)&gt;0,IF(F483&gt;0,IF(G483&lt;=IFERROR(LOOKUP(2,1/((HISTORIAL!$O$3:$O$481=D483&amp;"|"&amp;E483)*(HISTORIAL!$F$3:$F$481&gt;0)),HISTORIAL!$G$3:$G$481),0),1,0),0),0),0))</f>
        <v>0</v>
      </c>
    </row>
    <row r="484" spans="1:15" ht="14.1" customHeight="1">
      <c r="A484" s="37">
        <v>8</v>
      </c>
      <c r="B484" s="37" t="s">
        <v>280</v>
      </c>
      <c r="C484" s="37">
        <v>3</v>
      </c>
      <c r="D484" s="56" t="str">
        <f>JUEVES!$A$190</f>
        <v>Pajaro</v>
      </c>
      <c r="E484" s="57" t="str">
        <f>JUEVES!$B$190</f>
        <v>Elevacion Posterior</v>
      </c>
      <c r="F484" s="37" t="str">
        <f>JUEVES!$C$190</f>
        <v>mancuerna</v>
      </c>
      <c r="G484" s="37" t="str">
        <f>IFERROR(LOOKUP(2,1/((HISTORIAL!$O$3:$O$482=D484&amp;"|"&amp;E484)*(HISTORIAL!$F$3:$F$482&lt;&gt;"")),HISTORIAL!$F$3:$F$482),"")</f>
        <v/>
      </c>
      <c r="H484" s="37" t="str">
        <f>IFERROR(LOOKUP(2,1/((HISTORIAL!$O$3:$O$482=D484&amp;"|"&amp;E484)*(HISTORIAL!$F$3:$F$482&lt;&gt;"")),HISTORIAL!$G$3:$G$482),"")</f>
        <v/>
      </c>
      <c r="I484" s="37" t="str">
        <f>IFERROR(LOOKUP(2,1/((HISTORIAL!$O$3:$O$482=D484&amp;"|"&amp;E484)*(HISTORIAL!$F$3:$F$482&lt;&gt;"")),HISTORIAL!$H$3:$H$482),"")</f>
        <v/>
      </c>
      <c r="J484" s="37" t="str">
        <f>IFERROR(LOOKUP(2,1/((HISTORIAL!$O$3:$O$482=D484&amp;"|"&amp;E484)*(HISTORIAL!$F$3:$F$482&lt;&gt;"")),HISTORIAL!$I$3:$I$482),"")</f>
        <v/>
      </c>
      <c r="K484" s="58" t="str">
        <f>IFERROR(IF(OR(G484="",N484="SIN"),"--",IF(N484="SUBIR_F",IF(F484="polea",IFERROR(INDEX(CONFIG!$B$25:$B$40,MATCH(G484,CONFIG!$B$25:$B$40,0)+2),IFERROR(INDEX(CONFIG!$B$25:$B$40,MATCH(G484,CONFIG!$B$25:$B$40,0)+1),G484)),G484+5),IF(OR(N484="SUBIR",N484="SUBIR_E"),IF(F484="polea",IFERROR(INDEX(CONFIG!$B$25:$B$40,MATCH(G484,CONFIG!$B$25:$B$40,0)+1),G484),G484+2.5),IF(N484="BAJAR",IF(F484="polea",IFERROR(INDEX(CONFIG!$B$25:$B$40,MAX(1,MATCH(G484,CONFIG!$B$25:$B$40,0)-1)),G484),MAX(0,G484-2.5)),G484)))),"--")</f>
        <v>--</v>
      </c>
      <c r="L484" s="59" t="str">
        <f>IFERROR(IF(N484="SIN","--",IF(N484="MANT",IF(H484="","--",H484+1),IFERROR(VLOOKUP(CONFIG!$E$2,CONFIG!$A$6:$E$8,2,0),"--"))),"--")</f>
        <v>--</v>
      </c>
      <c r="M484" s="59" t="str">
        <f>IFERROR(IF(N484="SIN","--",IF(CONFIG!$E$2="HIP",2,IF(CONFIG!$E$2="FUE",1,2))),"--")</f>
        <v>--</v>
      </c>
      <c r="N484" s="53" t="str">
        <f>IFERROR(IF(G484="","SIN",IF(O484=1,"SUBIR_E",IF(H484&lt;IFERROR(VLOOKUP(CONFIG!$E$2,CONFIG!$A$6:$E$8,2,0),6),"BAJAR",IF(H484+I484&gt;=IFERROR(VLOOKUP(CONFIG!$E$2,CONFIG!$A$6:$E$8,3,0),12),"SUBIR_F",IF(AND(H484&gt;=IFERROR(VLOOKUP(CONFIG!$E$2,CONFIG!$A$6:$E$8,2,0),6)+2,I484&gt;=2),"SUBIR",IF(I484&gt;IFERROR(VLOOKUP(CONFIG!$E$2,CONFIG!$A$6:$E$8,5,0),3),"SUBIR","MANT")))))),"SIN")</f>
        <v>SIN</v>
      </c>
      <c r="O484" s="55">
        <f>IF(COUNTIFS(HISTORIAL!$O$3:$O$482,D484&amp;"|"&amp;E484,HISTORIAL!$F$3:$F$482,"&gt;0")&lt;2,0,IF(COUNTIFS(HISTORIAL!$O$3:$O$482,D484&amp;"|"&amp;E484,HISTORIAL!$F$3:$F$482,IFERROR(LOOKUP(2,1/((HISTORIAL!$O$3:$O$482=D484&amp;"|"&amp;E484)*(HISTORIAL!$F$3:$F$482&gt;0)),HISTORIAL!$F$3:$F$482),0))&gt;=2,IF(IFERROR(LOOKUP(2,1/((HISTORIAL!$O$3:$O$482=D484&amp;"|"&amp;E484)*(HISTORIAL!$F$3:$F$482&gt;0)),HISTORIAL!$G$3:$G$482),0)&gt;0,IF(F484&gt;0,IF(G484&lt;=IFERROR(LOOKUP(2,1/((HISTORIAL!$O$3:$O$482=D484&amp;"|"&amp;E484)*(HISTORIAL!$F$3:$F$482&gt;0)),HISTORIAL!$G$3:$G$482),0),1,0),0),0),0))</f>
        <v>0</v>
      </c>
    </row>
    <row r="485" spans="1:15" ht="14.1" customHeight="1">
      <c r="A485" s="37">
        <v>8</v>
      </c>
      <c r="B485" s="37" t="s">
        <v>280</v>
      </c>
      <c r="C485" s="37">
        <v>4</v>
      </c>
      <c r="D485" s="56" t="str">
        <f>JUEVES!$A$191</f>
        <v>Peck Deck Invertida</v>
      </c>
      <c r="E485" s="57" t="str">
        <f>JUEVES!$B$191</f>
        <v>Maquina</v>
      </c>
      <c r="F485" s="37" t="str">
        <f>JUEVES!$C$191</f>
        <v>polea</v>
      </c>
      <c r="G485" s="37" t="str">
        <f>IFERROR(LOOKUP(2,1/((HISTORIAL!$O$3:$O$483=D485&amp;"|"&amp;E485)*(HISTORIAL!$F$3:$F$483&lt;&gt;"")),HISTORIAL!$F$3:$F$483),"")</f>
        <v/>
      </c>
      <c r="H485" s="37" t="str">
        <f>IFERROR(LOOKUP(2,1/((HISTORIAL!$O$3:$O$483=D485&amp;"|"&amp;E485)*(HISTORIAL!$F$3:$F$483&lt;&gt;"")),HISTORIAL!$G$3:$G$483),"")</f>
        <v/>
      </c>
      <c r="I485" s="37" t="str">
        <f>IFERROR(LOOKUP(2,1/((HISTORIAL!$O$3:$O$483=D485&amp;"|"&amp;E485)*(HISTORIAL!$F$3:$F$483&lt;&gt;"")),HISTORIAL!$H$3:$H$483),"")</f>
        <v/>
      </c>
      <c r="J485" s="37" t="str">
        <f>IFERROR(LOOKUP(2,1/((HISTORIAL!$O$3:$O$483=D485&amp;"|"&amp;E485)*(HISTORIAL!$F$3:$F$483&lt;&gt;"")),HISTORIAL!$I$3:$I$483),"")</f>
        <v/>
      </c>
      <c r="K485" s="58" t="str">
        <f>IFERROR(IF(OR(G485="",N485="SIN"),"--",IF(N485="SUBIR_F",IF(F485="polea",IFERROR(INDEX(CONFIG!$B$25:$B$40,MATCH(G485,CONFIG!$B$25:$B$40,0)+2),IFERROR(INDEX(CONFIG!$B$25:$B$40,MATCH(G485,CONFIG!$B$25:$B$40,0)+1),G485)),G485+5),IF(OR(N485="SUBIR",N485="SUBIR_E"),IF(F485="polea",IFERROR(INDEX(CONFIG!$B$25:$B$40,MATCH(G485,CONFIG!$B$25:$B$40,0)+1),G485),G485+2.5),IF(N485="BAJAR",IF(F485="polea",IFERROR(INDEX(CONFIG!$B$25:$B$40,MAX(1,MATCH(G485,CONFIG!$B$25:$B$40,0)-1)),G485),MAX(0,G485-2.5)),G485)))),"--")</f>
        <v>--</v>
      </c>
      <c r="L485" s="59" t="str">
        <f>IFERROR(IF(N485="SIN","--",IF(N485="MANT",IF(H485="","--",H485+1),IFERROR(VLOOKUP(CONFIG!$E$2,CONFIG!$A$6:$E$8,2,0),"--"))),"--")</f>
        <v>--</v>
      </c>
      <c r="M485" s="59" t="str">
        <f>IFERROR(IF(N485="SIN","--",IF(CONFIG!$E$2="HIP",2,IF(CONFIG!$E$2="FUE",1,2))),"--")</f>
        <v>--</v>
      </c>
      <c r="N485" s="53" t="str">
        <f>IFERROR(IF(G485="","SIN",IF(O485=1,"SUBIR_E",IF(H485&lt;IFERROR(VLOOKUP(CONFIG!$E$2,CONFIG!$A$6:$E$8,2,0),6),"BAJAR",IF(H485+I485&gt;=IFERROR(VLOOKUP(CONFIG!$E$2,CONFIG!$A$6:$E$8,3,0),12),"SUBIR_F",IF(AND(H485&gt;=IFERROR(VLOOKUP(CONFIG!$E$2,CONFIG!$A$6:$E$8,2,0),6)+2,I485&gt;=2),"SUBIR",IF(I485&gt;IFERROR(VLOOKUP(CONFIG!$E$2,CONFIG!$A$6:$E$8,5,0),3),"SUBIR","MANT")))))),"SIN")</f>
        <v>SIN</v>
      </c>
      <c r="O485" s="55">
        <f>IF(COUNTIFS(HISTORIAL!$O$3:$O$483,D485&amp;"|"&amp;E485,HISTORIAL!$F$3:$F$483,"&gt;0")&lt;2,0,IF(COUNTIFS(HISTORIAL!$O$3:$O$483,D485&amp;"|"&amp;E485,HISTORIAL!$F$3:$F$483,IFERROR(LOOKUP(2,1/((HISTORIAL!$O$3:$O$483=D485&amp;"|"&amp;E485)*(HISTORIAL!$F$3:$F$483&gt;0)),HISTORIAL!$F$3:$F$483),0))&gt;=2,IF(IFERROR(LOOKUP(2,1/((HISTORIAL!$O$3:$O$483=D485&amp;"|"&amp;E485)*(HISTORIAL!$F$3:$F$483&gt;0)),HISTORIAL!$G$3:$G$483),0)&gt;0,IF(F485&gt;0,IF(G485&lt;=IFERROR(LOOKUP(2,1/((HISTORIAL!$O$3:$O$483=D485&amp;"|"&amp;E485)*(HISTORIAL!$F$3:$F$483&gt;0)),HISTORIAL!$G$3:$G$483),0),1,0),0),0),0))</f>
        <v>0</v>
      </c>
    </row>
    <row r="486" spans="1:15" ht="14.1" customHeight="1">
      <c r="A486" s="37">
        <v>8</v>
      </c>
      <c r="B486" s="37" t="s">
        <v>280</v>
      </c>
      <c r="C486" s="37">
        <v>5</v>
      </c>
      <c r="D486" s="56" t="str">
        <f>JUEVES!$A$192</f>
        <v>Elevaciones Posteriores</v>
      </c>
      <c r="E486" s="57" t="str">
        <f>JUEVES!$B$192</f>
        <v>Polea Individual</v>
      </c>
      <c r="F486" s="37" t="str">
        <f>JUEVES!$C$192</f>
        <v>polea</v>
      </c>
      <c r="G486" s="37" t="str">
        <f>IFERROR(LOOKUP(2,1/((HISTORIAL!$O$3:$O$484=D486&amp;"|"&amp;E486)*(HISTORIAL!$F$3:$F$484&lt;&gt;"")),HISTORIAL!$F$3:$F$484),"")</f>
        <v/>
      </c>
      <c r="H486" s="37" t="str">
        <f>IFERROR(LOOKUP(2,1/((HISTORIAL!$O$3:$O$484=D486&amp;"|"&amp;E486)*(HISTORIAL!$F$3:$F$484&lt;&gt;"")),HISTORIAL!$G$3:$G$484),"")</f>
        <v/>
      </c>
      <c r="I486" s="37" t="str">
        <f>IFERROR(LOOKUP(2,1/((HISTORIAL!$O$3:$O$484=D486&amp;"|"&amp;E486)*(HISTORIAL!$F$3:$F$484&lt;&gt;"")),HISTORIAL!$H$3:$H$484),"")</f>
        <v/>
      </c>
      <c r="J486" s="37" t="str">
        <f>IFERROR(LOOKUP(2,1/((HISTORIAL!$O$3:$O$484=D486&amp;"|"&amp;E486)*(HISTORIAL!$F$3:$F$484&lt;&gt;"")),HISTORIAL!$I$3:$I$484),"")</f>
        <v/>
      </c>
      <c r="K486" s="58" t="str">
        <f>IFERROR(IF(OR(G486="",N486="SIN"),"--",IF(N486="SUBIR_F",IF(F486="polea",IFERROR(INDEX(CONFIG!$B$25:$B$40,MATCH(G486,CONFIG!$B$25:$B$40,0)+2),IFERROR(INDEX(CONFIG!$B$25:$B$40,MATCH(G486,CONFIG!$B$25:$B$40,0)+1),G486)),G486+5),IF(OR(N486="SUBIR",N486="SUBIR_E"),IF(F486="polea",IFERROR(INDEX(CONFIG!$B$25:$B$40,MATCH(G486,CONFIG!$B$25:$B$40,0)+1),G486),G486+2.5),IF(N486="BAJAR",IF(F486="polea",IFERROR(INDEX(CONFIG!$B$25:$B$40,MAX(1,MATCH(G486,CONFIG!$B$25:$B$40,0)-1)),G486),MAX(0,G486-2.5)),G486)))),"--")</f>
        <v>--</v>
      </c>
      <c r="L486" s="59" t="str">
        <f>IFERROR(IF(N486="SIN","--",IF(N486="MANT",IF(H486="","--",H486+1),IFERROR(VLOOKUP(CONFIG!$E$2,CONFIG!$A$6:$E$8,2,0),"--"))),"--")</f>
        <v>--</v>
      </c>
      <c r="M486" s="59" t="str">
        <f>IFERROR(IF(N486="SIN","--",IF(CONFIG!$E$2="HIP",2,IF(CONFIG!$E$2="FUE",1,2))),"--")</f>
        <v>--</v>
      </c>
      <c r="N486" s="53" t="str">
        <f>IFERROR(IF(G486="","SIN",IF(O486=1,"SUBIR_E",IF(H486&lt;IFERROR(VLOOKUP(CONFIG!$E$2,CONFIG!$A$6:$E$8,2,0),6),"BAJAR",IF(H486+I486&gt;=IFERROR(VLOOKUP(CONFIG!$E$2,CONFIG!$A$6:$E$8,3,0),12),"SUBIR_F",IF(AND(H486&gt;=IFERROR(VLOOKUP(CONFIG!$E$2,CONFIG!$A$6:$E$8,2,0),6)+2,I486&gt;=2),"SUBIR",IF(I486&gt;IFERROR(VLOOKUP(CONFIG!$E$2,CONFIG!$A$6:$E$8,5,0),3),"SUBIR","MANT")))))),"SIN")</f>
        <v>SIN</v>
      </c>
      <c r="O486" s="55">
        <f>IF(COUNTIFS(HISTORIAL!$O$3:$O$484,D486&amp;"|"&amp;E486,HISTORIAL!$F$3:$F$484,"&gt;0")&lt;2,0,IF(COUNTIFS(HISTORIAL!$O$3:$O$484,D486&amp;"|"&amp;E486,HISTORIAL!$F$3:$F$484,IFERROR(LOOKUP(2,1/((HISTORIAL!$O$3:$O$484=D486&amp;"|"&amp;E486)*(HISTORIAL!$F$3:$F$484&gt;0)),HISTORIAL!$F$3:$F$484),0))&gt;=2,IF(IFERROR(LOOKUP(2,1/((HISTORIAL!$O$3:$O$484=D486&amp;"|"&amp;E486)*(HISTORIAL!$F$3:$F$484&gt;0)),HISTORIAL!$G$3:$G$484),0)&gt;0,IF(F486&gt;0,IF(G486&lt;=IFERROR(LOOKUP(2,1/((HISTORIAL!$O$3:$O$484=D486&amp;"|"&amp;E486)*(HISTORIAL!$F$3:$F$484&gt;0)),HISTORIAL!$G$3:$G$484),0),1,0),0),0),0))</f>
        <v>0</v>
      </c>
    </row>
    <row r="487" spans="1:15" ht="14.1" customHeight="1">
      <c r="A487" s="37">
        <v>8</v>
      </c>
      <c r="B487" s="37" t="s">
        <v>280</v>
      </c>
      <c r="C487" s="37">
        <v>6</v>
      </c>
      <c r="D487" s="56" t="str">
        <f>JUEVES!$A$195</f>
        <v>Press Plano</v>
      </c>
      <c r="E487" s="57" t="str">
        <f>JUEVES!$B$195</f>
        <v>Mancuernas</v>
      </c>
      <c r="F487" s="37" t="str">
        <f>JUEVES!$C$195</f>
        <v>mancuerna</v>
      </c>
      <c r="G487" s="37" t="str">
        <f>IFERROR(LOOKUP(2,1/((HISTORIAL!$O$3:$O$485=D487&amp;"|"&amp;E487)*(HISTORIAL!$F$3:$F$485&lt;&gt;"")),HISTORIAL!$F$3:$F$485),"")</f>
        <v/>
      </c>
      <c r="H487" s="37" t="str">
        <f>IFERROR(LOOKUP(2,1/((HISTORIAL!$O$3:$O$485=D487&amp;"|"&amp;E487)*(HISTORIAL!$F$3:$F$485&lt;&gt;"")),HISTORIAL!$G$3:$G$485),"")</f>
        <v/>
      </c>
      <c r="I487" s="37" t="str">
        <f>IFERROR(LOOKUP(2,1/((HISTORIAL!$O$3:$O$485=D487&amp;"|"&amp;E487)*(HISTORIAL!$F$3:$F$485&lt;&gt;"")),HISTORIAL!$H$3:$H$485),"")</f>
        <v/>
      </c>
      <c r="J487" s="37" t="str">
        <f>IFERROR(LOOKUP(2,1/((HISTORIAL!$O$3:$O$485=D487&amp;"|"&amp;E487)*(HISTORIAL!$F$3:$F$485&lt;&gt;"")),HISTORIAL!$I$3:$I$485),"")</f>
        <v/>
      </c>
      <c r="K487" s="58" t="str">
        <f>IFERROR(IF(OR(G487="",N487="SIN"),"--",IF(N487="SUBIR_F",IF(F487="polea",IFERROR(INDEX(CONFIG!$B$25:$B$40,MATCH(G487,CONFIG!$B$25:$B$40,0)+2),IFERROR(INDEX(CONFIG!$B$25:$B$40,MATCH(G487,CONFIG!$B$25:$B$40,0)+1),G487)),G487+5),IF(OR(N487="SUBIR",N487="SUBIR_E"),IF(F487="polea",IFERROR(INDEX(CONFIG!$B$25:$B$40,MATCH(G487,CONFIG!$B$25:$B$40,0)+1),G487),G487+2.5),IF(N487="BAJAR",IF(F487="polea",IFERROR(INDEX(CONFIG!$B$25:$B$40,MAX(1,MATCH(G487,CONFIG!$B$25:$B$40,0)-1)),G487),MAX(0,G487-2.5)),G487)))),"--")</f>
        <v>--</v>
      </c>
      <c r="L487" s="59" t="str">
        <f>IFERROR(IF(N487="SIN","--",IF(N487="MANT",IF(H487="","--",H487+1),IFERROR(VLOOKUP(CONFIG!$E$2,CONFIG!$A$6:$E$8,2,0),"--"))),"--")</f>
        <v>--</v>
      </c>
      <c r="M487" s="59" t="str">
        <f>IFERROR(IF(N487="SIN","--",IF(CONFIG!$E$2="HIP",2,IF(CONFIG!$E$2="FUE",1,2))),"--")</f>
        <v>--</v>
      </c>
      <c r="N487" s="53" t="str">
        <f>IFERROR(IF(G487="","SIN",IF(O487=1,"SUBIR_E",IF(H487&lt;IFERROR(VLOOKUP(CONFIG!$E$2,CONFIG!$A$6:$E$8,2,0),6),"BAJAR",IF(H487+I487&gt;=IFERROR(VLOOKUP(CONFIG!$E$2,CONFIG!$A$6:$E$8,3,0),12),"SUBIR_F",IF(AND(H487&gt;=IFERROR(VLOOKUP(CONFIG!$E$2,CONFIG!$A$6:$E$8,2,0),6)+2,I487&gt;=2),"SUBIR",IF(I487&gt;IFERROR(VLOOKUP(CONFIG!$E$2,CONFIG!$A$6:$E$8,5,0),3),"SUBIR","MANT")))))),"SIN")</f>
        <v>SIN</v>
      </c>
      <c r="O487" s="55">
        <f>IF(COUNTIFS(HISTORIAL!$O$3:$O$485,D487&amp;"|"&amp;E487,HISTORIAL!$F$3:$F$485,"&gt;0")&lt;2,0,IF(COUNTIFS(HISTORIAL!$O$3:$O$485,D487&amp;"|"&amp;E487,HISTORIAL!$F$3:$F$485,IFERROR(LOOKUP(2,1/((HISTORIAL!$O$3:$O$485=D487&amp;"|"&amp;E487)*(HISTORIAL!$F$3:$F$485&gt;0)),HISTORIAL!$F$3:$F$485),0))&gt;=2,IF(IFERROR(LOOKUP(2,1/((HISTORIAL!$O$3:$O$485=D487&amp;"|"&amp;E487)*(HISTORIAL!$F$3:$F$485&gt;0)),HISTORIAL!$G$3:$G$485),0)&gt;0,IF(F487&gt;0,IF(G487&lt;=IFERROR(LOOKUP(2,1/((HISTORIAL!$O$3:$O$485=D487&amp;"|"&amp;E487)*(HISTORIAL!$F$3:$F$485&gt;0)),HISTORIAL!$G$3:$G$485),0),1,0),0),0),0))</f>
        <v>0</v>
      </c>
    </row>
    <row r="488" spans="1:15" ht="14.1" customHeight="1">
      <c r="A488" s="37">
        <v>8</v>
      </c>
      <c r="B488" s="37" t="s">
        <v>280</v>
      </c>
      <c r="C488" s="37">
        <v>7</v>
      </c>
      <c r="D488" s="56" t="str">
        <f>JUEVES!$A$197</f>
        <v>Press Inclinado</v>
      </c>
      <c r="E488" s="57" t="str">
        <f>JUEVES!$B$197</f>
        <v>Multipower</v>
      </c>
      <c r="F488" s="37" t="str">
        <f>JUEVES!$C$197</f>
        <v>disco</v>
      </c>
      <c r="G488" s="37" t="str">
        <f>IFERROR(LOOKUP(2,1/((HISTORIAL!$O$3:$O$486=D488&amp;"|"&amp;E488)*(HISTORIAL!$F$3:$F$486&lt;&gt;"")),HISTORIAL!$F$3:$F$486),"")</f>
        <v/>
      </c>
      <c r="H488" s="37" t="str">
        <f>IFERROR(LOOKUP(2,1/((HISTORIAL!$O$3:$O$486=D488&amp;"|"&amp;E488)*(HISTORIAL!$F$3:$F$486&lt;&gt;"")),HISTORIAL!$G$3:$G$486),"")</f>
        <v/>
      </c>
      <c r="I488" s="37" t="str">
        <f>IFERROR(LOOKUP(2,1/((HISTORIAL!$O$3:$O$486=D488&amp;"|"&amp;E488)*(HISTORIAL!$F$3:$F$486&lt;&gt;"")),HISTORIAL!$H$3:$H$486),"")</f>
        <v/>
      </c>
      <c r="J488" s="37" t="str">
        <f>IFERROR(LOOKUP(2,1/((HISTORIAL!$O$3:$O$486=D488&amp;"|"&amp;E488)*(HISTORIAL!$F$3:$F$486&lt;&gt;"")),HISTORIAL!$I$3:$I$486),"")</f>
        <v/>
      </c>
      <c r="K488" s="58" t="str">
        <f>IFERROR(IF(OR(G488="",N488="SIN"),"--",IF(N488="SUBIR_F",IF(F488="polea",IFERROR(INDEX(CONFIG!$B$25:$B$40,MATCH(G488,CONFIG!$B$25:$B$40,0)+2),IFERROR(INDEX(CONFIG!$B$25:$B$40,MATCH(G488,CONFIG!$B$25:$B$40,0)+1),G488)),G488+5),IF(OR(N488="SUBIR",N488="SUBIR_E"),IF(F488="polea",IFERROR(INDEX(CONFIG!$B$25:$B$40,MATCH(G488,CONFIG!$B$25:$B$40,0)+1),G488),G488+2.5),IF(N488="BAJAR",IF(F488="polea",IFERROR(INDEX(CONFIG!$B$25:$B$40,MAX(1,MATCH(G488,CONFIG!$B$25:$B$40,0)-1)),G488),MAX(0,G488-2.5)),G488)))),"--")</f>
        <v>--</v>
      </c>
      <c r="L488" s="59" t="str">
        <f>IFERROR(IF(N488="SIN","--",IF(N488="MANT",IF(H488="","--",H488+1),IFERROR(VLOOKUP(CONFIG!$E$2,CONFIG!$A$6:$E$8,2,0),"--"))),"--")</f>
        <v>--</v>
      </c>
      <c r="M488" s="59" t="str">
        <f>IFERROR(IF(N488="SIN","--",IF(CONFIG!$E$2="HIP",2,IF(CONFIG!$E$2="FUE",1,2))),"--")</f>
        <v>--</v>
      </c>
      <c r="N488" s="53" t="str">
        <f>IFERROR(IF(G488="","SIN",IF(O488=1,"SUBIR_E",IF(H488&lt;IFERROR(VLOOKUP(CONFIG!$E$2,CONFIG!$A$6:$E$8,2,0),6),"BAJAR",IF(H488+I488&gt;=IFERROR(VLOOKUP(CONFIG!$E$2,CONFIG!$A$6:$E$8,3,0),12),"SUBIR_F",IF(AND(H488&gt;=IFERROR(VLOOKUP(CONFIG!$E$2,CONFIG!$A$6:$E$8,2,0),6)+2,I488&gt;=2),"SUBIR",IF(I488&gt;IFERROR(VLOOKUP(CONFIG!$E$2,CONFIG!$A$6:$E$8,5,0),3),"SUBIR","MANT")))))),"SIN")</f>
        <v>SIN</v>
      </c>
      <c r="O488" s="55">
        <f>IF(COUNTIFS(HISTORIAL!$O$3:$O$486,D488&amp;"|"&amp;E488,HISTORIAL!$F$3:$F$486,"&gt;0")&lt;2,0,IF(COUNTIFS(HISTORIAL!$O$3:$O$486,D488&amp;"|"&amp;E488,HISTORIAL!$F$3:$F$486,IFERROR(LOOKUP(2,1/((HISTORIAL!$O$3:$O$486=D488&amp;"|"&amp;E488)*(HISTORIAL!$F$3:$F$486&gt;0)),HISTORIAL!$F$3:$F$486),0))&gt;=2,IF(IFERROR(LOOKUP(2,1/((HISTORIAL!$O$3:$O$486=D488&amp;"|"&amp;E488)*(HISTORIAL!$F$3:$F$486&gt;0)),HISTORIAL!$G$3:$G$486),0)&gt;0,IF(F488&gt;0,IF(G488&lt;=IFERROR(LOOKUP(2,1/((HISTORIAL!$O$3:$O$486=D488&amp;"|"&amp;E488)*(HISTORIAL!$F$3:$F$486&gt;0)),HISTORIAL!$G$3:$G$486),0),1,0),0),0),0))</f>
        <v>0</v>
      </c>
    </row>
    <row r="489" spans="1:15" ht="14.1" customHeight="1">
      <c r="A489" s="37">
        <v>8</v>
      </c>
      <c r="B489" s="37" t="s">
        <v>280</v>
      </c>
      <c r="C489" s="37">
        <v>8</v>
      </c>
      <c r="D489" s="56" t="str">
        <f>JUEVES!$A$199</f>
        <v>Aperturas</v>
      </c>
      <c r="E489" s="57" t="str">
        <f>JUEVES!$B$199</f>
        <v>Pec Deck Maquina</v>
      </c>
      <c r="F489" s="37" t="str">
        <f>JUEVES!$C$199</f>
        <v>--</v>
      </c>
      <c r="G489" s="37" t="str">
        <f>IFERROR(LOOKUP(2,1/((HISTORIAL!$O$3:$O$487=D489&amp;"|"&amp;E489)*(HISTORIAL!$F$3:$F$487&lt;&gt;"")),HISTORIAL!$F$3:$F$487),"")</f>
        <v/>
      </c>
      <c r="H489" s="37" t="str">
        <f>IFERROR(LOOKUP(2,1/((HISTORIAL!$O$3:$O$487=D489&amp;"|"&amp;E489)*(HISTORIAL!$F$3:$F$487&lt;&gt;"")),HISTORIAL!$G$3:$G$487),"")</f>
        <v/>
      </c>
      <c r="I489" s="37" t="str">
        <f>IFERROR(LOOKUP(2,1/((HISTORIAL!$O$3:$O$487=D489&amp;"|"&amp;E489)*(HISTORIAL!$F$3:$F$487&lt;&gt;"")),HISTORIAL!$H$3:$H$487),"")</f>
        <v/>
      </c>
      <c r="J489" s="37" t="str">
        <f>IFERROR(LOOKUP(2,1/((HISTORIAL!$O$3:$O$487=D489&amp;"|"&amp;E489)*(HISTORIAL!$F$3:$F$487&lt;&gt;"")),HISTORIAL!$I$3:$I$487),"")</f>
        <v/>
      </c>
      <c r="K489" s="58" t="str">
        <f>IFERROR(IF(OR(G489="",N489="SIN"),"--",IF(N489="SUBIR_F",IF(F489="polea",IFERROR(INDEX(CONFIG!$B$25:$B$40,MATCH(G489,CONFIG!$B$25:$B$40,0)+2),IFERROR(INDEX(CONFIG!$B$25:$B$40,MATCH(G489,CONFIG!$B$25:$B$40,0)+1),G489)),G489+5),IF(OR(N489="SUBIR",N489="SUBIR_E"),IF(F489="polea",IFERROR(INDEX(CONFIG!$B$25:$B$40,MATCH(G489,CONFIG!$B$25:$B$40,0)+1),G489),G489+2.5),IF(N489="BAJAR",IF(F489="polea",IFERROR(INDEX(CONFIG!$B$25:$B$40,MAX(1,MATCH(G489,CONFIG!$B$25:$B$40,0)-1)),G489),MAX(0,G489-2.5)),G489)))),"--")</f>
        <v>--</v>
      </c>
      <c r="L489" s="59" t="str">
        <f>IFERROR(IF(N489="SIN","--",IF(N489="MANT",IF(H489="","--",H489+1),IFERROR(VLOOKUP(CONFIG!$E$2,CONFIG!$A$6:$E$8,2,0),"--"))),"--")</f>
        <v>--</v>
      </c>
      <c r="M489" s="59" t="str">
        <f>IFERROR(IF(N489="SIN","--",IF(CONFIG!$E$2="HIP",2,IF(CONFIG!$E$2="FUE",1,2))),"--")</f>
        <v>--</v>
      </c>
      <c r="N489" s="53" t="str">
        <f>IFERROR(IF(G489="","SIN",IF(O489=1,"SUBIR_E",IF(H489&lt;IFERROR(VLOOKUP(CONFIG!$E$2,CONFIG!$A$6:$E$8,2,0),6),"BAJAR",IF(H489+I489&gt;=IFERROR(VLOOKUP(CONFIG!$E$2,CONFIG!$A$6:$E$8,3,0),12),"SUBIR_F",IF(AND(H489&gt;=IFERROR(VLOOKUP(CONFIG!$E$2,CONFIG!$A$6:$E$8,2,0),6)+2,I489&gt;=2),"SUBIR",IF(I489&gt;IFERROR(VLOOKUP(CONFIG!$E$2,CONFIG!$A$6:$E$8,5,0),3),"SUBIR","MANT")))))),"SIN")</f>
        <v>SIN</v>
      </c>
      <c r="O489" s="55">
        <f>IF(COUNTIFS(HISTORIAL!$O$3:$O$487,D489&amp;"|"&amp;E489,HISTORIAL!$F$3:$F$487,"&gt;0")&lt;2,0,IF(COUNTIFS(HISTORIAL!$O$3:$O$487,D489&amp;"|"&amp;E489,HISTORIAL!$F$3:$F$487,IFERROR(LOOKUP(2,1/((HISTORIAL!$O$3:$O$487=D489&amp;"|"&amp;E489)*(HISTORIAL!$F$3:$F$487&gt;0)),HISTORIAL!$F$3:$F$487),0))&gt;=2,IF(IFERROR(LOOKUP(2,1/((HISTORIAL!$O$3:$O$487=D489&amp;"|"&amp;E489)*(HISTORIAL!$F$3:$F$487&gt;0)),HISTORIAL!$G$3:$G$487),0)&gt;0,IF(F489&gt;0,IF(G489&lt;=IFERROR(LOOKUP(2,1/((HISTORIAL!$O$3:$O$487=D489&amp;"|"&amp;E489)*(HISTORIAL!$F$3:$F$487&gt;0)),HISTORIAL!$G$3:$G$487),0),1,0),0),0),0))</f>
        <v>0</v>
      </c>
    </row>
    <row r="490" spans="1:15" ht="14.1" customHeight="1">
      <c r="A490" s="37">
        <v>8</v>
      </c>
      <c r="B490" s="37" t="s">
        <v>280</v>
      </c>
      <c r="C490" s="37">
        <v>9</v>
      </c>
      <c r="D490" s="56" t="str">
        <f>JUEVES!$A$201</f>
        <v>Press Polea</v>
      </c>
      <c r="E490" s="57" t="str">
        <f>JUEVES!$B$201</f>
        <v>Barra Recta Diagonal Arriba</v>
      </c>
      <c r="F490" s="37" t="str">
        <f>JUEVES!$C$201</f>
        <v>polea</v>
      </c>
      <c r="G490" s="37" t="str">
        <f>IFERROR(LOOKUP(2,1/((HISTORIAL!$O$3:$O$488=D490&amp;"|"&amp;E490)*(HISTORIAL!$F$3:$F$488&lt;&gt;"")),HISTORIAL!$F$3:$F$488),"")</f>
        <v/>
      </c>
      <c r="H490" s="37" t="str">
        <f>IFERROR(LOOKUP(2,1/((HISTORIAL!$O$3:$O$488=D490&amp;"|"&amp;E490)*(HISTORIAL!$F$3:$F$488&lt;&gt;"")),HISTORIAL!$G$3:$G$488),"")</f>
        <v/>
      </c>
      <c r="I490" s="37" t="str">
        <f>IFERROR(LOOKUP(2,1/((HISTORIAL!$O$3:$O$488=D490&amp;"|"&amp;E490)*(HISTORIAL!$F$3:$F$488&lt;&gt;"")),HISTORIAL!$H$3:$H$488),"")</f>
        <v/>
      </c>
      <c r="J490" s="37" t="str">
        <f>IFERROR(LOOKUP(2,1/((HISTORIAL!$O$3:$O$488=D490&amp;"|"&amp;E490)*(HISTORIAL!$F$3:$F$488&lt;&gt;"")),HISTORIAL!$I$3:$I$488),"")</f>
        <v/>
      </c>
      <c r="K490" s="58" t="str">
        <f>IFERROR(IF(OR(G490="",N490="SIN"),"--",IF(N490="SUBIR_F",IF(F490="polea",IFERROR(INDEX(CONFIG!$B$25:$B$40,MATCH(G490,CONFIG!$B$25:$B$40,0)+2),IFERROR(INDEX(CONFIG!$B$25:$B$40,MATCH(G490,CONFIG!$B$25:$B$40,0)+1),G490)),G490+5),IF(OR(N490="SUBIR",N490="SUBIR_E"),IF(F490="polea",IFERROR(INDEX(CONFIG!$B$25:$B$40,MATCH(G490,CONFIG!$B$25:$B$40,0)+1),G490),G490+2.5),IF(N490="BAJAR",IF(F490="polea",IFERROR(INDEX(CONFIG!$B$25:$B$40,MAX(1,MATCH(G490,CONFIG!$B$25:$B$40,0)-1)),G490),MAX(0,G490-2.5)),G490)))),"--")</f>
        <v>--</v>
      </c>
      <c r="L490" s="59" t="str">
        <f>IFERROR(IF(N490="SIN","--",IF(N490="MANT",IF(H490="","--",H490+1),IFERROR(VLOOKUP(CONFIG!$E$2,CONFIG!$A$6:$E$8,2,0),"--"))),"--")</f>
        <v>--</v>
      </c>
      <c r="M490" s="59" t="str">
        <f>IFERROR(IF(N490="SIN","--",IF(CONFIG!$E$2="HIP",2,IF(CONFIG!$E$2="FUE",1,2))),"--")</f>
        <v>--</v>
      </c>
      <c r="N490" s="53" t="str">
        <f>IFERROR(IF(G490="","SIN",IF(O490=1,"SUBIR_E",IF(H490&lt;IFERROR(VLOOKUP(CONFIG!$E$2,CONFIG!$A$6:$E$8,2,0),6),"BAJAR",IF(H490+I490&gt;=IFERROR(VLOOKUP(CONFIG!$E$2,CONFIG!$A$6:$E$8,3,0),12),"SUBIR_F",IF(AND(H490&gt;=IFERROR(VLOOKUP(CONFIG!$E$2,CONFIG!$A$6:$E$8,2,0),6)+2,I490&gt;=2),"SUBIR",IF(I490&gt;IFERROR(VLOOKUP(CONFIG!$E$2,CONFIG!$A$6:$E$8,5,0),3),"SUBIR","MANT")))))),"SIN")</f>
        <v>SIN</v>
      </c>
      <c r="O490" s="55">
        <f>IF(COUNTIFS(HISTORIAL!$O$3:$O$488,D490&amp;"|"&amp;E490,HISTORIAL!$F$3:$F$488,"&gt;0")&lt;2,0,IF(COUNTIFS(HISTORIAL!$O$3:$O$488,D490&amp;"|"&amp;E490,HISTORIAL!$F$3:$F$488,IFERROR(LOOKUP(2,1/((HISTORIAL!$O$3:$O$488=D490&amp;"|"&amp;E490)*(HISTORIAL!$F$3:$F$488&gt;0)),HISTORIAL!$F$3:$F$488),0))&gt;=2,IF(IFERROR(LOOKUP(2,1/((HISTORIAL!$O$3:$O$488=D490&amp;"|"&amp;E490)*(HISTORIAL!$F$3:$F$488&gt;0)),HISTORIAL!$G$3:$G$488),0)&gt;0,IF(F490&gt;0,IF(G490&lt;=IFERROR(LOOKUP(2,1/((HISTORIAL!$O$3:$O$488=D490&amp;"|"&amp;E490)*(HISTORIAL!$F$3:$F$488&gt;0)),HISTORIAL!$G$3:$G$488),0),1,0),0),0),0))</f>
        <v>0</v>
      </c>
    </row>
    <row r="491" spans="1:15" ht="14.1" customHeight="1">
      <c r="A491" s="37">
        <v>8</v>
      </c>
      <c r="B491" s="37" t="s">
        <v>280</v>
      </c>
      <c r="C491" s="37">
        <v>10</v>
      </c>
      <c r="D491" s="56" t="str">
        <f>JUEVES!$A$202</f>
        <v>Extension Triceps</v>
      </c>
      <c r="E491" s="57" t="str">
        <f>JUEVES!$B$202</f>
        <v>Polea Sobre Cabeza</v>
      </c>
      <c r="F491" s="37" t="str">
        <f>JUEVES!$C$202</f>
        <v>--</v>
      </c>
      <c r="G491" s="37" t="str">
        <f>IFERROR(LOOKUP(2,1/((HISTORIAL!$O$3:$O$489=D491&amp;"|"&amp;E491)*(HISTORIAL!$F$3:$F$489&lt;&gt;"")),HISTORIAL!$F$3:$F$489),"")</f>
        <v/>
      </c>
      <c r="H491" s="37" t="str">
        <f>IFERROR(LOOKUP(2,1/((HISTORIAL!$O$3:$O$489=D491&amp;"|"&amp;E491)*(HISTORIAL!$F$3:$F$489&lt;&gt;"")),HISTORIAL!$G$3:$G$489),"")</f>
        <v/>
      </c>
      <c r="I491" s="37" t="str">
        <f>IFERROR(LOOKUP(2,1/((HISTORIAL!$O$3:$O$489=D491&amp;"|"&amp;E491)*(HISTORIAL!$F$3:$F$489&lt;&gt;"")),HISTORIAL!$H$3:$H$489),"")</f>
        <v/>
      </c>
      <c r="J491" s="37" t="str">
        <f>IFERROR(LOOKUP(2,1/((HISTORIAL!$O$3:$O$489=D491&amp;"|"&amp;E491)*(HISTORIAL!$F$3:$F$489&lt;&gt;"")),HISTORIAL!$I$3:$I$489),"")</f>
        <v/>
      </c>
      <c r="K491" s="58" t="str">
        <f>IFERROR(IF(OR(G491="",N491="SIN"),"--",IF(N491="SUBIR_F",IF(F491="polea",IFERROR(INDEX(CONFIG!$B$25:$B$40,MATCH(G491,CONFIG!$B$25:$B$40,0)+2),IFERROR(INDEX(CONFIG!$B$25:$B$40,MATCH(G491,CONFIG!$B$25:$B$40,0)+1),G491)),G491+5),IF(OR(N491="SUBIR",N491="SUBIR_E"),IF(F491="polea",IFERROR(INDEX(CONFIG!$B$25:$B$40,MATCH(G491,CONFIG!$B$25:$B$40,0)+1),G491),G491+2.5),IF(N491="BAJAR",IF(F491="polea",IFERROR(INDEX(CONFIG!$B$25:$B$40,MAX(1,MATCH(G491,CONFIG!$B$25:$B$40,0)-1)),G491),MAX(0,G491-2.5)),G491)))),"--")</f>
        <v>--</v>
      </c>
      <c r="L491" s="59" t="str">
        <f>IFERROR(IF(N491="SIN","--",IF(N491="MANT",IF(H491="","--",H491+1),IFERROR(VLOOKUP(CONFIG!$E$2,CONFIG!$A$6:$E$8,2,0),"--"))),"--")</f>
        <v>--</v>
      </c>
      <c r="M491" s="59" t="str">
        <f>IFERROR(IF(N491="SIN","--",IF(CONFIG!$E$2="HIP",2,IF(CONFIG!$E$2="FUE",1,2))),"--")</f>
        <v>--</v>
      </c>
      <c r="N491" s="53" t="str">
        <f>IFERROR(IF(G491="","SIN",IF(O491=1,"SUBIR_E",IF(H491&lt;IFERROR(VLOOKUP(CONFIG!$E$2,CONFIG!$A$6:$E$8,2,0),6),"BAJAR",IF(H491+I491&gt;=IFERROR(VLOOKUP(CONFIG!$E$2,CONFIG!$A$6:$E$8,3,0),12),"SUBIR_F",IF(AND(H491&gt;=IFERROR(VLOOKUP(CONFIG!$E$2,CONFIG!$A$6:$E$8,2,0),6)+2,I491&gt;=2),"SUBIR",IF(I491&gt;IFERROR(VLOOKUP(CONFIG!$E$2,CONFIG!$A$6:$E$8,5,0),3),"SUBIR","MANT")))))),"SIN")</f>
        <v>SIN</v>
      </c>
      <c r="O491" s="55">
        <f>IF(COUNTIFS(HISTORIAL!$O$3:$O$489,D491&amp;"|"&amp;E491,HISTORIAL!$F$3:$F$489,"&gt;0")&lt;2,0,IF(COUNTIFS(HISTORIAL!$O$3:$O$489,D491&amp;"|"&amp;E491,HISTORIAL!$F$3:$F$489,IFERROR(LOOKUP(2,1/((HISTORIAL!$O$3:$O$489=D491&amp;"|"&amp;E491)*(HISTORIAL!$F$3:$F$489&gt;0)),HISTORIAL!$F$3:$F$489),0))&gt;=2,IF(IFERROR(LOOKUP(2,1/((HISTORIAL!$O$3:$O$489=D491&amp;"|"&amp;E491)*(HISTORIAL!$F$3:$F$489&gt;0)),HISTORIAL!$G$3:$G$489),0)&gt;0,IF(F491&gt;0,IF(G491&lt;=IFERROR(LOOKUP(2,1/((HISTORIAL!$O$3:$O$489=D491&amp;"|"&amp;E491)*(HISTORIAL!$F$3:$F$489&gt;0)),HISTORIAL!$G$3:$G$489),0),1,0),0),0),0))</f>
        <v>0</v>
      </c>
    </row>
    <row r="492" spans="1:15" ht="14.1" customHeight="1">
      <c r="A492" s="37">
        <v>8</v>
      </c>
      <c r="B492" s="37" t="s">
        <v>280</v>
      </c>
      <c r="C492" s="37">
        <v>11</v>
      </c>
      <c r="D492" s="56" t="str">
        <f>JUEVES!$A$204</f>
        <v>Extension Cuadriceps</v>
      </c>
      <c r="E492" s="57" t="str">
        <f>JUEVES!$B$204</f>
        <v>Vasto Interno</v>
      </c>
      <c r="F492" s="37" t="str">
        <f>JUEVES!$C$204</f>
        <v>--</v>
      </c>
      <c r="G492" s="37" t="str">
        <f>IFERROR(LOOKUP(2,1/((HISTORIAL!$O$3:$O$490=D492&amp;"|"&amp;E492)*(HISTORIAL!$F$3:$F$490&lt;&gt;"")),HISTORIAL!$F$3:$F$490),"")</f>
        <v/>
      </c>
      <c r="H492" s="37" t="str">
        <f>IFERROR(LOOKUP(2,1/((HISTORIAL!$O$3:$O$490=D492&amp;"|"&amp;E492)*(HISTORIAL!$F$3:$F$490&lt;&gt;"")),HISTORIAL!$G$3:$G$490),"")</f>
        <v/>
      </c>
      <c r="I492" s="37" t="str">
        <f>IFERROR(LOOKUP(2,1/((HISTORIAL!$O$3:$O$490=D492&amp;"|"&amp;E492)*(HISTORIAL!$F$3:$F$490&lt;&gt;"")),HISTORIAL!$H$3:$H$490),"")</f>
        <v/>
      </c>
      <c r="J492" s="37" t="str">
        <f>IFERROR(LOOKUP(2,1/((HISTORIAL!$O$3:$O$490=D492&amp;"|"&amp;E492)*(HISTORIAL!$F$3:$F$490&lt;&gt;"")),HISTORIAL!$I$3:$I$490),"")</f>
        <v/>
      </c>
      <c r="K492" s="58" t="str">
        <f>IFERROR(IF(OR(G492="",N492="SIN"),"--",IF(N492="SUBIR_F",IF(F492="polea",IFERROR(INDEX(CONFIG!$B$25:$B$40,MATCH(G492,CONFIG!$B$25:$B$40,0)+2),IFERROR(INDEX(CONFIG!$B$25:$B$40,MATCH(G492,CONFIG!$B$25:$B$40,0)+1),G492)),G492+5),IF(OR(N492="SUBIR",N492="SUBIR_E"),IF(F492="polea",IFERROR(INDEX(CONFIG!$B$25:$B$40,MATCH(G492,CONFIG!$B$25:$B$40,0)+1),G492),G492+2.5),IF(N492="BAJAR",IF(F492="polea",IFERROR(INDEX(CONFIG!$B$25:$B$40,MAX(1,MATCH(G492,CONFIG!$B$25:$B$40,0)-1)),G492),MAX(0,G492-2.5)),G492)))),"--")</f>
        <v>--</v>
      </c>
      <c r="L492" s="59" t="str">
        <f>IFERROR(IF(N492="SIN","--",IF(N492="MANT",IF(H492="","--",H492+1),IFERROR(VLOOKUP(CONFIG!$E$2,CONFIG!$A$6:$E$8,2,0),"--"))),"--")</f>
        <v>--</v>
      </c>
      <c r="M492" s="59" t="str">
        <f>IFERROR(IF(N492="SIN","--",IF(CONFIG!$E$2="HIP",2,IF(CONFIG!$E$2="FUE",1,2))),"--")</f>
        <v>--</v>
      </c>
      <c r="N492" s="53" t="str">
        <f>IFERROR(IF(G492="","SIN",IF(O492=1,"SUBIR_E",IF(H492&lt;IFERROR(VLOOKUP(CONFIG!$E$2,CONFIG!$A$6:$E$8,2,0),6),"BAJAR",IF(H492+I492&gt;=IFERROR(VLOOKUP(CONFIG!$E$2,CONFIG!$A$6:$E$8,3,0),12),"SUBIR_F",IF(AND(H492&gt;=IFERROR(VLOOKUP(CONFIG!$E$2,CONFIG!$A$6:$E$8,2,0),6)+2,I492&gt;=2),"SUBIR",IF(I492&gt;IFERROR(VLOOKUP(CONFIG!$E$2,CONFIG!$A$6:$E$8,5,0),3),"SUBIR","MANT")))))),"SIN")</f>
        <v>SIN</v>
      </c>
      <c r="O492" s="55">
        <f>IF(COUNTIFS(HISTORIAL!$O$3:$O$490,D492&amp;"|"&amp;E492,HISTORIAL!$F$3:$F$490,"&gt;0")&lt;2,0,IF(COUNTIFS(HISTORIAL!$O$3:$O$490,D492&amp;"|"&amp;E492,HISTORIAL!$F$3:$F$490,IFERROR(LOOKUP(2,1/((HISTORIAL!$O$3:$O$490=D492&amp;"|"&amp;E492)*(HISTORIAL!$F$3:$F$490&gt;0)),HISTORIAL!$F$3:$F$490),0))&gt;=2,IF(IFERROR(LOOKUP(2,1/((HISTORIAL!$O$3:$O$490=D492&amp;"|"&amp;E492)*(HISTORIAL!$F$3:$F$490&gt;0)),HISTORIAL!$G$3:$G$490),0)&gt;0,IF(F492&gt;0,IF(G492&lt;=IFERROR(LOOKUP(2,1/((HISTORIAL!$O$3:$O$490=D492&amp;"|"&amp;E492)*(HISTORIAL!$F$3:$F$490&gt;0)),HISTORIAL!$G$3:$G$490),0),1,0),0),0),0))</f>
        <v>0</v>
      </c>
    </row>
    <row r="493" spans="1:15" ht="14.1" customHeight="1">
      <c r="A493" s="37">
        <v>8</v>
      </c>
      <c r="B493" s="37" t="s">
        <v>280</v>
      </c>
      <c r="C493" s="37">
        <v>12</v>
      </c>
      <c r="D493" s="56" t="str">
        <f>JUEVES!$A$206</f>
        <v>Curl Biceps</v>
      </c>
      <c r="E493" s="57" t="str">
        <f>JUEVES!$B$206</f>
        <v>Concentrado Maquina</v>
      </c>
      <c r="F493" s="37" t="str">
        <f>JUEVES!$C$206</f>
        <v>polea</v>
      </c>
      <c r="G493" s="37">
        <f>IFERROR(LOOKUP(2,1/((HISTORIAL!$O$3:$O$491=D493&amp;"|"&amp;E493)*(HISTORIAL!$F$3:$F$491&lt;&gt;"")),HISTORIAL!$F$3:$F$491),"")</f>
        <v>40</v>
      </c>
      <c r="H493" s="37">
        <f>IFERROR(LOOKUP(2,1/((HISTORIAL!$O$3:$O$491=D493&amp;"|"&amp;E493)*(HISTORIAL!$F$3:$F$491&lt;&gt;"")),HISTORIAL!$G$3:$G$491),"")</f>
        <v>6</v>
      </c>
      <c r="I493" s="37">
        <f>IFERROR(LOOKUP(2,1/((HISTORIAL!$O$3:$O$491=D493&amp;"|"&amp;E493)*(HISTORIAL!$F$3:$F$491&lt;&gt;"")),HISTORIAL!$H$3:$H$491),"")</f>
        <v>0</v>
      </c>
      <c r="J493" s="37" t="str">
        <f>IFERROR(LOOKUP(2,1/((HISTORIAL!$O$3:$O$491=D493&amp;"|"&amp;E493)*(HISTORIAL!$F$3:$F$491&lt;&gt;"")),HISTORIAL!$I$3:$I$491),"")</f>
        <v>B</v>
      </c>
      <c r="K493" s="58">
        <f>IFERROR(IF(OR(G493="",N493="SIN"),"--",IF(N493="SUBIR_F",IF(F493="polea",IFERROR(INDEX(CONFIG!$B$25:$B$40,MATCH(G493,CONFIG!$B$25:$B$40,0)+2),IFERROR(INDEX(CONFIG!$B$25:$B$40,MATCH(G493,CONFIG!$B$25:$B$40,0)+1),G493)),G493+5),IF(OR(N493="SUBIR",N493="SUBIR_E"),IF(F493="polea",IFERROR(INDEX(CONFIG!$B$25:$B$40,MATCH(G493,CONFIG!$B$25:$B$40,0)+1),G493),G493+2.5),IF(N493="BAJAR",IF(F493="polea",IFERROR(INDEX(CONFIG!$B$25:$B$40,MAX(1,MATCH(G493,CONFIG!$B$25:$B$40,0)-1)),G493),MAX(0,G493-2.5)),G493)))),"--")</f>
        <v>40</v>
      </c>
      <c r="L493" s="59">
        <f>IFERROR(IF(N493="SIN","--",IF(N493="MANT",IF(H493="","--",H493+1),IFERROR(VLOOKUP(CONFIG!$E$2,CONFIG!$A$6:$E$8,2,0),"--"))),"--")</f>
        <v>7</v>
      </c>
      <c r="M493" s="59">
        <f>IFERROR(IF(N493="SIN","--",IF(CONFIG!$E$2="HIP",2,IF(CONFIG!$E$2="FUE",1,2))),"--")</f>
        <v>2</v>
      </c>
      <c r="N493" s="53" t="str">
        <f>IFERROR(IF(G493="","SIN",IF(O493=1,"SUBIR_E",IF(H493&lt;IFERROR(VLOOKUP(CONFIG!$E$2,CONFIG!$A$6:$E$8,2,0),6),"BAJAR",IF(H493+I493&gt;=IFERROR(VLOOKUP(CONFIG!$E$2,CONFIG!$A$6:$E$8,3,0),12),"SUBIR_F",IF(AND(H493&gt;=IFERROR(VLOOKUP(CONFIG!$E$2,CONFIG!$A$6:$E$8,2,0),6)+2,I493&gt;=2),"SUBIR",IF(I493&gt;IFERROR(VLOOKUP(CONFIG!$E$2,CONFIG!$A$6:$E$8,5,0),3),"SUBIR","MANT")))))),"SIN")</f>
        <v>MANT</v>
      </c>
      <c r="O493" s="55">
        <f>IF(COUNTIFS(HISTORIAL!$O$3:$O$491,D493&amp;"|"&amp;E493,HISTORIAL!$F$3:$F$491,"&gt;0")&lt;2,0,IF(COUNTIFS(HISTORIAL!$O$3:$O$491,D493&amp;"|"&amp;E493,HISTORIAL!$F$3:$F$491,IFERROR(LOOKUP(2,1/((HISTORIAL!$O$3:$O$491=D493&amp;"|"&amp;E493)*(HISTORIAL!$F$3:$F$491&gt;0)),HISTORIAL!$F$3:$F$491),0))&gt;=2,IF(IFERROR(LOOKUP(2,1/((HISTORIAL!$O$3:$O$491=D493&amp;"|"&amp;E493)*(HISTORIAL!$F$3:$F$491&gt;0)),HISTORIAL!$G$3:$G$491),0)&gt;0,IF(F493&gt;0,IF(G493&lt;=IFERROR(LOOKUP(2,1/((HISTORIAL!$O$3:$O$491=D493&amp;"|"&amp;E493)*(HISTORIAL!$F$3:$F$491&gt;0)),HISTORIAL!$G$3:$G$491),0),1,0),0),0),0))</f>
        <v>0</v>
      </c>
    </row>
    <row r="494" spans="1:15" ht="14.1" customHeight="1">
      <c r="A494" s="37">
        <v>8</v>
      </c>
      <c r="B494" s="37" t="s">
        <v>280</v>
      </c>
      <c r="C494" s="37">
        <v>13</v>
      </c>
      <c r="D494" s="56" t="str">
        <f>JUEVES!$A$208</f>
        <v>Crunch</v>
      </c>
      <c r="E494" s="57" t="str">
        <f>JUEVES!$B$208</f>
        <v>Polea</v>
      </c>
      <c r="F494" s="37" t="str">
        <f>JUEVES!$C$208</f>
        <v>polea</v>
      </c>
      <c r="G494" s="37" t="str">
        <f>IFERROR(LOOKUP(2,1/((HISTORIAL!$O$3:$O$492=D494&amp;"|"&amp;E494)*(HISTORIAL!$F$3:$F$492&lt;&gt;"")),HISTORIAL!$F$3:$F$492),"")</f>
        <v/>
      </c>
      <c r="H494" s="37" t="str">
        <f>IFERROR(LOOKUP(2,1/((HISTORIAL!$O$3:$O$492=D494&amp;"|"&amp;E494)*(HISTORIAL!$F$3:$F$492&lt;&gt;"")),HISTORIAL!$G$3:$G$492),"")</f>
        <v/>
      </c>
      <c r="I494" s="37" t="str">
        <f>IFERROR(LOOKUP(2,1/((HISTORIAL!$O$3:$O$492=D494&amp;"|"&amp;E494)*(HISTORIAL!$F$3:$F$492&lt;&gt;"")),HISTORIAL!$H$3:$H$492),"")</f>
        <v/>
      </c>
      <c r="J494" s="37" t="str">
        <f>IFERROR(LOOKUP(2,1/((HISTORIAL!$O$3:$O$492=D494&amp;"|"&amp;E494)*(HISTORIAL!$F$3:$F$492&lt;&gt;"")),HISTORIAL!$I$3:$I$492),"")</f>
        <v/>
      </c>
      <c r="K494" s="58" t="str">
        <f>IFERROR(IF(OR(G494="",N494="SIN"),"--",IF(N494="SUBIR_F",IF(F494="polea",IFERROR(INDEX(CONFIG!$B$25:$B$40,MATCH(G494,CONFIG!$B$25:$B$40,0)+2),IFERROR(INDEX(CONFIG!$B$25:$B$40,MATCH(G494,CONFIG!$B$25:$B$40,0)+1),G494)),G494+5),IF(OR(N494="SUBIR",N494="SUBIR_E"),IF(F494="polea",IFERROR(INDEX(CONFIG!$B$25:$B$40,MATCH(G494,CONFIG!$B$25:$B$40,0)+1),G494),G494+2.5),IF(N494="BAJAR",IF(F494="polea",IFERROR(INDEX(CONFIG!$B$25:$B$40,MAX(1,MATCH(G494,CONFIG!$B$25:$B$40,0)-1)),G494),MAX(0,G494-2.5)),G494)))),"--")</f>
        <v>--</v>
      </c>
      <c r="L494" s="59" t="str">
        <f>IFERROR(IF(N494="SIN","--",IF(N494="MANT",IF(H494="","--",H494+1),IFERROR(VLOOKUP(CONFIG!$E$2,CONFIG!$A$6:$E$8,2,0),"--"))),"--")</f>
        <v>--</v>
      </c>
      <c r="M494" s="59" t="str">
        <f>IFERROR(IF(N494="SIN","--",IF(CONFIG!$E$2="HIP",2,IF(CONFIG!$E$2="FUE",1,2))),"--")</f>
        <v>--</v>
      </c>
      <c r="N494" s="53" t="str">
        <f>IFERROR(IF(G494="","SIN",IF(O494=1,"SUBIR_E",IF(H494&lt;IFERROR(VLOOKUP(CONFIG!$E$2,CONFIG!$A$6:$E$8,2,0),6),"BAJAR",IF(H494+I494&gt;=IFERROR(VLOOKUP(CONFIG!$E$2,CONFIG!$A$6:$E$8,3,0),12),"SUBIR_F",IF(AND(H494&gt;=IFERROR(VLOOKUP(CONFIG!$E$2,CONFIG!$A$6:$E$8,2,0),6)+2,I494&gt;=2),"SUBIR",IF(I494&gt;IFERROR(VLOOKUP(CONFIG!$E$2,CONFIG!$A$6:$E$8,5,0),3),"SUBIR","MANT")))))),"SIN")</f>
        <v>SIN</v>
      </c>
      <c r="O494" s="55">
        <f>IF(COUNTIFS(HISTORIAL!$O$3:$O$492,D494&amp;"|"&amp;E494,HISTORIAL!$F$3:$F$492,"&gt;0")&lt;2,0,IF(COUNTIFS(HISTORIAL!$O$3:$O$492,D494&amp;"|"&amp;E494,HISTORIAL!$F$3:$F$492,IFERROR(LOOKUP(2,1/((HISTORIAL!$O$3:$O$492=D494&amp;"|"&amp;E494)*(HISTORIAL!$F$3:$F$492&gt;0)),HISTORIAL!$F$3:$F$492),0))&gt;=2,IF(IFERROR(LOOKUP(2,1/((HISTORIAL!$O$3:$O$492=D494&amp;"|"&amp;E494)*(HISTORIAL!$F$3:$F$492&gt;0)),HISTORIAL!$G$3:$G$492),0)&gt;0,IF(F494&gt;0,IF(G494&lt;=IFERROR(LOOKUP(2,1/((HISTORIAL!$O$3:$O$492=D494&amp;"|"&amp;E494)*(HISTORIAL!$F$3:$F$492&gt;0)),HISTORIAL!$G$3:$G$492),0),1,0),0),0),0))</f>
        <v>0</v>
      </c>
    </row>
    <row r="495" spans="1:15" ht="14.1" customHeight="1">
      <c r="A495" s="37">
        <v>8</v>
      </c>
      <c r="B495" s="37" t="s">
        <v>281</v>
      </c>
      <c r="C495" s="37">
        <v>1</v>
      </c>
      <c r="D495" s="56" t="str">
        <f>SABADO!$A$181</f>
        <v>Pulldown</v>
      </c>
      <c r="E495" s="57" t="str">
        <f>SABADO!$B$181</f>
        <v>Polea Alta Brazos Rectos Prono</v>
      </c>
      <c r="F495" s="37" t="str">
        <f>SABADO!$C$181</f>
        <v>polea</v>
      </c>
      <c r="G495" s="37" t="str">
        <f>IFERROR(LOOKUP(2,1/((HISTORIAL!$O$3:$O$493=D495&amp;"|"&amp;E495)*(HISTORIAL!$F$3:$F$493&lt;&gt;"")),HISTORIAL!$F$3:$F$493),"")</f>
        <v/>
      </c>
      <c r="H495" s="37" t="str">
        <f>IFERROR(LOOKUP(2,1/((HISTORIAL!$O$3:$O$493=D495&amp;"|"&amp;E495)*(HISTORIAL!$F$3:$F$493&lt;&gt;"")),HISTORIAL!$G$3:$G$493),"")</f>
        <v/>
      </c>
      <c r="I495" s="37" t="str">
        <f>IFERROR(LOOKUP(2,1/((HISTORIAL!$O$3:$O$493=D495&amp;"|"&amp;E495)*(HISTORIAL!$F$3:$F$493&lt;&gt;"")),HISTORIAL!$H$3:$H$493),"")</f>
        <v/>
      </c>
      <c r="J495" s="37" t="str">
        <f>IFERROR(LOOKUP(2,1/((HISTORIAL!$O$3:$O$493=D495&amp;"|"&amp;E495)*(HISTORIAL!$F$3:$F$493&lt;&gt;"")),HISTORIAL!$I$3:$I$493),"")</f>
        <v/>
      </c>
      <c r="K495" s="58" t="str">
        <f>IFERROR(IF(OR(G495="",N495="SIN"),"--",IF(N495="SUBIR_F",IF(F495="polea",IFERROR(INDEX(CONFIG!$B$25:$B$40,MATCH(G495,CONFIG!$B$25:$B$40,0)+2),IFERROR(INDEX(CONFIG!$B$25:$B$40,MATCH(G495,CONFIG!$B$25:$B$40,0)+1),G495)),G495+5),IF(OR(N495="SUBIR",N495="SUBIR_E"),IF(F495="polea",IFERROR(INDEX(CONFIG!$B$25:$B$40,MATCH(G495,CONFIG!$B$25:$B$40,0)+1),G495),G495+2.5),IF(N495="BAJAR",IF(F495="polea",IFERROR(INDEX(CONFIG!$B$25:$B$40,MAX(1,MATCH(G495,CONFIG!$B$25:$B$40,0)-1)),G495),MAX(0,G495-2.5)),G495)))),"--")</f>
        <v>--</v>
      </c>
      <c r="L495" s="59" t="str">
        <f>IFERROR(IF(N495="SIN","--",IF(N495="MANT",IF(H495="","--",H495+1),IFERROR(VLOOKUP(CONFIG!$E$2,CONFIG!$A$6:$E$8,2,0),"--"))),"--")</f>
        <v>--</v>
      </c>
      <c r="M495" s="59" t="str">
        <f>IFERROR(IF(N495="SIN","--",IF(CONFIG!$E$2="HIP",2,IF(CONFIG!$E$2="FUE",1,2))),"--")</f>
        <v>--</v>
      </c>
      <c r="N495" s="53" t="str">
        <f>IFERROR(IF(G495="","SIN",IF(O495=1,"SUBIR_E",IF(H495&lt;IFERROR(VLOOKUP(CONFIG!$E$2,CONFIG!$A$6:$E$8,2,0),6),"BAJAR",IF(H495+I495&gt;=IFERROR(VLOOKUP(CONFIG!$E$2,CONFIG!$A$6:$E$8,3,0),12),"SUBIR_F",IF(AND(H495&gt;=IFERROR(VLOOKUP(CONFIG!$E$2,CONFIG!$A$6:$E$8,2,0),6)+2,I495&gt;=2),"SUBIR",IF(I495&gt;IFERROR(VLOOKUP(CONFIG!$E$2,CONFIG!$A$6:$E$8,5,0),3),"SUBIR","MANT")))))),"SIN")</f>
        <v>SIN</v>
      </c>
      <c r="O495" s="55">
        <f>IF(COUNTIFS(HISTORIAL!$O$3:$O$493,D495&amp;"|"&amp;E495,HISTORIAL!$F$3:$F$493,"&gt;0")&lt;2,0,IF(COUNTIFS(HISTORIAL!$O$3:$O$493,D495&amp;"|"&amp;E495,HISTORIAL!$F$3:$F$493,IFERROR(LOOKUP(2,1/((HISTORIAL!$O$3:$O$493=D495&amp;"|"&amp;E495)*(HISTORIAL!$F$3:$F$493&gt;0)),HISTORIAL!$F$3:$F$493),0))&gt;=2,IF(IFERROR(LOOKUP(2,1/((HISTORIAL!$O$3:$O$493=D495&amp;"|"&amp;E495)*(HISTORIAL!$F$3:$F$493&gt;0)),HISTORIAL!$G$3:$G$493),0)&gt;0,IF(F495&gt;0,IF(G495&lt;=IFERROR(LOOKUP(2,1/((HISTORIAL!$O$3:$O$493=D495&amp;"|"&amp;E495)*(HISTORIAL!$F$3:$F$493&gt;0)),HISTORIAL!$G$3:$G$493),0),1,0),0),0),0))</f>
        <v>0</v>
      </c>
    </row>
    <row r="496" spans="1:15" ht="14.1" customHeight="1">
      <c r="A496" s="37">
        <v>8</v>
      </c>
      <c r="B496" s="37" t="s">
        <v>281</v>
      </c>
      <c r="C496" s="37">
        <v>2</v>
      </c>
      <c r="D496" s="56" t="str">
        <f>SABADO!$A$183</f>
        <v>Remo</v>
      </c>
      <c r="E496" s="57" t="str">
        <f>SABADO!$B$183</f>
        <v>Maquina Neutro Estrecho</v>
      </c>
      <c r="F496" s="37" t="str">
        <f>SABADO!$C$183</f>
        <v>polea</v>
      </c>
      <c r="G496" s="37" t="str">
        <f>IFERROR(LOOKUP(2,1/((HISTORIAL!$O$3:$O$494=D496&amp;"|"&amp;E496)*(HISTORIAL!$F$3:$F$494&lt;&gt;"")),HISTORIAL!$F$3:$F$494),"")</f>
        <v/>
      </c>
      <c r="H496" s="37" t="str">
        <f>IFERROR(LOOKUP(2,1/((HISTORIAL!$O$3:$O$494=D496&amp;"|"&amp;E496)*(HISTORIAL!$F$3:$F$494&lt;&gt;"")),HISTORIAL!$G$3:$G$494),"")</f>
        <v/>
      </c>
      <c r="I496" s="37" t="str">
        <f>IFERROR(LOOKUP(2,1/((HISTORIAL!$O$3:$O$494=D496&amp;"|"&amp;E496)*(HISTORIAL!$F$3:$F$494&lt;&gt;"")),HISTORIAL!$H$3:$H$494),"")</f>
        <v/>
      </c>
      <c r="J496" s="37" t="str">
        <f>IFERROR(LOOKUP(2,1/((HISTORIAL!$O$3:$O$494=D496&amp;"|"&amp;E496)*(HISTORIAL!$F$3:$F$494&lt;&gt;"")),HISTORIAL!$I$3:$I$494),"")</f>
        <v/>
      </c>
      <c r="K496" s="58" t="str">
        <f>IFERROR(IF(OR(G496="",N496="SIN"),"--",IF(N496="SUBIR_F",IF(F496="polea",IFERROR(INDEX(CONFIG!$B$25:$B$40,MATCH(G496,CONFIG!$B$25:$B$40,0)+2),IFERROR(INDEX(CONFIG!$B$25:$B$40,MATCH(G496,CONFIG!$B$25:$B$40,0)+1),G496)),G496+5),IF(OR(N496="SUBIR",N496="SUBIR_E"),IF(F496="polea",IFERROR(INDEX(CONFIG!$B$25:$B$40,MATCH(G496,CONFIG!$B$25:$B$40,0)+1),G496),G496+2.5),IF(N496="BAJAR",IF(F496="polea",IFERROR(INDEX(CONFIG!$B$25:$B$40,MAX(1,MATCH(G496,CONFIG!$B$25:$B$40,0)-1)),G496),MAX(0,G496-2.5)),G496)))),"--")</f>
        <v>--</v>
      </c>
      <c r="L496" s="59" t="str">
        <f>IFERROR(IF(N496="SIN","--",IF(N496="MANT",IF(H496="","--",H496+1),IFERROR(VLOOKUP(CONFIG!$E$2,CONFIG!$A$6:$E$8,2,0),"--"))),"--")</f>
        <v>--</v>
      </c>
      <c r="M496" s="59" t="str">
        <f>IFERROR(IF(N496="SIN","--",IF(CONFIG!$E$2="HIP",2,IF(CONFIG!$E$2="FUE",1,2))),"--")</f>
        <v>--</v>
      </c>
      <c r="N496" s="53" t="str">
        <f>IFERROR(IF(G496="","SIN",IF(O496=1,"SUBIR_E",IF(H496&lt;IFERROR(VLOOKUP(CONFIG!$E$2,CONFIG!$A$6:$E$8,2,0),6),"BAJAR",IF(H496+I496&gt;=IFERROR(VLOOKUP(CONFIG!$E$2,CONFIG!$A$6:$E$8,3,0),12),"SUBIR_F",IF(AND(H496&gt;=IFERROR(VLOOKUP(CONFIG!$E$2,CONFIG!$A$6:$E$8,2,0),6)+2,I496&gt;=2),"SUBIR",IF(I496&gt;IFERROR(VLOOKUP(CONFIG!$E$2,CONFIG!$A$6:$E$8,5,0),3),"SUBIR","MANT")))))),"SIN")</f>
        <v>SIN</v>
      </c>
      <c r="O496" s="55">
        <f>IF(COUNTIFS(HISTORIAL!$O$3:$O$494,D496&amp;"|"&amp;E496,HISTORIAL!$F$3:$F$494,"&gt;0")&lt;2,0,IF(COUNTIFS(HISTORIAL!$O$3:$O$494,D496&amp;"|"&amp;E496,HISTORIAL!$F$3:$F$494,IFERROR(LOOKUP(2,1/((HISTORIAL!$O$3:$O$494=D496&amp;"|"&amp;E496)*(HISTORIAL!$F$3:$F$494&gt;0)),HISTORIAL!$F$3:$F$494),0))&gt;=2,IF(IFERROR(LOOKUP(2,1/((HISTORIAL!$O$3:$O$494=D496&amp;"|"&amp;E496)*(HISTORIAL!$F$3:$F$494&gt;0)),HISTORIAL!$G$3:$G$494),0)&gt;0,IF(F496&gt;0,IF(G496&lt;=IFERROR(LOOKUP(2,1/((HISTORIAL!$O$3:$O$494=D496&amp;"|"&amp;E496)*(HISTORIAL!$F$3:$F$494&gt;0)),HISTORIAL!$G$3:$G$494),0),1,0),0),0),0))</f>
        <v>0</v>
      </c>
    </row>
    <row r="497" spans="1:15" ht="14.1" customHeight="1">
      <c r="A497" s="37">
        <v>8</v>
      </c>
      <c r="B497" s="37" t="s">
        <v>281</v>
      </c>
      <c r="C497" s="37">
        <v>3</v>
      </c>
      <c r="D497" s="56" t="str">
        <f>SABADO!$A$184</f>
        <v>Remo</v>
      </c>
      <c r="E497" s="57" t="str">
        <f>SABADO!$B$184</f>
        <v>Maquina Neutro Ancho</v>
      </c>
      <c r="F497" s="37" t="str">
        <f>SABADO!$C$184</f>
        <v>polea</v>
      </c>
      <c r="G497" s="37" t="str">
        <f>IFERROR(LOOKUP(2,1/((HISTORIAL!$O$3:$O$495=D497&amp;"|"&amp;E497)*(HISTORIAL!$F$3:$F$495&lt;&gt;"")),HISTORIAL!$F$3:$F$495),"")</f>
        <v/>
      </c>
      <c r="H497" s="37" t="str">
        <f>IFERROR(LOOKUP(2,1/((HISTORIAL!$O$3:$O$495=D497&amp;"|"&amp;E497)*(HISTORIAL!$F$3:$F$495&lt;&gt;"")),HISTORIAL!$G$3:$G$495),"")</f>
        <v/>
      </c>
      <c r="I497" s="37" t="str">
        <f>IFERROR(LOOKUP(2,1/((HISTORIAL!$O$3:$O$495=D497&amp;"|"&amp;E497)*(HISTORIAL!$F$3:$F$495&lt;&gt;"")),HISTORIAL!$H$3:$H$495),"")</f>
        <v/>
      </c>
      <c r="J497" s="37" t="str">
        <f>IFERROR(LOOKUP(2,1/((HISTORIAL!$O$3:$O$495=D497&amp;"|"&amp;E497)*(HISTORIAL!$F$3:$F$495&lt;&gt;"")),HISTORIAL!$I$3:$I$495),"")</f>
        <v/>
      </c>
      <c r="K497" s="58" t="str">
        <f>IFERROR(IF(OR(G497="",N497="SIN"),"--",IF(N497="SUBIR_F",IF(F497="polea",IFERROR(INDEX(CONFIG!$B$25:$B$40,MATCH(G497,CONFIG!$B$25:$B$40,0)+2),IFERROR(INDEX(CONFIG!$B$25:$B$40,MATCH(G497,CONFIG!$B$25:$B$40,0)+1),G497)),G497+5),IF(OR(N497="SUBIR",N497="SUBIR_E"),IF(F497="polea",IFERROR(INDEX(CONFIG!$B$25:$B$40,MATCH(G497,CONFIG!$B$25:$B$40,0)+1),G497),G497+2.5),IF(N497="BAJAR",IF(F497="polea",IFERROR(INDEX(CONFIG!$B$25:$B$40,MAX(1,MATCH(G497,CONFIG!$B$25:$B$40,0)-1)),G497),MAX(0,G497-2.5)),G497)))),"--")</f>
        <v>--</v>
      </c>
      <c r="L497" s="59" t="str">
        <f>IFERROR(IF(N497="SIN","--",IF(N497="MANT",IF(H497="","--",H497+1),IFERROR(VLOOKUP(CONFIG!$E$2,CONFIG!$A$6:$E$8,2,0),"--"))),"--")</f>
        <v>--</v>
      </c>
      <c r="M497" s="59" t="str">
        <f>IFERROR(IF(N497="SIN","--",IF(CONFIG!$E$2="HIP",2,IF(CONFIG!$E$2="FUE",1,2))),"--")</f>
        <v>--</v>
      </c>
      <c r="N497" s="53" t="str">
        <f>IFERROR(IF(G497="","SIN",IF(O497=1,"SUBIR_E",IF(H497&lt;IFERROR(VLOOKUP(CONFIG!$E$2,CONFIG!$A$6:$E$8,2,0),6),"BAJAR",IF(H497+I497&gt;=IFERROR(VLOOKUP(CONFIG!$E$2,CONFIG!$A$6:$E$8,3,0),12),"SUBIR_F",IF(AND(H497&gt;=IFERROR(VLOOKUP(CONFIG!$E$2,CONFIG!$A$6:$E$8,2,0),6)+2,I497&gt;=2),"SUBIR",IF(I497&gt;IFERROR(VLOOKUP(CONFIG!$E$2,CONFIG!$A$6:$E$8,5,0),3),"SUBIR","MANT")))))),"SIN")</f>
        <v>SIN</v>
      </c>
      <c r="O497" s="55">
        <f>IF(COUNTIFS(HISTORIAL!$O$3:$O$495,D497&amp;"|"&amp;E497,HISTORIAL!$F$3:$F$495,"&gt;0")&lt;2,0,IF(COUNTIFS(HISTORIAL!$O$3:$O$495,D497&amp;"|"&amp;E497,HISTORIAL!$F$3:$F$495,IFERROR(LOOKUP(2,1/((HISTORIAL!$O$3:$O$495=D497&amp;"|"&amp;E497)*(HISTORIAL!$F$3:$F$495&gt;0)),HISTORIAL!$F$3:$F$495),0))&gt;=2,IF(IFERROR(LOOKUP(2,1/((HISTORIAL!$O$3:$O$495=D497&amp;"|"&amp;E497)*(HISTORIAL!$F$3:$F$495&gt;0)),HISTORIAL!$G$3:$G$495),0)&gt;0,IF(F497&gt;0,IF(G497&lt;=IFERROR(LOOKUP(2,1/((HISTORIAL!$O$3:$O$495=D497&amp;"|"&amp;E497)*(HISTORIAL!$F$3:$F$495&gt;0)),HISTORIAL!$G$3:$G$495),0),1,0),0),0),0))</f>
        <v>0</v>
      </c>
    </row>
    <row r="498" spans="1:15" ht="14.1" customHeight="1">
      <c r="A498" s="37">
        <v>8</v>
      </c>
      <c r="B498" s="37" t="s">
        <v>281</v>
      </c>
      <c r="C498" s="37">
        <v>4</v>
      </c>
      <c r="D498" s="56" t="str">
        <f>SABADO!$A$185</f>
        <v>Peck Deck Invertida</v>
      </c>
      <c r="E498" s="57" t="str">
        <f>SABADO!$B$185</f>
        <v>Maquina</v>
      </c>
      <c r="F498" s="37" t="str">
        <f>SABADO!$C$185</f>
        <v>polea</v>
      </c>
      <c r="G498" s="37" t="str">
        <f>IFERROR(LOOKUP(2,1/((HISTORIAL!$O$3:$O$496=D498&amp;"|"&amp;E498)*(HISTORIAL!$F$3:$F$496&lt;&gt;"")),HISTORIAL!$F$3:$F$496),"")</f>
        <v/>
      </c>
      <c r="H498" s="37" t="str">
        <f>IFERROR(LOOKUP(2,1/((HISTORIAL!$O$3:$O$496=D498&amp;"|"&amp;E498)*(HISTORIAL!$F$3:$F$496&lt;&gt;"")),HISTORIAL!$G$3:$G$496),"")</f>
        <v/>
      </c>
      <c r="I498" s="37" t="str">
        <f>IFERROR(LOOKUP(2,1/((HISTORIAL!$O$3:$O$496=D498&amp;"|"&amp;E498)*(HISTORIAL!$F$3:$F$496&lt;&gt;"")),HISTORIAL!$H$3:$H$496),"")</f>
        <v/>
      </c>
      <c r="J498" s="37" t="str">
        <f>IFERROR(LOOKUP(2,1/((HISTORIAL!$O$3:$O$496=D498&amp;"|"&amp;E498)*(HISTORIAL!$F$3:$F$496&lt;&gt;"")),HISTORIAL!$I$3:$I$496),"")</f>
        <v/>
      </c>
      <c r="K498" s="58" t="str">
        <f>IFERROR(IF(OR(G498="",N498="SIN"),"--",IF(N498="SUBIR_F",IF(F498="polea",IFERROR(INDEX(CONFIG!$B$25:$B$40,MATCH(G498,CONFIG!$B$25:$B$40,0)+2),IFERROR(INDEX(CONFIG!$B$25:$B$40,MATCH(G498,CONFIG!$B$25:$B$40,0)+1),G498)),G498+5),IF(OR(N498="SUBIR",N498="SUBIR_E"),IF(F498="polea",IFERROR(INDEX(CONFIG!$B$25:$B$40,MATCH(G498,CONFIG!$B$25:$B$40,0)+1),G498),G498+2.5),IF(N498="BAJAR",IF(F498="polea",IFERROR(INDEX(CONFIG!$B$25:$B$40,MAX(1,MATCH(G498,CONFIG!$B$25:$B$40,0)-1)),G498),MAX(0,G498-2.5)),G498)))),"--")</f>
        <v>--</v>
      </c>
      <c r="L498" s="59" t="str">
        <f>IFERROR(IF(N498="SIN","--",IF(N498="MANT",IF(H498="","--",H498+1),IFERROR(VLOOKUP(CONFIG!$E$2,CONFIG!$A$6:$E$8,2,0),"--"))),"--")</f>
        <v>--</v>
      </c>
      <c r="M498" s="59" t="str">
        <f>IFERROR(IF(N498="SIN","--",IF(CONFIG!$E$2="HIP",2,IF(CONFIG!$E$2="FUE",1,2))),"--")</f>
        <v>--</v>
      </c>
      <c r="N498" s="53" t="str">
        <f>IFERROR(IF(G498="","SIN",IF(O498=1,"SUBIR_E",IF(H498&lt;IFERROR(VLOOKUP(CONFIG!$E$2,CONFIG!$A$6:$E$8,2,0),6),"BAJAR",IF(H498+I498&gt;=IFERROR(VLOOKUP(CONFIG!$E$2,CONFIG!$A$6:$E$8,3,0),12),"SUBIR_F",IF(AND(H498&gt;=IFERROR(VLOOKUP(CONFIG!$E$2,CONFIG!$A$6:$E$8,2,0),6)+2,I498&gt;=2),"SUBIR",IF(I498&gt;IFERROR(VLOOKUP(CONFIG!$E$2,CONFIG!$A$6:$E$8,5,0),3),"SUBIR","MANT")))))),"SIN")</f>
        <v>SIN</v>
      </c>
      <c r="O498" s="55">
        <f>IF(COUNTIFS(HISTORIAL!$O$3:$O$496,D498&amp;"|"&amp;E498,HISTORIAL!$F$3:$F$496,"&gt;0")&lt;2,0,IF(COUNTIFS(HISTORIAL!$O$3:$O$496,D498&amp;"|"&amp;E498,HISTORIAL!$F$3:$F$496,IFERROR(LOOKUP(2,1/((HISTORIAL!$O$3:$O$496=D498&amp;"|"&amp;E498)*(HISTORIAL!$F$3:$F$496&gt;0)),HISTORIAL!$F$3:$F$496),0))&gt;=2,IF(IFERROR(LOOKUP(2,1/((HISTORIAL!$O$3:$O$496=D498&amp;"|"&amp;E498)*(HISTORIAL!$F$3:$F$496&gt;0)),HISTORIAL!$G$3:$G$496),0)&gt;0,IF(F498&gt;0,IF(G498&lt;=IFERROR(LOOKUP(2,1/((HISTORIAL!$O$3:$O$496=D498&amp;"|"&amp;E498)*(HISTORIAL!$F$3:$F$496&gt;0)),HISTORIAL!$G$3:$G$496),0),1,0),0),0),0))</f>
        <v>0</v>
      </c>
    </row>
    <row r="499" spans="1:15" ht="14.1" customHeight="1">
      <c r="A499" s="37">
        <v>8</v>
      </c>
      <c r="B499" s="37" t="s">
        <v>281</v>
      </c>
      <c r="C499" s="37">
        <v>5</v>
      </c>
      <c r="D499" s="56" t="str">
        <f>SABADO!$A$187</f>
        <v>Curl Biceps</v>
      </c>
      <c r="E499" s="57" t="str">
        <f>SABADO!$B$187</f>
        <v>Concentrado Maquina</v>
      </c>
      <c r="F499" s="37" t="str">
        <f>SABADO!$C$187</f>
        <v>polea</v>
      </c>
      <c r="G499" s="37">
        <f>IFERROR(LOOKUP(2,1/((HISTORIAL!$O$3:$O$497=D499&amp;"|"&amp;E499)*(HISTORIAL!$F$3:$F$497&lt;&gt;"")),HISTORIAL!$F$3:$F$497),"")</f>
        <v>40</v>
      </c>
      <c r="H499" s="37">
        <f>IFERROR(LOOKUP(2,1/((HISTORIAL!$O$3:$O$497=D499&amp;"|"&amp;E499)*(HISTORIAL!$F$3:$F$497&lt;&gt;"")),HISTORIAL!$G$3:$G$497),"")</f>
        <v>6</v>
      </c>
      <c r="I499" s="37">
        <f>IFERROR(LOOKUP(2,1/((HISTORIAL!$O$3:$O$497=D499&amp;"|"&amp;E499)*(HISTORIAL!$F$3:$F$497&lt;&gt;"")),HISTORIAL!$H$3:$H$497),"")</f>
        <v>0</v>
      </c>
      <c r="J499" s="37" t="str">
        <f>IFERROR(LOOKUP(2,1/((HISTORIAL!$O$3:$O$497=D499&amp;"|"&amp;E499)*(HISTORIAL!$F$3:$F$497&lt;&gt;"")),HISTORIAL!$I$3:$I$497),"")</f>
        <v>B</v>
      </c>
      <c r="K499" s="58">
        <f>IFERROR(IF(OR(G499="",N499="SIN"),"--",IF(N499="SUBIR_F",IF(F499="polea",IFERROR(INDEX(CONFIG!$B$25:$B$40,MATCH(G499,CONFIG!$B$25:$B$40,0)+2),IFERROR(INDEX(CONFIG!$B$25:$B$40,MATCH(G499,CONFIG!$B$25:$B$40,0)+1),G499)),G499+5),IF(OR(N499="SUBIR",N499="SUBIR_E"),IF(F499="polea",IFERROR(INDEX(CONFIG!$B$25:$B$40,MATCH(G499,CONFIG!$B$25:$B$40,0)+1),G499),G499+2.5),IF(N499="BAJAR",IF(F499="polea",IFERROR(INDEX(CONFIG!$B$25:$B$40,MAX(1,MATCH(G499,CONFIG!$B$25:$B$40,0)-1)),G499),MAX(0,G499-2.5)),G499)))),"--")</f>
        <v>40</v>
      </c>
      <c r="L499" s="59">
        <f>IFERROR(IF(N499="SIN","--",IF(N499="MANT",IF(H499="","--",H499+1),IFERROR(VLOOKUP(CONFIG!$E$2,CONFIG!$A$6:$E$8,2,0),"--"))),"--")</f>
        <v>7</v>
      </c>
      <c r="M499" s="59">
        <f>IFERROR(IF(N499="SIN","--",IF(CONFIG!$E$2="HIP",2,IF(CONFIG!$E$2="FUE",1,2))),"--")</f>
        <v>2</v>
      </c>
      <c r="N499" s="53" t="str">
        <f>IFERROR(IF(G499="","SIN",IF(O499=1,"SUBIR_E",IF(H499&lt;IFERROR(VLOOKUP(CONFIG!$E$2,CONFIG!$A$6:$E$8,2,0),6),"BAJAR",IF(H499+I499&gt;=IFERROR(VLOOKUP(CONFIG!$E$2,CONFIG!$A$6:$E$8,3,0),12),"SUBIR_F",IF(AND(H499&gt;=IFERROR(VLOOKUP(CONFIG!$E$2,CONFIG!$A$6:$E$8,2,0),6)+2,I499&gt;=2),"SUBIR",IF(I499&gt;IFERROR(VLOOKUP(CONFIG!$E$2,CONFIG!$A$6:$E$8,5,0),3),"SUBIR","MANT")))))),"SIN")</f>
        <v>MANT</v>
      </c>
      <c r="O499" s="55">
        <f>IF(COUNTIFS(HISTORIAL!$O$3:$O$497,D499&amp;"|"&amp;E499,HISTORIAL!$F$3:$F$497,"&gt;0")&lt;2,0,IF(COUNTIFS(HISTORIAL!$O$3:$O$497,D499&amp;"|"&amp;E499,HISTORIAL!$F$3:$F$497,IFERROR(LOOKUP(2,1/((HISTORIAL!$O$3:$O$497=D499&amp;"|"&amp;E499)*(HISTORIAL!$F$3:$F$497&gt;0)),HISTORIAL!$F$3:$F$497),0))&gt;=2,IF(IFERROR(LOOKUP(2,1/((HISTORIAL!$O$3:$O$497=D499&amp;"|"&amp;E499)*(HISTORIAL!$F$3:$F$497&gt;0)),HISTORIAL!$G$3:$G$497),0)&gt;0,IF(F499&gt;0,IF(G499&lt;=IFERROR(LOOKUP(2,1/((HISTORIAL!$O$3:$O$497=D499&amp;"|"&amp;E499)*(HISTORIAL!$F$3:$F$497&gt;0)),HISTORIAL!$G$3:$G$497),0),1,0),0),0),0))</f>
        <v>0</v>
      </c>
    </row>
    <row r="500" spans="1:15" ht="14.1" customHeight="1">
      <c r="A500" s="37">
        <v>8</v>
      </c>
      <c r="B500" s="37" t="s">
        <v>281</v>
      </c>
      <c r="C500" s="37">
        <v>6</v>
      </c>
      <c r="D500" s="56" t="str">
        <f>SABADO!$A$188</f>
        <v>Curl Martillo</v>
      </c>
      <c r="E500" s="57" t="str">
        <f>SABADO!$B$188</f>
        <v>Polea Individual</v>
      </c>
      <c r="F500" s="37" t="str">
        <f>SABADO!$C$188</f>
        <v>polea</v>
      </c>
      <c r="G500" s="37">
        <f>IFERROR(LOOKUP(2,1/((HISTORIAL!$O$3:$O$498=D500&amp;"|"&amp;E500)*(HISTORIAL!$F$3:$F$498&lt;&gt;"")),HISTORIAL!$F$3:$F$498),"")</f>
        <v>20</v>
      </c>
      <c r="H500" s="37">
        <f>IFERROR(LOOKUP(2,1/((HISTORIAL!$O$3:$O$498=D500&amp;"|"&amp;E500)*(HISTORIAL!$F$3:$F$498&lt;&gt;"")),HISTORIAL!$G$3:$G$498),"")</f>
        <v>8</v>
      </c>
      <c r="I500" s="37">
        <f>IFERROR(LOOKUP(2,1/((HISTORIAL!$O$3:$O$498=D500&amp;"|"&amp;E500)*(HISTORIAL!$F$3:$F$498&lt;&gt;"")),HISTORIAL!$H$3:$H$498),"")</f>
        <v>3</v>
      </c>
      <c r="J500" s="37" t="str">
        <f>IFERROR(LOOKUP(2,1/((HISTORIAL!$O$3:$O$498=D500&amp;"|"&amp;E500)*(HISTORIAL!$F$3:$F$498&lt;&gt;"")),HISTORIAL!$I$3:$I$498),"")</f>
        <v>A</v>
      </c>
      <c r="K500" s="58">
        <f>IFERROR(IF(OR(G500="",N500="SIN"),"--",IF(N500="SUBIR_F",IF(F500="polea",IFERROR(INDEX(CONFIG!$B$25:$B$40,MATCH(G500,CONFIG!$B$25:$B$40,0)+2),IFERROR(INDEX(CONFIG!$B$25:$B$40,MATCH(G500,CONFIG!$B$25:$B$40,0)+1),G500)),G500+5),IF(OR(N500="SUBIR",N500="SUBIR_E"),IF(F500="polea",IFERROR(INDEX(CONFIG!$B$25:$B$40,MATCH(G500,CONFIG!$B$25:$B$40,0)+1),G500),G500+2.5),IF(N500="BAJAR",IF(F500="polea",IFERROR(INDEX(CONFIG!$B$25:$B$40,MAX(1,MATCH(G500,CONFIG!$B$25:$B$40,0)-1)),G500),MAX(0,G500-2.5)),G500)))),"--")</f>
        <v>20</v>
      </c>
      <c r="L500" s="59">
        <f>IFERROR(IF(N500="SIN","--",IF(N500="MANT",IF(H500="","--",H500+1),IFERROR(VLOOKUP(CONFIG!$E$2,CONFIG!$A$6:$E$8,2,0),"--"))),"--")</f>
        <v>6</v>
      </c>
      <c r="M500" s="59">
        <f>IFERROR(IF(N500="SIN","--",IF(CONFIG!$E$2="HIP",2,IF(CONFIG!$E$2="FUE",1,2))),"--")</f>
        <v>2</v>
      </c>
      <c r="N500" s="53" t="str">
        <f>IFERROR(IF(G500="","SIN",IF(O500=1,"SUBIR_E",IF(H500&lt;IFERROR(VLOOKUP(CONFIG!$E$2,CONFIG!$A$6:$E$8,2,0),6),"BAJAR",IF(H500+I500&gt;=IFERROR(VLOOKUP(CONFIG!$E$2,CONFIG!$A$6:$E$8,3,0),12),"SUBIR_F",IF(AND(H500&gt;=IFERROR(VLOOKUP(CONFIG!$E$2,CONFIG!$A$6:$E$8,2,0),6)+2,I500&gt;=2),"SUBIR",IF(I500&gt;IFERROR(VLOOKUP(CONFIG!$E$2,CONFIG!$A$6:$E$8,5,0),3),"SUBIR","MANT")))))),"SIN")</f>
        <v>SUBIR</v>
      </c>
      <c r="O500" s="55">
        <f>IF(COUNTIFS(HISTORIAL!$O$3:$O$498,D500&amp;"|"&amp;E500,HISTORIAL!$F$3:$F$498,"&gt;0")&lt;2,0,IF(COUNTIFS(HISTORIAL!$O$3:$O$498,D500&amp;"|"&amp;E500,HISTORIAL!$F$3:$F$498,IFERROR(LOOKUP(2,1/((HISTORIAL!$O$3:$O$498=D500&amp;"|"&amp;E500)*(HISTORIAL!$F$3:$F$498&gt;0)),HISTORIAL!$F$3:$F$498),0))&gt;=2,IF(IFERROR(LOOKUP(2,1/((HISTORIAL!$O$3:$O$498=D500&amp;"|"&amp;E500)*(HISTORIAL!$F$3:$F$498&gt;0)),HISTORIAL!$G$3:$G$498),0)&gt;0,IF(F500&gt;0,IF(G500&lt;=IFERROR(LOOKUP(2,1/((HISTORIAL!$O$3:$O$498=D500&amp;"|"&amp;E500)*(HISTORIAL!$F$3:$F$498&gt;0)),HISTORIAL!$G$3:$G$498),0),1,0),0),0),0))</f>
        <v>0</v>
      </c>
    </row>
    <row r="501" spans="1:15" ht="14.1" customHeight="1">
      <c r="A501" s="37">
        <v>8</v>
      </c>
      <c r="B501" s="37" t="s">
        <v>281</v>
      </c>
      <c r="C501" s="37">
        <v>7</v>
      </c>
      <c r="D501" s="56" t="str">
        <f>SABADO!$A$190</f>
        <v>Curl Muneca</v>
      </c>
      <c r="E501" s="57" t="str">
        <f>SABADO!$B$190</f>
        <v>Supinado</v>
      </c>
      <c r="F501" s="37" t="str">
        <f>SABADO!$C$190</f>
        <v>mancuerna</v>
      </c>
      <c r="G501" s="37" t="str">
        <f>IFERROR(LOOKUP(2,1/((HISTORIAL!$O$3:$O$499=D501&amp;"|"&amp;E501)*(HISTORIAL!$F$3:$F$499&lt;&gt;"")),HISTORIAL!$F$3:$F$499),"")</f>
        <v/>
      </c>
      <c r="H501" s="37" t="str">
        <f>IFERROR(LOOKUP(2,1/((HISTORIAL!$O$3:$O$499=D501&amp;"|"&amp;E501)*(HISTORIAL!$F$3:$F$499&lt;&gt;"")),HISTORIAL!$G$3:$G$499),"")</f>
        <v/>
      </c>
      <c r="I501" s="37" t="str">
        <f>IFERROR(LOOKUP(2,1/((HISTORIAL!$O$3:$O$499=D501&amp;"|"&amp;E501)*(HISTORIAL!$F$3:$F$499&lt;&gt;"")),HISTORIAL!$H$3:$H$499),"")</f>
        <v/>
      </c>
      <c r="J501" s="37" t="str">
        <f>IFERROR(LOOKUP(2,1/((HISTORIAL!$O$3:$O$499=D501&amp;"|"&amp;E501)*(HISTORIAL!$F$3:$F$499&lt;&gt;"")),HISTORIAL!$I$3:$I$499),"")</f>
        <v/>
      </c>
      <c r="K501" s="58" t="str">
        <f>IFERROR(IF(OR(G501="",N501="SIN"),"--",IF(N501="SUBIR_F",IF(F501="polea",IFERROR(INDEX(CONFIG!$B$25:$B$40,MATCH(G501,CONFIG!$B$25:$B$40,0)+2),IFERROR(INDEX(CONFIG!$B$25:$B$40,MATCH(G501,CONFIG!$B$25:$B$40,0)+1),G501)),G501+5),IF(OR(N501="SUBIR",N501="SUBIR_E"),IF(F501="polea",IFERROR(INDEX(CONFIG!$B$25:$B$40,MATCH(G501,CONFIG!$B$25:$B$40,0)+1),G501),G501+2.5),IF(N501="BAJAR",IF(F501="polea",IFERROR(INDEX(CONFIG!$B$25:$B$40,MAX(1,MATCH(G501,CONFIG!$B$25:$B$40,0)-1)),G501),MAX(0,G501-2.5)),G501)))),"--")</f>
        <v>--</v>
      </c>
      <c r="L501" s="59" t="str">
        <f>IFERROR(IF(N501="SIN","--",IF(N501="MANT",IF(H501="","--",H501+1),IFERROR(VLOOKUP(CONFIG!$E$2,CONFIG!$A$6:$E$8,2,0),"--"))),"--")</f>
        <v>--</v>
      </c>
      <c r="M501" s="59" t="str">
        <f>IFERROR(IF(N501="SIN","--",IF(CONFIG!$E$2="HIP",2,IF(CONFIG!$E$2="FUE",1,2))),"--")</f>
        <v>--</v>
      </c>
      <c r="N501" s="53" t="str">
        <f>IFERROR(IF(G501="","SIN",IF(O501=1,"SUBIR_E",IF(H501&lt;IFERROR(VLOOKUP(CONFIG!$E$2,CONFIG!$A$6:$E$8,2,0),6),"BAJAR",IF(H501+I501&gt;=IFERROR(VLOOKUP(CONFIG!$E$2,CONFIG!$A$6:$E$8,3,0),12),"SUBIR_F",IF(AND(H501&gt;=IFERROR(VLOOKUP(CONFIG!$E$2,CONFIG!$A$6:$E$8,2,0),6)+2,I501&gt;=2),"SUBIR",IF(I501&gt;IFERROR(VLOOKUP(CONFIG!$E$2,CONFIG!$A$6:$E$8,5,0),3),"SUBIR","MANT")))))),"SIN")</f>
        <v>SIN</v>
      </c>
      <c r="O501" s="55">
        <f>IF(COUNTIFS(HISTORIAL!$O$3:$O$499,D501&amp;"|"&amp;E501,HISTORIAL!$F$3:$F$499,"&gt;0")&lt;2,0,IF(COUNTIFS(HISTORIAL!$O$3:$O$499,D501&amp;"|"&amp;E501,HISTORIAL!$F$3:$F$499,IFERROR(LOOKUP(2,1/((HISTORIAL!$O$3:$O$499=D501&amp;"|"&amp;E501)*(HISTORIAL!$F$3:$F$499&gt;0)),HISTORIAL!$F$3:$F$499),0))&gt;=2,IF(IFERROR(LOOKUP(2,1/((HISTORIAL!$O$3:$O$499=D501&amp;"|"&amp;E501)*(HISTORIAL!$F$3:$F$499&gt;0)),HISTORIAL!$G$3:$G$499),0)&gt;0,IF(F501&gt;0,IF(G501&lt;=IFERROR(LOOKUP(2,1/((HISTORIAL!$O$3:$O$499=D501&amp;"|"&amp;E501)*(HISTORIAL!$F$3:$F$499&gt;0)),HISTORIAL!$G$3:$G$499),0),1,0),0),0),0))</f>
        <v>0</v>
      </c>
    </row>
    <row r="502" spans="1:15" ht="14.1" customHeight="1">
      <c r="A502" s="37">
        <v>8</v>
      </c>
      <c r="B502" s="37" t="s">
        <v>281</v>
      </c>
      <c r="C502" s="37">
        <v>8</v>
      </c>
      <c r="D502" s="56" t="str">
        <f>SABADO!$A$191</f>
        <v>Curl Muneca</v>
      </c>
      <c r="E502" s="57" t="str">
        <f>SABADO!$B$191</f>
        <v>Pronado</v>
      </c>
      <c r="F502" s="37" t="str">
        <f>SABADO!$C$191</f>
        <v>mancuerna</v>
      </c>
      <c r="G502" s="37" t="str">
        <f>IFERROR(LOOKUP(2,1/((HISTORIAL!$O$3:$O$500=D502&amp;"|"&amp;E502)*(HISTORIAL!$F$3:$F$500&lt;&gt;"")),HISTORIAL!$F$3:$F$500),"")</f>
        <v/>
      </c>
      <c r="H502" s="37" t="str">
        <f>IFERROR(LOOKUP(2,1/((HISTORIAL!$O$3:$O$500=D502&amp;"|"&amp;E502)*(HISTORIAL!$F$3:$F$500&lt;&gt;"")),HISTORIAL!$G$3:$G$500),"")</f>
        <v/>
      </c>
      <c r="I502" s="37" t="str">
        <f>IFERROR(LOOKUP(2,1/((HISTORIAL!$O$3:$O$500=D502&amp;"|"&amp;E502)*(HISTORIAL!$F$3:$F$500&lt;&gt;"")),HISTORIAL!$H$3:$H$500),"")</f>
        <v/>
      </c>
      <c r="J502" s="37" t="str">
        <f>IFERROR(LOOKUP(2,1/((HISTORIAL!$O$3:$O$500=D502&amp;"|"&amp;E502)*(HISTORIAL!$F$3:$F$500&lt;&gt;"")),HISTORIAL!$I$3:$I$500),"")</f>
        <v/>
      </c>
      <c r="K502" s="58" t="str">
        <f>IFERROR(IF(OR(G502="",N502="SIN"),"--",IF(N502="SUBIR_F",IF(F502="polea",IFERROR(INDEX(CONFIG!$B$25:$B$40,MATCH(G502,CONFIG!$B$25:$B$40,0)+2),IFERROR(INDEX(CONFIG!$B$25:$B$40,MATCH(G502,CONFIG!$B$25:$B$40,0)+1),G502)),G502+5),IF(OR(N502="SUBIR",N502="SUBIR_E"),IF(F502="polea",IFERROR(INDEX(CONFIG!$B$25:$B$40,MATCH(G502,CONFIG!$B$25:$B$40,0)+1),G502),G502+2.5),IF(N502="BAJAR",IF(F502="polea",IFERROR(INDEX(CONFIG!$B$25:$B$40,MAX(1,MATCH(G502,CONFIG!$B$25:$B$40,0)-1)),G502),MAX(0,G502-2.5)),G502)))),"--")</f>
        <v>--</v>
      </c>
      <c r="L502" s="59" t="str">
        <f>IFERROR(IF(N502="SIN","--",IF(N502="MANT",IF(H502="","--",H502+1),IFERROR(VLOOKUP(CONFIG!$E$2,CONFIG!$A$6:$E$8,2,0),"--"))),"--")</f>
        <v>--</v>
      </c>
      <c r="M502" s="59" t="str">
        <f>IFERROR(IF(N502="SIN","--",IF(CONFIG!$E$2="HIP",2,IF(CONFIG!$E$2="FUE",1,2))),"--")</f>
        <v>--</v>
      </c>
      <c r="N502" s="53" t="str">
        <f>IFERROR(IF(G502="","SIN",IF(O502=1,"SUBIR_E",IF(H502&lt;IFERROR(VLOOKUP(CONFIG!$E$2,CONFIG!$A$6:$E$8,2,0),6),"BAJAR",IF(H502+I502&gt;=IFERROR(VLOOKUP(CONFIG!$E$2,CONFIG!$A$6:$E$8,3,0),12),"SUBIR_F",IF(AND(H502&gt;=IFERROR(VLOOKUP(CONFIG!$E$2,CONFIG!$A$6:$E$8,2,0),6)+2,I502&gt;=2),"SUBIR",IF(I502&gt;IFERROR(VLOOKUP(CONFIG!$E$2,CONFIG!$A$6:$E$8,5,0),3),"SUBIR","MANT")))))),"SIN")</f>
        <v>SIN</v>
      </c>
      <c r="O502" s="55">
        <f>IF(COUNTIFS(HISTORIAL!$O$3:$O$500,D502&amp;"|"&amp;E502,HISTORIAL!$F$3:$F$500,"&gt;0")&lt;2,0,IF(COUNTIFS(HISTORIAL!$O$3:$O$500,D502&amp;"|"&amp;E502,HISTORIAL!$F$3:$F$500,IFERROR(LOOKUP(2,1/((HISTORIAL!$O$3:$O$500=D502&amp;"|"&amp;E502)*(HISTORIAL!$F$3:$F$500&gt;0)),HISTORIAL!$F$3:$F$500),0))&gt;=2,IF(IFERROR(LOOKUP(2,1/((HISTORIAL!$O$3:$O$500=D502&amp;"|"&amp;E502)*(HISTORIAL!$F$3:$F$500&gt;0)),HISTORIAL!$G$3:$G$500),0)&gt;0,IF(F502&gt;0,IF(G502&lt;=IFERROR(LOOKUP(2,1/((HISTORIAL!$O$3:$O$500=D502&amp;"|"&amp;E502)*(HISTORIAL!$F$3:$F$500&gt;0)),HISTORIAL!$G$3:$G$500),0),1,0),0),0),0))</f>
        <v>0</v>
      </c>
    </row>
    <row r="503" spans="1:15" ht="14.1" customHeight="1">
      <c r="A503" s="37">
        <v>8</v>
      </c>
      <c r="B503" s="37" t="s">
        <v>281</v>
      </c>
      <c r="C503" s="37">
        <v>9</v>
      </c>
      <c r="D503" s="56" t="str">
        <f>SABADO!$A$193</f>
        <v>Elevaciones Laterales</v>
      </c>
      <c r="E503" s="57" t="str">
        <f>SABADO!$B$193</f>
        <v>Cable Polea Individual</v>
      </c>
      <c r="F503" s="37" t="str">
        <f>SABADO!$C$193</f>
        <v>polea</v>
      </c>
      <c r="G503" s="37" t="str">
        <f>IFERROR(LOOKUP(2,1/((HISTORIAL!$O$3:$O$501=D503&amp;"|"&amp;E503)*(HISTORIAL!$F$3:$F$501&lt;&gt;"")),HISTORIAL!$F$3:$F$501),"")</f>
        <v/>
      </c>
      <c r="H503" s="37" t="str">
        <f>IFERROR(LOOKUP(2,1/((HISTORIAL!$O$3:$O$501=D503&amp;"|"&amp;E503)*(HISTORIAL!$F$3:$F$501&lt;&gt;"")),HISTORIAL!$G$3:$G$501),"")</f>
        <v/>
      </c>
      <c r="I503" s="37" t="str">
        <f>IFERROR(LOOKUP(2,1/((HISTORIAL!$O$3:$O$501=D503&amp;"|"&amp;E503)*(HISTORIAL!$F$3:$F$501&lt;&gt;"")),HISTORIAL!$H$3:$H$501),"")</f>
        <v/>
      </c>
      <c r="J503" s="37" t="str">
        <f>IFERROR(LOOKUP(2,1/((HISTORIAL!$O$3:$O$501=D503&amp;"|"&amp;E503)*(HISTORIAL!$F$3:$F$501&lt;&gt;"")),HISTORIAL!$I$3:$I$501),"")</f>
        <v/>
      </c>
      <c r="K503" s="58" t="str">
        <f>IFERROR(IF(OR(G503="",N503="SIN"),"--",IF(N503="SUBIR_F",IF(F503="polea",IFERROR(INDEX(CONFIG!$B$25:$B$40,MATCH(G503,CONFIG!$B$25:$B$40,0)+2),IFERROR(INDEX(CONFIG!$B$25:$B$40,MATCH(G503,CONFIG!$B$25:$B$40,0)+1),G503)),G503+5),IF(OR(N503="SUBIR",N503="SUBIR_E"),IF(F503="polea",IFERROR(INDEX(CONFIG!$B$25:$B$40,MATCH(G503,CONFIG!$B$25:$B$40,0)+1),G503),G503+2.5),IF(N503="BAJAR",IF(F503="polea",IFERROR(INDEX(CONFIG!$B$25:$B$40,MAX(1,MATCH(G503,CONFIG!$B$25:$B$40,0)-1)),G503),MAX(0,G503-2.5)),G503)))),"--")</f>
        <v>--</v>
      </c>
      <c r="L503" s="59" t="str">
        <f>IFERROR(IF(N503="SIN","--",IF(N503="MANT",IF(H503="","--",H503+1),IFERROR(VLOOKUP(CONFIG!$E$2,CONFIG!$A$6:$E$8,2,0),"--"))),"--")</f>
        <v>--</v>
      </c>
      <c r="M503" s="59" t="str">
        <f>IFERROR(IF(N503="SIN","--",IF(CONFIG!$E$2="HIP",2,IF(CONFIG!$E$2="FUE",1,2))),"--")</f>
        <v>--</v>
      </c>
      <c r="N503" s="53" t="str">
        <f>IFERROR(IF(G503="","SIN",IF(O503=1,"SUBIR_E",IF(H503&lt;IFERROR(VLOOKUP(CONFIG!$E$2,CONFIG!$A$6:$E$8,2,0),6),"BAJAR",IF(H503+I503&gt;=IFERROR(VLOOKUP(CONFIG!$E$2,CONFIG!$A$6:$E$8,3,0),12),"SUBIR_F",IF(AND(H503&gt;=IFERROR(VLOOKUP(CONFIG!$E$2,CONFIG!$A$6:$E$8,2,0),6)+2,I503&gt;=2),"SUBIR",IF(I503&gt;IFERROR(VLOOKUP(CONFIG!$E$2,CONFIG!$A$6:$E$8,5,0),3),"SUBIR","MANT")))))),"SIN")</f>
        <v>SIN</v>
      </c>
      <c r="O503" s="55">
        <f>IF(COUNTIFS(HISTORIAL!$O$3:$O$501,D503&amp;"|"&amp;E503,HISTORIAL!$F$3:$F$501,"&gt;0")&lt;2,0,IF(COUNTIFS(HISTORIAL!$O$3:$O$501,D503&amp;"|"&amp;E503,HISTORIAL!$F$3:$F$501,IFERROR(LOOKUP(2,1/((HISTORIAL!$O$3:$O$501=D503&amp;"|"&amp;E503)*(HISTORIAL!$F$3:$F$501&gt;0)),HISTORIAL!$F$3:$F$501),0))&gt;=2,IF(IFERROR(LOOKUP(2,1/((HISTORIAL!$O$3:$O$501=D503&amp;"|"&amp;E503)*(HISTORIAL!$F$3:$F$501&gt;0)),HISTORIAL!$G$3:$G$501),0)&gt;0,IF(F503&gt;0,IF(G503&lt;=IFERROR(LOOKUP(2,1/((HISTORIAL!$O$3:$O$501=D503&amp;"|"&amp;E503)*(HISTORIAL!$F$3:$F$501&gt;0)),HISTORIAL!$G$3:$G$501),0),1,0),0),0),0))</f>
        <v>0</v>
      </c>
    </row>
    <row r="504" spans="1:15" ht="14.1" customHeight="1">
      <c r="A504" s="37">
        <v>8</v>
      </c>
      <c r="B504" s="37" t="s">
        <v>281</v>
      </c>
      <c r="C504" s="37">
        <v>10</v>
      </c>
      <c r="D504" s="56" t="str">
        <f>SABADO!$A$195</f>
        <v>Encogimientos</v>
      </c>
      <c r="E504" s="57" t="str">
        <f>SABADO!$B$195</f>
        <v>Mancuernas Trapecio</v>
      </c>
      <c r="F504" s="37" t="str">
        <f>SABADO!$C$195</f>
        <v>mancuerna</v>
      </c>
      <c r="G504" s="37" t="str">
        <f>IFERROR(LOOKUP(2,1/((HISTORIAL!$O$3:$O$502=D504&amp;"|"&amp;E504)*(HISTORIAL!$F$3:$F$502&lt;&gt;"")),HISTORIAL!$F$3:$F$502),"")</f>
        <v/>
      </c>
      <c r="H504" s="37" t="str">
        <f>IFERROR(LOOKUP(2,1/((HISTORIAL!$O$3:$O$502=D504&amp;"|"&amp;E504)*(HISTORIAL!$F$3:$F$502&lt;&gt;"")),HISTORIAL!$G$3:$G$502),"")</f>
        <v/>
      </c>
      <c r="I504" s="37" t="str">
        <f>IFERROR(LOOKUP(2,1/((HISTORIAL!$O$3:$O$502=D504&amp;"|"&amp;E504)*(HISTORIAL!$F$3:$F$502&lt;&gt;"")),HISTORIAL!$H$3:$H$502),"")</f>
        <v/>
      </c>
      <c r="J504" s="37" t="str">
        <f>IFERROR(LOOKUP(2,1/((HISTORIAL!$O$3:$O$502=D504&amp;"|"&amp;E504)*(HISTORIAL!$F$3:$F$502&lt;&gt;"")),HISTORIAL!$I$3:$I$502),"")</f>
        <v/>
      </c>
      <c r="K504" s="58" t="str">
        <f>IFERROR(IF(OR(G504="",N504="SIN"),"--",IF(N504="SUBIR_F",IF(F504="polea",IFERROR(INDEX(CONFIG!$B$25:$B$40,MATCH(G504,CONFIG!$B$25:$B$40,0)+2),IFERROR(INDEX(CONFIG!$B$25:$B$40,MATCH(G504,CONFIG!$B$25:$B$40,0)+1),G504)),G504+5),IF(OR(N504="SUBIR",N504="SUBIR_E"),IF(F504="polea",IFERROR(INDEX(CONFIG!$B$25:$B$40,MATCH(G504,CONFIG!$B$25:$B$40,0)+1),G504),G504+2.5),IF(N504="BAJAR",IF(F504="polea",IFERROR(INDEX(CONFIG!$B$25:$B$40,MAX(1,MATCH(G504,CONFIG!$B$25:$B$40,0)-1)),G504),MAX(0,G504-2.5)),G504)))),"--")</f>
        <v>--</v>
      </c>
      <c r="L504" s="59" t="str">
        <f>IFERROR(IF(N504="SIN","--",IF(N504="MANT",IF(H504="","--",H504+1),IFERROR(VLOOKUP(CONFIG!$E$2,CONFIG!$A$6:$E$8,2,0),"--"))),"--")</f>
        <v>--</v>
      </c>
      <c r="M504" s="59" t="str">
        <f>IFERROR(IF(N504="SIN","--",IF(CONFIG!$E$2="HIP",2,IF(CONFIG!$E$2="FUE",1,2))),"--")</f>
        <v>--</v>
      </c>
      <c r="N504" s="53" t="str">
        <f>IFERROR(IF(G504="","SIN",IF(O504=1,"SUBIR_E",IF(H504&lt;IFERROR(VLOOKUP(CONFIG!$E$2,CONFIG!$A$6:$E$8,2,0),6),"BAJAR",IF(H504+I504&gt;=IFERROR(VLOOKUP(CONFIG!$E$2,CONFIG!$A$6:$E$8,3,0),12),"SUBIR_F",IF(AND(H504&gt;=IFERROR(VLOOKUP(CONFIG!$E$2,CONFIG!$A$6:$E$8,2,0),6)+2,I504&gt;=2),"SUBIR",IF(I504&gt;IFERROR(VLOOKUP(CONFIG!$E$2,CONFIG!$A$6:$E$8,5,0),3),"SUBIR","MANT")))))),"SIN")</f>
        <v>SIN</v>
      </c>
      <c r="O504" s="55">
        <f>IF(COUNTIFS(HISTORIAL!$O$3:$O$502,D504&amp;"|"&amp;E504,HISTORIAL!$F$3:$F$502,"&gt;0")&lt;2,0,IF(COUNTIFS(HISTORIAL!$O$3:$O$502,D504&amp;"|"&amp;E504,HISTORIAL!$F$3:$F$502,IFERROR(LOOKUP(2,1/((HISTORIAL!$O$3:$O$502=D504&amp;"|"&amp;E504)*(HISTORIAL!$F$3:$F$502&gt;0)),HISTORIAL!$F$3:$F$502),0))&gt;=2,IF(IFERROR(LOOKUP(2,1/((HISTORIAL!$O$3:$O$502=D504&amp;"|"&amp;E504)*(HISTORIAL!$F$3:$F$502&gt;0)),HISTORIAL!$G$3:$G$502),0)&gt;0,IF(F504&gt;0,IF(G504&lt;=IFERROR(LOOKUP(2,1/((HISTORIAL!$O$3:$O$502=D504&amp;"|"&amp;E504)*(HISTORIAL!$F$3:$F$502&gt;0)),HISTORIAL!$G$3:$G$502),0),1,0),0),0),0))</f>
        <v>0</v>
      </c>
    </row>
    <row r="505" spans="1:15" ht="14.1" customHeight="1">
      <c r="A505" s="37">
        <v>8</v>
      </c>
      <c r="B505" s="37" t="s">
        <v>281</v>
      </c>
      <c r="C505" s="37">
        <v>11</v>
      </c>
      <c r="D505" s="56" t="str">
        <f>SABADO!$A$196</f>
        <v>Face Pull</v>
      </c>
      <c r="E505" s="57" t="str">
        <f>SABADO!$B$196</f>
        <v>Polea Alta Cuerda</v>
      </c>
      <c r="F505" s="37" t="str">
        <f>SABADO!$C$196</f>
        <v>polea</v>
      </c>
      <c r="G505" s="37" t="str">
        <f>IFERROR(LOOKUP(2,1/((HISTORIAL!$O$3:$O$503=D505&amp;"|"&amp;E505)*(HISTORIAL!$F$3:$F$503&lt;&gt;"")),HISTORIAL!$F$3:$F$503),"")</f>
        <v/>
      </c>
      <c r="H505" s="37" t="str">
        <f>IFERROR(LOOKUP(2,1/((HISTORIAL!$O$3:$O$503=D505&amp;"|"&amp;E505)*(HISTORIAL!$F$3:$F$503&lt;&gt;"")),HISTORIAL!$G$3:$G$503),"")</f>
        <v/>
      </c>
      <c r="I505" s="37" t="str">
        <f>IFERROR(LOOKUP(2,1/((HISTORIAL!$O$3:$O$503=D505&amp;"|"&amp;E505)*(HISTORIAL!$F$3:$F$503&lt;&gt;"")),HISTORIAL!$H$3:$H$503),"")</f>
        <v/>
      </c>
      <c r="J505" s="37" t="str">
        <f>IFERROR(LOOKUP(2,1/((HISTORIAL!$O$3:$O$503=D505&amp;"|"&amp;E505)*(HISTORIAL!$F$3:$F$503&lt;&gt;"")),HISTORIAL!$I$3:$I$503),"")</f>
        <v/>
      </c>
      <c r="K505" s="58" t="str">
        <f>IFERROR(IF(OR(G505="",N505="SIN"),"--",IF(N505="SUBIR_F",IF(F505="polea",IFERROR(INDEX(CONFIG!$B$25:$B$40,MATCH(G505,CONFIG!$B$25:$B$40,0)+2),IFERROR(INDEX(CONFIG!$B$25:$B$40,MATCH(G505,CONFIG!$B$25:$B$40,0)+1),G505)),G505+5),IF(OR(N505="SUBIR",N505="SUBIR_E"),IF(F505="polea",IFERROR(INDEX(CONFIG!$B$25:$B$40,MATCH(G505,CONFIG!$B$25:$B$40,0)+1),G505),G505+2.5),IF(N505="BAJAR",IF(F505="polea",IFERROR(INDEX(CONFIG!$B$25:$B$40,MAX(1,MATCH(G505,CONFIG!$B$25:$B$40,0)-1)),G505),MAX(0,G505-2.5)),G505)))),"--")</f>
        <v>--</v>
      </c>
      <c r="L505" s="59" t="str">
        <f>IFERROR(IF(N505="SIN","--",IF(N505="MANT",IF(H505="","--",H505+1),IFERROR(VLOOKUP(CONFIG!$E$2,CONFIG!$A$6:$E$8,2,0),"--"))),"--")</f>
        <v>--</v>
      </c>
      <c r="M505" s="59" t="str">
        <f>IFERROR(IF(N505="SIN","--",IF(CONFIG!$E$2="HIP",2,IF(CONFIG!$E$2="FUE",1,2))),"--")</f>
        <v>--</v>
      </c>
      <c r="N505" s="53" t="str">
        <f>IFERROR(IF(G505="","SIN",IF(O505=1,"SUBIR_E",IF(H505&lt;IFERROR(VLOOKUP(CONFIG!$E$2,CONFIG!$A$6:$E$8,2,0),6),"BAJAR",IF(H505+I505&gt;=IFERROR(VLOOKUP(CONFIG!$E$2,CONFIG!$A$6:$E$8,3,0),12),"SUBIR_F",IF(AND(H505&gt;=IFERROR(VLOOKUP(CONFIG!$E$2,CONFIG!$A$6:$E$8,2,0),6)+2,I505&gt;=2),"SUBIR",IF(I505&gt;IFERROR(VLOOKUP(CONFIG!$E$2,CONFIG!$A$6:$E$8,5,0),3),"SUBIR","MANT")))))),"SIN")</f>
        <v>SIN</v>
      </c>
      <c r="O505" s="55">
        <f>IF(COUNTIFS(HISTORIAL!$O$3:$O$503,D505&amp;"|"&amp;E505,HISTORIAL!$F$3:$F$503,"&gt;0")&lt;2,0,IF(COUNTIFS(HISTORIAL!$O$3:$O$503,D505&amp;"|"&amp;E505,HISTORIAL!$F$3:$F$503,IFERROR(LOOKUP(2,1/((HISTORIAL!$O$3:$O$503=D505&amp;"|"&amp;E505)*(HISTORIAL!$F$3:$F$503&gt;0)),HISTORIAL!$F$3:$F$503),0))&gt;=2,IF(IFERROR(LOOKUP(2,1/((HISTORIAL!$O$3:$O$503=D505&amp;"|"&amp;E505)*(HISTORIAL!$F$3:$F$503&gt;0)),HISTORIAL!$G$3:$G$503),0)&gt;0,IF(F505&gt;0,IF(G505&lt;=IFERROR(LOOKUP(2,1/((HISTORIAL!$O$3:$O$503=D505&amp;"|"&amp;E505)*(HISTORIAL!$F$3:$F$503&gt;0)),HISTORIAL!$G$3:$G$503),0),1,0),0),0),0))</f>
        <v>0</v>
      </c>
    </row>
    <row r="506" spans="1:15" ht="14.1" customHeight="1">
      <c r="A506" s="37">
        <v>8</v>
      </c>
      <c r="B506" s="37" t="s">
        <v>281</v>
      </c>
      <c r="C506" s="37">
        <v>12</v>
      </c>
      <c r="D506" s="56" t="str">
        <f>SABADO!$A$198</f>
        <v>Hiperextension</v>
      </c>
      <c r="E506" s="57" t="str">
        <f>SABADO!$B$198</f>
        <v>Banco Romano</v>
      </c>
      <c r="F506" s="37" t="str">
        <f>SABADO!$C$198</f>
        <v>peso_corporal</v>
      </c>
      <c r="G506" s="37" t="str">
        <f>IFERROR(LOOKUP(2,1/((HISTORIAL!$O$3:$O$504=D506&amp;"|"&amp;E506)*(HISTORIAL!$F$3:$F$504&lt;&gt;"")),HISTORIAL!$F$3:$F$504),"")</f>
        <v/>
      </c>
      <c r="H506" s="37" t="str">
        <f>IFERROR(LOOKUP(2,1/((HISTORIAL!$O$3:$O$504=D506&amp;"|"&amp;E506)*(HISTORIAL!$F$3:$F$504&lt;&gt;"")),HISTORIAL!$G$3:$G$504),"")</f>
        <v/>
      </c>
      <c r="I506" s="37" t="str">
        <f>IFERROR(LOOKUP(2,1/((HISTORIAL!$O$3:$O$504=D506&amp;"|"&amp;E506)*(HISTORIAL!$F$3:$F$504&lt;&gt;"")),HISTORIAL!$H$3:$H$504),"")</f>
        <v/>
      </c>
      <c r="J506" s="37" t="str">
        <f>IFERROR(LOOKUP(2,1/((HISTORIAL!$O$3:$O$504=D506&amp;"|"&amp;E506)*(HISTORIAL!$F$3:$F$504&lt;&gt;"")),HISTORIAL!$I$3:$I$504),"")</f>
        <v/>
      </c>
      <c r="K506" s="58" t="str">
        <f>IFERROR(IF(OR(G506="",N506="SIN"),"--",IF(N506="SUBIR_F",IF(F506="polea",IFERROR(INDEX(CONFIG!$B$25:$B$40,MATCH(G506,CONFIG!$B$25:$B$40,0)+2),IFERROR(INDEX(CONFIG!$B$25:$B$40,MATCH(G506,CONFIG!$B$25:$B$40,0)+1),G506)),G506+5),IF(OR(N506="SUBIR",N506="SUBIR_E"),IF(F506="polea",IFERROR(INDEX(CONFIG!$B$25:$B$40,MATCH(G506,CONFIG!$B$25:$B$40,0)+1),G506),G506+2.5),IF(N506="BAJAR",IF(F506="polea",IFERROR(INDEX(CONFIG!$B$25:$B$40,MAX(1,MATCH(G506,CONFIG!$B$25:$B$40,0)-1)),G506),MAX(0,G506-2.5)),G506)))),"--")</f>
        <v>--</v>
      </c>
      <c r="L506" s="59" t="str">
        <f>IFERROR(IF(N506="SIN","--",IF(N506="MANT",IF(H506="","--",H506+1),IFERROR(VLOOKUP(CONFIG!$E$2,CONFIG!$A$6:$E$8,2,0),"--"))),"--")</f>
        <v>--</v>
      </c>
      <c r="M506" s="59" t="str">
        <f>IFERROR(IF(N506="SIN","--",IF(CONFIG!$E$2="HIP",2,IF(CONFIG!$E$2="FUE",1,2))),"--")</f>
        <v>--</v>
      </c>
      <c r="N506" s="53" t="str">
        <f>IFERROR(IF(G506="","SIN",IF(O506=1,"SUBIR_E",IF(H506&lt;IFERROR(VLOOKUP(CONFIG!$E$2,CONFIG!$A$6:$E$8,2,0),6),"BAJAR",IF(H506+I506&gt;=IFERROR(VLOOKUP(CONFIG!$E$2,CONFIG!$A$6:$E$8,3,0),12),"SUBIR_F",IF(AND(H506&gt;=IFERROR(VLOOKUP(CONFIG!$E$2,CONFIG!$A$6:$E$8,2,0),6)+2,I506&gt;=2),"SUBIR",IF(I506&gt;IFERROR(VLOOKUP(CONFIG!$E$2,CONFIG!$A$6:$E$8,5,0),3),"SUBIR","MANT")))))),"SIN")</f>
        <v>SIN</v>
      </c>
      <c r="O506" s="55">
        <f>IF(COUNTIFS(HISTORIAL!$O$3:$O$504,D506&amp;"|"&amp;E506,HISTORIAL!$F$3:$F$504,"&gt;0")&lt;2,0,IF(COUNTIFS(HISTORIAL!$O$3:$O$504,D506&amp;"|"&amp;E506,HISTORIAL!$F$3:$F$504,IFERROR(LOOKUP(2,1/((HISTORIAL!$O$3:$O$504=D506&amp;"|"&amp;E506)*(HISTORIAL!$F$3:$F$504&gt;0)),HISTORIAL!$F$3:$F$504),0))&gt;=2,IF(IFERROR(LOOKUP(2,1/((HISTORIAL!$O$3:$O$504=D506&amp;"|"&amp;E506)*(HISTORIAL!$F$3:$F$504&gt;0)),HISTORIAL!$G$3:$G$504),0)&gt;0,IF(F506&gt;0,IF(G506&lt;=IFERROR(LOOKUP(2,1/((HISTORIAL!$O$3:$O$504=D506&amp;"|"&amp;E506)*(HISTORIAL!$F$3:$F$504&gt;0)),HISTORIAL!$G$3:$G$504),0),1,0),0),0),0))</f>
        <v>0</v>
      </c>
    </row>
    <row r="507" spans="1:15" ht="14.1" customHeight="1">
      <c r="A507" s="37">
        <v>8</v>
      </c>
      <c r="B507" s="37" t="s">
        <v>281</v>
      </c>
      <c r="C507" s="37">
        <v>13</v>
      </c>
      <c r="D507" s="56" t="str">
        <f>SABADO!$A$200</f>
        <v>Crunch</v>
      </c>
      <c r="E507" s="57" t="str">
        <f>SABADO!$B$200</f>
        <v>Polea</v>
      </c>
      <c r="F507" s="37" t="str">
        <f>SABADO!$C$200</f>
        <v>polea</v>
      </c>
      <c r="G507" s="37" t="str">
        <f>IFERROR(LOOKUP(2,1/((HISTORIAL!$O$3:$O$505=D507&amp;"|"&amp;E507)*(HISTORIAL!$F$3:$F$505&lt;&gt;"")),HISTORIAL!$F$3:$F$505),"")</f>
        <v/>
      </c>
      <c r="H507" s="37" t="str">
        <f>IFERROR(LOOKUP(2,1/((HISTORIAL!$O$3:$O$505=D507&amp;"|"&amp;E507)*(HISTORIAL!$F$3:$F$505&lt;&gt;"")),HISTORIAL!$G$3:$G$505),"")</f>
        <v/>
      </c>
      <c r="I507" s="37" t="str">
        <f>IFERROR(LOOKUP(2,1/((HISTORIAL!$O$3:$O$505=D507&amp;"|"&amp;E507)*(HISTORIAL!$F$3:$F$505&lt;&gt;"")),HISTORIAL!$H$3:$H$505),"")</f>
        <v/>
      </c>
      <c r="J507" s="37" t="str">
        <f>IFERROR(LOOKUP(2,1/((HISTORIAL!$O$3:$O$505=D507&amp;"|"&amp;E507)*(HISTORIAL!$F$3:$F$505&lt;&gt;"")),HISTORIAL!$I$3:$I$505),"")</f>
        <v/>
      </c>
      <c r="K507" s="58" t="str">
        <f>IFERROR(IF(OR(G507="",N507="SIN"),"--",IF(N507="SUBIR_F",IF(F507="polea",IFERROR(INDEX(CONFIG!$B$25:$B$40,MATCH(G507,CONFIG!$B$25:$B$40,0)+2),IFERROR(INDEX(CONFIG!$B$25:$B$40,MATCH(G507,CONFIG!$B$25:$B$40,0)+1),G507)),G507+5),IF(OR(N507="SUBIR",N507="SUBIR_E"),IF(F507="polea",IFERROR(INDEX(CONFIG!$B$25:$B$40,MATCH(G507,CONFIG!$B$25:$B$40,0)+1),G507),G507+2.5),IF(N507="BAJAR",IF(F507="polea",IFERROR(INDEX(CONFIG!$B$25:$B$40,MAX(1,MATCH(G507,CONFIG!$B$25:$B$40,0)-1)),G507),MAX(0,G507-2.5)),G507)))),"--")</f>
        <v>--</v>
      </c>
      <c r="L507" s="59" t="str">
        <f>IFERROR(IF(N507="SIN","--",IF(N507="MANT",IF(H507="","--",H507+1),IFERROR(VLOOKUP(CONFIG!$E$2,CONFIG!$A$6:$E$8,2,0),"--"))),"--")</f>
        <v>--</v>
      </c>
      <c r="M507" s="59" t="str">
        <f>IFERROR(IF(N507="SIN","--",IF(CONFIG!$E$2="HIP",2,IF(CONFIG!$E$2="FUE",1,2))),"--")</f>
        <v>--</v>
      </c>
      <c r="N507" s="53" t="str">
        <f>IFERROR(IF(G507="","SIN",IF(O507=1,"SUBIR_E",IF(H507&lt;IFERROR(VLOOKUP(CONFIG!$E$2,CONFIG!$A$6:$E$8,2,0),6),"BAJAR",IF(H507+I507&gt;=IFERROR(VLOOKUP(CONFIG!$E$2,CONFIG!$A$6:$E$8,3,0),12),"SUBIR_F",IF(AND(H507&gt;=IFERROR(VLOOKUP(CONFIG!$E$2,CONFIG!$A$6:$E$8,2,0),6)+2,I507&gt;=2),"SUBIR",IF(I507&gt;IFERROR(VLOOKUP(CONFIG!$E$2,CONFIG!$A$6:$E$8,5,0),3),"SUBIR","MANT")))))),"SIN")</f>
        <v>SIN</v>
      </c>
      <c r="O507" s="55">
        <f>IF(COUNTIFS(HISTORIAL!$O$3:$O$505,D507&amp;"|"&amp;E507,HISTORIAL!$F$3:$F$505,"&gt;0")&lt;2,0,IF(COUNTIFS(HISTORIAL!$O$3:$O$505,D507&amp;"|"&amp;E507,HISTORIAL!$F$3:$F$505,IFERROR(LOOKUP(2,1/((HISTORIAL!$O$3:$O$505=D507&amp;"|"&amp;E507)*(HISTORIAL!$F$3:$F$505&gt;0)),HISTORIAL!$F$3:$F$505),0))&gt;=2,IF(IFERROR(LOOKUP(2,1/((HISTORIAL!$O$3:$O$505=D507&amp;"|"&amp;E507)*(HISTORIAL!$F$3:$F$505&gt;0)),HISTORIAL!$G$3:$G$505),0)&gt;0,IF(F507&gt;0,IF(G507&lt;=IFERROR(LOOKUP(2,1/((HISTORIAL!$O$3:$O$505=D507&amp;"|"&amp;E507)*(HISTORIAL!$F$3:$F$505&gt;0)),HISTORIAL!$G$3:$G$505),0),1,0),0),0),0))</f>
        <v>0</v>
      </c>
    </row>
    <row r="508" spans="1:15" ht="14.1" customHeight="1">
      <c r="A508" s="37">
        <v>9</v>
      </c>
      <c r="B508" s="37" t="s">
        <v>277</v>
      </c>
      <c r="C508" s="37">
        <v>1</v>
      </c>
      <c r="D508" s="56" t="str">
        <f>LUNES!$A$189</f>
        <v>Press Plano</v>
      </c>
      <c r="E508" s="57" t="str">
        <f>LUNES!$B$189</f>
        <v>Barra</v>
      </c>
      <c r="F508" s="37" t="str">
        <f>LUNES!$C$189</f>
        <v>disco</v>
      </c>
      <c r="G508" s="37" t="str">
        <f>IFERROR(LOOKUP(2,1/((HISTORIAL!$O$3:$O$506=D508&amp;"|"&amp;E508)*(HISTORIAL!$F$3:$F$506&lt;&gt;"")),HISTORIAL!$F$3:$F$506),"")</f>
        <v/>
      </c>
      <c r="H508" s="37" t="str">
        <f>IFERROR(LOOKUP(2,1/((HISTORIAL!$O$3:$O$506=D508&amp;"|"&amp;E508)*(HISTORIAL!$F$3:$F$506&lt;&gt;"")),HISTORIAL!$G$3:$G$506),"")</f>
        <v/>
      </c>
      <c r="I508" s="37" t="str">
        <f>IFERROR(LOOKUP(2,1/((HISTORIAL!$O$3:$O$506=D508&amp;"|"&amp;E508)*(HISTORIAL!$F$3:$F$506&lt;&gt;"")),HISTORIAL!$H$3:$H$506),"")</f>
        <v/>
      </c>
      <c r="J508" s="37" t="str">
        <f>IFERROR(LOOKUP(2,1/((HISTORIAL!$O$3:$O$506=D508&amp;"|"&amp;E508)*(HISTORIAL!$F$3:$F$506&lt;&gt;"")),HISTORIAL!$I$3:$I$506),"")</f>
        <v/>
      </c>
      <c r="K508" s="58" t="str">
        <f>IFERROR(IF(OR(G508="",N508="SIN"),"--",IF(N508="SUBIR_F",IF(F508="polea",IFERROR(INDEX(CONFIG!$B$25:$B$40,MATCH(G508,CONFIG!$B$25:$B$40,0)+2),IFERROR(INDEX(CONFIG!$B$25:$B$40,MATCH(G508,CONFIG!$B$25:$B$40,0)+1),G508)),G508+5),IF(OR(N508="SUBIR",N508="SUBIR_E"),IF(F508="polea",IFERROR(INDEX(CONFIG!$B$25:$B$40,MATCH(G508,CONFIG!$B$25:$B$40,0)+1),G508),G508+2.5),IF(N508="BAJAR",IF(F508="polea",IFERROR(INDEX(CONFIG!$B$25:$B$40,MAX(1,MATCH(G508,CONFIG!$B$25:$B$40,0)-1)),G508),MAX(0,G508-2.5)),G508)))),"--")</f>
        <v>--</v>
      </c>
      <c r="L508" s="59" t="str">
        <f>IFERROR(IF(N508="SIN","--",IF(N508="MANT",IF(H508="","--",H508+1),IFERROR(VLOOKUP(CONFIG!$E$2,CONFIG!$A$6:$E$8,2,0),"--"))),"--")</f>
        <v>--</v>
      </c>
      <c r="M508" s="59" t="str">
        <f>IFERROR(IF(N508="SIN","--",IF(CONFIG!$E$2="HIP",2,IF(CONFIG!$E$2="FUE",1,2))),"--")</f>
        <v>--</v>
      </c>
      <c r="N508" s="53" t="str">
        <f>IFERROR(IF(G508="","SIN",IF(O508=1,"SUBIR_E",IF(H508&lt;IFERROR(VLOOKUP(CONFIG!$E$2,CONFIG!$A$6:$E$8,2,0),6),"BAJAR",IF(H508+I508&gt;=IFERROR(VLOOKUP(CONFIG!$E$2,CONFIG!$A$6:$E$8,3,0),12),"SUBIR_F",IF(AND(H508&gt;=IFERROR(VLOOKUP(CONFIG!$E$2,CONFIG!$A$6:$E$8,2,0),6)+2,I508&gt;=2),"SUBIR",IF(I508&gt;IFERROR(VLOOKUP(CONFIG!$E$2,CONFIG!$A$6:$E$8,5,0),3),"SUBIR","MANT")))))),"SIN")</f>
        <v>SIN</v>
      </c>
      <c r="O508" s="55">
        <f>IF(COUNTIFS(HISTORIAL!$O$3:$O$506,D508&amp;"|"&amp;E508,HISTORIAL!$F$3:$F$506,"&gt;0")&lt;2,0,IF(COUNTIFS(HISTORIAL!$O$3:$O$506,D508&amp;"|"&amp;E508,HISTORIAL!$F$3:$F$506,IFERROR(LOOKUP(2,1/((HISTORIAL!$O$3:$O$506=D508&amp;"|"&amp;E508)*(HISTORIAL!$F$3:$F$506&gt;0)),HISTORIAL!$F$3:$F$506),0))&gt;=2,IF(IFERROR(LOOKUP(2,1/((HISTORIAL!$O$3:$O$506=D508&amp;"|"&amp;E508)*(HISTORIAL!$F$3:$F$506&gt;0)),HISTORIAL!$G$3:$G$506),0)&gt;0,IF(F508&gt;0,IF(G508&lt;=IFERROR(LOOKUP(2,1/((HISTORIAL!$O$3:$O$506=D508&amp;"|"&amp;E508)*(HISTORIAL!$F$3:$F$506&gt;0)),HISTORIAL!$G$3:$G$506),0),1,0),0),0),0))</f>
        <v>0</v>
      </c>
    </row>
    <row r="509" spans="1:15" ht="14.1" customHeight="1">
      <c r="A509" s="37">
        <v>9</v>
      </c>
      <c r="B509" s="37" t="s">
        <v>277</v>
      </c>
      <c r="C509" s="37">
        <v>2</v>
      </c>
      <c r="D509" s="56" t="str">
        <f>LUNES!$A$191</f>
        <v>Press Inclinado</v>
      </c>
      <c r="E509" s="57" t="str">
        <f>LUNES!$B$191</f>
        <v>Mancuernas</v>
      </c>
      <c r="F509" s="37" t="str">
        <f>LUNES!$C$191</f>
        <v>mancuerna</v>
      </c>
      <c r="G509" s="37" t="str">
        <f>IFERROR(LOOKUP(2,1/((HISTORIAL!$O$3:$O$507=D509&amp;"|"&amp;E509)*(HISTORIAL!$F$3:$F$507&lt;&gt;"")),HISTORIAL!$F$3:$F$507),"")</f>
        <v/>
      </c>
      <c r="H509" s="37" t="str">
        <f>IFERROR(LOOKUP(2,1/((HISTORIAL!$O$3:$O$507=D509&amp;"|"&amp;E509)*(HISTORIAL!$F$3:$F$507&lt;&gt;"")),HISTORIAL!$G$3:$G$507),"")</f>
        <v/>
      </c>
      <c r="I509" s="37" t="str">
        <f>IFERROR(LOOKUP(2,1/((HISTORIAL!$O$3:$O$507=D509&amp;"|"&amp;E509)*(HISTORIAL!$F$3:$F$507&lt;&gt;"")),HISTORIAL!$H$3:$H$507),"")</f>
        <v/>
      </c>
      <c r="J509" s="37" t="str">
        <f>IFERROR(LOOKUP(2,1/((HISTORIAL!$O$3:$O$507=D509&amp;"|"&amp;E509)*(HISTORIAL!$F$3:$F$507&lt;&gt;"")),HISTORIAL!$I$3:$I$507),"")</f>
        <v/>
      </c>
      <c r="K509" s="58" t="str">
        <f>IFERROR(IF(OR(G509="",N509="SIN"),"--",IF(N509="SUBIR_F",IF(F509="polea",IFERROR(INDEX(CONFIG!$B$25:$B$40,MATCH(G509,CONFIG!$B$25:$B$40,0)+2),IFERROR(INDEX(CONFIG!$B$25:$B$40,MATCH(G509,CONFIG!$B$25:$B$40,0)+1),G509)),G509+5),IF(OR(N509="SUBIR",N509="SUBIR_E"),IF(F509="polea",IFERROR(INDEX(CONFIG!$B$25:$B$40,MATCH(G509,CONFIG!$B$25:$B$40,0)+1),G509),G509+2.5),IF(N509="BAJAR",IF(F509="polea",IFERROR(INDEX(CONFIG!$B$25:$B$40,MAX(1,MATCH(G509,CONFIG!$B$25:$B$40,0)-1)),G509),MAX(0,G509-2.5)),G509)))),"--")</f>
        <v>--</v>
      </c>
      <c r="L509" s="59" t="str">
        <f>IFERROR(IF(N509="SIN","--",IF(N509="MANT",IF(H509="","--",H509+1),IFERROR(VLOOKUP(CONFIG!$E$2,CONFIG!$A$6:$E$8,2,0),"--"))),"--")</f>
        <v>--</v>
      </c>
      <c r="M509" s="59" t="str">
        <f>IFERROR(IF(N509="SIN","--",IF(CONFIG!$E$2="HIP",2,IF(CONFIG!$E$2="FUE",1,2))),"--")</f>
        <v>--</v>
      </c>
      <c r="N509" s="53" t="str">
        <f>IFERROR(IF(G509="","SIN",IF(O509=1,"SUBIR_E",IF(H509&lt;IFERROR(VLOOKUP(CONFIG!$E$2,CONFIG!$A$6:$E$8,2,0),6),"BAJAR",IF(H509+I509&gt;=IFERROR(VLOOKUP(CONFIG!$E$2,CONFIG!$A$6:$E$8,3,0),12),"SUBIR_F",IF(AND(H509&gt;=IFERROR(VLOOKUP(CONFIG!$E$2,CONFIG!$A$6:$E$8,2,0),6)+2,I509&gt;=2),"SUBIR",IF(I509&gt;IFERROR(VLOOKUP(CONFIG!$E$2,CONFIG!$A$6:$E$8,5,0),3),"SUBIR","MANT")))))),"SIN")</f>
        <v>SIN</v>
      </c>
      <c r="O509" s="55">
        <f>IF(COUNTIFS(HISTORIAL!$O$3:$O$507,D509&amp;"|"&amp;E509,HISTORIAL!$F$3:$F$507,"&gt;0")&lt;2,0,IF(COUNTIFS(HISTORIAL!$O$3:$O$507,D509&amp;"|"&amp;E509,HISTORIAL!$F$3:$F$507,IFERROR(LOOKUP(2,1/((HISTORIAL!$O$3:$O$507=D509&amp;"|"&amp;E509)*(HISTORIAL!$F$3:$F$507&gt;0)),HISTORIAL!$F$3:$F$507),0))&gt;=2,IF(IFERROR(LOOKUP(2,1/((HISTORIAL!$O$3:$O$507=D509&amp;"|"&amp;E509)*(HISTORIAL!$F$3:$F$507&gt;0)),HISTORIAL!$G$3:$G$507),0)&gt;0,IF(F509&gt;0,IF(G509&lt;=IFERROR(LOOKUP(2,1/((HISTORIAL!$O$3:$O$507=D509&amp;"|"&amp;E509)*(HISTORIAL!$F$3:$F$507&gt;0)),HISTORIAL!$G$3:$G$507),0),1,0),0),0),0))</f>
        <v>0</v>
      </c>
    </row>
    <row r="510" spans="1:15" ht="14.1" customHeight="1">
      <c r="A510" s="37">
        <v>9</v>
      </c>
      <c r="B510" s="37" t="s">
        <v>277</v>
      </c>
      <c r="C510" s="37">
        <v>3</v>
      </c>
      <c r="D510" s="56" t="str">
        <f>LUNES!$A$193</f>
        <v>Fondos</v>
      </c>
      <c r="E510" s="57" t="str">
        <f>LUNES!$B$193</f>
        <v>Paralelas</v>
      </c>
      <c r="F510" s="37" t="str">
        <f>LUNES!$C$193</f>
        <v>peso_corporal</v>
      </c>
      <c r="G510" s="37">
        <f>IFERROR(LOOKUP(2,1/((HISTORIAL!$O$3:$O$508=D510&amp;"|"&amp;E510)*(HISTORIAL!$F$3:$F$508&lt;&gt;"")),HISTORIAL!$F$3:$F$508),"")</f>
        <v>0</v>
      </c>
      <c r="H510" s="37">
        <f>IFERROR(LOOKUP(2,1/((HISTORIAL!$O$3:$O$508=D510&amp;"|"&amp;E510)*(HISTORIAL!$F$3:$F$508&lt;&gt;"")),HISTORIAL!$G$3:$G$508),"")</f>
        <v>12</v>
      </c>
      <c r="I510" s="37">
        <f>IFERROR(LOOKUP(2,1/((HISTORIAL!$O$3:$O$508=D510&amp;"|"&amp;E510)*(HISTORIAL!$F$3:$F$508&lt;&gt;"")),HISTORIAL!$H$3:$H$508),"")</f>
        <v>0</v>
      </c>
      <c r="J510" s="37" t="str">
        <f>IFERROR(LOOKUP(2,1/((HISTORIAL!$O$3:$O$508=D510&amp;"|"&amp;E510)*(HISTORIAL!$F$3:$F$508&lt;&gt;"")),HISTORIAL!$I$3:$I$508),"")</f>
        <v>B</v>
      </c>
      <c r="K510" s="58">
        <f>IFERROR(IF(OR(G510="",N510="SIN"),"--",IF(N510="SUBIR_F",IF(F510="polea",IFERROR(INDEX(CONFIG!$B$25:$B$40,MATCH(G510,CONFIG!$B$25:$B$40,0)+2),IFERROR(INDEX(CONFIG!$B$25:$B$40,MATCH(G510,CONFIG!$B$25:$B$40,0)+1),G510)),G510+5),IF(OR(N510="SUBIR",N510="SUBIR_E"),IF(F510="polea",IFERROR(INDEX(CONFIG!$B$25:$B$40,MATCH(G510,CONFIG!$B$25:$B$40,0)+1),G510),G510+2.5),IF(N510="BAJAR",IF(F510="polea",IFERROR(INDEX(CONFIG!$B$25:$B$40,MAX(1,MATCH(G510,CONFIG!$B$25:$B$40,0)-1)),G510),MAX(0,G510-2.5)),G510)))),"--")</f>
        <v>5</v>
      </c>
      <c r="L510" s="59">
        <f>IFERROR(IF(N510="SIN","--",IF(N510="MANT",IF(H510="","--",H510+1),IFERROR(VLOOKUP(CONFIG!$E$2,CONFIG!$A$6:$E$8,2,0),"--"))),"--")</f>
        <v>6</v>
      </c>
      <c r="M510" s="59">
        <f>IFERROR(IF(N510="SIN","--",IF(CONFIG!$E$2="HIP",2,IF(CONFIG!$E$2="FUE",1,2))),"--")</f>
        <v>2</v>
      </c>
      <c r="N510" s="53" t="str">
        <f>IFERROR(IF(G510="","SIN",IF(O510=1,"SUBIR_E",IF(H510&lt;IFERROR(VLOOKUP(CONFIG!$E$2,CONFIG!$A$6:$E$8,2,0),6),"BAJAR",IF(H510+I510&gt;=IFERROR(VLOOKUP(CONFIG!$E$2,CONFIG!$A$6:$E$8,3,0),12),"SUBIR_F",IF(AND(H510&gt;=IFERROR(VLOOKUP(CONFIG!$E$2,CONFIG!$A$6:$E$8,2,0),6)+2,I510&gt;=2),"SUBIR",IF(I510&gt;IFERROR(VLOOKUP(CONFIG!$E$2,CONFIG!$A$6:$E$8,5,0),3),"SUBIR","MANT")))))),"SIN")</f>
        <v>SUBIR_F</v>
      </c>
      <c r="O510" s="55">
        <f>IF(COUNTIFS(HISTORIAL!$O$3:$O$508,D510&amp;"|"&amp;E510,HISTORIAL!$F$3:$F$508,"&gt;0")&lt;2,0,IF(COUNTIFS(HISTORIAL!$O$3:$O$508,D510&amp;"|"&amp;E510,HISTORIAL!$F$3:$F$508,IFERROR(LOOKUP(2,1/((HISTORIAL!$O$3:$O$508=D510&amp;"|"&amp;E510)*(HISTORIAL!$F$3:$F$508&gt;0)),HISTORIAL!$F$3:$F$508),0))&gt;=2,IF(IFERROR(LOOKUP(2,1/((HISTORIAL!$O$3:$O$508=D510&amp;"|"&amp;E510)*(HISTORIAL!$F$3:$F$508&gt;0)),HISTORIAL!$G$3:$G$508),0)&gt;0,IF(F510&gt;0,IF(G510&lt;=IFERROR(LOOKUP(2,1/((HISTORIAL!$O$3:$O$508=D510&amp;"|"&amp;E510)*(HISTORIAL!$F$3:$F$508&gt;0)),HISTORIAL!$G$3:$G$508),0),1,0),0),0),0))</f>
        <v>0</v>
      </c>
    </row>
    <row r="511" spans="1:15" ht="14.1" customHeight="1">
      <c r="A511" s="37">
        <v>9</v>
      </c>
      <c r="B511" s="37" t="s">
        <v>277</v>
      </c>
      <c r="C511" s="37">
        <v>4</v>
      </c>
      <c r="D511" s="56" t="str">
        <f>LUNES!$A$194</f>
        <v>Aperturas</v>
      </c>
      <c r="E511" s="57" t="str">
        <f>LUNES!$B$194</f>
        <v>Polea Baja Crossover</v>
      </c>
      <c r="F511" s="37" t="str">
        <f>LUNES!$C$194</f>
        <v>--</v>
      </c>
      <c r="G511" s="37" t="str">
        <f>IFERROR(LOOKUP(2,1/((HISTORIAL!$O$3:$O$509=D511&amp;"|"&amp;E511)*(HISTORIAL!$F$3:$F$509&lt;&gt;"")),HISTORIAL!$F$3:$F$509),"")</f>
        <v/>
      </c>
      <c r="H511" s="37" t="str">
        <f>IFERROR(LOOKUP(2,1/((HISTORIAL!$O$3:$O$509=D511&amp;"|"&amp;E511)*(HISTORIAL!$F$3:$F$509&lt;&gt;"")),HISTORIAL!$G$3:$G$509),"")</f>
        <v/>
      </c>
      <c r="I511" s="37" t="str">
        <f>IFERROR(LOOKUP(2,1/((HISTORIAL!$O$3:$O$509=D511&amp;"|"&amp;E511)*(HISTORIAL!$F$3:$F$509&lt;&gt;"")),HISTORIAL!$H$3:$H$509),"")</f>
        <v/>
      </c>
      <c r="J511" s="37" t="str">
        <f>IFERROR(LOOKUP(2,1/((HISTORIAL!$O$3:$O$509=D511&amp;"|"&amp;E511)*(HISTORIAL!$F$3:$F$509&lt;&gt;"")),HISTORIAL!$I$3:$I$509),"")</f>
        <v/>
      </c>
      <c r="K511" s="58" t="str">
        <f>IFERROR(IF(OR(G511="",N511="SIN"),"--",IF(N511="SUBIR_F",IF(F511="polea",IFERROR(INDEX(CONFIG!$B$25:$B$40,MATCH(G511,CONFIG!$B$25:$B$40,0)+2),IFERROR(INDEX(CONFIG!$B$25:$B$40,MATCH(G511,CONFIG!$B$25:$B$40,0)+1),G511)),G511+5),IF(OR(N511="SUBIR",N511="SUBIR_E"),IF(F511="polea",IFERROR(INDEX(CONFIG!$B$25:$B$40,MATCH(G511,CONFIG!$B$25:$B$40,0)+1),G511),G511+2.5),IF(N511="BAJAR",IF(F511="polea",IFERROR(INDEX(CONFIG!$B$25:$B$40,MAX(1,MATCH(G511,CONFIG!$B$25:$B$40,0)-1)),G511),MAX(0,G511-2.5)),G511)))),"--")</f>
        <v>--</v>
      </c>
      <c r="L511" s="59" t="str">
        <f>IFERROR(IF(N511="SIN","--",IF(N511="MANT",IF(H511="","--",H511+1),IFERROR(VLOOKUP(CONFIG!$E$2,CONFIG!$A$6:$E$8,2,0),"--"))),"--")</f>
        <v>--</v>
      </c>
      <c r="M511" s="59" t="str">
        <f>IFERROR(IF(N511="SIN","--",IF(CONFIG!$E$2="HIP",2,IF(CONFIG!$E$2="FUE",1,2))),"--")</f>
        <v>--</v>
      </c>
      <c r="N511" s="53" t="str">
        <f>IFERROR(IF(G511="","SIN",IF(O511=1,"SUBIR_E",IF(H511&lt;IFERROR(VLOOKUP(CONFIG!$E$2,CONFIG!$A$6:$E$8,2,0),6),"BAJAR",IF(H511+I511&gt;=IFERROR(VLOOKUP(CONFIG!$E$2,CONFIG!$A$6:$E$8,3,0),12),"SUBIR_F",IF(AND(H511&gt;=IFERROR(VLOOKUP(CONFIG!$E$2,CONFIG!$A$6:$E$8,2,0),6)+2,I511&gt;=2),"SUBIR",IF(I511&gt;IFERROR(VLOOKUP(CONFIG!$E$2,CONFIG!$A$6:$E$8,5,0),3),"SUBIR","MANT")))))),"SIN")</f>
        <v>SIN</v>
      </c>
      <c r="O511" s="55">
        <f>IF(COUNTIFS(HISTORIAL!$O$3:$O$509,D511&amp;"|"&amp;E511,HISTORIAL!$F$3:$F$509,"&gt;0")&lt;2,0,IF(COUNTIFS(HISTORIAL!$O$3:$O$509,D511&amp;"|"&amp;E511,HISTORIAL!$F$3:$F$509,IFERROR(LOOKUP(2,1/((HISTORIAL!$O$3:$O$509=D511&amp;"|"&amp;E511)*(HISTORIAL!$F$3:$F$509&gt;0)),HISTORIAL!$F$3:$F$509),0))&gt;=2,IF(IFERROR(LOOKUP(2,1/((HISTORIAL!$O$3:$O$509=D511&amp;"|"&amp;E511)*(HISTORIAL!$F$3:$F$509&gt;0)),HISTORIAL!$G$3:$G$509),0)&gt;0,IF(F511&gt;0,IF(G511&lt;=IFERROR(LOOKUP(2,1/((HISTORIAL!$O$3:$O$509=D511&amp;"|"&amp;E511)*(HISTORIAL!$F$3:$F$509&gt;0)),HISTORIAL!$G$3:$G$509),0),1,0),0),0),0))</f>
        <v>0</v>
      </c>
    </row>
    <row r="512" spans="1:15" ht="14.1" customHeight="1">
      <c r="A512" s="37">
        <v>9</v>
      </c>
      <c r="B512" s="37" t="s">
        <v>277</v>
      </c>
      <c r="C512" s="37">
        <v>5</v>
      </c>
      <c r="D512" s="56" t="str">
        <f>LUNES!$A$195</f>
        <v>Aperturas</v>
      </c>
      <c r="E512" s="57" t="str">
        <f>LUNES!$B$195</f>
        <v>Pec Deck Maquina</v>
      </c>
      <c r="F512" s="37" t="str">
        <f>LUNES!$C$195</f>
        <v>--</v>
      </c>
      <c r="G512" s="37" t="str">
        <f>IFERROR(LOOKUP(2,1/((HISTORIAL!$O$3:$O$510=D512&amp;"|"&amp;E512)*(HISTORIAL!$F$3:$F$510&lt;&gt;"")),HISTORIAL!$F$3:$F$510),"")</f>
        <v/>
      </c>
      <c r="H512" s="37" t="str">
        <f>IFERROR(LOOKUP(2,1/((HISTORIAL!$O$3:$O$510=D512&amp;"|"&amp;E512)*(HISTORIAL!$F$3:$F$510&lt;&gt;"")),HISTORIAL!$G$3:$G$510),"")</f>
        <v/>
      </c>
      <c r="I512" s="37" t="str">
        <f>IFERROR(LOOKUP(2,1/((HISTORIAL!$O$3:$O$510=D512&amp;"|"&amp;E512)*(HISTORIAL!$F$3:$F$510&lt;&gt;"")),HISTORIAL!$H$3:$H$510),"")</f>
        <v/>
      </c>
      <c r="J512" s="37" t="str">
        <f>IFERROR(LOOKUP(2,1/((HISTORIAL!$O$3:$O$510=D512&amp;"|"&amp;E512)*(HISTORIAL!$F$3:$F$510&lt;&gt;"")),HISTORIAL!$I$3:$I$510),"")</f>
        <v/>
      </c>
      <c r="K512" s="58" t="str">
        <f>IFERROR(IF(OR(G512="",N512="SIN"),"--",IF(N512="SUBIR_F",IF(F512="polea",IFERROR(INDEX(CONFIG!$B$25:$B$40,MATCH(G512,CONFIG!$B$25:$B$40,0)+2),IFERROR(INDEX(CONFIG!$B$25:$B$40,MATCH(G512,CONFIG!$B$25:$B$40,0)+1),G512)),G512+5),IF(OR(N512="SUBIR",N512="SUBIR_E"),IF(F512="polea",IFERROR(INDEX(CONFIG!$B$25:$B$40,MATCH(G512,CONFIG!$B$25:$B$40,0)+1),G512),G512+2.5),IF(N512="BAJAR",IF(F512="polea",IFERROR(INDEX(CONFIG!$B$25:$B$40,MAX(1,MATCH(G512,CONFIG!$B$25:$B$40,0)-1)),G512),MAX(0,G512-2.5)),G512)))),"--")</f>
        <v>--</v>
      </c>
      <c r="L512" s="59" t="str">
        <f>IFERROR(IF(N512="SIN","--",IF(N512="MANT",IF(H512="","--",H512+1),IFERROR(VLOOKUP(CONFIG!$E$2,CONFIG!$A$6:$E$8,2,0),"--"))),"--")</f>
        <v>--</v>
      </c>
      <c r="M512" s="59" t="str">
        <f>IFERROR(IF(N512="SIN","--",IF(CONFIG!$E$2="HIP",2,IF(CONFIG!$E$2="FUE",1,2))),"--")</f>
        <v>--</v>
      </c>
      <c r="N512" s="53" t="str">
        <f>IFERROR(IF(G512="","SIN",IF(O512=1,"SUBIR_E",IF(H512&lt;IFERROR(VLOOKUP(CONFIG!$E$2,CONFIG!$A$6:$E$8,2,0),6),"BAJAR",IF(H512+I512&gt;=IFERROR(VLOOKUP(CONFIG!$E$2,CONFIG!$A$6:$E$8,3,0),12),"SUBIR_F",IF(AND(H512&gt;=IFERROR(VLOOKUP(CONFIG!$E$2,CONFIG!$A$6:$E$8,2,0),6)+2,I512&gt;=2),"SUBIR",IF(I512&gt;IFERROR(VLOOKUP(CONFIG!$E$2,CONFIG!$A$6:$E$8,5,0),3),"SUBIR","MANT")))))),"SIN")</f>
        <v>SIN</v>
      </c>
      <c r="O512" s="55">
        <f>IF(COUNTIFS(HISTORIAL!$O$3:$O$510,D512&amp;"|"&amp;E512,HISTORIAL!$F$3:$F$510,"&gt;0")&lt;2,0,IF(COUNTIFS(HISTORIAL!$O$3:$O$510,D512&amp;"|"&amp;E512,HISTORIAL!$F$3:$F$510,IFERROR(LOOKUP(2,1/((HISTORIAL!$O$3:$O$510=D512&amp;"|"&amp;E512)*(HISTORIAL!$F$3:$F$510&gt;0)),HISTORIAL!$F$3:$F$510),0))&gt;=2,IF(IFERROR(LOOKUP(2,1/((HISTORIAL!$O$3:$O$510=D512&amp;"|"&amp;E512)*(HISTORIAL!$F$3:$F$510&gt;0)),HISTORIAL!$G$3:$G$510),0)&gt;0,IF(F512&gt;0,IF(G512&lt;=IFERROR(LOOKUP(2,1/((HISTORIAL!$O$3:$O$510=D512&amp;"|"&amp;E512)*(HISTORIAL!$F$3:$F$510&gt;0)),HISTORIAL!$G$3:$G$510),0),1,0),0),0),0))</f>
        <v>0</v>
      </c>
    </row>
    <row r="513" spans="1:15" ht="14.1" customHeight="1">
      <c r="A513" s="37">
        <v>9</v>
      </c>
      <c r="B513" s="37" t="s">
        <v>277</v>
      </c>
      <c r="C513" s="37">
        <v>6</v>
      </c>
      <c r="D513" s="56" t="str">
        <f>LUNES!$A$197</f>
        <v>Elevaciones Laterales</v>
      </c>
      <c r="E513" s="57" t="str">
        <f>LUNES!$B$197</f>
        <v>Cable Polea Individual</v>
      </c>
      <c r="F513" s="37" t="str">
        <f>LUNES!$C$197</f>
        <v>polea</v>
      </c>
      <c r="G513" s="37" t="str">
        <f>IFERROR(LOOKUP(2,1/((HISTORIAL!$O$3:$O$511=D513&amp;"|"&amp;E513)*(HISTORIAL!$F$3:$F$511&lt;&gt;"")),HISTORIAL!$F$3:$F$511),"")</f>
        <v/>
      </c>
      <c r="H513" s="37" t="str">
        <f>IFERROR(LOOKUP(2,1/((HISTORIAL!$O$3:$O$511=D513&amp;"|"&amp;E513)*(HISTORIAL!$F$3:$F$511&lt;&gt;"")),HISTORIAL!$G$3:$G$511),"")</f>
        <v/>
      </c>
      <c r="I513" s="37" t="str">
        <f>IFERROR(LOOKUP(2,1/((HISTORIAL!$O$3:$O$511=D513&amp;"|"&amp;E513)*(HISTORIAL!$F$3:$F$511&lt;&gt;"")),HISTORIAL!$H$3:$H$511),"")</f>
        <v/>
      </c>
      <c r="J513" s="37" t="str">
        <f>IFERROR(LOOKUP(2,1/((HISTORIAL!$O$3:$O$511=D513&amp;"|"&amp;E513)*(HISTORIAL!$F$3:$F$511&lt;&gt;"")),HISTORIAL!$I$3:$I$511),"")</f>
        <v/>
      </c>
      <c r="K513" s="58" t="str">
        <f>IFERROR(IF(OR(G513="",N513="SIN"),"--",IF(N513="SUBIR_F",IF(F513="polea",IFERROR(INDEX(CONFIG!$B$25:$B$40,MATCH(G513,CONFIG!$B$25:$B$40,0)+2),IFERROR(INDEX(CONFIG!$B$25:$B$40,MATCH(G513,CONFIG!$B$25:$B$40,0)+1),G513)),G513+5),IF(OR(N513="SUBIR",N513="SUBIR_E"),IF(F513="polea",IFERROR(INDEX(CONFIG!$B$25:$B$40,MATCH(G513,CONFIG!$B$25:$B$40,0)+1),G513),G513+2.5),IF(N513="BAJAR",IF(F513="polea",IFERROR(INDEX(CONFIG!$B$25:$B$40,MAX(1,MATCH(G513,CONFIG!$B$25:$B$40,0)-1)),G513),MAX(0,G513-2.5)),G513)))),"--")</f>
        <v>--</v>
      </c>
      <c r="L513" s="59" t="str">
        <f>IFERROR(IF(N513="SIN","--",IF(N513="MANT",IF(H513="","--",H513+1),IFERROR(VLOOKUP(CONFIG!$E$2,CONFIG!$A$6:$E$8,2,0),"--"))),"--")</f>
        <v>--</v>
      </c>
      <c r="M513" s="59" t="str">
        <f>IFERROR(IF(N513="SIN","--",IF(CONFIG!$E$2="HIP",2,IF(CONFIG!$E$2="FUE",1,2))),"--")</f>
        <v>--</v>
      </c>
      <c r="N513" s="53" t="str">
        <f>IFERROR(IF(G513="","SIN",IF(O513=1,"SUBIR_E",IF(H513&lt;IFERROR(VLOOKUP(CONFIG!$E$2,CONFIG!$A$6:$E$8,2,0),6),"BAJAR",IF(H513+I513&gt;=IFERROR(VLOOKUP(CONFIG!$E$2,CONFIG!$A$6:$E$8,3,0),12),"SUBIR_F",IF(AND(H513&gt;=IFERROR(VLOOKUP(CONFIG!$E$2,CONFIG!$A$6:$E$8,2,0),6)+2,I513&gt;=2),"SUBIR",IF(I513&gt;IFERROR(VLOOKUP(CONFIG!$E$2,CONFIG!$A$6:$E$8,5,0),3),"SUBIR","MANT")))))),"SIN")</f>
        <v>SIN</v>
      </c>
      <c r="O513" s="55">
        <f>IF(COUNTIFS(HISTORIAL!$O$3:$O$511,D513&amp;"|"&amp;E513,HISTORIAL!$F$3:$F$511,"&gt;0")&lt;2,0,IF(COUNTIFS(HISTORIAL!$O$3:$O$511,D513&amp;"|"&amp;E513,HISTORIAL!$F$3:$F$511,IFERROR(LOOKUP(2,1/((HISTORIAL!$O$3:$O$511=D513&amp;"|"&amp;E513)*(HISTORIAL!$F$3:$F$511&gt;0)),HISTORIAL!$F$3:$F$511),0))&gt;=2,IF(IFERROR(LOOKUP(2,1/((HISTORIAL!$O$3:$O$511=D513&amp;"|"&amp;E513)*(HISTORIAL!$F$3:$F$511&gt;0)),HISTORIAL!$G$3:$G$511),0)&gt;0,IF(F513&gt;0,IF(G513&lt;=IFERROR(LOOKUP(2,1/((HISTORIAL!$O$3:$O$511=D513&amp;"|"&amp;E513)*(HISTORIAL!$F$3:$F$511&gt;0)),HISTORIAL!$G$3:$G$511),0),1,0),0),0),0))</f>
        <v>0</v>
      </c>
    </row>
    <row r="514" spans="1:15" ht="14.1" customHeight="1">
      <c r="A514" s="37">
        <v>9</v>
      </c>
      <c r="B514" s="37" t="s">
        <v>277</v>
      </c>
      <c r="C514" s="37">
        <v>7</v>
      </c>
      <c r="D514" s="56" t="str">
        <f>LUNES!$A$198</f>
        <v>Press Militar</v>
      </c>
      <c r="E514" s="57" t="str">
        <f>LUNES!$B$198</f>
        <v>Mancuernas Sentado</v>
      </c>
      <c r="F514" s="37" t="str">
        <f>LUNES!$C$198</f>
        <v>mancuerna</v>
      </c>
      <c r="G514" s="37" t="str">
        <f>IFERROR(LOOKUP(2,1/((HISTORIAL!$O$3:$O$512=D514&amp;"|"&amp;E514)*(HISTORIAL!$F$3:$F$512&lt;&gt;"")),HISTORIAL!$F$3:$F$512),"")</f>
        <v/>
      </c>
      <c r="H514" s="37" t="str">
        <f>IFERROR(LOOKUP(2,1/((HISTORIAL!$O$3:$O$512=D514&amp;"|"&amp;E514)*(HISTORIAL!$F$3:$F$512&lt;&gt;"")),HISTORIAL!$G$3:$G$512),"")</f>
        <v/>
      </c>
      <c r="I514" s="37" t="str">
        <f>IFERROR(LOOKUP(2,1/((HISTORIAL!$O$3:$O$512=D514&amp;"|"&amp;E514)*(HISTORIAL!$F$3:$F$512&lt;&gt;"")),HISTORIAL!$H$3:$H$512),"")</f>
        <v/>
      </c>
      <c r="J514" s="37" t="str">
        <f>IFERROR(LOOKUP(2,1/((HISTORIAL!$O$3:$O$512=D514&amp;"|"&amp;E514)*(HISTORIAL!$F$3:$F$512&lt;&gt;"")),HISTORIAL!$I$3:$I$512),"")</f>
        <v/>
      </c>
      <c r="K514" s="58" t="str">
        <f>IFERROR(IF(OR(G514="",N514="SIN"),"--",IF(N514="SUBIR_F",IF(F514="polea",IFERROR(INDEX(CONFIG!$B$25:$B$40,MATCH(G514,CONFIG!$B$25:$B$40,0)+2),IFERROR(INDEX(CONFIG!$B$25:$B$40,MATCH(G514,CONFIG!$B$25:$B$40,0)+1),G514)),G514+5),IF(OR(N514="SUBIR",N514="SUBIR_E"),IF(F514="polea",IFERROR(INDEX(CONFIG!$B$25:$B$40,MATCH(G514,CONFIG!$B$25:$B$40,0)+1),G514),G514+2.5),IF(N514="BAJAR",IF(F514="polea",IFERROR(INDEX(CONFIG!$B$25:$B$40,MAX(1,MATCH(G514,CONFIG!$B$25:$B$40,0)-1)),G514),MAX(0,G514-2.5)),G514)))),"--")</f>
        <v>--</v>
      </c>
      <c r="L514" s="59" t="str">
        <f>IFERROR(IF(N514="SIN","--",IF(N514="MANT",IF(H514="","--",H514+1),IFERROR(VLOOKUP(CONFIG!$E$2,CONFIG!$A$6:$E$8,2,0),"--"))),"--")</f>
        <v>--</v>
      </c>
      <c r="M514" s="59" t="str">
        <f>IFERROR(IF(N514="SIN","--",IF(CONFIG!$E$2="HIP",2,IF(CONFIG!$E$2="FUE",1,2))),"--")</f>
        <v>--</v>
      </c>
      <c r="N514" s="53" t="str">
        <f>IFERROR(IF(G514="","SIN",IF(O514=1,"SUBIR_E",IF(H514&lt;IFERROR(VLOOKUP(CONFIG!$E$2,CONFIG!$A$6:$E$8,2,0),6),"BAJAR",IF(H514+I514&gt;=IFERROR(VLOOKUP(CONFIG!$E$2,CONFIG!$A$6:$E$8,3,0),12),"SUBIR_F",IF(AND(H514&gt;=IFERROR(VLOOKUP(CONFIG!$E$2,CONFIG!$A$6:$E$8,2,0),6)+2,I514&gt;=2),"SUBIR",IF(I514&gt;IFERROR(VLOOKUP(CONFIG!$E$2,CONFIG!$A$6:$E$8,5,0),3),"SUBIR","MANT")))))),"SIN")</f>
        <v>SIN</v>
      </c>
      <c r="O514" s="55">
        <f>IF(COUNTIFS(HISTORIAL!$O$3:$O$512,D514&amp;"|"&amp;E514,HISTORIAL!$F$3:$F$512,"&gt;0")&lt;2,0,IF(COUNTIFS(HISTORIAL!$O$3:$O$512,D514&amp;"|"&amp;E514,HISTORIAL!$F$3:$F$512,IFERROR(LOOKUP(2,1/((HISTORIAL!$O$3:$O$512=D514&amp;"|"&amp;E514)*(HISTORIAL!$F$3:$F$512&gt;0)),HISTORIAL!$F$3:$F$512),0))&gt;=2,IF(IFERROR(LOOKUP(2,1/((HISTORIAL!$O$3:$O$512=D514&amp;"|"&amp;E514)*(HISTORIAL!$F$3:$F$512&gt;0)),HISTORIAL!$G$3:$G$512),0)&gt;0,IF(F514&gt;0,IF(G514&lt;=IFERROR(LOOKUP(2,1/((HISTORIAL!$O$3:$O$512=D514&amp;"|"&amp;E514)*(HISTORIAL!$F$3:$F$512&gt;0)),HISTORIAL!$G$3:$G$512),0),1,0),0),0),0))</f>
        <v>0</v>
      </c>
    </row>
    <row r="515" spans="1:15" ht="14.1" customHeight="1">
      <c r="A515" s="37">
        <v>9</v>
      </c>
      <c r="B515" s="37" t="s">
        <v>277</v>
      </c>
      <c r="C515" s="37">
        <v>8</v>
      </c>
      <c r="D515" s="56" t="str">
        <f>LUNES!$A$200</f>
        <v>Extension Triceps</v>
      </c>
      <c r="E515" s="57" t="str">
        <f>LUNES!$B$200</f>
        <v>Press Neutro Polea Individual</v>
      </c>
      <c r="F515" s="37" t="str">
        <f>LUNES!$C$200</f>
        <v>--</v>
      </c>
      <c r="G515" s="37" t="str">
        <f>IFERROR(LOOKUP(2,1/((HISTORIAL!$O$3:$O$513=D515&amp;"|"&amp;E515)*(HISTORIAL!$F$3:$F$513&lt;&gt;"")),HISTORIAL!$F$3:$F$513),"")</f>
        <v/>
      </c>
      <c r="H515" s="37" t="str">
        <f>IFERROR(LOOKUP(2,1/((HISTORIAL!$O$3:$O$513=D515&amp;"|"&amp;E515)*(HISTORIAL!$F$3:$F$513&lt;&gt;"")),HISTORIAL!$G$3:$G$513),"")</f>
        <v/>
      </c>
      <c r="I515" s="37" t="str">
        <f>IFERROR(LOOKUP(2,1/((HISTORIAL!$O$3:$O$513=D515&amp;"|"&amp;E515)*(HISTORIAL!$F$3:$F$513&lt;&gt;"")),HISTORIAL!$H$3:$H$513),"")</f>
        <v/>
      </c>
      <c r="J515" s="37" t="str">
        <f>IFERROR(LOOKUP(2,1/((HISTORIAL!$O$3:$O$513=D515&amp;"|"&amp;E515)*(HISTORIAL!$F$3:$F$513&lt;&gt;"")),HISTORIAL!$I$3:$I$513),"")</f>
        <v/>
      </c>
      <c r="K515" s="58" t="str">
        <f>IFERROR(IF(OR(G515="",N515="SIN"),"--",IF(N515="SUBIR_F",IF(F515="polea",IFERROR(INDEX(CONFIG!$B$25:$B$40,MATCH(G515,CONFIG!$B$25:$B$40,0)+2),IFERROR(INDEX(CONFIG!$B$25:$B$40,MATCH(G515,CONFIG!$B$25:$B$40,0)+1),G515)),G515+5),IF(OR(N515="SUBIR",N515="SUBIR_E"),IF(F515="polea",IFERROR(INDEX(CONFIG!$B$25:$B$40,MATCH(G515,CONFIG!$B$25:$B$40,0)+1),G515),G515+2.5),IF(N515="BAJAR",IF(F515="polea",IFERROR(INDEX(CONFIG!$B$25:$B$40,MAX(1,MATCH(G515,CONFIG!$B$25:$B$40,0)-1)),G515),MAX(0,G515-2.5)),G515)))),"--")</f>
        <v>--</v>
      </c>
      <c r="L515" s="59" t="str">
        <f>IFERROR(IF(N515="SIN","--",IF(N515="MANT",IF(H515="","--",H515+1),IFERROR(VLOOKUP(CONFIG!$E$2,CONFIG!$A$6:$E$8,2,0),"--"))),"--")</f>
        <v>--</v>
      </c>
      <c r="M515" s="59" t="str">
        <f>IFERROR(IF(N515="SIN","--",IF(CONFIG!$E$2="HIP",2,IF(CONFIG!$E$2="FUE",1,2))),"--")</f>
        <v>--</v>
      </c>
      <c r="N515" s="53" t="str">
        <f>IFERROR(IF(G515="","SIN",IF(O515=1,"SUBIR_E",IF(H515&lt;IFERROR(VLOOKUP(CONFIG!$E$2,CONFIG!$A$6:$E$8,2,0),6),"BAJAR",IF(H515+I515&gt;=IFERROR(VLOOKUP(CONFIG!$E$2,CONFIG!$A$6:$E$8,3,0),12),"SUBIR_F",IF(AND(H515&gt;=IFERROR(VLOOKUP(CONFIG!$E$2,CONFIG!$A$6:$E$8,2,0),6)+2,I515&gt;=2),"SUBIR",IF(I515&gt;IFERROR(VLOOKUP(CONFIG!$E$2,CONFIG!$A$6:$E$8,5,0),3),"SUBIR","MANT")))))),"SIN")</f>
        <v>SIN</v>
      </c>
      <c r="O515" s="55">
        <f>IF(COUNTIFS(HISTORIAL!$O$3:$O$513,D515&amp;"|"&amp;E515,HISTORIAL!$F$3:$F$513,"&gt;0")&lt;2,0,IF(COUNTIFS(HISTORIAL!$O$3:$O$513,D515&amp;"|"&amp;E515,HISTORIAL!$F$3:$F$513,IFERROR(LOOKUP(2,1/((HISTORIAL!$O$3:$O$513=D515&amp;"|"&amp;E515)*(HISTORIAL!$F$3:$F$513&gt;0)),HISTORIAL!$F$3:$F$513),0))&gt;=2,IF(IFERROR(LOOKUP(2,1/((HISTORIAL!$O$3:$O$513=D515&amp;"|"&amp;E515)*(HISTORIAL!$F$3:$F$513&gt;0)),HISTORIAL!$G$3:$G$513),0)&gt;0,IF(F515&gt;0,IF(G515&lt;=IFERROR(LOOKUP(2,1/((HISTORIAL!$O$3:$O$513=D515&amp;"|"&amp;E515)*(HISTORIAL!$F$3:$F$513&gt;0)),HISTORIAL!$G$3:$G$513),0),1,0),0),0),0))</f>
        <v>0</v>
      </c>
    </row>
    <row r="516" spans="1:15" ht="14.1" customHeight="1">
      <c r="A516" s="37">
        <v>9</v>
      </c>
      <c r="B516" s="37" t="s">
        <v>277</v>
      </c>
      <c r="C516" s="37">
        <v>9</v>
      </c>
      <c r="D516" s="56" t="str">
        <f>LUNES!$A$202</f>
        <v>Extension Cuadriceps</v>
      </c>
      <c r="E516" s="57" t="str">
        <f>LUNES!$B$202</f>
        <v>Vasto Externo</v>
      </c>
      <c r="F516" s="37" t="str">
        <f>LUNES!$C$202</f>
        <v>--</v>
      </c>
      <c r="G516" s="37" t="str">
        <f>IFERROR(LOOKUP(2,1/((HISTORIAL!$O$3:$O$514=D516&amp;"|"&amp;E516)*(HISTORIAL!$F$3:$F$514&lt;&gt;"")),HISTORIAL!$F$3:$F$514),"")</f>
        <v/>
      </c>
      <c r="H516" s="37" t="str">
        <f>IFERROR(LOOKUP(2,1/((HISTORIAL!$O$3:$O$514=D516&amp;"|"&amp;E516)*(HISTORIAL!$F$3:$F$514&lt;&gt;"")),HISTORIAL!$G$3:$G$514),"")</f>
        <v/>
      </c>
      <c r="I516" s="37" t="str">
        <f>IFERROR(LOOKUP(2,1/((HISTORIAL!$O$3:$O$514=D516&amp;"|"&amp;E516)*(HISTORIAL!$F$3:$F$514&lt;&gt;"")),HISTORIAL!$H$3:$H$514),"")</f>
        <v/>
      </c>
      <c r="J516" s="37" t="str">
        <f>IFERROR(LOOKUP(2,1/((HISTORIAL!$O$3:$O$514=D516&amp;"|"&amp;E516)*(HISTORIAL!$F$3:$F$514&lt;&gt;"")),HISTORIAL!$I$3:$I$514),"")</f>
        <v/>
      </c>
      <c r="K516" s="58" t="str">
        <f>IFERROR(IF(OR(G516="",N516="SIN"),"--",IF(N516="SUBIR_F",IF(F516="polea",IFERROR(INDEX(CONFIG!$B$25:$B$40,MATCH(G516,CONFIG!$B$25:$B$40,0)+2),IFERROR(INDEX(CONFIG!$B$25:$B$40,MATCH(G516,CONFIG!$B$25:$B$40,0)+1),G516)),G516+5),IF(OR(N516="SUBIR",N516="SUBIR_E"),IF(F516="polea",IFERROR(INDEX(CONFIG!$B$25:$B$40,MATCH(G516,CONFIG!$B$25:$B$40,0)+1),G516),G516+2.5),IF(N516="BAJAR",IF(F516="polea",IFERROR(INDEX(CONFIG!$B$25:$B$40,MAX(1,MATCH(G516,CONFIG!$B$25:$B$40,0)-1)),G516),MAX(0,G516-2.5)),G516)))),"--")</f>
        <v>--</v>
      </c>
      <c r="L516" s="59" t="str">
        <f>IFERROR(IF(N516="SIN","--",IF(N516="MANT",IF(H516="","--",H516+1),IFERROR(VLOOKUP(CONFIG!$E$2,CONFIG!$A$6:$E$8,2,0),"--"))),"--")</f>
        <v>--</v>
      </c>
      <c r="M516" s="59" t="str">
        <f>IFERROR(IF(N516="SIN","--",IF(CONFIG!$E$2="HIP",2,IF(CONFIG!$E$2="FUE",1,2))),"--")</f>
        <v>--</v>
      </c>
      <c r="N516" s="53" t="str">
        <f>IFERROR(IF(G516="","SIN",IF(O516=1,"SUBIR_E",IF(H516&lt;IFERROR(VLOOKUP(CONFIG!$E$2,CONFIG!$A$6:$E$8,2,0),6),"BAJAR",IF(H516+I516&gt;=IFERROR(VLOOKUP(CONFIG!$E$2,CONFIG!$A$6:$E$8,3,0),12),"SUBIR_F",IF(AND(H516&gt;=IFERROR(VLOOKUP(CONFIG!$E$2,CONFIG!$A$6:$E$8,2,0),6)+2,I516&gt;=2),"SUBIR",IF(I516&gt;IFERROR(VLOOKUP(CONFIG!$E$2,CONFIG!$A$6:$E$8,5,0),3),"SUBIR","MANT")))))),"SIN")</f>
        <v>SIN</v>
      </c>
      <c r="O516" s="55">
        <f>IF(COUNTIFS(HISTORIAL!$O$3:$O$514,D516&amp;"|"&amp;E516,HISTORIAL!$F$3:$F$514,"&gt;0")&lt;2,0,IF(COUNTIFS(HISTORIAL!$O$3:$O$514,D516&amp;"|"&amp;E516,HISTORIAL!$F$3:$F$514,IFERROR(LOOKUP(2,1/((HISTORIAL!$O$3:$O$514=D516&amp;"|"&amp;E516)*(HISTORIAL!$F$3:$F$514&gt;0)),HISTORIAL!$F$3:$F$514),0))&gt;=2,IF(IFERROR(LOOKUP(2,1/((HISTORIAL!$O$3:$O$514=D516&amp;"|"&amp;E516)*(HISTORIAL!$F$3:$F$514&gt;0)),HISTORIAL!$G$3:$G$514),0)&gt;0,IF(F516&gt;0,IF(G516&lt;=IFERROR(LOOKUP(2,1/((HISTORIAL!$O$3:$O$514=D516&amp;"|"&amp;E516)*(HISTORIAL!$F$3:$F$514&gt;0)),HISTORIAL!$G$3:$G$514),0),1,0),0),0),0))</f>
        <v>0</v>
      </c>
    </row>
    <row r="517" spans="1:15" ht="14.1" customHeight="1">
      <c r="A517" s="37">
        <v>9</v>
      </c>
      <c r="B517" s="37" t="s">
        <v>277</v>
      </c>
      <c r="C517" s="37">
        <v>10</v>
      </c>
      <c r="D517" s="56" t="str">
        <f>LUNES!$A$204</f>
        <v>Curl Biceps</v>
      </c>
      <c r="E517" s="57" t="str">
        <f>LUNES!$B$204</f>
        <v>Inclinado Banco Mancuernas</v>
      </c>
      <c r="F517" s="37" t="str">
        <f>LUNES!$C$204</f>
        <v>mancuerna</v>
      </c>
      <c r="G517" s="37" t="str">
        <f>IFERROR(LOOKUP(2,1/((HISTORIAL!$O$3:$O$515=D517&amp;"|"&amp;E517)*(HISTORIAL!$F$3:$F$515&lt;&gt;"")),HISTORIAL!$F$3:$F$515),"")</f>
        <v/>
      </c>
      <c r="H517" s="37" t="str">
        <f>IFERROR(LOOKUP(2,1/((HISTORIAL!$O$3:$O$515=D517&amp;"|"&amp;E517)*(HISTORIAL!$F$3:$F$515&lt;&gt;"")),HISTORIAL!$G$3:$G$515),"")</f>
        <v/>
      </c>
      <c r="I517" s="37" t="str">
        <f>IFERROR(LOOKUP(2,1/((HISTORIAL!$O$3:$O$515=D517&amp;"|"&amp;E517)*(HISTORIAL!$F$3:$F$515&lt;&gt;"")),HISTORIAL!$H$3:$H$515),"")</f>
        <v/>
      </c>
      <c r="J517" s="37" t="str">
        <f>IFERROR(LOOKUP(2,1/((HISTORIAL!$O$3:$O$515=D517&amp;"|"&amp;E517)*(HISTORIAL!$F$3:$F$515&lt;&gt;"")),HISTORIAL!$I$3:$I$515),"")</f>
        <v/>
      </c>
      <c r="K517" s="58" t="str">
        <f>IFERROR(IF(OR(G517="",N517="SIN"),"--",IF(N517="SUBIR_F",IF(F517="polea",IFERROR(INDEX(CONFIG!$B$25:$B$40,MATCH(G517,CONFIG!$B$25:$B$40,0)+2),IFERROR(INDEX(CONFIG!$B$25:$B$40,MATCH(G517,CONFIG!$B$25:$B$40,0)+1),G517)),G517+5),IF(OR(N517="SUBIR",N517="SUBIR_E"),IF(F517="polea",IFERROR(INDEX(CONFIG!$B$25:$B$40,MATCH(G517,CONFIG!$B$25:$B$40,0)+1),G517),G517+2.5),IF(N517="BAJAR",IF(F517="polea",IFERROR(INDEX(CONFIG!$B$25:$B$40,MAX(1,MATCH(G517,CONFIG!$B$25:$B$40,0)-1)),G517),MAX(0,G517-2.5)),G517)))),"--")</f>
        <v>--</v>
      </c>
      <c r="L517" s="59" t="str">
        <f>IFERROR(IF(N517="SIN","--",IF(N517="MANT",IF(H517="","--",H517+1),IFERROR(VLOOKUP(CONFIG!$E$2,CONFIG!$A$6:$E$8,2,0),"--"))),"--")</f>
        <v>--</v>
      </c>
      <c r="M517" s="59" t="str">
        <f>IFERROR(IF(N517="SIN","--",IF(CONFIG!$E$2="HIP",2,IF(CONFIG!$E$2="FUE",1,2))),"--")</f>
        <v>--</v>
      </c>
      <c r="N517" s="53" t="str">
        <f>IFERROR(IF(G517="","SIN",IF(O517=1,"SUBIR_E",IF(H517&lt;IFERROR(VLOOKUP(CONFIG!$E$2,CONFIG!$A$6:$E$8,2,0),6),"BAJAR",IF(H517+I517&gt;=IFERROR(VLOOKUP(CONFIG!$E$2,CONFIG!$A$6:$E$8,3,0),12),"SUBIR_F",IF(AND(H517&gt;=IFERROR(VLOOKUP(CONFIG!$E$2,CONFIG!$A$6:$E$8,2,0),6)+2,I517&gt;=2),"SUBIR",IF(I517&gt;IFERROR(VLOOKUP(CONFIG!$E$2,CONFIG!$A$6:$E$8,5,0),3),"SUBIR","MANT")))))),"SIN")</f>
        <v>SIN</v>
      </c>
      <c r="O517" s="55">
        <f>IF(COUNTIFS(HISTORIAL!$O$3:$O$515,D517&amp;"|"&amp;E517,HISTORIAL!$F$3:$F$515,"&gt;0")&lt;2,0,IF(COUNTIFS(HISTORIAL!$O$3:$O$515,D517&amp;"|"&amp;E517,HISTORIAL!$F$3:$F$515,IFERROR(LOOKUP(2,1/((HISTORIAL!$O$3:$O$515=D517&amp;"|"&amp;E517)*(HISTORIAL!$F$3:$F$515&gt;0)),HISTORIAL!$F$3:$F$515),0))&gt;=2,IF(IFERROR(LOOKUP(2,1/((HISTORIAL!$O$3:$O$515=D517&amp;"|"&amp;E517)*(HISTORIAL!$F$3:$F$515&gt;0)),HISTORIAL!$G$3:$G$515),0)&gt;0,IF(F517&gt;0,IF(G517&lt;=IFERROR(LOOKUP(2,1/((HISTORIAL!$O$3:$O$515=D517&amp;"|"&amp;E517)*(HISTORIAL!$F$3:$F$515&gt;0)),HISTORIAL!$G$3:$G$515),0),1,0),0),0),0))</f>
        <v>0</v>
      </c>
    </row>
    <row r="518" spans="1:15" ht="14.1" customHeight="1">
      <c r="A518" s="37">
        <v>9</v>
      </c>
      <c r="B518" s="37" t="s">
        <v>277</v>
      </c>
      <c r="C518" s="37">
        <v>11</v>
      </c>
      <c r="D518" s="56" t="str">
        <f>LUNES!$A$206</f>
        <v>Crunch</v>
      </c>
      <c r="E518" s="57" t="str">
        <f>LUNES!$B$206</f>
        <v>Polea</v>
      </c>
      <c r="F518" s="37" t="str">
        <f>LUNES!$C$206</f>
        <v>polea</v>
      </c>
      <c r="G518" s="37" t="str">
        <f>IFERROR(LOOKUP(2,1/((HISTORIAL!$O$3:$O$516=D518&amp;"|"&amp;E518)*(HISTORIAL!$F$3:$F$516&lt;&gt;"")),HISTORIAL!$F$3:$F$516),"")</f>
        <v/>
      </c>
      <c r="H518" s="37" t="str">
        <f>IFERROR(LOOKUP(2,1/((HISTORIAL!$O$3:$O$516=D518&amp;"|"&amp;E518)*(HISTORIAL!$F$3:$F$516&lt;&gt;"")),HISTORIAL!$G$3:$G$516),"")</f>
        <v/>
      </c>
      <c r="I518" s="37" t="str">
        <f>IFERROR(LOOKUP(2,1/((HISTORIAL!$O$3:$O$516=D518&amp;"|"&amp;E518)*(HISTORIAL!$F$3:$F$516&lt;&gt;"")),HISTORIAL!$H$3:$H$516),"")</f>
        <v/>
      </c>
      <c r="J518" s="37" t="str">
        <f>IFERROR(LOOKUP(2,1/((HISTORIAL!$O$3:$O$516=D518&amp;"|"&amp;E518)*(HISTORIAL!$F$3:$F$516&lt;&gt;"")),HISTORIAL!$I$3:$I$516),"")</f>
        <v/>
      </c>
      <c r="K518" s="58" t="str">
        <f>IFERROR(IF(OR(G518="",N518="SIN"),"--",IF(N518="SUBIR_F",IF(F518="polea",IFERROR(INDEX(CONFIG!$B$25:$B$40,MATCH(G518,CONFIG!$B$25:$B$40,0)+2),IFERROR(INDEX(CONFIG!$B$25:$B$40,MATCH(G518,CONFIG!$B$25:$B$40,0)+1),G518)),G518+5),IF(OR(N518="SUBIR",N518="SUBIR_E"),IF(F518="polea",IFERROR(INDEX(CONFIG!$B$25:$B$40,MATCH(G518,CONFIG!$B$25:$B$40,0)+1),G518),G518+2.5),IF(N518="BAJAR",IF(F518="polea",IFERROR(INDEX(CONFIG!$B$25:$B$40,MAX(1,MATCH(G518,CONFIG!$B$25:$B$40,0)-1)),G518),MAX(0,G518-2.5)),G518)))),"--")</f>
        <v>--</v>
      </c>
      <c r="L518" s="59" t="str">
        <f>IFERROR(IF(N518="SIN","--",IF(N518="MANT",IF(H518="","--",H518+1),IFERROR(VLOOKUP(CONFIG!$E$2,CONFIG!$A$6:$E$8,2,0),"--"))),"--")</f>
        <v>--</v>
      </c>
      <c r="M518" s="59" t="str">
        <f>IFERROR(IF(N518="SIN","--",IF(CONFIG!$E$2="HIP",2,IF(CONFIG!$E$2="FUE",1,2))),"--")</f>
        <v>--</v>
      </c>
      <c r="N518" s="53" t="str">
        <f>IFERROR(IF(G518="","SIN",IF(O518=1,"SUBIR_E",IF(H518&lt;IFERROR(VLOOKUP(CONFIG!$E$2,CONFIG!$A$6:$E$8,2,0),6),"BAJAR",IF(H518+I518&gt;=IFERROR(VLOOKUP(CONFIG!$E$2,CONFIG!$A$6:$E$8,3,0),12),"SUBIR_F",IF(AND(H518&gt;=IFERROR(VLOOKUP(CONFIG!$E$2,CONFIG!$A$6:$E$8,2,0),6)+2,I518&gt;=2),"SUBIR",IF(I518&gt;IFERROR(VLOOKUP(CONFIG!$E$2,CONFIG!$A$6:$E$8,5,0),3),"SUBIR","MANT")))))),"SIN")</f>
        <v>SIN</v>
      </c>
      <c r="O518" s="55">
        <f>IF(COUNTIFS(HISTORIAL!$O$3:$O$516,D518&amp;"|"&amp;E518,HISTORIAL!$F$3:$F$516,"&gt;0")&lt;2,0,IF(COUNTIFS(HISTORIAL!$O$3:$O$516,D518&amp;"|"&amp;E518,HISTORIAL!$F$3:$F$516,IFERROR(LOOKUP(2,1/((HISTORIAL!$O$3:$O$516=D518&amp;"|"&amp;E518)*(HISTORIAL!$F$3:$F$516&gt;0)),HISTORIAL!$F$3:$F$516),0))&gt;=2,IF(IFERROR(LOOKUP(2,1/((HISTORIAL!$O$3:$O$516=D518&amp;"|"&amp;E518)*(HISTORIAL!$F$3:$F$516&gt;0)),HISTORIAL!$G$3:$G$516),0)&gt;0,IF(F518&gt;0,IF(G518&lt;=IFERROR(LOOKUP(2,1/((HISTORIAL!$O$3:$O$516=D518&amp;"|"&amp;E518)*(HISTORIAL!$F$3:$F$516&gt;0)),HISTORIAL!$G$3:$G$516),0),1,0),0),0),0))</f>
        <v>0</v>
      </c>
    </row>
    <row r="519" spans="1:15" ht="14.1" customHeight="1">
      <c r="A519" s="37">
        <v>9</v>
      </c>
      <c r="B519" s="37" t="s">
        <v>278</v>
      </c>
      <c r="C519" s="37">
        <v>1</v>
      </c>
      <c r="D519" s="56" t="str">
        <f>MARTES!$A$181</f>
        <v>Dominadas</v>
      </c>
      <c r="E519" s="57" t="str">
        <f>MARTES!$B$181</f>
        <v>Polea Alta Prono Ancho</v>
      </c>
      <c r="F519" s="37" t="str">
        <f>MARTES!$C$181</f>
        <v>peso_corporal</v>
      </c>
      <c r="G519" s="37" t="str">
        <f>IFERROR(LOOKUP(2,1/((HISTORIAL!$O$3:$O$517=D519&amp;"|"&amp;E519)*(HISTORIAL!$F$3:$F$517&lt;&gt;"")),HISTORIAL!$F$3:$F$517),"")</f>
        <v/>
      </c>
      <c r="H519" s="37" t="str">
        <f>IFERROR(LOOKUP(2,1/((HISTORIAL!$O$3:$O$517=D519&amp;"|"&amp;E519)*(HISTORIAL!$F$3:$F$517&lt;&gt;"")),HISTORIAL!$G$3:$G$517),"")</f>
        <v/>
      </c>
      <c r="I519" s="37" t="str">
        <f>IFERROR(LOOKUP(2,1/((HISTORIAL!$O$3:$O$517=D519&amp;"|"&amp;E519)*(HISTORIAL!$F$3:$F$517&lt;&gt;"")),HISTORIAL!$H$3:$H$517),"")</f>
        <v/>
      </c>
      <c r="J519" s="37" t="str">
        <f>IFERROR(LOOKUP(2,1/((HISTORIAL!$O$3:$O$517=D519&amp;"|"&amp;E519)*(HISTORIAL!$F$3:$F$517&lt;&gt;"")),HISTORIAL!$I$3:$I$517),"")</f>
        <v/>
      </c>
      <c r="K519" s="58" t="str">
        <f>IFERROR(IF(OR(G519="",N519="SIN"),"--",IF(N519="SUBIR_F",IF(F519="polea",IFERROR(INDEX(CONFIG!$B$25:$B$40,MATCH(G519,CONFIG!$B$25:$B$40,0)+2),IFERROR(INDEX(CONFIG!$B$25:$B$40,MATCH(G519,CONFIG!$B$25:$B$40,0)+1),G519)),G519+5),IF(OR(N519="SUBIR",N519="SUBIR_E"),IF(F519="polea",IFERROR(INDEX(CONFIG!$B$25:$B$40,MATCH(G519,CONFIG!$B$25:$B$40,0)+1),G519),G519+2.5),IF(N519="BAJAR",IF(F519="polea",IFERROR(INDEX(CONFIG!$B$25:$B$40,MAX(1,MATCH(G519,CONFIG!$B$25:$B$40,0)-1)),G519),MAX(0,G519-2.5)),G519)))),"--")</f>
        <v>--</v>
      </c>
      <c r="L519" s="59" t="str">
        <f>IFERROR(IF(N519="SIN","--",IF(N519="MANT",IF(H519="","--",H519+1),IFERROR(VLOOKUP(CONFIG!$E$2,CONFIG!$A$6:$E$8,2,0),"--"))),"--")</f>
        <v>--</v>
      </c>
      <c r="M519" s="59" t="str">
        <f>IFERROR(IF(N519="SIN","--",IF(CONFIG!$E$2="HIP",2,IF(CONFIG!$E$2="FUE",1,2))),"--")</f>
        <v>--</v>
      </c>
      <c r="N519" s="53" t="str">
        <f>IFERROR(IF(G519="","SIN",IF(O519=1,"SUBIR_E",IF(H519&lt;IFERROR(VLOOKUP(CONFIG!$E$2,CONFIG!$A$6:$E$8,2,0),6),"BAJAR",IF(H519+I519&gt;=IFERROR(VLOOKUP(CONFIG!$E$2,CONFIG!$A$6:$E$8,3,0),12),"SUBIR_F",IF(AND(H519&gt;=IFERROR(VLOOKUP(CONFIG!$E$2,CONFIG!$A$6:$E$8,2,0),6)+2,I519&gt;=2),"SUBIR",IF(I519&gt;IFERROR(VLOOKUP(CONFIG!$E$2,CONFIG!$A$6:$E$8,5,0),3),"SUBIR","MANT")))))),"SIN")</f>
        <v>SIN</v>
      </c>
      <c r="O519" s="55">
        <f>IF(COUNTIFS(HISTORIAL!$O$3:$O$517,D519&amp;"|"&amp;E519,HISTORIAL!$F$3:$F$517,"&gt;0")&lt;2,0,IF(COUNTIFS(HISTORIAL!$O$3:$O$517,D519&amp;"|"&amp;E519,HISTORIAL!$F$3:$F$517,IFERROR(LOOKUP(2,1/((HISTORIAL!$O$3:$O$517=D519&amp;"|"&amp;E519)*(HISTORIAL!$F$3:$F$517&gt;0)),HISTORIAL!$F$3:$F$517),0))&gt;=2,IF(IFERROR(LOOKUP(2,1/((HISTORIAL!$O$3:$O$517=D519&amp;"|"&amp;E519)*(HISTORIAL!$F$3:$F$517&gt;0)),HISTORIAL!$G$3:$G$517),0)&gt;0,IF(F519&gt;0,IF(G519&lt;=IFERROR(LOOKUP(2,1/((HISTORIAL!$O$3:$O$517=D519&amp;"|"&amp;E519)*(HISTORIAL!$F$3:$F$517&gt;0)),HISTORIAL!$G$3:$G$517),0),1,0),0),0),0))</f>
        <v>0</v>
      </c>
    </row>
    <row r="520" spans="1:15" ht="14.1" customHeight="1">
      <c r="A520" s="37">
        <v>9</v>
      </c>
      <c r="B520" s="37" t="s">
        <v>278</v>
      </c>
      <c r="C520" s="37">
        <v>2</v>
      </c>
      <c r="D520" s="56" t="str">
        <f>MARTES!$A$182</f>
        <v>Pulldown</v>
      </c>
      <c r="E520" s="57" t="str">
        <f>MARTES!$B$182</f>
        <v>Polea Alta Brazos Rectos Prono</v>
      </c>
      <c r="F520" s="37" t="str">
        <f>MARTES!$C$182</f>
        <v>polea</v>
      </c>
      <c r="G520" s="37" t="str">
        <f>IFERROR(LOOKUP(2,1/((HISTORIAL!$O$3:$O$518=D520&amp;"|"&amp;E520)*(HISTORIAL!$F$3:$F$518&lt;&gt;"")),HISTORIAL!$F$3:$F$518),"")</f>
        <v/>
      </c>
      <c r="H520" s="37" t="str">
        <f>IFERROR(LOOKUP(2,1/((HISTORIAL!$O$3:$O$518=D520&amp;"|"&amp;E520)*(HISTORIAL!$F$3:$F$518&lt;&gt;"")),HISTORIAL!$G$3:$G$518),"")</f>
        <v/>
      </c>
      <c r="I520" s="37" t="str">
        <f>IFERROR(LOOKUP(2,1/((HISTORIAL!$O$3:$O$518=D520&amp;"|"&amp;E520)*(HISTORIAL!$F$3:$F$518&lt;&gt;"")),HISTORIAL!$H$3:$H$518),"")</f>
        <v/>
      </c>
      <c r="J520" s="37" t="str">
        <f>IFERROR(LOOKUP(2,1/((HISTORIAL!$O$3:$O$518=D520&amp;"|"&amp;E520)*(HISTORIAL!$F$3:$F$518&lt;&gt;"")),HISTORIAL!$I$3:$I$518),"")</f>
        <v/>
      </c>
      <c r="K520" s="58" t="str">
        <f>IFERROR(IF(OR(G520="",N520="SIN"),"--",IF(N520="SUBIR_F",IF(F520="polea",IFERROR(INDEX(CONFIG!$B$25:$B$40,MATCH(G520,CONFIG!$B$25:$B$40,0)+2),IFERROR(INDEX(CONFIG!$B$25:$B$40,MATCH(G520,CONFIG!$B$25:$B$40,0)+1),G520)),G520+5),IF(OR(N520="SUBIR",N520="SUBIR_E"),IF(F520="polea",IFERROR(INDEX(CONFIG!$B$25:$B$40,MATCH(G520,CONFIG!$B$25:$B$40,0)+1),G520),G520+2.5),IF(N520="BAJAR",IF(F520="polea",IFERROR(INDEX(CONFIG!$B$25:$B$40,MAX(1,MATCH(G520,CONFIG!$B$25:$B$40,0)-1)),G520),MAX(0,G520-2.5)),G520)))),"--")</f>
        <v>--</v>
      </c>
      <c r="L520" s="59" t="str">
        <f>IFERROR(IF(N520="SIN","--",IF(N520="MANT",IF(H520="","--",H520+1),IFERROR(VLOOKUP(CONFIG!$E$2,CONFIG!$A$6:$E$8,2,0),"--"))),"--")</f>
        <v>--</v>
      </c>
      <c r="M520" s="59" t="str">
        <f>IFERROR(IF(N520="SIN","--",IF(CONFIG!$E$2="HIP",2,IF(CONFIG!$E$2="FUE",1,2))),"--")</f>
        <v>--</v>
      </c>
      <c r="N520" s="53" t="str">
        <f>IFERROR(IF(G520="","SIN",IF(O520=1,"SUBIR_E",IF(H520&lt;IFERROR(VLOOKUP(CONFIG!$E$2,CONFIG!$A$6:$E$8,2,0),6),"BAJAR",IF(H520+I520&gt;=IFERROR(VLOOKUP(CONFIG!$E$2,CONFIG!$A$6:$E$8,3,0),12),"SUBIR_F",IF(AND(H520&gt;=IFERROR(VLOOKUP(CONFIG!$E$2,CONFIG!$A$6:$E$8,2,0),6)+2,I520&gt;=2),"SUBIR",IF(I520&gt;IFERROR(VLOOKUP(CONFIG!$E$2,CONFIG!$A$6:$E$8,5,0),3),"SUBIR","MANT")))))),"SIN")</f>
        <v>SIN</v>
      </c>
      <c r="O520" s="55">
        <f>IF(COUNTIFS(HISTORIAL!$O$3:$O$518,D520&amp;"|"&amp;E520,HISTORIAL!$F$3:$F$518,"&gt;0")&lt;2,0,IF(COUNTIFS(HISTORIAL!$O$3:$O$518,D520&amp;"|"&amp;E520,HISTORIAL!$F$3:$F$518,IFERROR(LOOKUP(2,1/((HISTORIAL!$O$3:$O$518=D520&amp;"|"&amp;E520)*(HISTORIAL!$F$3:$F$518&gt;0)),HISTORIAL!$F$3:$F$518),0))&gt;=2,IF(IFERROR(LOOKUP(2,1/((HISTORIAL!$O$3:$O$518=D520&amp;"|"&amp;E520)*(HISTORIAL!$F$3:$F$518&gt;0)),HISTORIAL!$G$3:$G$518),0)&gt;0,IF(F520&gt;0,IF(G520&lt;=IFERROR(LOOKUP(2,1/((HISTORIAL!$O$3:$O$518=D520&amp;"|"&amp;E520)*(HISTORIAL!$F$3:$F$518&gt;0)),HISTORIAL!$G$3:$G$518),0),1,0),0),0),0))</f>
        <v>0</v>
      </c>
    </row>
    <row r="521" spans="1:15" ht="14.1" customHeight="1">
      <c r="A521" s="37">
        <v>9</v>
      </c>
      <c r="B521" s="37" t="s">
        <v>278</v>
      </c>
      <c r="C521" s="37">
        <v>3</v>
      </c>
      <c r="D521" s="56" t="str">
        <f>MARTES!$A$184</f>
        <v>Remo</v>
      </c>
      <c r="E521" s="57" t="str">
        <f>MARTES!$B$184</f>
        <v>Maquina Hammer Neutro Unilateral</v>
      </c>
      <c r="F521" s="37" t="str">
        <f>MARTES!$C$184</f>
        <v>polea</v>
      </c>
      <c r="G521" s="37" t="str">
        <f>IFERROR(LOOKUP(2,1/((HISTORIAL!$O$3:$O$519=D521&amp;"|"&amp;E521)*(HISTORIAL!$F$3:$F$519&lt;&gt;"")),HISTORIAL!$F$3:$F$519),"")</f>
        <v/>
      </c>
      <c r="H521" s="37" t="str">
        <f>IFERROR(LOOKUP(2,1/((HISTORIAL!$O$3:$O$519=D521&amp;"|"&amp;E521)*(HISTORIAL!$F$3:$F$519&lt;&gt;"")),HISTORIAL!$G$3:$G$519),"")</f>
        <v/>
      </c>
      <c r="I521" s="37" t="str">
        <f>IFERROR(LOOKUP(2,1/((HISTORIAL!$O$3:$O$519=D521&amp;"|"&amp;E521)*(HISTORIAL!$F$3:$F$519&lt;&gt;"")),HISTORIAL!$H$3:$H$519),"")</f>
        <v/>
      </c>
      <c r="J521" s="37" t="str">
        <f>IFERROR(LOOKUP(2,1/((HISTORIAL!$O$3:$O$519=D521&amp;"|"&amp;E521)*(HISTORIAL!$F$3:$F$519&lt;&gt;"")),HISTORIAL!$I$3:$I$519),"")</f>
        <v/>
      </c>
      <c r="K521" s="58" t="str">
        <f>IFERROR(IF(OR(G521="",N521="SIN"),"--",IF(N521="SUBIR_F",IF(F521="polea",IFERROR(INDEX(CONFIG!$B$25:$B$40,MATCH(G521,CONFIG!$B$25:$B$40,0)+2),IFERROR(INDEX(CONFIG!$B$25:$B$40,MATCH(G521,CONFIG!$B$25:$B$40,0)+1),G521)),G521+5),IF(OR(N521="SUBIR",N521="SUBIR_E"),IF(F521="polea",IFERROR(INDEX(CONFIG!$B$25:$B$40,MATCH(G521,CONFIG!$B$25:$B$40,0)+1),G521),G521+2.5),IF(N521="BAJAR",IF(F521="polea",IFERROR(INDEX(CONFIG!$B$25:$B$40,MAX(1,MATCH(G521,CONFIG!$B$25:$B$40,0)-1)),G521),MAX(0,G521-2.5)),G521)))),"--")</f>
        <v>--</v>
      </c>
      <c r="L521" s="59" t="str">
        <f>IFERROR(IF(N521="SIN","--",IF(N521="MANT",IF(H521="","--",H521+1),IFERROR(VLOOKUP(CONFIG!$E$2,CONFIG!$A$6:$E$8,2,0),"--"))),"--")</f>
        <v>--</v>
      </c>
      <c r="M521" s="59" t="str">
        <f>IFERROR(IF(N521="SIN","--",IF(CONFIG!$E$2="HIP",2,IF(CONFIG!$E$2="FUE",1,2))),"--")</f>
        <v>--</v>
      </c>
      <c r="N521" s="53" t="str">
        <f>IFERROR(IF(G521="","SIN",IF(O521=1,"SUBIR_E",IF(H521&lt;IFERROR(VLOOKUP(CONFIG!$E$2,CONFIG!$A$6:$E$8,2,0),6),"BAJAR",IF(H521+I521&gt;=IFERROR(VLOOKUP(CONFIG!$E$2,CONFIG!$A$6:$E$8,3,0),12),"SUBIR_F",IF(AND(H521&gt;=IFERROR(VLOOKUP(CONFIG!$E$2,CONFIG!$A$6:$E$8,2,0),6)+2,I521&gt;=2),"SUBIR",IF(I521&gt;IFERROR(VLOOKUP(CONFIG!$E$2,CONFIG!$A$6:$E$8,5,0),3),"SUBIR","MANT")))))),"SIN")</f>
        <v>SIN</v>
      </c>
      <c r="O521" s="55">
        <f>IF(COUNTIFS(HISTORIAL!$O$3:$O$519,D521&amp;"|"&amp;E521,HISTORIAL!$F$3:$F$519,"&gt;0")&lt;2,0,IF(COUNTIFS(HISTORIAL!$O$3:$O$519,D521&amp;"|"&amp;E521,HISTORIAL!$F$3:$F$519,IFERROR(LOOKUP(2,1/((HISTORIAL!$O$3:$O$519=D521&amp;"|"&amp;E521)*(HISTORIAL!$F$3:$F$519&gt;0)),HISTORIAL!$F$3:$F$519),0))&gt;=2,IF(IFERROR(LOOKUP(2,1/((HISTORIAL!$O$3:$O$519=D521&amp;"|"&amp;E521)*(HISTORIAL!$F$3:$F$519&gt;0)),HISTORIAL!$G$3:$G$519),0)&gt;0,IF(F521&gt;0,IF(G521&lt;=IFERROR(LOOKUP(2,1/((HISTORIAL!$O$3:$O$519=D521&amp;"|"&amp;E521)*(HISTORIAL!$F$3:$F$519&gt;0)),HISTORIAL!$G$3:$G$519),0),1,0),0),0),0))</f>
        <v>0</v>
      </c>
    </row>
    <row r="522" spans="1:15" ht="14.1" customHeight="1">
      <c r="A522" s="37">
        <v>9</v>
      </c>
      <c r="B522" s="37" t="s">
        <v>278</v>
      </c>
      <c r="C522" s="37">
        <v>4</v>
      </c>
      <c r="D522" s="56" t="str">
        <f>MARTES!$A$185</f>
        <v>Remo</v>
      </c>
      <c r="E522" s="57" t="str">
        <f>MARTES!$B$185</f>
        <v>Maquina Prono</v>
      </c>
      <c r="F522" s="37" t="str">
        <f>MARTES!$C$185</f>
        <v>polea</v>
      </c>
      <c r="G522" s="37" t="str">
        <f>IFERROR(LOOKUP(2,1/((HISTORIAL!$O$3:$O$520=D522&amp;"|"&amp;E522)*(HISTORIAL!$F$3:$F$520&lt;&gt;"")),HISTORIAL!$F$3:$F$520),"")</f>
        <v/>
      </c>
      <c r="H522" s="37" t="str">
        <f>IFERROR(LOOKUP(2,1/((HISTORIAL!$O$3:$O$520=D522&amp;"|"&amp;E522)*(HISTORIAL!$F$3:$F$520&lt;&gt;"")),HISTORIAL!$G$3:$G$520),"")</f>
        <v/>
      </c>
      <c r="I522" s="37" t="str">
        <f>IFERROR(LOOKUP(2,1/((HISTORIAL!$O$3:$O$520=D522&amp;"|"&amp;E522)*(HISTORIAL!$F$3:$F$520&lt;&gt;"")),HISTORIAL!$H$3:$H$520),"")</f>
        <v/>
      </c>
      <c r="J522" s="37" t="str">
        <f>IFERROR(LOOKUP(2,1/((HISTORIAL!$O$3:$O$520=D522&amp;"|"&amp;E522)*(HISTORIAL!$F$3:$F$520&lt;&gt;"")),HISTORIAL!$I$3:$I$520),"")</f>
        <v/>
      </c>
      <c r="K522" s="58" t="str">
        <f>IFERROR(IF(OR(G522="",N522="SIN"),"--",IF(N522="SUBIR_F",IF(F522="polea",IFERROR(INDEX(CONFIG!$B$25:$B$40,MATCH(G522,CONFIG!$B$25:$B$40,0)+2),IFERROR(INDEX(CONFIG!$B$25:$B$40,MATCH(G522,CONFIG!$B$25:$B$40,0)+1),G522)),G522+5),IF(OR(N522="SUBIR",N522="SUBIR_E"),IF(F522="polea",IFERROR(INDEX(CONFIG!$B$25:$B$40,MATCH(G522,CONFIG!$B$25:$B$40,0)+1),G522),G522+2.5),IF(N522="BAJAR",IF(F522="polea",IFERROR(INDEX(CONFIG!$B$25:$B$40,MAX(1,MATCH(G522,CONFIG!$B$25:$B$40,0)-1)),G522),MAX(0,G522-2.5)),G522)))),"--")</f>
        <v>--</v>
      </c>
      <c r="L522" s="59" t="str">
        <f>IFERROR(IF(N522="SIN","--",IF(N522="MANT",IF(H522="","--",H522+1),IFERROR(VLOOKUP(CONFIG!$E$2,CONFIG!$A$6:$E$8,2,0),"--"))),"--")</f>
        <v>--</v>
      </c>
      <c r="M522" s="59" t="str">
        <f>IFERROR(IF(N522="SIN","--",IF(CONFIG!$E$2="HIP",2,IF(CONFIG!$E$2="FUE",1,2))),"--")</f>
        <v>--</v>
      </c>
      <c r="N522" s="53" t="str">
        <f>IFERROR(IF(G522="","SIN",IF(O522=1,"SUBIR_E",IF(H522&lt;IFERROR(VLOOKUP(CONFIG!$E$2,CONFIG!$A$6:$E$8,2,0),6),"BAJAR",IF(H522+I522&gt;=IFERROR(VLOOKUP(CONFIG!$E$2,CONFIG!$A$6:$E$8,3,0),12),"SUBIR_F",IF(AND(H522&gt;=IFERROR(VLOOKUP(CONFIG!$E$2,CONFIG!$A$6:$E$8,2,0),6)+2,I522&gt;=2),"SUBIR",IF(I522&gt;IFERROR(VLOOKUP(CONFIG!$E$2,CONFIG!$A$6:$E$8,5,0),3),"SUBIR","MANT")))))),"SIN")</f>
        <v>SIN</v>
      </c>
      <c r="O522" s="55">
        <f>IF(COUNTIFS(HISTORIAL!$O$3:$O$520,D522&amp;"|"&amp;E522,HISTORIAL!$F$3:$F$520,"&gt;0")&lt;2,0,IF(COUNTIFS(HISTORIAL!$O$3:$O$520,D522&amp;"|"&amp;E522,HISTORIAL!$F$3:$F$520,IFERROR(LOOKUP(2,1/((HISTORIAL!$O$3:$O$520=D522&amp;"|"&amp;E522)*(HISTORIAL!$F$3:$F$520&gt;0)),HISTORIAL!$F$3:$F$520),0))&gt;=2,IF(IFERROR(LOOKUP(2,1/((HISTORIAL!$O$3:$O$520=D522&amp;"|"&amp;E522)*(HISTORIAL!$F$3:$F$520&gt;0)),HISTORIAL!$G$3:$G$520),0)&gt;0,IF(F522&gt;0,IF(G522&lt;=IFERROR(LOOKUP(2,1/((HISTORIAL!$O$3:$O$520=D522&amp;"|"&amp;E522)*(HISTORIAL!$F$3:$F$520&gt;0)),HISTORIAL!$G$3:$G$520),0),1,0),0),0),0))</f>
        <v>0</v>
      </c>
    </row>
    <row r="523" spans="1:15" ht="14.1" customHeight="1">
      <c r="A523" s="37">
        <v>9</v>
      </c>
      <c r="B523" s="37" t="s">
        <v>278</v>
      </c>
      <c r="C523" s="37">
        <v>5</v>
      </c>
      <c r="D523" s="56" t="str">
        <f>MARTES!$A$187</f>
        <v>Curl Biceps</v>
      </c>
      <c r="E523" s="57" t="str">
        <f>MARTES!$B$187</f>
        <v>Inclinado Banco Mancuernas</v>
      </c>
      <c r="F523" s="37" t="str">
        <f>MARTES!$C$187</f>
        <v>mancuerna</v>
      </c>
      <c r="G523" s="37" t="str">
        <f>IFERROR(LOOKUP(2,1/((HISTORIAL!$O$3:$O$521=D523&amp;"|"&amp;E523)*(HISTORIAL!$F$3:$F$521&lt;&gt;"")),HISTORIAL!$F$3:$F$521),"")</f>
        <v/>
      </c>
      <c r="H523" s="37" t="str">
        <f>IFERROR(LOOKUP(2,1/((HISTORIAL!$O$3:$O$521=D523&amp;"|"&amp;E523)*(HISTORIAL!$F$3:$F$521&lt;&gt;"")),HISTORIAL!$G$3:$G$521),"")</f>
        <v/>
      </c>
      <c r="I523" s="37" t="str">
        <f>IFERROR(LOOKUP(2,1/((HISTORIAL!$O$3:$O$521=D523&amp;"|"&amp;E523)*(HISTORIAL!$F$3:$F$521&lt;&gt;"")),HISTORIAL!$H$3:$H$521),"")</f>
        <v/>
      </c>
      <c r="J523" s="37" t="str">
        <f>IFERROR(LOOKUP(2,1/((HISTORIAL!$O$3:$O$521=D523&amp;"|"&amp;E523)*(HISTORIAL!$F$3:$F$521&lt;&gt;"")),HISTORIAL!$I$3:$I$521),"")</f>
        <v/>
      </c>
      <c r="K523" s="58" t="str">
        <f>IFERROR(IF(OR(G523="",N523="SIN"),"--",IF(N523="SUBIR_F",IF(F523="polea",IFERROR(INDEX(CONFIG!$B$25:$B$40,MATCH(G523,CONFIG!$B$25:$B$40,0)+2),IFERROR(INDEX(CONFIG!$B$25:$B$40,MATCH(G523,CONFIG!$B$25:$B$40,0)+1),G523)),G523+5),IF(OR(N523="SUBIR",N523="SUBIR_E"),IF(F523="polea",IFERROR(INDEX(CONFIG!$B$25:$B$40,MATCH(G523,CONFIG!$B$25:$B$40,0)+1),G523),G523+2.5),IF(N523="BAJAR",IF(F523="polea",IFERROR(INDEX(CONFIG!$B$25:$B$40,MAX(1,MATCH(G523,CONFIG!$B$25:$B$40,0)-1)),G523),MAX(0,G523-2.5)),G523)))),"--")</f>
        <v>--</v>
      </c>
      <c r="L523" s="59" t="str">
        <f>IFERROR(IF(N523="SIN","--",IF(N523="MANT",IF(H523="","--",H523+1),IFERROR(VLOOKUP(CONFIG!$E$2,CONFIG!$A$6:$E$8,2,0),"--"))),"--")</f>
        <v>--</v>
      </c>
      <c r="M523" s="59" t="str">
        <f>IFERROR(IF(N523="SIN","--",IF(CONFIG!$E$2="HIP",2,IF(CONFIG!$E$2="FUE",1,2))),"--")</f>
        <v>--</v>
      </c>
      <c r="N523" s="53" t="str">
        <f>IFERROR(IF(G523="","SIN",IF(O523=1,"SUBIR_E",IF(H523&lt;IFERROR(VLOOKUP(CONFIG!$E$2,CONFIG!$A$6:$E$8,2,0),6),"BAJAR",IF(H523+I523&gt;=IFERROR(VLOOKUP(CONFIG!$E$2,CONFIG!$A$6:$E$8,3,0),12),"SUBIR_F",IF(AND(H523&gt;=IFERROR(VLOOKUP(CONFIG!$E$2,CONFIG!$A$6:$E$8,2,0),6)+2,I523&gt;=2),"SUBIR",IF(I523&gt;IFERROR(VLOOKUP(CONFIG!$E$2,CONFIG!$A$6:$E$8,5,0),3),"SUBIR","MANT")))))),"SIN")</f>
        <v>SIN</v>
      </c>
      <c r="O523" s="55">
        <f>IF(COUNTIFS(HISTORIAL!$O$3:$O$521,D523&amp;"|"&amp;E523,HISTORIAL!$F$3:$F$521,"&gt;0")&lt;2,0,IF(COUNTIFS(HISTORIAL!$O$3:$O$521,D523&amp;"|"&amp;E523,HISTORIAL!$F$3:$F$521,IFERROR(LOOKUP(2,1/((HISTORIAL!$O$3:$O$521=D523&amp;"|"&amp;E523)*(HISTORIAL!$F$3:$F$521&gt;0)),HISTORIAL!$F$3:$F$521),0))&gt;=2,IF(IFERROR(LOOKUP(2,1/((HISTORIAL!$O$3:$O$521=D523&amp;"|"&amp;E523)*(HISTORIAL!$F$3:$F$521&gt;0)),HISTORIAL!$G$3:$G$521),0)&gt;0,IF(F523&gt;0,IF(G523&lt;=IFERROR(LOOKUP(2,1/((HISTORIAL!$O$3:$O$521=D523&amp;"|"&amp;E523)*(HISTORIAL!$F$3:$F$521&gt;0)),HISTORIAL!$G$3:$G$521),0),1,0),0),0),0))</f>
        <v>0</v>
      </c>
    </row>
    <row r="524" spans="1:15" ht="14.1" customHeight="1">
      <c r="A524" s="37">
        <v>9</v>
      </c>
      <c r="B524" s="37" t="s">
        <v>278</v>
      </c>
      <c r="C524" s="37">
        <v>6</v>
      </c>
      <c r="D524" s="56" t="str">
        <f>MARTES!$A$188</f>
        <v>Curl Biceps</v>
      </c>
      <c r="E524" s="57" t="str">
        <f>MARTES!$B$188</f>
        <v>Polea Baja Supino</v>
      </c>
      <c r="F524" s="37" t="str">
        <f>MARTES!$C$188</f>
        <v>polea</v>
      </c>
      <c r="G524" s="37" t="str">
        <f>IFERROR(LOOKUP(2,1/((HISTORIAL!$O$3:$O$522=D524&amp;"|"&amp;E524)*(HISTORIAL!$F$3:$F$522&lt;&gt;"")),HISTORIAL!$F$3:$F$522),"")</f>
        <v/>
      </c>
      <c r="H524" s="37" t="str">
        <f>IFERROR(LOOKUP(2,1/((HISTORIAL!$O$3:$O$522=D524&amp;"|"&amp;E524)*(HISTORIAL!$F$3:$F$522&lt;&gt;"")),HISTORIAL!$G$3:$G$522),"")</f>
        <v/>
      </c>
      <c r="I524" s="37" t="str">
        <f>IFERROR(LOOKUP(2,1/((HISTORIAL!$O$3:$O$522=D524&amp;"|"&amp;E524)*(HISTORIAL!$F$3:$F$522&lt;&gt;"")),HISTORIAL!$H$3:$H$522),"")</f>
        <v/>
      </c>
      <c r="J524" s="37" t="str">
        <f>IFERROR(LOOKUP(2,1/((HISTORIAL!$O$3:$O$522=D524&amp;"|"&amp;E524)*(HISTORIAL!$F$3:$F$522&lt;&gt;"")),HISTORIAL!$I$3:$I$522),"")</f>
        <v/>
      </c>
      <c r="K524" s="58" t="str">
        <f>IFERROR(IF(OR(G524="",N524="SIN"),"--",IF(N524="SUBIR_F",IF(F524="polea",IFERROR(INDEX(CONFIG!$B$25:$B$40,MATCH(G524,CONFIG!$B$25:$B$40,0)+2),IFERROR(INDEX(CONFIG!$B$25:$B$40,MATCH(G524,CONFIG!$B$25:$B$40,0)+1),G524)),G524+5),IF(OR(N524="SUBIR",N524="SUBIR_E"),IF(F524="polea",IFERROR(INDEX(CONFIG!$B$25:$B$40,MATCH(G524,CONFIG!$B$25:$B$40,0)+1),G524),G524+2.5),IF(N524="BAJAR",IF(F524="polea",IFERROR(INDEX(CONFIG!$B$25:$B$40,MAX(1,MATCH(G524,CONFIG!$B$25:$B$40,0)-1)),G524),MAX(0,G524-2.5)),G524)))),"--")</f>
        <v>--</v>
      </c>
      <c r="L524" s="59" t="str">
        <f>IFERROR(IF(N524="SIN","--",IF(N524="MANT",IF(H524="","--",H524+1),IFERROR(VLOOKUP(CONFIG!$E$2,CONFIG!$A$6:$E$8,2,0),"--"))),"--")</f>
        <v>--</v>
      </c>
      <c r="M524" s="59" t="str">
        <f>IFERROR(IF(N524="SIN","--",IF(CONFIG!$E$2="HIP",2,IF(CONFIG!$E$2="FUE",1,2))),"--")</f>
        <v>--</v>
      </c>
      <c r="N524" s="53" t="str">
        <f>IFERROR(IF(G524="","SIN",IF(O524=1,"SUBIR_E",IF(H524&lt;IFERROR(VLOOKUP(CONFIG!$E$2,CONFIG!$A$6:$E$8,2,0),6),"BAJAR",IF(H524+I524&gt;=IFERROR(VLOOKUP(CONFIG!$E$2,CONFIG!$A$6:$E$8,3,0),12),"SUBIR_F",IF(AND(H524&gt;=IFERROR(VLOOKUP(CONFIG!$E$2,CONFIG!$A$6:$E$8,2,0),6)+2,I524&gt;=2),"SUBIR",IF(I524&gt;IFERROR(VLOOKUP(CONFIG!$E$2,CONFIG!$A$6:$E$8,5,0),3),"SUBIR","MANT")))))),"SIN")</f>
        <v>SIN</v>
      </c>
      <c r="O524" s="55">
        <f>IF(COUNTIFS(HISTORIAL!$O$3:$O$522,D524&amp;"|"&amp;E524,HISTORIAL!$F$3:$F$522,"&gt;0")&lt;2,0,IF(COUNTIFS(HISTORIAL!$O$3:$O$522,D524&amp;"|"&amp;E524,HISTORIAL!$F$3:$F$522,IFERROR(LOOKUP(2,1/((HISTORIAL!$O$3:$O$522=D524&amp;"|"&amp;E524)*(HISTORIAL!$F$3:$F$522&gt;0)),HISTORIAL!$F$3:$F$522),0))&gt;=2,IF(IFERROR(LOOKUP(2,1/((HISTORIAL!$O$3:$O$522=D524&amp;"|"&amp;E524)*(HISTORIAL!$F$3:$F$522&gt;0)),HISTORIAL!$G$3:$G$522),0)&gt;0,IF(F524&gt;0,IF(G524&lt;=IFERROR(LOOKUP(2,1/((HISTORIAL!$O$3:$O$522=D524&amp;"|"&amp;E524)*(HISTORIAL!$F$3:$F$522&gt;0)),HISTORIAL!$G$3:$G$522),0),1,0),0),0),0))</f>
        <v>0</v>
      </c>
    </row>
    <row r="525" spans="1:15" ht="14.1" customHeight="1">
      <c r="A525" s="37">
        <v>9</v>
      </c>
      <c r="B525" s="37" t="s">
        <v>278</v>
      </c>
      <c r="C525" s="37">
        <v>7</v>
      </c>
      <c r="D525" s="56" t="str">
        <f>MARTES!$A$190</f>
        <v>Curl Muneca</v>
      </c>
      <c r="E525" s="57" t="str">
        <f>MARTES!$B$190</f>
        <v>Supinado</v>
      </c>
      <c r="F525" s="37" t="str">
        <f>MARTES!$C$190</f>
        <v>mancuerna</v>
      </c>
      <c r="G525" s="37" t="str">
        <f>IFERROR(LOOKUP(2,1/((HISTORIAL!$O$3:$O$523=D525&amp;"|"&amp;E525)*(HISTORIAL!$F$3:$F$523&lt;&gt;"")),HISTORIAL!$F$3:$F$523),"")</f>
        <v/>
      </c>
      <c r="H525" s="37" t="str">
        <f>IFERROR(LOOKUP(2,1/((HISTORIAL!$O$3:$O$523=D525&amp;"|"&amp;E525)*(HISTORIAL!$F$3:$F$523&lt;&gt;"")),HISTORIAL!$G$3:$G$523),"")</f>
        <v/>
      </c>
      <c r="I525" s="37" t="str">
        <f>IFERROR(LOOKUP(2,1/((HISTORIAL!$O$3:$O$523=D525&amp;"|"&amp;E525)*(HISTORIAL!$F$3:$F$523&lt;&gt;"")),HISTORIAL!$H$3:$H$523),"")</f>
        <v/>
      </c>
      <c r="J525" s="37" t="str">
        <f>IFERROR(LOOKUP(2,1/((HISTORIAL!$O$3:$O$523=D525&amp;"|"&amp;E525)*(HISTORIAL!$F$3:$F$523&lt;&gt;"")),HISTORIAL!$I$3:$I$523),"")</f>
        <v/>
      </c>
      <c r="K525" s="58" t="str">
        <f>IFERROR(IF(OR(G525="",N525="SIN"),"--",IF(N525="SUBIR_F",IF(F525="polea",IFERROR(INDEX(CONFIG!$B$25:$B$40,MATCH(G525,CONFIG!$B$25:$B$40,0)+2),IFERROR(INDEX(CONFIG!$B$25:$B$40,MATCH(G525,CONFIG!$B$25:$B$40,0)+1),G525)),G525+5),IF(OR(N525="SUBIR",N525="SUBIR_E"),IF(F525="polea",IFERROR(INDEX(CONFIG!$B$25:$B$40,MATCH(G525,CONFIG!$B$25:$B$40,0)+1),G525),G525+2.5),IF(N525="BAJAR",IF(F525="polea",IFERROR(INDEX(CONFIG!$B$25:$B$40,MAX(1,MATCH(G525,CONFIG!$B$25:$B$40,0)-1)),G525),MAX(0,G525-2.5)),G525)))),"--")</f>
        <v>--</v>
      </c>
      <c r="L525" s="59" t="str">
        <f>IFERROR(IF(N525="SIN","--",IF(N525="MANT",IF(H525="","--",H525+1),IFERROR(VLOOKUP(CONFIG!$E$2,CONFIG!$A$6:$E$8,2,0),"--"))),"--")</f>
        <v>--</v>
      </c>
      <c r="M525" s="59" t="str">
        <f>IFERROR(IF(N525="SIN","--",IF(CONFIG!$E$2="HIP",2,IF(CONFIG!$E$2="FUE",1,2))),"--")</f>
        <v>--</v>
      </c>
      <c r="N525" s="53" t="str">
        <f>IFERROR(IF(G525="","SIN",IF(O525=1,"SUBIR_E",IF(H525&lt;IFERROR(VLOOKUP(CONFIG!$E$2,CONFIG!$A$6:$E$8,2,0),6),"BAJAR",IF(H525+I525&gt;=IFERROR(VLOOKUP(CONFIG!$E$2,CONFIG!$A$6:$E$8,3,0),12),"SUBIR_F",IF(AND(H525&gt;=IFERROR(VLOOKUP(CONFIG!$E$2,CONFIG!$A$6:$E$8,2,0),6)+2,I525&gt;=2),"SUBIR",IF(I525&gt;IFERROR(VLOOKUP(CONFIG!$E$2,CONFIG!$A$6:$E$8,5,0),3),"SUBIR","MANT")))))),"SIN")</f>
        <v>SIN</v>
      </c>
      <c r="O525" s="55">
        <f>IF(COUNTIFS(HISTORIAL!$O$3:$O$523,D525&amp;"|"&amp;E525,HISTORIAL!$F$3:$F$523,"&gt;0")&lt;2,0,IF(COUNTIFS(HISTORIAL!$O$3:$O$523,D525&amp;"|"&amp;E525,HISTORIAL!$F$3:$F$523,IFERROR(LOOKUP(2,1/((HISTORIAL!$O$3:$O$523=D525&amp;"|"&amp;E525)*(HISTORIAL!$F$3:$F$523&gt;0)),HISTORIAL!$F$3:$F$523),0))&gt;=2,IF(IFERROR(LOOKUP(2,1/((HISTORIAL!$O$3:$O$523=D525&amp;"|"&amp;E525)*(HISTORIAL!$F$3:$F$523&gt;0)),HISTORIAL!$G$3:$G$523),0)&gt;0,IF(F525&gt;0,IF(G525&lt;=IFERROR(LOOKUP(2,1/((HISTORIAL!$O$3:$O$523=D525&amp;"|"&amp;E525)*(HISTORIAL!$F$3:$F$523&gt;0)),HISTORIAL!$G$3:$G$523),0),1,0),0),0),0))</f>
        <v>0</v>
      </c>
    </row>
    <row r="526" spans="1:15" ht="14.1" customHeight="1">
      <c r="A526" s="37">
        <v>9</v>
      </c>
      <c r="B526" s="37" t="s">
        <v>278</v>
      </c>
      <c r="C526" s="37">
        <v>8</v>
      </c>
      <c r="D526" s="56" t="str">
        <f>MARTES!$A$191</f>
        <v>Curl Muneca</v>
      </c>
      <c r="E526" s="57" t="str">
        <f>MARTES!$B$191</f>
        <v>Pronado</v>
      </c>
      <c r="F526" s="37" t="str">
        <f>MARTES!$C$191</f>
        <v>mancuerna</v>
      </c>
      <c r="G526" s="37" t="str">
        <f>IFERROR(LOOKUP(2,1/((HISTORIAL!$O$3:$O$524=D526&amp;"|"&amp;E526)*(HISTORIAL!$F$3:$F$524&lt;&gt;"")),HISTORIAL!$F$3:$F$524),"")</f>
        <v/>
      </c>
      <c r="H526" s="37" t="str">
        <f>IFERROR(LOOKUP(2,1/((HISTORIAL!$O$3:$O$524=D526&amp;"|"&amp;E526)*(HISTORIAL!$F$3:$F$524&lt;&gt;"")),HISTORIAL!$G$3:$G$524),"")</f>
        <v/>
      </c>
      <c r="I526" s="37" t="str">
        <f>IFERROR(LOOKUP(2,1/((HISTORIAL!$O$3:$O$524=D526&amp;"|"&amp;E526)*(HISTORIAL!$F$3:$F$524&lt;&gt;"")),HISTORIAL!$H$3:$H$524),"")</f>
        <v/>
      </c>
      <c r="J526" s="37" t="str">
        <f>IFERROR(LOOKUP(2,1/((HISTORIAL!$O$3:$O$524=D526&amp;"|"&amp;E526)*(HISTORIAL!$F$3:$F$524&lt;&gt;"")),HISTORIAL!$I$3:$I$524),"")</f>
        <v/>
      </c>
      <c r="K526" s="58" t="str">
        <f>IFERROR(IF(OR(G526="",N526="SIN"),"--",IF(N526="SUBIR_F",IF(F526="polea",IFERROR(INDEX(CONFIG!$B$25:$B$40,MATCH(G526,CONFIG!$B$25:$B$40,0)+2),IFERROR(INDEX(CONFIG!$B$25:$B$40,MATCH(G526,CONFIG!$B$25:$B$40,0)+1),G526)),G526+5),IF(OR(N526="SUBIR",N526="SUBIR_E"),IF(F526="polea",IFERROR(INDEX(CONFIG!$B$25:$B$40,MATCH(G526,CONFIG!$B$25:$B$40,0)+1),G526),G526+2.5),IF(N526="BAJAR",IF(F526="polea",IFERROR(INDEX(CONFIG!$B$25:$B$40,MAX(1,MATCH(G526,CONFIG!$B$25:$B$40,0)-1)),G526),MAX(0,G526-2.5)),G526)))),"--")</f>
        <v>--</v>
      </c>
      <c r="L526" s="59" t="str">
        <f>IFERROR(IF(N526="SIN","--",IF(N526="MANT",IF(H526="","--",H526+1),IFERROR(VLOOKUP(CONFIG!$E$2,CONFIG!$A$6:$E$8,2,0),"--"))),"--")</f>
        <v>--</v>
      </c>
      <c r="M526" s="59" t="str">
        <f>IFERROR(IF(N526="SIN","--",IF(CONFIG!$E$2="HIP",2,IF(CONFIG!$E$2="FUE",1,2))),"--")</f>
        <v>--</v>
      </c>
      <c r="N526" s="53" t="str">
        <f>IFERROR(IF(G526="","SIN",IF(O526=1,"SUBIR_E",IF(H526&lt;IFERROR(VLOOKUP(CONFIG!$E$2,CONFIG!$A$6:$E$8,2,0),6),"BAJAR",IF(H526+I526&gt;=IFERROR(VLOOKUP(CONFIG!$E$2,CONFIG!$A$6:$E$8,3,0),12),"SUBIR_F",IF(AND(H526&gt;=IFERROR(VLOOKUP(CONFIG!$E$2,CONFIG!$A$6:$E$8,2,0),6)+2,I526&gt;=2),"SUBIR",IF(I526&gt;IFERROR(VLOOKUP(CONFIG!$E$2,CONFIG!$A$6:$E$8,5,0),3),"SUBIR","MANT")))))),"SIN")</f>
        <v>SIN</v>
      </c>
      <c r="O526" s="55">
        <f>IF(COUNTIFS(HISTORIAL!$O$3:$O$524,D526&amp;"|"&amp;E526,HISTORIAL!$F$3:$F$524,"&gt;0")&lt;2,0,IF(COUNTIFS(HISTORIAL!$O$3:$O$524,D526&amp;"|"&amp;E526,HISTORIAL!$F$3:$F$524,IFERROR(LOOKUP(2,1/((HISTORIAL!$O$3:$O$524=D526&amp;"|"&amp;E526)*(HISTORIAL!$F$3:$F$524&gt;0)),HISTORIAL!$F$3:$F$524),0))&gt;=2,IF(IFERROR(LOOKUP(2,1/((HISTORIAL!$O$3:$O$524=D526&amp;"|"&amp;E526)*(HISTORIAL!$F$3:$F$524&gt;0)),HISTORIAL!$G$3:$G$524),0)&gt;0,IF(F526&gt;0,IF(G526&lt;=IFERROR(LOOKUP(2,1/((HISTORIAL!$O$3:$O$524=D526&amp;"|"&amp;E526)*(HISTORIAL!$F$3:$F$524&gt;0)),HISTORIAL!$G$3:$G$524),0),1,0),0),0),0))</f>
        <v>0</v>
      </c>
    </row>
    <row r="527" spans="1:15" ht="14.1" customHeight="1">
      <c r="A527" s="37">
        <v>9</v>
      </c>
      <c r="B527" s="37" t="s">
        <v>278</v>
      </c>
      <c r="C527" s="37">
        <v>9</v>
      </c>
      <c r="D527" s="56" t="str">
        <f>MARTES!$A$193</f>
        <v>Farmer Carry</v>
      </c>
      <c r="E527" s="57" t="str">
        <f>MARTES!$B$193</f>
        <v>Libre</v>
      </c>
      <c r="F527" s="37" t="str">
        <f>MARTES!$C$193</f>
        <v>mancuerna</v>
      </c>
      <c r="G527" s="37" t="str">
        <f>IFERROR(LOOKUP(2,1/((HISTORIAL!$O$3:$O$525=D527&amp;"|"&amp;E527)*(HISTORIAL!$F$3:$F$525&lt;&gt;"")),HISTORIAL!$F$3:$F$525),"")</f>
        <v/>
      </c>
      <c r="H527" s="37" t="str">
        <f>IFERROR(LOOKUP(2,1/((HISTORIAL!$O$3:$O$525=D527&amp;"|"&amp;E527)*(HISTORIAL!$F$3:$F$525&lt;&gt;"")),HISTORIAL!$G$3:$G$525),"")</f>
        <v/>
      </c>
      <c r="I527" s="37" t="str">
        <f>IFERROR(LOOKUP(2,1/((HISTORIAL!$O$3:$O$525=D527&amp;"|"&amp;E527)*(HISTORIAL!$F$3:$F$525&lt;&gt;"")),HISTORIAL!$H$3:$H$525),"")</f>
        <v/>
      </c>
      <c r="J527" s="37" t="str">
        <f>IFERROR(LOOKUP(2,1/((HISTORIAL!$O$3:$O$525=D527&amp;"|"&amp;E527)*(HISTORIAL!$F$3:$F$525&lt;&gt;"")),HISTORIAL!$I$3:$I$525),"")</f>
        <v/>
      </c>
      <c r="K527" s="58" t="str">
        <f>IFERROR(IF(OR(G527="",N527="SIN"),"--",IF(N527="SUBIR_F",IF(F527="polea",IFERROR(INDEX(CONFIG!$B$25:$B$40,MATCH(G527,CONFIG!$B$25:$B$40,0)+2),IFERROR(INDEX(CONFIG!$B$25:$B$40,MATCH(G527,CONFIG!$B$25:$B$40,0)+1),G527)),G527+5),IF(OR(N527="SUBIR",N527="SUBIR_E"),IF(F527="polea",IFERROR(INDEX(CONFIG!$B$25:$B$40,MATCH(G527,CONFIG!$B$25:$B$40,0)+1),G527),G527+2.5),IF(N527="BAJAR",IF(F527="polea",IFERROR(INDEX(CONFIG!$B$25:$B$40,MAX(1,MATCH(G527,CONFIG!$B$25:$B$40,0)-1)),G527),MAX(0,G527-2.5)),G527)))),"--")</f>
        <v>--</v>
      </c>
      <c r="L527" s="59" t="str">
        <f>IFERROR(IF(N527="SIN","--",IF(N527="MANT",IF(H527="","--",H527+1),IFERROR(VLOOKUP(CONFIG!$E$2,CONFIG!$A$6:$E$8,2,0),"--"))),"--")</f>
        <v>--</v>
      </c>
      <c r="M527" s="59" t="str">
        <f>IFERROR(IF(N527="SIN","--",IF(CONFIG!$E$2="HIP",2,IF(CONFIG!$E$2="FUE",1,2))),"--")</f>
        <v>--</v>
      </c>
      <c r="N527" s="53" t="str">
        <f>IFERROR(IF(G527="","SIN",IF(O527=1,"SUBIR_E",IF(H527&lt;IFERROR(VLOOKUP(CONFIG!$E$2,CONFIG!$A$6:$E$8,2,0),6),"BAJAR",IF(H527+I527&gt;=IFERROR(VLOOKUP(CONFIG!$E$2,CONFIG!$A$6:$E$8,3,0),12),"SUBIR_F",IF(AND(H527&gt;=IFERROR(VLOOKUP(CONFIG!$E$2,CONFIG!$A$6:$E$8,2,0),6)+2,I527&gt;=2),"SUBIR",IF(I527&gt;IFERROR(VLOOKUP(CONFIG!$E$2,CONFIG!$A$6:$E$8,5,0),3),"SUBIR","MANT")))))),"SIN")</f>
        <v>SIN</v>
      </c>
      <c r="O527" s="55">
        <f>IF(COUNTIFS(HISTORIAL!$O$3:$O$525,D527&amp;"|"&amp;E527,HISTORIAL!$F$3:$F$525,"&gt;0")&lt;2,0,IF(COUNTIFS(HISTORIAL!$O$3:$O$525,D527&amp;"|"&amp;E527,HISTORIAL!$F$3:$F$525,IFERROR(LOOKUP(2,1/((HISTORIAL!$O$3:$O$525=D527&amp;"|"&amp;E527)*(HISTORIAL!$F$3:$F$525&gt;0)),HISTORIAL!$F$3:$F$525),0))&gt;=2,IF(IFERROR(LOOKUP(2,1/((HISTORIAL!$O$3:$O$525=D527&amp;"|"&amp;E527)*(HISTORIAL!$F$3:$F$525&gt;0)),HISTORIAL!$G$3:$G$525),0)&gt;0,IF(F527&gt;0,IF(G527&lt;=IFERROR(LOOKUP(2,1/((HISTORIAL!$O$3:$O$525=D527&amp;"|"&amp;E527)*(HISTORIAL!$F$3:$F$525&gt;0)),HISTORIAL!$G$3:$G$525),0),1,0),0),0),0))</f>
        <v>0</v>
      </c>
    </row>
    <row r="528" spans="1:15" ht="14.1" customHeight="1">
      <c r="A528" s="37">
        <v>9</v>
      </c>
      <c r="B528" s="37" t="s">
        <v>278</v>
      </c>
      <c r="C528" s="37">
        <v>10</v>
      </c>
      <c r="D528" s="56" t="str">
        <f>MARTES!$A$195</f>
        <v>Skullcrusher</v>
      </c>
      <c r="E528" s="57" t="str">
        <f>MARTES!$B$195</f>
        <v>Mancuerna Tumbado</v>
      </c>
      <c r="F528" s="37" t="str">
        <f>MARTES!$C$195</f>
        <v>--</v>
      </c>
      <c r="G528" s="37" t="str">
        <f>IFERROR(LOOKUP(2,1/((HISTORIAL!$O$3:$O$526=D528&amp;"|"&amp;E528)*(HISTORIAL!$F$3:$F$526&lt;&gt;"")),HISTORIAL!$F$3:$F$526),"")</f>
        <v/>
      </c>
      <c r="H528" s="37" t="str">
        <f>IFERROR(LOOKUP(2,1/((HISTORIAL!$O$3:$O$526=D528&amp;"|"&amp;E528)*(HISTORIAL!$F$3:$F$526&lt;&gt;"")),HISTORIAL!$G$3:$G$526),"")</f>
        <v/>
      </c>
      <c r="I528" s="37" t="str">
        <f>IFERROR(LOOKUP(2,1/((HISTORIAL!$O$3:$O$526=D528&amp;"|"&amp;E528)*(HISTORIAL!$F$3:$F$526&lt;&gt;"")),HISTORIAL!$H$3:$H$526),"")</f>
        <v/>
      </c>
      <c r="J528" s="37" t="str">
        <f>IFERROR(LOOKUP(2,1/((HISTORIAL!$O$3:$O$526=D528&amp;"|"&amp;E528)*(HISTORIAL!$F$3:$F$526&lt;&gt;"")),HISTORIAL!$I$3:$I$526),"")</f>
        <v/>
      </c>
      <c r="K528" s="58" t="str">
        <f>IFERROR(IF(OR(G528="",N528="SIN"),"--",IF(N528="SUBIR_F",IF(F528="polea",IFERROR(INDEX(CONFIG!$B$25:$B$40,MATCH(G528,CONFIG!$B$25:$B$40,0)+2),IFERROR(INDEX(CONFIG!$B$25:$B$40,MATCH(G528,CONFIG!$B$25:$B$40,0)+1),G528)),G528+5),IF(OR(N528="SUBIR",N528="SUBIR_E"),IF(F528="polea",IFERROR(INDEX(CONFIG!$B$25:$B$40,MATCH(G528,CONFIG!$B$25:$B$40,0)+1),G528),G528+2.5),IF(N528="BAJAR",IF(F528="polea",IFERROR(INDEX(CONFIG!$B$25:$B$40,MAX(1,MATCH(G528,CONFIG!$B$25:$B$40,0)-1)),G528),MAX(0,G528-2.5)),G528)))),"--")</f>
        <v>--</v>
      </c>
      <c r="L528" s="59" t="str">
        <f>IFERROR(IF(N528="SIN","--",IF(N528="MANT",IF(H528="","--",H528+1),IFERROR(VLOOKUP(CONFIG!$E$2,CONFIG!$A$6:$E$8,2,0),"--"))),"--")</f>
        <v>--</v>
      </c>
      <c r="M528" s="59" t="str">
        <f>IFERROR(IF(N528="SIN","--",IF(CONFIG!$E$2="HIP",2,IF(CONFIG!$E$2="FUE",1,2))),"--")</f>
        <v>--</v>
      </c>
      <c r="N528" s="53" t="str">
        <f>IFERROR(IF(G528="","SIN",IF(O528=1,"SUBIR_E",IF(H528&lt;IFERROR(VLOOKUP(CONFIG!$E$2,CONFIG!$A$6:$E$8,2,0),6),"BAJAR",IF(H528+I528&gt;=IFERROR(VLOOKUP(CONFIG!$E$2,CONFIG!$A$6:$E$8,3,0),12),"SUBIR_F",IF(AND(H528&gt;=IFERROR(VLOOKUP(CONFIG!$E$2,CONFIG!$A$6:$E$8,2,0),6)+2,I528&gt;=2),"SUBIR",IF(I528&gt;IFERROR(VLOOKUP(CONFIG!$E$2,CONFIG!$A$6:$E$8,5,0),3),"SUBIR","MANT")))))),"SIN")</f>
        <v>SIN</v>
      </c>
      <c r="O528" s="55">
        <f>IF(COUNTIFS(HISTORIAL!$O$3:$O$526,D528&amp;"|"&amp;E528,HISTORIAL!$F$3:$F$526,"&gt;0")&lt;2,0,IF(COUNTIFS(HISTORIAL!$O$3:$O$526,D528&amp;"|"&amp;E528,HISTORIAL!$F$3:$F$526,IFERROR(LOOKUP(2,1/((HISTORIAL!$O$3:$O$526=D528&amp;"|"&amp;E528)*(HISTORIAL!$F$3:$F$526&gt;0)),HISTORIAL!$F$3:$F$526),0))&gt;=2,IF(IFERROR(LOOKUP(2,1/((HISTORIAL!$O$3:$O$526=D528&amp;"|"&amp;E528)*(HISTORIAL!$F$3:$F$526&gt;0)),HISTORIAL!$G$3:$G$526),0)&gt;0,IF(F528&gt;0,IF(G528&lt;=IFERROR(LOOKUP(2,1/((HISTORIAL!$O$3:$O$526=D528&amp;"|"&amp;E528)*(HISTORIAL!$F$3:$F$526&gt;0)),HISTORIAL!$G$3:$G$526),0),1,0),0),0),0))</f>
        <v>0</v>
      </c>
    </row>
    <row r="529" spans="1:15" ht="14.1" customHeight="1">
      <c r="A529" s="37">
        <v>9</v>
      </c>
      <c r="B529" s="37" t="s">
        <v>278</v>
      </c>
      <c r="C529" s="37">
        <v>11</v>
      </c>
      <c r="D529" s="56" t="str">
        <f>MARTES!$A$197</f>
        <v>Crunch</v>
      </c>
      <c r="E529" s="57" t="str">
        <f>MARTES!$B$197</f>
        <v>Polea</v>
      </c>
      <c r="F529" s="37" t="str">
        <f>MARTES!$C$197</f>
        <v>polea</v>
      </c>
      <c r="G529" s="37" t="str">
        <f>IFERROR(LOOKUP(2,1/((HISTORIAL!$O$3:$O$527=D529&amp;"|"&amp;E529)*(HISTORIAL!$F$3:$F$527&lt;&gt;"")),HISTORIAL!$F$3:$F$527),"")</f>
        <v/>
      </c>
      <c r="H529" s="37" t="str">
        <f>IFERROR(LOOKUP(2,1/((HISTORIAL!$O$3:$O$527=D529&amp;"|"&amp;E529)*(HISTORIAL!$F$3:$F$527&lt;&gt;"")),HISTORIAL!$G$3:$G$527),"")</f>
        <v/>
      </c>
      <c r="I529" s="37" t="str">
        <f>IFERROR(LOOKUP(2,1/((HISTORIAL!$O$3:$O$527=D529&amp;"|"&amp;E529)*(HISTORIAL!$F$3:$F$527&lt;&gt;"")),HISTORIAL!$H$3:$H$527),"")</f>
        <v/>
      </c>
      <c r="J529" s="37" t="str">
        <f>IFERROR(LOOKUP(2,1/((HISTORIAL!$O$3:$O$527=D529&amp;"|"&amp;E529)*(HISTORIAL!$F$3:$F$527&lt;&gt;"")),HISTORIAL!$I$3:$I$527),"")</f>
        <v/>
      </c>
      <c r="K529" s="58" t="str">
        <f>IFERROR(IF(OR(G529="",N529="SIN"),"--",IF(N529="SUBIR_F",IF(F529="polea",IFERROR(INDEX(CONFIG!$B$25:$B$40,MATCH(G529,CONFIG!$B$25:$B$40,0)+2),IFERROR(INDEX(CONFIG!$B$25:$B$40,MATCH(G529,CONFIG!$B$25:$B$40,0)+1),G529)),G529+5),IF(OR(N529="SUBIR",N529="SUBIR_E"),IF(F529="polea",IFERROR(INDEX(CONFIG!$B$25:$B$40,MATCH(G529,CONFIG!$B$25:$B$40,0)+1),G529),G529+2.5),IF(N529="BAJAR",IF(F529="polea",IFERROR(INDEX(CONFIG!$B$25:$B$40,MAX(1,MATCH(G529,CONFIG!$B$25:$B$40,0)-1)),G529),MAX(0,G529-2.5)),G529)))),"--")</f>
        <v>--</v>
      </c>
      <c r="L529" s="59" t="str">
        <f>IFERROR(IF(N529="SIN","--",IF(N529="MANT",IF(H529="","--",H529+1),IFERROR(VLOOKUP(CONFIG!$E$2,CONFIG!$A$6:$E$8,2,0),"--"))),"--")</f>
        <v>--</v>
      </c>
      <c r="M529" s="59" t="str">
        <f>IFERROR(IF(N529="SIN","--",IF(CONFIG!$E$2="HIP",2,IF(CONFIG!$E$2="FUE",1,2))),"--")</f>
        <v>--</v>
      </c>
      <c r="N529" s="53" t="str">
        <f>IFERROR(IF(G529="","SIN",IF(O529=1,"SUBIR_E",IF(H529&lt;IFERROR(VLOOKUP(CONFIG!$E$2,CONFIG!$A$6:$E$8,2,0),6),"BAJAR",IF(H529+I529&gt;=IFERROR(VLOOKUP(CONFIG!$E$2,CONFIG!$A$6:$E$8,3,0),12),"SUBIR_F",IF(AND(H529&gt;=IFERROR(VLOOKUP(CONFIG!$E$2,CONFIG!$A$6:$E$8,2,0),6)+2,I529&gt;=2),"SUBIR",IF(I529&gt;IFERROR(VLOOKUP(CONFIG!$E$2,CONFIG!$A$6:$E$8,5,0),3),"SUBIR","MANT")))))),"SIN")</f>
        <v>SIN</v>
      </c>
      <c r="O529" s="55">
        <f>IF(COUNTIFS(HISTORIAL!$O$3:$O$527,D529&amp;"|"&amp;E529,HISTORIAL!$F$3:$F$527,"&gt;0")&lt;2,0,IF(COUNTIFS(HISTORIAL!$O$3:$O$527,D529&amp;"|"&amp;E529,HISTORIAL!$F$3:$F$527,IFERROR(LOOKUP(2,1/((HISTORIAL!$O$3:$O$527=D529&amp;"|"&amp;E529)*(HISTORIAL!$F$3:$F$527&gt;0)),HISTORIAL!$F$3:$F$527),0))&gt;=2,IF(IFERROR(LOOKUP(2,1/((HISTORIAL!$O$3:$O$527=D529&amp;"|"&amp;E529)*(HISTORIAL!$F$3:$F$527&gt;0)),HISTORIAL!$G$3:$G$527),0)&gt;0,IF(F529&gt;0,IF(G529&lt;=IFERROR(LOOKUP(2,1/((HISTORIAL!$O$3:$O$527=D529&amp;"|"&amp;E529)*(HISTORIAL!$F$3:$F$527&gt;0)),HISTORIAL!$G$3:$G$527),0),1,0),0),0),0))</f>
        <v>0</v>
      </c>
    </row>
    <row r="530" spans="1:15" ht="14.1" customHeight="1">
      <c r="A530" s="37">
        <v>9</v>
      </c>
      <c r="B530" s="37" t="s">
        <v>279</v>
      </c>
      <c r="C530" s="37">
        <v>1</v>
      </c>
      <c r="D530" s="56" t="str">
        <f>MIERCOLES!$A$188</f>
        <v>Curl Femoral</v>
      </c>
      <c r="E530" s="57" t="str">
        <f>MIERCOLES!$B$188</f>
        <v>Tumbado Maquina</v>
      </c>
      <c r="F530" s="37" t="str">
        <f>MIERCOLES!$C$188</f>
        <v>polea</v>
      </c>
      <c r="G530" s="37" t="str">
        <f>IFERROR(LOOKUP(2,1/((HISTORIAL!$O$3:$O$528=D530&amp;"|"&amp;E530)*(HISTORIAL!$F$3:$F$528&lt;&gt;"")),HISTORIAL!$F$3:$F$528),"")</f>
        <v/>
      </c>
      <c r="H530" s="37" t="str">
        <f>IFERROR(LOOKUP(2,1/((HISTORIAL!$O$3:$O$528=D530&amp;"|"&amp;E530)*(HISTORIAL!$F$3:$F$528&lt;&gt;"")),HISTORIAL!$G$3:$G$528),"")</f>
        <v/>
      </c>
      <c r="I530" s="37" t="str">
        <f>IFERROR(LOOKUP(2,1/((HISTORIAL!$O$3:$O$528=D530&amp;"|"&amp;E530)*(HISTORIAL!$F$3:$F$528&lt;&gt;"")),HISTORIAL!$H$3:$H$528),"")</f>
        <v/>
      </c>
      <c r="J530" s="37" t="str">
        <f>IFERROR(LOOKUP(2,1/((HISTORIAL!$O$3:$O$528=D530&amp;"|"&amp;E530)*(HISTORIAL!$F$3:$F$528&lt;&gt;"")),HISTORIAL!$I$3:$I$528),"")</f>
        <v/>
      </c>
      <c r="K530" s="58" t="str">
        <f>IFERROR(IF(OR(G530="",N530="SIN"),"--",IF(N530="SUBIR_F",IF(F530="polea",IFERROR(INDEX(CONFIG!$B$25:$B$40,MATCH(G530,CONFIG!$B$25:$B$40,0)+2),IFERROR(INDEX(CONFIG!$B$25:$B$40,MATCH(G530,CONFIG!$B$25:$B$40,0)+1),G530)),G530+5),IF(OR(N530="SUBIR",N530="SUBIR_E"),IF(F530="polea",IFERROR(INDEX(CONFIG!$B$25:$B$40,MATCH(G530,CONFIG!$B$25:$B$40,0)+1),G530),G530+2.5),IF(N530="BAJAR",IF(F530="polea",IFERROR(INDEX(CONFIG!$B$25:$B$40,MAX(1,MATCH(G530,CONFIG!$B$25:$B$40,0)-1)),G530),MAX(0,G530-2.5)),G530)))),"--")</f>
        <v>--</v>
      </c>
      <c r="L530" s="59" t="str">
        <f>IFERROR(IF(N530="SIN","--",IF(N530="MANT",IF(H530="","--",H530+1),IFERROR(VLOOKUP(CONFIG!$E$2,CONFIG!$A$6:$E$8,2,0),"--"))),"--")</f>
        <v>--</v>
      </c>
      <c r="M530" s="59" t="str">
        <f>IFERROR(IF(N530="SIN","--",IF(CONFIG!$E$2="HIP",2,IF(CONFIG!$E$2="FUE",1,2))),"--")</f>
        <v>--</v>
      </c>
      <c r="N530" s="53" t="str">
        <f>IFERROR(IF(G530="","SIN",IF(O530=1,"SUBIR_E",IF(H530&lt;IFERROR(VLOOKUP(CONFIG!$E$2,CONFIG!$A$6:$E$8,2,0),6),"BAJAR",IF(H530+I530&gt;=IFERROR(VLOOKUP(CONFIG!$E$2,CONFIG!$A$6:$E$8,3,0),12),"SUBIR_F",IF(AND(H530&gt;=IFERROR(VLOOKUP(CONFIG!$E$2,CONFIG!$A$6:$E$8,2,0),6)+2,I530&gt;=2),"SUBIR",IF(I530&gt;IFERROR(VLOOKUP(CONFIG!$E$2,CONFIG!$A$6:$E$8,5,0),3),"SUBIR","MANT")))))),"SIN")</f>
        <v>SIN</v>
      </c>
      <c r="O530" s="55">
        <f>IF(COUNTIFS(HISTORIAL!$O$3:$O$528,D530&amp;"|"&amp;E530,HISTORIAL!$F$3:$F$528,"&gt;0")&lt;2,0,IF(COUNTIFS(HISTORIAL!$O$3:$O$528,D530&amp;"|"&amp;E530,HISTORIAL!$F$3:$F$528,IFERROR(LOOKUP(2,1/((HISTORIAL!$O$3:$O$528=D530&amp;"|"&amp;E530)*(HISTORIAL!$F$3:$F$528&gt;0)),HISTORIAL!$F$3:$F$528),0))&gt;=2,IF(IFERROR(LOOKUP(2,1/((HISTORIAL!$O$3:$O$528=D530&amp;"|"&amp;E530)*(HISTORIAL!$F$3:$F$528&gt;0)),HISTORIAL!$G$3:$G$528),0)&gt;0,IF(F530&gt;0,IF(G530&lt;=IFERROR(LOOKUP(2,1/((HISTORIAL!$O$3:$O$528=D530&amp;"|"&amp;E530)*(HISTORIAL!$F$3:$F$528&gt;0)),HISTORIAL!$G$3:$G$528),0),1,0),0),0),0))</f>
        <v>0</v>
      </c>
    </row>
    <row r="531" spans="1:15" ht="14.1" customHeight="1">
      <c r="A531" s="37">
        <v>9</v>
      </c>
      <c r="B531" s="37" t="s">
        <v>279</v>
      </c>
      <c r="C531" s="37">
        <v>2</v>
      </c>
      <c r="D531" s="56" t="str">
        <f>MIERCOLES!$A$189</f>
        <v>Curl Femoral</v>
      </c>
      <c r="E531" s="57" t="str">
        <f>MIERCOLES!$B$189</f>
        <v>Sentado Maquina</v>
      </c>
      <c r="F531" s="37" t="str">
        <f>MIERCOLES!$C$189</f>
        <v>polea</v>
      </c>
      <c r="G531" s="37" t="str">
        <f>IFERROR(LOOKUP(2,1/((HISTORIAL!$O$3:$O$529=D531&amp;"|"&amp;E531)*(HISTORIAL!$F$3:$F$529&lt;&gt;"")),HISTORIAL!$F$3:$F$529),"")</f>
        <v/>
      </c>
      <c r="H531" s="37" t="str">
        <f>IFERROR(LOOKUP(2,1/((HISTORIAL!$O$3:$O$529=D531&amp;"|"&amp;E531)*(HISTORIAL!$F$3:$F$529&lt;&gt;"")),HISTORIAL!$G$3:$G$529),"")</f>
        <v/>
      </c>
      <c r="I531" s="37" t="str">
        <f>IFERROR(LOOKUP(2,1/((HISTORIAL!$O$3:$O$529=D531&amp;"|"&amp;E531)*(HISTORIAL!$F$3:$F$529&lt;&gt;"")),HISTORIAL!$H$3:$H$529),"")</f>
        <v/>
      </c>
      <c r="J531" s="37" t="str">
        <f>IFERROR(LOOKUP(2,1/((HISTORIAL!$O$3:$O$529=D531&amp;"|"&amp;E531)*(HISTORIAL!$F$3:$F$529&lt;&gt;"")),HISTORIAL!$I$3:$I$529),"")</f>
        <v/>
      </c>
      <c r="K531" s="58" t="str">
        <f>IFERROR(IF(OR(G531="",N531="SIN"),"--",IF(N531="SUBIR_F",IF(F531="polea",IFERROR(INDEX(CONFIG!$B$25:$B$40,MATCH(G531,CONFIG!$B$25:$B$40,0)+2),IFERROR(INDEX(CONFIG!$B$25:$B$40,MATCH(G531,CONFIG!$B$25:$B$40,0)+1),G531)),G531+5),IF(OR(N531="SUBIR",N531="SUBIR_E"),IF(F531="polea",IFERROR(INDEX(CONFIG!$B$25:$B$40,MATCH(G531,CONFIG!$B$25:$B$40,0)+1),G531),G531+2.5),IF(N531="BAJAR",IF(F531="polea",IFERROR(INDEX(CONFIG!$B$25:$B$40,MAX(1,MATCH(G531,CONFIG!$B$25:$B$40,0)-1)),G531),MAX(0,G531-2.5)),G531)))),"--")</f>
        <v>--</v>
      </c>
      <c r="L531" s="59" t="str">
        <f>IFERROR(IF(N531="SIN","--",IF(N531="MANT",IF(H531="","--",H531+1),IFERROR(VLOOKUP(CONFIG!$E$2,CONFIG!$A$6:$E$8,2,0),"--"))),"--")</f>
        <v>--</v>
      </c>
      <c r="M531" s="59" t="str">
        <f>IFERROR(IF(N531="SIN","--",IF(CONFIG!$E$2="HIP",2,IF(CONFIG!$E$2="FUE",1,2))),"--")</f>
        <v>--</v>
      </c>
      <c r="N531" s="53" t="str">
        <f>IFERROR(IF(G531="","SIN",IF(O531=1,"SUBIR_E",IF(H531&lt;IFERROR(VLOOKUP(CONFIG!$E$2,CONFIG!$A$6:$E$8,2,0),6),"BAJAR",IF(H531+I531&gt;=IFERROR(VLOOKUP(CONFIG!$E$2,CONFIG!$A$6:$E$8,3,0),12),"SUBIR_F",IF(AND(H531&gt;=IFERROR(VLOOKUP(CONFIG!$E$2,CONFIG!$A$6:$E$8,2,0),6)+2,I531&gt;=2),"SUBIR",IF(I531&gt;IFERROR(VLOOKUP(CONFIG!$E$2,CONFIG!$A$6:$E$8,5,0),3),"SUBIR","MANT")))))),"SIN")</f>
        <v>SIN</v>
      </c>
      <c r="O531" s="55">
        <f>IF(COUNTIFS(HISTORIAL!$O$3:$O$529,D531&amp;"|"&amp;E531,HISTORIAL!$F$3:$F$529,"&gt;0")&lt;2,0,IF(COUNTIFS(HISTORIAL!$O$3:$O$529,D531&amp;"|"&amp;E531,HISTORIAL!$F$3:$F$529,IFERROR(LOOKUP(2,1/((HISTORIAL!$O$3:$O$529=D531&amp;"|"&amp;E531)*(HISTORIAL!$F$3:$F$529&gt;0)),HISTORIAL!$F$3:$F$529),0))&gt;=2,IF(IFERROR(LOOKUP(2,1/((HISTORIAL!$O$3:$O$529=D531&amp;"|"&amp;E531)*(HISTORIAL!$F$3:$F$529&gt;0)),HISTORIAL!$G$3:$G$529),0)&gt;0,IF(F531&gt;0,IF(G531&lt;=IFERROR(LOOKUP(2,1/((HISTORIAL!$O$3:$O$529=D531&amp;"|"&amp;E531)*(HISTORIAL!$F$3:$F$529&gt;0)),HISTORIAL!$G$3:$G$529),0),1,0),0),0),0))</f>
        <v>0</v>
      </c>
    </row>
    <row r="532" spans="1:15" ht="14.1" customHeight="1">
      <c r="A532" s="37">
        <v>9</v>
      </c>
      <c r="B532" s="37" t="s">
        <v>279</v>
      </c>
      <c r="C532" s="37">
        <v>3</v>
      </c>
      <c r="D532" s="56" t="str">
        <f>MIERCOLES!$A$190</f>
        <v>Curl Rumano</v>
      </c>
      <c r="E532" s="57" t="str">
        <f>MIERCOLES!$B$190</f>
        <v>Mancuernas</v>
      </c>
      <c r="F532" s="37" t="str">
        <f>MIERCOLES!$C$190</f>
        <v>mancuerna</v>
      </c>
      <c r="G532" s="37" t="str">
        <f>IFERROR(LOOKUP(2,1/((HISTORIAL!$O$3:$O$530=D532&amp;"|"&amp;E532)*(HISTORIAL!$F$3:$F$530&lt;&gt;"")),HISTORIAL!$F$3:$F$530),"")</f>
        <v/>
      </c>
      <c r="H532" s="37" t="str">
        <f>IFERROR(LOOKUP(2,1/((HISTORIAL!$O$3:$O$530=D532&amp;"|"&amp;E532)*(HISTORIAL!$F$3:$F$530&lt;&gt;"")),HISTORIAL!$G$3:$G$530),"")</f>
        <v/>
      </c>
      <c r="I532" s="37" t="str">
        <f>IFERROR(LOOKUP(2,1/((HISTORIAL!$O$3:$O$530=D532&amp;"|"&amp;E532)*(HISTORIAL!$F$3:$F$530&lt;&gt;"")),HISTORIAL!$H$3:$H$530),"")</f>
        <v/>
      </c>
      <c r="J532" s="37" t="str">
        <f>IFERROR(LOOKUP(2,1/((HISTORIAL!$O$3:$O$530=D532&amp;"|"&amp;E532)*(HISTORIAL!$F$3:$F$530&lt;&gt;"")),HISTORIAL!$I$3:$I$530),"")</f>
        <v/>
      </c>
      <c r="K532" s="58" t="str">
        <f>IFERROR(IF(OR(G532="",N532="SIN"),"--",IF(N532="SUBIR_F",IF(F532="polea",IFERROR(INDEX(CONFIG!$B$25:$B$40,MATCH(G532,CONFIG!$B$25:$B$40,0)+2),IFERROR(INDEX(CONFIG!$B$25:$B$40,MATCH(G532,CONFIG!$B$25:$B$40,0)+1),G532)),G532+5),IF(OR(N532="SUBIR",N532="SUBIR_E"),IF(F532="polea",IFERROR(INDEX(CONFIG!$B$25:$B$40,MATCH(G532,CONFIG!$B$25:$B$40,0)+1),G532),G532+2.5),IF(N532="BAJAR",IF(F532="polea",IFERROR(INDEX(CONFIG!$B$25:$B$40,MAX(1,MATCH(G532,CONFIG!$B$25:$B$40,0)-1)),G532),MAX(0,G532-2.5)),G532)))),"--")</f>
        <v>--</v>
      </c>
      <c r="L532" s="59" t="str">
        <f>IFERROR(IF(N532="SIN","--",IF(N532="MANT",IF(H532="","--",H532+1),IFERROR(VLOOKUP(CONFIG!$E$2,CONFIG!$A$6:$E$8,2,0),"--"))),"--")</f>
        <v>--</v>
      </c>
      <c r="M532" s="59" t="str">
        <f>IFERROR(IF(N532="SIN","--",IF(CONFIG!$E$2="HIP",2,IF(CONFIG!$E$2="FUE",1,2))),"--")</f>
        <v>--</v>
      </c>
      <c r="N532" s="53" t="str">
        <f>IFERROR(IF(G532="","SIN",IF(O532=1,"SUBIR_E",IF(H532&lt;IFERROR(VLOOKUP(CONFIG!$E$2,CONFIG!$A$6:$E$8,2,0),6),"BAJAR",IF(H532+I532&gt;=IFERROR(VLOOKUP(CONFIG!$E$2,CONFIG!$A$6:$E$8,3,0),12),"SUBIR_F",IF(AND(H532&gt;=IFERROR(VLOOKUP(CONFIG!$E$2,CONFIG!$A$6:$E$8,2,0),6)+2,I532&gt;=2),"SUBIR",IF(I532&gt;IFERROR(VLOOKUP(CONFIG!$E$2,CONFIG!$A$6:$E$8,5,0),3),"SUBIR","MANT")))))),"SIN")</f>
        <v>SIN</v>
      </c>
      <c r="O532" s="55">
        <f>IF(COUNTIFS(HISTORIAL!$O$3:$O$530,D532&amp;"|"&amp;E532,HISTORIAL!$F$3:$F$530,"&gt;0")&lt;2,0,IF(COUNTIFS(HISTORIAL!$O$3:$O$530,D532&amp;"|"&amp;E532,HISTORIAL!$F$3:$F$530,IFERROR(LOOKUP(2,1/((HISTORIAL!$O$3:$O$530=D532&amp;"|"&amp;E532)*(HISTORIAL!$F$3:$F$530&gt;0)),HISTORIAL!$F$3:$F$530),0))&gt;=2,IF(IFERROR(LOOKUP(2,1/((HISTORIAL!$O$3:$O$530=D532&amp;"|"&amp;E532)*(HISTORIAL!$F$3:$F$530&gt;0)),HISTORIAL!$G$3:$G$530),0)&gt;0,IF(F532&gt;0,IF(G532&lt;=IFERROR(LOOKUP(2,1/((HISTORIAL!$O$3:$O$530=D532&amp;"|"&amp;E532)*(HISTORIAL!$F$3:$F$530&gt;0)),HISTORIAL!$G$3:$G$530),0),1,0),0),0),0))</f>
        <v>0</v>
      </c>
    </row>
    <row r="533" spans="1:15" ht="14.1" customHeight="1">
      <c r="A533" s="37">
        <v>9</v>
      </c>
      <c r="B533" s="37" t="s">
        <v>279</v>
      </c>
      <c r="C533" s="37">
        <v>4</v>
      </c>
      <c r="D533" s="56" t="str">
        <f>MIERCOLES!$A$192</f>
        <v>Sentadilla</v>
      </c>
      <c r="E533" s="57" t="str">
        <f>MIERCOLES!$B$192</f>
        <v>Multipower Cuna Talones</v>
      </c>
      <c r="F533" s="37" t="str">
        <f>MIERCOLES!$C$192</f>
        <v>--</v>
      </c>
      <c r="G533" s="37" t="str">
        <f>IFERROR(LOOKUP(2,1/((HISTORIAL!$O$3:$O$531=D533&amp;"|"&amp;E533)*(HISTORIAL!$F$3:$F$531&lt;&gt;"")),HISTORIAL!$F$3:$F$531),"")</f>
        <v/>
      </c>
      <c r="H533" s="37" t="str">
        <f>IFERROR(LOOKUP(2,1/((HISTORIAL!$O$3:$O$531=D533&amp;"|"&amp;E533)*(HISTORIAL!$F$3:$F$531&lt;&gt;"")),HISTORIAL!$G$3:$G$531),"")</f>
        <v/>
      </c>
      <c r="I533" s="37" t="str">
        <f>IFERROR(LOOKUP(2,1/((HISTORIAL!$O$3:$O$531=D533&amp;"|"&amp;E533)*(HISTORIAL!$F$3:$F$531&lt;&gt;"")),HISTORIAL!$H$3:$H$531),"")</f>
        <v/>
      </c>
      <c r="J533" s="37" t="str">
        <f>IFERROR(LOOKUP(2,1/((HISTORIAL!$O$3:$O$531=D533&amp;"|"&amp;E533)*(HISTORIAL!$F$3:$F$531&lt;&gt;"")),HISTORIAL!$I$3:$I$531),"")</f>
        <v/>
      </c>
      <c r="K533" s="58" t="str">
        <f>IFERROR(IF(OR(G533="",N533="SIN"),"--",IF(N533="SUBIR_F",IF(F533="polea",IFERROR(INDEX(CONFIG!$B$25:$B$40,MATCH(G533,CONFIG!$B$25:$B$40,0)+2),IFERROR(INDEX(CONFIG!$B$25:$B$40,MATCH(G533,CONFIG!$B$25:$B$40,0)+1),G533)),G533+5),IF(OR(N533="SUBIR",N533="SUBIR_E"),IF(F533="polea",IFERROR(INDEX(CONFIG!$B$25:$B$40,MATCH(G533,CONFIG!$B$25:$B$40,0)+1),G533),G533+2.5),IF(N533="BAJAR",IF(F533="polea",IFERROR(INDEX(CONFIG!$B$25:$B$40,MAX(1,MATCH(G533,CONFIG!$B$25:$B$40,0)-1)),G533),MAX(0,G533-2.5)),G533)))),"--")</f>
        <v>--</v>
      </c>
      <c r="L533" s="59" t="str">
        <f>IFERROR(IF(N533="SIN","--",IF(N533="MANT",IF(H533="","--",H533+1),IFERROR(VLOOKUP(CONFIG!$E$2,CONFIG!$A$6:$E$8,2,0),"--"))),"--")</f>
        <v>--</v>
      </c>
      <c r="M533" s="59" t="str">
        <f>IFERROR(IF(N533="SIN","--",IF(CONFIG!$E$2="HIP",2,IF(CONFIG!$E$2="FUE",1,2))),"--")</f>
        <v>--</v>
      </c>
      <c r="N533" s="53" t="str">
        <f>IFERROR(IF(G533="","SIN",IF(O533=1,"SUBIR_E",IF(H533&lt;IFERROR(VLOOKUP(CONFIG!$E$2,CONFIG!$A$6:$E$8,2,0),6),"BAJAR",IF(H533+I533&gt;=IFERROR(VLOOKUP(CONFIG!$E$2,CONFIG!$A$6:$E$8,3,0),12),"SUBIR_F",IF(AND(H533&gt;=IFERROR(VLOOKUP(CONFIG!$E$2,CONFIG!$A$6:$E$8,2,0),6)+2,I533&gt;=2),"SUBIR",IF(I533&gt;IFERROR(VLOOKUP(CONFIG!$E$2,CONFIG!$A$6:$E$8,5,0),3),"SUBIR","MANT")))))),"SIN")</f>
        <v>SIN</v>
      </c>
      <c r="O533" s="55">
        <f>IF(COUNTIFS(HISTORIAL!$O$3:$O$531,D533&amp;"|"&amp;E533,HISTORIAL!$F$3:$F$531,"&gt;0")&lt;2,0,IF(COUNTIFS(HISTORIAL!$O$3:$O$531,D533&amp;"|"&amp;E533,HISTORIAL!$F$3:$F$531,IFERROR(LOOKUP(2,1/((HISTORIAL!$O$3:$O$531=D533&amp;"|"&amp;E533)*(HISTORIAL!$F$3:$F$531&gt;0)),HISTORIAL!$F$3:$F$531),0))&gt;=2,IF(IFERROR(LOOKUP(2,1/((HISTORIAL!$O$3:$O$531=D533&amp;"|"&amp;E533)*(HISTORIAL!$F$3:$F$531&gt;0)),HISTORIAL!$G$3:$G$531),0)&gt;0,IF(F533&gt;0,IF(G533&lt;=IFERROR(LOOKUP(2,1/((HISTORIAL!$O$3:$O$531=D533&amp;"|"&amp;E533)*(HISTORIAL!$F$3:$F$531&gt;0)),HISTORIAL!$G$3:$G$531),0),1,0),0),0),0))</f>
        <v>0</v>
      </c>
    </row>
    <row r="534" spans="1:15" ht="14.1" customHeight="1">
      <c r="A534" s="37">
        <v>9</v>
      </c>
      <c r="B534" s="37" t="s">
        <v>279</v>
      </c>
      <c r="C534" s="37">
        <v>5</v>
      </c>
      <c r="D534" s="56" t="str">
        <f>MIERCOLES!$A$193</f>
        <v>Prensa Pierna</v>
      </c>
      <c r="E534" s="57" t="str">
        <f>MIERCOLES!$B$193</f>
        <v>Individual Horizontal</v>
      </c>
      <c r="F534" s="37" t="str">
        <f>MIERCOLES!$C$193</f>
        <v>--</v>
      </c>
      <c r="G534" s="37" t="str">
        <f>IFERROR(LOOKUP(2,1/((HISTORIAL!$O$3:$O$532=D534&amp;"|"&amp;E534)*(HISTORIAL!$F$3:$F$532&lt;&gt;"")),HISTORIAL!$F$3:$F$532),"")</f>
        <v/>
      </c>
      <c r="H534" s="37" t="str">
        <f>IFERROR(LOOKUP(2,1/((HISTORIAL!$O$3:$O$532=D534&amp;"|"&amp;E534)*(HISTORIAL!$F$3:$F$532&lt;&gt;"")),HISTORIAL!$G$3:$G$532),"")</f>
        <v/>
      </c>
      <c r="I534" s="37" t="str">
        <f>IFERROR(LOOKUP(2,1/((HISTORIAL!$O$3:$O$532=D534&amp;"|"&amp;E534)*(HISTORIAL!$F$3:$F$532&lt;&gt;"")),HISTORIAL!$H$3:$H$532),"")</f>
        <v/>
      </c>
      <c r="J534" s="37" t="str">
        <f>IFERROR(LOOKUP(2,1/((HISTORIAL!$O$3:$O$532=D534&amp;"|"&amp;E534)*(HISTORIAL!$F$3:$F$532&lt;&gt;"")),HISTORIAL!$I$3:$I$532),"")</f>
        <v/>
      </c>
      <c r="K534" s="58" t="str">
        <f>IFERROR(IF(OR(G534="",N534="SIN"),"--",IF(N534="SUBIR_F",IF(F534="polea",IFERROR(INDEX(CONFIG!$B$25:$B$40,MATCH(G534,CONFIG!$B$25:$B$40,0)+2),IFERROR(INDEX(CONFIG!$B$25:$B$40,MATCH(G534,CONFIG!$B$25:$B$40,0)+1),G534)),G534+5),IF(OR(N534="SUBIR",N534="SUBIR_E"),IF(F534="polea",IFERROR(INDEX(CONFIG!$B$25:$B$40,MATCH(G534,CONFIG!$B$25:$B$40,0)+1),G534),G534+2.5),IF(N534="BAJAR",IF(F534="polea",IFERROR(INDEX(CONFIG!$B$25:$B$40,MAX(1,MATCH(G534,CONFIG!$B$25:$B$40,0)-1)),G534),MAX(0,G534-2.5)),G534)))),"--")</f>
        <v>--</v>
      </c>
      <c r="L534" s="59" t="str">
        <f>IFERROR(IF(N534="SIN","--",IF(N534="MANT",IF(H534="","--",H534+1),IFERROR(VLOOKUP(CONFIG!$E$2,CONFIG!$A$6:$E$8,2,0),"--"))),"--")</f>
        <v>--</v>
      </c>
      <c r="M534" s="59" t="str">
        <f>IFERROR(IF(N534="SIN","--",IF(CONFIG!$E$2="HIP",2,IF(CONFIG!$E$2="FUE",1,2))),"--")</f>
        <v>--</v>
      </c>
      <c r="N534" s="53" t="str">
        <f>IFERROR(IF(G534="","SIN",IF(O534=1,"SUBIR_E",IF(H534&lt;IFERROR(VLOOKUP(CONFIG!$E$2,CONFIG!$A$6:$E$8,2,0),6),"BAJAR",IF(H534+I534&gt;=IFERROR(VLOOKUP(CONFIG!$E$2,CONFIG!$A$6:$E$8,3,0),12),"SUBIR_F",IF(AND(H534&gt;=IFERROR(VLOOKUP(CONFIG!$E$2,CONFIG!$A$6:$E$8,2,0),6)+2,I534&gt;=2),"SUBIR",IF(I534&gt;IFERROR(VLOOKUP(CONFIG!$E$2,CONFIG!$A$6:$E$8,5,0),3),"SUBIR","MANT")))))),"SIN")</f>
        <v>SIN</v>
      </c>
      <c r="O534" s="55">
        <f>IF(COUNTIFS(HISTORIAL!$O$3:$O$532,D534&amp;"|"&amp;E534,HISTORIAL!$F$3:$F$532,"&gt;0")&lt;2,0,IF(COUNTIFS(HISTORIAL!$O$3:$O$532,D534&amp;"|"&amp;E534,HISTORIAL!$F$3:$F$532,IFERROR(LOOKUP(2,1/((HISTORIAL!$O$3:$O$532=D534&amp;"|"&amp;E534)*(HISTORIAL!$F$3:$F$532&gt;0)),HISTORIAL!$F$3:$F$532),0))&gt;=2,IF(IFERROR(LOOKUP(2,1/((HISTORIAL!$O$3:$O$532=D534&amp;"|"&amp;E534)*(HISTORIAL!$F$3:$F$532&gt;0)),HISTORIAL!$G$3:$G$532),0)&gt;0,IF(F534&gt;0,IF(G534&lt;=IFERROR(LOOKUP(2,1/((HISTORIAL!$O$3:$O$532=D534&amp;"|"&amp;E534)*(HISTORIAL!$F$3:$F$532&gt;0)),HISTORIAL!$G$3:$G$532),0),1,0),0),0),0))</f>
        <v>0</v>
      </c>
    </row>
    <row r="535" spans="1:15" ht="14.1" customHeight="1">
      <c r="A535" s="37">
        <v>9</v>
      </c>
      <c r="B535" s="37" t="s">
        <v>279</v>
      </c>
      <c r="C535" s="37">
        <v>6</v>
      </c>
      <c r="D535" s="56" t="str">
        <f>MIERCOLES!$A$194</f>
        <v>Extension Cuadriceps</v>
      </c>
      <c r="E535" s="57" t="str">
        <f>MIERCOLES!$B$194</f>
        <v>Vasto Externo</v>
      </c>
      <c r="F535" s="37" t="str">
        <f>MIERCOLES!$C$194</f>
        <v>--</v>
      </c>
      <c r="G535" s="37" t="str">
        <f>IFERROR(LOOKUP(2,1/((HISTORIAL!$O$3:$O$533=D535&amp;"|"&amp;E535)*(HISTORIAL!$F$3:$F$533&lt;&gt;"")),HISTORIAL!$F$3:$F$533),"")</f>
        <v/>
      </c>
      <c r="H535" s="37" t="str">
        <f>IFERROR(LOOKUP(2,1/((HISTORIAL!$O$3:$O$533=D535&amp;"|"&amp;E535)*(HISTORIAL!$F$3:$F$533&lt;&gt;"")),HISTORIAL!$G$3:$G$533),"")</f>
        <v/>
      </c>
      <c r="I535" s="37" t="str">
        <f>IFERROR(LOOKUP(2,1/((HISTORIAL!$O$3:$O$533=D535&amp;"|"&amp;E535)*(HISTORIAL!$F$3:$F$533&lt;&gt;"")),HISTORIAL!$H$3:$H$533),"")</f>
        <v/>
      </c>
      <c r="J535" s="37" t="str">
        <f>IFERROR(LOOKUP(2,1/((HISTORIAL!$O$3:$O$533=D535&amp;"|"&amp;E535)*(HISTORIAL!$F$3:$F$533&lt;&gt;"")),HISTORIAL!$I$3:$I$533),"")</f>
        <v/>
      </c>
      <c r="K535" s="58" t="str">
        <f>IFERROR(IF(OR(G535="",N535="SIN"),"--",IF(N535="SUBIR_F",IF(F535="polea",IFERROR(INDEX(CONFIG!$B$25:$B$40,MATCH(G535,CONFIG!$B$25:$B$40,0)+2),IFERROR(INDEX(CONFIG!$B$25:$B$40,MATCH(G535,CONFIG!$B$25:$B$40,0)+1),G535)),G535+5),IF(OR(N535="SUBIR",N535="SUBIR_E"),IF(F535="polea",IFERROR(INDEX(CONFIG!$B$25:$B$40,MATCH(G535,CONFIG!$B$25:$B$40,0)+1),G535),G535+2.5),IF(N535="BAJAR",IF(F535="polea",IFERROR(INDEX(CONFIG!$B$25:$B$40,MAX(1,MATCH(G535,CONFIG!$B$25:$B$40,0)-1)),G535),MAX(0,G535-2.5)),G535)))),"--")</f>
        <v>--</v>
      </c>
      <c r="L535" s="59" t="str">
        <f>IFERROR(IF(N535="SIN","--",IF(N535="MANT",IF(H535="","--",H535+1),IFERROR(VLOOKUP(CONFIG!$E$2,CONFIG!$A$6:$E$8,2,0),"--"))),"--")</f>
        <v>--</v>
      </c>
      <c r="M535" s="59" t="str">
        <f>IFERROR(IF(N535="SIN","--",IF(CONFIG!$E$2="HIP",2,IF(CONFIG!$E$2="FUE",1,2))),"--")</f>
        <v>--</v>
      </c>
      <c r="N535" s="53" t="str">
        <f>IFERROR(IF(G535="","SIN",IF(O535=1,"SUBIR_E",IF(H535&lt;IFERROR(VLOOKUP(CONFIG!$E$2,CONFIG!$A$6:$E$8,2,0),6),"BAJAR",IF(H535+I535&gt;=IFERROR(VLOOKUP(CONFIG!$E$2,CONFIG!$A$6:$E$8,3,0),12),"SUBIR_F",IF(AND(H535&gt;=IFERROR(VLOOKUP(CONFIG!$E$2,CONFIG!$A$6:$E$8,2,0),6)+2,I535&gt;=2),"SUBIR",IF(I535&gt;IFERROR(VLOOKUP(CONFIG!$E$2,CONFIG!$A$6:$E$8,5,0),3),"SUBIR","MANT")))))),"SIN")</f>
        <v>SIN</v>
      </c>
      <c r="O535" s="55">
        <f>IF(COUNTIFS(HISTORIAL!$O$3:$O$533,D535&amp;"|"&amp;E535,HISTORIAL!$F$3:$F$533,"&gt;0")&lt;2,0,IF(COUNTIFS(HISTORIAL!$O$3:$O$533,D535&amp;"|"&amp;E535,HISTORIAL!$F$3:$F$533,IFERROR(LOOKUP(2,1/((HISTORIAL!$O$3:$O$533=D535&amp;"|"&amp;E535)*(HISTORIAL!$F$3:$F$533&gt;0)),HISTORIAL!$F$3:$F$533),0))&gt;=2,IF(IFERROR(LOOKUP(2,1/((HISTORIAL!$O$3:$O$533=D535&amp;"|"&amp;E535)*(HISTORIAL!$F$3:$F$533&gt;0)),HISTORIAL!$G$3:$G$533),0)&gt;0,IF(F535&gt;0,IF(G535&lt;=IFERROR(LOOKUP(2,1/((HISTORIAL!$O$3:$O$533=D535&amp;"|"&amp;E535)*(HISTORIAL!$F$3:$F$533&gt;0)),HISTORIAL!$G$3:$G$533),0),1,0),0),0),0))</f>
        <v>0</v>
      </c>
    </row>
    <row r="536" spans="1:15" ht="14.1" customHeight="1">
      <c r="A536" s="37">
        <v>9</v>
      </c>
      <c r="B536" s="37" t="s">
        <v>279</v>
      </c>
      <c r="C536" s="37">
        <v>7</v>
      </c>
      <c r="D536" s="56" t="str">
        <f>MIERCOLES!$A$195</f>
        <v>Extension Cuadriceps</v>
      </c>
      <c r="E536" s="57" t="str">
        <f>MIERCOLES!$B$195</f>
        <v>Vasto Interno</v>
      </c>
      <c r="F536" s="37" t="str">
        <f>MIERCOLES!$C$195</f>
        <v>--</v>
      </c>
      <c r="G536" s="37" t="str">
        <f>IFERROR(LOOKUP(2,1/((HISTORIAL!$O$3:$O$534=D536&amp;"|"&amp;E536)*(HISTORIAL!$F$3:$F$534&lt;&gt;"")),HISTORIAL!$F$3:$F$534),"")</f>
        <v/>
      </c>
      <c r="H536" s="37" t="str">
        <f>IFERROR(LOOKUP(2,1/((HISTORIAL!$O$3:$O$534=D536&amp;"|"&amp;E536)*(HISTORIAL!$F$3:$F$534&lt;&gt;"")),HISTORIAL!$G$3:$G$534),"")</f>
        <v/>
      </c>
      <c r="I536" s="37" t="str">
        <f>IFERROR(LOOKUP(2,1/((HISTORIAL!$O$3:$O$534=D536&amp;"|"&amp;E536)*(HISTORIAL!$F$3:$F$534&lt;&gt;"")),HISTORIAL!$H$3:$H$534),"")</f>
        <v/>
      </c>
      <c r="J536" s="37" t="str">
        <f>IFERROR(LOOKUP(2,1/((HISTORIAL!$O$3:$O$534=D536&amp;"|"&amp;E536)*(HISTORIAL!$F$3:$F$534&lt;&gt;"")),HISTORIAL!$I$3:$I$534),"")</f>
        <v/>
      </c>
      <c r="K536" s="58" t="str">
        <f>IFERROR(IF(OR(G536="",N536="SIN"),"--",IF(N536="SUBIR_F",IF(F536="polea",IFERROR(INDEX(CONFIG!$B$25:$B$40,MATCH(G536,CONFIG!$B$25:$B$40,0)+2),IFERROR(INDEX(CONFIG!$B$25:$B$40,MATCH(G536,CONFIG!$B$25:$B$40,0)+1),G536)),G536+5),IF(OR(N536="SUBIR",N536="SUBIR_E"),IF(F536="polea",IFERROR(INDEX(CONFIG!$B$25:$B$40,MATCH(G536,CONFIG!$B$25:$B$40,0)+1),G536),G536+2.5),IF(N536="BAJAR",IF(F536="polea",IFERROR(INDEX(CONFIG!$B$25:$B$40,MAX(1,MATCH(G536,CONFIG!$B$25:$B$40,0)-1)),G536),MAX(0,G536-2.5)),G536)))),"--")</f>
        <v>--</v>
      </c>
      <c r="L536" s="59" t="str">
        <f>IFERROR(IF(N536="SIN","--",IF(N536="MANT",IF(H536="","--",H536+1),IFERROR(VLOOKUP(CONFIG!$E$2,CONFIG!$A$6:$E$8,2,0),"--"))),"--")</f>
        <v>--</v>
      </c>
      <c r="M536" s="59" t="str">
        <f>IFERROR(IF(N536="SIN","--",IF(CONFIG!$E$2="HIP",2,IF(CONFIG!$E$2="FUE",1,2))),"--")</f>
        <v>--</v>
      </c>
      <c r="N536" s="53" t="str">
        <f>IFERROR(IF(G536="","SIN",IF(O536=1,"SUBIR_E",IF(H536&lt;IFERROR(VLOOKUP(CONFIG!$E$2,CONFIG!$A$6:$E$8,2,0),6),"BAJAR",IF(H536+I536&gt;=IFERROR(VLOOKUP(CONFIG!$E$2,CONFIG!$A$6:$E$8,3,0),12),"SUBIR_F",IF(AND(H536&gt;=IFERROR(VLOOKUP(CONFIG!$E$2,CONFIG!$A$6:$E$8,2,0),6)+2,I536&gt;=2),"SUBIR",IF(I536&gt;IFERROR(VLOOKUP(CONFIG!$E$2,CONFIG!$A$6:$E$8,5,0),3),"SUBIR","MANT")))))),"SIN")</f>
        <v>SIN</v>
      </c>
      <c r="O536" s="55">
        <f>IF(COUNTIFS(HISTORIAL!$O$3:$O$534,D536&amp;"|"&amp;E536,HISTORIAL!$F$3:$F$534,"&gt;0")&lt;2,0,IF(COUNTIFS(HISTORIAL!$O$3:$O$534,D536&amp;"|"&amp;E536,HISTORIAL!$F$3:$F$534,IFERROR(LOOKUP(2,1/((HISTORIAL!$O$3:$O$534=D536&amp;"|"&amp;E536)*(HISTORIAL!$F$3:$F$534&gt;0)),HISTORIAL!$F$3:$F$534),0))&gt;=2,IF(IFERROR(LOOKUP(2,1/((HISTORIAL!$O$3:$O$534=D536&amp;"|"&amp;E536)*(HISTORIAL!$F$3:$F$534&gt;0)),HISTORIAL!$G$3:$G$534),0)&gt;0,IF(F536&gt;0,IF(G536&lt;=IFERROR(LOOKUP(2,1/((HISTORIAL!$O$3:$O$534=D536&amp;"|"&amp;E536)*(HISTORIAL!$F$3:$F$534&gt;0)),HISTORIAL!$G$3:$G$534),0),1,0),0),0),0))</f>
        <v>0</v>
      </c>
    </row>
    <row r="537" spans="1:15" ht="14.1" customHeight="1">
      <c r="A537" s="37">
        <v>9</v>
      </c>
      <c r="B537" s="37" t="s">
        <v>279</v>
      </c>
      <c r="C537" s="37">
        <v>8</v>
      </c>
      <c r="D537" s="56" t="str">
        <f>MIERCOLES!$A$197</f>
        <v>Elevacion Gemelo</v>
      </c>
      <c r="E537" s="57" t="str">
        <f>MIERCOLES!$B$197</f>
        <v>Sentado</v>
      </c>
      <c r="F537" s="37" t="str">
        <f>MIERCOLES!$C$197</f>
        <v>disco</v>
      </c>
      <c r="G537" s="37" t="str">
        <f>IFERROR(LOOKUP(2,1/((HISTORIAL!$O$3:$O$535=D537&amp;"|"&amp;E537)*(HISTORIAL!$F$3:$F$535&lt;&gt;"")),HISTORIAL!$F$3:$F$535),"")</f>
        <v/>
      </c>
      <c r="H537" s="37" t="str">
        <f>IFERROR(LOOKUP(2,1/((HISTORIAL!$O$3:$O$535=D537&amp;"|"&amp;E537)*(HISTORIAL!$F$3:$F$535&lt;&gt;"")),HISTORIAL!$G$3:$G$535),"")</f>
        <v/>
      </c>
      <c r="I537" s="37" t="str">
        <f>IFERROR(LOOKUP(2,1/((HISTORIAL!$O$3:$O$535=D537&amp;"|"&amp;E537)*(HISTORIAL!$F$3:$F$535&lt;&gt;"")),HISTORIAL!$H$3:$H$535),"")</f>
        <v/>
      </c>
      <c r="J537" s="37" t="str">
        <f>IFERROR(LOOKUP(2,1/((HISTORIAL!$O$3:$O$535=D537&amp;"|"&amp;E537)*(HISTORIAL!$F$3:$F$535&lt;&gt;"")),HISTORIAL!$I$3:$I$535),"")</f>
        <v/>
      </c>
      <c r="K537" s="58" t="str">
        <f>IFERROR(IF(OR(G537="",N537="SIN"),"--",IF(N537="SUBIR_F",IF(F537="polea",IFERROR(INDEX(CONFIG!$B$25:$B$40,MATCH(G537,CONFIG!$B$25:$B$40,0)+2),IFERROR(INDEX(CONFIG!$B$25:$B$40,MATCH(G537,CONFIG!$B$25:$B$40,0)+1),G537)),G537+5),IF(OR(N537="SUBIR",N537="SUBIR_E"),IF(F537="polea",IFERROR(INDEX(CONFIG!$B$25:$B$40,MATCH(G537,CONFIG!$B$25:$B$40,0)+1),G537),G537+2.5),IF(N537="BAJAR",IF(F537="polea",IFERROR(INDEX(CONFIG!$B$25:$B$40,MAX(1,MATCH(G537,CONFIG!$B$25:$B$40,0)-1)),G537),MAX(0,G537-2.5)),G537)))),"--")</f>
        <v>--</v>
      </c>
      <c r="L537" s="59" t="str">
        <f>IFERROR(IF(N537="SIN","--",IF(N537="MANT",IF(H537="","--",H537+1),IFERROR(VLOOKUP(CONFIG!$E$2,CONFIG!$A$6:$E$8,2,0),"--"))),"--")</f>
        <v>--</v>
      </c>
      <c r="M537" s="59" t="str">
        <f>IFERROR(IF(N537="SIN","--",IF(CONFIG!$E$2="HIP",2,IF(CONFIG!$E$2="FUE",1,2))),"--")</f>
        <v>--</v>
      </c>
      <c r="N537" s="53" t="str">
        <f>IFERROR(IF(G537="","SIN",IF(O537=1,"SUBIR_E",IF(H537&lt;IFERROR(VLOOKUP(CONFIG!$E$2,CONFIG!$A$6:$E$8,2,0),6),"BAJAR",IF(H537+I537&gt;=IFERROR(VLOOKUP(CONFIG!$E$2,CONFIG!$A$6:$E$8,3,0),12),"SUBIR_F",IF(AND(H537&gt;=IFERROR(VLOOKUP(CONFIG!$E$2,CONFIG!$A$6:$E$8,2,0),6)+2,I537&gt;=2),"SUBIR",IF(I537&gt;IFERROR(VLOOKUP(CONFIG!$E$2,CONFIG!$A$6:$E$8,5,0),3),"SUBIR","MANT")))))),"SIN")</f>
        <v>SIN</v>
      </c>
      <c r="O537" s="55">
        <f>IF(COUNTIFS(HISTORIAL!$O$3:$O$535,D537&amp;"|"&amp;E537,HISTORIAL!$F$3:$F$535,"&gt;0")&lt;2,0,IF(COUNTIFS(HISTORIAL!$O$3:$O$535,D537&amp;"|"&amp;E537,HISTORIAL!$F$3:$F$535,IFERROR(LOOKUP(2,1/((HISTORIAL!$O$3:$O$535=D537&amp;"|"&amp;E537)*(HISTORIAL!$F$3:$F$535&gt;0)),HISTORIAL!$F$3:$F$535),0))&gt;=2,IF(IFERROR(LOOKUP(2,1/((HISTORIAL!$O$3:$O$535=D537&amp;"|"&amp;E537)*(HISTORIAL!$F$3:$F$535&gt;0)),HISTORIAL!$G$3:$G$535),0)&gt;0,IF(F537&gt;0,IF(G537&lt;=IFERROR(LOOKUP(2,1/((HISTORIAL!$O$3:$O$535=D537&amp;"|"&amp;E537)*(HISTORIAL!$F$3:$F$535&gt;0)),HISTORIAL!$G$3:$G$535),0),1,0),0),0),0))</f>
        <v>0</v>
      </c>
    </row>
    <row r="538" spans="1:15" ht="14.1" customHeight="1">
      <c r="A538" s="37">
        <v>9</v>
      </c>
      <c r="B538" s="37" t="s">
        <v>279</v>
      </c>
      <c r="C538" s="37">
        <v>9</v>
      </c>
      <c r="D538" s="56" t="str">
        <f>MIERCOLES!$A$198</f>
        <v>Elevacion Gemelo</v>
      </c>
      <c r="E538" s="57" t="str">
        <f>MIERCOLES!$B$198</f>
        <v>De Pie</v>
      </c>
      <c r="F538" s="37" t="str">
        <f>MIERCOLES!$C$198</f>
        <v>disco</v>
      </c>
      <c r="G538" s="37" t="str">
        <f>IFERROR(LOOKUP(2,1/((HISTORIAL!$O$3:$O$536=D538&amp;"|"&amp;E538)*(HISTORIAL!$F$3:$F$536&lt;&gt;"")),HISTORIAL!$F$3:$F$536),"")</f>
        <v/>
      </c>
      <c r="H538" s="37" t="str">
        <f>IFERROR(LOOKUP(2,1/((HISTORIAL!$O$3:$O$536=D538&amp;"|"&amp;E538)*(HISTORIAL!$F$3:$F$536&lt;&gt;"")),HISTORIAL!$G$3:$G$536),"")</f>
        <v/>
      </c>
      <c r="I538" s="37" t="str">
        <f>IFERROR(LOOKUP(2,1/((HISTORIAL!$O$3:$O$536=D538&amp;"|"&amp;E538)*(HISTORIAL!$F$3:$F$536&lt;&gt;"")),HISTORIAL!$H$3:$H$536),"")</f>
        <v/>
      </c>
      <c r="J538" s="37" t="str">
        <f>IFERROR(LOOKUP(2,1/((HISTORIAL!$O$3:$O$536=D538&amp;"|"&amp;E538)*(HISTORIAL!$F$3:$F$536&lt;&gt;"")),HISTORIAL!$I$3:$I$536),"")</f>
        <v/>
      </c>
      <c r="K538" s="58" t="str">
        <f>IFERROR(IF(OR(G538="",N538="SIN"),"--",IF(N538="SUBIR_F",IF(F538="polea",IFERROR(INDEX(CONFIG!$B$25:$B$40,MATCH(G538,CONFIG!$B$25:$B$40,0)+2),IFERROR(INDEX(CONFIG!$B$25:$B$40,MATCH(G538,CONFIG!$B$25:$B$40,0)+1),G538)),G538+5),IF(OR(N538="SUBIR",N538="SUBIR_E"),IF(F538="polea",IFERROR(INDEX(CONFIG!$B$25:$B$40,MATCH(G538,CONFIG!$B$25:$B$40,0)+1),G538),G538+2.5),IF(N538="BAJAR",IF(F538="polea",IFERROR(INDEX(CONFIG!$B$25:$B$40,MAX(1,MATCH(G538,CONFIG!$B$25:$B$40,0)-1)),G538),MAX(0,G538-2.5)),G538)))),"--")</f>
        <v>--</v>
      </c>
      <c r="L538" s="59" t="str">
        <f>IFERROR(IF(N538="SIN","--",IF(N538="MANT",IF(H538="","--",H538+1),IFERROR(VLOOKUP(CONFIG!$E$2,CONFIG!$A$6:$E$8,2,0),"--"))),"--")</f>
        <v>--</v>
      </c>
      <c r="M538" s="59" t="str">
        <f>IFERROR(IF(N538="SIN","--",IF(CONFIG!$E$2="HIP",2,IF(CONFIG!$E$2="FUE",1,2))),"--")</f>
        <v>--</v>
      </c>
      <c r="N538" s="53" t="str">
        <f>IFERROR(IF(G538="","SIN",IF(O538=1,"SUBIR_E",IF(H538&lt;IFERROR(VLOOKUP(CONFIG!$E$2,CONFIG!$A$6:$E$8,2,0),6),"BAJAR",IF(H538+I538&gt;=IFERROR(VLOOKUP(CONFIG!$E$2,CONFIG!$A$6:$E$8,3,0),12),"SUBIR_F",IF(AND(H538&gt;=IFERROR(VLOOKUP(CONFIG!$E$2,CONFIG!$A$6:$E$8,2,0),6)+2,I538&gt;=2),"SUBIR",IF(I538&gt;IFERROR(VLOOKUP(CONFIG!$E$2,CONFIG!$A$6:$E$8,5,0),3),"SUBIR","MANT")))))),"SIN")</f>
        <v>SIN</v>
      </c>
      <c r="O538" s="55">
        <f>IF(COUNTIFS(HISTORIAL!$O$3:$O$536,D538&amp;"|"&amp;E538,HISTORIAL!$F$3:$F$536,"&gt;0")&lt;2,0,IF(COUNTIFS(HISTORIAL!$O$3:$O$536,D538&amp;"|"&amp;E538,HISTORIAL!$F$3:$F$536,IFERROR(LOOKUP(2,1/((HISTORIAL!$O$3:$O$536=D538&amp;"|"&amp;E538)*(HISTORIAL!$F$3:$F$536&gt;0)),HISTORIAL!$F$3:$F$536),0))&gt;=2,IF(IFERROR(LOOKUP(2,1/((HISTORIAL!$O$3:$O$536=D538&amp;"|"&amp;E538)*(HISTORIAL!$F$3:$F$536&gt;0)),HISTORIAL!$G$3:$G$536),0)&gt;0,IF(F538&gt;0,IF(G538&lt;=IFERROR(LOOKUP(2,1/((HISTORIAL!$O$3:$O$536=D538&amp;"|"&amp;E538)*(HISTORIAL!$F$3:$F$536&gt;0)),HISTORIAL!$G$3:$G$536),0),1,0),0),0),0))</f>
        <v>0</v>
      </c>
    </row>
    <row r="539" spans="1:15" ht="14.1" customHeight="1">
      <c r="A539" s="37">
        <v>9</v>
      </c>
      <c r="B539" s="37" t="s">
        <v>279</v>
      </c>
      <c r="C539" s="37">
        <v>10</v>
      </c>
      <c r="D539" s="56" t="str">
        <f>MIERCOLES!$A$200</f>
        <v>Hiperextension</v>
      </c>
      <c r="E539" s="57" t="str">
        <f>MIERCOLES!$B$200</f>
        <v>Banco Romano</v>
      </c>
      <c r="F539" s="37" t="str">
        <f>MIERCOLES!$C$200</f>
        <v>peso_corporal</v>
      </c>
      <c r="G539" s="37" t="str">
        <f>IFERROR(LOOKUP(2,1/((HISTORIAL!$O$3:$O$537=D539&amp;"|"&amp;E539)*(HISTORIAL!$F$3:$F$537&lt;&gt;"")),HISTORIAL!$F$3:$F$537),"")</f>
        <v/>
      </c>
      <c r="H539" s="37" t="str">
        <f>IFERROR(LOOKUP(2,1/((HISTORIAL!$O$3:$O$537=D539&amp;"|"&amp;E539)*(HISTORIAL!$F$3:$F$537&lt;&gt;"")),HISTORIAL!$G$3:$G$537),"")</f>
        <v/>
      </c>
      <c r="I539" s="37" t="str">
        <f>IFERROR(LOOKUP(2,1/((HISTORIAL!$O$3:$O$537=D539&amp;"|"&amp;E539)*(HISTORIAL!$F$3:$F$537&lt;&gt;"")),HISTORIAL!$H$3:$H$537),"")</f>
        <v/>
      </c>
      <c r="J539" s="37" t="str">
        <f>IFERROR(LOOKUP(2,1/((HISTORIAL!$O$3:$O$537=D539&amp;"|"&amp;E539)*(HISTORIAL!$F$3:$F$537&lt;&gt;"")),HISTORIAL!$I$3:$I$537),"")</f>
        <v/>
      </c>
      <c r="K539" s="58" t="str">
        <f>IFERROR(IF(OR(G539="",N539="SIN"),"--",IF(N539="SUBIR_F",IF(F539="polea",IFERROR(INDEX(CONFIG!$B$25:$B$40,MATCH(G539,CONFIG!$B$25:$B$40,0)+2),IFERROR(INDEX(CONFIG!$B$25:$B$40,MATCH(G539,CONFIG!$B$25:$B$40,0)+1),G539)),G539+5),IF(OR(N539="SUBIR",N539="SUBIR_E"),IF(F539="polea",IFERROR(INDEX(CONFIG!$B$25:$B$40,MATCH(G539,CONFIG!$B$25:$B$40,0)+1),G539),G539+2.5),IF(N539="BAJAR",IF(F539="polea",IFERROR(INDEX(CONFIG!$B$25:$B$40,MAX(1,MATCH(G539,CONFIG!$B$25:$B$40,0)-1)),G539),MAX(0,G539-2.5)),G539)))),"--")</f>
        <v>--</v>
      </c>
      <c r="L539" s="59" t="str">
        <f>IFERROR(IF(N539="SIN","--",IF(N539="MANT",IF(H539="","--",H539+1),IFERROR(VLOOKUP(CONFIG!$E$2,CONFIG!$A$6:$E$8,2,0),"--"))),"--")</f>
        <v>--</v>
      </c>
      <c r="M539" s="59" t="str">
        <f>IFERROR(IF(N539="SIN","--",IF(CONFIG!$E$2="HIP",2,IF(CONFIG!$E$2="FUE",1,2))),"--")</f>
        <v>--</v>
      </c>
      <c r="N539" s="53" t="str">
        <f>IFERROR(IF(G539="","SIN",IF(O539=1,"SUBIR_E",IF(H539&lt;IFERROR(VLOOKUP(CONFIG!$E$2,CONFIG!$A$6:$E$8,2,0),6),"BAJAR",IF(H539+I539&gt;=IFERROR(VLOOKUP(CONFIG!$E$2,CONFIG!$A$6:$E$8,3,0),12),"SUBIR_F",IF(AND(H539&gt;=IFERROR(VLOOKUP(CONFIG!$E$2,CONFIG!$A$6:$E$8,2,0),6)+2,I539&gt;=2),"SUBIR",IF(I539&gt;IFERROR(VLOOKUP(CONFIG!$E$2,CONFIG!$A$6:$E$8,5,0),3),"SUBIR","MANT")))))),"SIN")</f>
        <v>SIN</v>
      </c>
      <c r="O539" s="55">
        <f>IF(COUNTIFS(HISTORIAL!$O$3:$O$537,D539&amp;"|"&amp;E539,HISTORIAL!$F$3:$F$537,"&gt;0")&lt;2,0,IF(COUNTIFS(HISTORIAL!$O$3:$O$537,D539&amp;"|"&amp;E539,HISTORIAL!$F$3:$F$537,IFERROR(LOOKUP(2,1/((HISTORIAL!$O$3:$O$537=D539&amp;"|"&amp;E539)*(HISTORIAL!$F$3:$F$537&gt;0)),HISTORIAL!$F$3:$F$537),0))&gt;=2,IF(IFERROR(LOOKUP(2,1/((HISTORIAL!$O$3:$O$537=D539&amp;"|"&amp;E539)*(HISTORIAL!$F$3:$F$537&gt;0)),HISTORIAL!$G$3:$G$537),0)&gt;0,IF(F539&gt;0,IF(G539&lt;=IFERROR(LOOKUP(2,1/((HISTORIAL!$O$3:$O$537=D539&amp;"|"&amp;E539)*(HISTORIAL!$F$3:$F$537&gt;0)),HISTORIAL!$G$3:$G$537),0),1,0),0),0),0))</f>
        <v>0</v>
      </c>
    </row>
    <row r="540" spans="1:15" ht="14.1" customHeight="1">
      <c r="A540" s="37">
        <v>9</v>
      </c>
      <c r="B540" s="37" t="s">
        <v>279</v>
      </c>
      <c r="C540" s="37">
        <v>11</v>
      </c>
      <c r="D540" s="56" t="str">
        <f>MIERCOLES!$A$201</f>
        <v>Peso Muerto Parcial</v>
      </c>
      <c r="E540" s="57" t="str">
        <f>MIERCOLES!$B$201</f>
        <v>Barra</v>
      </c>
      <c r="F540" s="37" t="str">
        <f>MIERCOLES!$C$201</f>
        <v>disco</v>
      </c>
      <c r="G540" s="37" t="str">
        <f>IFERROR(LOOKUP(2,1/((HISTORIAL!$O$3:$O$538=D540&amp;"|"&amp;E540)*(HISTORIAL!$F$3:$F$538&lt;&gt;"")),HISTORIAL!$F$3:$F$538),"")</f>
        <v/>
      </c>
      <c r="H540" s="37" t="str">
        <f>IFERROR(LOOKUP(2,1/((HISTORIAL!$O$3:$O$538=D540&amp;"|"&amp;E540)*(HISTORIAL!$F$3:$F$538&lt;&gt;"")),HISTORIAL!$G$3:$G$538),"")</f>
        <v/>
      </c>
      <c r="I540" s="37" t="str">
        <f>IFERROR(LOOKUP(2,1/((HISTORIAL!$O$3:$O$538=D540&amp;"|"&amp;E540)*(HISTORIAL!$F$3:$F$538&lt;&gt;"")),HISTORIAL!$H$3:$H$538),"")</f>
        <v/>
      </c>
      <c r="J540" s="37" t="str">
        <f>IFERROR(LOOKUP(2,1/((HISTORIAL!$O$3:$O$538=D540&amp;"|"&amp;E540)*(HISTORIAL!$F$3:$F$538&lt;&gt;"")),HISTORIAL!$I$3:$I$538),"")</f>
        <v/>
      </c>
      <c r="K540" s="58" t="str">
        <f>IFERROR(IF(OR(G540="",N540="SIN"),"--",IF(N540="SUBIR_F",IF(F540="polea",IFERROR(INDEX(CONFIG!$B$25:$B$40,MATCH(G540,CONFIG!$B$25:$B$40,0)+2),IFERROR(INDEX(CONFIG!$B$25:$B$40,MATCH(G540,CONFIG!$B$25:$B$40,0)+1),G540)),G540+5),IF(OR(N540="SUBIR",N540="SUBIR_E"),IF(F540="polea",IFERROR(INDEX(CONFIG!$B$25:$B$40,MATCH(G540,CONFIG!$B$25:$B$40,0)+1),G540),G540+2.5),IF(N540="BAJAR",IF(F540="polea",IFERROR(INDEX(CONFIG!$B$25:$B$40,MAX(1,MATCH(G540,CONFIG!$B$25:$B$40,0)-1)),G540),MAX(0,G540-2.5)),G540)))),"--")</f>
        <v>--</v>
      </c>
      <c r="L540" s="59" t="str">
        <f>IFERROR(IF(N540="SIN","--",IF(N540="MANT",IF(H540="","--",H540+1),IFERROR(VLOOKUP(CONFIG!$E$2,CONFIG!$A$6:$E$8,2,0),"--"))),"--")</f>
        <v>--</v>
      </c>
      <c r="M540" s="59" t="str">
        <f>IFERROR(IF(N540="SIN","--",IF(CONFIG!$E$2="HIP",2,IF(CONFIG!$E$2="FUE",1,2))),"--")</f>
        <v>--</v>
      </c>
      <c r="N540" s="53" t="str">
        <f>IFERROR(IF(G540="","SIN",IF(O540=1,"SUBIR_E",IF(H540&lt;IFERROR(VLOOKUP(CONFIG!$E$2,CONFIG!$A$6:$E$8,2,0),6),"BAJAR",IF(H540+I540&gt;=IFERROR(VLOOKUP(CONFIG!$E$2,CONFIG!$A$6:$E$8,3,0),12),"SUBIR_F",IF(AND(H540&gt;=IFERROR(VLOOKUP(CONFIG!$E$2,CONFIG!$A$6:$E$8,2,0),6)+2,I540&gt;=2),"SUBIR",IF(I540&gt;IFERROR(VLOOKUP(CONFIG!$E$2,CONFIG!$A$6:$E$8,5,0),3),"SUBIR","MANT")))))),"SIN")</f>
        <v>SIN</v>
      </c>
      <c r="O540" s="55">
        <f>IF(COUNTIFS(HISTORIAL!$O$3:$O$538,D540&amp;"|"&amp;E540,HISTORIAL!$F$3:$F$538,"&gt;0")&lt;2,0,IF(COUNTIFS(HISTORIAL!$O$3:$O$538,D540&amp;"|"&amp;E540,HISTORIAL!$F$3:$F$538,IFERROR(LOOKUP(2,1/((HISTORIAL!$O$3:$O$538=D540&amp;"|"&amp;E540)*(HISTORIAL!$F$3:$F$538&gt;0)),HISTORIAL!$F$3:$F$538),0))&gt;=2,IF(IFERROR(LOOKUP(2,1/((HISTORIAL!$O$3:$O$538=D540&amp;"|"&amp;E540)*(HISTORIAL!$F$3:$F$538&gt;0)),HISTORIAL!$G$3:$G$538),0)&gt;0,IF(F540&gt;0,IF(G540&lt;=IFERROR(LOOKUP(2,1/((HISTORIAL!$O$3:$O$538=D540&amp;"|"&amp;E540)*(HISTORIAL!$F$3:$F$538&gt;0)),HISTORIAL!$G$3:$G$538),0),1,0),0),0),0))</f>
        <v>0</v>
      </c>
    </row>
    <row r="541" spans="1:15" ht="14.1" customHeight="1">
      <c r="A541" s="37">
        <v>9</v>
      </c>
      <c r="B541" s="37" t="s">
        <v>279</v>
      </c>
      <c r="C541" s="37">
        <v>12</v>
      </c>
      <c r="D541" s="56" t="str">
        <f>MIERCOLES!$A$203</f>
        <v>Crunch</v>
      </c>
      <c r="E541" s="57" t="str">
        <f>MIERCOLES!$B$203</f>
        <v>Polea</v>
      </c>
      <c r="F541" s="37" t="str">
        <f>MIERCOLES!$C$203</f>
        <v>polea</v>
      </c>
      <c r="G541" s="37" t="str">
        <f>IFERROR(LOOKUP(2,1/((HISTORIAL!$O$3:$O$539=D541&amp;"|"&amp;E541)*(HISTORIAL!$F$3:$F$539&lt;&gt;"")),HISTORIAL!$F$3:$F$539),"")</f>
        <v/>
      </c>
      <c r="H541" s="37" t="str">
        <f>IFERROR(LOOKUP(2,1/((HISTORIAL!$O$3:$O$539=D541&amp;"|"&amp;E541)*(HISTORIAL!$F$3:$F$539&lt;&gt;"")),HISTORIAL!$G$3:$G$539),"")</f>
        <v/>
      </c>
      <c r="I541" s="37" t="str">
        <f>IFERROR(LOOKUP(2,1/((HISTORIAL!$O$3:$O$539=D541&amp;"|"&amp;E541)*(HISTORIAL!$F$3:$F$539&lt;&gt;"")),HISTORIAL!$H$3:$H$539),"")</f>
        <v/>
      </c>
      <c r="J541" s="37" t="str">
        <f>IFERROR(LOOKUP(2,1/((HISTORIAL!$O$3:$O$539=D541&amp;"|"&amp;E541)*(HISTORIAL!$F$3:$F$539&lt;&gt;"")),HISTORIAL!$I$3:$I$539),"")</f>
        <v/>
      </c>
      <c r="K541" s="58" t="str">
        <f>IFERROR(IF(OR(G541="",N541="SIN"),"--",IF(N541="SUBIR_F",IF(F541="polea",IFERROR(INDEX(CONFIG!$B$25:$B$40,MATCH(G541,CONFIG!$B$25:$B$40,0)+2),IFERROR(INDEX(CONFIG!$B$25:$B$40,MATCH(G541,CONFIG!$B$25:$B$40,0)+1),G541)),G541+5),IF(OR(N541="SUBIR",N541="SUBIR_E"),IF(F541="polea",IFERROR(INDEX(CONFIG!$B$25:$B$40,MATCH(G541,CONFIG!$B$25:$B$40,0)+1),G541),G541+2.5),IF(N541="BAJAR",IF(F541="polea",IFERROR(INDEX(CONFIG!$B$25:$B$40,MAX(1,MATCH(G541,CONFIG!$B$25:$B$40,0)-1)),G541),MAX(0,G541-2.5)),G541)))),"--")</f>
        <v>--</v>
      </c>
      <c r="L541" s="59" t="str">
        <f>IFERROR(IF(N541="SIN","--",IF(N541="MANT",IF(H541="","--",H541+1),IFERROR(VLOOKUP(CONFIG!$E$2,CONFIG!$A$6:$E$8,2,0),"--"))),"--")</f>
        <v>--</v>
      </c>
      <c r="M541" s="59" t="str">
        <f>IFERROR(IF(N541="SIN","--",IF(CONFIG!$E$2="HIP",2,IF(CONFIG!$E$2="FUE",1,2))),"--")</f>
        <v>--</v>
      </c>
      <c r="N541" s="53" t="str">
        <f>IFERROR(IF(G541="","SIN",IF(O541=1,"SUBIR_E",IF(H541&lt;IFERROR(VLOOKUP(CONFIG!$E$2,CONFIG!$A$6:$E$8,2,0),6),"BAJAR",IF(H541+I541&gt;=IFERROR(VLOOKUP(CONFIG!$E$2,CONFIG!$A$6:$E$8,3,0),12),"SUBIR_F",IF(AND(H541&gt;=IFERROR(VLOOKUP(CONFIG!$E$2,CONFIG!$A$6:$E$8,2,0),6)+2,I541&gt;=2),"SUBIR",IF(I541&gt;IFERROR(VLOOKUP(CONFIG!$E$2,CONFIG!$A$6:$E$8,5,0),3),"SUBIR","MANT")))))),"SIN")</f>
        <v>SIN</v>
      </c>
      <c r="O541" s="55">
        <f>IF(COUNTIFS(HISTORIAL!$O$3:$O$539,D541&amp;"|"&amp;E541,HISTORIAL!$F$3:$F$539,"&gt;0")&lt;2,0,IF(COUNTIFS(HISTORIAL!$O$3:$O$539,D541&amp;"|"&amp;E541,HISTORIAL!$F$3:$F$539,IFERROR(LOOKUP(2,1/((HISTORIAL!$O$3:$O$539=D541&amp;"|"&amp;E541)*(HISTORIAL!$F$3:$F$539&gt;0)),HISTORIAL!$F$3:$F$539),0))&gt;=2,IF(IFERROR(LOOKUP(2,1/((HISTORIAL!$O$3:$O$539=D541&amp;"|"&amp;E541)*(HISTORIAL!$F$3:$F$539&gt;0)),HISTORIAL!$G$3:$G$539),0)&gt;0,IF(F541&gt;0,IF(G541&lt;=IFERROR(LOOKUP(2,1/((HISTORIAL!$O$3:$O$539=D541&amp;"|"&amp;E541)*(HISTORIAL!$F$3:$F$539&gt;0)),HISTORIAL!$G$3:$G$539),0),1,0),0),0),0))</f>
        <v>0</v>
      </c>
    </row>
    <row r="542" spans="1:15" ht="14.1" customHeight="1">
      <c r="A542" s="37">
        <v>9</v>
      </c>
      <c r="B542" s="37" t="s">
        <v>279</v>
      </c>
      <c r="C542" s="37">
        <v>13</v>
      </c>
      <c r="D542" s="56" t="str">
        <f>MIERCOLES!$A$204</f>
        <v>Plancha</v>
      </c>
      <c r="E542" s="57" t="str">
        <f>MIERCOLES!$B$204</f>
        <v>Abdominal</v>
      </c>
      <c r="F542" s="37" t="str">
        <f>MIERCOLES!$C$204</f>
        <v>--</v>
      </c>
      <c r="G542" s="37" t="str">
        <f>IFERROR(LOOKUP(2,1/((HISTORIAL!$O$3:$O$540=D542&amp;"|"&amp;E542)*(HISTORIAL!$F$3:$F$540&lt;&gt;"")),HISTORIAL!$F$3:$F$540),"")</f>
        <v/>
      </c>
      <c r="H542" s="37" t="str">
        <f>IFERROR(LOOKUP(2,1/((HISTORIAL!$O$3:$O$540=D542&amp;"|"&amp;E542)*(HISTORIAL!$F$3:$F$540&lt;&gt;"")),HISTORIAL!$G$3:$G$540),"")</f>
        <v/>
      </c>
      <c r="I542" s="37" t="str">
        <f>IFERROR(LOOKUP(2,1/((HISTORIAL!$O$3:$O$540=D542&amp;"|"&amp;E542)*(HISTORIAL!$F$3:$F$540&lt;&gt;"")),HISTORIAL!$H$3:$H$540),"")</f>
        <v/>
      </c>
      <c r="J542" s="37" t="str">
        <f>IFERROR(LOOKUP(2,1/((HISTORIAL!$O$3:$O$540=D542&amp;"|"&amp;E542)*(HISTORIAL!$F$3:$F$540&lt;&gt;"")),HISTORIAL!$I$3:$I$540),"")</f>
        <v/>
      </c>
      <c r="K542" s="58" t="str">
        <f>IFERROR(IF(OR(G542="",N542="SIN"),"--",IF(N542="SUBIR_F",IF(F542="polea",IFERROR(INDEX(CONFIG!$B$25:$B$40,MATCH(G542,CONFIG!$B$25:$B$40,0)+2),IFERROR(INDEX(CONFIG!$B$25:$B$40,MATCH(G542,CONFIG!$B$25:$B$40,0)+1),G542)),G542+5),IF(OR(N542="SUBIR",N542="SUBIR_E"),IF(F542="polea",IFERROR(INDEX(CONFIG!$B$25:$B$40,MATCH(G542,CONFIG!$B$25:$B$40,0)+1),G542),G542+2.5),IF(N542="BAJAR",IF(F542="polea",IFERROR(INDEX(CONFIG!$B$25:$B$40,MAX(1,MATCH(G542,CONFIG!$B$25:$B$40,0)-1)),G542),MAX(0,G542-2.5)),G542)))),"--")</f>
        <v>--</v>
      </c>
      <c r="L542" s="59" t="str">
        <f>IFERROR(IF(N542="SIN","--",IF(N542="MANT",IF(H542="","--",H542+1),IFERROR(VLOOKUP(CONFIG!$E$2,CONFIG!$A$6:$E$8,2,0),"--"))),"--")</f>
        <v>--</v>
      </c>
      <c r="M542" s="59" t="str">
        <f>IFERROR(IF(N542="SIN","--",IF(CONFIG!$E$2="HIP",2,IF(CONFIG!$E$2="FUE",1,2))),"--")</f>
        <v>--</v>
      </c>
      <c r="N542" s="53" t="str">
        <f>IFERROR(IF(G542="","SIN",IF(O542=1,"SUBIR_E",IF(H542&lt;IFERROR(VLOOKUP(CONFIG!$E$2,CONFIG!$A$6:$E$8,2,0),6),"BAJAR",IF(H542+I542&gt;=IFERROR(VLOOKUP(CONFIG!$E$2,CONFIG!$A$6:$E$8,3,0),12),"SUBIR_F",IF(AND(H542&gt;=IFERROR(VLOOKUP(CONFIG!$E$2,CONFIG!$A$6:$E$8,2,0),6)+2,I542&gt;=2),"SUBIR",IF(I542&gt;IFERROR(VLOOKUP(CONFIG!$E$2,CONFIG!$A$6:$E$8,5,0),3),"SUBIR","MANT")))))),"SIN")</f>
        <v>SIN</v>
      </c>
      <c r="O542" s="55">
        <f>IF(COUNTIFS(HISTORIAL!$O$3:$O$540,D542&amp;"|"&amp;E542,HISTORIAL!$F$3:$F$540,"&gt;0")&lt;2,0,IF(COUNTIFS(HISTORIAL!$O$3:$O$540,D542&amp;"|"&amp;E542,HISTORIAL!$F$3:$F$540,IFERROR(LOOKUP(2,1/((HISTORIAL!$O$3:$O$540=D542&amp;"|"&amp;E542)*(HISTORIAL!$F$3:$F$540&gt;0)),HISTORIAL!$F$3:$F$540),0))&gt;=2,IF(IFERROR(LOOKUP(2,1/((HISTORIAL!$O$3:$O$540=D542&amp;"|"&amp;E542)*(HISTORIAL!$F$3:$F$540&gt;0)),HISTORIAL!$G$3:$G$540),0)&gt;0,IF(F542&gt;0,IF(G542&lt;=IFERROR(LOOKUP(2,1/((HISTORIAL!$O$3:$O$540=D542&amp;"|"&amp;E542)*(HISTORIAL!$F$3:$F$540&gt;0)),HISTORIAL!$G$3:$G$540),0),1,0),0),0),0))</f>
        <v>0</v>
      </c>
    </row>
    <row r="543" spans="1:15" ht="14.1" customHeight="1">
      <c r="A543" s="37">
        <v>9</v>
      </c>
      <c r="B543" s="37" t="s">
        <v>279</v>
      </c>
      <c r="C543" s="37">
        <v>14</v>
      </c>
      <c r="D543" s="56" t="str">
        <f>MIERCOLES!$A$205</f>
        <v>Rueda Abdominal</v>
      </c>
      <c r="E543" s="57" t="str">
        <f>MIERCOLES!$B$205</f>
        <v>Ab Wheel</v>
      </c>
      <c r="F543" s="37" t="str">
        <f>MIERCOLES!$C$205</f>
        <v>--</v>
      </c>
      <c r="G543" s="37" t="str">
        <f>IFERROR(LOOKUP(2,1/((HISTORIAL!$O$3:$O$541=D543&amp;"|"&amp;E543)*(HISTORIAL!$F$3:$F$541&lt;&gt;"")),HISTORIAL!$F$3:$F$541),"")</f>
        <v/>
      </c>
      <c r="H543" s="37" t="str">
        <f>IFERROR(LOOKUP(2,1/((HISTORIAL!$O$3:$O$541=D543&amp;"|"&amp;E543)*(HISTORIAL!$F$3:$F$541&lt;&gt;"")),HISTORIAL!$G$3:$G$541),"")</f>
        <v/>
      </c>
      <c r="I543" s="37" t="str">
        <f>IFERROR(LOOKUP(2,1/((HISTORIAL!$O$3:$O$541=D543&amp;"|"&amp;E543)*(HISTORIAL!$F$3:$F$541&lt;&gt;"")),HISTORIAL!$H$3:$H$541),"")</f>
        <v/>
      </c>
      <c r="J543" s="37" t="str">
        <f>IFERROR(LOOKUP(2,1/((HISTORIAL!$O$3:$O$541=D543&amp;"|"&amp;E543)*(HISTORIAL!$F$3:$F$541&lt;&gt;"")),HISTORIAL!$I$3:$I$541),"")</f>
        <v/>
      </c>
      <c r="K543" s="58" t="str">
        <f>IFERROR(IF(OR(G543="",N543="SIN"),"--",IF(N543="SUBIR_F",IF(F543="polea",IFERROR(INDEX(CONFIG!$B$25:$B$40,MATCH(G543,CONFIG!$B$25:$B$40,0)+2),IFERROR(INDEX(CONFIG!$B$25:$B$40,MATCH(G543,CONFIG!$B$25:$B$40,0)+1),G543)),G543+5),IF(OR(N543="SUBIR",N543="SUBIR_E"),IF(F543="polea",IFERROR(INDEX(CONFIG!$B$25:$B$40,MATCH(G543,CONFIG!$B$25:$B$40,0)+1),G543),G543+2.5),IF(N543="BAJAR",IF(F543="polea",IFERROR(INDEX(CONFIG!$B$25:$B$40,MAX(1,MATCH(G543,CONFIG!$B$25:$B$40,0)-1)),G543),MAX(0,G543-2.5)),G543)))),"--")</f>
        <v>--</v>
      </c>
      <c r="L543" s="59" t="str">
        <f>IFERROR(IF(N543="SIN","--",IF(N543="MANT",IF(H543="","--",H543+1),IFERROR(VLOOKUP(CONFIG!$E$2,CONFIG!$A$6:$E$8,2,0),"--"))),"--")</f>
        <v>--</v>
      </c>
      <c r="M543" s="59" t="str">
        <f>IFERROR(IF(N543="SIN","--",IF(CONFIG!$E$2="HIP",2,IF(CONFIG!$E$2="FUE",1,2))),"--")</f>
        <v>--</v>
      </c>
      <c r="N543" s="53" t="str">
        <f>IFERROR(IF(G543="","SIN",IF(O543=1,"SUBIR_E",IF(H543&lt;IFERROR(VLOOKUP(CONFIG!$E$2,CONFIG!$A$6:$E$8,2,0),6),"BAJAR",IF(H543+I543&gt;=IFERROR(VLOOKUP(CONFIG!$E$2,CONFIG!$A$6:$E$8,3,0),12),"SUBIR_F",IF(AND(H543&gt;=IFERROR(VLOOKUP(CONFIG!$E$2,CONFIG!$A$6:$E$8,2,0),6)+2,I543&gt;=2),"SUBIR",IF(I543&gt;IFERROR(VLOOKUP(CONFIG!$E$2,CONFIG!$A$6:$E$8,5,0),3),"SUBIR","MANT")))))),"SIN")</f>
        <v>SIN</v>
      </c>
      <c r="O543" s="55">
        <f>IF(COUNTIFS(HISTORIAL!$O$3:$O$541,D543&amp;"|"&amp;E543,HISTORIAL!$F$3:$F$541,"&gt;0")&lt;2,0,IF(COUNTIFS(HISTORIAL!$O$3:$O$541,D543&amp;"|"&amp;E543,HISTORIAL!$F$3:$F$541,IFERROR(LOOKUP(2,1/((HISTORIAL!$O$3:$O$541=D543&amp;"|"&amp;E543)*(HISTORIAL!$F$3:$F$541&gt;0)),HISTORIAL!$F$3:$F$541),0))&gt;=2,IF(IFERROR(LOOKUP(2,1/((HISTORIAL!$O$3:$O$541=D543&amp;"|"&amp;E543)*(HISTORIAL!$F$3:$F$541&gt;0)),HISTORIAL!$G$3:$G$541),0)&gt;0,IF(F543&gt;0,IF(G543&lt;=IFERROR(LOOKUP(2,1/((HISTORIAL!$O$3:$O$541=D543&amp;"|"&amp;E543)*(HISTORIAL!$F$3:$F$541&gt;0)),HISTORIAL!$G$3:$G$541),0),1,0),0),0),0))</f>
        <v>0</v>
      </c>
    </row>
    <row r="544" spans="1:15" ht="14.1" customHeight="1">
      <c r="A544" s="37">
        <v>9</v>
      </c>
      <c r="B544" s="37" t="s">
        <v>279</v>
      </c>
      <c r="C544" s="37">
        <v>15</v>
      </c>
      <c r="D544" s="56" t="str">
        <f>MIERCOLES!$A$206</f>
        <v>Elevacion Piernas</v>
      </c>
      <c r="E544" s="57" t="str">
        <f>MIERCOLES!$B$206</f>
        <v>Colgado</v>
      </c>
      <c r="F544" s="37" t="str">
        <f>MIERCOLES!$C$206</f>
        <v>peso_corporal</v>
      </c>
      <c r="G544" s="37" t="str">
        <f>IFERROR(LOOKUP(2,1/((HISTORIAL!$O$3:$O$542=D544&amp;"|"&amp;E544)*(HISTORIAL!$F$3:$F$542&lt;&gt;"")),HISTORIAL!$F$3:$F$542),"")</f>
        <v/>
      </c>
      <c r="H544" s="37" t="str">
        <f>IFERROR(LOOKUP(2,1/((HISTORIAL!$O$3:$O$542=D544&amp;"|"&amp;E544)*(HISTORIAL!$F$3:$F$542&lt;&gt;"")),HISTORIAL!$G$3:$G$542),"")</f>
        <v/>
      </c>
      <c r="I544" s="37" t="str">
        <f>IFERROR(LOOKUP(2,1/((HISTORIAL!$O$3:$O$542=D544&amp;"|"&amp;E544)*(HISTORIAL!$F$3:$F$542&lt;&gt;"")),HISTORIAL!$H$3:$H$542),"")</f>
        <v/>
      </c>
      <c r="J544" s="37" t="str">
        <f>IFERROR(LOOKUP(2,1/((HISTORIAL!$O$3:$O$542=D544&amp;"|"&amp;E544)*(HISTORIAL!$F$3:$F$542&lt;&gt;"")),HISTORIAL!$I$3:$I$542),"")</f>
        <v/>
      </c>
      <c r="K544" s="58" t="str">
        <f>IFERROR(IF(OR(G544="",N544="SIN"),"--",IF(N544="SUBIR_F",IF(F544="polea",IFERROR(INDEX(CONFIG!$B$25:$B$40,MATCH(G544,CONFIG!$B$25:$B$40,0)+2),IFERROR(INDEX(CONFIG!$B$25:$B$40,MATCH(G544,CONFIG!$B$25:$B$40,0)+1),G544)),G544+5),IF(OR(N544="SUBIR",N544="SUBIR_E"),IF(F544="polea",IFERROR(INDEX(CONFIG!$B$25:$B$40,MATCH(G544,CONFIG!$B$25:$B$40,0)+1),G544),G544+2.5),IF(N544="BAJAR",IF(F544="polea",IFERROR(INDEX(CONFIG!$B$25:$B$40,MAX(1,MATCH(G544,CONFIG!$B$25:$B$40,0)-1)),G544),MAX(0,G544-2.5)),G544)))),"--")</f>
        <v>--</v>
      </c>
      <c r="L544" s="59" t="str">
        <f>IFERROR(IF(N544="SIN","--",IF(N544="MANT",IF(H544="","--",H544+1),IFERROR(VLOOKUP(CONFIG!$E$2,CONFIG!$A$6:$E$8,2,0),"--"))),"--")</f>
        <v>--</v>
      </c>
      <c r="M544" s="59" t="str">
        <f>IFERROR(IF(N544="SIN","--",IF(CONFIG!$E$2="HIP",2,IF(CONFIG!$E$2="FUE",1,2))),"--")</f>
        <v>--</v>
      </c>
      <c r="N544" s="53" t="str">
        <f>IFERROR(IF(G544="","SIN",IF(O544=1,"SUBIR_E",IF(H544&lt;IFERROR(VLOOKUP(CONFIG!$E$2,CONFIG!$A$6:$E$8,2,0),6),"BAJAR",IF(H544+I544&gt;=IFERROR(VLOOKUP(CONFIG!$E$2,CONFIG!$A$6:$E$8,3,0),12),"SUBIR_F",IF(AND(H544&gt;=IFERROR(VLOOKUP(CONFIG!$E$2,CONFIG!$A$6:$E$8,2,0),6)+2,I544&gt;=2),"SUBIR",IF(I544&gt;IFERROR(VLOOKUP(CONFIG!$E$2,CONFIG!$A$6:$E$8,5,0),3),"SUBIR","MANT")))))),"SIN")</f>
        <v>SIN</v>
      </c>
      <c r="O544" s="55">
        <f>IF(COUNTIFS(HISTORIAL!$O$3:$O$542,D544&amp;"|"&amp;E544,HISTORIAL!$F$3:$F$542,"&gt;0")&lt;2,0,IF(COUNTIFS(HISTORIAL!$O$3:$O$542,D544&amp;"|"&amp;E544,HISTORIAL!$F$3:$F$542,IFERROR(LOOKUP(2,1/((HISTORIAL!$O$3:$O$542=D544&amp;"|"&amp;E544)*(HISTORIAL!$F$3:$F$542&gt;0)),HISTORIAL!$F$3:$F$542),0))&gt;=2,IF(IFERROR(LOOKUP(2,1/((HISTORIAL!$O$3:$O$542=D544&amp;"|"&amp;E544)*(HISTORIAL!$F$3:$F$542&gt;0)),HISTORIAL!$G$3:$G$542),0)&gt;0,IF(F544&gt;0,IF(G544&lt;=IFERROR(LOOKUP(2,1/((HISTORIAL!$O$3:$O$542=D544&amp;"|"&amp;E544)*(HISTORIAL!$F$3:$F$542&gt;0)),HISTORIAL!$G$3:$G$542),0),1,0),0),0),0))</f>
        <v>0</v>
      </c>
    </row>
    <row r="545" spans="1:15" ht="14.1" customHeight="1">
      <c r="A545" s="37">
        <v>9</v>
      </c>
      <c r="B545" s="37" t="s">
        <v>280</v>
      </c>
      <c r="C545" s="37">
        <v>1</v>
      </c>
      <c r="D545" s="56" t="str">
        <f>JUEVES!$A$212</f>
        <v>Press Militar</v>
      </c>
      <c r="E545" s="57" t="str">
        <f>JUEVES!$B$212</f>
        <v>Multipower</v>
      </c>
      <c r="F545" s="37" t="str">
        <f>JUEVES!$C$212</f>
        <v>--</v>
      </c>
      <c r="G545" s="37" t="str">
        <f>IFERROR(LOOKUP(2,1/((HISTORIAL!$O$3:$O$543=D545&amp;"|"&amp;E545)*(HISTORIAL!$F$3:$F$543&lt;&gt;"")),HISTORIAL!$F$3:$F$543),"")</f>
        <v/>
      </c>
      <c r="H545" s="37" t="str">
        <f>IFERROR(LOOKUP(2,1/((HISTORIAL!$O$3:$O$543=D545&amp;"|"&amp;E545)*(HISTORIAL!$F$3:$F$543&lt;&gt;"")),HISTORIAL!$G$3:$G$543),"")</f>
        <v/>
      </c>
      <c r="I545" s="37" t="str">
        <f>IFERROR(LOOKUP(2,1/((HISTORIAL!$O$3:$O$543=D545&amp;"|"&amp;E545)*(HISTORIAL!$F$3:$F$543&lt;&gt;"")),HISTORIAL!$H$3:$H$543),"")</f>
        <v/>
      </c>
      <c r="J545" s="37" t="str">
        <f>IFERROR(LOOKUP(2,1/((HISTORIAL!$O$3:$O$543=D545&amp;"|"&amp;E545)*(HISTORIAL!$F$3:$F$543&lt;&gt;"")),HISTORIAL!$I$3:$I$543),"")</f>
        <v/>
      </c>
      <c r="K545" s="58" t="str">
        <f>IFERROR(IF(OR(G545="",N545="SIN"),"--",IF(N545="SUBIR_F",IF(F545="polea",IFERROR(INDEX(CONFIG!$B$25:$B$40,MATCH(G545,CONFIG!$B$25:$B$40,0)+2),IFERROR(INDEX(CONFIG!$B$25:$B$40,MATCH(G545,CONFIG!$B$25:$B$40,0)+1),G545)),G545+5),IF(OR(N545="SUBIR",N545="SUBIR_E"),IF(F545="polea",IFERROR(INDEX(CONFIG!$B$25:$B$40,MATCH(G545,CONFIG!$B$25:$B$40,0)+1),G545),G545+2.5),IF(N545="BAJAR",IF(F545="polea",IFERROR(INDEX(CONFIG!$B$25:$B$40,MAX(1,MATCH(G545,CONFIG!$B$25:$B$40,0)-1)),G545),MAX(0,G545-2.5)),G545)))),"--")</f>
        <v>--</v>
      </c>
      <c r="L545" s="59" t="str">
        <f>IFERROR(IF(N545="SIN","--",IF(N545="MANT",IF(H545="","--",H545+1),IFERROR(VLOOKUP(CONFIG!$E$2,CONFIG!$A$6:$E$8,2,0),"--"))),"--")</f>
        <v>--</v>
      </c>
      <c r="M545" s="59" t="str">
        <f>IFERROR(IF(N545="SIN","--",IF(CONFIG!$E$2="HIP",2,IF(CONFIG!$E$2="FUE",1,2))),"--")</f>
        <v>--</v>
      </c>
      <c r="N545" s="53" t="str">
        <f>IFERROR(IF(G545="","SIN",IF(O545=1,"SUBIR_E",IF(H545&lt;IFERROR(VLOOKUP(CONFIG!$E$2,CONFIG!$A$6:$E$8,2,0),6),"BAJAR",IF(H545+I545&gt;=IFERROR(VLOOKUP(CONFIG!$E$2,CONFIG!$A$6:$E$8,3,0),12),"SUBIR_F",IF(AND(H545&gt;=IFERROR(VLOOKUP(CONFIG!$E$2,CONFIG!$A$6:$E$8,2,0),6)+2,I545&gt;=2),"SUBIR",IF(I545&gt;IFERROR(VLOOKUP(CONFIG!$E$2,CONFIG!$A$6:$E$8,5,0),3),"SUBIR","MANT")))))),"SIN")</f>
        <v>SIN</v>
      </c>
      <c r="O545" s="55">
        <f>IF(COUNTIFS(HISTORIAL!$O$3:$O$543,D545&amp;"|"&amp;E545,HISTORIAL!$F$3:$F$543,"&gt;0")&lt;2,0,IF(COUNTIFS(HISTORIAL!$O$3:$O$543,D545&amp;"|"&amp;E545,HISTORIAL!$F$3:$F$543,IFERROR(LOOKUP(2,1/((HISTORIAL!$O$3:$O$543=D545&amp;"|"&amp;E545)*(HISTORIAL!$F$3:$F$543&gt;0)),HISTORIAL!$F$3:$F$543),0))&gt;=2,IF(IFERROR(LOOKUP(2,1/((HISTORIAL!$O$3:$O$543=D545&amp;"|"&amp;E545)*(HISTORIAL!$F$3:$F$543&gt;0)),HISTORIAL!$G$3:$G$543),0)&gt;0,IF(F545&gt;0,IF(G545&lt;=IFERROR(LOOKUP(2,1/((HISTORIAL!$O$3:$O$543=D545&amp;"|"&amp;E545)*(HISTORIAL!$F$3:$F$543&gt;0)),HISTORIAL!$G$3:$G$543),0),1,0),0),0),0))</f>
        <v>0</v>
      </c>
    </row>
    <row r="546" spans="1:15" ht="14.1" customHeight="1">
      <c r="A546" s="37">
        <v>9</v>
      </c>
      <c r="B546" s="37" t="s">
        <v>280</v>
      </c>
      <c r="C546" s="37">
        <v>2</v>
      </c>
      <c r="D546" s="56" t="str">
        <f>JUEVES!$A$213</f>
        <v>Elevaciones Laterales</v>
      </c>
      <c r="E546" s="57" t="str">
        <f>JUEVES!$B$213</f>
        <v>Drop Set Maquina</v>
      </c>
      <c r="F546" s="37" t="str">
        <f>JUEVES!$C$213</f>
        <v>--</v>
      </c>
      <c r="G546" s="37" t="str">
        <f>IFERROR(LOOKUP(2,1/((HISTORIAL!$O$3:$O$544=D546&amp;"|"&amp;E546)*(HISTORIAL!$F$3:$F$544&lt;&gt;"")),HISTORIAL!$F$3:$F$544),"")</f>
        <v/>
      </c>
      <c r="H546" s="37" t="str">
        <f>IFERROR(LOOKUP(2,1/((HISTORIAL!$O$3:$O$544=D546&amp;"|"&amp;E546)*(HISTORIAL!$F$3:$F$544&lt;&gt;"")),HISTORIAL!$G$3:$G$544),"")</f>
        <v/>
      </c>
      <c r="I546" s="37" t="str">
        <f>IFERROR(LOOKUP(2,1/((HISTORIAL!$O$3:$O$544=D546&amp;"|"&amp;E546)*(HISTORIAL!$F$3:$F$544&lt;&gt;"")),HISTORIAL!$H$3:$H$544),"")</f>
        <v/>
      </c>
      <c r="J546" s="37" t="str">
        <f>IFERROR(LOOKUP(2,1/((HISTORIAL!$O$3:$O$544=D546&amp;"|"&amp;E546)*(HISTORIAL!$F$3:$F$544&lt;&gt;"")),HISTORIAL!$I$3:$I$544),"")</f>
        <v/>
      </c>
      <c r="K546" s="58" t="str">
        <f>IFERROR(IF(OR(G546="",N546="SIN"),"--",IF(N546="SUBIR_F",IF(F546="polea",IFERROR(INDEX(CONFIG!$B$25:$B$40,MATCH(G546,CONFIG!$B$25:$B$40,0)+2),IFERROR(INDEX(CONFIG!$B$25:$B$40,MATCH(G546,CONFIG!$B$25:$B$40,0)+1),G546)),G546+5),IF(OR(N546="SUBIR",N546="SUBIR_E"),IF(F546="polea",IFERROR(INDEX(CONFIG!$B$25:$B$40,MATCH(G546,CONFIG!$B$25:$B$40,0)+1),G546),G546+2.5),IF(N546="BAJAR",IF(F546="polea",IFERROR(INDEX(CONFIG!$B$25:$B$40,MAX(1,MATCH(G546,CONFIG!$B$25:$B$40,0)-1)),G546),MAX(0,G546-2.5)),G546)))),"--")</f>
        <v>--</v>
      </c>
      <c r="L546" s="59" t="str">
        <f>IFERROR(IF(N546="SIN","--",IF(N546="MANT",IF(H546="","--",H546+1),IFERROR(VLOOKUP(CONFIG!$E$2,CONFIG!$A$6:$E$8,2,0),"--"))),"--")</f>
        <v>--</v>
      </c>
      <c r="M546" s="59" t="str">
        <f>IFERROR(IF(N546="SIN","--",IF(CONFIG!$E$2="HIP",2,IF(CONFIG!$E$2="FUE",1,2))),"--")</f>
        <v>--</v>
      </c>
      <c r="N546" s="53" t="str">
        <f>IFERROR(IF(G546="","SIN",IF(O546=1,"SUBIR_E",IF(H546&lt;IFERROR(VLOOKUP(CONFIG!$E$2,CONFIG!$A$6:$E$8,2,0),6),"BAJAR",IF(H546+I546&gt;=IFERROR(VLOOKUP(CONFIG!$E$2,CONFIG!$A$6:$E$8,3,0),12),"SUBIR_F",IF(AND(H546&gt;=IFERROR(VLOOKUP(CONFIG!$E$2,CONFIG!$A$6:$E$8,2,0),6)+2,I546&gt;=2),"SUBIR",IF(I546&gt;IFERROR(VLOOKUP(CONFIG!$E$2,CONFIG!$A$6:$E$8,5,0),3),"SUBIR","MANT")))))),"SIN")</f>
        <v>SIN</v>
      </c>
      <c r="O546" s="55">
        <f>IF(COUNTIFS(HISTORIAL!$O$3:$O$544,D546&amp;"|"&amp;E546,HISTORIAL!$F$3:$F$544,"&gt;0")&lt;2,0,IF(COUNTIFS(HISTORIAL!$O$3:$O$544,D546&amp;"|"&amp;E546,HISTORIAL!$F$3:$F$544,IFERROR(LOOKUP(2,1/((HISTORIAL!$O$3:$O$544=D546&amp;"|"&amp;E546)*(HISTORIAL!$F$3:$F$544&gt;0)),HISTORIAL!$F$3:$F$544),0))&gt;=2,IF(IFERROR(LOOKUP(2,1/((HISTORIAL!$O$3:$O$544=D546&amp;"|"&amp;E546)*(HISTORIAL!$F$3:$F$544&gt;0)),HISTORIAL!$G$3:$G$544),0)&gt;0,IF(F546&gt;0,IF(G546&lt;=IFERROR(LOOKUP(2,1/((HISTORIAL!$O$3:$O$544=D546&amp;"|"&amp;E546)*(HISTORIAL!$F$3:$F$544&gt;0)),HISTORIAL!$G$3:$G$544),0),1,0),0),0),0))</f>
        <v>0</v>
      </c>
    </row>
    <row r="547" spans="1:15" ht="14.1" customHeight="1">
      <c r="A547" s="37">
        <v>9</v>
      </c>
      <c r="B547" s="37" t="s">
        <v>280</v>
      </c>
      <c r="C547" s="37">
        <v>3</v>
      </c>
      <c r="D547" s="56" t="str">
        <f>JUEVES!$A$215</f>
        <v>Pajaro</v>
      </c>
      <c r="E547" s="57" t="str">
        <f>JUEVES!$B$215</f>
        <v>Elevacion Posterior</v>
      </c>
      <c r="F547" s="37" t="str">
        <f>JUEVES!$C$215</f>
        <v>mancuerna</v>
      </c>
      <c r="G547" s="37" t="str">
        <f>IFERROR(LOOKUP(2,1/((HISTORIAL!$O$3:$O$545=D547&amp;"|"&amp;E547)*(HISTORIAL!$F$3:$F$545&lt;&gt;"")),HISTORIAL!$F$3:$F$545),"")</f>
        <v/>
      </c>
      <c r="H547" s="37" t="str">
        <f>IFERROR(LOOKUP(2,1/((HISTORIAL!$O$3:$O$545=D547&amp;"|"&amp;E547)*(HISTORIAL!$F$3:$F$545&lt;&gt;"")),HISTORIAL!$G$3:$G$545),"")</f>
        <v/>
      </c>
      <c r="I547" s="37" t="str">
        <f>IFERROR(LOOKUP(2,1/((HISTORIAL!$O$3:$O$545=D547&amp;"|"&amp;E547)*(HISTORIAL!$F$3:$F$545&lt;&gt;"")),HISTORIAL!$H$3:$H$545),"")</f>
        <v/>
      </c>
      <c r="J547" s="37" t="str">
        <f>IFERROR(LOOKUP(2,1/((HISTORIAL!$O$3:$O$545=D547&amp;"|"&amp;E547)*(HISTORIAL!$F$3:$F$545&lt;&gt;"")),HISTORIAL!$I$3:$I$545),"")</f>
        <v/>
      </c>
      <c r="K547" s="58" t="str">
        <f>IFERROR(IF(OR(G547="",N547="SIN"),"--",IF(N547="SUBIR_F",IF(F547="polea",IFERROR(INDEX(CONFIG!$B$25:$B$40,MATCH(G547,CONFIG!$B$25:$B$40,0)+2),IFERROR(INDEX(CONFIG!$B$25:$B$40,MATCH(G547,CONFIG!$B$25:$B$40,0)+1),G547)),G547+5),IF(OR(N547="SUBIR",N547="SUBIR_E"),IF(F547="polea",IFERROR(INDEX(CONFIG!$B$25:$B$40,MATCH(G547,CONFIG!$B$25:$B$40,0)+1),G547),G547+2.5),IF(N547="BAJAR",IF(F547="polea",IFERROR(INDEX(CONFIG!$B$25:$B$40,MAX(1,MATCH(G547,CONFIG!$B$25:$B$40,0)-1)),G547),MAX(0,G547-2.5)),G547)))),"--")</f>
        <v>--</v>
      </c>
      <c r="L547" s="59" t="str">
        <f>IFERROR(IF(N547="SIN","--",IF(N547="MANT",IF(H547="","--",H547+1),IFERROR(VLOOKUP(CONFIG!$E$2,CONFIG!$A$6:$E$8,2,0),"--"))),"--")</f>
        <v>--</v>
      </c>
      <c r="M547" s="59" t="str">
        <f>IFERROR(IF(N547="SIN","--",IF(CONFIG!$E$2="HIP",2,IF(CONFIG!$E$2="FUE",1,2))),"--")</f>
        <v>--</v>
      </c>
      <c r="N547" s="53" t="str">
        <f>IFERROR(IF(G547="","SIN",IF(O547=1,"SUBIR_E",IF(H547&lt;IFERROR(VLOOKUP(CONFIG!$E$2,CONFIG!$A$6:$E$8,2,0),6),"BAJAR",IF(H547+I547&gt;=IFERROR(VLOOKUP(CONFIG!$E$2,CONFIG!$A$6:$E$8,3,0),12),"SUBIR_F",IF(AND(H547&gt;=IFERROR(VLOOKUP(CONFIG!$E$2,CONFIG!$A$6:$E$8,2,0),6)+2,I547&gt;=2),"SUBIR",IF(I547&gt;IFERROR(VLOOKUP(CONFIG!$E$2,CONFIG!$A$6:$E$8,5,0),3),"SUBIR","MANT")))))),"SIN")</f>
        <v>SIN</v>
      </c>
      <c r="O547" s="55">
        <f>IF(COUNTIFS(HISTORIAL!$O$3:$O$545,D547&amp;"|"&amp;E547,HISTORIAL!$F$3:$F$545,"&gt;0")&lt;2,0,IF(COUNTIFS(HISTORIAL!$O$3:$O$545,D547&amp;"|"&amp;E547,HISTORIAL!$F$3:$F$545,IFERROR(LOOKUP(2,1/((HISTORIAL!$O$3:$O$545=D547&amp;"|"&amp;E547)*(HISTORIAL!$F$3:$F$545&gt;0)),HISTORIAL!$F$3:$F$545),0))&gt;=2,IF(IFERROR(LOOKUP(2,1/((HISTORIAL!$O$3:$O$545=D547&amp;"|"&amp;E547)*(HISTORIAL!$F$3:$F$545&gt;0)),HISTORIAL!$G$3:$G$545),0)&gt;0,IF(F547&gt;0,IF(G547&lt;=IFERROR(LOOKUP(2,1/((HISTORIAL!$O$3:$O$545=D547&amp;"|"&amp;E547)*(HISTORIAL!$F$3:$F$545&gt;0)),HISTORIAL!$G$3:$G$545),0),1,0),0),0),0))</f>
        <v>0</v>
      </c>
    </row>
    <row r="548" spans="1:15" ht="14.1" customHeight="1">
      <c r="A548" s="37">
        <v>9</v>
      </c>
      <c r="B548" s="37" t="s">
        <v>280</v>
      </c>
      <c r="C548" s="37">
        <v>4</v>
      </c>
      <c r="D548" s="56" t="str">
        <f>JUEVES!$A$216</f>
        <v>Peck Deck Invertida</v>
      </c>
      <c r="E548" s="57" t="str">
        <f>JUEVES!$B$216</f>
        <v>Maquina</v>
      </c>
      <c r="F548" s="37" t="str">
        <f>JUEVES!$C$216</f>
        <v>polea</v>
      </c>
      <c r="G548" s="37" t="str">
        <f>IFERROR(LOOKUP(2,1/((HISTORIAL!$O$3:$O$546=D548&amp;"|"&amp;E548)*(HISTORIAL!$F$3:$F$546&lt;&gt;"")),HISTORIAL!$F$3:$F$546),"")</f>
        <v/>
      </c>
      <c r="H548" s="37" t="str">
        <f>IFERROR(LOOKUP(2,1/((HISTORIAL!$O$3:$O$546=D548&amp;"|"&amp;E548)*(HISTORIAL!$F$3:$F$546&lt;&gt;"")),HISTORIAL!$G$3:$G$546),"")</f>
        <v/>
      </c>
      <c r="I548" s="37" t="str">
        <f>IFERROR(LOOKUP(2,1/((HISTORIAL!$O$3:$O$546=D548&amp;"|"&amp;E548)*(HISTORIAL!$F$3:$F$546&lt;&gt;"")),HISTORIAL!$H$3:$H$546),"")</f>
        <v/>
      </c>
      <c r="J548" s="37" t="str">
        <f>IFERROR(LOOKUP(2,1/((HISTORIAL!$O$3:$O$546=D548&amp;"|"&amp;E548)*(HISTORIAL!$F$3:$F$546&lt;&gt;"")),HISTORIAL!$I$3:$I$546),"")</f>
        <v/>
      </c>
      <c r="K548" s="58" t="str">
        <f>IFERROR(IF(OR(G548="",N548="SIN"),"--",IF(N548="SUBIR_F",IF(F548="polea",IFERROR(INDEX(CONFIG!$B$25:$B$40,MATCH(G548,CONFIG!$B$25:$B$40,0)+2),IFERROR(INDEX(CONFIG!$B$25:$B$40,MATCH(G548,CONFIG!$B$25:$B$40,0)+1),G548)),G548+5),IF(OR(N548="SUBIR",N548="SUBIR_E"),IF(F548="polea",IFERROR(INDEX(CONFIG!$B$25:$B$40,MATCH(G548,CONFIG!$B$25:$B$40,0)+1),G548),G548+2.5),IF(N548="BAJAR",IF(F548="polea",IFERROR(INDEX(CONFIG!$B$25:$B$40,MAX(1,MATCH(G548,CONFIG!$B$25:$B$40,0)-1)),G548),MAX(0,G548-2.5)),G548)))),"--")</f>
        <v>--</v>
      </c>
      <c r="L548" s="59" t="str">
        <f>IFERROR(IF(N548="SIN","--",IF(N548="MANT",IF(H548="","--",H548+1),IFERROR(VLOOKUP(CONFIG!$E$2,CONFIG!$A$6:$E$8,2,0),"--"))),"--")</f>
        <v>--</v>
      </c>
      <c r="M548" s="59" t="str">
        <f>IFERROR(IF(N548="SIN","--",IF(CONFIG!$E$2="HIP",2,IF(CONFIG!$E$2="FUE",1,2))),"--")</f>
        <v>--</v>
      </c>
      <c r="N548" s="53" t="str">
        <f>IFERROR(IF(G548="","SIN",IF(O548=1,"SUBIR_E",IF(H548&lt;IFERROR(VLOOKUP(CONFIG!$E$2,CONFIG!$A$6:$E$8,2,0),6),"BAJAR",IF(H548+I548&gt;=IFERROR(VLOOKUP(CONFIG!$E$2,CONFIG!$A$6:$E$8,3,0),12),"SUBIR_F",IF(AND(H548&gt;=IFERROR(VLOOKUP(CONFIG!$E$2,CONFIG!$A$6:$E$8,2,0),6)+2,I548&gt;=2),"SUBIR",IF(I548&gt;IFERROR(VLOOKUP(CONFIG!$E$2,CONFIG!$A$6:$E$8,5,0),3),"SUBIR","MANT")))))),"SIN")</f>
        <v>SIN</v>
      </c>
      <c r="O548" s="55">
        <f>IF(COUNTIFS(HISTORIAL!$O$3:$O$546,D548&amp;"|"&amp;E548,HISTORIAL!$F$3:$F$546,"&gt;0")&lt;2,0,IF(COUNTIFS(HISTORIAL!$O$3:$O$546,D548&amp;"|"&amp;E548,HISTORIAL!$F$3:$F$546,IFERROR(LOOKUP(2,1/((HISTORIAL!$O$3:$O$546=D548&amp;"|"&amp;E548)*(HISTORIAL!$F$3:$F$546&gt;0)),HISTORIAL!$F$3:$F$546),0))&gt;=2,IF(IFERROR(LOOKUP(2,1/((HISTORIAL!$O$3:$O$546=D548&amp;"|"&amp;E548)*(HISTORIAL!$F$3:$F$546&gt;0)),HISTORIAL!$G$3:$G$546),0)&gt;0,IF(F548&gt;0,IF(G548&lt;=IFERROR(LOOKUP(2,1/((HISTORIAL!$O$3:$O$546=D548&amp;"|"&amp;E548)*(HISTORIAL!$F$3:$F$546&gt;0)),HISTORIAL!$G$3:$G$546),0),1,0),0),0),0))</f>
        <v>0</v>
      </c>
    </row>
    <row r="549" spans="1:15" ht="14.1" customHeight="1">
      <c r="A549" s="37">
        <v>9</v>
      </c>
      <c r="B549" s="37" t="s">
        <v>280</v>
      </c>
      <c r="C549" s="37">
        <v>5</v>
      </c>
      <c r="D549" s="56" t="str">
        <f>JUEVES!$A$217</f>
        <v>Elevaciones Posteriores</v>
      </c>
      <c r="E549" s="57" t="str">
        <f>JUEVES!$B$217</f>
        <v>Polea Individual</v>
      </c>
      <c r="F549" s="37" t="str">
        <f>JUEVES!$C$217</f>
        <v>polea</v>
      </c>
      <c r="G549" s="37" t="str">
        <f>IFERROR(LOOKUP(2,1/((HISTORIAL!$O$3:$O$547=D549&amp;"|"&amp;E549)*(HISTORIAL!$F$3:$F$547&lt;&gt;"")),HISTORIAL!$F$3:$F$547),"")</f>
        <v/>
      </c>
      <c r="H549" s="37" t="str">
        <f>IFERROR(LOOKUP(2,1/((HISTORIAL!$O$3:$O$547=D549&amp;"|"&amp;E549)*(HISTORIAL!$F$3:$F$547&lt;&gt;"")),HISTORIAL!$G$3:$G$547),"")</f>
        <v/>
      </c>
      <c r="I549" s="37" t="str">
        <f>IFERROR(LOOKUP(2,1/((HISTORIAL!$O$3:$O$547=D549&amp;"|"&amp;E549)*(HISTORIAL!$F$3:$F$547&lt;&gt;"")),HISTORIAL!$H$3:$H$547),"")</f>
        <v/>
      </c>
      <c r="J549" s="37" t="str">
        <f>IFERROR(LOOKUP(2,1/((HISTORIAL!$O$3:$O$547=D549&amp;"|"&amp;E549)*(HISTORIAL!$F$3:$F$547&lt;&gt;"")),HISTORIAL!$I$3:$I$547),"")</f>
        <v/>
      </c>
      <c r="K549" s="58" t="str">
        <f>IFERROR(IF(OR(G549="",N549="SIN"),"--",IF(N549="SUBIR_F",IF(F549="polea",IFERROR(INDEX(CONFIG!$B$25:$B$40,MATCH(G549,CONFIG!$B$25:$B$40,0)+2),IFERROR(INDEX(CONFIG!$B$25:$B$40,MATCH(G549,CONFIG!$B$25:$B$40,0)+1),G549)),G549+5),IF(OR(N549="SUBIR",N549="SUBIR_E"),IF(F549="polea",IFERROR(INDEX(CONFIG!$B$25:$B$40,MATCH(G549,CONFIG!$B$25:$B$40,0)+1),G549),G549+2.5),IF(N549="BAJAR",IF(F549="polea",IFERROR(INDEX(CONFIG!$B$25:$B$40,MAX(1,MATCH(G549,CONFIG!$B$25:$B$40,0)-1)),G549),MAX(0,G549-2.5)),G549)))),"--")</f>
        <v>--</v>
      </c>
      <c r="L549" s="59" t="str">
        <f>IFERROR(IF(N549="SIN","--",IF(N549="MANT",IF(H549="","--",H549+1),IFERROR(VLOOKUP(CONFIG!$E$2,CONFIG!$A$6:$E$8,2,0),"--"))),"--")</f>
        <v>--</v>
      </c>
      <c r="M549" s="59" t="str">
        <f>IFERROR(IF(N549="SIN","--",IF(CONFIG!$E$2="HIP",2,IF(CONFIG!$E$2="FUE",1,2))),"--")</f>
        <v>--</v>
      </c>
      <c r="N549" s="53" t="str">
        <f>IFERROR(IF(G549="","SIN",IF(O549=1,"SUBIR_E",IF(H549&lt;IFERROR(VLOOKUP(CONFIG!$E$2,CONFIG!$A$6:$E$8,2,0),6),"BAJAR",IF(H549+I549&gt;=IFERROR(VLOOKUP(CONFIG!$E$2,CONFIG!$A$6:$E$8,3,0),12),"SUBIR_F",IF(AND(H549&gt;=IFERROR(VLOOKUP(CONFIG!$E$2,CONFIG!$A$6:$E$8,2,0),6)+2,I549&gt;=2),"SUBIR",IF(I549&gt;IFERROR(VLOOKUP(CONFIG!$E$2,CONFIG!$A$6:$E$8,5,0),3),"SUBIR","MANT")))))),"SIN")</f>
        <v>SIN</v>
      </c>
      <c r="O549" s="55">
        <f>IF(COUNTIFS(HISTORIAL!$O$3:$O$547,D549&amp;"|"&amp;E549,HISTORIAL!$F$3:$F$547,"&gt;0")&lt;2,0,IF(COUNTIFS(HISTORIAL!$O$3:$O$547,D549&amp;"|"&amp;E549,HISTORIAL!$F$3:$F$547,IFERROR(LOOKUP(2,1/((HISTORIAL!$O$3:$O$547=D549&amp;"|"&amp;E549)*(HISTORIAL!$F$3:$F$547&gt;0)),HISTORIAL!$F$3:$F$547),0))&gt;=2,IF(IFERROR(LOOKUP(2,1/((HISTORIAL!$O$3:$O$547=D549&amp;"|"&amp;E549)*(HISTORIAL!$F$3:$F$547&gt;0)),HISTORIAL!$G$3:$G$547),0)&gt;0,IF(F549&gt;0,IF(G549&lt;=IFERROR(LOOKUP(2,1/((HISTORIAL!$O$3:$O$547=D549&amp;"|"&amp;E549)*(HISTORIAL!$F$3:$F$547&gt;0)),HISTORIAL!$G$3:$G$547),0),1,0),0),0),0))</f>
        <v>0</v>
      </c>
    </row>
    <row r="550" spans="1:15" ht="14.1" customHeight="1">
      <c r="A550" s="37">
        <v>9</v>
      </c>
      <c r="B550" s="37" t="s">
        <v>280</v>
      </c>
      <c r="C550" s="37">
        <v>6</v>
      </c>
      <c r="D550" s="56" t="str">
        <f>JUEVES!$A$220</f>
        <v>Press Plano</v>
      </c>
      <c r="E550" s="57" t="str">
        <f>JUEVES!$B$220</f>
        <v>Mancuernas</v>
      </c>
      <c r="F550" s="37" t="str">
        <f>JUEVES!$C$220</f>
        <v>mancuerna</v>
      </c>
      <c r="G550" s="37" t="str">
        <f>IFERROR(LOOKUP(2,1/((HISTORIAL!$O$3:$O$548=D550&amp;"|"&amp;E550)*(HISTORIAL!$F$3:$F$548&lt;&gt;"")),HISTORIAL!$F$3:$F$548),"")</f>
        <v/>
      </c>
      <c r="H550" s="37" t="str">
        <f>IFERROR(LOOKUP(2,1/((HISTORIAL!$O$3:$O$548=D550&amp;"|"&amp;E550)*(HISTORIAL!$F$3:$F$548&lt;&gt;"")),HISTORIAL!$G$3:$G$548),"")</f>
        <v/>
      </c>
      <c r="I550" s="37" t="str">
        <f>IFERROR(LOOKUP(2,1/((HISTORIAL!$O$3:$O$548=D550&amp;"|"&amp;E550)*(HISTORIAL!$F$3:$F$548&lt;&gt;"")),HISTORIAL!$H$3:$H$548),"")</f>
        <v/>
      </c>
      <c r="J550" s="37" t="str">
        <f>IFERROR(LOOKUP(2,1/((HISTORIAL!$O$3:$O$548=D550&amp;"|"&amp;E550)*(HISTORIAL!$F$3:$F$548&lt;&gt;"")),HISTORIAL!$I$3:$I$548),"")</f>
        <v/>
      </c>
      <c r="K550" s="58" t="str">
        <f>IFERROR(IF(OR(G550="",N550="SIN"),"--",IF(N550="SUBIR_F",IF(F550="polea",IFERROR(INDEX(CONFIG!$B$25:$B$40,MATCH(G550,CONFIG!$B$25:$B$40,0)+2),IFERROR(INDEX(CONFIG!$B$25:$B$40,MATCH(G550,CONFIG!$B$25:$B$40,0)+1),G550)),G550+5),IF(OR(N550="SUBIR",N550="SUBIR_E"),IF(F550="polea",IFERROR(INDEX(CONFIG!$B$25:$B$40,MATCH(G550,CONFIG!$B$25:$B$40,0)+1),G550),G550+2.5),IF(N550="BAJAR",IF(F550="polea",IFERROR(INDEX(CONFIG!$B$25:$B$40,MAX(1,MATCH(G550,CONFIG!$B$25:$B$40,0)-1)),G550),MAX(0,G550-2.5)),G550)))),"--")</f>
        <v>--</v>
      </c>
      <c r="L550" s="59" t="str">
        <f>IFERROR(IF(N550="SIN","--",IF(N550="MANT",IF(H550="","--",H550+1),IFERROR(VLOOKUP(CONFIG!$E$2,CONFIG!$A$6:$E$8,2,0),"--"))),"--")</f>
        <v>--</v>
      </c>
      <c r="M550" s="59" t="str">
        <f>IFERROR(IF(N550="SIN","--",IF(CONFIG!$E$2="HIP",2,IF(CONFIG!$E$2="FUE",1,2))),"--")</f>
        <v>--</v>
      </c>
      <c r="N550" s="53" t="str">
        <f>IFERROR(IF(G550="","SIN",IF(O550=1,"SUBIR_E",IF(H550&lt;IFERROR(VLOOKUP(CONFIG!$E$2,CONFIG!$A$6:$E$8,2,0),6),"BAJAR",IF(H550+I550&gt;=IFERROR(VLOOKUP(CONFIG!$E$2,CONFIG!$A$6:$E$8,3,0),12),"SUBIR_F",IF(AND(H550&gt;=IFERROR(VLOOKUP(CONFIG!$E$2,CONFIG!$A$6:$E$8,2,0),6)+2,I550&gt;=2),"SUBIR",IF(I550&gt;IFERROR(VLOOKUP(CONFIG!$E$2,CONFIG!$A$6:$E$8,5,0),3),"SUBIR","MANT")))))),"SIN")</f>
        <v>SIN</v>
      </c>
      <c r="O550" s="55">
        <f>IF(COUNTIFS(HISTORIAL!$O$3:$O$548,D550&amp;"|"&amp;E550,HISTORIAL!$F$3:$F$548,"&gt;0")&lt;2,0,IF(COUNTIFS(HISTORIAL!$O$3:$O$548,D550&amp;"|"&amp;E550,HISTORIAL!$F$3:$F$548,IFERROR(LOOKUP(2,1/((HISTORIAL!$O$3:$O$548=D550&amp;"|"&amp;E550)*(HISTORIAL!$F$3:$F$548&gt;0)),HISTORIAL!$F$3:$F$548),0))&gt;=2,IF(IFERROR(LOOKUP(2,1/((HISTORIAL!$O$3:$O$548=D550&amp;"|"&amp;E550)*(HISTORIAL!$F$3:$F$548&gt;0)),HISTORIAL!$G$3:$G$548),0)&gt;0,IF(F550&gt;0,IF(G550&lt;=IFERROR(LOOKUP(2,1/((HISTORIAL!$O$3:$O$548=D550&amp;"|"&amp;E550)*(HISTORIAL!$F$3:$F$548&gt;0)),HISTORIAL!$G$3:$G$548),0),1,0),0),0),0))</f>
        <v>0</v>
      </c>
    </row>
    <row r="551" spans="1:15" ht="14.1" customHeight="1">
      <c r="A551" s="37">
        <v>9</v>
      </c>
      <c r="B551" s="37" t="s">
        <v>280</v>
      </c>
      <c r="C551" s="37">
        <v>7</v>
      </c>
      <c r="D551" s="56" t="str">
        <f>JUEVES!$A$222</f>
        <v>Press Inclinado</v>
      </c>
      <c r="E551" s="57" t="str">
        <f>JUEVES!$B$222</f>
        <v>Multipower</v>
      </c>
      <c r="F551" s="37" t="str">
        <f>JUEVES!$C$222</f>
        <v>disco</v>
      </c>
      <c r="G551" s="37" t="str">
        <f>IFERROR(LOOKUP(2,1/((HISTORIAL!$O$3:$O$549=D551&amp;"|"&amp;E551)*(HISTORIAL!$F$3:$F$549&lt;&gt;"")),HISTORIAL!$F$3:$F$549),"")</f>
        <v/>
      </c>
      <c r="H551" s="37" t="str">
        <f>IFERROR(LOOKUP(2,1/((HISTORIAL!$O$3:$O$549=D551&amp;"|"&amp;E551)*(HISTORIAL!$F$3:$F$549&lt;&gt;"")),HISTORIAL!$G$3:$G$549),"")</f>
        <v/>
      </c>
      <c r="I551" s="37" t="str">
        <f>IFERROR(LOOKUP(2,1/((HISTORIAL!$O$3:$O$549=D551&amp;"|"&amp;E551)*(HISTORIAL!$F$3:$F$549&lt;&gt;"")),HISTORIAL!$H$3:$H$549),"")</f>
        <v/>
      </c>
      <c r="J551" s="37" t="str">
        <f>IFERROR(LOOKUP(2,1/((HISTORIAL!$O$3:$O$549=D551&amp;"|"&amp;E551)*(HISTORIAL!$F$3:$F$549&lt;&gt;"")),HISTORIAL!$I$3:$I$549),"")</f>
        <v/>
      </c>
      <c r="K551" s="58" t="str">
        <f>IFERROR(IF(OR(G551="",N551="SIN"),"--",IF(N551="SUBIR_F",IF(F551="polea",IFERROR(INDEX(CONFIG!$B$25:$B$40,MATCH(G551,CONFIG!$B$25:$B$40,0)+2),IFERROR(INDEX(CONFIG!$B$25:$B$40,MATCH(G551,CONFIG!$B$25:$B$40,0)+1),G551)),G551+5),IF(OR(N551="SUBIR",N551="SUBIR_E"),IF(F551="polea",IFERROR(INDEX(CONFIG!$B$25:$B$40,MATCH(G551,CONFIG!$B$25:$B$40,0)+1),G551),G551+2.5),IF(N551="BAJAR",IF(F551="polea",IFERROR(INDEX(CONFIG!$B$25:$B$40,MAX(1,MATCH(G551,CONFIG!$B$25:$B$40,0)-1)),G551),MAX(0,G551-2.5)),G551)))),"--")</f>
        <v>--</v>
      </c>
      <c r="L551" s="59" t="str">
        <f>IFERROR(IF(N551="SIN","--",IF(N551="MANT",IF(H551="","--",H551+1),IFERROR(VLOOKUP(CONFIG!$E$2,CONFIG!$A$6:$E$8,2,0),"--"))),"--")</f>
        <v>--</v>
      </c>
      <c r="M551" s="59" t="str">
        <f>IFERROR(IF(N551="SIN","--",IF(CONFIG!$E$2="HIP",2,IF(CONFIG!$E$2="FUE",1,2))),"--")</f>
        <v>--</v>
      </c>
      <c r="N551" s="53" t="str">
        <f>IFERROR(IF(G551="","SIN",IF(O551=1,"SUBIR_E",IF(H551&lt;IFERROR(VLOOKUP(CONFIG!$E$2,CONFIG!$A$6:$E$8,2,0),6),"BAJAR",IF(H551+I551&gt;=IFERROR(VLOOKUP(CONFIG!$E$2,CONFIG!$A$6:$E$8,3,0),12),"SUBIR_F",IF(AND(H551&gt;=IFERROR(VLOOKUP(CONFIG!$E$2,CONFIG!$A$6:$E$8,2,0),6)+2,I551&gt;=2),"SUBIR",IF(I551&gt;IFERROR(VLOOKUP(CONFIG!$E$2,CONFIG!$A$6:$E$8,5,0),3),"SUBIR","MANT")))))),"SIN")</f>
        <v>SIN</v>
      </c>
      <c r="O551" s="55">
        <f>IF(COUNTIFS(HISTORIAL!$O$3:$O$549,D551&amp;"|"&amp;E551,HISTORIAL!$F$3:$F$549,"&gt;0")&lt;2,0,IF(COUNTIFS(HISTORIAL!$O$3:$O$549,D551&amp;"|"&amp;E551,HISTORIAL!$F$3:$F$549,IFERROR(LOOKUP(2,1/((HISTORIAL!$O$3:$O$549=D551&amp;"|"&amp;E551)*(HISTORIAL!$F$3:$F$549&gt;0)),HISTORIAL!$F$3:$F$549),0))&gt;=2,IF(IFERROR(LOOKUP(2,1/((HISTORIAL!$O$3:$O$549=D551&amp;"|"&amp;E551)*(HISTORIAL!$F$3:$F$549&gt;0)),HISTORIAL!$G$3:$G$549),0)&gt;0,IF(F551&gt;0,IF(G551&lt;=IFERROR(LOOKUP(2,1/((HISTORIAL!$O$3:$O$549=D551&amp;"|"&amp;E551)*(HISTORIAL!$F$3:$F$549&gt;0)),HISTORIAL!$G$3:$G$549),0),1,0),0),0),0))</f>
        <v>0</v>
      </c>
    </row>
    <row r="552" spans="1:15" ht="14.1" customHeight="1">
      <c r="A552" s="37">
        <v>9</v>
      </c>
      <c r="B552" s="37" t="s">
        <v>280</v>
      </c>
      <c r="C552" s="37">
        <v>8</v>
      </c>
      <c r="D552" s="56" t="str">
        <f>JUEVES!$A$224</f>
        <v>Aperturas</v>
      </c>
      <c r="E552" s="57" t="str">
        <f>JUEVES!$B$224</f>
        <v>Pec Deck Maquina</v>
      </c>
      <c r="F552" s="37" t="str">
        <f>JUEVES!$C$224</f>
        <v>--</v>
      </c>
      <c r="G552" s="37" t="str">
        <f>IFERROR(LOOKUP(2,1/((HISTORIAL!$O$3:$O$550=D552&amp;"|"&amp;E552)*(HISTORIAL!$F$3:$F$550&lt;&gt;"")),HISTORIAL!$F$3:$F$550),"")</f>
        <v/>
      </c>
      <c r="H552" s="37" t="str">
        <f>IFERROR(LOOKUP(2,1/((HISTORIAL!$O$3:$O$550=D552&amp;"|"&amp;E552)*(HISTORIAL!$F$3:$F$550&lt;&gt;"")),HISTORIAL!$G$3:$G$550),"")</f>
        <v/>
      </c>
      <c r="I552" s="37" t="str">
        <f>IFERROR(LOOKUP(2,1/((HISTORIAL!$O$3:$O$550=D552&amp;"|"&amp;E552)*(HISTORIAL!$F$3:$F$550&lt;&gt;"")),HISTORIAL!$H$3:$H$550),"")</f>
        <v/>
      </c>
      <c r="J552" s="37" t="str">
        <f>IFERROR(LOOKUP(2,1/((HISTORIAL!$O$3:$O$550=D552&amp;"|"&amp;E552)*(HISTORIAL!$F$3:$F$550&lt;&gt;"")),HISTORIAL!$I$3:$I$550),"")</f>
        <v/>
      </c>
      <c r="K552" s="58" t="str">
        <f>IFERROR(IF(OR(G552="",N552="SIN"),"--",IF(N552="SUBIR_F",IF(F552="polea",IFERROR(INDEX(CONFIG!$B$25:$B$40,MATCH(G552,CONFIG!$B$25:$B$40,0)+2),IFERROR(INDEX(CONFIG!$B$25:$B$40,MATCH(G552,CONFIG!$B$25:$B$40,0)+1),G552)),G552+5),IF(OR(N552="SUBIR",N552="SUBIR_E"),IF(F552="polea",IFERROR(INDEX(CONFIG!$B$25:$B$40,MATCH(G552,CONFIG!$B$25:$B$40,0)+1),G552),G552+2.5),IF(N552="BAJAR",IF(F552="polea",IFERROR(INDEX(CONFIG!$B$25:$B$40,MAX(1,MATCH(G552,CONFIG!$B$25:$B$40,0)-1)),G552),MAX(0,G552-2.5)),G552)))),"--")</f>
        <v>--</v>
      </c>
      <c r="L552" s="59" t="str">
        <f>IFERROR(IF(N552="SIN","--",IF(N552="MANT",IF(H552="","--",H552+1),IFERROR(VLOOKUP(CONFIG!$E$2,CONFIG!$A$6:$E$8,2,0),"--"))),"--")</f>
        <v>--</v>
      </c>
      <c r="M552" s="59" t="str">
        <f>IFERROR(IF(N552="SIN","--",IF(CONFIG!$E$2="HIP",2,IF(CONFIG!$E$2="FUE",1,2))),"--")</f>
        <v>--</v>
      </c>
      <c r="N552" s="53" t="str">
        <f>IFERROR(IF(G552="","SIN",IF(O552=1,"SUBIR_E",IF(H552&lt;IFERROR(VLOOKUP(CONFIG!$E$2,CONFIG!$A$6:$E$8,2,0),6),"BAJAR",IF(H552+I552&gt;=IFERROR(VLOOKUP(CONFIG!$E$2,CONFIG!$A$6:$E$8,3,0),12),"SUBIR_F",IF(AND(H552&gt;=IFERROR(VLOOKUP(CONFIG!$E$2,CONFIG!$A$6:$E$8,2,0),6)+2,I552&gt;=2),"SUBIR",IF(I552&gt;IFERROR(VLOOKUP(CONFIG!$E$2,CONFIG!$A$6:$E$8,5,0),3),"SUBIR","MANT")))))),"SIN")</f>
        <v>SIN</v>
      </c>
      <c r="O552" s="55">
        <f>IF(COUNTIFS(HISTORIAL!$O$3:$O$550,D552&amp;"|"&amp;E552,HISTORIAL!$F$3:$F$550,"&gt;0")&lt;2,0,IF(COUNTIFS(HISTORIAL!$O$3:$O$550,D552&amp;"|"&amp;E552,HISTORIAL!$F$3:$F$550,IFERROR(LOOKUP(2,1/((HISTORIAL!$O$3:$O$550=D552&amp;"|"&amp;E552)*(HISTORIAL!$F$3:$F$550&gt;0)),HISTORIAL!$F$3:$F$550),0))&gt;=2,IF(IFERROR(LOOKUP(2,1/((HISTORIAL!$O$3:$O$550=D552&amp;"|"&amp;E552)*(HISTORIAL!$F$3:$F$550&gt;0)),HISTORIAL!$G$3:$G$550),0)&gt;0,IF(F552&gt;0,IF(G552&lt;=IFERROR(LOOKUP(2,1/((HISTORIAL!$O$3:$O$550=D552&amp;"|"&amp;E552)*(HISTORIAL!$F$3:$F$550&gt;0)),HISTORIAL!$G$3:$G$550),0),1,0),0),0),0))</f>
        <v>0</v>
      </c>
    </row>
    <row r="553" spans="1:15" ht="14.1" customHeight="1">
      <c r="A553" s="37">
        <v>9</v>
      </c>
      <c r="B553" s="37" t="s">
        <v>280</v>
      </c>
      <c r="C553" s="37">
        <v>9</v>
      </c>
      <c r="D553" s="56" t="str">
        <f>JUEVES!$A$226</f>
        <v>Press Polea</v>
      </c>
      <c r="E553" s="57" t="str">
        <f>JUEVES!$B$226</f>
        <v>Barra Recta Diagonal Arriba</v>
      </c>
      <c r="F553" s="37" t="str">
        <f>JUEVES!$C$226</f>
        <v>polea</v>
      </c>
      <c r="G553" s="37" t="str">
        <f>IFERROR(LOOKUP(2,1/((HISTORIAL!$O$3:$O$551=D553&amp;"|"&amp;E553)*(HISTORIAL!$F$3:$F$551&lt;&gt;"")),HISTORIAL!$F$3:$F$551),"")</f>
        <v/>
      </c>
      <c r="H553" s="37" t="str">
        <f>IFERROR(LOOKUP(2,1/((HISTORIAL!$O$3:$O$551=D553&amp;"|"&amp;E553)*(HISTORIAL!$F$3:$F$551&lt;&gt;"")),HISTORIAL!$G$3:$G$551),"")</f>
        <v/>
      </c>
      <c r="I553" s="37" t="str">
        <f>IFERROR(LOOKUP(2,1/((HISTORIAL!$O$3:$O$551=D553&amp;"|"&amp;E553)*(HISTORIAL!$F$3:$F$551&lt;&gt;"")),HISTORIAL!$H$3:$H$551),"")</f>
        <v/>
      </c>
      <c r="J553" s="37" t="str">
        <f>IFERROR(LOOKUP(2,1/((HISTORIAL!$O$3:$O$551=D553&amp;"|"&amp;E553)*(HISTORIAL!$F$3:$F$551&lt;&gt;"")),HISTORIAL!$I$3:$I$551),"")</f>
        <v/>
      </c>
      <c r="K553" s="58" t="str">
        <f>IFERROR(IF(OR(G553="",N553="SIN"),"--",IF(N553="SUBIR_F",IF(F553="polea",IFERROR(INDEX(CONFIG!$B$25:$B$40,MATCH(G553,CONFIG!$B$25:$B$40,0)+2),IFERROR(INDEX(CONFIG!$B$25:$B$40,MATCH(G553,CONFIG!$B$25:$B$40,0)+1),G553)),G553+5),IF(OR(N553="SUBIR",N553="SUBIR_E"),IF(F553="polea",IFERROR(INDEX(CONFIG!$B$25:$B$40,MATCH(G553,CONFIG!$B$25:$B$40,0)+1),G553),G553+2.5),IF(N553="BAJAR",IF(F553="polea",IFERROR(INDEX(CONFIG!$B$25:$B$40,MAX(1,MATCH(G553,CONFIG!$B$25:$B$40,0)-1)),G553),MAX(0,G553-2.5)),G553)))),"--")</f>
        <v>--</v>
      </c>
      <c r="L553" s="59" t="str">
        <f>IFERROR(IF(N553="SIN","--",IF(N553="MANT",IF(H553="","--",H553+1),IFERROR(VLOOKUP(CONFIG!$E$2,CONFIG!$A$6:$E$8,2,0),"--"))),"--")</f>
        <v>--</v>
      </c>
      <c r="M553" s="59" t="str">
        <f>IFERROR(IF(N553="SIN","--",IF(CONFIG!$E$2="HIP",2,IF(CONFIG!$E$2="FUE",1,2))),"--")</f>
        <v>--</v>
      </c>
      <c r="N553" s="53" t="str">
        <f>IFERROR(IF(G553="","SIN",IF(O553=1,"SUBIR_E",IF(H553&lt;IFERROR(VLOOKUP(CONFIG!$E$2,CONFIG!$A$6:$E$8,2,0),6),"BAJAR",IF(H553+I553&gt;=IFERROR(VLOOKUP(CONFIG!$E$2,CONFIG!$A$6:$E$8,3,0),12),"SUBIR_F",IF(AND(H553&gt;=IFERROR(VLOOKUP(CONFIG!$E$2,CONFIG!$A$6:$E$8,2,0),6)+2,I553&gt;=2),"SUBIR",IF(I553&gt;IFERROR(VLOOKUP(CONFIG!$E$2,CONFIG!$A$6:$E$8,5,0),3),"SUBIR","MANT")))))),"SIN")</f>
        <v>SIN</v>
      </c>
      <c r="O553" s="55">
        <f>IF(COUNTIFS(HISTORIAL!$O$3:$O$551,D553&amp;"|"&amp;E553,HISTORIAL!$F$3:$F$551,"&gt;0")&lt;2,0,IF(COUNTIFS(HISTORIAL!$O$3:$O$551,D553&amp;"|"&amp;E553,HISTORIAL!$F$3:$F$551,IFERROR(LOOKUP(2,1/((HISTORIAL!$O$3:$O$551=D553&amp;"|"&amp;E553)*(HISTORIAL!$F$3:$F$551&gt;0)),HISTORIAL!$F$3:$F$551),0))&gt;=2,IF(IFERROR(LOOKUP(2,1/((HISTORIAL!$O$3:$O$551=D553&amp;"|"&amp;E553)*(HISTORIAL!$F$3:$F$551&gt;0)),HISTORIAL!$G$3:$G$551),0)&gt;0,IF(F553&gt;0,IF(G553&lt;=IFERROR(LOOKUP(2,1/((HISTORIAL!$O$3:$O$551=D553&amp;"|"&amp;E553)*(HISTORIAL!$F$3:$F$551&gt;0)),HISTORIAL!$G$3:$G$551),0),1,0),0),0),0))</f>
        <v>0</v>
      </c>
    </row>
    <row r="554" spans="1:15" ht="14.1" customHeight="1">
      <c r="A554" s="37">
        <v>9</v>
      </c>
      <c r="B554" s="37" t="s">
        <v>280</v>
      </c>
      <c r="C554" s="37">
        <v>10</v>
      </c>
      <c r="D554" s="56" t="str">
        <f>JUEVES!$A$227</f>
        <v>Extension Triceps</v>
      </c>
      <c r="E554" s="57" t="str">
        <f>JUEVES!$B$227</f>
        <v>Polea Sobre Cabeza</v>
      </c>
      <c r="F554" s="37" t="str">
        <f>JUEVES!$C$227</f>
        <v>--</v>
      </c>
      <c r="G554" s="37" t="str">
        <f>IFERROR(LOOKUP(2,1/((HISTORIAL!$O$3:$O$552=D554&amp;"|"&amp;E554)*(HISTORIAL!$F$3:$F$552&lt;&gt;"")),HISTORIAL!$F$3:$F$552),"")</f>
        <v/>
      </c>
      <c r="H554" s="37" t="str">
        <f>IFERROR(LOOKUP(2,1/((HISTORIAL!$O$3:$O$552=D554&amp;"|"&amp;E554)*(HISTORIAL!$F$3:$F$552&lt;&gt;"")),HISTORIAL!$G$3:$G$552),"")</f>
        <v/>
      </c>
      <c r="I554" s="37" t="str">
        <f>IFERROR(LOOKUP(2,1/((HISTORIAL!$O$3:$O$552=D554&amp;"|"&amp;E554)*(HISTORIAL!$F$3:$F$552&lt;&gt;"")),HISTORIAL!$H$3:$H$552),"")</f>
        <v/>
      </c>
      <c r="J554" s="37" t="str">
        <f>IFERROR(LOOKUP(2,1/((HISTORIAL!$O$3:$O$552=D554&amp;"|"&amp;E554)*(HISTORIAL!$F$3:$F$552&lt;&gt;"")),HISTORIAL!$I$3:$I$552),"")</f>
        <v/>
      </c>
      <c r="K554" s="58" t="str">
        <f>IFERROR(IF(OR(G554="",N554="SIN"),"--",IF(N554="SUBIR_F",IF(F554="polea",IFERROR(INDEX(CONFIG!$B$25:$B$40,MATCH(G554,CONFIG!$B$25:$B$40,0)+2),IFERROR(INDEX(CONFIG!$B$25:$B$40,MATCH(G554,CONFIG!$B$25:$B$40,0)+1),G554)),G554+5),IF(OR(N554="SUBIR",N554="SUBIR_E"),IF(F554="polea",IFERROR(INDEX(CONFIG!$B$25:$B$40,MATCH(G554,CONFIG!$B$25:$B$40,0)+1),G554),G554+2.5),IF(N554="BAJAR",IF(F554="polea",IFERROR(INDEX(CONFIG!$B$25:$B$40,MAX(1,MATCH(G554,CONFIG!$B$25:$B$40,0)-1)),G554),MAX(0,G554-2.5)),G554)))),"--")</f>
        <v>--</v>
      </c>
      <c r="L554" s="59" t="str">
        <f>IFERROR(IF(N554="SIN","--",IF(N554="MANT",IF(H554="","--",H554+1),IFERROR(VLOOKUP(CONFIG!$E$2,CONFIG!$A$6:$E$8,2,0),"--"))),"--")</f>
        <v>--</v>
      </c>
      <c r="M554" s="59" t="str">
        <f>IFERROR(IF(N554="SIN","--",IF(CONFIG!$E$2="HIP",2,IF(CONFIG!$E$2="FUE",1,2))),"--")</f>
        <v>--</v>
      </c>
      <c r="N554" s="53" t="str">
        <f>IFERROR(IF(G554="","SIN",IF(O554=1,"SUBIR_E",IF(H554&lt;IFERROR(VLOOKUP(CONFIG!$E$2,CONFIG!$A$6:$E$8,2,0),6),"BAJAR",IF(H554+I554&gt;=IFERROR(VLOOKUP(CONFIG!$E$2,CONFIG!$A$6:$E$8,3,0),12),"SUBIR_F",IF(AND(H554&gt;=IFERROR(VLOOKUP(CONFIG!$E$2,CONFIG!$A$6:$E$8,2,0),6)+2,I554&gt;=2),"SUBIR",IF(I554&gt;IFERROR(VLOOKUP(CONFIG!$E$2,CONFIG!$A$6:$E$8,5,0),3),"SUBIR","MANT")))))),"SIN")</f>
        <v>SIN</v>
      </c>
      <c r="O554" s="55">
        <f>IF(COUNTIFS(HISTORIAL!$O$3:$O$552,D554&amp;"|"&amp;E554,HISTORIAL!$F$3:$F$552,"&gt;0")&lt;2,0,IF(COUNTIFS(HISTORIAL!$O$3:$O$552,D554&amp;"|"&amp;E554,HISTORIAL!$F$3:$F$552,IFERROR(LOOKUP(2,1/((HISTORIAL!$O$3:$O$552=D554&amp;"|"&amp;E554)*(HISTORIAL!$F$3:$F$552&gt;0)),HISTORIAL!$F$3:$F$552),0))&gt;=2,IF(IFERROR(LOOKUP(2,1/((HISTORIAL!$O$3:$O$552=D554&amp;"|"&amp;E554)*(HISTORIAL!$F$3:$F$552&gt;0)),HISTORIAL!$G$3:$G$552),0)&gt;0,IF(F554&gt;0,IF(G554&lt;=IFERROR(LOOKUP(2,1/((HISTORIAL!$O$3:$O$552=D554&amp;"|"&amp;E554)*(HISTORIAL!$F$3:$F$552&gt;0)),HISTORIAL!$G$3:$G$552),0),1,0),0),0),0))</f>
        <v>0</v>
      </c>
    </row>
    <row r="555" spans="1:15" ht="14.1" customHeight="1">
      <c r="A555" s="37">
        <v>9</v>
      </c>
      <c r="B555" s="37" t="s">
        <v>280</v>
      </c>
      <c r="C555" s="37">
        <v>11</v>
      </c>
      <c r="D555" s="56" t="str">
        <f>JUEVES!$A$229</f>
        <v>Extension Cuadriceps</v>
      </c>
      <c r="E555" s="57" t="str">
        <f>JUEVES!$B$229</f>
        <v>Vasto Interno</v>
      </c>
      <c r="F555" s="37" t="str">
        <f>JUEVES!$C$229</f>
        <v>--</v>
      </c>
      <c r="G555" s="37" t="str">
        <f>IFERROR(LOOKUP(2,1/((HISTORIAL!$O$3:$O$553=D555&amp;"|"&amp;E555)*(HISTORIAL!$F$3:$F$553&lt;&gt;"")),HISTORIAL!$F$3:$F$553),"")</f>
        <v/>
      </c>
      <c r="H555" s="37" t="str">
        <f>IFERROR(LOOKUP(2,1/((HISTORIAL!$O$3:$O$553=D555&amp;"|"&amp;E555)*(HISTORIAL!$F$3:$F$553&lt;&gt;"")),HISTORIAL!$G$3:$G$553),"")</f>
        <v/>
      </c>
      <c r="I555" s="37" t="str">
        <f>IFERROR(LOOKUP(2,1/((HISTORIAL!$O$3:$O$553=D555&amp;"|"&amp;E555)*(HISTORIAL!$F$3:$F$553&lt;&gt;"")),HISTORIAL!$H$3:$H$553),"")</f>
        <v/>
      </c>
      <c r="J555" s="37" t="str">
        <f>IFERROR(LOOKUP(2,1/((HISTORIAL!$O$3:$O$553=D555&amp;"|"&amp;E555)*(HISTORIAL!$F$3:$F$553&lt;&gt;"")),HISTORIAL!$I$3:$I$553),"")</f>
        <v/>
      </c>
      <c r="K555" s="58" t="str">
        <f>IFERROR(IF(OR(G555="",N555="SIN"),"--",IF(N555="SUBIR_F",IF(F555="polea",IFERROR(INDEX(CONFIG!$B$25:$B$40,MATCH(G555,CONFIG!$B$25:$B$40,0)+2),IFERROR(INDEX(CONFIG!$B$25:$B$40,MATCH(G555,CONFIG!$B$25:$B$40,0)+1),G555)),G555+5),IF(OR(N555="SUBIR",N555="SUBIR_E"),IF(F555="polea",IFERROR(INDEX(CONFIG!$B$25:$B$40,MATCH(G555,CONFIG!$B$25:$B$40,0)+1),G555),G555+2.5),IF(N555="BAJAR",IF(F555="polea",IFERROR(INDEX(CONFIG!$B$25:$B$40,MAX(1,MATCH(G555,CONFIG!$B$25:$B$40,0)-1)),G555),MAX(0,G555-2.5)),G555)))),"--")</f>
        <v>--</v>
      </c>
      <c r="L555" s="59" t="str">
        <f>IFERROR(IF(N555="SIN","--",IF(N555="MANT",IF(H555="","--",H555+1),IFERROR(VLOOKUP(CONFIG!$E$2,CONFIG!$A$6:$E$8,2,0),"--"))),"--")</f>
        <v>--</v>
      </c>
      <c r="M555" s="59" t="str">
        <f>IFERROR(IF(N555="SIN","--",IF(CONFIG!$E$2="HIP",2,IF(CONFIG!$E$2="FUE",1,2))),"--")</f>
        <v>--</v>
      </c>
      <c r="N555" s="53" t="str">
        <f>IFERROR(IF(G555="","SIN",IF(O555=1,"SUBIR_E",IF(H555&lt;IFERROR(VLOOKUP(CONFIG!$E$2,CONFIG!$A$6:$E$8,2,0),6),"BAJAR",IF(H555+I555&gt;=IFERROR(VLOOKUP(CONFIG!$E$2,CONFIG!$A$6:$E$8,3,0),12),"SUBIR_F",IF(AND(H555&gt;=IFERROR(VLOOKUP(CONFIG!$E$2,CONFIG!$A$6:$E$8,2,0),6)+2,I555&gt;=2),"SUBIR",IF(I555&gt;IFERROR(VLOOKUP(CONFIG!$E$2,CONFIG!$A$6:$E$8,5,0),3),"SUBIR","MANT")))))),"SIN")</f>
        <v>SIN</v>
      </c>
      <c r="O555" s="55">
        <f>IF(COUNTIFS(HISTORIAL!$O$3:$O$553,D555&amp;"|"&amp;E555,HISTORIAL!$F$3:$F$553,"&gt;0")&lt;2,0,IF(COUNTIFS(HISTORIAL!$O$3:$O$553,D555&amp;"|"&amp;E555,HISTORIAL!$F$3:$F$553,IFERROR(LOOKUP(2,1/((HISTORIAL!$O$3:$O$553=D555&amp;"|"&amp;E555)*(HISTORIAL!$F$3:$F$553&gt;0)),HISTORIAL!$F$3:$F$553),0))&gt;=2,IF(IFERROR(LOOKUP(2,1/((HISTORIAL!$O$3:$O$553=D555&amp;"|"&amp;E555)*(HISTORIAL!$F$3:$F$553&gt;0)),HISTORIAL!$G$3:$G$553),0)&gt;0,IF(F555&gt;0,IF(G555&lt;=IFERROR(LOOKUP(2,1/((HISTORIAL!$O$3:$O$553=D555&amp;"|"&amp;E555)*(HISTORIAL!$F$3:$F$553&gt;0)),HISTORIAL!$G$3:$G$553),0),1,0),0),0),0))</f>
        <v>0</v>
      </c>
    </row>
    <row r="556" spans="1:15" ht="14.1" customHeight="1">
      <c r="A556" s="37">
        <v>9</v>
      </c>
      <c r="B556" s="37" t="s">
        <v>280</v>
      </c>
      <c r="C556" s="37">
        <v>12</v>
      </c>
      <c r="D556" s="56" t="str">
        <f>JUEVES!$A$231</f>
        <v>Curl Biceps</v>
      </c>
      <c r="E556" s="57" t="str">
        <f>JUEVES!$B$231</f>
        <v>Concentrado Maquina</v>
      </c>
      <c r="F556" s="37" t="str">
        <f>JUEVES!$C$231</f>
        <v>polea</v>
      </c>
      <c r="G556" s="37">
        <f>IFERROR(LOOKUP(2,1/((HISTORIAL!$O$3:$O$554=D556&amp;"|"&amp;E556)*(HISTORIAL!$F$3:$F$554&lt;&gt;"")),HISTORIAL!$F$3:$F$554),"")</f>
        <v>40</v>
      </c>
      <c r="H556" s="37">
        <f>IFERROR(LOOKUP(2,1/((HISTORIAL!$O$3:$O$554=D556&amp;"|"&amp;E556)*(HISTORIAL!$F$3:$F$554&lt;&gt;"")),HISTORIAL!$G$3:$G$554),"")</f>
        <v>6</v>
      </c>
      <c r="I556" s="37">
        <f>IFERROR(LOOKUP(2,1/((HISTORIAL!$O$3:$O$554=D556&amp;"|"&amp;E556)*(HISTORIAL!$F$3:$F$554&lt;&gt;"")),HISTORIAL!$H$3:$H$554),"")</f>
        <v>0</v>
      </c>
      <c r="J556" s="37" t="str">
        <f>IFERROR(LOOKUP(2,1/((HISTORIAL!$O$3:$O$554=D556&amp;"|"&amp;E556)*(HISTORIAL!$F$3:$F$554&lt;&gt;"")),HISTORIAL!$I$3:$I$554),"")</f>
        <v>B</v>
      </c>
      <c r="K556" s="58">
        <f>IFERROR(IF(OR(G556="",N556="SIN"),"--",IF(N556="SUBIR_F",IF(F556="polea",IFERROR(INDEX(CONFIG!$B$25:$B$40,MATCH(G556,CONFIG!$B$25:$B$40,0)+2),IFERROR(INDEX(CONFIG!$B$25:$B$40,MATCH(G556,CONFIG!$B$25:$B$40,0)+1),G556)),G556+5),IF(OR(N556="SUBIR",N556="SUBIR_E"),IF(F556="polea",IFERROR(INDEX(CONFIG!$B$25:$B$40,MATCH(G556,CONFIG!$B$25:$B$40,0)+1),G556),G556+2.5),IF(N556="BAJAR",IF(F556="polea",IFERROR(INDEX(CONFIG!$B$25:$B$40,MAX(1,MATCH(G556,CONFIG!$B$25:$B$40,0)-1)),G556),MAX(0,G556-2.5)),G556)))),"--")</f>
        <v>40</v>
      </c>
      <c r="L556" s="59">
        <f>IFERROR(IF(N556="SIN","--",IF(N556="MANT",IF(H556="","--",H556+1),IFERROR(VLOOKUP(CONFIG!$E$2,CONFIG!$A$6:$E$8,2,0),"--"))),"--")</f>
        <v>7</v>
      </c>
      <c r="M556" s="59">
        <f>IFERROR(IF(N556="SIN","--",IF(CONFIG!$E$2="HIP",2,IF(CONFIG!$E$2="FUE",1,2))),"--")</f>
        <v>2</v>
      </c>
      <c r="N556" s="53" t="str">
        <f>IFERROR(IF(G556="","SIN",IF(O556=1,"SUBIR_E",IF(H556&lt;IFERROR(VLOOKUP(CONFIG!$E$2,CONFIG!$A$6:$E$8,2,0),6),"BAJAR",IF(H556+I556&gt;=IFERROR(VLOOKUP(CONFIG!$E$2,CONFIG!$A$6:$E$8,3,0),12),"SUBIR_F",IF(AND(H556&gt;=IFERROR(VLOOKUP(CONFIG!$E$2,CONFIG!$A$6:$E$8,2,0),6)+2,I556&gt;=2),"SUBIR",IF(I556&gt;IFERROR(VLOOKUP(CONFIG!$E$2,CONFIG!$A$6:$E$8,5,0),3),"SUBIR","MANT")))))),"SIN")</f>
        <v>MANT</v>
      </c>
      <c r="O556" s="55">
        <f>IF(COUNTIFS(HISTORIAL!$O$3:$O$554,D556&amp;"|"&amp;E556,HISTORIAL!$F$3:$F$554,"&gt;0")&lt;2,0,IF(COUNTIFS(HISTORIAL!$O$3:$O$554,D556&amp;"|"&amp;E556,HISTORIAL!$F$3:$F$554,IFERROR(LOOKUP(2,1/((HISTORIAL!$O$3:$O$554=D556&amp;"|"&amp;E556)*(HISTORIAL!$F$3:$F$554&gt;0)),HISTORIAL!$F$3:$F$554),0))&gt;=2,IF(IFERROR(LOOKUP(2,1/((HISTORIAL!$O$3:$O$554=D556&amp;"|"&amp;E556)*(HISTORIAL!$F$3:$F$554&gt;0)),HISTORIAL!$G$3:$G$554),0)&gt;0,IF(F556&gt;0,IF(G556&lt;=IFERROR(LOOKUP(2,1/((HISTORIAL!$O$3:$O$554=D556&amp;"|"&amp;E556)*(HISTORIAL!$F$3:$F$554&gt;0)),HISTORIAL!$G$3:$G$554),0),1,0),0),0),0))</f>
        <v>0</v>
      </c>
    </row>
    <row r="557" spans="1:15" ht="14.1" customHeight="1">
      <c r="A557" s="37">
        <v>9</v>
      </c>
      <c r="B557" s="37" t="s">
        <v>280</v>
      </c>
      <c r="C557" s="37">
        <v>13</v>
      </c>
      <c r="D557" s="56" t="str">
        <f>JUEVES!$A$233</f>
        <v>Crunch</v>
      </c>
      <c r="E557" s="57" t="str">
        <f>JUEVES!$B$233</f>
        <v>Polea</v>
      </c>
      <c r="F557" s="37" t="str">
        <f>JUEVES!$C$233</f>
        <v>polea</v>
      </c>
      <c r="G557" s="37" t="str">
        <f>IFERROR(LOOKUP(2,1/((HISTORIAL!$O$3:$O$555=D557&amp;"|"&amp;E557)*(HISTORIAL!$F$3:$F$555&lt;&gt;"")),HISTORIAL!$F$3:$F$555),"")</f>
        <v/>
      </c>
      <c r="H557" s="37" t="str">
        <f>IFERROR(LOOKUP(2,1/((HISTORIAL!$O$3:$O$555=D557&amp;"|"&amp;E557)*(HISTORIAL!$F$3:$F$555&lt;&gt;"")),HISTORIAL!$G$3:$G$555),"")</f>
        <v/>
      </c>
      <c r="I557" s="37" t="str">
        <f>IFERROR(LOOKUP(2,1/((HISTORIAL!$O$3:$O$555=D557&amp;"|"&amp;E557)*(HISTORIAL!$F$3:$F$555&lt;&gt;"")),HISTORIAL!$H$3:$H$555),"")</f>
        <v/>
      </c>
      <c r="J557" s="37" t="str">
        <f>IFERROR(LOOKUP(2,1/((HISTORIAL!$O$3:$O$555=D557&amp;"|"&amp;E557)*(HISTORIAL!$F$3:$F$555&lt;&gt;"")),HISTORIAL!$I$3:$I$555),"")</f>
        <v/>
      </c>
      <c r="K557" s="58" t="str">
        <f>IFERROR(IF(OR(G557="",N557="SIN"),"--",IF(N557="SUBIR_F",IF(F557="polea",IFERROR(INDEX(CONFIG!$B$25:$B$40,MATCH(G557,CONFIG!$B$25:$B$40,0)+2),IFERROR(INDEX(CONFIG!$B$25:$B$40,MATCH(G557,CONFIG!$B$25:$B$40,0)+1),G557)),G557+5),IF(OR(N557="SUBIR",N557="SUBIR_E"),IF(F557="polea",IFERROR(INDEX(CONFIG!$B$25:$B$40,MATCH(G557,CONFIG!$B$25:$B$40,0)+1),G557),G557+2.5),IF(N557="BAJAR",IF(F557="polea",IFERROR(INDEX(CONFIG!$B$25:$B$40,MAX(1,MATCH(G557,CONFIG!$B$25:$B$40,0)-1)),G557),MAX(0,G557-2.5)),G557)))),"--")</f>
        <v>--</v>
      </c>
      <c r="L557" s="59" t="str">
        <f>IFERROR(IF(N557="SIN","--",IF(N557="MANT",IF(H557="","--",H557+1),IFERROR(VLOOKUP(CONFIG!$E$2,CONFIG!$A$6:$E$8,2,0),"--"))),"--")</f>
        <v>--</v>
      </c>
      <c r="M557" s="59" t="str">
        <f>IFERROR(IF(N557="SIN","--",IF(CONFIG!$E$2="HIP",2,IF(CONFIG!$E$2="FUE",1,2))),"--")</f>
        <v>--</v>
      </c>
      <c r="N557" s="53" t="str">
        <f>IFERROR(IF(G557="","SIN",IF(O557=1,"SUBIR_E",IF(H557&lt;IFERROR(VLOOKUP(CONFIG!$E$2,CONFIG!$A$6:$E$8,2,0),6),"BAJAR",IF(H557+I557&gt;=IFERROR(VLOOKUP(CONFIG!$E$2,CONFIG!$A$6:$E$8,3,0),12),"SUBIR_F",IF(AND(H557&gt;=IFERROR(VLOOKUP(CONFIG!$E$2,CONFIG!$A$6:$E$8,2,0),6)+2,I557&gt;=2),"SUBIR",IF(I557&gt;IFERROR(VLOOKUP(CONFIG!$E$2,CONFIG!$A$6:$E$8,5,0),3),"SUBIR","MANT")))))),"SIN")</f>
        <v>SIN</v>
      </c>
      <c r="O557" s="55">
        <f>IF(COUNTIFS(HISTORIAL!$O$3:$O$555,D557&amp;"|"&amp;E557,HISTORIAL!$F$3:$F$555,"&gt;0")&lt;2,0,IF(COUNTIFS(HISTORIAL!$O$3:$O$555,D557&amp;"|"&amp;E557,HISTORIAL!$F$3:$F$555,IFERROR(LOOKUP(2,1/((HISTORIAL!$O$3:$O$555=D557&amp;"|"&amp;E557)*(HISTORIAL!$F$3:$F$555&gt;0)),HISTORIAL!$F$3:$F$555),0))&gt;=2,IF(IFERROR(LOOKUP(2,1/((HISTORIAL!$O$3:$O$555=D557&amp;"|"&amp;E557)*(HISTORIAL!$F$3:$F$555&gt;0)),HISTORIAL!$G$3:$G$555),0)&gt;0,IF(F557&gt;0,IF(G557&lt;=IFERROR(LOOKUP(2,1/((HISTORIAL!$O$3:$O$555=D557&amp;"|"&amp;E557)*(HISTORIAL!$F$3:$F$555&gt;0)),HISTORIAL!$G$3:$G$555),0),1,0),0),0),0))</f>
        <v>0</v>
      </c>
    </row>
    <row r="558" spans="1:15" ht="14.1" customHeight="1">
      <c r="A558" s="37">
        <v>9</v>
      </c>
      <c r="B558" s="37" t="s">
        <v>281</v>
      </c>
      <c r="C558" s="37">
        <v>1</v>
      </c>
      <c r="D558" s="56" t="str">
        <f>SABADO!$A$205</f>
        <v>Pulldown</v>
      </c>
      <c r="E558" s="57" t="str">
        <f>SABADO!$B$205</f>
        <v>Polea Alta Brazos Rectos Prono</v>
      </c>
      <c r="F558" s="37" t="str">
        <f>SABADO!$C$205</f>
        <v>polea</v>
      </c>
      <c r="G558" s="37" t="str">
        <f>IFERROR(LOOKUP(2,1/((HISTORIAL!$O$3:$O$556=D558&amp;"|"&amp;E558)*(HISTORIAL!$F$3:$F$556&lt;&gt;"")),HISTORIAL!$F$3:$F$556),"")</f>
        <v/>
      </c>
      <c r="H558" s="37" t="str">
        <f>IFERROR(LOOKUP(2,1/((HISTORIAL!$O$3:$O$556=D558&amp;"|"&amp;E558)*(HISTORIAL!$F$3:$F$556&lt;&gt;"")),HISTORIAL!$G$3:$G$556),"")</f>
        <v/>
      </c>
      <c r="I558" s="37" t="str">
        <f>IFERROR(LOOKUP(2,1/((HISTORIAL!$O$3:$O$556=D558&amp;"|"&amp;E558)*(HISTORIAL!$F$3:$F$556&lt;&gt;"")),HISTORIAL!$H$3:$H$556),"")</f>
        <v/>
      </c>
      <c r="J558" s="37" t="str">
        <f>IFERROR(LOOKUP(2,1/((HISTORIAL!$O$3:$O$556=D558&amp;"|"&amp;E558)*(HISTORIAL!$F$3:$F$556&lt;&gt;"")),HISTORIAL!$I$3:$I$556),"")</f>
        <v/>
      </c>
      <c r="K558" s="58" t="str">
        <f>IFERROR(IF(OR(G558="",N558="SIN"),"--",IF(N558="SUBIR_F",IF(F558="polea",IFERROR(INDEX(CONFIG!$B$25:$B$40,MATCH(G558,CONFIG!$B$25:$B$40,0)+2),IFERROR(INDEX(CONFIG!$B$25:$B$40,MATCH(G558,CONFIG!$B$25:$B$40,0)+1),G558)),G558+5),IF(OR(N558="SUBIR",N558="SUBIR_E"),IF(F558="polea",IFERROR(INDEX(CONFIG!$B$25:$B$40,MATCH(G558,CONFIG!$B$25:$B$40,0)+1),G558),G558+2.5),IF(N558="BAJAR",IF(F558="polea",IFERROR(INDEX(CONFIG!$B$25:$B$40,MAX(1,MATCH(G558,CONFIG!$B$25:$B$40,0)-1)),G558),MAX(0,G558-2.5)),G558)))),"--")</f>
        <v>--</v>
      </c>
      <c r="L558" s="59" t="str">
        <f>IFERROR(IF(N558="SIN","--",IF(N558="MANT",IF(H558="","--",H558+1),IFERROR(VLOOKUP(CONFIG!$E$2,CONFIG!$A$6:$E$8,2,0),"--"))),"--")</f>
        <v>--</v>
      </c>
      <c r="M558" s="59" t="str">
        <f>IFERROR(IF(N558="SIN","--",IF(CONFIG!$E$2="HIP",2,IF(CONFIG!$E$2="FUE",1,2))),"--")</f>
        <v>--</v>
      </c>
      <c r="N558" s="53" t="str">
        <f>IFERROR(IF(G558="","SIN",IF(O558=1,"SUBIR_E",IF(H558&lt;IFERROR(VLOOKUP(CONFIG!$E$2,CONFIG!$A$6:$E$8,2,0),6),"BAJAR",IF(H558+I558&gt;=IFERROR(VLOOKUP(CONFIG!$E$2,CONFIG!$A$6:$E$8,3,0),12),"SUBIR_F",IF(AND(H558&gt;=IFERROR(VLOOKUP(CONFIG!$E$2,CONFIG!$A$6:$E$8,2,0),6)+2,I558&gt;=2),"SUBIR",IF(I558&gt;IFERROR(VLOOKUP(CONFIG!$E$2,CONFIG!$A$6:$E$8,5,0),3),"SUBIR","MANT")))))),"SIN")</f>
        <v>SIN</v>
      </c>
      <c r="O558" s="55">
        <f>IF(COUNTIFS(HISTORIAL!$O$3:$O$556,D558&amp;"|"&amp;E558,HISTORIAL!$F$3:$F$556,"&gt;0")&lt;2,0,IF(COUNTIFS(HISTORIAL!$O$3:$O$556,D558&amp;"|"&amp;E558,HISTORIAL!$F$3:$F$556,IFERROR(LOOKUP(2,1/((HISTORIAL!$O$3:$O$556=D558&amp;"|"&amp;E558)*(HISTORIAL!$F$3:$F$556&gt;0)),HISTORIAL!$F$3:$F$556),0))&gt;=2,IF(IFERROR(LOOKUP(2,1/((HISTORIAL!$O$3:$O$556=D558&amp;"|"&amp;E558)*(HISTORIAL!$F$3:$F$556&gt;0)),HISTORIAL!$G$3:$G$556),0)&gt;0,IF(F558&gt;0,IF(G558&lt;=IFERROR(LOOKUP(2,1/((HISTORIAL!$O$3:$O$556=D558&amp;"|"&amp;E558)*(HISTORIAL!$F$3:$F$556&gt;0)),HISTORIAL!$G$3:$G$556),0),1,0),0),0),0))</f>
        <v>0</v>
      </c>
    </row>
    <row r="559" spans="1:15" ht="14.1" customHeight="1">
      <c r="A559" s="37">
        <v>9</v>
      </c>
      <c r="B559" s="37" t="s">
        <v>281</v>
      </c>
      <c r="C559" s="37">
        <v>2</v>
      </c>
      <c r="D559" s="56" t="str">
        <f>SABADO!$A$207</f>
        <v>Remo</v>
      </c>
      <c r="E559" s="57" t="str">
        <f>SABADO!$B$207</f>
        <v>Maquina Neutro Estrecho</v>
      </c>
      <c r="F559" s="37" t="str">
        <f>SABADO!$C$207</f>
        <v>polea</v>
      </c>
      <c r="G559" s="37" t="str">
        <f>IFERROR(LOOKUP(2,1/((HISTORIAL!$O$3:$O$557=D559&amp;"|"&amp;E559)*(HISTORIAL!$F$3:$F$557&lt;&gt;"")),HISTORIAL!$F$3:$F$557),"")</f>
        <v/>
      </c>
      <c r="H559" s="37" t="str">
        <f>IFERROR(LOOKUP(2,1/((HISTORIAL!$O$3:$O$557=D559&amp;"|"&amp;E559)*(HISTORIAL!$F$3:$F$557&lt;&gt;"")),HISTORIAL!$G$3:$G$557),"")</f>
        <v/>
      </c>
      <c r="I559" s="37" t="str">
        <f>IFERROR(LOOKUP(2,1/((HISTORIAL!$O$3:$O$557=D559&amp;"|"&amp;E559)*(HISTORIAL!$F$3:$F$557&lt;&gt;"")),HISTORIAL!$H$3:$H$557),"")</f>
        <v/>
      </c>
      <c r="J559" s="37" t="str">
        <f>IFERROR(LOOKUP(2,1/((HISTORIAL!$O$3:$O$557=D559&amp;"|"&amp;E559)*(HISTORIAL!$F$3:$F$557&lt;&gt;"")),HISTORIAL!$I$3:$I$557),"")</f>
        <v/>
      </c>
      <c r="K559" s="58" t="str">
        <f>IFERROR(IF(OR(G559="",N559="SIN"),"--",IF(N559="SUBIR_F",IF(F559="polea",IFERROR(INDEX(CONFIG!$B$25:$B$40,MATCH(G559,CONFIG!$B$25:$B$40,0)+2),IFERROR(INDEX(CONFIG!$B$25:$B$40,MATCH(G559,CONFIG!$B$25:$B$40,0)+1),G559)),G559+5),IF(OR(N559="SUBIR",N559="SUBIR_E"),IF(F559="polea",IFERROR(INDEX(CONFIG!$B$25:$B$40,MATCH(G559,CONFIG!$B$25:$B$40,0)+1),G559),G559+2.5),IF(N559="BAJAR",IF(F559="polea",IFERROR(INDEX(CONFIG!$B$25:$B$40,MAX(1,MATCH(G559,CONFIG!$B$25:$B$40,0)-1)),G559),MAX(0,G559-2.5)),G559)))),"--")</f>
        <v>--</v>
      </c>
      <c r="L559" s="59" t="str">
        <f>IFERROR(IF(N559="SIN","--",IF(N559="MANT",IF(H559="","--",H559+1),IFERROR(VLOOKUP(CONFIG!$E$2,CONFIG!$A$6:$E$8,2,0),"--"))),"--")</f>
        <v>--</v>
      </c>
      <c r="M559" s="59" t="str">
        <f>IFERROR(IF(N559="SIN","--",IF(CONFIG!$E$2="HIP",2,IF(CONFIG!$E$2="FUE",1,2))),"--")</f>
        <v>--</v>
      </c>
      <c r="N559" s="53" t="str">
        <f>IFERROR(IF(G559="","SIN",IF(O559=1,"SUBIR_E",IF(H559&lt;IFERROR(VLOOKUP(CONFIG!$E$2,CONFIG!$A$6:$E$8,2,0),6),"BAJAR",IF(H559+I559&gt;=IFERROR(VLOOKUP(CONFIG!$E$2,CONFIG!$A$6:$E$8,3,0),12),"SUBIR_F",IF(AND(H559&gt;=IFERROR(VLOOKUP(CONFIG!$E$2,CONFIG!$A$6:$E$8,2,0),6)+2,I559&gt;=2),"SUBIR",IF(I559&gt;IFERROR(VLOOKUP(CONFIG!$E$2,CONFIG!$A$6:$E$8,5,0),3),"SUBIR","MANT")))))),"SIN")</f>
        <v>SIN</v>
      </c>
      <c r="O559" s="55">
        <f>IF(COUNTIFS(HISTORIAL!$O$3:$O$557,D559&amp;"|"&amp;E559,HISTORIAL!$F$3:$F$557,"&gt;0")&lt;2,0,IF(COUNTIFS(HISTORIAL!$O$3:$O$557,D559&amp;"|"&amp;E559,HISTORIAL!$F$3:$F$557,IFERROR(LOOKUP(2,1/((HISTORIAL!$O$3:$O$557=D559&amp;"|"&amp;E559)*(HISTORIAL!$F$3:$F$557&gt;0)),HISTORIAL!$F$3:$F$557),0))&gt;=2,IF(IFERROR(LOOKUP(2,1/((HISTORIAL!$O$3:$O$557=D559&amp;"|"&amp;E559)*(HISTORIAL!$F$3:$F$557&gt;0)),HISTORIAL!$G$3:$G$557),0)&gt;0,IF(F559&gt;0,IF(G559&lt;=IFERROR(LOOKUP(2,1/((HISTORIAL!$O$3:$O$557=D559&amp;"|"&amp;E559)*(HISTORIAL!$F$3:$F$557&gt;0)),HISTORIAL!$G$3:$G$557),0),1,0),0),0),0))</f>
        <v>0</v>
      </c>
    </row>
    <row r="560" spans="1:15" ht="14.1" customHeight="1">
      <c r="A560" s="37">
        <v>9</v>
      </c>
      <c r="B560" s="37" t="s">
        <v>281</v>
      </c>
      <c r="C560" s="37">
        <v>3</v>
      </c>
      <c r="D560" s="56" t="str">
        <f>SABADO!$A$208</f>
        <v>Remo</v>
      </c>
      <c r="E560" s="57" t="str">
        <f>SABADO!$B$208</f>
        <v>Maquina Neutro Ancho</v>
      </c>
      <c r="F560" s="37" t="str">
        <f>SABADO!$C$208</f>
        <v>polea</v>
      </c>
      <c r="G560" s="37" t="str">
        <f>IFERROR(LOOKUP(2,1/((HISTORIAL!$O$3:$O$558=D560&amp;"|"&amp;E560)*(HISTORIAL!$F$3:$F$558&lt;&gt;"")),HISTORIAL!$F$3:$F$558),"")</f>
        <v/>
      </c>
      <c r="H560" s="37" t="str">
        <f>IFERROR(LOOKUP(2,1/((HISTORIAL!$O$3:$O$558=D560&amp;"|"&amp;E560)*(HISTORIAL!$F$3:$F$558&lt;&gt;"")),HISTORIAL!$G$3:$G$558),"")</f>
        <v/>
      </c>
      <c r="I560" s="37" t="str">
        <f>IFERROR(LOOKUP(2,1/((HISTORIAL!$O$3:$O$558=D560&amp;"|"&amp;E560)*(HISTORIAL!$F$3:$F$558&lt;&gt;"")),HISTORIAL!$H$3:$H$558),"")</f>
        <v/>
      </c>
      <c r="J560" s="37" t="str">
        <f>IFERROR(LOOKUP(2,1/((HISTORIAL!$O$3:$O$558=D560&amp;"|"&amp;E560)*(HISTORIAL!$F$3:$F$558&lt;&gt;"")),HISTORIAL!$I$3:$I$558),"")</f>
        <v/>
      </c>
      <c r="K560" s="58" t="str">
        <f>IFERROR(IF(OR(G560="",N560="SIN"),"--",IF(N560="SUBIR_F",IF(F560="polea",IFERROR(INDEX(CONFIG!$B$25:$B$40,MATCH(G560,CONFIG!$B$25:$B$40,0)+2),IFERROR(INDEX(CONFIG!$B$25:$B$40,MATCH(G560,CONFIG!$B$25:$B$40,0)+1),G560)),G560+5),IF(OR(N560="SUBIR",N560="SUBIR_E"),IF(F560="polea",IFERROR(INDEX(CONFIG!$B$25:$B$40,MATCH(G560,CONFIG!$B$25:$B$40,0)+1),G560),G560+2.5),IF(N560="BAJAR",IF(F560="polea",IFERROR(INDEX(CONFIG!$B$25:$B$40,MAX(1,MATCH(G560,CONFIG!$B$25:$B$40,0)-1)),G560),MAX(0,G560-2.5)),G560)))),"--")</f>
        <v>--</v>
      </c>
      <c r="L560" s="59" t="str">
        <f>IFERROR(IF(N560="SIN","--",IF(N560="MANT",IF(H560="","--",H560+1),IFERROR(VLOOKUP(CONFIG!$E$2,CONFIG!$A$6:$E$8,2,0),"--"))),"--")</f>
        <v>--</v>
      </c>
      <c r="M560" s="59" t="str">
        <f>IFERROR(IF(N560="SIN","--",IF(CONFIG!$E$2="HIP",2,IF(CONFIG!$E$2="FUE",1,2))),"--")</f>
        <v>--</v>
      </c>
      <c r="N560" s="53" t="str">
        <f>IFERROR(IF(G560="","SIN",IF(O560=1,"SUBIR_E",IF(H560&lt;IFERROR(VLOOKUP(CONFIG!$E$2,CONFIG!$A$6:$E$8,2,0),6),"BAJAR",IF(H560+I560&gt;=IFERROR(VLOOKUP(CONFIG!$E$2,CONFIG!$A$6:$E$8,3,0),12),"SUBIR_F",IF(AND(H560&gt;=IFERROR(VLOOKUP(CONFIG!$E$2,CONFIG!$A$6:$E$8,2,0),6)+2,I560&gt;=2),"SUBIR",IF(I560&gt;IFERROR(VLOOKUP(CONFIG!$E$2,CONFIG!$A$6:$E$8,5,0),3),"SUBIR","MANT")))))),"SIN")</f>
        <v>SIN</v>
      </c>
      <c r="O560" s="55">
        <f>IF(COUNTIFS(HISTORIAL!$O$3:$O$558,D560&amp;"|"&amp;E560,HISTORIAL!$F$3:$F$558,"&gt;0")&lt;2,0,IF(COUNTIFS(HISTORIAL!$O$3:$O$558,D560&amp;"|"&amp;E560,HISTORIAL!$F$3:$F$558,IFERROR(LOOKUP(2,1/((HISTORIAL!$O$3:$O$558=D560&amp;"|"&amp;E560)*(HISTORIAL!$F$3:$F$558&gt;0)),HISTORIAL!$F$3:$F$558),0))&gt;=2,IF(IFERROR(LOOKUP(2,1/((HISTORIAL!$O$3:$O$558=D560&amp;"|"&amp;E560)*(HISTORIAL!$F$3:$F$558&gt;0)),HISTORIAL!$G$3:$G$558),0)&gt;0,IF(F560&gt;0,IF(G560&lt;=IFERROR(LOOKUP(2,1/((HISTORIAL!$O$3:$O$558=D560&amp;"|"&amp;E560)*(HISTORIAL!$F$3:$F$558&gt;0)),HISTORIAL!$G$3:$G$558),0),1,0),0),0),0))</f>
        <v>0</v>
      </c>
    </row>
    <row r="561" spans="1:15" ht="14.1" customHeight="1">
      <c r="A561" s="37">
        <v>9</v>
      </c>
      <c r="B561" s="37" t="s">
        <v>281</v>
      </c>
      <c r="C561" s="37">
        <v>4</v>
      </c>
      <c r="D561" s="56" t="str">
        <f>SABADO!$A$209</f>
        <v>Peck Deck Invertida</v>
      </c>
      <c r="E561" s="57" t="str">
        <f>SABADO!$B$209</f>
        <v>Maquina</v>
      </c>
      <c r="F561" s="37" t="str">
        <f>SABADO!$C$209</f>
        <v>polea</v>
      </c>
      <c r="G561" s="37" t="str">
        <f>IFERROR(LOOKUP(2,1/((HISTORIAL!$O$3:$O$559=D561&amp;"|"&amp;E561)*(HISTORIAL!$F$3:$F$559&lt;&gt;"")),HISTORIAL!$F$3:$F$559),"")</f>
        <v/>
      </c>
      <c r="H561" s="37" t="str">
        <f>IFERROR(LOOKUP(2,1/((HISTORIAL!$O$3:$O$559=D561&amp;"|"&amp;E561)*(HISTORIAL!$F$3:$F$559&lt;&gt;"")),HISTORIAL!$G$3:$G$559),"")</f>
        <v/>
      </c>
      <c r="I561" s="37" t="str">
        <f>IFERROR(LOOKUP(2,1/((HISTORIAL!$O$3:$O$559=D561&amp;"|"&amp;E561)*(HISTORIAL!$F$3:$F$559&lt;&gt;"")),HISTORIAL!$H$3:$H$559),"")</f>
        <v/>
      </c>
      <c r="J561" s="37" t="str">
        <f>IFERROR(LOOKUP(2,1/((HISTORIAL!$O$3:$O$559=D561&amp;"|"&amp;E561)*(HISTORIAL!$F$3:$F$559&lt;&gt;"")),HISTORIAL!$I$3:$I$559),"")</f>
        <v/>
      </c>
      <c r="K561" s="58" t="str">
        <f>IFERROR(IF(OR(G561="",N561="SIN"),"--",IF(N561="SUBIR_F",IF(F561="polea",IFERROR(INDEX(CONFIG!$B$25:$B$40,MATCH(G561,CONFIG!$B$25:$B$40,0)+2),IFERROR(INDEX(CONFIG!$B$25:$B$40,MATCH(G561,CONFIG!$B$25:$B$40,0)+1),G561)),G561+5),IF(OR(N561="SUBIR",N561="SUBIR_E"),IF(F561="polea",IFERROR(INDEX(CONFIG!$B$25:$B$40,MATCH(G561,CONFIG!$B$25:$B$40,0)+1),G561),G561+2.5),IF(N561="BAJAR",IF(F561="polea",IFERROR(INDEX(CONFIG!$B$25:$B$40,MAX(1,MATCH(G561,CONFIG!$B$25:$B$40,0)-1)),G561),MAX(0,G561-2.5)),G561)))),"--")</f>
        <v>--</v>
      </c>
      <c r="L561" s="59" t="str">
        <f>IFERROR(IF(N561="SIN","--",IF(N561="MANT",IF(H561="","--",H561+1),IFERROR(VLOOKUP(CONFIG!$E$2,CONFIG!$A$6:$E$8,2,0),"--"))),"--")</f>
        <v>--</v>
      </c>
      <c r="M561" s="59" t="str">
        <f>IFERROR(IF(N561="SIN","--",IF(CONFIG!$E$2="HIP",2,IF(CONFIG!$E$2="FUE",1,2))),"--")</f>
        <v>--</v>
      </c>
      <c r="N561" s="53" t="str">
        <f>IFERROR(IF(G561="","SIN",IF(O561=1,"SUBIR_E",IF(H561&lt;IFERROR(VLOOKUP(CONFIG!$E$2,CONFIG!$A$6:$E$8,2,0),6),"BAJAR",IF(H561+I561&gt;=IFERROR(VLOOKUP(CONFIG!$E$2,CONFIG!$A$6:$E$8,3,0),12),"SUBIR_F",IF(AND(H561&gt;=IFERROR(VLOOKUP(CONFIG!$E$2,CONFIG!$A$6:$E$8,2,0),6)+2,I561&gt;=2),"SUBIR",IF(I561&gt;IFERROR(VLOOKUP(CONFIG!$E$2,CONFIG!$A$6:$E$8,5,0),3),"SUBIR","MANT")))))),"SIN")</f>
        <v>SIN</v>
      </c>
      <c r="O561" s="55">
        <f>IF(COUNTIFS(HISTORIAL!$O$3:$O$559,D561&amp;"|"&amp;E561,HISTORIAL!$F$3:$F$559,"&gt;0")&lt;2,0,IF(COUNTIFS(HISTORIAL!$O$3:$O$559,D561&amp;"|"&amp;E561,HISTORIAL!$F$3:$F$559,IFERROR(LOOKUP(2,1/((HISTORIAL!$O$3:$O$559=D561&amp;"|"&amp;E561)*(HISTORIAL!$F$3:$F$559&gt;0)),HISTORIAL!$F$3:$F$559),0))&gt;=2,IF(IFERROR(LOOKUP(2,1/((HISTORIAL!$O$3:$O$559=D561&amp;"|"&amp;E561)*(HISTORIAL!$F$3:$F$559&gt;0)),HISTORIAL!$G$3:$G$559),0)&gt;0,IF(F561&gt;0,IF(G561&lt;=IFERROR(LOOKUP(2,1/((HISTORIAL!$O$3:$O$559=D561&amp;"|"&amp;E561)*(HISTORIAL!$F$3:$F$559&gt;0)),HISTORIAL!$G$3:$G$559),0),1,0),0),0),0))</f>
        <v>0</v>
      </c>
    </row>
    <row r="562" spans="1:15" ht="14.1" customHeight="1">
      <c r="A562" s="37">
        <v>9</v>
      </c>
      <c r="B562" s="37" t="s">
        <v>281</v>
      </c>
      <c r="C562" s="37">
        <v>5</v>
      </c>
      <c r="D562" s="56" t="str">
        <f>SABADO!$A$211</f>
        <v>Curl Biceps</v>
      </c>
      <c r="E562" s="57" t="str">
        <f>SABADO!$B$211</f>
        <v>Concentrado Maquina</v>
      </c>
      <c r="F562" s="37" t="str">
        <f>SABADO!$C$211</f>
        <v>polea</v>
      </c>
      <c r="G562" s="37">
        <f>IFERROR(LOOKUP(2,1/((HISTORIAL!$O$3:$O$560=D562&amp;"|"&amp;E562)*(HISTORIAL!$F$3:$F$560&lt;&gt;"")),HISTORIAL!$F$3:$F$560),"")</f>
        <v>40</v>
      </c>
      <c r="H562" s="37">
        <f>IFERROR(LOOKUP(2,1/((HISTORIAL!$O$3:$O$560=D562&amp;"|"&amp;E562)*(HISTORIAL!$F$3:$F$560&lt;&gt;"")),HISTORIAL!$G$3:$G$560),"")</f>
        <v>6</v>
      </c>
      <c r="I562" s="37">
        <f>IFERROR(LOOKUP(2,1/((HISTORIAL!$O$3:$O$560=D562&amp;"|"&amp;E562)*(HISTORIAL!$F$3:$F$560&lt;&gt;"")),HISTORIAL!$H$3:$H$560),"")</f>
        <v>0</v>
      </c>
      <c r="J562" s="37" t="str">
        <f>IFERROR(LOOKUP(2,1/((HISTORIAL!$O$3:$O$560=D562&amp;"|"&amp;E562)*(HISTORIAL!$F$3:$F$560&lt;&gt;"")),HISTORIAL!$I$3:$I$560),"")</f>
        <v>B</v>
      </c>
      <c r="K562" s="58">
        <f>IFERROR(IF(OR(G562="",N562="SIN"),"--",IF(N562="SUBIR_F",IF(F562="polea",IFERROR(INDEX(CONFIG!$B$25:$B$40,MATCH(G562,CONFIG!$B$25:$B$40,0)+2),IFERROR(INDEX(CONFIG!$B$25:$B$40,MATCH(G562,CONFIG!$B$25:$B$40,0)+1),G562)),G562+5),IF(OR(N562="SUBIR",N562="SUBIR_E"),IF(F562="polea",IFERROR(INDEX(CONFIG!$B$25:$B$40,MATCH(G562,CONFIG!$B$25:$B$40,0)+1),G562),G562+2.5),IF(N562="BAJAR",IF(F562="polea",IFERROR(INDEX(CONFIG!$B$25:$B$40,MAX(1,MATCH(G562,CONFIG!$B$25:$B$40,0)-1)),G562),MAX(0,G562-2.5)),G562)))),"--")</f>
        <v>40</v>
      </c>
      <c r="L562" s="59">
        <f>IFERROR(IF(N562="SIN","--",IF(N562="MANT",IF(H562="","--",H562+1),IFERROR(VLOOKUP(CONFIG!$E$2,CONFIG!$A$6:$E$8,2,0),"--"))),"--")</f>
        <v>7</v>
      </c>
      <c r="M562" s="59">
        <f>IFERROR(IF(N562="SIN","--",IF(CONFIG!$E$2="HIP",2,IF(CONFIG!$E$2="FUE",1,2))),"--")</f>
        <v>2</v>
      </c>
      <c r="N562" s="53" t="str">
        <f>IFERROR(IF(G562="","SIN",IF(O562=1,"SUBIR_E",IF(H562&lt;IFERROR(VLOOKUP(CONFIG!$E$2,CONFIG!$A$6:$E$8,2,0),6),"BAJAR",IF(H562+I562&gt;=IFERROR(VLOOKUP(CONFIG!$E$2,CONFIG!$A$6:$E$8,3,0),12),"SUBIR_F",IF(AND(H562&gt;=IFERROR(VLOOKUP(CONFIG!$E$2,CONFIG!$A$6:$E$8,2,0),6)+2,I562&gt;=2),"SUBIR",IF(I562&gt;IFERROR(VLOOKUP(CONFIG!$E$2,CONFIG!$A$6:$E$8,5,0),3),"SUBIR","MANT")))))),"SIN")</f>
        <v>MANT</v>
      </c>
      <c r="O562" s="55">
        <f>IF(COUNTIFS(HISTORIAL!$O$3:$O$560,D562&amp;"|"&amp;E562,HISTORIAL!$F$3:$F$560,"&gt;0")&lt;2,0,IF(COUNTIFS(HISTORIAL!$O$3:$O$560,D562&amp;"|"&amp;E562,HISTORIAL!$F$3:$F$560,IFERROR(LOOKUP(2,1/((HISTORIAL!$O$3:$O$560=D562&amp;"|"&amp;E562)*(HISTORIAL!$F$3:$F$560&gt;0)),HISTORIAL!$F$3:$F$560),0))&gt;=2,IF(IFERROR(LOOKUP(2,1/((HISTORIAL!$O$3:$O$560=D562&amp;"|"&amp;E562)*(HISTORIAL!$F$3:$F$560&gt;0)),HISTORIAL!$G$3:$G$560),0)&gt;0,IF(F562&gt;0,IF(G562&lt;=IFERROR(LOOKUP(2,1/((HISTORIAL!$O$3:$O$560=D562&amp;"|"&amp;E562)*(HISTORIAL!$F$3:$F$560&gt;0)),HISTORIAL!$G$3:$G$560),0),1,0),0),0),0))</f>
        <v>0</v>
      </c>
    </row>
    <row r="563" spans="1:15" ht="14.1" customHeight="1">
      <c r="A563" s="37">
        <v>9</v>
      </c>
      <c r="B563" s="37" t="s">
        <v>281</v>
      </c>
      <c r="C563" s="37">
        <v>6</v>
      </c>
      <c r="D563" s="56" t="str">
        <f>SABADO!$A$212</f>
        <v>Curl Martillo</v>
      </c>
      <c r="E563" s="57" t="str">
        <f>SABADO!$B$212</f>
        <v>Polea Individual</v>
      </c>
      <c r="F563" s="37" t="str">
        <f>SABADO!$C$212</f>
        <v>polea</v>
      </c>
      <c r="G563" s="37">
        <f>IFERROR(LOOKUP(2,1/((HISTORIAL!$O$3:$O$561=D563&amp;"|"&amp;E563)*(HISTORIAL!$F$3:$F$561&lt;&gt;"")),HISTORIAL!$F$3:$F$561),"")</f>
        <v>20</v>
      </c>
      <c r="H563" s="37">
        <f>IFERROR(LOOKUP(2,1/((HISTORIAL!$O$3:$O$561=D563&amp;"|"&amp;E563)*(HISTORIAL!$F$3:$F$561&lt;&gt;"")),HISTORIAL!$G$3:$G$561),"")</f>
        <v>8</v>
      </c>
      <c r="I563" s="37">
        <f>IFERROR(LOOKUP(2,1/((HISTORIAL!$O$3:$O$561=D563&amp;"|"&amp;E563)*(HISTORIAL!$F$3:$F$561&lt;&gt;"")),HISTORIAL!$H$3:$H$561),"")</f>
        <v>3</v>
      </c>
      <c r="J563" s="37" t="str">
        <f>IFERROR(LOOKUP(2,1/((HISTORIAL!$O$3:$O$561=D563&amp;"|"&amp;E563)*(HISTORIAL!$F$3:$F$561&lt;&gt;"")),HISTORIAL!$I$3:$I$561),"")</f>
        <v>A</v>
      </c>
      <c r="K563" s="58">
        <f>IFERROR(IF(OR(G563="",N563="SIN"),"--",IF(N563="SUBIR_F",IF(F563="polea",IFERROR(INDEX(CONFIG!$B$25:$B$40,MATCH(G563,CONFIG!$B$25:$B$40,0)+2),IFERROR(INDEX(CONFIG!$B$25:$B$40,MATCH(G563,CONFIG!$B$25:$B$40,0)+1),G563)),G563+5),IF(OR(N563="SUBIR",N563="SUBIR_E"),IF(F563="polea",IFERROR(INDEX(CONFIG!$B$25:$B$40,MATCH(G563,CONFIG!$B$25:$B$40,0)+1),G563),G563+2.5),IF(N563="BAJAR",IF(F563="polea",IFERROR(INDEX(CONFIG!$B$25:$B$40,MAX(1,MATCH(G563,CONFIG!$B$25:$B$40,0)-1)),G563),MAX(0,G563-2.5)),G563)))),"--")</f>
        <v>20</v>
      </c>
      <c r="L563" s="59">
        <f>IFERROR(IF(N563="SIN","--",IF(N563="MANT",IF(H563="","--",H563+1),IFERROR(VLOOKUP(CONFIG!$E$2,CONFIG!$A$6:$E$8,2,0),"--"))),"--")</f>
        <v>6</v>
      </c>
      <c r="M563" s="59">
        <f>IFERROR(IF(N563="SIN","--",IF(CONFIG!$E$2="HIP",2,IF(CONFIG!$E$2="FUE",1,2))),"--")</f>
        <v>2</v>
      </c>
      <c r="N563" s="53" t="str">
        <f>IFERROR(IF(G563="","SIN",IF(O563=1,"SUBIR_E",IF(H563&lt;IFERROR(VLOOKUP(CONFIG!$E$2,CONFIG!$A$6:$E$8,2,0),6),"BAJAR",IF(H563+I563&gt;=IFERROR(VLOOKUP(CONFIG!$E$2,CONFIG!$A$6:$E$8,3,0),12),"SUBIR_F",IF(AND(H563&gt;=IFERROR(VLOOKUP(CONFIG!$E$2,CONFIG!$A$6:$E$8,2,0),6)+2,I563&gt;=2),"SUBIR",IF(I563&gt;IFERROR(VLOOKUP(CONFIG!$E$2,CONFIG!$A$6:$E$8,5,0),3),"SUBIR","MANT")))))),"SIN")</f>
        <v>SUBIR</v>
      </c>
      <c r="O563" s="55">
        <f>IF(COUNTIFS(HISTORIAL!$O$3:$O$561,D563&amp;"|"&amp;E563,HISTORIAL!$F$3:$F$561,"&gt;0")&lt;2,0,IF(COUNTIFS(HISTORIAL!$O$3:$O$561,D563&amp;"|"&amp;E563,HISTORIAL!$F$3:$F$561,IFERROR(LOOKUP(2,1/((HISTORIAL!$O$3:$O$561=D563&amp;"|"&amp;E563)*(HISTORIAL!$F$3:$F$561&gt;0)),HISTORIAL!$F$3:$F$561),0))&gt;=2,IF(IFERROR(LOOKUP(2,1/((HISTORIAL!$O$3:$O$561=D563&amp;"|"&amp;E563)*(HISTORIAL!$F$3:$F$561&gt;0)),HISTORIAL!$G$3:$G$561),0)&gt;0,IF(F563&gt;0,IF(G563&lt;=IFERROR(LOOKUP(2,1/((HISTORIAL!$O$3:$O$561=D563&amp;"|"&amp;E563)*(HISTORIAL!$F$3:$F$561&gt;0)),HISTORIAL!$G$3:$G$561),0),1,0),0),0),0))</f>
        <v>0</v>
      </c>
    </row>
    <row r="564" spans="1:15" ht="14.1" customHeight="1">
      <c r="A564" s="37">
        <v>9</v>
      </c>
      <c r="B564" s="37" t="s">
        <v>281</v>
      </c>
      <c r="C564" s="37">
        <v>7</v>
      </c>
      <c r="D564" s="56" t="str">
        <f>SABADO!$A$214</f>
        <v>Curl Muneca</v>
      </c>
      <c r="E564" s="57" t="str">
        <f>SABADO!$B$214</f>
        <v>Supinado</v>
      </c>
      <c r="F564" s="37" t="str">
        <f>SABADO!$C$214</f>
        <v>mancuerna</v>
      </c>
      <c r="G564" s="37" t="str">
        <f>IFERROR(LOOKUP(2,1/((HISTORIAL!$O$3:$O$562=D564&amp;"|"&amp;E564)*(HISTORIAL!$F$3:$F$562&lt;&gt;"")),HISTORIAL!$F$3:$F$562),"")</f>
        <v/>
      </c>
      <c r="H564" s="37" t="str">
        <f>IFERROR(LOOKUP(2,1/((HISTORIAL!$O$3:$O$562=D564&amp;"|"&amp;E564)*(HISTORIAL!$F$3:$F$562&lt;&gt;"")),HISTORIAL!$G$3:$G$562),"")</f>
        <v/>
      </c>
      <c r="I564" s="37" t="str">
        <f>IFERROR(LOOKUP(2,1/((HISTORIAL!$O$3:$O$562=D564&amp;"|"&amp;E564)*(HISTORIAL!$F$3:$F$562&lt;&gt;"")),HISTORIAL!$H$3:$H$562),"")</f>
        <v/>
      </c>
      <c r="J564" s="37" t="str">
        <f>IFERROR(LOOKUP(2,1/((HISTORIAL!$O$3:$O$562=D564&amp;"|"&amp;E564)*(HISTORIAL!$F$3:$F$562&lt;&gt;"")),HISTORIAL!$I$3:$I$562),"")</f>
        <v/>
      </c>
      <c r="K564" s="58" t="str">
        <f>IFERROR(IF(OR(G564="",N564="SIN"),"--",IF(N564="SUBIR_F",IF(F564="polea",IFERROR(INDEX(CONFIG!$B$25:$B$40,MATCH(G564,CONFIG!$B$25:$B$40,0)+2),IFERROR(INDEX(CONFIG!$B$25:$B$40,MATCH(G564,CONFIG!$B$25:$B$40,0)+1),G564)),G564+5),IF(OR(N564="SUBIR",N564="SUBIR_E"),IF(F564="polea",IFERROR(INDEX(CONFIG!$B$25:$B$40,MATCH(G564,CONFIG!$B$25:$B$40,0)+1),G564),G564+2.5),IF(N564="BAJAR",IF(F564="polea",IFERROR(INDEX(CONFIG!$B$25:$B$40,MAX(1,MATCH(G564,CONFIG!$B$25:$B$40,0)-1)),G564),MAX(0,G564-2.5)),G564)))),"--")</f>
        <v>--</v>
      </c>
      <c r="L564" s="59" t="str">
        <f>IFERROR(IF(N564="SIN","--",IF(N564="MANT",IF(H564="","--",H564+1),IFERROR(VLOOKUP(CONFIG!$E$2,CONFIG!$A$6:$E$8,2,0),"--"))),"--")</f>
        <v>--</v>
      </c>
      <c r="M564" s="59" t="str">
        <f>IFERROR(IF(N564="SIN","--",IF(CONFIG!$E$2="HIP",2,IF(CONFIG!$E$2="FUE",1,2))),"--")</f>
        <v>--</v>
      </c>
      <c r="N564" s="53" t="str">
        <f>IFERROR(IF(G564="","SIN",IF(O564=1,"SUBIR_E",IF(H564&lt;IFERROR(VLOOKUP(CONFIG!$E$2,CONFIG!$A$6:$E$8,2,0),6),"BAJAR",IF(H564+I564&gt;=IFERROR(VLOOKUP(CONFIG!$E$2,CONFIG!$A$6:$E$8,3,0),12),"SUBIR_F",IF(AND(H564&gt;=IFERROR(VLOOKUP(CONFIG!$E$2,CONFIG!$A$6:$E$8,2,0),6)+2,I564&gt;=2),"SUBIR",IF(I564&gt;IFERROR(VLOOKUP(CONFIG!$E$2,CONFIG!$A$6:$E$8,5,0),3),"SUBIR","MANT")))))),"SIN")</f>
        <v>SIN</v>
      </c>
      <c r="O564" s="55">
        <f>IF(COUNTIFS(HISTORIAL!$O$3:$O$562,D564&amp;"|"&amp;E564,HISTORIAL!$F$3:$F$562,"&gt;0")&lt;2,0,IF(COUNTIFS(HISTORIAL!$O$3:$O$562,D564&amp;"|"&amp;E564,HISTORIAL!$F$3:$F$562,IFERROR(LOOKUP(2,1/((HISTORIAL!$O$3:$O$562=D564&amp;"|"&amp;E564)*(HISTORIAL!$F$3:$F$562&gt;0)),HISTORIAL!$F$3:$F$562),0))&gt;=2,IF(IFERROR(LOOKUP(2,1/((HISTORIAL!$O$3:$O$562=D564&amp;"|"&amp;E564)*(HISTORIAL!$F$3:$F$562&gt;0)),HISTORIAL!$G$3:$G$562),0)&gt;0,IF(F564&gt;0,IF(G564&lt;=IFERROR(LOOKUP(2,1/((HISTORIAL!$O$3:$O$562=D564&amp;"|"&amp;E564)*(HISTORIAL!$F$3:$F$562&gt;0)),HISTORIAL!$G$3:$G$562),0),1,0),0),0),0))</f>
        <v>0</v>
      </c>
    </row>
    <row r="565" spans="1:15" ht="14.1" customHeight="1">
      <c r="A565" s="37">
        <v>9</v>
      </c>
      <c r="B565" s="37" t="s">
        <v>281</v>
      </c>
      <c r="C565" s="37">
        <v>8</v>
      </c>
      <c r="D565" s="56" t="str">
        <f>SABADO!$A$215</f>
        <v>Curl Muneca</v>
      </c>
      <c r="E565" s="57" t="str">
        <f>SABADO!$B$215</f>
        <v>Pronado</v>
      </c>
      <c r="F565" s="37" t="str">
        <f>SABADO!$C$215</f>
        <v>mancuerna</v>
      </c>
      <c r="G565" s="37" t="str">
        <f>IFERROR(LOOKUP(2,1/((HISTORIAL!$O$3:$O$563=D565&amp;"|"&amp;E565)*(HISTORIAL!$F$3:$F$563&lt;&gt;"")),HISTORIAL!$F$3:$F$563),"")</f>
        <v/>
      </c>
      <c r="H565" s="37" t="str">
        <f>IFERROR(LOOKUP(2,1/((HISTORIAL!$O$3:$O$563=D565&amp;"|"&amp;E565)*(HISTORIAL!$F$3:$F$563&lt;&gt;"")),HISTORIAL!$G$3:$G$563),"")</f>
        <v/>
      </c>
      <c r="I565" s="37" t="str">
        <f>IFERROR(LOOKUP(2,1/((HISTORIAL!$O$3:$O$563=D565&amp;"|"&amp;E565)*(HISTORIAL!$F$3:$F$563&lt;&gt;"")),HISTORIAL!$H$3:$H$563),"")</f>
        <v/>
      </c>
      <c r="J565" s="37" t="str">
        <f>IFERROR(LOOKUP(2,1/((HISTORIAL!$O$3:$O$563=D565&amp;"|"&amp;E565)*(HISTORIAL!$F$3:$F$563&lt;&gt;"")),HISTORIAL!$I$3:$I$563),"")</f>
        <v/>
      </c>
      <c r="K565" s="58" t="str">
        <f>IFERROR(IF(OR(G565="",N565="SIN"),"--",IF(N565="SUBIR_F",IF(F565="polea",IFERROR(INDEX(CONFIG!$B$25:$B$40,MATCH(G565,CONFIG!$B$25:$B$40,0)+2),IFERROR(INDEX(CONFIG!$B$25:$B$40,MATCH(G565,CONFIG!$B$25:$B$40,0)+1),G565)),G565+5),IF(OR(N565="SUBIR",N565="SUBIR_E"),IF(F565="polea",IFERROR(INDEX(CONFIG!$B$25:$B$40,MATCH(G565,CONFIG!$B$25:$B$40,0)+1),G565),G565+2.5),IF(N565="BAJAR",IF(F565="polea",IFERROR(INDEX(CONFIG!$B$25:$B$40,MAX(1,MATCH(G565,CONFIG!$B$25:$B$40,0)-1)),G565),MAX(0,G565-2.5)),G565)))),"--")</f>
        <v>--</v>
      </c>
      <c r="L565" s="59" t="str">
        <f>IFERROR(IF(N565="SIN","--",IF(N565="MANT",IF(H565="","--",H565+1),IFERROR(VLOOKUP(CONFIG!$E$2,CONFIG!$A$6:$E$8,2,0),"--"))),"--")</f>
        <v>--</v>
      </c>
      <c r="M565" s="59" t="str">
        <f>IFERROR(IF(N565="SIN","--",IF(CONFIG!$E$2="HIP",2,IF(CONFIG!$E$2="FUE",1,2))),"--")</f>
        <v>--</v>
      </c>
      <c r="N565" s="53" t="str">
        <f>IFERROR(IF(G565="","SIN",IF(O565=1,"SUBIR_E",IF(H565&lt;IFERROR(VLOOKUP(CONFIG!$E$2,CONFIG!$A$6:$E$8,2,0),6),"BAJAR",IF(H565+I565&gt;=IFERROR(VLOOKUP(CONFIG!$E$2,CONFIG!$A$6:$E$8,3,0),12),"SUBIR_F",IF(AND(H565&gt;=IFERROR(VLOOKUP(CONFIG!$E$2,CONFIG!$A$6:$E$8,2,0),6)+2,I565&gt;=2),"SUBIR",IF(I565&gt;IFERROR(VLOOKUP(CONFIG!$E$2,CONFIG!$A$6:$E$8,5,0),3),"SUBIR","MANT")))))),"SIN")</f>
        <v>SIN</v>
      </c>
      <c r="O565" s="55">
        <f>IF(COUNTIFS(HISTORIAL!$O$3:$O$563,D565&amp;"|"&amp;E565,HISTORIAL!$F$3:$F$563,"&gt;0")&lt;2,0,IF(COUNTIFS(HISTORIAL!$O$3:$O$563,D565&amp;"|"&amp;E565,HISTORIAL!$F$3:$F$563,IFERROR(LOOKUP(2,1/((HISTORIAL!$O$3:$O$563=D565&amp;"|"&amp;E565)*(HISTORIAL!$F$3:$F$563&gt;0)),HISTORIAL!$F$3:$F$563),0))&gt;=2,IF(IFERROR(LOOKUP(2,1/((HISTORIAL!$O$3:$O$563=D565&amp;"|"&amp;E565)*(HISTORIAL!$F$3:$F$563&gt;0)),HISTORIAL!$G$3:$G$563),0)&gt;0,IF(F565&gt;0,IF(G565&lt;=IFERROR(LOOKUP(2,1/((HISTORIAL!$O$3:$O$563=D565&amp;"|"&amp;E565)*(HISTORIAL!$F$3:$F$563&gt;0)),HISTORIAL!$G$3:$G$563),0),1,0),0),0),0))</f>
        <v>0</v>
      </c>
    </row>
    <row r="566" spans="1:15" ht="14.1" customHeight="1">
      <c r="A566" s="37">
        <v>9</v>
      </c>
      <c r="B566" s="37" t="s">
        <v>281</v>
      </c>
      <c r="C566" s="37">
        <v>9</v>
      </c>
      <c r="D566" s="56" t="str">
        <f>SABADO!$A$217</f>
        <v>Elevaciones Laterales</v>
      </c>
      <c r="E566" s="57" t="str">
        <f>SABADO!$B$217</f>
        <v>Cable Polea Individual</v>
      </c>
      <c r="F566" s="37" t="str">
        <f>SABADO!$C$217</f>
        <v>polea</v>
      </c>
      <c r="G566" s="37" t="str">
        <f>IFERROR(LOOKUP(2,1/((HISTORIAL!$O$3:$O$564=D566&amp;"|"&amp;E566)*(HISTORIAL!$F$3:$F$564&lt;&gt;"")),HISTORIAL!$F$3:$F$564),"")</f>
        <v/>
      </c>
      <c r="H566" s="37" t="str">
        <f>IFERROR(LOOKUP(2,1/((HISTORIAL!$O$3:$O$564=D566&amp;"|"&amp;E566)*(HISTORIAL!$F$3:$F$564&lt;&gt;"")),HISTORIAL!$G$3:$G$564),"")</f>
        <v/>
      </c>
      <c r="I566" s="37" t="str">
        <f>IFERROR(LOOKUP(2,1/((HISTORIAL!$O$3:$O$564=D566&amp;"|"&amp;E566)*(HISTORIAL!$F$3:$F$564&lt;&gt;"")),HISTORIAL!$H$3:$H$564),"")</f>
        <v/>
      </c>
      <c r="J566" s="37" t="str">
        <f>IFERROR(LOOKUP(2,1/((HISTORIAL!$O$3:$O$564=D566&amp;"|"&amp;E566)*(HISTORIAL!$F$3:$F$564&lt;&gt;"")),HISTORIAL!$I$3:$I$564),"")</f>
        <v/>
      </c>
      <c r="K566" s="58" t="str">
        <f>IFERROR(IF(OR(G566="",N566="SIN"),"--",IF(N566="SUBIR_F",IF(F566="polea",IFERROR(INDEX(CONFIG!$B$25:$B$40,MATCH(G566,CONFIG!$B$25:$B$40,0)+2),IFERROR(INDEX(CONFIG!$B$25:$B$40,MATCH(G566,CONFIG!$B$25:$B$40,0)+1),G566)),G566+5),IF(OR(N566="SUBIR",N566="SUBIR_E"),IF(F566="polea",IFERROR(INDEX(CONFIG!$B$25:$B$40,MATCH(G566,CONFIG!$B$25:$B$40,0)+1),G566),G566+2.5),IF(N566="BAJAR",IF(F566="polea",IFERROR(INDEX(CONFIG!$B$25:$B$40,MAX(1,MATCH(G566,CONFIG!$B$25:$B$40,0)-1)),G566),MAX(0,G566-2.5)),G566)))),"--")</f>
        <v>--</v>
      </c>
      <c r="L566" s="59" t="str">
        <f>IFERROR(IF(N566="SIN","--",IF(N566="MANT",IF(H566="","--",H566+1),IFERROR(VLOOKUP(CONFIG!$E$2,CONFIG!$A$6:$E$8,2,0),"--"))),"--")</f>
        <v>--</v>
      </c>
      <c r="M566" s="59" t="str">
        <f>IFERROR(IF(N566="SIN","--",IF(CONFIG!$E$2="HIP",2,IF(CONFIG!$E$2="FUE",1,2))),"--")</f>
        <v>--</v>
      </c>
      <c r="N566" s="53" t="str">
        <f>IFERROR(IF(G566="","SIN",IF(O566=1,"SUBIR_E",IF(H566&lt;IFERROR(VLOOKUP(CONFIG!$E$2,CONFIG!$A$6:$E$8,2,0),6),"BAJAR",IF(H566+I566&gt;=IFERROR(VLOOKUP(CONFIG!$E$2,CONFIG!$A$6:$E$8,3,0),12),"SUBIR_F",IF(AND(H566&gt;=IFERROR(VLOOKUP(CONFIG!$E$2,CONFIG!$A$6:$E$8,2,0),6)+2,I566&gt;=2),"SUBIR",IF(I566&gt;IFERROR(VLOOKUP(CONFIG!$E$2,CONFIG!$A$6:$E$8,5,0),3),"SUBIR","MANT")))))),"SIN")</f>
        <v>SIN</v>
      </c>
      <c r="O566" s="55">
        <f>IF(COUNTIFS(HISTORIAL!$O$3:$O$564,D566&amp;"|"&amp;E566,HISTORIAL!$F$3:$F$564,"&gt;0")&lt;2,0,IF(COUNTIFS(HISTORIAL!$O$3:$O$564,D566&amp;"|"&amp;E566,HISTORIAL!$F$3:$F$564,IFERROR(LOOKUP(2,1/((HISTORIAL!$O$3:$O$564=D566&amp;"|"&amp;E566)*(HISTORIAL!$F$3:$F$564&gt;0)),HISTORIAL!$F$3:$F$564),0))&gt;=2,IF(IFERROR(LOOKUP(2,1/((HISTORIAL!$O$3:$O$564=D566&amp;"|"&amp;E566)*(HISTORIAL!$F$3:$F$564&gt;0)),HISTORIAL!$G$3:$G$564),0)&gt;0,IF(F566&gt;0,IF(G566&lt;=IFERROR(LOOKUP(2,1/((HISTORIAL!$O$3:$O$564=D566&amp;"|"&amp;E566)*(HISTORIAL!$F$3:$F$564&gt;0)),HISTORIAL!$G$3:$G$564),0),1,0),0),0),0))</f>
        <v>0</v>
      </c>
    </row>
    <row r="567" spans="1:15" ht="14.1" customHeight="1">
      <c r="A567" s="37">
        <v>9</v>
      </c>
      <c r="B567" s="37" t="s">
        <v>281</v>
      </c>
      <c r="C567" s="37">
        <v>10</v>
      </c>
      <c r="D567" s="56" t="str">
        <f>SABADO!$A$219</f>
        <v>Encogimientos</v>
      </c>
      <c r="E567" s="57" t="str">
        <f>SABADO!$B$219</f>
        <v>Mancuernas Trapecio</v>
      </c>
      <c r="F567" s="37" t="str">
        <f>SABADO!$C$219</f>
        <v>mancuerna</v>
      </c>
      <c r="G567" s="37" t="str">
        <f>IFERROR(LOOKUP(2,1/((HISTORIAL!$O$3:$O$565=D567&amp;"|"&amp;E567)*(HISTORIAL!$F$3:$F$565&lt;&gt;"")),HISTORIAL!$F$3:$F$565),"")</f>
        <v/>
      </c>
      <c r="H567" s="37" t="str">
        <f>IFERROR(LOOKUP(2,1/((HISTORIAL!$O$3:$O$565=D567&amp;"|"&amp;E567)*(HISTORIAL!$F$3:$F$565&lt;&gt;"")),HISTORIAL!$G$3:$G$565),"")</f>
        <v/>
      </c>
      <c r="I567" s="37" t="str">
        <f>IFERROR(LOOKUP(2,1/((HISTORIAL!$O$3:$O$565=D567&amp;"|"&amp;E567)*(HISTORIAL!$F$3:$F$565&lt;&gt;"")),HISTORIAL!$H$3:$H$565),"")</f>
        <v/>
      </c>
      <c r="J567" s="37" t="str">
        <f>IFERROR(LOOKUP(2,1/((HISTORIAL!$O$3:$O$565=D567&amp;"|"&amp;E567)*(HISTORIAL!$F$3:$F$565&lt;&gt;"")),HISTORIAL!$I$3:$I$565),"")</f>
        <v/>
      </c>
      <c r="K567" s="58" t="str">
        <f>IFERROR(IF(OR(G567="",N567="SIN"),"--",IF(N567="SUBIR_F",IF(F567="polea",IFERROR(INDEX(CONFIG!$B$25:$B$40,MATCH(G567,CONFIG!$B$25:$B$40,0)+2),IFERROR(INDEX(CONFIG!$B$25:$B$40,MATCH(G567,CONFIG!$B$25:$B$40,0)+1),G567)),G567+5),IF(OR(N567="SUBIR",N567="SUBIR_E"),IF(F567="polea",IFERROR(INDEX(CONFIG!$B$25:$B$40,MATCH(G567,CONFIG!$B$25:$B$40,0)+1),G567),G567+2.5),IF(N567="BAJAR",IF(F567="polea",IFERROR(INDEX(CONFIG!$B$25:$B$40,MAX(1,MATCH(G567,CONFIG!$B$25:$B$40,0)-1)),G567),MAX(0,G567-2.5)),G567)))),"--")</f>
        <v>--</v>
      </c>
      <c r="L567" s="59" t="str">
        <f>IFERROR(IF(N567="SIN","--",IF(N567="MANT",IF(H567="","--",H567+1),IFERROR(VLOOKUP(CONFIG!$E$2,CONFIG!$A$6:$E$8,2,0),"--"))),"--")</f>
        <v>--</v>
      </c>
      <c r="M567" s="59" t="str">
        <f>IFERROR(IF(N567="SIN","--",IF(CONFIG!$E$2="HIP",2,IF(CONFIG!$E$2="FUE",1,2))),"--")</f>
        <v>--</v>
      </c>
      <c r="N567" s="53" t="str">
        <f>IFERROR(IF(G567="","SIN",IF(O567=1,"SUBIR_E",IF(H567&lt;IFERROR(VLOOKUP(CONFIG!$E$2,CONFIG!$A$6:$E$8,2,0),6),"BAJAR",IF(H567+I567&gt;=IFERROR(VLOOKUP(CONFIG!$E$2,CONFIG!$A$6:$E$8,3,0),12),"SUBIR_F",IF(AND(H567&gt;=IFERROR(VLOOKUP(CONFIG!$E$2,CONFIG!$A$6:$E$8,2,0),6)+2,I567&gt;=2),"SUBIR",IF(I567&gt;IFERROR(VLOOKUP(CONFIG!$E$2,CONFIG!$A$6:$E$8,5,0),3),"SUBIR","MANT")))))),"SIN")</f>
        <v>SIN</v>
      </c>
      <c r="O567" s="55">
        <f>IF(COUNTIFS(HISTORIAL!$O$3:$O$565,D567&amp;"|"&amp;E567,HISTORIAL!$F$3:$F$565,"&gt;0")&lt;2,0,IF(COUNTIFS(HISTORIAL!$O$3:$O$565,D567&amp;"|"&amp;E567,HISTORIAL!$F$3:$F$565,IFERROR(LOOKUP(2,1/((HISTORIAL!$O$3:$O$565=D567&amp;"|"&amp;E567)*(HISTORIAL!$F$3:$F$565&gt;0)),HISTORIAL!$F$3:$F$565),0))&gt;=2,IF(IFERROR(LOOKUP(2,1/((HISTORIAL!$O$3:$O$565=D567&amp;"|"&amp;E567)*(HISTORIAL!$F$3:$F$565&gt;0)),HISTORIAL!$G$3:$G$565),0)&gt;0,IF(F567&gt;0,IF(G567&lt;=IFERROR(LOOKUP(2,1/((HISTORIAL!$O$3:$O$565=D567&amp;"|"&amp;E567)*(HISTORIAL!$F$3:$F$565&gt;0)),HISTORIAL!$G$3:$G$565),0),1,0),0),0),0))</f>
        <v>0</v>
      </c>
    </row>
    <row r="568" spans="1:15" ht="14.1" customHeight="1">
      <c r="A568" s="37">
        <v>9</v>
      </c>
      <c r="B568" s="37" t="s">
        <v>281</v>
      </c>
      <c r="C568" s="37">
        <v>11</v>
      </c>
      <c r="D568" s="56" t="str">
        <f>SABADO!$A$220</f>
        <v>Face Pull</v>
      </c>
      <c r="E568" s="57" t="str">
        <f>SABADO!$B$220</f>
        <v>Polea Alta Cuerda</v>
      </c>
      <c r="F568" s="37" t="str">
        <f>SABADO!$C$220</f>
        <v>polea</v>
      </c>
      <c r="G568" s="37" t="str">
        <f>IFERROR(LOOKUP(2,1/((HISTORIAL!$O$3:$O$566=D568&amp;"|"&amp;E568)*(HISTORIAL!$F$3:$F$566&lt;&gt;"")),HISTORIAL!$F$3:$F$566),"")</f>
        <v/>
      </c>
      <c r="H568" s="37" t="str">
        <f>IFERROR(LOOKUP(2,1/((HISTORIAL!$O$3:$O$566=D568&amp;"|"&amp;E568)*(HISTORIAL!$F$3:$F$566&lt;&gt;"")),HISTORIAL!$G$3:$G$566),"")</f>
        <v/>
      </c>
      <c r="I568" s="37" t="str">
        <f>IFERROR(LOOKUP(2,1/((HISTORIAL!$O$3:$O$566=D568&amp;"|"&amp;E568)*(HISTORIAL!$F$3:$F$566&lt;&gt;"")),HISTORIAL!$H$3:$H$566),"")</f>
        <v/>
      </c>
      <c r="J568" s="37" t="str">
        <f>IFERROR(LOOKUP(2,1/((HISTORIAL!$O$3:$O$566=D568&amp;"|"&amp;E568)*(HISTORIAL!$F$3:$F$566&lt;&gt;"")),HISTORIAL!$I$3:$I$566),"")</f>
        <v/>
      </c>
      <c r="K568" s="58" t="str">
        <f>IFERROR(IF(OR(G568="",N568="SIN"),"--",IF(N568="SUBIR_F",IF(F568="polea",IFERROR(INDEX(CONFIG!$B$25:$B$40,MATCH(G568,CONFIG!$B$25:$B$40,0)+2),IFERROR(INDEX(CONFIG!$B$25:$B$40,MATCH(G568,CONFIG!$B$25:$B$40,0)+1),G568)),G568+5),IF(OR(N568="SUBIR",N568="SUBIR_E"),IF(F568="polea",IFERROR(INDEX(CONFIG!$B$25:$B$40,MATCH(G568,CONFIG!$B$25:$B$40,0)+1),G568),G568+2.5),IF(N568="BAJAR",IF(F568="polea",IFERROR(INDEX(CONFIG!$B$25:$B$40,MAX(1,MATCH(G568,CONFIG!$B$25:$B$40,0)-1)),G568),MAX(0,G568-2.5)),G568)))),"--")</f>
        <v>--</v>
      </c>
      <c r="L568" s="59" t="str">
        <f>IFERROR(IF(N568="SIN","--",IF(N568="MANT",IF(H568="","--",H568+1),IFERROR(VLOOKUP(CONFIG!$E$2,CONFIG!$A$6:$E$8,2,0),"--"))),"--")</f>
        <v>--</v>
      </c>
      <c r="M568" s="59" t="str">
        <f>IFERROR(IF(N568="SIN","--",IF(CONFIG!$E$2="HIP",2,IF(CONFIG!$E$2="FUE",1,2))),"--")</f>
        <v>--</v>
      </c>
      <c r="N568" s="53" t="str">
        <f>IFERROR(IF(G568="","SIN",IF(O568=1,"SUBIR_E",IF(H568&lt;IFERROR(VLOOKUP(CONFIG!$E$2,CONFIG!$A$6:$E$8,2,0),6),"BAJAR",IF(H568+I568&gt;=IFERROR(VLOOKUP(CONFIG!$E$2,CONFIG!$A$6:$E$8,3,0),12),"SUBIR_F",IF(AND(H568&gt;=IFERROR(VLOOKUP(CONFIG!$E$2,CONFIG!$A$6:$E$8,2,0),6)+2,I568&gt;=2),"SUBIR",IF(I568&gt;IFERROR(VLOOKUP(CONFIG!$E$2,CONFIG!$A$6:$E$8,5,0),3),"SUBIR","MANT")))))),"SIN")</f>
        <v>SIN</v>
      </c>
      <c r="O568" s="55">
        <f>IF(COUNTIFS(HISTORIAL!$O$3:$O$566,D568&amp;"|"&amp;E568,HISTORIAL!$F$3:$F$566,"&gt;0")&lt;2,0,IF(COUNTIFS(HISTORIAL!$O$3:$O$566,D568&amp;"|"&amp;E568,HISTORIAL!$F$3:$F$566,IFERROR(LOOKUP(2,1/((HISTORIAL!$O$3:$O$566=D568&amp;"|"&amp;E568)*(HISTORIAL!$F$3:$F$566&gt;0)),HISTORIAL!$F$3:$F$566),0))&gt;=2,IF(IFERROR(LOOKUP(2,1/((HISTORIAL!$O$3:$O$566=D568&amp;"|"&amp;E568)*(HISTORIAL!$F$3:$F$566&gt;0)),HISTORIAL!$G$3:$G$566),0)&gt;0,IF(F568&gt;0,IF(G568&lt;=IFERROR(LOOKUP(2,1/((HISTORIAL!$O$3:$O$566=D568&amp;"|"&amp;E568)*(HISTORIAL!$F$3:$F$566&gt;0)),HISTORIAL!$G$3:$G$566),0),1,0),0),0),0))</f>
        <v>0</v>
      </c>
    </row>
    <row r="569" spans="1:15" ht="14.1" customHeight="1">
      <c r="A569" s="37">
        <v>9</v>
      </c>
      <c r="B569" s="37" t="s">
        <v>281</v>
      </c>
      <c r="C569" s="37">
        <v>12</v>
      </c>
      <c r="D569" s="56" t="str">
        <f>SABADO!$A$222</f>
        <v>Hiperextension</v>
      </c>
      <c r="E569" s="57" t="str">
        <f>SABADO!$B$222</f>
        <v>Banco Romano</v>
      </c>
      <c r="F569" s="37" t="str">
        <f>SABADO!$C$222</f>
        <v>peso_corporal</v>
      </c>
      <c r="G569" s="37" t="str">
        <f>IFERROR(LOOKUP(2,1/((HISTORIAL!$O$3:$O$567=D569&amp;"|"&amp;E569)*(HISTORIAL!$F$3:$F$567&lt;&gt;"")),HISTORIAL!$F$3:$F$567),"")</f>
        <v/>
      </c>
      <c r="H569" s="37" t="str">
        <f>IFERROR(LOOKUP(2,1/((HISTORIAL!$O$3:$O$567=D569&amp;"|"&amp;E569)*(HISTORIAL!$F$3:$F$567&lt;&gt;"")),HISTORIAL!$G$3:$G$567),"")</f>
        <v/>
      </c>
      <c r="I569" s="37" t="str">
        <f>IFERROR(LOOKUP(2,1/((HISTORIAL!$O$3:$O$567=D569&amp;"|"&amp;E569)*(HISTORIAL!$F$3:$F$567&lt;&gt;"")),HISTORIAL!$H$3:$H$567),"")</f>
        <v/>
      </c>
      <c r="J569" s="37" t="str">
        <f>IFERROR(LOOKUP(2,1/((HISTORIAL!$O$3:$O$567=D569&amp;"|"&amp;E569)*(HISTORIAL!$F$3:$F$567&lt;&gt;"")),HISTORIAL!$I$3:$I$567),"")</f>
        <v/>
      </c>
      <c r="K569" s="58" t="str">
        <f>IFERROR(IF(OR(G569="",N569="SIN"),"--",IF(N569="SUBIR_F",IF(F569="polea",IFERROR(INDEX(CONFIG!$B$25:$B$40,MATCH(G569,CONFIG!$B$25:$B$40,0)+2),IFERROR(INDEX(CONFIG!$B$25:$B$40,MATCH(G569,CONFIG!$B$25:$B$40,0)+1),G569)),G569+5),IF(OR(N569="SUBIR",N569="SUBIR_E"),IF(F569="polea",IFERROR(INDEX(CONFIG!$B$25:$B$40,MATCH(G569,CONFIG!$B$25:$B$40,0)+1),G569),G569+2.5),IF(N569="BAJAR",IF(F569="polea",IFERROR(INDEX(CONFIG!$B$25:$B$40,MAX(1,MATCH(G569,CONFIG!$B$25:$B$40,0)-1)),G569),MAX(0,G569-2.5)),G569)))),"--")</f>
        <v>--</v>
      </c>
      <c r="L569" s="59" t="str">
        <f>IFERROR(IF(N569="SIN","--",IF(N569="MANT",IF(H569="","--",H569+1),IFERROR(VLOOKUP(CONFIG!$E$2,CONFIG!$A$6:$E$8,2,0),"--"))),"--")</f>
        <v>--</v>
      </c>
      <c r="M569" s="59" t="str">
        <f>IFERROR(IF(N569="SIN","--",IF(CONFIG!$E$2="HIP",2,IF(CONFIG!$E$2="FUE",1,2))),"--")</f>
        <v>--</v>
      </c>
      <c r="N569" s="53" t="str">
        <f>IFERROR(IF(G569="","SIN",IF(O569=1,"SUBIR_E",IF(H569&lt;IFERROR(VLOOKUP(CONFIG!$E$2,CONFIG!$A$6:$E$8,2,0),6),"BAJAR",IF(H569+I569&gt;=IFERROR(VLOOKUP(CONFIG!$E$2,CONFIG!$A$6:$E$8,3,0),12),"SUBIR_F",IF(AND(H569&gt;=IFERROR(VLOOKUP(CONFIG!$E$2,CONFIG!$A$6:$E$8,2,0),6)+2,I569&gt;=2),"SUBIR",IF(I569&gt;IFERROR(VLOOKUP(CONFIG!$E$2,CONFIG!$A$6:$E$8,5,0),3),"SUBIR","MANT")))))),"SIN")</f>
        <v>SIN</v>
      </c>
      <c r="O569" s="55">
        <f>IF(COUNTIFS(HISTORIAL!$O$3:$O$567,D569&amp;"|"&amp;E569,HISTORIAL!$F$3:$F$567,"&gt;0")&lt;2,0,IF(COUNTIFS(HISTORIAL!$O$3:$O$567,D569&amp;"|"&amp;E569,HISTORIAL!$F$3:$F$567,IFERROR(LOOKUP(2,1/((HISTORIAL!$O$3:$O$567=D569&amp;"|"&amp;E569)*(HISTORIAL!$F$3:$F$567&gt;0)),HISTORIAL!$F$3:$F$567),0))&gt;=2,IF(IFERROR(LOOKUP(2,1/((HISTORIAL!$O$3:$O$567=D569&amp;"|"&amp;E569)*(HISTORIAL!$F$3:$F$567&gt;0)),HISTORIAL!$G$3:$G$567),0)&gt;0,IF(F569&gt;0,IF(G569&lt;=IFERROR(LOOKUP(2,1/((HISTORIAL!$O$3:$O$567=D569&amp;"|"&amp;E569)*(HISTORIAL!$F$3:$F$567&gt;0)),HISTORIAL!$G$3:$G$567),0),1,0),0),0),0))</f>
        <v>0</v>
      </c>
    </row>
    <row r="570" spans="1:15" ht="14.1" customHeight="1">
      <c r="A570" s="37">
        <v>9</v>
      </c>
      <c r="B570" s="37" t="s">
        <v>281</v>
      </c>
      <c r="C570" s="37">
        <v>13</v>
      </c>
      <c r="D570" s="56" t="str">
        <f>SABADO!$A$224</f>
        <v>Crunch</v>
      </c>
      <c r="E570" s="57" t="str">
        <f>SABADO!$B$224</f>
        <v>Polea</v>
      </c>
      <c r="F570" s="37" t="str">
        <f>SABADO!$C$224</f>
        <v>polea</v>
      </c>
      <c r="G570" s="37" t="str">
        <f>IFERROR(LOOKUP(2,1/((HISTORIAL!$O$3:$O$568=D570&amp;"|"&amp;E570)*(HISTORIAL!$F$3:$F$568&lt;&gt;"")),HISTORIAL!$F$3:$F$568),"")</f>
        <v/>
      </c>
      <c r="H570" s="37" t="str">
        <f>IFERROR(LOOKUP(2,1/((HISTORIAL!$O$3:$O$568=D570&amp;"|"&amp;E570)*(HISTORIAL!$F$3:$F$568&lt;&gt;"")),HISTORIAL!$G$3:$G$568),"")</f>
        <v/>
      </c>
      <c r="I570" s="37" t="str">
        <f>IFERROR(LOOKUP(2,1/((HISTORIAL!$O$3:$O$568=D570&amp;"|"&amp;E570)*(HISTORIAL!$F$3:$F$568&lt;&gt;"")),HISTORIAL!$H$3:$H$568),"")</f>
        <v/>
      </c>
      <c r="J570" s="37" t="str">
        <f>IFERROR(LOOKUP(2,1/((HISTORIAL!$O$3:$O$568=D570&amp;"|"&amp;E570)*(HISTORIAL!$F$3:$F$568&lt;&gt;"")),HISTORIAL!$I$3:$I$568),"")</f>
        <v/>
      </c>
      <c r="K570" s="58" t="str">
        <f>IFERROR(IF(OR(G570="",N570="SIN"),"--",IF(N570="SUBIR_F",IF(F570="polea",IFERROR(INDEX(CONFIG!$B$25:$B$40,MATCH(G570,CONFIG!$B$25:$B$40,0)+2),IFERROR(INDEX(CONFIG!$B$25:$B$40,MATCH(G570,CONFIG!$B$25:$B$40,0)+1),G570)),G570+5),IF(OR(N570="SUBIR",N570="SUBIR_E"),IF(F570="polea",IFERROR(INDEX(CONFIG!$B$25:$B$40,MATCH(G570,CONFIG!$B$25:$B$40,0)+1),G570),G570+2.5),IF(N570="BAJAR",IF(F570="polea",IFERROR(INDEX(CONFIG!$B$25:$B$40,MAX(1,MATCH(G570,CONFIG!$B$25:$B$40,0)-1)),G570),MAX(0,G570-2.5)),G570)))),"--")</f>
        <v>--</v>
      </c>
      <c r="L570" s="59" t="str">
        <f>IFERROR(IF(N570="SIN","--",IF(N570="MANT",IF(H570="","--",H570+1),IFERROR(VLOOKUP(CONFIG!$E$2,CONFIG!$A$6:$E$8,2,0),"--"))),"--")</f>
        <v>--</v>
      </c>
      <c r="M570" s="59" t="str">
        <f>IFERROR(IF(N570="SIN","--",IF(CONFIG!$E$2="HIP",2,IF(CONFIG!$E$2="FUE",1,2))),"--")</f>
        <v>--</v>
      </c>
      <c r="N570" s="53" t="str">
        <f>IFERROR(IF(G570="","SIN",IF(O570=1,"SUBIR_E",IF(H570&lt;IFERROR(VLOOKUP(CONFIG!$E$2,CONFIG!$A$6:$E$8,2,0),6),"BAJAR",IF(H570+I570&gt;=IFERROR(VLOOKUP(CONFIG!$E$2,CONFIG!$A$6:$E$8,3,0),12),"SUBIR_F",IF(AND(H570&gt;=IFERROR(VLOOKUP(CONFIG!$E$2,CONFIG!$A$6:$E$8,2,0),6)+2,I570&gt;=2),"SUBIR",IF(I570&gt;IFERROR(VLOOKUP(CONFIG!$E$2,CONFIG!$A$6:$E$8,5,0),3),"SUBIR","MANT")))))),"SIN")</f>
        <v>SIN</v>
      </c>
      <c r="O570" s="55">
        <f>IF(COUNTIFS(HISTORIAL!$O$3:$O$568,D570&amp;"|"&amp;E570,HISTORIAL!$F$3:$F$568,"&gt;0")&lt;2,0,IF(COUNTIFS(HISTORIAL!$O$3:$O$568,D570&amp;"|"&amp;E570,HISTORIAL!$F$3:$F$568,IFERROR(LOOKUP(2,1/((HISTORIAL!$O$3:$O$568=D570&amp;"|"&amp;E570)*(HISTORIAL!$F$3:$F$568&gt;0)),HISTORIAL!$F$3:$F$568),0))&gt;=2,IF(IFERROR(LOOKUP(2,1/((HISTORIAL!$O$3:$O$568=D570&amp;"|"&amp;E570)*(HISTORIAL!$F$3:$F$568&gt;0)),HISTORIAL!$G$3:$G$568),0)&gt;0,IF(F570&gt;0,IF(G570&lt;=IFERROR(LOOKUP(2,1/((HISTORIAL!$O$3:$O$568=D570&amp;"|"&amp;E570)*(HISTORIAL!$F$3:$F$568&gt;0)),HISTORIAL!$G$3:$G$568),0),1,0),0),0),0))</f>
        <v>0</v>
      </c>
    </row>
    <row r="571" spans="1:15" ht="14.1" customHeight="1">
      <c r="A571" s="37">
        <v>10</v>
      </c>
      <c r="B571" s="37" t="s">
        <v>277</v>
      </c>
      <c r="C571" s="37">
        <v>1</v>
      </c>
      <c r="D571" s="56" t="str">
        <f>LUNES!$A$211</f>
        <v>Press Plano</v>
      </c>
      <c r="E571" s="57" t="str">
        <f>LUNES!$B$211</f>
        <v>Barra</v>
      </c>
      <c r="F571" s="37" t="str">
        <f>LUNES!$C$211</f>
        <v>disco</v>
      </c>
      <c r="G571" s="37" t="str">
        <f>IFERROR(LOOKUP(2,1/((HISTORIAL!$O$3:$O$569=D571&amp;"|"&amp;E571)*(HISTORIAL!$F$3:$F$569&lt;&gt;"")),HISTORIAL!$F$3:$F$569),"")</f>
        <v/>
      </c>
      <c r="H571" s="37" t="str">
        <f>IFERROR(LOOKUP(2,1/((HISTORIAL!$O$3:$O$569=D571&amp;"|"&amp;E571)*(HISTORIAL!$F$3:$F$569&lt;&gt;"")),HISTORIAL!$G$3:$G$569),"")</f>
        <v/>
      </c>
      <c r="I571" s="37" t="str">
        <f>IFERROR(LOOKUP(2,1/((HISTORIAL!$O$3:$O$569=D571&amp;"|"&amp;E571)*(HISTORIAL!$F$3:$F$569&lt;&gt;"")),HISTORIAL!$H$3:$H$569),"")</f>
        <v/>
      </c>
      <c r="J571" s="37" t="str">
        <f>IFERROR(LOOKUP(2,1/((HISTORIAL!$O$3:$O$569=D571&amp;"|"&amp;E571)*(HISTORIAL!$F$3:$F$569&lt;&gt;"")),HISTORIAL!$I$3:$I$569),"")</f>
        <v/>
      </c>
      <c r="K571" s="58" t="str">
        <f>IFERROR(IF(OR(G571="",N571="SIN"),"--",IF(N571="SUBIR_F",IF(F571="polea",IFERROR(INDEX(CONFIG!$B$25:$B$40,MATCH(G571,CONFIG!$B$25:$B$40,0)+2),IFERROR(INDEX(CONFIG!$B$25:$B$40,MATCH(G571,CONFIG!$B$25:$B$40,0)+1),G571)),G571+5),IF(OR(N571="SUBIR",N571="SUBIR_E"),IF(F571="polea",IFERROR(INDEX(CONFIG!$B$25:$B$40,MATCH(G571,CONFIG!$B$25:$B$40,0)+1),G571),G571+2.5),IF(N571="BAJAR",IF(F571="polea",IFERROR(INDEX(CONFIG!$B$25:$B$40,MAX(1,MATCH(G571,CONFIG!$B$25:$B$40,0)-1)),G571),MAX(0,G571-2.5)),G571)))),"--")</f>
        <v>--</v>
      </c>
      <c r="L571" s="59" t="str">
        <f>IFERROR(IF(N571="SIN","--",IF(N571="MANT",IF(H571="","--",H571+1),IFERROR(VLOOKUP(CONFIG!$E$2,CONFIG!$A$6:$E$8,2,0),"--"))),"--")</f>
        <v>--</v>
      </c>
      <c r="M571" s="59" t="str">
        <f>IFERROR(IF(N571="SIN","--",IF(CONFIG!$E$2="HIP",2,IF(CONFIG!$E$2="FUE",1,2))),"--")</f>
        <v>--</v>
      </c>
      <c r="N571" s="53" t="str">
        <f>IFERROR(IF(G571="","SIN",IF(O571=1,"SUBIR_E",IF(H571&lt;IFERROR(VLOOKUP(CONFIG!$E$2,CONFIG!$A$6:$E$8,2,0),6),"BAJAR",IF(H571+I571&gt;=IFERROR(VLOOKUP(CONFIG!$E$2,CONFIG!$A$6:$E$8,3,0),12),"SUBIR_F",IF(AND(H571&gt;=IFERROR(VLOOKUP(CONFIG!$E$2,CONFIG!$A$6:$E$8,2,0),6)+2,I571&gt;=2),"SUBIR",IF(I571&gt;IFERROR(VLOOKUP(CONFIG!$E$2,CONFIG!$A$6:$E$8,5,0),3),"SUBIR","MANT")))))),"SIN")</f>
        <v>SIN</v>
      </c>
      <c r="O571" s="55">
        <f>IF(COUNTIFS(HISTORIAL!$O$3:$O$569,D571&amp;"|"&amp;E571,HISTORIAL!$F$3:$F$569,"&gt;0")&lt;2,0,IF(COUNTIFS(HISTORIAL!$O$3:$O$569,D571&amp;"|"&amp;E571,HISTORIAL!$F$3:$F$569,IFERROR(LOOKUP(2,1/((HISTORIAL!$O$3:$O$569=D571&amp;"|"&amp;E571)*(HISTORIAL!$F$3:$F$569&gt;0)),HISTORIAL!$F$3:$F$569),0))&gt;=2,IF(IFERROR(LOOKUP(2,1/((HISTORIAL!$O$3:$O$569=D571&amp;"|"&amp;E571)*(HISTORIAL!$F$3:$F$569&gt;0)),HISTORIAL!$G$3:$G$569),0)&gt;0,IF(F571&gt;0,IF(G571&lt;=IFERROR(LOOKUP(2,1/((HISTORIAL!$O$3:$O$569=D571&amp;"|"&amp;E571)*(HISTORIAL!$F$3:$F$569&gt;0)),HISTORIAL!$G$3:$G$569),0),1,0),0),0),0))</f>
        <v>0</v>
      </c>
    </row>
    <row r="572" spans="1:15" ht="14.1" customHeight="1">
      <c r="A572" s="37">
        <v>10</v>
      </c>
      <c r="B572" s="37" t="s">
        <v>277</v>
      </c>
      <c r="C572" s="37">
        <v>2</v>
      </c>
      <c r="D572" s="56" t="str">
        <f>LUNES!$A$213</f>
        <v>Press Inclinado</v>
      </c>
      <c r="E572" s="57" t="str">
        <f>LUNES!$B$213</f>
        <v>Mancuernas</v>
      </c>
      <c r="F572" s="37" t="str">
        <f>LUNES!$C$213</f>
        <v>mancuerna</v>
      </c>
      <c r="G572" s="37" t="str">
        <f>IFERROR(LOOKUP(2,1/((HISTORIAL!$O$3:$O$570=D572&amp;"|"&amp;E572)*(HISTORIAL!$F$3:$F$570&lt;&gt;"")),HISTORIAL!$F$3:$F$570),"")</f>
        <v/>
      </c>
      <c r="H572" s="37" t="str">
        <f>IFERROR(LOOKUP(2,1/((HISTORIAL!$O$3:$O$570=D572&amp;"|"&amp;E572)*(HISTORIAL!$F$3:$F$570&lt;&gt;"")),HISTORIAL!$G$3:$G$570),"")</f>
        <v/>
      </c>
      <c r="I572" s="37" t="str">
        <f>IFERROR(LOOKUP(2,1/((HISTORIAL!$O$3:$O$570=D572&amp;"|"&amp;E572)*(HISTORIAL!$F$3:$F$570&lt;&gt;"")),HISTORIAL!$H$3:$H$570),"")</f>
        <v/>
      </c>
      <c r="J572" s="37" t="str">
        <f>IFERROR(LOOKUP(2,1/((HISTORIAL!$O$3:$O$570=D572&amp;"|"&amp;E572)*(HISTORIAL!$F$3:$F$570&lt;&gt;"")),HISTORIAL!$I$3:$I$570),"")</f>
        <v/>
      </c>
      <c r="K572" s="58" t="str">
        <f>IFERROR(IF(OR(G572="",N572="SIN"),"--",IF(N572="SUBIR_F",IF(F572="polea",IFERROR(INDEX(CONFIG!$B$25:$B$40,MATCH(G572,CONFIG!$B$25:$B$40,0)+2),IFERROR(INDEX(CONFIG!$B$25:$B$40,MATCH(G572,CONFIG!$B$25:$B$40,0)+1),G572)),G572+5),IF(OR(N572="SUBIR",N572="SUBIR_E"),IF(F572="polea",IFERROR(INDEX(CONFIG!$B$25:$B$40,MATCH(G572,CONFIG!$B$25:$B$40,0)+1),G572),G572+2.5),IF(N572="BAJAR",IF(F572="polea",IFERROR(INDEX(CONFIG!$B$25:$B$40,MAX(1,MATCH(G572,CONFIG!$B$25:$B$40,0)-1)),G572),MAX(0,G572-2.5)),G572)))),"--")</f>
        <v>--</v>
      </c>
      <c r="L572" s="59" t="str">
        <f>IFERROR(IF(N572="SIN","--",IF(N572="MANT",IF(H572="","--",H572+1),IFERROR(VLOOKUP(CONFIG!$E$2,CONFIG!$A$6:$E$8,2,0),"--"))),"--")</f>
        <v>--</v>
      </c>
      <c r="M572" s="59" t="str">
        <f>IFERROR(IF(N572="SIN","--",IF(CONFIG!$E$2="HIP",2,IF(CONFIG!$E$2="FUE",1,2))),"--")</f>
        <v>--</v>
      </c>
      <c r="N572" s="53" t="str">
        <f>IFERROR(IF(G572="","SIN",IF(O572=1,"SUBIR_E",IF(H572&lt;IFERROR(VLOOKUP(CONFIG!$E$2,CONFIG!$A$6:$E$8,2,0),6),"BAJAR",IF(H572+I572&gt;=IFERROR(VLOOKUP(CONFIG!$E$2,CONFIG!$A$6:$E$8,3,0),12),"SUBIR_F",IF(AND(H572&gt;=IFERROR(VLOOKUP(CONFIG!$E$2,CONFIG!$A$6:$E$8,2,0),6)+2,I572&gt;=2),"SUBIR",IF(I572&gt;IFERROR(VLOOKUP(CONFIG!$E$2,CONFIG!$A$6:$E$8,5,0),3),"SUBIR","MANT")))))),"SIN")</f>
        <v>SIN</v>
      </c>
      <c r="O572" s="55">
        <f>IF(COUNTIFS(HISTORIAL!$O$3:$O$570,D572&amp;"|"&amp;E572,HISTORIAL!$F$3:$F$570,"&gt;0")&lt;2,0,IF(COUNTIFS(HISTORIAL!$O$3:$O$570,D572&amp;"|"&amp;E572,HISTORIAL!$F$3:$F$570,IFERROR(LOOKUP(2,1/((HISTORIAL!$O$3:$O$570=D572&amp;"|"&amp;E572)*(HISTORIAL!$F$3:$F$570&gt;0)),HISTORIAL!$F$3:$F$570),0))&gt;=2,IF(IFERROR(LOOKUP(2,1/((HISTORIAL!$O$3:$O$570=D572&amp;"|"&amp;E572)*(HISTORIAL!$F$3:$F$570&gt;0)),HISTORIAL!$G$3:$G$570),0)&gt;0,IF(F572&gt;0,IF(G572&lt;=IFERROR(LOOKUP(2,1/((HISTORIAL!$O$3:$O$570=D572&amp;"|"&amp;E572)*(HISTORIAL!$F$3:$F$570&gt;0)),HISTORIAL!$G$3:$G$570),0),1,0),0),0),0))</f>
        <v>0</v>
      </c>
    </row>
    <row r="573" spans="1:15" ht="14.1" customHeight="1">
      <c r="A573" s="37">
        <v>10</v>
      </c>
      <c r="B573" s="37" t="s">
        <v>277</v>
      </c>
      <c r="C573" s="37">
        <v>3</v>
      </c>
      <c r="D573" s="56" t="str">
        <f>LUNES!$A$215</f>
        <v>Fondos</v>
      </c>
      <c r="E573" s="57" t="str">
        <f>LUNES!$B$215</f>
        <v>Paralelas</v>
      </c>
      <c r="F573" s="37" t="str">
        <f>LUNES!$C$215</f>
        <v>peso_corporal</v>
      </c>
      <c r="G573" s="37">
        <f>IFERROR(LOOKUP(2,1/((HISTORIAL!$O$3:$O$571=D573&amp;"|"&amp;E573)*(HISTORIAL!$F$3:$F$571&lt;&gt;"")),HISTORIAL!$F$3:$F$571),"")</f>
        <v>0</v>
      </c>
      <c r="H573" s="37">
        <f>IFERROR(LOOKUP(2,1/((HISTORIAL!$O$3:$O$571=D573&amp;"|"&amp;E573)*(HISTORIAL!$F$3:$F$571&lt;&gt;"")),HISTORIAL!$G$3:$G$571),"")</f>
        <v>12</v>
      </c>
      <c r="I573" s="37">
        <f>IFERROR(LOOKUP(2,1/((HISTORIAL!$O$3:$O$571=D573&amp;"|"&amp;E573)*(HISTORIAL!$F$3:$F$571&lt;&gt;"")),HISTORIAL!$H$3:$H$571),"")</f>
        <v>0</v>
      </c>
      <c r="J573" s="37" t="str">
        <f>IFERROR(LOOKUP(2,1/((HISTORIAL!$O$3:$O$571=D573&amp;"|"&amp;E573)*(HISTORIAL!$F$3:$F$571&lt;&gt;"")),HISTORIAL!$I$3:$I$571),"")</f>
        <v>B</v>
      </c>
      <c r="K573" s="58">
        <f>IFERROR(IF(OR(G573="",N573="SIN"),"--",IF(N573="SUBIR_F",IF(F573="polea",IFERROR(INDEX(CONFIG!$B$25:$B$40,MATCH(G573,CONFIG!$B$25:$B$40,0)+2),IFERROR(INDEX(CONFIG!$B$25:$B$40,MATCH(G573,CONFIG!$B$25:$B$40,0)+1),G573)),G573+5),IF(OR(N573="SUBIR",N573="SUBIR_E"),IF(F573="polea",IFERROR(INDEX(CONFIG!$B$25:$B$40,MATCH(G573,CONFIG!$B$25:$B$40,0)+1),G573),G573+2.5),IF(N573="BAJAR",IF(F573="polea",IFERROR(INDEX(CONFIG!$B$25:$B$40,MAX(1,MATCH(G573,CONFIG!$B$25:$B$40,0)-1)),G573),MAX(0,G573-2.5)),G573)))),"--")</f>
        <v>5</v>
      </c>
      <c r="L573" s="59">
        <f>IFERROR(IF(N573="SIN","--",IF(N573="MANT",IF(H573="","--",H573+1),IFERROR(VLOOKUP(CONFIG!$E$2,CONFIG!$A$6:$E$8,2,0),"--"))),"--")</f>
        <v>6</v>
      </c>
      <c r="M573" s="59">
        <f>IFERROR(IF(N573="SIN","--",IF(CONFIG!$E$2="HIP",2,IF(CONFIG!$E$2="FUE",1,2))),"--")</f>
        <v>2</v>
      </c>
      <c r="N573" s="53" t="str">
        <f>IFERROR(IF(G573="","SIN",IF(O573=1,"SUBIR_E",IF(H573&lt;IFERROR(VLOOKUP(CONFIG!$E$2,CONFIG!$A$6:$E$8,2,0),6),"BAJAR",IF(H573+I573&gt;=IFERROR(VLOOKUP(CONFIG!$E$2,CONFIG!$A$6:$E$8,3,0),12),"SUBIR_F",IF(AND(H573&gt;=IFERROR(VLOOKUP(CONFIG!$E$2,CONFIG!$A$6:$E$8,2,0),6)+2,I573&gt;=2),"SUBIR",IF(I573&gt;IFERROR(VLOOKUP(CONFIG!$E$2,CONFIG!$A$6:$E$8,5,0),3),"SUBIR","MANT")))))),"SIN")</f>
        <v>SUBIR_F</v>
      </c>
      <c r="O573" s="55">
        <f>IF(COUNTIFS(HISTORIAL!$O$3:$O$571,D573&amp;"|"&amp;E573,HISTORIAL!$F$3:$F$571,"&gt;0")&lt;2,0,IF(COUNTIFS(HISTORIAL!$O$3:$O$571,D573&amp;"|"&amp;E573,HISTORIAL!$F$3:$F$571,IFERROR(LOOKUP(2,1/((HISTORIAL!$O$3:$O$571=D573&amp;"|"&amp;E573)*(HISTORIAL!$F$3:$F$571&gt;0)),HISTORIAL!$F$3:$F$571),0))&gt;=2,IF(IFERROR(LOOKUP(2,1/((HISTORIAL!$O$3:$O$571=D573&amp;"|"&amp;E573)*(HISTORIAL!$F$3:$F$571&gt;0)),HISTORIAL!$G$3:$G$571),0)&gt;0,IF(F573&gt;0,IF(G573&lt;=IFERROR(LOOKUP(2,1/((HISTORIAL!$O$3:$O$571=D573&amp;"|"&amp;E573)*(HISTORIAL!$F$3:$F$571&gt;0)),HISTORIAL!$G$3:$G$571),0),1,0),0),0),0))</f>
        <v>0</v>
      </c>
    </row>
    <row r="574" spans="1:15" ht="14.1" customHeight="1">
      <c r="A574" s="37">
        <v>10</v>
      </c>
      <c r="B574" s="37" t="s">
        <v>277</v>
      </c>
      <c r="C574" s="37">
        <v>4</v>
      </c>
      <c r="D574" s="56" t="str">
        <f>LUNES!$A$216</f>
        <v>Aperturas</v>
      </c>
      <c r="E574" s="57" t="str">
        <f>LUNES!$B$216</f>
        <v>Polea Baja Crossover</v>
      </c>
      <c r="F574" s="37" t="str">
        <f>LUNES!$C$216</f>
        <v>--</v>
      </c>
      <c r="G574" s="37" t="str">
        <f>IFERROR(LOOKUP(2,1/((HISTORIAL!$O$3:$O$572=D574&amp;"|"&amp;E574)*(HISTORIAL!$F$3:$F$572&lt;&gt;"")),HISTORIAL!$F$3:$F$572),"")</f>
        <v/>
      </c>
      <c r="H574" s="37" t="str">
        <f>IFERROR(LOOKUP(2,1/((HISTORIAL!$O$3:$O$572=D574&amp;"|"&amp;E574)*(HISTORIAL!$F$3:$F$572&lt;&gt;"")),HISTORIAL!$G$3:$G$572),"")</f>
        <v/>
      </c>
      <c r="I574" s="37" t="str">
        <f>IFERROR(LOOKUP(2,1/((HISTORIAL!$O$3:$O$572=D574&amp;"|"&amp;E574)*(HISTORIAL!$F$3:$F$572&lt;&gt;"")),HISTORIAL!$H$3:$H$572),"")</f>
        <v/>
      </c>
      <c r="J574" s="37" t="str">
        <f>IFERROR(LOOKUP(2,1/((HISTORIAL!$O$3:$O$572=D574&amp;"|"&amp;E574)*(HISTORIAL!$F$3:$F$572&lt;&gt;"")),HISTORIAL!$I$3:$I$572),"")</f>
        <v/>
      </c>
      <c r="K574" s="58" t="str">
        <f>IFERROR(IF(OR(G574="",N574="SIN"),"--",IF(N574="SUBIR_F",IF(F574="polea",IFERROR(INDEX(CONFIG!$B$25:$B$40,MATCH(G574,CONFIG!$B$25:$B$40,0)+2),IFERROR(INDEX(CONFIG!$B$25:$B$40,MATCH(G574,CONFIG!$B$25:$B$40,0)+1),G574)),G574+5),IF(OR(N574="SUBIR",N574="SUBIR_E"),IF(F574="polea",IFERROR(INDEX(CONFIG!$B$25:$B$40,MATCH(G574,CONFIG!$B$25:$B$40,0)+1),G574),G574+2.5),IF(N574="BAJAR",IF(F574="polea",IFERROR(INDEX(CONFIG!$B$25:$B$40,MAX(1,MATCH(G574,CONFIG!$B$25:$B$40,0)-1)),G574),MAX(0,G574-2.5)),G574)))),"--")</f>
        <v>--</v>
      </c>
      <c r="L574" s="59" t="str">
        <f>IFERROR(IF(N574="SIN","--",IF(N574="MANT",IF(H574="","--",H574+1),IFERROR(VLOOKUP(CONFIG!$E$2,CONFIG!$A$6:$E$8,2,0),"--"))),"--")</f>
        <v>--</v>
      </c>
      <c r="M574" s="59" t="str">
        <f>IFERROR(IF(N574="SIN","--",IF(CONFIG!$E$2="HIP",2,IF(CONFIG!$E$2="FUE",1,2))),"--")</f>
        <v>--</v>
      </c>
      <c r="N574" s="53" t="str">
        <f>IFERROR(IF(G574="","SIN",IF(O574=1,"SUBIR_E",IF(H574&lt;IFERROR(VLOOKUP(CONFIG!$E$2,CONFIG!$A$6:$E$8,2,0),6),"BAJAR",IF(H574+I574&gt;=IFERROR(VLOOKUP(CONFIG!$E$2,CONFIG!$A$6:$E$8,3,0),12),"SUBIR_F",IF(AND(H574&gt;=IFERROR(VLOOKUP(CONFIG!$E$2,CONFIG!$A$6:$E$8,2,0),6)+2,I574&gt;=2),"SUBIR",IF(I574&gt;IFERROR(VLOOKUP(CONFIG!$E$2,CONFIG!$A$6:$E$8,5,0),3),"SUBIR","MANT")))))),"SIN")</f>
        <v>SIN</v>
      </c>
      <c r="O574" s="55">
        <f>IF(COUNTIFS(HISTORIAL!$O$3:$O$572,D574&amp;"|"&amp;E574,HISTORIAL!$F$3:$F$572,"&gt;0")&lt;2,0,IF(COUNTIFS(HISTORIAL!$O$3:$O$572,D574&amp;"|"&amp;E574,HISTORIAL!$F$3:$F$572,IFERROR(LOOKUP(2,1/((HISTORIAL!$O$3:$O$572=D574&amp;"|"&amp;E574)*(HISTORIAL!$F$3:$F$572&gt;0)),HISTORIAL!$F$3:$F$572),0))&gt;=2,IF(IFERROR(LOOKUP(2,1/((HISTORIAL!$O$3:$O$572=D574&amp;"|"&amp;E574)*(HISTORIAL!$F$3:$F$572&gt;0)),HISTORIAL!$G$3:$G$572),0)&gt;0,IF(F574&gt;0,IF(G574&lt;=IFERROR(LOOKUP(2,1/((HISTORIAL!$O$3:$O$572=D574&amp;"|"&amp;E574)*(HISTORIAL!$F$3:$F$572&gt;0)),HISTORIAL!$G$3:$G$572),0),1,0),0),0),0))</f>
        <v>0</v>
      </c>
    </row>
    <row r="575" spans="1:15" ht="14.1" customHeight="1">
      <c r="A575" s="37">
        <v>10</v>
      </c>
      <c r="B575" s="37" t="s">
        <v>277</v>
      </c>
      <c r="C575" s="37">
        <v>5</v>
      </c>
      <c r="D575" s="56" t="str">
        <f>LUNES!$A$217</f>
        <v>Aperturas</v>
      </c>
      <c r="E575" s="57" t="str">
        <f>LUNES!$B$217</f>
        <v>Pec Deck Maquina</v>
      </c>
      <c r="F575" s="37" t="str">
        <f>LUNES!$C$217</f>
        <v>--</v>
      </c>
      <c r="G575" s="37" t="str">
        <f>IFERROR(LOOKUP(2,1/((HISTORIAL!$O$3:$O$573=D575&amp;"|"&amp;E575)*(HISTORIAL!$F$3:$F$573&lt;&gt;"")),HISTORIAL!$F$3:$F$573),"")</f>
        <v/>
      </c>
      <c r="H575" s="37" t="str">
        <f>IFERROR(LOOKUP(2,1/((HISTORIAL!$O$3:$O$573=D575&amp;"|"&amp;E575)*(HISTORIAL!$F$3:$F$573&lt;&gt;"")),HISTORIAL!$G$3:$G$573),"")</f>
        <v/>
      </c>
      <c r="I575" s="37" t="str">
        <f>IFERROR(LOOKUP(2,1/((HISTORIAL!$O$3:$O$573=D575&amp;"|"&amp;E575)*(HISTORIAL!$F$3:$F$573&lt;&gt;"")),HISTORIAL!$H$3:$H$573),"")</f>
        <v/>
      </c>
      <c r="J575" s="37" t="str">
        <f>IFERROR(LOOKUP(2,1/((HISTORIAL!$O$3:$O$573=D575&amp;"|"&amp;E575)*(HISTORIAL!$F$3:$F$573&lt;&gt;"")),HISTORIAL!$I$3:$I$573),"")</f>
        <v/>
      </c>
      <c r="K575" s="58" t="str">
        <f>IFERROR(IF(OR(G575="",N575="SIN"),"--",IF(N575="SUBIR_F",IF(F575="polea",IFERROR(INDEX(CONFIG!$B$25:$B$40,MATCH(G575,CONFIG!$B$25:$B$40,0)+2),IFERROR(INDEX(CONFIG!$B$25:$B$40,MATCH(G575,CONFIG!$B$25:$B$40,0)+1),G575)),G575+5),IF(OR(N575="SUBIR",N575="SUBIR_E"),IF(F575="polea",IFERROR(INDEX(CONFIG!$B$25:$B$40,MATCH(G575,CONFIG!$B$25:$B$40,0)+1),G575),G575+2.5),IF(N575="BAJAR",IF(F575="polea",IFERROR(INDEX(CONFIG!$B$25:$B$40,MAX(1,MATCH(G575,CONFIG!$B$25:$B$40,0)-1)),G575),MAX(0,G575-2.5)),G575)))),"--")</f>
        <v>--</v>
      </c>
      <c r="L575" s="59" t="str">
        <f>IFERROR(IF(N575="SIN","--",IF(N575="MANT",IF(H575="","--",H575+1),IFERROR(VLOOKUP(CONFIG!$E$2,CONFIG!$A$6:$E$8,2,0),"--"))),"--")</f>
        <v>--</v>
      </c>
      <c r="M575" s="59" t="str">
        <f>IFERROR(IF(N575="SIN","--",IF(CONFIG!$E$2="HIP",2,IF(CONFIG!$E$2="FUE",1,2))),"--")</f>
        <v>--</v>
      </c>
      <c r="N575" s="53" t="str">
        <f>IFERROR(IF(G575="","SIN",IF(O575=1,"SUBIR_E",IF(H575&lt;IFERROR(VLOOKUP(CONFIG!$E$2,CONFIG!$A$6:$E$8,2,0),6),"BAJAR",IF(H575+I575&gt;=IFERROR(VLOOKUP(CONFIG!$E$2,CONFIG!$A$6:$E$8,3,0),12),"SUBIR_F",IF(AND(H575&gt;=IFERROR(VLOOKUP(CONFIG!$E$2,CONFIG!$A$6:$E$8,2,0),6)+2,I575&gt;=2),"SUBIR",IF(I575&gt;IFERROR(VLOOKUP(CONFIG!$E$2,CONFIG!$A$6:$E$8,5,0),3),"SUBIR","MANT")))))),"SIN")</f>
        <v>SIN</v>
      </c>
      <c r="O575" s="55">
        <f>IF(COUNTIFS(HISTORIAL!$O$3:$O$573,D575&amp;"|"&amp;E575,HISTORIAL!$F$3:$F$573,"&gt;0")&lt;2,0,IF(COUNTIFS(HISTORIAL!$O$3:$O$573,D575&amp;"|"&amp;E575,HISTORIAL!$F$3:$F$573,IFERROR(LOOKUP(2,1/((HISTORIAL!$O$3:$O$573=D575&amp;"|"&amp;E575)*(HISTORIAL!$F$3:$F$573&gt;0)),HISTORIAL!$F$3:$F$573),0))&gt;=2,IF(IFERROR(LOOKUP(2,1/((HISTORIAL!$O$3:$O$573=D575&amp;"|"&amp;E575)*(HISTORIAL!$F$3:$F$573&gt;0)),HISTORIAL!$G$3:$G$573),0)&gt;0,IF(F575&gt;0,IF(G575&lt;=IFERROR(LOOKUP(2,1/((HISTORIAL!$O$3:$O$573=D575&amp;"|"&amp;E575)*(HISTORIAL!$F$3:$F$573&gt;0)),HISTORIAL!$G$3:$G$573),0),1,0),0),0),0))</f>
        <v>0</v>
      </c>
    </row>
    <row r="576" spans="1:15" ht="14.1" customHeight="1">
      <c r="A576" s="37">
        <v>10</v>
      </c>
      <c r="B576" s="37" t="s">
        <v>277</v>
      </c>
      <c r="C576" s="37">
        <v>6</v>
      </c>
      <c r="D576" s="56" t="str">
        <f>LUNES!$A$219</f>
        <v>Elevaciones Laterales</v>
      </c>
      <c r="E576" s="57" t="str">
        <f>LUNES!$B$219</f>
        <v>Cable Polea Individual</v>
      </c>
      <c r="F576" s="37" t="str">
        <f>LUNES!$C$219</f>
        <v>polea</v>
      </c>
      <c r="G576" s="37" t="str">
        <f>IFERROR(LOOKUP(2,1/((HISTORIAL!$O$3:$O$574=D576&amp;"|"&amp;E576)*(HISTORIAL!$F$3:$F$574&lt;&gt;"")),HISTORIAL!$F$3:$F$574),"")</f>
        <v/>
      </c>
      <c r="H576" s="37" t="str">
        <f>IFERROR(LOOKUP(2,1/((HISTORIAL!$O$3:$O$574=D576&amp;"|"&amp;E576)*(HISTORIAL!$F$3:$F$574&lt;&gt;"")),HISTORIAL!$G$3:$G$574),"")</f>
        <v/>
      </c>
      <c r="I576" s="37" t="str">
        <f>IFERROR(LOOKUP(2,1/((HISTORIAL!$O$3:$O$574=D576&amp;"|"&amp;E576)*(HISTORIAL!$F$3:$F$574&lt;&gt;"")),HISTORIAL!$H$3:$H$574),"")</f>
        <v/>
      </c>
      <c r="J576" s="37" t="str">
        <f>IFERROR(LOOKUP(2,1/((HISTORIAL!$O$3:$O$574=D576&amp;"|"&amp;E576)*(HISTORIAL!$F$3:$F$574&lt;&gt;"")),HISTORIAL!$I$3:$I$574),"")</f>
        <v/>
      </c>
      <c r="K576" s="58" t="str">
        <f>IFERROR(IF(OR(G576="",N576="SIN"),"--",IF(N576="SUBIR_F",IF(F576="polea",IFERROR(INDEX(CONFIG!$B$25:$B$40,MATCH(G576,CONFIG!$B$25:$B$40,0)+2),IFERROR(INDEX(CONFIG!$B$25:$B$40,MATCH(G576,CONFIG!$B$25:$B$40,0)+1),G576)),G576+5),IF(OR(N576="SUBIR",N576="SUBIR_E"),IF(F576="polea",IFERROR(INDEX(CONFIG!$B$25:$B$40,MATCH(G576,CONFIG!$B$25:$B$40,0)+1),G576),G576+2.5),IF(N576="BAJAR",IF(F576="polea",IFERROR(INDEX(CONFIG!$B$25:$B$40,MAX(1,MATCH(G576,CONFIG!$B$25:$B$40,0)-1)),G576),MAX(0,G576-2.5)),G576)))),"--")</f>
        <v>--</v>
      </c>
      <c r="L576" s="59" t="str">
        <f>IFERROR(IF(N576="SIN","--",IF(N576="MANT",IF(H576="","--",H576+1),IFERROR(VLOOKUP(CONFIG!$E$2,CONFIG!$A$6:$E$8,2,0),"--"))),"--")</f>
        <v>--</v>
      </c>
      <c r="M576" s="59" t="str">
        <f>IFERROR(IF(N576="SIN","--",IF(CONFIG!$E$2="HIP",2,IF(CONFIG!$E$2="FUE",1,2))),"--")</f>
        <v>--</v>
      </c>
      <c r="N576" s="53" t="str">
        <f>IFERROR(IF(G576="","SIN",IF(O576=1,"SUBIR_E",IF(H576&lt;IFERROR(VLOOKUP(CONFIG!$E$2,CONFIG!$A$6:$E$8,2,0),6),"BAJAR",IF(H576+I576&gt;=IFERROR(VLOOKUP(CONFIG!$E$2,CONFIG!$A$6:$E$8,3,0),12),"SUBIR_F",IF(AND(H576&gt;=IFERROR(VLOOKUP(CONFIG!$E$2,CONFIG!$A$6:$E$8,2,0),6)+2,I576&gt;=2),"SUBIR",IF(I576&gt;IFERROR(VLOOKUP(CONFIG!$E$2,CONFIG!$A$6:$E$8,5,0),3),"SUBIR","MANT")))))),"SIN")</f>
        <v>SIN</v>
      </c>
      <c r="O576" s="55">
        <f>IF(COUNTIFS(HISTORIAL!$O$3:$O$574,D576&amp;"|"&amp;E576,HISTORIAL!$F$3:$F$574,"&gt;0")&lt;2,0,IF(COUNTIFS(HISTORIAL!$O$3:$O$574,D576&amp;"|"&amp;E576,HISTORIAL!$F$3:$F$574,IFERROR(LOOKUP(2,1/((HISTORIAL!$O$3:$O$574=D576&amp;"|"&amp;E576)*(HISTORIAL!$F$3:$F$574&gt;0)),HISTORIAL!$F$3:$F$574),0))&gt;=2,IF(IFERROR(LOOKUP(2,1/((HISTORIAL!$O$3:$O$574=D576&amp;"|"&amp;E576)*(HISTORIAL!$F$3:$F$574&gt;0)),HISTORIAL!$G$3:$G$574),0)&gt;0,IF(F576&gt;0,IF(G576&lt;=IFERROR(LOOKUP(2,1/((HISTORIAL!$O$3:$O$574=D576&amp;"|"&amp;E576)*(HISTORIAL!$F$3:$F$574&gt;0)),HISTORIAL!$G$3:$G$574),0),1,0),0),0),0))</f>
        <v>0</v>
      </c>
    </row>
    <row r="577" spans="1:15" ht="14.1" customHeight="1">
      <c r="A577" s="37">
        <v>10</v>
      </c>
      <c r="B577" s="37" t="s">
        <v>277</v>
      </c>
      <c r="C577" s="37">
        <v>7</v>
      </c>
      <c r="D577" s="56" t="str">
        <f>LUNES!$A$220</f>
        <v>Press Militar</v>
      </c>
      <c r="E577" s="57" t="str">
        <f>LUNES!$B$220</f>
        <v>Mancuernas Sentado</v>
      </c>
      <c r="F577" s="37" t="str">
        <f>LUNES!$C$220</f>
        <v>mancuerna</v>
      </c>
      <c r="G577" s="37" t="str">
        <f>IFERROR(LOOKUP(2,1/((HISTORIAL!$O$3:$O$575=D577&amp;"|"&amp;E577)*(HISTORIAL!$F$3:$F$575&lt;&gt;"")),HISTORIAL!$F$3:$F$575),"")</f>
        <v/>
      </c>
      <c r="H577" s="37" t="str">
        <f>IFERROR(LOOKUP(2,1/((HISTORIAL!$O$3:$O$575=D577&amp;"|"&amp;E577)*(HISTORIAL!$F$3:$F$575&lt;&gt;"")),HISTORIAL!$G$3:$G$575),"")</f>
        <v/>
      </c>
      <c r="I577" s="37" t="str">
        <f>IFERROR(LOOKUP(2,1/((HISTORIAL!$O$3:$O$575=D577&amp;"|"&amp;E577)*(HISTORIAL!$F$3:$F$575&lt;&gt;"")),HISTORIAL!$H$3:$H$575),"")</f>
        <v/>
      </c>
      <c r="J577" s="37" t="str">
        <f>IFERROR(LOOKUP(2,1/((HISTORIAL!$O$3:$O$575=D577&amp;"|"&amp;E577)*(HISTORIAL!$F$3:$F$575&lt;&gt;"")),HISTORIAL!$I$3:$I$575),"")</f>
        <v/>
      </c>
      <c r="K577" s="58" t="str">
        <f>IFERROR(IF(OR(G577="",N577="SIN"),"--",IF(N577="SUBIR_F",IF(F577="polea",IFERROR(INDEX(CONFIG!$B$25:$B$40,MATCH(G577,CONFIG!$B$25:$B$40,0)+2),IFERROR(INDEX(CONFIG!$B$25:$B$40,MATCH(G577,CONFIG!$B$25:$B$40,0)+1),G577)),G577+5),IF(OR(N577="SUBIR",N577="SUBIR_E"),IF(F577="polea",IFERROR(INDEX(CONFIG!$B$25:$B$40,MATCH(G577,CONFIG!$B$25:$B$40,0)+1),G577),G577+2.5),IF(N577="BAJAR",IF(F577="polea",IFERROR(INDEX(CONFIG!$B$25:$B$40,MAX(1,MATCH(G577,CONFIG!$B$25:$B$40,0)-1)),G577),MAX(0,G577-2.5)),G577)))),"--")</f>
        <v>--</v>
      </c>
      <c r="L577" s="59" t="str">
        <f>IFERROR(IF(N577="SIN","--",IF(N577="MANT",IF(H577="","--",H577+1),IFERROR(VLOOKUP(CONFIG!$E$2,CONFIG!$A$6:$E$8,2,0),"--"))),"--")</f>
        <v>--</v>
      </c>
      <c r="M577" s="59" t="str">
        <f>IFERROR(IF(N577="SIN","--",IF(CONFIG!$E$2="HIP",2,IF(CONFIG!$E$2="FUE",1,2))),"--")</f>
        <v>--</v>
      </c>
      <c r="N577" s="53" t="str">
        <f>IFERROR(IF(G577="","SIN",IF(O577=1,"SUBIR_E",IF(H577&lt;IFERROR(VLOOKUP(CONFIG!$E$2,CONFIG!$A$6:$E$8,2,0),6),"BAJAR",IF(H577+I577&gt;=IFERROR(VLOOKUP(CONFIG!$E$2,CONFIG!$A$6:$E$8,3,0),12),"SUBIR_F",IF(AND(H577&gt;=IFERROR(VLOOKUP(CONFIG!$E$2,CONFIG!$A$6:$E$8,2,0),6)+2,I577&gt;=2),"SUBIR",IF(I577&gt;IFERROR(VLOOKUP(CONFIG!$E$2,CONFIG!$A$6:$E$8,5,0),3),"SUBIR","MANT")))))),"SIN")</f>
        <v>SIN</v>
      </c>
      <c r="O577" s="55">
        <f>IF(COUNTIFS(HISTORIAL!$O$3:$O$575,D577&amp;"|"&amp;E577,HISTORIAL!$F$3:$F$575,"&gt;0")&lt;2,0,IF(COUNTIFS(HISTORIAL!$O$3:$O$575,D577&amp;"|"&amp;E577,HISTORIAL!$F$3:$F$575,IFERROR(LOOKUP(2,1/((HISTORIAL!$O$3:$O$575=D577&amp;"|"&amp;E577)*(HISTORIAL!$F$3:$F$575&gt;0)),HISTORIAL!$F$3:$F$575),0))&gt;=2,IF(IFERROR(LOOKUP(2,1/((HISTORIAL!$O$3:$O$575=D577&amp;"|"&amp;E577)*(HISTORIAL!$F$3:$F$575&gt;0)),HISTORIAL!$G$3:$G$575),0)&gt;0,IF(F577&gt;0,IF(G577&lt;=IFERROR(LOOKUP(2,1/((HISTORIAL!$O$3:$O$575=D577&amp;"|"&amp;E577)*(HISTORIAL!$F$3:$F$575&gt;0)),HISTORIAL!$G$3:$G$575),0),1,0),0),0),0))</f>
        <v>0</v>
      </c>
    </row>
    <row r="578" spans="1:15" ht="14.1" customHeight="1">
      <c r="A578" s="37">
        <v>10</v>
      </c>
      <c r="B578" s="37" t="s">
        <v>277</v>
      </c>
      <c r="C578" s="37">
        <v>8</v>
      </c>
      <c r="D578" s="56" t="str">
        <f>LUNES!$A$222</f>
        <v>Extension Triceps</v>
      </c>
      <c r="E578" s="57" t="str">
        <f>LUNES!$B$222</f>
        <v>Press Neutro Polea Individual</v>
      </c>
      <c r="F578" s="37" t="str">
        <f>LUNES!$C$222</f>
        <v>--</v>
      </c>
      <c r="G578" s="37" t="str">
        <f>IFERROR(LOOKUP(2,1/((HISTORIAL!$O$3:$O$576=D578&amp;"|"&amp;E578)*(HISTORIAL!$F$3:$F$576&lt;&gt;"")),HISTORIAL!$F$3:$F$576),"")</f>
        <v/>
      </c>
      <c r="H578" s="37" t="str">
        <f>IFERROR(LOOKUP(2,1/((HISTORIAL!$O$3:$O$576=D578&amp;"|"&amp;E578)*(HISTORIAL!$F$3:$F$576&lt;&gt;"")),HISTORIAL!$G$3:$G$576),"")</f>
        <v/>
      </c>
      <c r="I578" s="37" t="str">
        <f>IFERROR(LOOKUP(2,1/((HISTORIAL!$O$3:$O$576=D578&amp;"|"&amp;E578)*(HISTORIAL!$F$3:$F$576&lt;&gt;"")),HISTORIAL!$H$3:$H$576),"")</f>
        <v/>
      </c>
      <c r="J578" s="37" t="str">
        <f>IFERROR(LOOKUP(2,1/((HISTORIAL!$O$3:$O$576=D578&amp;"|"&amp;E578)*(HISTORIAL!$F$3:$F$576&lt;&gt;"")),HISTORIAL!$I$3:$I$576),"")</f>
        <v/>
      </c>
      <c r="K578" s="58" t="str">
        <f>IFERROR(IF(OR(G578="",N578="SIN"),"--",IF(N578="SUBIR_F",IF(F578="polea",IFERROR(INDEX(CONFIG!$B$25:$B$40,MATCH(G578,CONFIG!$B$25:$B$40,0)+2),IFERROR(INDEX(CONFIG!$B$25:$B$40,MATCH(G578,CONFIG!$B$25:$B$40,0)+1),G578)),G578+5),IF(OR(N578="SUBIR",N578="SUBIR_E"),IF(F578="polea",IFERROR(INDEX(CONFIG!$B$25:$B$40,MATCH(G578,CONFIG!$B$25:$B$40,0)+1),G578),G578+2.5),IF(N578="BAJAR",IF(F578="polea",IFERROR(INDEX(CONFIG!$B$25:$B$40,MAX(1,MATCH(G578,CONFIG!$B$25:$B$40,0)-1)),G578),MAX(0,G578-2.5)),G578)))),"--")</f>
        <v>--</v>
      </c>
      <c r="L578" s="59" t="str">
        <f>IFERROR(IF(N578="SIN","--",IF(N578="MANT",IF(H578="","--",H578+1),IFERROR(VLOOKUP(CONFIG!$E$2,CONFIG!$A$6:$E$8,2,0),"--"))),"--")</f>
        <v>--</v>
      </c>
      <c r="M578" s="59" t="str">
        <f>IFERROR(IF(N578="SIN","--",IF(CONFIG!$E$2="HIP",2,IF(CONFIG!$E$2="FUE",1,2))),"--")</f>
        <v>--</v>
      </c>
      <c r="N578" s="53" t="str">
        <f>IFERROR(IF(G578="","SIN",IF(O578=1,"SUBIR_E",IF(H578&lt;IFERROR(VLOOKUP(CONFIG!$E$2,CONFIG!$A$6:$E$8,2,0),6),"BAJAR",IF(H578+I578&gt;=IFERROR(VLOOKUP(CONFIG!$E$2,CONFIG!$A$6:$E$8,3,0),12),"SUBIR_F",IF(AND(H578&gt;=IFERROR(VLOOKUP(CONFIG!$E$2,CONFIG!$A$6:$E$8,2,0),6)+2,I578&gt;=2),"SUBIR",IF(I578&gt;IFERROR(VLOOKUP(CONFIG!$E$2,CONFIG!$A$6:$E$8,5,0),3),"SUBIR","MANT")))))),"SIN")</f>
        <v>SIN</v>
      </c>
      <c r="O578" s="55">
        <f>IF(COUNTIFS(HISTORIAL!$O$3:$O$576,D578&amp;"|"&amp;E578,HISTORIAL!$F$3:$F$576,"&gt;0")&lt;2,0,IF(COUNTIFS(HISTORIAL!$O$3:$O$576,D578&amp;"|"&amp;E578,HISTORIAL!$F$3:$F$576,IFERROR(LOOKUP(2,1/((HISTORIAL!$O$3:$O$576=D578&amp;"|"&amp;E578)*(HISTORIAL!$F$3:$F$576&gt;0)),HISTORIAL!$F$3:$F$576),0))&gt;=2,IF(IFERROR(LOOKUP(2,1/((HISTORIAL!$O$3:$O$576=D578&amp;"|"&amp;E578)*(HISTORIAL!$F$3:$F$576&gt;0)),HISTORIAL!$G$3:$G$576),0)&gt;0,IF(F578&gt;0,IF(G578&lt;=IFERROR(LOOKUP(2,1/((HISTORIAL!$O$3:$O$576=D578&amp;"|"&amp;E578)*(HISTORIAL!$F$3:$F$576&gt;0)),HISTORIAL!$G$3:$G$576),0),1,0),0),0),0))</f>
        <v>0</v>
      </c>
    </row>
    <row r="579" spans="1:15" ht="14.1" customHeight="1">
      <c r="A579" s="37">
        <v>10</v>
      </c>
      <c r="B579" s="37" t="s">
        <v>277</v>
      </c>
      <c r="C579" s="37">
        <v>9</v>
      </c>
      <c r="D579" s="56" t="str">
        <f>LUNES!$A$224</f>
        <v>Extension Cuadriceps</v>
      </c>
      <c r="E579" s="57" t="str">
        <f>LUNES!$B$224</f>
        <v>Vasto Externo</v>
      </c>
      <c r="F579" s="37" t="str">
        <f>LUNES!$C$224</f>
        <v>--</v>
      </c>
      <c r="G579" s="37" t="str">
        <f>IFERROR(LOOKUP(2,1/((HISTORIAL!$O$3:$O$577=D579&amp;"|"&amp;E579)*(HISTORIAL!$F$3:$F$577&lt;&gt;"")),HISTORIAL!$F$3:$F$577),"")</f>
        <v/>
      </c>
      <c r="H579" s="37" t="str">
        <f>IFERROR(LOOKUP(2,1/((HISTORIAL!$O$3:$O$577=D579&amp;"|"&amp;E579)*(HISTORIAL!$F$3:$F$577&lt;&gt;"")),HISTORIAL!$G$3:$G$577),"")</f>
        <v/>
      </c>
      <c r="I579" s="37" t="str">
        <f>IFERROR(LOOKUP(2,1/((HISTORIAL!$O$3:$O$577=D579&amp;"|"&amp;E579)*(HISTORIAL!$F$3:$F$577&lt;&gt;"")),HISTORIAL!$H$3:$H$577),"")</f>
        <v/>
      </c>
      <c r="J579" s="37" t="str">
        <f>IFERROR(LOOKUP(2,1/((HISTORIAL!$O$3:$O$577=D579&amp;"|"&amp;E579)*(HISTORIAL!$F$3:$F$577&lt;&gt;"")),HISTORIAL!$I$3:$I$577),"")</f>
        <v/>
      </c>
      <c r="K579" s="58" t="str">
        <f>IFERROR(IF(OR(G579="",N579="SIN"),"--",IF(N579="SUBIR_F",IF(F579="polea",IFERROR(INDEX(CONFIG!$B$25:$B$40,MATCH(G579,CONFIG!$B$25:$B$40,0)+2),IFERROR(INDEX(CONFIG!$B$25:$B$40,MATCH(G579,CONFIG!$B$25:$B$40,0)+1),G579)),G579+5),IF(OR(N579="SUBIR",N579="SUBIR_E"),IF(F579="polea",IFERROR(INDEX(CONFIG!$B$25:$B$40,MATCH(G579,CONFIG!$B$25:$B$40,0)+1),G579),G579+2.5),IF(N579="BAJAR",IF(F579="polea",IFERROR(INDEX(CONFIG!$B$25:$B$40,MAX(1,MATCH(G579,CONFIG!$B$25:$B$40,0)-1)),G579),MAX(0,G579-2.5)),G579)))),"--")</f>
        <v>--</v>
      </c>
      <c r="L579" s="59" t="str">
        <f>IFERROR(IF(N579="SIN","--",IF(N579="MANT",IF(H579="","--",H579+1),IFERROR(VLOOKUP(CONFIG!$E$2,CONFIG!$A$6:$E$8,2,0),"--"))),"--")</f>
        <v>--</v>
      </c>
      <c r="M579" s="59" t="str">
        <f>IFERROR(IF(N579="SIN","--",IF(CONFIG!$E$2="HIP",2,IF(CONFIG!$E$2="FUE",1,2))),"--")</f>
        <v>--</v>
      </c>
      <c r="N579" s="53" t="str">
        <f>IFERROR(IF(G579="","SIN",IF(O579=1,"SUBIR_E",IF(H579&lt;IFERROR(VLOOKUP(CONFIG!$E$2,CONFIG!$A$6:$E$8,2,0),6),"BAJAR",IF(H579+I579&gt;=IFERROR(VLOOKUP(CONFIG!$E$2,CONFIG!$A$6:$E$8,3,0),12),"SUBIR_F",IF(AND(H579&gt;=IFERROR(VLOOKUP(CONFIG!$E$2,CONFIG!$A$6:$E$8,2,0),6)+2,I579&gt;=2),"SUBIR",IF(I579&gt;IFERROR(VLOOKUP(CONFIG!$E$2,CONFIG!$A$6:$E$8,5,0),3),"SUBIR","MANT")))))),"SIN")</f>
        <v>SIN</v>
      </c>
      <c r="O579" s="55">
        <f>IF(COUNTIFS(HISTORIAL!$O$3:$O$577,D579&amp;"|"&amp;E579,HISTORIAL!$F$3:$F$577,"&gt;0")&lt;2,0,IF(COUNTIFS(HISTORIAL!$O$3:$O$577,D579&amp;"|"&amp;E579,HISTORIAL!$F$3:$F$577,IFERROR(LOOKUP(2,1/((HISTORIAL!$O$3:$O$577=D579&amp;"|"&amp;E579)*(HISTORIAL!$F$3:$F$577&gt;0)),HISTORIAL!$F$3:$F$577),0))&gt;=2,IF(IFERROR(LOOKUP(2,1/((HISTORIAL!$O$3:$O$577=D579&amp;"|"&amp;E579)*(HISTORIAL!$F$3:$F$577&gt;0)),HISTORIAL!$G$3:$G$577),0)&gt;0,IF(F579&gt;0,IF(G579&lt;=IFERROR(LOOKUP(2,1/((HISTORIAL!$O$3:$O$577=D579&amp;"|"&amp;E579)*(HISTORIAL!$F$3:$F$577&gt;0)),HISTORIAL!$G$3:$G$577),0),1,0),0),0),0))</f>
        <v>0</v>
      </c>
    </row>
    <row r="580" spans="1:15" ht="14.1" customHeight="1">
      <c r="A580" s="37">
        <v>10</v>
      </c>
      <c r="B580" s="37" t="s">
        <v>277</v>
      </c>
      <c r="C580" s="37">
        <v>10</v>
      </c>
      <c r="D580" s="56" t="str">
        <f>LUNES!$A$226</f>
        <v>Curl Biceps</v>
      </c>
      <c r="E580" s="57" t="str">
        <f>LUNES!$B$226</f>
        <v>Inclinado Banco Mancuernas</v>
      </c>
      <c r="F580" s="37" t="str">
        <f>LUNES!$C$226</f>
        <v>mancuerna</v>
      </c>
      <c r="G580" s="37" t="str">
        <f>IFERROR(LOOKUP(2,1/((HISTORIAL!$O$3:$O$578=D580&amp;"|"&amp;E580)*(HISTORIAL!$F$3:$F$578&lt;&gt;"")),HISTORIAL!$F$3:$F$578),"")</f>
        <v/>
      </c>
      <c r="H580" s="37" t="str">
        <f>IFERROR(LOOKUP(2,1/((HISTORIAL!$O$3:$O$578=D580&amp;"|"&amp;E580)*(HISTORIAL!$F$3:$F$578&lt;&gt;"")),HISTORIAL!$G$3:$G$578),"")</f>
        <v/>
      </c>
      <c r="I580" s="37" t="str">
        <f>IFERROR(LOOKUP(2,1/((HISTORIAL!$O$3:$O$578=D580&amp;"|"&amp;E580)*(HISTORIAL!$F$3:$F$578&lt;&gt;"")),HISTORIAL!$H$3:$H$578),"")</f>
        <v/>
      </c>
      <c r="J580" s="37" t="str">
        <f>IFERROR(LOOKUP(2,1/((HISTORIAL!$O$3:$O$578=D580&amp;"|"&amp;E580)*(HISTORIAL!$F$3:$F$578&lt;&gt;"")),HISTORIAL!$I$3:$I$578),"")</f>
        <v/>
      </c>
      <c r="K580" s="58" t="str">
        <f>IFERROR(IF(OR(G580="",N580="SIN"),"--",IF(N580="SUBIR_F",IF(F580="polea",IFERROR(INDEX(CONFIG!$B$25:$B$40,MATCH(G580,CONFIG!$B$25:$B$40,0)+2),IFERROR(INDEX(CONFIG!$B$25:$B$40,MATCH(G580,CONFIG!$B$25:$B$40,0)+1),G580)),G580+5),IF(OR(N580="SUBIR",N580="SUBIR_E"),IF(F580="polea",IFERROR(INDEX(CONFIG!$B$25:$B$40,MATCH(G580,CONFIG!$B$25:$B$40,0)+1),G580),G580+2.5),IF(N580="BAJAR",IF(F580="polea",IFERROR(INDEX(CONFIG!$B$25:$B$40,MAX(1,MATCH(G580,CONFIG!$B$25:$B$40,0)-1)),G580),MAX(0,G580-2.5)),G580)))),"--")</f>
        <v>--</v>
      </c>
      <c r="L580" s="59" t="str">
        <f>IFERROR(IF(N580="SIN","--",IF(N580="MANT",IF(H580="","--",H580+1),IFERROR(VLOOKUP(CONFIG!$E$2,CONFIG!$A$6:$E$8,2,0),"--"))),"--")</f>
        <v>--</v>
      </c>
      <c r="M580" s="59" t="str">
        <f>IFERROR(IF(N580="SIN","--",IF(CONFIG!$E$2="HIP",2,IF(CONFIG!$E$2="FUE",1,2))),"--")</f>
        <v>--</v>
      </c>
      <c r="N580" s="53" t="str">
        <f>IFERROR(IF(G580="","SIN",IF(O580=1,"SUBIR_E",IF(H580&lt;IFERROR(VLOOKUP(CONFIG!$E$2,CONFIG!$A$6:$E$8,2,0),6),"BAJAR",IF(H580+I580&gt;=IFERROR(VLOOKUP(CONFIG!$E$2,CONFIG!$A$6:$E$8,3,0),12),"SUBIR_F",IF(AND(H580&gt;=IFERROR(VLOOKUP(CONFIG!$E$2,CONFIG!$A$6:$E$8,2,0),6)+2,I580&gt;=2),"SUBIR",IF(I580&gt;IFERROR(VLOOKUP(CONFIG!$E$2,CONFIG!$A$6:$E$8,5,0),3),"SUBIR","MANT")))))),"SIN")</f>
        <v>SIN</v>
      </c>
      <c r="O580" s="55">
        <f>IF(COUNTIFS(HISTORIAL!$O$3:$O$578,D580&amp;"|"&amp;E580,HISTORIAL!$F$3:$F$578,"&gt;0")&lt;2,0,IF(COUNTIFS(HISTORIAL!$O$3:$O$578,D580&amp;"|"&amp;E580,HISTORIAL!$F$3:$F$578,IFERROR(LOOKUP(2,1/((HISTORIAL!$O$3:$O$578=D580&amp;"|"&amp;E580)*(HISTORIAL!$F$3:$F$578&gt;0)),HISTORIAL!$F$3:$F$578),0))&gt;=2,IF(IFERROR(LOOKUP(2,1/((HISTORIAL!$O$3:$O$578=D580&amp;"|"&amp;E580)*(HISTORIAL!$F$3:$F$578&gt;0)),HISTORIAL!$G$3:$G$578),0)&gt;0,IF(F580&gt;0,IF(G580&lt;=IFERROR(LOOKUP(2,1/((HISTORIAL!$O$3:$O$578=D580&amp;"|"&amp;E580)*(HISTORIAL!$F$3:$F$578&gt;0)),HISTORIAL!$G$3:$G$578),0),1,0),0),0),0))</f>
        <v>0</v>
      </c>
    </row>
    <row r="581" spans="1:15" ht="14.1" customHeight="1">
      <c r="A581" s="37">
        <v>10</v>
      </c>
      <c r="B581" s="37" t="s">
        <v>277</v>
      </c>
      <c r="C581" s="37">
        <v>11</v>
      </c>
      <c r="D581" s="56" t="str">
        <f>LUNES!$A$228</f>
        <v>Crunch</v>
      </c>
      <c r="E581" s="57" t="str">
        <f>LUNES!$B$228</f>
        <v>Polea</v>
      </c>
      <c r="F581" s="37" t="str">
        <f>LUNES!$C$228</f>
        <v>polea</v>
      </c>
      <c r="G581" s="37" t="str">
        <f>IFERROR(LOOKUP(2,1/((HISTORIAL!$O$3:$O$579=D581&amp;"|"&amp;E581)*(HISTORIAL!$F$3:$F$579&lt;&gt;"")),HISTORIAL!$F$3:$F$579),"")</f>
        <v/>
      </c>
      <c r="H581" s="37" t="str">
        <f>IFERROR(LOOKUP(2,1/((HISTORIAL!$O$3:$O$579=D581&amp;"|"&amp;E581)*(HISTORIAL!$F$3:$F$579&lt;&gt;"")),HISTORIAL!$G$3:$G$579),"")</f>
        <v/>
      </c>
      <c r="I581" s="37" t="str">
        <f>IFERROR(LOOKUP(2,1/((HISTORIAL!$O$3:$O$579=D581&amp;"|"&amp;E581)*(HISTORIAL!$F$3:$F$579&lt;&gt;"")),HISTORIAL!$H$3:$H$579),"")</f>
        <v/>
      </c>
      <c r="J581" s="37" t="str">
        <f>IFERROR(LOOKUP(2,1/((HISTORIAL!$O$3:$O$579=D581&amp;"|"&amp;E581)*(HISTORIAL!$F$3:$F$579&lt;&gt;"")),HISTORIAL!$I$3:$I$579),"")</f>
        <v/>
      </c>
      <c r="K581" s="58" t="str">
        <f>IFERROR(IF(OR(G581="",N581="SIN"),"--",IF(N581="SUBIR_F",IF(F581="polea",IFERROR(INDEX(CONFIG!$B$25:$B$40,MATCH(G581,CONFIG!$B$25:$B$40,0)+2),IFERROR(INDEX(CONFIG!$B$25:$B$40,MATCH(G581,CONFIG!$B$25:$B$40,0)+1),G581)),G581+5),IF(OR(N581="SUBIR",N581="SUBIR_E"),IF(F581="polea",IFERROR(INDEX(CONFIG!$B$25:$B$40,MATCH(G581,CONFIG!$B$25:$B$40,0)+1),G581),G581+2.5),IF(N581="BAJAR",IF(F581="polea",IFERROR(INDEX(CONFIG!$B$25:$B$40,MAX(1,MATCH(G581,CONFIG!$B$25:$B$40,0)-1)),G581),MAX(0,G581-2.5)),G581)))),"--")</f>
        <v>--</v>
      </c>
      <c r="L581" s="59" t="str">
        <f>IFERROR(IF(N581="SIN","--",IF(N581="MANT",IF(H581="","--",H581+1),IFERROR(VLOOKUP(CONFIG!$E$2,CONFIG!$A$6:$E$8,2,0),"--"))),"--")</f>
        <v>--</v>
      </c>
      <c r="M581" s="59" t="str">
        <f>IFERROR(IF(N581="SIN","--",IF(CONFIG!$E$2="HIP",2,IF(CONFIG!$E$2="FUE",1,2))),"--")</f>
        <v>--</v>
      </c>
      <c r="N581" s="53" t="str">
        <f>IFERROR(IF(G581="","SIN",IF(O581=1,"SUBIR_E",IF(H581&lt;IFERROR(VLOOKUP(CONFIG!$E$2,CONFIG!$A$6:$E$8,2,0),6),"BAJAR",IF(H581+I581&gt;=IFERROR(VLOOKUP(CONFIG!$E$2,CONFIG!$A$6:$E$8,3,0),12),"SUBIR_F",IF(AND(H581&gt;=IFERROR(VLOOKUP(CONFIG!$E$2,CONFIG!$A$6:$E$8,2,0),6)+2,I581&gt;=2),"SUBIR",IF(I581&gt;IFERROR(VLOOKUP(CONFIG!$E$2,CONFIG!$A$6:$E$8,5,0),3),"SUBIR","MANT")))))),"SIN")</f>
        <v>SIN</v>
      </c>
      <c r="O581" s="55">
        <f>IF(COUNTIFS(HISTORIAL!$O$3:$O$579,D581&amp;"|"&amp;E581,HISTORIAL!$F$3:$F$579,"&gt;0")&lt;2,0,IF(COUNTIFS(HISTORIAL!$O$3:$O$579,D581&amp;"|"&amp;E581,HISTORIAL!$F$3:$F$579,IFERROR(LOOKUP(2,1/((HISTORIAL!$O$3:$O$579=D581&amp;"|"&amp;E581)*(HISTORIAL!$F$3:$F$579&gt;0)),HISTORIAL!$F$3:$F$579),0))&gt;=2,IF(IFERROR(LOOKUP(2,1/((HISTORIAL!$O$3:$O$579=D581&amp;"|"&amp;E581)*(HISTORIAL!$F$3:$F$579&gt;0)),HISTORIAL!$G$3:$G$579),0)&gt;0,IF(F581&gt;0,IF(G581&lt;=IFERROR(LOOKUP(2,1/((HISTORIAL!$O$3:$O$579=D581&amp;"|"&amp;E581)*(HISTORIAL!$F$3:$F$579&gt;0)),HISTORIAL!$G$3:$G$579),0),1,0),0),0),0))</f>
        <v>0</v>
      </c>
    </row>
    <row r="582" spans="1:15" ht="14.1" customHeight="1">
      <c r="A582" s="37">
        <v>10</v>
      </c>
      <c r="B582" s="37" t="s">
        <v>278</v>
      </c>
      <c r="C582" s="37">
        <v>1</v>
      </c>
      <c r="D582" s="56" t="str">
        <f>MARTES!$A$202</f>
        <v>Dominadas</v>
      </c>
      <c r="E582" s="57" t="str">
        <f>MARTES!$B$202</f>
        <v>Polea Alta Prono Ancho</v>
      </c>
      <c r="F582" s="37" t="str">
        <f>MARTES!$C$202</f>
        <v>peso_corporal</v>
      </c>
      <c r="G582" s="37" t="str">
        <f>IFERROR(LOOKUP(2,1/((HISTORIAL!$O$3:$O$580=D582&amp;"|"&amp;E582)*(HISTORIAL!$F$3:$F$580&lt;&gt;"")),HISTORIAL!$F$3:$F$580),"")</f>
        <v/>
      </c>
      <c r="H582" s="37" t="str">
        <f>IFERROR(LOOKUP(2,1/((HISTORIAL!$O$3:$O$580=D582&amp;"|"&amp;E582)*(HISTORIAL!$F$3:$F$580&lt;&gt;"")),HISTORIAL!$G$3:$G$580),"")</f>
        <v/>
      </c>
      <c r="I582" s="37" t="str">
        <f>IFERROR(LOOKUP(2,1/((HISTORIAL!$O$3:$O$580=D582&amp;"|"&amp;E582)*(HISTORIAL!$F$3:$F$580&lt;&gt;"")),HISTORIAL!$H$3:$H$580),"")</f>
        <v/>
      </c>
      <c r="J582" s="37" t="str">
        <f>IFERROR(LOOKUP(2,1/((HISTORIAL!$O$3:$O$580=D582&amp;"|"&amp;E582)*(HISTORIAL!$F$3:$F$580&lt;&gt;"")),HISTORIAL!$I$3:$I$580),"")</f>
        <v/>
      </c>
      <c r="K582" s="58" t="str">
        <f>IFERROR(IF(OR(G582="",N582="SIN"),"--",IF(N582="SUBIR_F",IF(F582="polea",IFERROR(INDEX(CONFIG!$B$25:$B$40,MATCH(G582,CONFIG!$B$25:$B$40,0)+2),IFERROR(INDEX(CONFIG!$B$25:$B$40,MATCH(G582,CONFIG!$B$25:$B$40,0)+1),G582)),G582+5),IF(OR(N582="SUBIR",N582="SUBIR_E"),IF(F582="polea",IFERROR(INDEX(CONFIG!$B$25:$B$40,MATCH(G582,CONFIG!$B$25:$B$40,0)+1),G582),G582+2.5),IF(N582="BAJAR",IF(F582="polea",IFERROR(INDEX(CONFIG!$B$25:$B$40,MAX(1,MATCH(G582,CONFIG!$B$25:$B$40,0)-1)),G582),MAX(0,G582-2.5)),G582)))),"--")</f>
        <v>--</v>
      </c>
      <c r="L582" s="59" t="str">
        <f>IFERROR(IF(N582="SIN","--",IF(N582="MANT",IF(H582="","--",H582+1),IFERROR(VLOOKUP(CONFIG!$E$2,CONFIG!$A$6:$E$8,2,0),"--"))),"--")</f>
        <v>--</v>
      </c>
      <c r="M582" s="59" t="str">
        <f>IFERROR(IF(N582="SIN","--",IF(CONFIG!$E$2="HIP",2,IF(CONFIG!$E$2="FUE",1,2))),"--")</f>
        <v>--</v>
      </c>
      <c r="N582" s="53" t="str">
        <f>IFERROR(IF(G582="","SIN",IF(O582=1,"SUBIR_E",IF(H582&lt;IFERROR(VLOOKUP(CONFIG!$E$2,CONFIG!$A$6:$E$8,2,0),6),"BAJAR",IF(H582+I582&gt;=IFERROR(VLOOKUP(CONFIG!$E$2,CONFIG!$A$6:$E$8,3,0),12),"SUBIR_F",IF(AND(H582&gt;=IFERROR(VLOOKUP(CONFIG!$E$2,CONFIG!$A$6:$E$8,2,0),6)+2,I582&gt;=2),"SUBIR",IF(I582&gt;IFERROR(VLOOKUP(CONFIG!$E$2,CONFIG!$A$6:$E$8,5,0),3),"SUBIR","MANT")))))),"SIN")</f>
        <v>SIN</v>
      </c>
      <c r="O582" s="55">
        <f>IF(COUNTIFS(HISTORIAL!$O$3:$O$580,D582&amp;"|"&amp;E582,HISTORIAL!$F$3:$F$580,"&gt;0")&lt;2,0,IF(COUNTIFS(HISTORIAL!$O$3:$O$580,D582&amp;"|"&amp;E582,HISTORIAL!$F$3:$F$580,IFERROR(LOOKUP(2,1/((HISTORIAL!$O$3:$O$580=D582&amp;"|"&amp;E582)*(HISTORIAL!$F$3:$F$580&gt;0)),HISTORIAL!$F$3:$F$580),0))&gt;=2,IF(IFERROR(LOOKUP(2,1/((HISTORIAL!$O$3:$O$580=D582&amp;"|"&amp;E582)*(HISTORIAL!$F$3:$F$580&gt;0)),HISTORIAL!$G$3:$G$580),0)&gt;0,IF(F582&gt;0,IF(G582&lt;=IFERROR(LOOKUP(2,1/((HISTORIAL!$O$3:$O$580=D582&amp;"|"&amp;E582)*(HISTORIAL!$F$3:$F$580&gt;0)),HISTORIAL!$G$3:$G$580),0),1,0),0),0),0))</f>
        <v>0</v>
      </c>
    </row>
    <row r="583" spans="1:15" ht="14.1" customHeight="1">
      <c r="A583" s="37">
        <v>10</v>
      </c>
      <c r="B583" s="37" t="s">
        <v>278</v>
      </c>
      <c r="C583" s="37">
        <v>2</v>
      </c>
      <c r="D583" s="56" t="str">
        <f>MARTES!$A$203</f>
        <v>Pulldown</v>
      </c>
      <c r="E583" s="57" t="str">
        <f>MARTES!$B$203</f>
        <v>Polea Alta Brazos Rectos Prono</v>
      </c>
      <c r="F583" s="37" t="str">
        <f>MARTES!$C$203</f>
        <v>polea</v>
      </c>
      <c r="G583" s="37" t="str">
        <f>IFERROR(LOOKUP(2,1/((HISTORIAL!$O$3:$O$581=D583&amp;"|"&amp;E583)*(HISTORIAL!$F$3:$F$581&lt;&gt;"")),HISTORIAL!$F$3:$F$581),"")</f>
        <v/>
      </c>
      <c r="H583" s="37" t="str">
        <f>IFERROR(LOOKUP(2,1/((HISTORIAL!$O$3:$O$581=D583&amp;"|"&amp;E583)*(HISTORIAL!$F$3:$F$581&lt;&gt;"")),HISTORIAL!$G$3:$G$581),"")</f>
        <v/>
      </c>
      <c r="I583" s="37" t="str">
        <f>IFERROR(LOOKUP(2,1/((HISTORIAL!$O$3:$O$581=D583&amp;"|"&amp;E583)*(HISTORIAL!$F$3:$F$581&lt;&gt;"")),HISTORIAL!$H$3:$H$581),"")</f>
        <v/>
      </c>
      <c r="J583" s="37" t="str">
        <f>IFERROR(LOOKUP(2,1/((HISTORIAL!$O$3:$O$581=D583&amp;"|"&amp;E583)*(HISTORIAL!$F$3:$F$581&lt;&gt;"")),HISTORIAL!$I$3:$I$581),"")</f>
        <v/>
      </c>
      <c r="K583" s="58" t="str">
        <f>IFERROR(IF(OR(G583="",N583="SIN"),"--",IF(N583="SUBIR_F",IF(F583="polea",IFERROR(INDEX(CONFIG!$B$25:$B$40,MATCH(G583,CONFIG!$B$25:$B$40,0)+2),IFERROR(INDEX(CONFIG!$B$25:$B$40,MATCH(G583,CONFIG!$B$25:$B$40,0)+1),G583)),G583+5),IF(OR(N583="SUBIR",N583="SUBIR_E"),IF(F583="polea",IFERROR(INDEX(CONFIG!$B$25:$B$40,MATCH(G583,CONFIG!$B$25:$B$40,0)+1),G583),G583+2.5),IF(N583="BAJAR",IF(F583="polea",IFERROR(INDEX(CONFIG!$B$25:$B$40,MAX(1,MATCH(G583,CONFIG!$B$25:$B$40,0)-1)),G583),MAX(0,G583-2.5)),G583)))),"--")</f>
        <v>--</v>
      </c>
      <c r="L583" s="59" t="str">
        <f>IFERROR(IF(N583="SIN","--",IF(N583="MANT",IF(H583="","--",H583+1),IFERROR(VLOOKUP(CONFIG!$E$2,CONFIG!$A$6:$E$8,2,0),"--"))),"--")</f>
        <v>--</v>
      </c>
      <c r="M583" s="59" t="str">
        <f>IFERROR(IF(N583="SIN","--",IF(CONFIG!$E$2="HIP",2,IF(CONFIG!$E$2="FUE",1,2))),"--")</f>
        <v>--</v>
      </c>
      <c r="N583" s="53" t="str">
        <f>IFERROR(IF(G583="","SIN",IF(O583=1,"SUBIR_E",IF(H583&lt;IFERROR(VLOOKUP(CONFIG!$E$2,CONFIG!$A$6:$E$8,2,0),6),"BAJAR",IF(H583+I583&gt;=IFERROR(VLOOKUP(CONFIG!$E$2,CONFIG!$A$6:$E$8,3,0),12),"SUBIR_F",IF(AND(H583&gt;=IFERROR(VLOOKUP(CONFIG!$E$2,CONFIG!$A$6:$E$8,2,0),6)+2,I583&gt;=2),"SUBIR",IF(I583&gt;IFERROR(VLOOKUP(CONFIG!$E$2,CONFIG!$A$6:$E$8,5,0),3),"SUBIR","MANT")))))),"SIN")</f>
        <v>SIN</v>
      </c>
      <c r="O583" s="55">
        <f>IF(COUNTIFS(HISTORIAL!$O$3:$O$581,D583&amp;"|"&amp;E583,HISTORIAL!$F$3:$F$581,"&gt;0")&lt;2,0,IF(COUNTIFS(HISTORIAL!$O$3:$O$581,D583&amp;"|"&amp;E583,HISTORIAL!$F$3:$F$581,IFERROR(LOOKUP(2,1/((HISTORIAL!$O$3:$O$581=D583&amp;"|"&amp;E583)*(HISTORIAL!$F$3:$F$581&gt;0)),HISTORIAL!$F$3:$F$581),0))&gt;=2,IF(IFERROR(LOOKUP(2,1/((HISTORIAL!$O$3:$O$581=D583&amp;"|"&amp;E583)*(HISTORIAL!$F$3:$F$581&gt;0)),HISTORIAL!$G$3:$G$581),0)&gt;0,IF(F583&gt;0,IF(G583&lt;=IFERROR(LOOKUP(2,1/((HISTORIAL!$O$3:$O$581=D583&amp;"|"&amp;E583)*(HISTORIAL!$F$3:$F$581&gt;0)),HISTORIAL!$G$3:$G$581),0),1,0),0),0),0))</f>
        <v>0</v>
      </c>
    </row>
    <row r="584" spans="1:15" ht="14.1" customHeight="1">
      <c r="A584" s="37">
        <v>10</v>
      </c>
      <c r="B584" s="37" t="s">
        <v>278</v>
      </c>
      <c r="C584" s="37">
        <v>3</v>
      </c>
      <c r="D584" s="56" t="str">
        <f>MARTES!$A$205</f>
        <v>Remo</v>
      </c>
      <c r="E584" s="57" t="str">
        <f>MARTES!$B$205</f>
        <v>Maquina Hammer Neutro Unilateral</v>
      </c>
      <c r="F584" s="37" t="str">
        <f>MARTES!$C$205</f>
        <v>polea</v>
      </c>
      <c r="G584" s="37" t="str">
        <f>IFERROR(LOOKUP(2,1/((HISTORIAL!$O$3:$O$582=D584&amp;"|"&amp;E584)*(HISTORIAL!$F$3:$F$582&lt;&gt;"")),HISTORIAL!$F$3:$F$582),"")</f>
        <v/>
      </c>
      <c r="H584" s="37" t="str">
        <f>IFERROR(LOOKUP(2,1/((HISTORIAL!$O$3:$O$582=D584&amp;"|"&amp;E584)*(HISTORIAL!$F$3:$F$582&lt;&gt;"")),HISTORIAL!$G$3:$G$582),"")</f>
        <v/>
      </c>
      <c r="I584" s="37" t="str">
        <f>IFERROR(LOOKUP(2,1/((HISTORIAL!$O$3:$O$582=D584&amp;"|"&amp;E584)*(HISTORIAL!$F$3:$F$582&lt;&gt;"")),HISTORIAL!$H$3:$H$582),"")</f>
        <v/>
      </c>
      <c r="J584" s="37" t="str">
        <f>IFERROR(LOOKUP(2,1/((HISTORIAL!$O$3:$O$582=D584&amp;"|"&amp;E584)*(HISTORIAL!$F$3:$F$582&lt;&gt;"")),HISTORIAL!$I$3:$I$582),"")</f>
        <v/>
      </c>
      <c r="K584" s="58" t="str">
        <f>IFERROR(IF(OR(G584="",N584="SIN"),"--",IF(N584="SUBIR_F",IF(F584="polea",IFERROR(INDEX(CONFIG!$B$25:$B$40,MATCH(G584,CONFIG!$B$25:$B$40,0)+2),IFERROR(INDEX(CONFIG!$B$25:$B$40,MATCH(G584,CONFIG!$B$25:$B$40,0)+1),G584)),G584+5),IF(OR(N584="SUBIR",N584="SUBIR_E"),IF(F584="polea",IFERROR(INDEX(CONFIG!$B$25:$B$40,MATCH(G584,CONFIG!$B$25:$B$40,0)+1),G584),G584+2.5),IF(N584="BAJAR",IF(F584="polea",IFERROR(INDEX(CONFIG!$B$25:$B$40,MAX(1,MATCH(G584,CONFIG!$B$25:$B$40,0)-1)),G584),MAX(0,G584-2.5)),G584)))),"--")</f>
        <v>--</v>
      </c>
      <c r="L584" s="59" t="str">
        <f>IFERROR(IF(N584="SIN","--",IF(N584="MANT",IF(H584="","--",H584+1),IFERROR(VLOOKUP(CONFIG!$E$2,CONFIG!$A$6:$E$8,2,0),"--"))),"--")</f>
        <v>--</v>
      </c>
      <c r="M584" s="59" t="str">
        <f>IFERROR(IF(N584="SIN","--",IF(CONFIG!$E$2="HIP",2,IF(CONFIG!$E$2="FUE",1,2))),"--")</f>
        <v>--</v>
      </c>
      <c r="N584" s="53" t="str">
        <f>IFERROR(IF(G584="","SIN",IF(O584=1,"SUBIR_E",IF(H584&lt;IFERROR(VLOOKUP(CONFIG!$E$2,CONFIG!$A$6:$E$8,2,0),6),"BAJAR",IF(H584+I584&gt;=IFERROR(VLOOKUP(CONFIG!$E$2,CONFIG!$A$6:$E$8,3,0),12),"SUBIR_F",IF(AND(H584&gt;=IFERROR(VLOOKUP(CONFIG!$E$2,CONFIG!$A$6:$E$8,2,0),6)+2,I584&gt;=2),"SUBIR",IF(I584&gt;IFERROR(VLOOKUP(CONFIG!$E$2,CONFIG!$A$6:$E$8,5,0),3),"SUBIR","MANT")))))),"SIN")</f>
        <v>SIN</v>
      </c>
      <c r="O584" s="55">
        <f>IF(COUNTIFS(HISTORIAL!$O$3:$O$582,D584&amp;"|"&amp;E584,HISTORIAL!$F$3:$F$582,"&gt;0")&lt;2,0,IF(COUNTIFS(HISTORIAL!$O$3:$O$582,D584&amp;"|"&amp;E584,HISTORIAL!$F$3:$F$582,IFERROR(LOOKUP(2,1/((HISTORIAL!$O$3:$O$582=D584&amp;"|"&amp;E584)*(HISTORIAL!$F$3:$F$582&gt;0)),HISTORIAL!$F$3:$F$582),0))&gt;=2,IF(IFERROR(LOOKUP(2,1/((HISTORIAL!$O$3:$O$582=D584&amp;"|"&amp;E584)*(HISTORIAL!$F$3:$F$582&gt;0)),HISTORIAL!$G$3:$G$582),0)&gt;0,IF(F584&gt;0,IF(G584&lt;=IFERROR(LOOKUP(2,1/((HISTORIAL!$O$3:$O$582=D584&amp;"|"&amp;E584)*(HISTORIAL!$F$3:$F$582&gt;0)),HISTORIAL!$G$3:$G$582),0),1,0),0),0),0))</f>
        <v>0</v>
      </c>
    </row>
    <row r="585" spans="1:15" ht="14.1" customHeight="1">
      <c r="A585" s="37">
        <v>10</v>
      </c>
      <c r="B585" s="37" t="s">
        <v>278</v>
      </c>
      <c r="C585" s="37">
        <v>4</v>
      </c>
      <c r="D585" s="56" t="str">
        <f>MARTES!$A$206</f>
        <v>Remo</v>
      </c>
      <c r="E585" s="57" t="str">
        <f>MARTES!$B$206</f>
        <v>Maquina Prono</v>
      </c>
      <c r="F585" s="37" t="str">
        <f>MARTES!$C$206</f>
        <v>polea</v>
      </c>
      <c r="G585" s="37" t="str">
        <f>IFERROR(LOOKUP(2,1/((HISTORIAL!$O$3:$O$583=D585&amp;"|"&amp;E585)*(HISTORIAL!$F$3:$F$583&lt;&gt;"")),HISTORIAL!$F$3:$F$583),"")</f>
        <v/>
      </c>
      <c r="H585" s="37" t="str">
        <f>IFERROR(LOOKUP(2,1/((HISTORIAL!$O$3:$O$583=D585&amp;"|"&amp;E585)*(HISTORIAL!$F$3:$F$583&lt;&gt;"")),HISTORIAL!$G$3:$G$583),"")</f>
        <v/>
      </c>
      <c r="I585" s="37" t="str">
        <f>IFERROR(LOOKUP(2,1/((HISTORIAL!$O$3:$O$583=D585&amp;"|"&amp;E585)*(HISTORIAL!$F$3:$F$583&lt;&gt;"")),HISTORIAL!$H$3:$H$583),"")</f>
        <v/>
      </c>
      <c r="J585" s="37" t="str">
        <f>IFERROR(LOOKUP(2,1/((HISTORIAL!$O$3:$O$583=D585&amp;"|"&amp;E585)*(HISTORIAL!$F$3:$F$583&lt;&gt;"")),HISTORIAL!$I$3:$I$583),"")</f>
        <v/>
      </c>
      <c r="K585" s="58" t="str">
        <f>IFERROR(IF(OR(G585="",N585="SIN"),"--",IF(N585="SUBIR_F",IF(F585="polea",IFERROR(INDEX(CONFIG!$B$25:$B$40,MATCH(G585,CONFIG!$B$25:$B$40,0)+2),IFERROR(INDEX(CONFIG!$B$25:$B$40,MATCH(G585,CONFIG!$B$25:$B$40,0)+1),G585)),G585+5),IF(OR(N585="SUBIR",N585="SUBIR_E"),IF(F585="polea",IFERROR(INDEX(CONFIG!$B$25:$B$40,MATCH(G585,CONFIG!$B$25:$B$40,0)+1),G585),G585+2.5),IF(N585="BAJAR",IF(F585="polea",IFERROR(INDEX(CONFIG!$B$25:$B$40,MAX(1,MATCH(G585,CONFIG!$B$25:$B$40,0)-1)),G585),MAX(0,G585-2.5)),G585)))),"--")</f>
        <v>--</v>
      </c>
      <c r="L585" s="59" t="str">
        <f>IFERROR(IF(N585="SIN","--",IF(N585="MANT",IF(H585="","--",H585+1),IFERROR(VLOOKUP(CONFIG!$E$2,CONFIG!$A$6:$E$8,2,0),"--"))),"--")</f>
        <v>--</v>
      </c>
      <c r="M585" s="59" t="str">
        <f>IFERROR(IF(N585="SIN","--",IF(CONFIG!$E$2="HIP",2,IF(CONFIG!$E$2="FUE",1,2))),"--")</f>
        <v>--</v>
      </c>
      <c r="N585" s="53" t="str">
        <f>IFERROR(IF(G585="","SIN",IF(O585=1,"SUBIR_E",IF(H585&lt;IFERROR(VLOOKUP(CONFIG!$E$2,CONFIG!$A$6:$E$8,2,0),6),"BAJAR",IF(H585+I585&gt;=IFERROR(VLOOKUP(CONFIG!$E$2,CONFIG!$A$6:$E$8,3,0),12),"SUBIR_F",IF(AND(H585&gt;=IFERROR(VLOOKUP(CONFIG!$E$2,CONFIG!$A$6:$E$8,2,0),6)+2,I585&gt;=2),"SUBIR",IF(I585&gt;IFERROR(VLOOKUP(CONFIG!$E$2,CONFIG!$A$6:$E$8,5,0),3),"SUBIR","MANT")))))),"SIN")</f>
        <v>SIN</v>
      </c>
      <c r="O585" s="55">
        <f>IF(COUNTIFS(HISTORIAL!$O$3:$O$583,D585&amp;"|"&amp;E585,HISTORIAL!$F$3:$F$583,"&gt;0")&lt;2,0,IF(COUNTIFS(HISTORIAL!$O$3:$O$583,D585&amp;"|"&amp;E585,HISTORIAL!$F$3:$F$583,IFERROR(LOOKUP(2,1/((HISTORIAL!$O$3:$O$583=D585&amp;"|"&amp;E585)*(HISTORIAL!$F$3:$F$583&gt;0)),HISTORIAL!$F$3:$F$583),0))&gt;=2,IF(IFERROR(LOOKUP(2,1/((HISTORIAL!$O$3:$O$583=D585&amp;"|"&amp;E585)*(HISTORIAL!$F$3:$F$583&gt;0)),HISTORIAL!$G$3:$G$583),0)&gt;0,IF(F585&gt;0,IF(G585&lt;=IFERROR(LOOKUP(2,1/((HISTORIAL!$O$3:$O$583=D585&amp;"|"&amp;E585)*(HISTORIAL!$F$3:$F$583&gt;0)),HISTORIAL!$G$3:$G$583),0),1,0),0),0),0))</f>
        <v>0</v>
      </c>
    </row>
    <row r="586" spans="1:15" ht="14.1" customHeight="1">
      <c r="A586" s="37">
        <v>10</v>
      </c>
      <c r="B586" s="37" t="s">
        <v>278</v>
      </c>
      <c r="C586" s="37">
        <v>5</v>
      </c>
      <c r="D586" s="56" t="str">
        <f>MARTES!$A$208</f>
        <v>Curl Biceps</v>
      </c>
      <c r="E586" s="57" t="str">
        <f>MARTES!$B$208</f>
        <v>Inclinado Banco Mancuernas</v>
      </c>
      <c r="F586" s="37" t="str">
        <f>MARTES!$C$208</f>
        <v>mancuerna</v>
      </c>
      <c r="G586" s="37" t="str">
        <f>IFERROR(LOOKUP(2,1/((HISTORIAL!$O$3:$O$584=D586&amp;"|"&amp;E586)*(HISTORIAL!$F$3:$F$584&lt;&gt;"")),HISTORIAL!$F$3:$F$584),"")</f>
        <v/>
      </c>
      <c r="H586" s="37" t="str">
        <f>IFERROR(LOOKUP(2,1/((HISTORIAL!$O$3:$O$584=D586&amp;"|"&amp;E586)*(HISTORIAL!$F$3:$F$584&lt;&gt;"")),HISTORIAL!$G$3:$G$584),"")</f>
        <v/>
      </c>
      <c r="I586" s="37" t="str">
        <f>IFERROR(LOOKUP(2,1/((HISTORIAL!$O$3:$O$584=D586&amp;"|"&amp;E586)*(HISTORIAL!$F$3:$F$584&lt;&gt;"")),HISTORIAL!$H$3:$H$584),"")</f>
        <v/>
      </c>
      <c r="J586" s="37" t="str">
        <f>IFERROR(LOOKUP(2,1/((HISTORIAL!$O$3:$O$584=D586&amp;"|"&amp;E586)*(HISTORIAL!$F$3:$F$584&lt;&gt;"")),HISTORIAL!$I$3:$I$584),"")</f>
        <v/>
      </c>
      <c r="K586" s="58" t="str">
        <f>IFERROR(IF(OR(G586="",N586="SIN"),"--",IF(N586="SUBIR_F",IF(F586="polea",IFERROR(INDEX(CONFIG!$B$25:$B$40,MATCH(G586,CONFIG!$B$25:$B$40,0)+2),IFERROR(INDEX(CONFIG!$B$25:$B$40,MATCH(G586,CONFIG!$B$25:$B$40,0)+1),G586)),G586+5),IF(OR(N586="SUBIR",N586="SUBIR_E"),IF(F586="polea",IFERROR(INDEX(CONFIG!$B$25:$B$40,MATCH(G586,CONFIG!$B$25:$B$40,0)+1),G586),G586+2.5),IF(N586="BAJAR",IF(F586="polea",IFERROR(INDEX(CONFIG!$B$25:$B$40,MAX(1,MATCH(G586,CONFIG!$B$25:$B$40,0)-1)),G586),MAX(0,G586-2.5)),G586)))),"--")</f>
        <v>--</v>
      </c>
      <c r="L586" s="59" t="str">
        <f>IFERROR(IF(N586="SIN","--",IF(N586="MANT",IF(H586="","--",H586+1),IFERROR(VLOOKUP(CONFIG!$E$2,CONFIG!$A$6:$E$8,2,0),"--"))),"--")</f>
        <v>--</v>
      </c>
      <c r="M586" s="59" t="str">
        <f>IFERROR(IF(N586="SIN","--",IF(CONFIG!$E$2="HIP",2,IF(CONFIG!$E$2="FUE",1,2))),"--")</f>
        <v>--</v>
      </c>
      <c r="N586" s="53" t="str">
        <f>IFERROR(IF(G586="","SIN",IF(O586=1,"SUBIR_E",IF(H586&lt;IFERROR(VLOOKUP(CONFIG!$E$2,CONFIG!$A$6:$E$8,2,0),6),"BAJAR",IF(H586+I586&gt;=IFERROR(VLOOKUP(CONFIG!$E$2,CONFIG!$A$6:$E$8,3,0),12),"SUBIR_F",IF(AND(H586&gt;=IFERROR(VLOOKUP(CONFIG!$E$2,CONFIG!$A$6:$E$8,2,0),6)+2,I586&gt;=2),"SUBIR",IF(I586&gt;IFERROR(VLOOKUP(CONFIG!$E$2,CONFIG!$A$6:$E$8,5,0),3),"SUBIR","MANT")))))),"SIN")</f>
        <v>SIN</v>
      </c>
      <c r="O586" s="55">
        <f>IF(COUNTIFS(HISTORIAL!$O$3:$O$584,D586&amp;"|"&amp;E586,HISTORIAL!$F$3:$F$584,"&gt;0")&lt;2,0,IF(COUNTIFS(HISTORIAL!$O$3:$O$584,D586&amp;"|"&amp;E586,HISTORIAL!$F$3:$F$584,IFERROR(LOOKUP(2,1/((HISTORIAL!$O$3:$O$584=D586&amp;"|"&amp;E586)*(HISTORIAL!$F$3:$F$584&gt;0)),HISTORIAL!$F$3:$F$584),0))&gt;=2,IF(IFERROR(LOOKUP(2,1/((HISTORIAL!$O$3:$O$584=D586&amp;"|"&amp;E586)*(HISTORIAL!$F$3:$F$584&gt;0)),HISTORIAL!$G$3:$G$584),0)&gt;0,IF(F586&gt;0,IF(G586&lt;=IFERROR(LOOKUP(2,1/((HISTORIAL!$O$3:$O$584=D586&amp;"|"&amp;E586)*(HISTORIAL!$F$3:$F$584&gt;0)),HISTORIAL!$G$3:$G$584),0),1,0),0),0),0))</f>
        <v>0</v>
      </c>
    </row>
    <row r="587" spans="1:15" ht="14.1" customHeight="1">
      <c r="A587" s="37">
        <v>10</v>
      </c>
      <c r="B587" s="37" t="s">
        <v>278</v>
      </c>
      <c r="C587" s="37">
        <v>6</v>
      </c>
      <c r="D587" s="56" t="str">
        <f>MARTES!$A$209</f>
        <v>Curl Biceps</v>
      </c>
      <c r="E587" s="57" t="str">
        <f>MARTES!$B$209</f>
        <v>Polea Baja Supino</v>
      </c>
      <c r="F587" s="37" t="str">
        <f>MARTES!$C$209</f>
        <v>polea</v>
      </c>
      <c r="G587" s="37" t="str">
        <f>IFERROR(LOOKUP(2,1/((HISTORIAL!$O$3:$O$585=D587&amp;"|"&amp;E587)*(HISTORIAL!$F$3:$F$585&lt;&gt;"")),HISTORIAL!$F$3:$F$585),"")</f>
        <v/>
      </c>
      <c r="H587" s="37" t="str">
        <f>IFERROR(LOOKUP(2,1/((HISTORIAL!$O$3:$O$585=D587&amp;"|"&amp;E587)*(HISTORIAL!$F$3:$F$585&lt;&gt;"")),HISTORIAL!$G$3:$G$585),"")</f>
        <v/>
      </c>
      <c r="I587" s="37" t="str">
        <f>IFERROR(LOOKUP(2,1/((HISTORIAL!$O$3:$O$585=D587&amp;"|"&amp;E587)*(HISTORIAL!$F$3:$F$585&lt;&gt;"")),HISTORIAL!$H$3:$H$585),"")</f>
        <v/>
      </c>
      <c r="J587" s="37" t="str">
        <f>IFERROR(LOOKUP(2,1/((HISTORIAL!$O$3:$O$585=D587&amp;"|"&amp;E587)*(HISTORIAL!$F$3:$F$585&lt;&gt;"")),HISTORIAL!$I$3:$I$585),"")</f>
        <v/>
      </c>
      <c r="K587" s="58" t="str">
        <f>IFERROR(IF(OR(G587="",N587="SIN"),"--",IF(N587="SUBIR_F",IF(F587="polea",IFERROR(INDEX(CONFIG!$B$25:$B$40,MATCH(G587,CONFIG!$B$25:$B$40,0)+2),IFERROR(INDEX(CONFIG!$B$25:$B$40,MATCH(G587,CONFIG!$B$25:$B$40,0)+1),G587)),G587+5),IF(OR(N587="SUBIR",N587="SUBIR_E"),IF(F587="polea",IFERROR(INDEX(CONFIG!$B$25:$B$40,MATCH(G587,CONFIG!$B$25:$B$40,0)+1),G587),G587+2.5),IF(N587="BAJAR",IF(F587="polea",IFERROR(INDEX(CONFIG!$B$25:$B$40,MAX(1,MATCH(G587,CONFIG!$B$25:$B$40,0)-1)),G587),MAX(0,G587-2.5)),G587)))),"--")</f>
        <v>--</v>
      </c>
      <c r="L587" s="59" t="str">
        <f>IFERROR(IF(N587="SIN","--",IF(N587="MANT",IF(H587="","--",H587+1),IFERROR(VLOOKUP(CONFIG!$E$2,CONFIG!$A$6:$E$8,2,0),"--"))),"--")</f>
        <v>--</v>
      </c>
      <c r="M587" s="59" t="str">
        <f>IFERROR(IF(N587="SIN","--",IF(CONFIG!$E$2="HIP",2,IF(CONFIG!$E$2="FUE",1,2))),"--")</f>
        <v>--</v>
      </c>
      <c r="N587" s="53" t="str">
        <f>IFERROR(IF(G587="","SIN",IF(O587=1,"SUBIR_E",IF(H587&lt;IFERROR(VLOOKUP(CONFIG!$E$2,CONFIG!$A$6:$E$8,2,0),6),"BAJAR",IF(H587+I587&gt;=IFERROR(VLOOKUP(CONFIG!$E$2,CONFIG!$A$6:$E$8,3,0),12),"SUBIR_F",IF(AND(H587&gt;=IFERROR(VLOOKUP(CONFIG!$E$2,CONFIG!$A$6:$E$8,2,0),6)+2,I587&gt;=2),"SUBIR",IF(I587&gt;IFERROR(VLOOKUP(CONFIG!$E$2,CONFIG!$A$6:$E$8,5,0),3),"SUBIR","MANT")))))),"SIN")</f>
        <v>SIN</v>
      </c>
      <c r="O587" s="55">
        <f>IF(COUNTIFS(HISTORIAL!$O$3:$O$585,D587&amp;"|"&amp;E587,HISTORIAL!$F$3:$F$585,"&gt;0")&lt;2,0,IF(COUNTIFS(HISTORIAL!$O$3:$O$585,D587&amp;"|"&amp;E587,HISTORIAL!$F$3:$F$585,IFERROR(LOOKUP(2,1/((HISTORIAL!$O$3:$O$585=D587&amp;"|"&amp;E587)*(HISTORIAL!$F$3:$F$585&gt;0)),HISTORIAL!$F$3:$F$585),0))&gt;=2,IF(IFERROR(LOOKUP(2,1/((HISTORIAL!$O$3:$O$585=D587&amp;"|"&amp;E587)*(HISTORIAL!$F$3:$F$585&gt;0)),HISTORIAL!$G$3:$G$585),0)&gt;0,IF(F587&gt;0,IF(G587&lt;=IFERROR(LOOKUP(2,1/((HISTORIAL!$O$3:$O$585=D587&amp;"|"&amp;E587)*(HISTORIAL!$F$3:$F$585&gt;0)),HISTORIAL!$G$3:$G$585),0),1,0),0),0),0))</f>
        <v>0</v>
      </c>
    </row>
    <row r="588" spans="1:15" ht="14.1" customHeight="1">
      <c r="A588" s="37">
        <v>10</v>
      </c>
      <c r="B588" s="37" t="s">
        <v>278</v>
      </c>
      <c r="C588" s="37">
        <v>7</v>
      </c>
      <c r="D588" s="56" t="str">
        <f>MARTES!$A$211</f>
        <v>Curl Muneca</v>
      </c>
      <c r="E588" s="57" t="str">
        <f>MARTES!$B$211</f>
        <v>Supinado</v>
      </c>
      <c r="F588" s="37" t="str">
        <f>MARTES!$C$211</f>
        <v>mancuerna</v>
      </c>
      <c r="G588" s="37" t="str">
        <f>IFERROR(LOOKUP(2,1/((HISTORIAL!$O$3:$O$586=D588&amp;"|"&amp;E588)*(HISTORIAL!$F$3:$F$586&lt;&gt;"")),HISTORIAL!$F$3:$F$586),"")</f>
        <v/>
      </c>
      <c r="H588" s="37" t="str">
        <f>IFERROR(LOOKUP(2,1/((HISTORIAL!$O$3:$O$586=D588&amp;"|"&amp;E588)*(HISTORIAL!$F$3:$F$586&lt;&gt;"")),HISTORIAL!$G$3:$G$586),"")</f>
        <v/>
      </c>
      <c r="I588" s="37" t="str">
        <f>IFERROR(LOOKUP(2,1/((HISTORIAL!$O$3:$O$586=D588&amp;"|"&amp;E588)*(HISTORIAL!$F$3:$F$586&lt;&gt;"")),HISTORIAL!$H$3:$H$586),"")</f>
        <v/>
      </c>
      <c r="J588" s="37" t="str">
        <f>IFERROR(LOOKUP(2,1/((HISTORIAL!$O$3:$O$586=D588&amp;"|"&amp;E588)*(HISTORIAL!$F$3:$F$586&lt;&gt;"")),HISTORIAL!$I$3:$I$586),"")</f>
        <v/>
      </c>
      <c r="K588" s="58" t="str">
        <f>IFERROR(IF(OR(G588="",N588="SIN"),"--",IF(N588="SUBIR_F",IF(F588="polea",IFERROR(INDEX(CONFIG!$B$25:$B$40,MATCH(G588,CONFIG!$B$25:$B$40,0)+2),IFERROR(INDEX(CONFIG!$B$25:$B$40,MATCH(G588,CONFIG!$B$25:$B$40,0)+1),G588)),G588+5),IF(OR(N588="SUBIR",N588="SUBIR_E"),IF(F588="polea",IFERROR(INDEX(CONFIG!$B$25:$B$40,MATCH(G588,CONFIG!$B$25:$B$40,0)+1),G588),G588+2.5),IF(N588="BAJAR",IF(F588="polea",IFERROR(INDEX(CONFIG!$B$25:$B$40,MAX(1,MATCH(G588,CONFIG!$B$25:$B$40,0)-1)),G588),MAX(0,G588-2.5)),G588)))),"--")</f>
        <v>--</v>
      </c>
      <c r="L588" s="59" t="str">
        <f>IFERROR(IF(N588="SIN","--",IF(N588="MANT",IF(H588="","--",H588+1),IFERROR(VLOOKUP(CONFIG!$E$2,CONFIG!$A$6:$E$8,2,0),"--"))),"--")</f>
        <v>--</v>
      </c>
      <c r="M588" s="59" t="str">
        <f>IFERROR(IF(N588="SIN","--",IF(CONFIG!$E$2="HIP",2,IF(CONFIG!$E$2="FUE",1,2))),"--")</f>
        <v>--</v>
      </c>
      <c r="N588" s="53" t="str">
        <f>IFERROR(IF(G588="","SIN",IF(O588=1,"SUBIR_E",IF(H588&lt;IFERROR(VLOOKUP(CONFIG!$E$2,CONFIG!$A$6:$E$8,2,0),6),"BAJAR",IF(H588+I588&gt;=IFERROR(VLOOKUP(CONFIG!$E$2,CONFIG!$A$6:$E$8,3,0),12),"SUBIR_F",IF(AND(H588&gt;=IFERROR(VLOOKUP(CONFIG!$E$2,CONFIG!$A$6:$E$8,2,0),6)+2,I588&gt;=2),"SUBIR",IF(I588&gt;IFERROR(VLOOKUP(CONFIG!$E$2,CONFIG!$A$6:$E$8,5,0),3),"SUBIR","MANT")))))),"SIN")</f>
        <v>SIN</v>
      </c>
      <c r="O588" s="55">
        <f>IF(COUNTIFS(HISTORIAL!$O$3:$O$586,D588&amp;"|"&amp;E588,HISTORIAL!$F$3:$F$586,"&gt;0")&lt;2,0,IF(COUNTIFS(HISTORIAL!$O$3:$O$586,D588&amp;"|"&amp;E588,HISTORIAL!$F$3:$F$586,IFERROR(LOOKUP(2,1/((HISTORIAL!$O$3:$O$586=D588&amp;"|"&amp;E588)*(HISTORIAL!$F$3:$F$586&gt;0)),HISTORIAL!$F$3:$F$586),0))&gt;=2,IF(IFERROR(LOOKUP(2,1/((HISTORIAL!$O$3:$O$586=D588&amp;"|"&amp;E588)*(HISTORIAL!$F$3:$F$586&gt;0)),HISTORIAL!$G$3:$G$586),0)&gt;0,IF(F588&gt;0,IF(G588&lt;=IFERROR(LOOKUP(2,1/((HISTORIAL!$O$3:$O$586=D588&amp;"|"&amp;E588)*(HISTORIAL!$F$3:$F$586&gt;0)),HISTORIAL!$G$3:$G$586),0),1,0),0),0),0))</f>
        <v>0</v>
      </c>
    </row>
    <row r="589" spans="1:15" ht="14.1" customHeight="1">
      <c r="A589" s="37">
        <v>10</v>
      </c>
      <c r="B589" s="37" t="s">
        <v>278</v>
      </c>
      <c r="C589" s="37">
        <v>8</v>
      </c>
      <c r="D589" s="56" t="str">
        <f>MARTES!$A$212</f>
        <v>Curl Muneca</v>
      </c>
      <c r="E589" s="57" t="str">
        <f>MARTES!$B$212</f>
        <v>Pronado</v>
      </c>
      <c r="F589" s="37" t="str">
        <f>MARTES!$C$212</f>
        <v>mancuerna</v>
      </c>
      <c r="G589" s="37" t="str">
        <f>IFERROR(LOOKUP(2,1/((HISTORIAL!$O$3:$O$587=D589&amp;"|"&amp;E589)*(HISTORIAL!$F$3:$F$587&lt;&gt;"")),HISTORIAL!$F$3:$F$587),"")</f>
        <v/>
      </c>
      <c r="H589" s="37" t="str">
        <f>IFERROR(LOOKUP(2,1/((HISTORIAL!$O$3:$O$587=D589&amp;"|"&amp;E589)*(HISTORIAL!$F$3:$F$587&lt;&gt;"")),HISTORIAL!$G$3:$G$587),"")</f>
        <v/>
      </c>
      <c r="I589" s="37" t="str">
        <f>IFERROR(LOOKUP(2,1/((HISTORIAL!$O$3:$O$587=D589&amp;"|"&amp;E589)*(HISTORIAL!$F$3:$F$587&lt;&gt;"")),HISTORIAL!$H$3:$H$587),"")</f>
        <v/>
      </c>
      <c r="J589" s="37" t="str">
        <f>IFERROR(LOOKUP(2,1/((HISTORIAL!$O$3:$O$587=D589&amp;"|"&amp;E589)*(HISTORIAL!$F$3:$F$587&lt;&gt;"")),HISTORIAL!$I$3:$I$587),"")</f>
        <v/>
      </c>
      <c r="K589" s="58" t="str">
        <f>IFERROR(IF(OR(G589="",N589="SIN"),"--",IF(N589="SUBIR_F",IF(F589="polea",IFERROR(INDEX(CONFIG!$B$25:$B$40,MATCH(G589,CONFIG!$B$25:$B$40,0)+2),IFERROR(INDEX(CONFIG!$B$25:$B$40,MATCH(G589,CONFIG!$B$25:$B$40,0)+1),G589)),G589+5),IF(OR(N589="SUBIR",N589="SUBIR_E"),IF(F589="polea",IFERROR(INDEX(CONFIG!$B$25:$B$40,MATCH(G589,CONFIG!$B$25:$B$40,0)+1),G589),G589+2.5),IF(N589="BAJAR",IF(F589="polea",IFERROR(INDEX(CONFIG!$B$25:$B$40,MAX(1,MATCH(G589,CONFIG!$B$25:$B$40,0)-1)),G589),MAX(0,G589-2.5)),G589)))),"--")</f>
        <v>--</v>
      </c>
      <c r="L589" s="59" t="str">
        <f>IFERROR(IF(N589="SIN","--",IF(N589="MANT",IF(H589="","--",H589+1),IFERROR(VLOOKUP(CONFIG!$E$2,CONFIG!$A$6:$E$8,2,0),"--"))),"--")</f>
        <v>--</v>
      </c>
      <c r="M589" s="59" t="str">
        <f>IFERROR(IF(N589="SIN","--",IF(CONFIG!$E$2="HIP",2,IF(CONFIG!$E$2="FUE",1,2))),"--")</f>
        <v>--</v>
      </c>
      <c r="N589" s="53" t="str">
        <f>IFERROR(IF(G589="","SIN",IF(O589=1,"SUBIR_E",IF(H589&lt;IFERROR(VLOOKUP(CONFIG!$E$2,CONFIG!$A$6:$E$8,2,0),6),"BAJAR",IF(H589+I589&gt;=IFERROR(VLOOKUP(CONFIG!$E$2,CONFIG!$A$6:$E$8,3,0),12),"SUBIR_F",IF(AND(H589&gt;=IFERROR(VLOOKUP(CONFIG!$E$2,CONFIG!$A$6:$E$8,2,0),6)+2,I589&gt;=2),"SUBIR",IF(I589&gt;IFERROR(VLOOKUP(CONFIG!$E$2,CONFIG!$A$6:$E$8,5,0),3),"SUBIR","MANT")))))),"SIN")</f>
        <v>SIN</v>
      </c>
      <c r="O589" s="55">
        <f>IF(COUNTIFS(HISTORIAL!$O$3:$O$587,D589&amp;"|"&amp;E589,HISTORIAL!$F$3:$F$587,"&gt;0")&lt;2,0,IF(COUNTIFS(HISTORIAL!$O$3:$O$587,D589&amp;"|"&amp;E589,HISTORIAL!$F$3:$F$587,IFERROR(LOOKUP(2,1/((HISTORIAL!$O$3:$O$587=D589&amp;"|"&amp;E589)*(HISTORIAL!$F$3:$F$587&gt;0)),HISTORIAL!$F$3:$F$587),0))&gt;=2,IF(IFERROR(LOOKUP(2,1/((HISTORIAL!$O$3:$O$587=D589&amp;"|"&amp;E589)*(HISTORIAL!$F$3:$F$587&gt;0)),HISTORIAL!$G$3:$G$587),0)&gt;0,IF(F589&gt;0,IF(G589&lt;=IFERROR(LOOKUP(2,1/((HISTORIAL!$O$3:$O$587=D589&amp;"|"&amp;E589)*(HISTORIAL!$F$3:$F$587&gt;0)),HISTORIAL!$G$3:$G$587),0),1,0),0),0),0))</f>
        <v>0</v>
      </c>
    </row>
    <row r="590" spans="1:15" ht="14.1" customHeight="1">
      <c r="A590" s="37">
        <v>10</v>
      </c>
      <c r="B590" s="37" t="s">
        <v>278</v>
      </c>
      <c r="C590" s="37">
        <v>9</v>
      </c>
      <c r="D590" s="56" t="str">
        <f>MARTES!$A$214</f>
        <v>Farmer Carry</v>
      </c>
      <c r="E590" s="57" t="str">
        <f>MARTES!$B$214</f>
        <v>Libre</v>
      </c>
      <c r="F590" s="37" t="str">
        <f>MARTES!$C$214</f>
        <v>mancuerna</v>
      </c>
      <c r="G590" s="37" t="str">
        <f>IFERROR(LOOKUP(2,1/((HISTORIAL!$O$3:$O$588=D590&amp;"|"&amp;E590)*(HISTORIAL!$F$3:$F$588&lt;&gt;"")),HISTORIAL!$F$3:$F$588),"")</f>
        <v/>
      </c>
      <c r="H590" s="37" t="str">
        <f>IFERROR(LOOKUP(2,1/((HISTORIAL!$O$3:$O$588=D590&amp;"|"&amp;E590)*(HISTORIAL!$F$3:$F$588&lt;&gt;"")),HISTORIAL!$G$3:$G$588),"")</f>
        <v/>
      </c>
      <c r="I590" s="37" t="str">
        <f>IFERROR(LOOKUP(2,1/((HISTORIAL!$O$3:$O$588=D590&amp;"|"&amp;E590)*(HISTORIAL!$F$3:$F$588&lt;&gt;"")),HISTORIAL!$H$3:$H$588),"")</f>
        <v/>
      </c>
      <c r="J590" s="37" t="str">
        <f>IFERROR(LOOKUP(2,1/((HISTORIAL!$O$3:$O$588=D590&amp;"|"&amp;E590)*(HISTORIAL!$F$3:$F$588&lt;&gt;"")),HISTORIAL!$I$3:$I$588),"")</f>
        <v/>
      </c>
      <c r="K590" s="58" t="str">
        <f>IFERROR(IF(OR(G590="",N590="SIN"),"--",IF(N590="SUBIR_F",IF(F590="polea",IFERROR(INDEX(CONFIG!$B$25:$B$40,MATCH(G590,CONFIG!$B$25:$B$40,0)+2),IFERROR(INDEX(CONFIG!$B$25:$B$40,MATCH(G590,CONFIG!$B$25:$B$40,0)+1),G590)),G590+5),IF(OR(N590="SUBIR",N590="SUBIR_E"),IF(F590="polea",IFERROR(INDEX(CONFIG!$B$25:$B$40,MATCH(G590,CONFIG!$B$25:$B$40,0)+1),G590),G590+2.5),IF(N590="BAJAR",IF(F590="polea",IFERROR(INDEX(CONFIG!$B$25:$B$40,MAX(1,MATCH(G590,CONFIG!$B$25:$B$40,0)-1)),G590),MAX(0,G590-2.5)),G590)))),"--")</f>
        <v>--</v>
      </c>
      <c r="L590" s="59" t="str">
        <f>IFERROR(IF(N590="SIN","--",IF(N590="MANT",IF(H590="","--",H590+1),IFERROR(VLOOKUP(CONFIG!$E$2,CONFIG!$A$6:$E$8,2,0),"--"))),"--")</f>
        <v>--</v>
      </c>
      <c r="M590" s="59" t="str">
        <f>IFERROR(IF(N590="SIN","--",IF(CONFIG!$E$2="HIP",2,IF(CONFIG!$E$2="FUE",1,2))),"--")</f>
        <v>--</v>
      </c>
      <c r="N590" s="53" t="str">
        <f>IFERROR(IF(G590="","SIN",IF(O590=1,"SUBIR_E",IF(H590&lt;IFERROR(VLOOKUP(CONFIG!$E$2,CONFIG!$A$6:$E$8,2,0),6),"BAJAR",IF(H590+I590&gt;=IFERROR(VLOOKUP(CONFIG!$E$2,CONFIG!$A$6:$E$8,3,0),12),"SUBIR_F",IF(AND(H590&gt;=IFERROR(VLOOKUP(CONFIG!$E$2,CONFIG!$A$6:$E$8,2,0),6)+2,I590&gt;=2),"SUBIR",IF(I590&gt;IFERROR(VLOOKUP(CONFIG!$E$2,CONFIG!$A$6:$E$8,5,0),3),"SUBIR","MANT")))))),"SIN")</f>
        <v>SIN</v>
      </c>
      <c r="O590" s="55">
        <f>IF(COUNTIFS(HISTORIAL!$O$3:$O$588,D590&amp;"|"&amp;E590,HISTORIAL!$F$3:$F$588,"&gt;0")&lt;2,0,IF(COUNTIFS(HISTORIAL!$O$3:$O$588,D590&amp;"|"&amp;E590,HISTORIAL!$F$3:$F$588,IFERROR(LOOKUP(2,1/((HISTORIAL!$O$3:$O$588=D590&amp;"|"&amp;E590)*(HISTORIAL!$F$3:$F$588&gt;0)),HISTORIAL!$F$3:$F$588),0))&gt;=2,IF(IFERROR(LOOKUP(2,1/((HISTORIAL!$O$3:$O$588=D590&amp;"|"&amp;E590)*(HISTORIAL!$F$3:$F$588&gt;0)),HISTORIAL!$G$3:$G$588),0)&gt;0,IF(F590&gt;0,IF(G590&lt;=IFERROR(LOOKUP(2,1/((HISTORIAL!$O$3:$O$588=D590&amp;"|"&amp;E590)*(HISTORIAL!$F$3:$F$588&gt;0)),HISTORIAL!$G$3:$G$588),0),1,0),0),0),0))</f>
        <v>0</v>
      </c>
    </row>
    <row r="591" spans="1:15" ht="14.1" customHeight="1">
      <c r="A591" s="37">
        <v>10</v>
      </c>
      <c r="B591" s="37" t="s">
        <v>278</v>
      </c>
      <c r="C591" s="37">
        <v>10</v>
      </c>
      <c r="D591" s="56" t="str">
        <f>MARTES!$A$216</f>
        <v>Skullcrusher</v>
      </c>
      <c r="E591" s="57" t="str">
        <f>MARTES!$B$216</f>
        <v>Mancuerna Tumbado</v>
      </c>
      <c r="F591" s="37" t="str">
        <f>MARTES!$C$216</f>
        <v>--</v>
      </c>
      <c r="G591" s="37" t="str">
        <f>IFERROR(LOOKUP(2,1/((HISTORIAL!$O$3:$O$589=D591&amp;"|"&amp;E591)*(HISTORIAL!$F$3:$F$589&lt;&gt;"")),HISTORIAL!$F$3:$F$589),"")</f>
        <v/>
      </c>
      <c r="H591" s="37" t="str">
        <f>IFERROR(LOOKUP(2,1/((HISTORIAL!$O$3:$O$589=D591&amp;"|"&amp;E591)*(HISTORIAL!$F$3:$F$589&lt;&gt;"")),HISTORIAL!$G$3:$G$589),"")</f>
        <v/>
      </c>
      <c r="I591" s="37" t="str">
        <f>IFERROR(LOOKUP(2,1/((HISTORIAL!$O$3:$O$589=D591&amp;"|"&amp;E591)*(HISTORIAL!$F$3:$F$589&lt;&gt;"")),HISTORIAL!$H$3:$H$589),"")</f>
        <v/>
      </c>
      <c r="J591" s="37" t="str">
        <f>IFERROR(LOOKUP(2,1/((HISTORIAL!$O$3:$O$589=D591&amp;"|"&amp;E591)*(HISTORIAL!$F$3:$F$589&lt;&gt;"")),HISTORIAL!$I$3:$I$589),"")</f>
        <v/>
      </c>
      <c r="K591" s="58" t="str">
        <f>IFERROR(IF(OR(G591="",N591="SIN"),"--",IF(N591="SUBIR_F",IF(F591="polea",IFERROR(INDEX(CONFIG!$B$25:$B$40,MATCH(G591,CONFIG!$B$25:$B$40,0)+2),IFERROR(INDEX(CONFIG!$B$25:$B$40,MATCH(G591,CONFIG!$B$25:$B$40,0)+1),G591)),G591+5),IF(OR(N591="SUBIR",N591="SUBIR_E"),IF(F591="polea",IFERROR(INDEX(CONFIG!$B$25:$B$40,MATCH(G591,CONFIG!$B$25:$B$40,0)+1),G591),G591+2.5),IF(N591="BAJAR",IF(F591="polea",IFERROR(INDEX(CONFIG!$B$25:$B$40,MAX(1,MATCH(G591,CONFIG!$B$25:$B$40,0)-1)),G591),MAX(0,G591-2.5)),G591)))),"--")</f>
        <v>--</v>
      </c>
      <c r="L591" s="59" t="str">
        <f>IFERROR(IF(N591="SIN","--",IF(N591="MANT",IF(H591="","--",H591+1),IFERROR(VLOOKUP(CONFIG!$E$2,CONFIG!$A$6:$E$8,2,0),"--"))),"--")</f>
        <v>--</v>
      </c>
      <c r="M591" s="59" t="str">
        <f>IFERROR(IF(N591="SIN","--",IF(CONFIG!$E$2="HIP",2,IF(CONFIG!$E$2="FUE",1,2))),"--")</f>
        <v>--</v>
      </c>
      <c r="N591" s="53" t="str">
        <f>IFERROR(IF(G591="","SIN",IF(O591=1,"SUBIR_E",IF(H591&lt;IFERROR(VLOOKUP(CONFIG!$E$2,CONFIG!$A$6:$E$8,2,0),6),"BAJAR",IF(H591+I591&gt;=IFERROR(VLOOKUP(CONFIG!$E$2,CONFIG!$A$6:$E$8,3,0),12),"SUBIR_F",IF(AND(H591&gt;=IFERROR(VLOOKUP(CONFIG!$E$2,CONFIG!$A$6:$E$8,2,0),6)+2,I591&gt;=2),"SUBIR",IF(I591&gt;IFERROR(VLOOKUP(CONFIG!$E$2,CONFIG!$A$6:$E$8,5,0),3),"SUBIR","MANT")))))),"SIN")</f>
        <v>SIN</v>
      </c>
      <c r="O591" s="55">
        <f>IF(COUNTIFS(HISTORIAL!$O$3:$O$589,D591&amp;"|"&amp;E591,HISTORIAL!$F$3:$F$589,"&gt;0")&lt;2,0,IF(COUNTIFS(HISTORIAL!$O$3:$O$589,D591&amp;"|"&amp;E591,HISTORIAL!$F$3:$F$589,IFERROR(LOOKUP(2,1/((HISTORIAL!$O$3:$O$589=D591&amp;"|"&amp;E591)*(HISTORIAL!$F$3:$F$589&gt;0)),HISTORIAL!$F$3:$F$589),0))&gt;=2,IF(IFERROR(LOOKUP(2,1/((HISTORIAL!$O$3:$O$589=D591&amp;"|"&amp;E591)*(HISTORIAL!$F$3:$F$589&gt;0)),HISTORIAL!$G$3:$G$589),0)&gt;0,IF(F591&gt;0,IF(G591&lt;=IFERROR(LOOKUP(2,1/((HISTORIAL!$O$3:$O$589=D591&amp;"|"&amp;E591)*(HISTORIAL!$F$3:$F$589&gt;0)),HISTORIAL!$G$3:$G$589),0),1,0),0),0),0))</f>
        <v>0</v>
      </c>
    </row>
    <row r="592" spans="1:15" ht="14.1" customHeight="1">
      <c r="A592" s="37">
        <v>10</v>
      </c>
      <c r="B592" s="37" t="s">
        <v>278</v>
      </c>
      <c r="C592" s="37">
        <v>11</v>
      </c>
      <c r="D592" s="56" t="str">
        <f>MARTES!$A$218</f>
        <v>Crunch</v>
      </c>
      <c r="E592" s="57" t="str">
        <f>MARTES!$B$218</f>
        <v>Polea</v>
      </c>
      <c r="F592" s="37" t="str">
        <f>MARTES!$C$218</f>
        <v>polea</v>
      </c>
      <c r="G592" s="37" t="str">
        <f>IFERROR(LOOKUP(2,1/((HISTORIAL!$O$3:$O$590=D592&amp;"|"&amp;E592)*(HISTORIAL!$F$3:$F$590&lt;&gt;"")),HISTORIAL!$F$3:$F$590),"")</f>
        <v/>
      </c>
      <c r="H592" s="37" t="str">
        <f>IFERROR(LOOKUP(2,1/((HISTORIAL!$O$3:$O$590=D592&amp;"|"&amp;E592)*(HISTORIAL!$F$3:$F$590&lt;&gt;"")),HISTORIAL!$G$3:$G$590),"")</f>
        <v/>
      </c>
      <c r="I592" s="37" t="str">
        <f>IFERROR(LOOKUP(2,1/((HISTORIAL!$O$3:$O$590=D592&amp;"|"&amp;E592)*(HISTORIAL!$F$3:$F$590&lt;&gt;"")),HISTORIAL!$H$3:$H$590),"")</f>
        <v/>
      </c>
      <c r="J592" s="37" t="str">
        <f>IFERROR(LOOKUP(2,1/((HISTORIAL!$O$3:$O$590=D592&amp;"|"&amp;E592)*(HISTORIAL!$F$3:$F$590&lt;&gt;"")),HISTORIAL!$I$3:$I$590),"")</f>
        <v/>
      </c>
      <c r="K592" s="58" t="str">
        <f>IFERROR(IF(OR(G592="",N592="SIN"),"--",IF(N592="SUBIR_F",IF(F592="polea",IFERROR(INDEX(CONFIG!$B$25:$B$40,MATCH(G592,CONFIG!$B$25:$B$40,0)+2),IFERROR(INDEX(CONFIG!$B$25:$B$40,MATCH(G592,CONFIG!$B$25:$B$40,0)+1),G592)),G592+5),IF(OR(N592="SUBIR",N592="SUBIR_E"),IF(F592="polea",IFERROR(INDEX(CONFIG!$B$25:$B$40,MATCH(G592,CONFIG!$B$25:$B$40,0)+1),G592),G592+2.5),IF(N592="BAJAR",IF(F592="polea",IFERROR(INDEX(CONFIG!$B$25:$B$40,MAX(1,MATCH(G592,CONFIG!$B$25:$B$40,0)-1)),G592),MAX(0,G592-2.5)),G592)))),"--")</f>
        <v>--</v>
      </c>
      <c r="L592" s="59" t="str">
        <f>IFERROR(IF(N592="SIN","--",IF(N592="MANT",IF(H592="","--",H592+1),IFERROR(VLOOKUP(CONFIG!$E$2,CONFIG!$A$6:$E$8,2,0),"--"))),"--")</f>
        <v>--</v>
      </c>
      <c r="M592" s="59" t="str">
        <f>IFERROR(IF(N592="SIN","--",IF(CONFIG!$E$2="HIP",2,IF(CONFIG!$E$2="FUE",1,2))),"--")</f>
        <v>--</v>
      </c>
      <c r="N592" s="53" t="str">
        <f>IFERROR(IF(G592="","SIN",IF(O592=1,"SUBIR_E",IF(H592&lt;IFERROR(VLOOKUP(CONFIG!$E$2,CONFIG!$A$6:$E$8,2,0),6),"BAJAR",IF(H592+I592&gt;=IFERROR(VLOOKUP(CONFIG!$E$2,CONFIG!$A$6:$E$8,3,0),12),"SUBIR_F",IF(AND(H592&gt;=IFERROR(VLOOKUP(CONFIG!$E$2,CONFIG!$A$6:$E$8,2,0),6)+2,I592&gt;=2),"SUBIR",IF(I592&gt;IFERROR(VLOOKUP(CONFIG!$E$2,CONFIG!$A$6:$E$8,5,0),3),"SUBIR","MANT")))))),"SIN")</f>
        <v>SIN</v>
      </c>
      <c r="O592" s="55">
        <f>IF(COUNTIFS(HISTORIAL!$O$3:$O$590,D592&amp;"|"&amp;E592,HISTORIAL!$F$3:$F$590,"&gt;0")&lt;2,0,IF(COUNTIFS(HISTORIAL!$O$3:$O$590,D592&amp;"|"&amp;E592,HISTORIAL!$F$3:$F$590,IFERROR(LOOKUP(2,1/((HISTORIAL!$O$3:$O$590=D592&amp;"|"&amp;E592)*(HISTORIAL!$F$3:$F$590&gt;0)),HISTORIAL!$F$3:$F$590),0))&gt;=2,IF(IFERROR(LOOKUP(2,1/((HISTORIAL!$O$3:$O$590=D592&amp;"|"&amp;E592)*(HISTORIAL!$F$3:$F$590&gt;0)),HISTORIAL!$G$3:$G$590),0)&gt;0,IF(F592&gt;0,IF(G592&lt;=IFERROR(LOOKUP(2,1/((HISTORIAL!$O$3:$O$590=D592&amp;"|"&amp;E592)*(HISTORIAL!$F$3:$F$590&gt;0)),HISTORIAL!$G$3:$G$590),0),1,0),0),0),0))</f>
        <v>0</v>
      </c>
    </row>
    <row r="593" spans="1:15" ht="14.1" customHeight="1">
      <c r="A593" s="37">
        <v>10</v>
      </c>
      <c r="B593" s="37" t="s">
        <v>279</v>
      </c>
      <c r="C593" s="37">
        <v>1</v>
      </c>
      <c r="D593" s="56" t="str">
        <f>MIERCOLES!$A$210</f>
        <v>Curl Femoral</v>
      </c>
      <c r="E593" s="57" t="str">
        <f>MIERCOLES!$B$210</f>
        <v>Tumbado Maquina</v>
      </c>
      <c r="F593" s="37" t="str">
        <f>MIERCOLES!$C$210</f>
        <v>polea</v>
      </c>
      <c r="G593" s="37" t="str">
        <f>IFERROR(LOOKUP(2,1/((HISTORIAL!$O$3:$O$591=D593&amp;"|"&amp;E593)*(HISTORIAL!$F$3:$F$591&lt;&gt;"")),HISTORIAL!$F$3:$F$591),"")</f>
        <v/>
      </c>
      <c r="H593" s="37" t="str">
        <f>IFERROR(LOOKUP(2,1/((HISTORIAL!$O$3:$O$591=D593&amp;"|"&amp;E593)*(HISTORIAL!$F$3:$F$591&lt;&gt;"")),HISTORIAL!$G$3:$G$591),"")</f>
        <v/>
      </c>
      <c r="I593" s="37" t="str">
        <f>IFERROR(LOOKUP(2,1/((HISTORIAL!$O$3:$O$591=D593&amp;"|"&amp;E593)*(HISTORIAL!$F$3:$F$591&lt;&gt;"")),HISTORIAL!$H$3:$H$591),"")</f>
        <v/>
      </c>
      <c r="J593" s="37" t="str">
        <f>IFERROR(LOOKUP(2,1/((HISTORIAL!$O$3:$O$591=D593&amp;"|"&amp;E593)*(HISTORIAL!$F$3:$F$591&lt;&gt;"")),HISTORIAL!$I$3:$I$591),"")</f>
        <v/>
      </c>
      <c r="K593" s="58" t="str">
        <f>IFERROR(IF(OR(G593="",N593="SIN"),"--",IF(N593="SUBIR_F",IF(F593="polea",IFERROR(INDEX(CONFIG!$B$25:$B$40,MATCH(G593,CONFIG!$B$25:$B$40,0)+2),IFERROR(INDEX(CONFIG!$B$25:$B$40,MATCH(G593,CONFIG!$B$25:$B$40,0)+1),G593)),G593+5),IF(OR(N593="SUBIR",N593="SUBIR_E"),IF(F593="polea",IFERROR(INDEX(CONFIG!$B$25:$B$40,MATCH(G593,CONFIG!$B$25:$B$40,0)+1),G593),G593+2.5),IF(N593="BAJAR",IF(F593="polea",IFERROR(INDEX(CONFIG!$B$25:$B$40,MAX(1,MATCH(G593,CONFIG!$B$25:$B$40,0)-1)),G593),MAX(0,G593-2.5)),G593)))),"--")</f>
        <v>--</v>
      </c>
      <c r="L593" s="59" t="str">
        <f>IFERROR(IF(N593="SIN","--",IF(N593="MANT",IF(H593="","--",H593+1),IFERROR(VLOOKUP(CONFIG!$E$2,CONFIG!$A$6:$E$8,2,0),"--"))),"--")</f>
        <v>--</v>
      </c>
      <c r="M593" s="59" t="str">
        <f>IFERROR(IF(N593="SIN","--",IF(CONFIG!$E$2="HIP",2,IF(CONFIG!$E$2="FUE",1,2))),"--")</f>
        <v>--</v>
      </c>
      <c r="N593" s="53" t="str">
        <f>IFERROR(IF(G593="","SIN",IF(O593=1,"SUBIR_E",IF(H593&lt;IFERROR(VLOOKUP(CONFIG!$E$2,CONFIG!$A$6:$E$8,2,0),6),"BAJAR",IF(H593+I593&gt;=IFERROR(VLOOKUP(CONFIG!$E$2,CONFIG!$A$6:$E$8,3,0),12),"SUBIR_F",IF(AND(H593&gt;=IFERROR(VLOOKUP(CONFIG!$E$2,CONFIG!$A$6:$E$8,2,0),6)+2,I593&gt;=2),"SUBIR",IF(I593&gt;IFERROR(VLOOKUP(CONFIG!$E$2,CONFIG!$A$6:$E$8,5,0),3),"SUBIR","MANT")))))),"SIN")</f>
        <v>SIN</v>
      </c>
      <c r="O593" s="55">
        <f>IF(COUNTIFS(HISTORIAL!$O$3:$O$591,D593&amp;"|"&amp;E593,HISTORIAL!$F$3:$F$591,"&gt;0")&lt;2,0,IF(COUNTIFS(HISTORIAL!$O$3:$O$591,D593&amp;"|"&amp;E593,HISTORIAL!$F$3:$F$591,IFERROR(LOOKUP(2,1/((HISTORIAL!$O$3:$O$591=D593&amp;"|"&amp;E593)*(HISTORIAL!$F$3:$F$591&gt;0)),HISTORIAL!$F$3:$F$591),0))&gt;=2,IF(IFERROR(LOOKUP(2,1/((HISTORIAL!$O$3:$O$591=D593&amp;"|"&amp;E593)*(HISTORIAL!$F$3:$F$591&gt;0)),HISTORIAL!$G$3:$G$591),0)&gt;0,IF(F593&gt;0,IF(G593&lt;=IFERROR(LOOKUP(2,1/((HISTORIAL!$O$3:$O$591=D593&amp;"|"&amp;E593)*(HISTORIAL!$F$3:$F$591&gt;0)),HISTORIAL!$G$3:$G$591),0),1,0),0),0),0))</f>
        <v>0</v>
      </c>
    </row>
    <row r="594" spans="1:15" ht="14.1" customHeight="1">
      <c r="A594" s="37">
        <v>10</v>
      </c>
      <c r="B594" s="37" t="s">
        <v>279</v>
      </c>
      <c r="C594" s="37">
        <v>2</v>
      </c>
      <c r="D594" s="56" t="str">
        <f>MIERCOLES!$A$211</f>
        <v>Curl Femoral</v>
      </c>
      <c r="E594" s="57" t="str">
        <f>MIERCOLES!$B$211</f>
        <v>Sentado Maquina</v>
      </c>
      <c r="F594" s="37" t="str">
        <f>MIERCOLES!$C$211</f>
        <v>polea</v>
      </c>
      <c r="G594" s="37" t="str">
        <f>IFERROR(LOOKUP(2,1/((HISTORIAL!$O$3:$O$592=D594&amp;"|"&amp;E594)*(HISTORIAL!$F$3:$F$592&lt;&gt;"")),HISTORIAL!$F$3:$F$592),"")</f>
        <v/>
      </c>
      <c r="H594" s="37" t="str">
        <f>IFERROR(LOOKUP(2,1/((HISTORIAL!$O$3:$O$592=D594&amp;"|"&amp;E594)*(HISTORIAL!$F$3:$F$592&lt;&gt;"")),HISTORIAL!$G$3:$G$592),"")</f>
        <v/>
      </c>
      <c r="I594" s="37" t="str">
        <f>IFERROR(LOOKUP(2,1/((HISTORIAL!$O$3:$O$592=D594&amp;"|"&amp;E594)*(HISTORIAL!$F$3:$F$592&lt;&gt;"")),HISTORIAL!$H$3:$H$592),"")</f>
        <v/>
      </c>
      <c r="J594" s="37" t="str">
        <f>IFERROR(LOOKUP(2,1/((HISTORIAL!$O$3:$O$592=D594&amp;"|"&amp;E594)*(HISTORIAL!$F$3:$F$592&lt;&gt;"")),HISTORIAL!$I$3:$I$592),"")</f>
        <v/>
      </c>
      <c r="K594" s="58" t="str">
        <f>IFERROR(IF(OR(G594="",N594="SIN"),"--",IF(N594="SUBIR_F",IF(F594="polea",IFERROR(INDEX(CONFIG!$B$25:$B$40,MATCH(G594,CONFIG!$B$25:$B$40,0)+2),IFERROR(INDEX(CONFIG!$B$25:$B$40,MATCH(G594,CONFIG!$B$25:$B$40,0)+1),G594)),G594+5),IF(OR(N594="SUBIR",N594="SUBIR_E"),IF(F594="polea",IFERROR(INDEX(CONFIG!$B$25:$B$40,MATCH(G594,CONFIG!$B$25:$B$40,0)+1),G594),G594+2.5),IF(N594="BAJAR",IF(F594="polea",IFERROR(INDEX(CONFIG!$B$25:$B$40,MAX(1,MATCH(G594,CONFIG!$B$25:$B$40,0)-1)),G594),MAX(0,G594-2.5)),G594)))),"--")</f>
        <v>--</v>
      </c>
      <c r="L594" s="59" t="str">
        <f>IFERROR(IF(N594="SIN","--",IF(N594="MANT",IF(H594="","--",H594+1),IFERROR(VLOOKUP(CONFIG!$E$2,CONFIG!$A$6:$E$8,2,0),"--"))),"--")</f>
        <v>--</v>
      </c>
      <c r="M594" s="59" t="str">
        <f>IFERROR(IF(N594="SIN","--",IF(CONFIG!$E$2="HIP",2,IF(CONFIG!$E$2="FUE",1,2))),"--")</f>
        <v>--</v>
      </c>
      <c r="N594" s="53" t="str">
        <f>IFERROR(IF(G594="","SIN",IF(O594=1,"SUBIR_E",IF(H594&lt;IFERROR(VLOOKUP(CONFIG!$E$2,CONFIG!$A$6:$E$8,2,0),6),"BAJAR",IF(H594+I594&gt;=IFERROR(VLOOKUP(CONFIG!$E$2,CONFIG!$A$6:$E$8,3,0),12),"SUBIR_F",IF(AND(H594&gt;=IFERROR(VLOOKUP(CONFIG!$E$2,CONFIG!$A$6:$E$8,2,0),6)+2,I594&gt;=2),"SUBIR",IF(I594&gt;IFERROR(VLOOKUP(CONFIG!$E$2,CONFIG!$A$6:$E$8,5,0),3),"SUBIR","MANT")))))),"SIN")</f>
        <v>SIN</v>
      </c>
      <c r="O594" s="55">
        <f>IF(COUNTIFS(HISTORIAL!$O$3:$O$592,D594&amp;"|"&amp;E594,HISTORIAL!$F$3:$F$592,"&gt;0")&lt;2,0,IF(COUNTIFS(HISTORIAL!$O$3:$O$592,D594&amp;"|"&amp;E594,HISTORIAL!$F$3:$F$592,IFERROR(LOOKUP(2,1/((HISTORIAL!$O$3:$O$592=D594&amp;"|"&amp;E594)*(HISTORIAL!$F$3:$F$592&gt;0)),HISTORIAL!$F$3:$F$592),0))&gt;=2,IF(IFERROR(LOOKUP(2,1/((HISTORIAL!$O$3:$O$592=D594&amp;"|"&amp;E594)*(HISTORIAL!$F$3:$F$592&gt;0)),HISTORIAL!$G$3:$G$592),0)&gt;0,IF(F594&gt;0,IF(G594&lt;=IFERROR(LOOKUP(2,1/((HISTORIAL!$O$3:$O$592=D594&amp;"|"&amp;E594)*(HISTORIAL!$F$3:$F$592&gt;0)),HISTORIAL!$G$3:$G$592),0),1,0),0),0),0))</f>
        <v>0</v>
      </c>
    </row>
    <row r="595" spans="1:15" ht="14.1" customHeight="1">
      <c r="A595" s="37">
        <v>10</v>
      </c>
      <c r="B595" s="37" t="s">
        <v>279</v>
      </c>
      <c r="C595" s="37">
        <v>3</v>
      </c>
      <c r="D595" s="56" t="str">
        <f>MIERCOLES!$A$212</f>
        <v>Curl Rumano</v>
      </c>
      <c r="E595" s="57" t="str">
        <f>MIERCOLES!$B$212</f>
        <v>Mancuernas</v>
      </c>
      <c r="F595" s="37" t="str">
        <f>MIERCOLES!$C$212</f>
        <v>mancuerna</v>
      </c>
      <c r="G595" s="37" t="str">
        <f>IFERROR(LOOKUP(2,1/((HISTORIAL!$O$3:$O$593=D595&amp;"|"&amp;E595)*(HISTORIAL!$F$3:$F$593&lt;&gt;"")),HISTORIAL!$F$3:$F$593),"")</f>
        <v/>
      </c>
      <c r="H595" s="37" t="str">
        <f>IFERROR(LOOKUP(2,1/((HISTORIAL!$O$3:$O$593=D595&amp;"|"&amp;E595)*(HISTORIAL!$F$3:$F$593&lt;&gt;"")),HISTORIAL!$G$3:$G$593),"")</f>
        <v/>
      </c>
      <c r="I595" s="37" t="str">
        <f>IFERROR(LOOKUP(2,1/((HISTORIAL!$O$3:$O$593=D595&amp;"|"&amp;E595)*(HISTORIAL!$F$3:$F$593&lt;&gt;"")),HISTORIAL!$H$3:$H$593),"")</f>
        <v/>
      </c>
      <c r="J595" s="37" t="str">
        <f>IFERROR(LOOKUP(2,1/((HISTORIAL!$O$3:$O$593=D595&amp;"|"&amp;E595)*(HISTORIAL!$F$3:$F$593&lt;&gt;"")),HISTORIAL!$I$3:$I$593),"")</f>
        <v/>
      </c>
      <c r="K595" s="58" t="str">
        <f>IFERROR(IF(OR(G595="",N595="SIN"),"--",IF(N595="SUBIR_F",IF(F595="polea",IFERROR(INDEX(CONFIG!$B$25:$B$40,MATCH(G595,CONFIG!$B$25:$B$40,0)+2),IFERROR(INDEX(CONFIG!$B$25:$B$40,MATCH(G595,CONFIG!$B$25:$B$40,0)+1),G595)),G595+5),IF(OR(N595="SUBIR",N595="SUBIR_E"),IF(F595="polea",IFERROR(INDEX(CONFIG!$B$25:$B$40,MATCH(G595,CONFIG!$B$25:$B$40,0)+1),G595),G595+2.5),IF(N595="BAJAR",IF(F595="polea",IFERROR(INDEX(CONFIG!$B$25:$B$40,MAX(1,MATCH(G595,CONFIG!$B$25:$B$40,0)-1)),G595),MAX(0,G595-2.5)),G595)))),"--")</f>
        <v>--</v>
      </c>
      <c r="L595" s="59" t="str">
        <f>IFERROR(IF(N595="SIN","--",IF(N595="MANT",IF(H595="","--",H595+1),IFERROR(VLOOKUP(CONFIG!$E$2,CONFIG!$A$6:$E$8,2,0),"--"))),"--")</f>
        <v>--</v>
      </c>
      <c r="M595" s="59" t="str">
        <f>IFERROR(IF(N595="SIN","--",IF(CONFIG!$E$2="HIP",2,IF(CONFIG!$E$2="FUE",1,2))),"--")</f>
        <v>--</v>
      </c>
      <c r="N595" s="53" t="str">
        <f>IFERROR(IF(G595="","SIN",IF(O595=1,"SUBIR_E",IF(H595&lt;IFERROR(VLOOKUP(CONFIG!$E$2,CONFIG!$A$6:$E$8,2,0),6),"BAJAR",IF(H595+I595&gt;=IFERROR(VLOOKUP(CONFIG!$E$2,CONFIG!$A$6:$E$8,3,0),12),"SUBIR_F",IF(AND(H595&gt;=IFERROR(VLOOKUP(CONFIG!$E$2,CONFIG!$A$6:$E$8,2,0),6)+2,I595&gt;=2),"SUBIR",IF(I595&gt;IFERROR(VLOOKUP(CONFIG!$E$2,CONFIG!$A$6:$E$8,5,0),3),"SUBIR","MANT")))))),"SIN")</f>
        <v>SIN</v>
      </c>
      <c r="O595" s="55">
        <f>IF(COUNTIFS(HISTORIAL!$O$3:$O$593,D595&amp;"|"&amp;E595,HISTORIAL!$F$3:$F$593,"&gt;0")&lt;2,0,IF(COUNTIFS(HISTORIAL!$O$3:$O$593,D595&amp;"|"&amp;E595,HISTORIAL!$F$3:$F$593,IFERROR(LOOKUP(2,1/((HISTORIAL!$O$3:$O$593=D595&amp;"|"&amp;E595)*(HISTORIAL!$F$3:$F$593&gt;0)),HISTORIAL!$F$3:$F$593),0))&gt;=2,IF(IFERROR(LOOKUP(2,1/((HISTORIAL!$O$3:$O$593=D595&amp;"|"&amp;E595)*(HISTORIAL!$F$3:$F$593&gt;0)),HISTORIAL!$G$3:$G$593),0)&gt;0,IF(F595&gt;0,IF(G595&lt;=IFERROR(LOOKUP(2,1/((HISTORIAL!$O$3:$O$593=D595&amp;"|"&amp;E595)*(HISTORIAL!$F$3:$F$593&gt;0)),HISTORIAL!$G$3:$G$593),0),1,0),0),0),0))</f>
        <v>0</v>
      </c>
    </row>
    <row r="596" spans="1:15" ht="14.1" customHeight="1">
      <c r="A596" s="37">
        <v>10</v>
      </c>
      <c r="B596" s="37" t="s">
        <v>279</v>
      </c>
      <c r="C596" s="37">
        <v>4</v>
      </c>
      <c r="D596" s="56" t="str">
        <f>MIERCOLES!$A$214</f>
        <v>Sentadilla</v>
      </c>
      <c r="E596" s="57" t="str">
        <f>MIERCOLES!$B$214</f>
        <v>Multipower Cuna Talones</v>
      </c>
      <c r="F596" s="37" t="str">
        <f>MIERCOLES!$C$214</f>
        <v>--</v>
      </c>
      <c r="G596" s="37" t="str">
        <f>IFERROR(LOOKUP(2,1/((HISTORIAL!$O$3:$O$594=D596&amp;"|"&amp;E596)*(HISTORIAL!$F$3:$F$594&lt;&gt;"")),HISTORIAL!$F$3:$F$594),"")</f>
        <v/>
      </c>
      <c r="H596" s="37" t="str">
        <f>IFERROR(LOOKUP(2,1/((HISTORIAL!$O$3:$O$594=D596&amp;"|"&amp;E596)*(HISTORIAL!$F$3:$F$594&lt;&gt;"")),HISTORIAL!$G$3:$G$594),"")</f>
        <v/>
      </c>
      <c r="I596" s="37" t="str">
        <f>IFERROR(LOOKUP(2,1/((HISTORIAL!$O$3:$O$594=D596&amp;"|"&amp;E596)*(HISTORIAL!$F$3:$F$594&lt;&gt;"")),HISTORIAL!$H$3:$H$594),"")</f>
        <v/>
      </c>
      <c r="J596" s="37" t="str">
        <f>IFERROR(LOOKUP(2,1/((HISTORIAL!$O$3:$O$594=D596&amp;"|"&amp;E596)*(HISTORIAL!$F$3:$F$594&lt;&gt;"")),HISTORIAL!$I$3:$I$594),"")</f>
        <v/>
      </c>
      <c r="K596" s="58" t="str">
        <f>IFERROR(IF(OR(G596="",N596="SIN"),"--",IF(N596="SUBIR_F",IF(F596="polea",IFERROR(INDEX(CONFIG!$B$25:$B$40,MATCH(G596,CONFIG!$B$25:$B$40,0)+2),IFERROR(INDEX(CONFIG!$B$25:$B$40,MATCH(G596,CONFIG!$B$25:$B$40,0)+1),G596)),G596+5),IF(OR(N596="SUBIR",N596="SUBIR_E"),IF(F596="polea",IFERROR(INDEX(CONFIG!$B$25:$B$40,MATCH(G596,CONFIG!$B$25:$B$40,0)+1),G596),G596+2.5),IF(N596="BAJAR",IF(F596="polea",IFERROR(INDEX(CONFIG!$B$25:$B$40,MAX(1,MATCH(G596,CONFIG!$B$25:$B$40,0)-1)),G596),MAX(0,G596-2.5)),G596)))),"--")</f>
        <v>--</v>
      </c>
      <c r="L596" s="59" t="str">
        <f>IFERROR(IF(N596="SIN","--",IF(N596="MANT",IF(H596="","--",H596+1),IFERROR(VLOOKUP(CONFIG!$E$2,CONFIG!$A$6:$E$8,2,0),"--"))),"--")</f>
        <v>--</v>
      </c>
      <c r="M596" s="59" t="str">
        <f>IFERROR(IF(N596="SIN","--",IF(CONFIG!$E$2="HIP",2,IF(CONFIG!$E$2="FUE",1,2))),"--")</f>
        <v>--</v>
      </c>
      <c r="N596" s="53" t="str">
        <f>IFERROR(IF(G596="","SIN",IF(O596=1,"SUBIR_E",IF(H596&lt;IFERROR(VLOOKUP(CONFIG!$E$2,CONFIG!$A$6:$E$8,2,0),6),"BAJAR",IF(H596+I596&gt;=IFERROR(VLOOKUP(CONFIG!$E$2,CONFIG!$A$6:$E$8,3,0),12),"SUBIR_F",IF(AND(H596&gt;=IFERROR(VLOOKUP(CONFIG!$E$2,CONFIG!$A$6:$E$8,2,0),6)+2,I596&gt;=2),"SUBIR",IF(I596&gt;IFERROR(VLOOKUP(CONFIG!$E$2,CONFIG!$A$6:$E$8,5,0),3),"SUBIR","MANT")))))),"SIN")</f>
        <v>SIN</v>
      </c>
      <c r="O596" s="55">
        <f>IF(COUNTIFS(HISTORIAL!$O$3:$O$594,D596&amp;"|"&amp;E596,HISTORIAL!$F$3:$F$594,"&gt;0")&lt;2,0,IF(COUNTIFS(HISTORIAL!$O$3:$O$594,D596&amp;"|"&amp;E596,HISTORIAL!$F$3:$F$594,IFERROR(LOOKUP(2,1/((HISTORIAL!$O$3:$O$594=D596&amp;"|"&amp;E596)*(HISTORIAL!$F$3:$F$594&gt;0)),HISTORIAL!$F$3:$F$594),0))&gt;=2,IF(IFERROR(LOOKUP(2,1/((HISTORIAL!$O$3:$O$594=D596&amp;"|"&amp;E596)*(HISTORIAL!$F$3:$F$594&gt;0)),HISTORIAL!$G$3:$G$594),0)&gt;0,IF(F596&gt;0,IF(G596&lt;=IFERROR(LOOKUP(2,1/((HISTORIAL!$O$3:$O$594=D596&amp;"|"&amp;E596)*(HISTORIAL!$F$3:$F$594&gt;0)),HISTORIAL!$G$3:$G$594),0),1,0),0),0),0))</f>
        <v>0</v>
      </c>
    </row>
    <row r="597" spans="1:15" ht="14.1" customHeight="1">
      <c r="A597" s="37">
        <v>10</v>
      </c>
      <c r="B597" s="37" t="s">
        <v>279</v>
      </c>
      <c r="C597" s="37">
        <v>5</v>
      </c>
      <c r="D597" s="56" t="str">
        <f>MIERCOLES!$A$215</f>
        <v>Prensa Pierna</v>
      </c>
      <c r="E597" s="57" t="str">
        <f>MIERCOLES!$B$215</f>
        <v>Individual Horizontal</v>
      </c>
      <c r="F597" s="37" t="str">
        <f>MIERCOLES!$C$215</f>
        <v>--</v>
      </c>
      <c r="G597" s="37" t="str">
        <f>IFERROR(LOOKUP(2,1/((HISTORIAL!$O$3:$O$595=D597&amp;"|"&amp;E597)*(HISTORIAL!$F$3:$F$595&lt;&gt;"")),HISTORIAL!$F$3:$F$595),"")</f>
        <v/>
      </c>
      <c r="H597" s="37" t="str">
        <f>IFERROR(LOOKUP(2,1/((HISTORIAL!$O$3:$O$595=D597&amp;"|"&amp;E597)*(HISTORIAL!$F$3:$F$595&lt;&gt;"")),HISTORIAL!$G$3:$G$595),"")</f>
        <v/>
      </c>
      <c r="I597" s="37" t="str">
        <f>IFERROR(LOOKUP(2,1/((HISTORIAL!$O$3:$O$595=D597&amp;"|"&amp;E597)*(HISTORIAL!$F$3:$F$595&lt;&gt;"")),HISTORIAL!$H$3:$H$595),"")</f>
        <v/>
      </c>
      <c r="J597" s="37" t="str">
        <f>IFERROR(LOOKUP(2,1/((HISTORIAL!$O$3:$O$595=D597&amp;"|"&amp;E597)*(HISTORIAL!$F$3:$F$595&lt;&gt;"")),HISTORIAL!$I$3:$I$595),"")</f>
        <v/>
      </c>
      <c r="K597" s="58" t="str">
        <f>IFERROR(IF(OR(G597="",N597="SIN"),"--",IF(N597="SUBIR_F",IF(F597="polea",IFERROR(INDEX(CONFIG!$B$25:$B$40,MATCH(G597,CONFIG!$B$25:$B$40,0)+2),IFERROR(INDEX(CONFIG!$B$25:$B$40,MATCH(G597,CONFIG!$B$25:$B$40,0)+1),G597)),G597+5),IF(OR(N597="SUBIR",N597="SUBIR_E"),IF(F597="polea",IFERROR(INDEX(CONFIG!$B$25:$B$40,MATCH(G597,CONFIG!$B$25:$B$40,0)+1),G597),G597+2.5),IF(N597="BAJAR",IF(F597="polea",IFERROR(INDEX(CONFIG!$B$25:$B$40,MAX(1,MATCH(G597,CONFIG!$B$25:$B$40,0)-1)),G597),MAX(0,G597-2.5)),G597)))),"--")</f>
        <v>--</v>
      </c>
      <c r="L597" s="59" t="str">
        <f>IFERROR(IF(N597="SIN","--",IF(N597="MANT",IF(H597="","--",H597+1),IFERROR(VLOOKUP(CONFIG!$E$2,CONFIG!$A$6:$E$8,2,0),"--"))),"--")</f>
        <v>--</v>
      </c>
      <c r="M597" s="59" t="str">
        <f>IFERROR(IF(N597="SIN","--",IF(CONFIG!$E$2="HIP",2,IF(CONFIG!$E$2="FUE",1,2))),"--")</f>
        <v>--</v>
      </c>
      <c r="N597" s="53" t="str">
        <f>IFERROR(IF(G597="","SIN",IF(O597=1,"SUBIR_E",IF(H597&lt;IFERROR(VLOOKUP(CONFIG!$E$2,CONFIG!$A$6:$E$8,2,0),6),"BAJAR",IF(H597+I597&gt;=IFERROR(VLOOKUP(CONFIG!$E$2,CONFIG!$A$6:$E$8,3,0),12),"SUBIR_F",IF(AND(H597&gt;=IFERROR(VLOOKUP(CONFIG!$E$2,CONFIG!$A$6:$E$8,2,0),6)+2,I597&gt;=2),"SUBIR",IF(I597&gt;IFERROR(VLOOKUP(CONFIG!$E$2,CONFIG!$A$6:$E$8,5,0),3),"SUBIR","MANT")))))),"SIN")</f>
        <v>SIN</v>
      </c>
      <c r="O597" s="55">
        <f>IF(COUNTIFS(HISTORIAL!$O$3:$O$595,D597&amp;"|"&amp;E597,HISTORIAL!$F$3:$F$595,"&gt;0")&lt;2,0,IF(COUNTIFS(HISTORIAL!$O$3:$O$595,D597&amp;"|"&amp;E597,HISTORIAL!$F$3:$F$595,IFERROR(LOOKUP(2,1/((HISTORIAL!$O$3:$O$595=D597&amp;"|"&amp;E597)*(HISTORIAL!$F$3:$F$595&gt;0)),HISTORIAL!$F$3:$F$595),0))&gt;=2,IF(IFERROR(LOOKUP(2,1/((HISTORIAL!$O$3:$O$595=D597&amp;"|"&amp;E597)*(HISTORIAL!$F$3:$F$595&gt;0)),HISTORIAL!$G$3:$G$595),0)&gt;0,IF(F597&gt;0,IF(G597&lt;=IFERROR(LOOKUP(2,1/((HISTORIAL!$O$3:$O$595=D597&amp;"|"&amp;E597)*(HISTORIAL!$F$3:$F$595&gt;0)),HISTORIAL!$G$3:$G$595),0),1,0),0),0),0))</f>
        <v>0</v>
      </c>
    </row>
    <row r="598" spans="1:15" ht="14.1" customHeight="1">
      <c r="A598" s="37">
        <v>10</v>
      </c>
      <c r="B598" s="37" t="s">
        <v>279</v>
      </c>
      <c r="C598" s="37">
        <v>6</v>
      </c>
      <c r="D598" s="56" t="str">
        <f>MIERCOLES!$A$216</f>
        <v>Extension Cuadriceps</v>
      </c>
      <c r="E598" s="57" t="str">
        <f>MIERCOLES!$B$216</f>
        <v>Vasto Externo</v>
      </c>
      <c r="F598" s="37" t="str">
        <f>MIERCOLES!$C$216</f>
        <v>--</v>
      </c>
      <c r="G598" s="37" t="str">
        <f>IFERROR(LOOKUP(2,1/((HISTORIAL!$O$3:$O$596=D598&amp;"|"&amp;E598)*(HISTORIAL!$F$3:$F$596&lt;&gt;"")),HISTORIAL!$F$3:$F$596),"")</f>
        <v/>
      </c>
      <c r="H598" s="37" t="str">
        <f>IFERROR(LOOKUP(2,1/((HISTORIAL!$O$3:$O$596=D598&amp;"|"&amp;E598)*(HISTORIAL!$F$3:$F$596&lt;&gt;"")),HISTORIAL!$G$3:$G$596),"")</f>
        <v/>
      </c>
      <c r="I598" s="37" t="str">
        <f>IFERROR(LOOKUP(2,1/((HISTORIAL!$O$3:$O$596=D598&amp;"|"&amp;E598)*(HISTORIAL!$F$3:$F$596&lt;&gt;"")),HISTORIAL!$H$3:$H$596),"")</f>
        <v/>
      </c>
      <c r="J598" s="37" t="str">
        <f>IFERROR(LOOKUP(2,1/((HISTORIAL!$O$3:$O$596=D598&amp;"|"&amp;E598)*(HISTORIAL!$F$3:$F$596&lt;&gt;"")),HISTORIAL!$I$3:$I$596),"")</f>
        <v/>
      </c>
      <c r="K598" s="58" t="str">
        <f>IFERROR(IF(OR(G598="",N598="SIN"),"--",IF(N598="SUBIR_F",IF(F598="polea",IFERROR(INDEX(CONFIG!$B$25:$B$40,MATCH(G598,CONFIG!$B$25:$B$40,0)+2),IFERROR(INDEX(CONFIG!$B$25:$B$40,MATCH(G598,CONFIG!$B$25:$B$40,0)+1),G598)),G598+5),IF(OR(N598="SUBIR",N598="SUBIR_E"),IF(F598="polea",IFERROR(INDEX(CONFIG!$B$25:$B$40,MATCH(G598,CONFIG!$B$25:$B$40,0)+1),G598),G598+2.5),IF(N598="BAJAR",IF(F598="polea",IFERROR(INDEX(CONFIG!$B$25:$B$40,MAX(1,MATCH(G598,CONFIG!$B$25:$B$40,0)-1)),G598),MAX(0,G598-2.5)),G598)))),"--")</f>
        <v>--</v>
      </c>
      <c r="L598" s="59" t="str">
        <f>IFERROR(IF(N598="SIN","--",IF(N598="MANT",IF(H598="","--",H598+1),IFERROR(VLOOKUP(CONFIG!$E$2,CONFIG!$A$6:$E$8,2,0),"--"))),"--")</f>
        <v>--</v>
      </c>
      <c r="M598" s="59" t="str">
        <f>IFERROR(IF(N598="SIN","--",IF(CONFIG!$E$2="HIP",2,IF(CONFIG!$E$2="FUE",1,2))),"--")</f>
        <v>--</v>
      </c>
      <c r="N598" s="53" t="str">
        <f>IFERROR(IF(G598="","SIN",IF(O598=1,"SUBIR_E",IF(H598&lt;IFERROR(VLOOKUP(CONFIG!$E$2,CONFIG!$A$6:$E$8,2,0),6),"BAJAR",IF(H598+I598&gt;=IFERROR(VLOOKUP(CONFIG!$E$2,CONFIG!$A$6:$E$8,3,0),12),"SUBIR_F",IF(AND(H598&gt;=IFERROR(VLOOKUP(CONFIG!$E$2,CONFIG!$A$6:$E$8,2,0),6)+2,I598&gt;=2),"SUBIR",IF(I598&gt;IFERROR(VLOOKUP(CONFIG!$E$2,CONFIG!$A$6:$E$8,5,0),3),"SUBIR","MANT")))))),"SIN")</f>
        <v>SIN</v>
      </c>
      <c r="O598" s="55">
        <f>IF(COUNTIFS(HISTORIAL!$O$3:$O$596,D598&amp;"|"&amp;E598,HISTORIAL!$F$3:$F$596,"&gt;0")&lt;2,0,IF(COUNTIFS(HISTORIAL!$O$3:$O$596,D598&amp;"|"&amp;E598,HISTORIAL!$F$3:$F$596,IFERROR(LOOKUP(2,1/((HISTORIAL!$O$3:$O$596=D598&amp;"|"&amp;E598)*(HISTORIAL!$F$3:$F$596&gt;0)),HISTORIAL!$F$3:$F$596),0))&gt;=2,IF(IFERROR(LOOKUP(2,1/((HISTORIAL!$O$3:$O$596=D598&amp;"|"&amp;E598)*(HISTORIAL!$F$3:$F$596&gt;0)),HISTORIAL!$G$3:$G$596),0)&gt;0,IF(F598&gt;0,IF(G598&lt;=IFERROR(LOOKUP(2,1/((HISTORIAL!$O$3:$O$596=D598&amp;"|"&amp;E598)*(HISTORIAL!$F$3:$F$596&gt;0)),HISTORIAL!$G$3:$G$596),0),1,0),0),0),0))</f>
        <v>0</v>
      </c>
    </row>
    <row r="599" spans="1:15" ht="14.1" customHeight="1">
      <c r="A599" s="37">
        <v>10</v>
      </c>
      <c r="B599" s="37" t="s">
        <v>279</v>
      </c>
      <c r="C599" s="37">
        <v>7</v>
      </c>
      <c r="D599" s="56" t="str">
        <f>MIERCOLES!$A$217</f>
        <v>Extension Cuadriceps</v>
      </c>
      <c r="E599" s="57" t="str">
        <f>MIERCOLES!$B$217</f>
        <v>Vasto Interno</v>
      </c>
      <c r="F599" s="37" t="str">
        <f>MIERCOLES!$C$217</f>
        <v>--</v>
      </c>
      <c r="G599" s="37" t="str">
        <f>IFERROR(LOOKUP(2,1/((HISTORIAL!$O$3:$O$597=D599&amp;"|"&amp;E599)*(HISTORIAL!$F$3:$F$597&lt;&gt;"")),HISTORIAL!$F$3:$F$597),"")</f>
        <v/>
      </c>
      <c r="H599" s="37" t="str">
        <f>IFERROR(LOOKUP(2,1/((HISTORIAL!$O$3:$O$597=D599&amp;"|"&amp;E599)*(HISTORIAL!$F$3:$F$597&lt;&gt;"")),HISTORIAL!$G$3:$G$597),"")</f>
        <v/>
      </c>
      <c r="I599" s="37" t="str">
        <f>IFERROR(LOOKUP(2,1/((HISTORIAL!$O$3:$O$597=D599&amp;"|"&amp;E599)*(HISTORIAL!$F$3:$F$597&lt;&gt;"")),HISTORIAL!$H$3:$H$597),"")</f>
        <v/>
      </c>
      <c r="J599" s="37" t="str">
        <f>IFERROR(LOOKUP(2,1/((HISTORIAL!$O$3:$O$597=D599&amp;"|"&amp;E599)*(HISTORIAL!$F$3:$F$597&lt;&gt;"")),HISTORIAL!$I$3:$I$597),"")</f>
        <v/>
      </c>
      <c r="K599" s="58" t="str">
        <f>IFERROR(IF(OR(G599="",N599="SIN"),"--",IF(N599="SUBIR_F",IF(F599="polea",IFERROR(INDEX(CONFIG!$B$25:$B$40,MATCH(G599,CONFIG!$B$25:$B$40,0)+2),IFERROR(INDEX(CONFIG!$B$25:$B$40,MATCH(G599,CONFIG!$B$25:$B$40,0)+1),G599)),G599+5),IF(OR(N599="SUBIR",N599="SUBIR_E"),IF(F599="polea",IFERROR(INDEX(CONFIG!$B$25:$B$40,MATCH(G599,CONFIG!$B$25:$B$40,0)+1),G599),G599+2.5),IF(N599="BAJAR",IF(F599="polea",IFERROR(INDEX(CONFIG!$B$25:$B$40,MAX(1,MATCH(G599,CONFIG!$B$25:$B$40,0)-1)),G599),MAX(0,G599-2.5)),G599)))),"--")</f>
        <v>--</v>
      </c>
      <c r="L599" s="59" t="str">
        <f>IFERROR(IF(N599="SIN","--",IF(N599="MANT",IF(H599="","--",H599+1),IFERROR(VLOOKUP(CONFIG!$E$2,CONFIG!$A$6:$E$8,2,0),"--"))),"--")</f>
        <v>--</v>
      </c>
      <c r="M599" s="59" t="str">
        <f>IFERROR(IF(N599="SIN","--",IF(CONFIG!$E$2="HIP",2,IF(CONFIG!$E$2="FUE",1,2))),"--")</f>
        <v>--</v>
      </c>
      <c r="N599" s="53" t="str">
        <f>IFERROR(IF(G599="","SIN",IF(O599=1,"SUBIR_E",IF(H599&lt;IFERROR(VLOOKUP(CONFIG!$E$2,CONFIG!$A$6:$E$8,2,0),6),"BAJAR",IF(H599+I599&gt;=IFERROR(VLOOKUP(CONFIG!$E$2,CONFIG!$A$6:$E$8,3,0),12),"SUBIR_F",IF(AND(H599&gt;=IFERROR(VLOOKUP(CONFIG!$E$2,CONFIG!$A$6:$E$8,2,0),6)+2,I599&gt;=2),"SUBIR",IF(I599&gt;IFERROR(VLOOKUP(CONFIG!$E$2,CONFIG!$A$6:$E$8,5,0),3),"SUBIR","MANT")))))),"SIN")</f>
        <v>SIN</v>
      </c>
      <c r="O599" s="55">
        <f>IF(COUNTIFS(HISTORIAL!$O$3:$O$597,D599&amp;"|"&amp;E599,HISTORIAL!$F$3:$F$597,"&gt;0")&lt;2,0,IF(COUNTIFS(HISTORIAL!$O$3:$O$597,D599&amp;"|"&amp;E599,HISTORIAL!$F$3:$F$597,IFERROR(LOOKUP(2,1/((HISTORIAL!$O$3:$O$597=D599&amp;"|"&amp;E599)*(HISTORIAL!$F$3:$F$597&gt;0)),HISTORIAL!$F$3:$F$597),0))&gt;=2,IF(IFERROR(LOOKUP(2,1/((HISTORIAL!$O$3:$O$597=D599&amp;"|"&amp;E599)*(HISTORIAL!$F$3:$F$597&gt;0)),HISTORIAL!$G$3:$G$597),0)&gt;0,IF(F599&gt;0,IF(G599&lt;=IFERROR(LOOKUP(2,1/((HISTORIAL!$O$3:$O$597=D599&amp;"|"&amp;E599)*(HISTORIAL!$F$3:$F$597&gt;0)),HISTORIAL!$G$3:$G$597),0),1,0),0),0),0))</f>
        <v>0</v>
      </c>
    </row>
    <row r="600" spans="1:15" ht="14.1" customHeight="1">
      <c r="A600" s="37">
        <v>10</v>
      </c>
      <c r="B600" s="37" t="s">
        <v>279</v>
      </c>
      <c r="C600" s="37">
        <v>8</v>
      </c>
      <c r="D600" s="56" t="str">
        <f>MIERCOLES!$A$219</f>
        <v>Elevacion Gemelo</v>
      </c>
      <c r="E600" s="57" t="str">
        <f>MIERCOLES!$B$219</f>
        <v>Sentado</v>
      </c>
      <c r="F600" s="37" t="str">
        <f>MIERCOLES!$C$219</f>
        <v>disco</v>
      </c>
      <c r="G600" s="37" t="str">
        <f>IFERROR(LOOKUP(2,1/((HISTORIAL!$O$3:$O$598=D600&amp;"|"&amp;E600)*(HISTORIAL!$F$3:$F$598&lt;&gt;"")),HISTORIAL!$F$3:$F$598),"")</f>
        <v/>
      </c>
      <c r="H600" s="37" t="str">
        <f>IFERROR(LOOKUP(2,1/((HISTORIAL!$O$3:$O$598=D600&amp;"|"&amp;E600)*(HISTORIAL!$F$3:$F$598&lt;&gt;"")),HISTORIAL!$G$3:$G$598),"")</f>
        <v/>
      </c>
      <c r="I600" s="37" t="str">
        <f>IFERROR(LOOKUP(2,1/((HISTORIAL!$O$3:$O$598=D600&amp;"|"&amp;E600)*(HISTORIAL!$F$3:$F$598&lt;&gt;"")),HISTORIAL!$H$3:$H$598),"")</f>
        <v/>
      </c>
      <c r="J600" s="37" t="str">
        <f>IFERROR(LOOKUP(2,1/((HISTORIAL!$O$3:$O$598=D600&amp;"|"&amp;E600)*(HISTORIAL!$F$3:$F$598&lt;&gt;"")),HISTORIAL!$I$3:$I$598),"")</f>
        <v/>
      </c>
      <c r="K600" s="58" t="str">
        <f>IFERROR(IF(OR(G600="",N600="SIN"),"--",IF(N600="SUBIR_F",IF(F600="polea",IFERROR(INDEX(CONFIG!$B$25:$B$40,MATCH(G600,CONFIG!$B$25:$B$40,0)+2),IFERROR(INDEX(CONFIG!$B$25:$B$40,MATCH(G600,CONFIG!$B$25:$B$40,0)+1),G600)),G600+5),IF(OR(N600="SUBIR",N600="SUBIR_E"),IF(F600="polea",IFERROR(INDEX(CONFIG!$B$25:$B$40,MATCH(G600,CONFIG!$B$25:$B$40,0)+1),G600),G600+2.5),IF(N600="BAJAR",IF(F600="polea",IFERROR(INDEX(CONFIG!$B$25:$B$40,MAX(1,MATCH(G600,CONFIG!$B$25:$B$40,0)-1)),G600),MAX(0,G600-2.5)),G600)))),"--")</f>
        <v>--</v>
      </c>
      <c r="L600" s="59" t="str">
        <f>IFERROR(IF(N600="SIN","--",IF(N600="MANT",IF(H600="","--",H600+1),IFERROR(VLOOKUP(CONFIG!$E$2,CONFIG!$A$6:$E$8,2,0),"--"))),"--")</f>
        <v>--</v>
      </c>
      <c r="M600" s="59" t="str">
        <f>IFERROR(IF(N600="SIN","--",IF(CONFIG!$E$2="HIP",2,IF(CONFIG!$E$2="FUE",1,2))),"--")</f>
        <v>--</v>
      </c>
      <c r="N600" s="53" t="str">
        <f>IFERROR(IF(G600="","SIN",IF(O600=1,"SUBIR_E",IF(H600&lt;IFERROR(VLOOKUP(CONFIG!$E$2,CONFIG!$A$6:$E$8,2,0),6),"BAJAR",IF(H600+I600&gt;=IFERROR(VLOOKUP(CONFIG!$E$2,CONFIG!$A$6:$E$8,3,0),12),"SUBIR_F",IF(AND(H600&gt;=IFERROR(VLOOKUP(CONFIG!$E$2,CONFIG!$A$6:$E$8,2,0),6)+2,I600&gt;=2),"SUBIR",IF(I600&gt;IFERROR(VLOOKUP(CONFIG!$E$2,CONFIG!$A$6:$E$8,5,0),3),"SUBIR","MANT")))))),"SIN")</f>
        <v>SIN</v>
      </c>
      <c r="O600" s="55">
        <f>IF(COUNTIFS(HISTORIAL!$O$3:$O$598,D600&amp;"|"&amp;E600,HISTORIAL!$F$3:$F$598,"&gt;0")&lt;2,0,IF(COUNTIFS(HISTORIAL!$O$3:$O$598,D600&amp;"|"&amp;E600,HISTORIAL!$F$3:$F$598,IFERROR(LOOKUP(2,1/((HISTORIAL!$O$3:$O$598=D600&amp;"|"&amp;E600)*(HISTORIAL!$F$3:$F$598&gt;0)),HISTORIAL!$F$3:$F$598),0))&gt;=2,IF(IFERROR(LOOKUP(2,1/((HISTORIAL!$O$3:$O$598=D600&amp;"|"&amp;E600)*(HISTORIAL!$F$3:$F$598&gt;0)),HISTORIAL!$G$3:$G$598),0)&gt;0,IF(F600&gt;0,IF(G600&lt;=IFERROR(LOOKUP(2,1/((HISTORIAL!$O$3:$O$598=D600&amp;"|"&amp;E600)*(HISTORIAL!$F$3:$F$598&gt;0)),HISTORIAL!$G$3:$G$598),0),1,0),0),0),0))</f>
        <v>0</v>
      </c>
    </row>
    <row r="601" spans="1:15" ht="14.1" customHeight="1">
      <c r="A601" s="37">
        <v>10</v>
      </c>
      <c r="B601" s="37" t="s">
        <v>279</v>
      </c>
      <c r="C601" s="37">
        <v>9</v>
      </c>
      <c r="D601" s="56" t="str">
        <f>MIERCOLES!$A$220</f>
        <v>Elevacion Gemelo</v>
      </c>
      <c r="E601" s="57" t="str">
        <f>MIERCOLES!$B$220</f>
        <v>De Pie</v>
      </c>
      <c r="F601" s="37" t="str">
        <f>MIERCOLES!$C$220</f>
        <v>disco</v>
      </c>
      <c r="G601" s="37" t="str">
        <f>IFERROR(LOOKUP(2,1/((HISTORIAL!$O$3:$O$599=D601&amp;"|"&amp;E601)*(HISTORIAL!$F$3:$F$599&lt;&gt;"")),HISTORIAL!$F$3:$F$599),"")</f>
        <v/>
      </c>
      <c r="H601" s="37" t="str">
        <f>IFERROR(LOOKUP(2,1/((HISTORIAL!$O$3:$O$599=D601&amp;"|"&amp;E601)*(HISTORIAL!$F$3:$F$599&lt;&gt;"")),HISTORIAL!$G$3:$G$599),"")</f>
        <v/>
      </c>
      <c r="I601" s="37" t="str">
        <f>IFERROR(LOOKUP(2,1/((HISTORIAL!$O$3:$O$599=D601&amp;"|"&amp;E601)*(HISTORIAL!$F$3:$F$599&lt;&gt;"")),HISTORIAL!$H$3:$H$599),"")</f>
        <v/>
      </c>
      <c r="J601" s="37" t="str">
        <f>IFERROR(LOOKUP(2,1/((HISTORIAL!$O$3:$O$599=D601&amp;"|"&amp;E601)*(HISTORIAL!$F$3:$F$599&lt;&gt;"")),HISTORIAL!$I$3:$I$599),"")</f>
        <v/>
      </c>
      <c r="K601" s="58" t="str">
        <f>IFERROR(IF(OR(G601="",N601="SIN"),"--",IF(N601="SUBIR_F",IF(F601="polea",IFERROR(INDEX(CONFIG!$B$25:$B$40,MATCH(G601,CONFIG!$B$25:$B$40,0)+2),IFERROR(INDEX(CONFIG!$B$25:$B$40,MATCH(G601,CONFIG!$B$25:$B$40,0)+1),G601)),G601+5),IF(OR(N601="SUBIR",N601="SUBIR_E"),IF(F601="polea",IFERROR(INDEX(CONFIG!$B$25:$B$40,MATCH(G601,CONFIG!$B$25:$B$40,0)+1),G601),G601+2.5),IF(N601="BAJAR",IF(F601="polea",IFERROR(INDEX(CONFIG!$B$25:$B$40,MAX(1,MATCH(G601,CONFIG!$B$25:$B$40,0)-1)),G601),MAX(0,G601-2.5)),G601)))),"--")</f>
        <v>--</v>
      </c>
      <c r="L601" s="59" t="str">
        <f>IFERROR(IF(N601="SIN","--",IF(N601="MANT",IF(H601="","--",H601+1),IFERROR(VLOOKUP(CONFIG!$E$2,CONFIG!$A$6:$E$8,2,0),"--"))),"--")</f>
        <v>--</v>
      </c>
      <c r="M601" s="59" t="str">
        <f>IFERROR(IF(N601="SIN","--",IF(CONFIG!$E$2="HIP",2,IF(CONFIG!$E$2="FUE",1,2))),"--")</f>
        <v>--</v>
      </c>
      <c r="N601" s="53" t="str">
        <f>IFERROR(IF(G601="","SIN",IF(O601=1,"SUBIR_E",IF(H601&lt;IFERROR(VLOOKUP(CONFIG!$E$2,CONFIG!$A$6:$E$8,2,0),6),"BAJAR",IF(H601+I601&gt;=IFERROR(VLOOKUP(CONFIG!$E$2,CONFIG!$A$6:$E$8,3,0),12),"SUBIR_F",IF(AND(H601&gt;=IFERROR(VLOOKUP(CONFIG!$E$2,CONFIG!$A$6:$E$8,2,0),6)+2,I601&gt;=2),"SUBIR",IF(I601&gt;IFERROR(VLOOKUP(CONFIG!$E$2,CONFIG!$A$6:$E$8,5,0),3),"SUBIR","MANT")))))),"SIN")</f>
        <v>SIN</v>
      </c>
      <c r="O601" s="55">
        <f>IF(COUNTIFS(HISTORIAL!$O$3:$O$599,D601&amp;"|"&amp;E601,HISTORIAL!$F$3:$F$599,"&gt;0")&lt;2,0,IF(COUNTIFS(HISTORIAL!$O$3:$O$599,D601&amp;"|"&amp;E601,HISTORIAL!$F$3:$F$599,IFERROR(LOOKUP(2,1/((HISTORIAL!$O$3:$O$599=D601&amp;"|"&amp;E601)*(HISTORIAL!$F$3:$F$599&gt;0)),HISTORIAL!$F$3:$F$599),0))&gt;=2,IF(IFERROR(LOOKUP(2,1/((HISTORIAL!$O$3:$O$599=D601&amp;"|"&amp;E601)*(HISTORIAL!$F$3:$F$599&gt;0)),HISTORIAL!$G$3:$G$599),0)&gt;0,IF(F601&gt;0,IF(G601&lt;=IFERROR(LOOKUP(2,1/((HISTORIAL!$O$3:$O$599=D601&amp;"|"&amp;E601)*(HISTORIAL!$F$3:$F$599&gt;0)),HISTORIAL!$G$3:$G$599),0),1,0),0),0),0))</f>
        <v>0</v>
      </c>
    </row>
    <row r="602" spans="1:15" ht="14.1" customHeight="1">
      <c r="A602" s="37">
        <v>10</v>
      </c>
      <c r="B602" s="37" t="s">
        <v>279</v>
      </c>
      <c r="C602" s="37">
        <v>10</v>
      </c>
      <c r="D602" s="56" t="str">
        <f>MIERCOLES!$A$222</f>
        <v>Hiperextension</v>
      </c>
      <c r="E602" s="57" t="str">
        <f>MIERCOLES!$B$222</f>
        <v>Banco Romano</v>
      </c>
      <c r="F602" s="37" t="str">
        <f>MIERCOLES!$C$222</f>
        <v>peso_corporal</v>
      </c>
      <c r="G602" s="37" t="str">
        <f>IFERROR(LOOKUP(2,1/((HISTORIAL!$O$3:$O$600=D602&amp;"|"&amp;E602)*(HISTORIAL!$F$3:$F$600&lt;&gt;"")),HISTORIAL!$F$3:$F$600),"")</f>
        <v/>
      </c>
      <c r="H602" s="37" t="str">
        <f>IFERROR(LOOKUP(2,1/((HISTORIAL!$O$3:$O$600=D602&amp;"|"&amp;E602)*(HISTORIAL!$F$3:$F$600&lt;&gt;"")),HISTORIAL!$G$3:$G$600),"")</f>
        <v/>
      </c>
      <c r="I602" s="37" t="str">
        <f>IFERROR(LOOKUP(2,1/((HISTORIAL!$O$3:$O$600=D602&amp;"|"&amp;E602)*(HISTORIAL!$F$3:$F$600&lt;&gt;"")),HISTORIAL!$H$3:$H$600),"")</f>
        <v/>
      </c>
      <c r="J602" s="37" t="str">
        <f>IFERROR(LOOKUP(2,1/((HISTORIAL!$O$3:$O$600=D602&amp;"|"&amp;E602)*(HISTORIAL!$F$3:$F$600&lt;&gt;"")),HISTORIAL!$I$3:$I$600),"")</f>
        <v/>
      </c>
      <c r="K602" s="58" t="str">
        <f>IFERROR(IF(OR(G602="",N602="SIN"),"--",IF(N602="SUBIR_F",IF(F602="polea",IFERROR(INDEX(CONFIG!$B$25:$B$40,MATCH(G602,CONFIG!$B$25:$B$40,0)+2),IFERROR(INDEX(CONFIG!$B$25:$B$40,MATCH(G602,CONFIG!$B$25:$B$40,0)+1),G602)),G602+5),IF(OR(N602="SUBIR",N602="SUBIR_E"),IF(F602="polea",IFERROR(INDEX(CONFIG!$B$25:$B$40,MATCH(G602,CONFIG!$B$25:$B$40,0)+1),G602),G602+2.5),IF(N602="BAJAR",IF(F602="polea",IFERROR(INDEX(CONFIG!$B$25:$B$40,MAX(1,MATCH(G602,CONFIG!$B$25:$B$40,0)-1)),G602),MAX(0,G602-2.5)),G602)))),"--")</f>
        <v>--</v>
      </c>
      <c r="L602" s="59" t="str">
        <f>IFERROR(IF(N602="SIN","--",IF(N602="MANT",IF(H602="","--",H602+1),IFERROR(VLOOKUP(CONFIG!$E$2,CONFIG!$A$6:$E$8,2,0),"--"))),"--")</f>
        <v>--</v>
      </c>
      <c r="M602" s="59" t="str">
        <f>IFERROR(IF(N602="SIN","--",IF(CONFIG!$E$2="HIP",2,IF(CONFIG!$E$2="FUE",1,2))),"--")</f>
        <v>--</v>
      </c>
      <c r="N602" s="53" t="str">
        <f>IFERROR(IF(G602="","SIN",IF(O602=1,"SUBIR_E",IF(H602&lt;IFERROR(VLOOKUP(CONFIG!$E$2,CONFIG!$A$6:$E$8,2,0),6),"BAJAR",IF(H602+I602&gt;=IFERROR(VLOOKUP(CONFIG!$E$2,CONFIG!$A$6:$E$8,3,0),12),"SUBIR_F",IF(AND(H602&gt;=IFERROR(VLOOKUP(CONFIG!$E$2,CONFIG!$A$6:$E$8,2,0),6)+2,I602&gt;=2),"SUBIR",IF(I602&gt;IFERROR(VLOOKUP(CONFIG!$E$2,CONFIG!$A$6:$E$8,5,0),3),"SUBIR","MANT")))))),"SIN")</f>
        <v>SIN</v>
      </c>
      <c r="O602" s="55">
        <f>IF(COUNTIFS(HISTORIAL!$O$3:$O$600,D602&amp;"|"&amp;E602,HISTORIAL!$F$3:$F$600,"&gt;0")&lt;2,0,IF(COUNTIFS(HISTORIAL!$O$3:$O$600,D602&amp;"|"&amp;E602,HISTORIAL!$F$3:$F$600,IFERROR(LOOKUP(2,1/((HISTORIAL!$O$3:$O$600=D602&amp;"|"&amp;E602)*(HISTORIAL!$F$3:$F$600&gt;0)),HISTORIAL!$F$3:$F$600),0))&gt;=2,IF(IFERROR(LOOKUP(2,1/((HISTORIAL!$O$3:$O$600=D602&amp;"|"&amp;E602)*(HISTORIAL!$F$3:$F$600&gt;0)),HISTORIAL!$G$3:$G$600),0)&gt;0,IF(F602&gt;0,IF(G602&lt;=IFERROR(LOOKUP(2,1/((HISTORIAL!$O$3:$O$600=D602&amp;"|"&amp;E602)*(HISTORIAL!$F$3:$F$600&gt;0)),HISTORIAL!$G$3:$G$600),0),1,0),0),0),0))</f>
        <v>0</v>
      </c>
    </row>
    <row r="603" spans="1:15" ht="14.1" customHeight="1">
      <c r="A603" s="37">
        <v>10</v>
      </c>
      <c r="B603" s="37" t="s">
        <v>279</v>
      </c>
      <c r="C603" s="37">
        <v>11</v>
      </c>
      <c r="D603" s="56" t="str">
        <f>MIERCOLES!$A$223</f>
        <v>Peso Muerto Parcial</v>
      </c>
      <c r="E603" s="57" t="str">
        <f>MIERCOLES!$B$223</f>
        <v>Barra</v>
      </c>
      <c r="F603" s="37" t="str">
        <f>MIERCOLES!$C$223</f>
        <v>disco</v>
      </c>
      <c r="G603" s="37" t="str">
        <f>IFERROR(LOOKUP(2,1/((HISTORIAL!$O$3:$O$601=D603&amp;"|"&amp;E603)*(HISTORIAL!$F$3:$F$601&lt;&gt;"")),HISTORIAL!$F$3:$F$601),"")</f>
        <v/>
      </c>
      <c r="H603" s="37" t="str">
        <f>IFERROR(LOOKUP(2,1/((HISTORIAL!$O$3:$O$601=D603&amp;"|"&amp;E603)*(HISTORIAL!$F$3:$F$601&lt;&gt;"")),HISTORIAL!$G$3:$G$601),"")</f>
        <v/>
      </c>
      <c r="I603" s="37" t="str">
        <f>IFERROR(LOOKUP(2,1/((HISTORIAL!$O$3:$O$601=D603&amp;"|"&amp;E603)*(HISTORIAL!$F$3:$F$601&lt;&gt;"")),HISTORIAL!$H$3:$H$601),"")</f>
        <v/>
      </c>
      <c r="J603" s="37" t="str">
        <f>IFERROR(LOOKUP(2,1/((HISTORIAL!$O$3:$O$601=D603&amp;"|"&amp;E603)*(HISTORIAL!$F$3:$F$601&lt;&gt;"")),HISTORIAL!$I$3:$I$601),"")</f>
        <v/>
      </c>
      <c r="K603" s="58" t="str">
        <f>IFERROR(IF(OR(G603="",N603="SIN"),"--",IF(N603="SUBIR_F",IF(F603="polea",IFERROR(INDEX(CONFIG!$B$25:$B$40,MATCH(G603,CONFIG!$B$25:$B$40,0)+2),IFERROR(INDEX(CONFIG!$B$25:$B$40,MATCH(G603,CONFIG!$B$25:$B$40,0)+1),G603)),G603+5),IF(OR(N603="SUBIR",N603="SUBIR_E"),IF(F603="polea",IFERROR(INDEX(CONFIG!$B$25:$B$40,MATCH(G603,CONFIG!$B$25:$B$40,0)+1),G603),G603+2.5),IF(N603="BAJAR",IF(F603="polea",IFERROR(INDEX(CONFIG!$B$25:$B$40,MAX(1,MATCH(G603,CONFIG!$B$25:$B$40,0)-1)),G603),MAX(0,G603-2.5)),G603)))),"--")</f>
        <v>--</v>
      </c>
      <c r="L603" s="59" t="str">
        <f>IFERROR(IF(N603="SIN","--",IF(N603="MANT",IF(H603="","--",H603+1),IFERROR(VLOOKUP(CONFIG!$E$2,CONFIG!$A$6:$E$8,2,0),"--"))),"--")</f>
        <v>--</v>
      </c>
      <c r="M603" s="59" t="str">
        <f>IFERROR(IF(N603="SIN","--",IF(CONFIG!$E$2="HIP",2,IF(CONFIG!$E$2="FUE",1,2))),"--")</f>
        <v>--</v>
      </c>
      <c r="N603" s="53" t="str">
        <f>IFERROR(IF(G603="","SIN",IF(O603=1,"SUBIR_E",IF(H603&lt;IFERROR(VLOOKUP(CONFIG!$E$2,CONFIG!$A$6:$E$8,2,0),6),"BAJAR",IF(H603+I603&gt;=IFERROR(VLOOKUP(CONFIG!$E$2,CONFIG!$A$6:$E$8,3,0),12),"SUBIR_F",IF(AND(H603&gt;=IFERROR(VLOOKUP(CONFIG!$E$2,CONFIG!$A$6:$E$8,2,0),6)+2,I603&gt;=2),"SUBIR",IF(I603&gt;IFERROR(VLOOKUP(CONFIG!$E$2,CONFIG!$A$6:$E$8,5,0),3),"SUBIR","MANT")))))),"SIN")</f>
        <v>SIN</v>
      </c>
      <c r="O603" s="55">
        <f>IF(COUNTIFS(HISTORIAL!$O$3:$O$601,D603&amp;"|"&amp;E603,HISTORIAL!$F$3:$F$601,"&gt;0")&lt;2,0,IF(COUNTIFS(HISTORIAL!$O$3:$O$601,D603&amp;"|"&amp;E603,HISTORIAL!$F$3:$F$601,IFERROR(LOOKUP(2,1/((HISTORIAL!$O$3:$O$601=D603&amp;"|"&amp;E603)*(HISTORIAL!$F$3:$F$601&gt;0)),HISTORIAL!$F$3:$F$601),0))&gt;=2,IF(IFERROR(LOOKUP(2,1/((HISTORIAL!$O$3:$O$601=D603&amp;"|"&amp;E603)*(HISTORIAL!$F$3:$F$601&gt;0)),HISTORIAL!$G$3:$G$601),0)&gt;0,IF(F603&gt;0,IF(G603&lt;=IFERROR(LOOKUP(2,1/((HISTORIAL!$O$3:$O$601=D603&amp;"|"&amp;E603)*(HISTORIAL!$F$3:$F$601&gt;0)),HISTORIAL!$G$3:$G$601),0),1,0),0),0),0))</f>
        <v>0</v>
      </c>
    </row>
    <row r="604" spans="1:15" ht="14.1" customHeight="1">
      <c r="A604" s="37">
        <v>10</v>
      </c>
      <c r="B604" s="37" t="s">
        <v>279</v>
      </c>
      <c r="C604" s="37">
        <v>12</v>
      </c>
      <c r="D604" s="56" t="str">
        <f>MIERCOLES!$A$225</f>
        <v>Crunch</v>
      </c>
      <c r="E604" s="57" t="str">
        <f>MIERCOLES!$B$225</f>
        <v>Polea</v>
      </c>
      <c r="F604" s="37" t="str">
        <f>MIERCOLES!$C$225</f>
        <v>polea</v>
      </c>
      <c r="G604" s="37" t="str">
        <f>IFERROR(LOOKUP(2,1/((HISTORIAL!$O$3:$O$602=D604&amp;"|"&amp;E604)*(HISTORIAL!$F$3:$F$602&lt;&gt;"")),HISTORIAL!$F$3:$F$602),"")</f>
        <v/>
      </c>
      <c r="H604" s="37" t="str">
        <f>IFERROR(LOOKUP(2,1/((HISTORIAL!$O$3:$O$602=D604&amp;"|"&amp;E604)*(HISTORIAL!$F$3:$F$602&lt;&gt;"")),HISTORIAL!$G$3:$G$602),"")</f>
        <v/>
      </c>
      <c r="I604" s="37" t="str">
        <f>IFERROR(LOOKUP(2,1/((HISTORIAL!$O$3:$O$602=D604&amp;"|"&amp;E604)*(HISTORIAL!$F$3:$F$602&lt;&gt;"")),HISTORIAL!$H$3:$H$602),"")</f>
        <v/>
      </c>
      <c r="J604" s="37" t="str">
        <f>IFERROR(LOOKUP(2,1/((HISTORIAL!$O$3:$O$602=D604&amp;"|"&amp;E604)*(HISTORIAL!$F$3:$F$602&lt;&gt;"")),HISTORIAL!$I$3:$I$602),"")</f>
        <v/>
      </c>
      <c r="K604" s="58" t="str">
        <f>IFERROR(IF(OR(G604="",N604="SIN"),"--",IF(N604="SUBIR_F",IF(F604="polea",IFERROR(INDEX(CONFIG!$B$25:$B$40,MATCH(G604,CONFIG!$B$25:$B$40,0)+2),IFERROR(INDEX(CONFIG!$B$25:$B$40,MATCH(G604,CONFIG!$B$25:$B$40,0)+1),G604)),G604+5),IF(OR(N604="SUBIR",N604="SUBIR_E"),IF(F604="polea",IFERROR(INDEX(CONFIG!$B$25:$B$40,MATCH(G604,CONFIG!$B$25:$B$40,0)+1),G604),G604+2.5),IF(N604="BAJAR",IF(F604="polea",IFERROR(INDEX(CONFIG!$B$25:$B$40,MAX(1,MATCH(G604,CONFIG!$B$25:$B$40,0)-1)),G604),MAX(0,G604-2.5)),G604)))),"--")</f>
        <v>--</v>
      </c>
      <c r="L604" s="59" t="str">
        <f>IFERROR(IF(N604="SIN","--",IF(N604="MANT",IF(H604="","--",H604+1),IFERROR(VLOOKUP(CONFIG!$E$2,CONFIG!$A$6:$E$8,2,0),"--"))),"--")</f>
        <v>--</v>
      </c>
      <c r="M604" s="59" t="str">
        <f>IFERROR(IF(N604="SIN","--",IF(CONFIG!$E$2="HIP",2,IF(CONFIG!$E$2="FUE",1,2))),"--")</f>
        <v>--</v>
      </c>
      <c r="N604" s="53" t="str">
        <f>IFERROR(IF(G604="","SIN",IF(O604=1,"SUBIR_E",IF(H604&lt;IFERROR(VLOOKUP(CONFIG!$E$2,CONFIG!$A$6:$E$8,2,0),6),"BAJAR",IF(H604+I604&gt;=IFERROR(VLOOKUP(CONFIG!$E$2,CONFIG!$A$6:$E$8,3,0),12),"SUBIR_F",IF(AND(H604&gt;=IFERROR(VLOOKUP(CONFIG!$E$2,CONFIG!$A$6:$E$8,2,0),6)+2,I604&gt;=2),"SUBIR",IF(I604&gt;IFERROR(VLOOKUP(CONFIG!$E$2,CONFIG!$A$6:$E$8,5,0),3),"SUBIR","MANT")))))),"SIN")</f>
        <v>SIN</v>
      </c>
      <c r="O604" s="55">
        <f>IF(COUNTIFS(HISTORIAL!$O$3:$O$602,D604&amp;"|"&amp;E604,HISTORIAL!$F$3:$F$602,"&gt;0")&lt;2,0,IF(COUNTIFS(HISTORIAL!$O$3:$O$602,D604&amp;"|"&amp;E604,HISTORIAL!$F$3:$F$602,IFERROR(LOOKUP(2,1/((HISTORIAL!$O$3:$O$602=D604&amp;"|"&amp;E604)*(HISTORIAL!$F$3:$F$602&gt;0)),HISTORIAL!$F$3:$F$602),0))&gt;=2,IF(IFERROR(LOOKUP(2,1/((HISTORIAL!$O$3:$O$602=D604&amp;"|"&amp;E604)*(HISTORIAL!$F$3:$F$602&gt;0)),HISTORIAL!$G$3:$G$602),0)&gt;0,IF(F604&gt;0,IF(G604&lt;=IFERROR(LOOKUP(2,1/((HISTORIAL!$O$3:$O$602=D604&amp;"|"&amp;E604)*(HISTORIAL!$F$3:$F$602&gt;0)),HISTORIAL!$G$3:$G$602),0),1,0),0),0),0))</f>
        <v>0</v>
      </c>
    </row>
    <row r="605" spans="1:15" ht="14.1" customHeight="1">
      <c r="A605" s="37">
        <v>10</v>
      </c>
      <c r="B605" s="37" t="s">
        <v>279</v>
      </c>
      <c r="C605" s="37">
        <v>13</v>
      </c>
      <c r="D605" s="56" t="str">
        <f>MIERCOLES!$A$226</f>
        <v>Plancha</v>
      </c>
      <c r="E605" s="57" t="str">
        <f>MIERCOLES!$B$226</f>
        <v>Abdominal</v>
      </c>
      <c r="F605" s="37" t="str">
        <f>MIERCOLES!$C$226</f>
        <v>--</v>
      </c>
      <c r="G605" s="37" t="str">
        <f>IFERROR(LOOKUP(2,1/((HISTORIAL!$O$3:$O$603=D605&amp;"|"&amp;E605)*(HISTORIAL!$F$3:$F$603&lt;&gt;"")),HISTORIAL!$F$3:$F$603),"")</f>
        <v/>
      </c>
      <c r="H605" s="37" t="str">
        <f>IFERROR(LOOKUP(2,1/((HISTORIAL!$O$3:$O$603=D605&amp;"|"&amp;E605)*(HISTORIAL!$F$3:$F$603&lt;&gt;"")),HISTORIAL!$G$3:$G$603),"")</f>
        <v/>
      </c>
      <c r="I605" s="37" t="str">
        <f>IFERROR(LOOKUP(2,1/((HISTORIAL!$O$3:$O$603=D605&amp;"|"&amp;E605)*(HISTORIAL!$F$3:$F$603&lt;&gt;"")),HISTORIAL!$H$3:$H$603),"")</f>
        <v/>
      </c>
      <c r="J605" s="37" t="str">
        <f>IFERROR(LOOKUP(2,1/((HISTORIAL!$O$3:$O$603=D605&amp;"|"&amp;E605)*(HISTORIAL!$F$3:$F$603&lt;&gt;"")),HISTORIAL!$I$3:$I$603),"")</f>
        <v/>
      </c>
      <c r="K605" s="58" t="str">
        <f>IFERROR(IF(OR(G605="",N605="SIN"),"--",IF(N605="SUBIR_F",IF(F605="polea",IFERROR(INDEX(CONFIG!$B$25:$B$40,MATCH(G605,CONFIG!$B$25:$B$40,0)+2),IFERROR(INDEX(CONFIG!$B$25:$B$40,MATCH(G605,CONFIG!$B$25:$B$40,0)+1),G605)),G605+5),IF(OR(N605="SUBIR",N605="SUBIR_E"),IF(F605="polea",IFERROR(INDEX(CONFIG!$B$25:$B$40,MATCH(G605,CONFIG!$B$25:$B$40,0)+1),G605),G605+2.5),IF(N605="BAJAR",IF(F605="polea",IFERROR(INDEX(CONFIG!$B$25:$B$40,MAX(1,MATCH(G605,CONFIG!$B$25:$B$40,0)-1)),G605),MAX(0,G605-2.5)),G605)))),"--")</f>
        <v>--</v>
      </c>
      <c r="L605" s="59" t="str">
        <f>IFERROR(IF(N605="SIN","--",IF(N605="MANT",IF(H605="","--",H605+1),IFERROR(VLOOKUP(CONFIG!$E$2,CONFIG!$A$6:$E$8,2,0),"--"))),"--")</f>
        <v>--</v>
      </c>
      <c r="M605" s="59" t="str">
        <f>IFERROR(IF(N605="SIN","--",IF(CONFIG!$E$2="HIP",2,IF(CONFIG!$E$2="FUE",1,2))),"--")</f>
        <v>--</v>
      </c>
      <c r="N605" s="53" t="str">
        <f>IFERROR(IF(G605="","SIN",IF(O605=1,"SUBIR_E",IF(H605&lt;IFERROR(VLOOKUP(CONFIG!$E$2,CONFIG!$A$6:$E$8,2,0),6),"BAJAR",IF(H605+I605&gt;=IFERROR(VLOOKUP(CONFIG!$E$2,CONFIG!$A$6:$E$8,3,0),12),"SUBIR_F",IF(AND(H605&gt;=IFERROR(VLOOKUP(CONFIG!$E$2,CONFIG!$A$6:$E$8,2,0),6)+2,I605&gt;=2),"SUBIR",IF(I605&gt;IFERROR(VLOOKUP(CONFIG!$E$2,CONFIG!$A$6:$E$8,5,0),3),"SUBIR","MANT")))))),"SIN")</f>
        <v>SIN</v>
      </c>
      <c r="O605" s="55">
        <f>IF(COUNTIFS(HISTORIAL!$O$3:$O$603,D605&amp;"|"&amp;E605,HISTORIAL!$F$3:$F$603,"&gt;0")&lt;2,0,IF(COUNTIFS(HISTORIAL!$O$3:$O$603,D605&amp;"|"&amp;E605,HISTORIAL!$F$3:$F$603,IFERROR(LOOKUP(2,1/((HISTORIAL!$O$3:$O$603=D605&amp;"|"&amp;E605)*(HISTORIAL!$F$3:$F$603&gt;0)),HISTORIAL!$F$3:$F$603),0))&gt;=2,IF(IFERROR(LOOKUP(2,1/((HISTORIAL!$O$3:$O$603=D605&amp;"|"&amp;E605)*(HISTORIAL!$F$3:$F$603&gt;0)),HISTORIAL!$G$3:$G$603),0)&gt;0,IF(F605&gt;0,IF(G605&lt;=IFERROR(LOOKUP(2,1/((HISTORIAL!$O$3:$O$603=D605&amp;"|"&amp;E605)*(HISTORIAL!$F$3:$F$603&gt;0)),HISTORIAL!$G$3:$G$603),0),1,0),0),0),0))</f>
        <v>0</v>
      </c>
    </row>
    <row r="606" spans="1:15" ht="14.1" customHeight="1">
      <c r="A606" s="37">
        <v>10</v>
      </c>
      <c r="B606" s="37" t="s">
        <v>279</v>
      </c>
      <c r="C606" s="37">
        <v>14</v>
      </c>
      <c r="D606" s="56" t="str">
        <f>MIERCOLES!$A$227</f>
        <v>Rueda Abdominal</v>
      </c>
      <c r="E606" s="57" t="str">
        <f>MIERCOLES!$B$227</f>
        <v>Ab Wheel</v>
      </c>
      <c r="F606" s="37" t="str">
        <f>MIERCOLES!$C$227</f>
        <v>--</v>
      </c>
      <c r="G606" s="37" t="str">
        <f>IFERROR(LOOKUP(2,1/((HISTORIAL!$O$3:$O$604=D606&amp;"|"&amp;E606)*(HISTORIAL!$F$3:$F$604&lt;&gt;"")),HISTORIAL!$F$3:$F$604),"")</f>
        <v/>
      </c>
      <c r="H606" s="37" t="str">
        <f>IFERROR(LOOKUP(2,1/((HISTORIAL!$O$3:$O$604=D606&amp;"|"&amp;E606)*(HISTORIAL!$F$3:$F$604&lt;&gt;"")),HISTORIAL!$G$3:$G$604),"")</f>
        <v/>
      </c>
      <c r="I606" s="37" t="str">
        <f>IFERROR(LOOKUP(2,1/((HISTORIAL!$O$3:$O$604=D606&amp;"|"&amp;E606)*(HISTORIAL!$F$3:$F$604&lt;&gt;"")),HISTORIAL!$H$3:$H$604),"")</f>
        <v/>
      </c>
      <c r="J606" s="37" t="str">
        <f>IFERROR(LOOKUP(2,1/((HISTORIAL!$O$3:$O$604=D606&amp;"|"&amp;E606)*(HISTORIAL!$F$3:$F$604&lt;&gt;"")),HISTORIAL!$I$3:$I$604),"")</f>
        <v/>
      </c>
      <c r="K606" s="58" t="str">
        <f>IFERROR(IF(OR(G606="",N606="SIN"),"--",IF(N606="SUBIR_F",IF(F606="polea",IFERROR(INDEX(CONFIG!$B$25:$B$40,MATCH(G606,CONFIG!$B$25:$B$40,0)+2),IFERROR(INDEX(CONFIG!$B$25:$B$40,MATCH(G606,CONFIG!$B$25:$B$40,0)+1),G606)),G606+5),IF(OR(N606="SUBIR",N606="SUBIR_E"),IF(F606="polea",IFERROR(INDEX(CONFIG!$B$25:$B$40,MATCH(G606,CONFIG!$B$25:$B$40,0)+1),G606),G606+2.5),IF(N606="BAJAR",IF(F606="polea",IFERROR(INDEX(CONFIG!$B$25:$B$40,MAX(1,MATCH(G606,CONFIG!$B$25:$B$40,0)-1)),G606),MAX(0,G606-2.5)),G606)))),"--")</f>
        <v>--</v>
      </c>
      <c r="L606" s="59" t="str">
        <f>IFERROR(IF(N606="SIN","--",IF(N606="MANT",IF(H606="","--",H606+1),IFERROR(VLOOKUP(CONFIG!$E$2,CONFIG!$A$6:$E$8,2,0),"--"))),"--")</f>
        <v>--</v>
      </c>
      <c r="M606" s="59" t="str">
        <f>IFERROR(IF(N606="SIN","--",IF(CONFIG!$E$2="HIP",2,IF(CONFIG!$E$2="FUE",1,2))),"--")</f>
        <v>--</v>
      </c>
      <c r="N606" s="53" t="str">
        <f>IFERROR(IF(G606="","SIN",IF(O606=1,"SUBIR_E",IF(H606&lt;IFERROR(VLOOKUP(CONFIG!$E$2,CONFIG!$A$6:$E$8,2,0),6),"BAJAR",IF(H606+I606&gt;=IFERROR(VLOOKUP(CONFIG!$E$2,CONFIG!$A$6:$E$8,3,0),12),"SUBIR_F",IF(AND(H606&gt;=IFERROR(VLOOKUP(CONFIG!$E$2,CONFIG!$A$6:$E$8,2,0),6)+2,I606&gt;=2),"SUBIR",IF(I606&gt;IFERROR(VLOOKUP(CONFIG!$E$2,CONFIG!$A$6:$E$8,5,0),3),"SUBIR","MANT")))))),"SIN")</f>
        <v>SIN</v>
      </c>
      <c r="O606" s="55">
        <f>IF(COUNTIFS(HISTORIAL!$O$3:$O$604,D606&amp;"|"&amp;E606,HISTORIAL!$F$3:$F$604,"&gt;0")&lt;2,0,IF(COUNTIFS(HISTORIAL!$O$3:$O$604,D606&amp;"|"&amp;E606,HISTORIAL!$F$3:$F$604,IFERROR(LOOKUP(2,1/((HISTORIAL!$O$3:$O$604=D606&amp;"|"&amp;E606)*(HISTORIAL!$F$3:$F$604&gt;0)),HISTORIAL!$F$3:$F$604),0))&gt;=2,IF(IFERROR(LOOKUP(2,1/((HISTORIAL!$O$3:$O$604=D606&amp;"|"&amp;E606)*(HISTORIAL!$F$3:$F$604&gt;0)),HISTORIAL!$G$3:$G$604),0)&gt;0,IF(F606&gt;0,IF(G606&lt;=IFERROR(LOOKUP(2,1/((HISTORIAL!$O$3:$O$604=D606&amp;"|"&amp;E606)*(HISTORIAL!$F$3:$F$604&gt;0)),HISTORIAL!$G$3:$G$604),0),1,0),0),0),0))</f>
        <v>0</v>
      </c>
    </row>
    <row r="607" spans="1:15" ht="14.1" customHeight="1">
      <c r="A607" s="37">
        <v>10</v>
      </c>
      <c r="B607" s="37" t="s">
        <v>279</v>
      </c>
      <c r="C607" s="37">
        <v>15</v>
      </c>
      <c r="D607" s="56" t="str">
        <f>MIERCOLES!$A$228</f>
        <v>Elevacion Piernas</v>
      </c>
      <c r="E607" s="57" t="str">
        <f>MIERCOLES!$B$228</f>
        <v>Colgado</v>
      </c>
      <c r="F607" s="37" t="str">
        <f>MIERCOLES!$C$228</f>
        <v>peso_corporal</v>
      </c>
      <c r="G607" s="37" t="str">
        <f>IFERROR(LOOKUP(2,1/((HISTORIAL!$O$3:$O$605=D607&amp;"|"&amp;E607)*(HISTORIAL!$F$3:$F$605&lt;&gt;"")),HISTORIAL!$F$3:$F$605),"")</f>
        <v/>
      </c>
      <c r="H607" s="37" t="str">
        <f>IFERROR(LOOKUP(2,1/((HISTORIAL!$O$3:$O$605=D607&amp;"|"&amp;E607)*(HISTORIAL!$F$3:$F$605&lt;&gt;"")),HISTORIAL!$G$3:$G$605),"")</f>
        <v/>
      </c>
      <c r="I607" s="37" t="str">
        <f>IFERROR(LOOKUP(2,1/((HISTORIAL!$O$3:$O$605=D607&amp;"|"&amp;E607)*(HISTORIAL!$F$3:$F$605&lt;&gt;"")),HISTORIAL!$H$3:$H$605),"")</f>
        <v/>
      </c>
      <c r="J607" s="37" t="str">
        <f>IFERROR(LOOKUP(2,1/((HISTORIAL!$O$3:$O$605=D607&amp;"|"&amp;E607)*(HISTORIAL!$F$3:$F$605&lt;&gt;"")),HISTORIAL!$I$3:$I$605),"")</f>
        <v/>
      </c>
      <c r="K607" s="58" t="str">
        <f>IFERROR(IF(OR(G607="",N607="SIN"),"--",IF(N607="SUBIR_F",IF(F607="polea",IFERROR(INDEX(CONFIG!$B$25:$B$40,MATCH(G607,CONFIG!$B$25:$B$40,0)+2),IFERROR(INDEX(CONFIG!$B$25:$B$40,MATCH(G607,CONFIG!$B$25:$B$40,0)+1),G607)),G607+5),IF(OR(N607="SUBIR",N607="SUBIR_E"),IF(F607="polea",IFERROR(INDEX(CONFIG!$B$25:$B$40,MATCH(G607,CONFIG!$B$25:$B$40,0)+1),G607),G607+2.5),IF(N607="BAJAR",IF(F607="polea",IFERROR(INDEX(CONFIG!$B$25:$B$40,MAX(1,MATCH(G607,CONFIG!$B$25:$B$40,0)-1)),G607),MAX(0,G607-2.5)),G607)))),"--")</f>
        <v>--</v>
      </c>
      <c r="L607" s="59" t="str">
        <f>IFERROR(IF(N607="SIN","--",IF(N607="MANT",IF(H607="","--",H607+1),IFERROR(VLOOKUP(CONFIG!$E$2,CONFIG!$A$6:$E$8,2,0),"--"))),"--")</f>
        <v>--</v>
      </c>
      <c r="M607" s="59" t="str">
        <f>IFERROR(IF(N607="SIN","--",IF(CONFIG!$E$2="HIP",2,IF(CONFIG!$E$2="FUE",1,2))),"--")</f>
        <v>--</v>
      </c>
      <c r="N607" s="53" t="str">
        <f>IFERROR(IF(G607="","SIN",IF(O607=1,"SUBIR_E",IF(H607&lt;IFERROR(VLOOKUP(CONFIG!$E$2,CONFIG!$A$6:$E$8,2,0),6),"BAJAR",IF(H607+I607&gt;=IFERROR(VLOOKUP(CONFIG!$E$2,CONFIG!$A$6:$E$8,3,0),12),"SUBIR_F",IF(AND(H607&gt;=IFERROR(VLOOKUP(CONFIG!$E$2,CONFIG!$A$6:$E$8,2,0),6)+2,I607&gt;=2),"SUBIR",IF(I607&gt;IFERROR(VLOOKUP(CONFIG!$E$2,CONFIG!$A$6:$E$8,5,0),3),"SUBIR","MANT")))))),"SIN")</f>
        <v>SIN</v>
      </c>
      <c r="O607" s="55">
        <f>IF(COUNTIFS(HISTORIAL!$O$3:$O$605,D607&amp;"|"&amp;E607,HISTORIAL!$F$3:$F$605,"&gt;0")&lt;2,0,IF(COUNTIFS(HISTORIAL!$O$3:$O$605,D607&amp;"|"&amp;E607,HISTORIAL!$F$3:$F$605,IFERROR(LOOKUP(2,1/((HISTORIAL!$O$3:$O$605=D607&amp;"|"&amp;E607)*(HISTORIAL!$F$3:$F$605&gt;0)),HISTORIAL!$F$3:$F$605),0))&gt;=2,IF(IFERROR(LOOKUP(2,1/((HISTORIAL!$O$3:$O$605=D607&amp;"|"&amp;E607)*(HISTORIAL!$F$3:$F$605&gt;0)),HISTORIAL!$G$3:$G$605),0)&gt;0,IF(F607&gt;0,IF(G607&lt;=IFERROR(LOOKUP(2,1/((HISTORIAL!$O$3:$O$605=D607&amp;"|"&amp;E607)*(HISTORIAL!$F$3:$F$605&gt;0)),HISTORIAL!$G$3:$G$605),0),1,0),0),0),0))</f>
        <v>0</v>
      </c>
    </row>
    <row r="608" spans="1:15" ht="14.1" customHeight="1">
      <c r="A608" s="37">
        <v>10</v>
      </c>
      <c r="B608" s="37" t="s">
        <v>280</v>
      </c>
      <c r="C608" s="37">
        <v>1</v>
      </c>
      <c r="D608" s="56" t="str">
        <f>JUEVES!$A$237</f>
        <v>Press Militar</v>
      </c>
      <c r="E608" s="57" t="str">
        <f>JUEVES!$B$237</f>
        <v>Multipower</v>
      </c>
      <c r="F608" s="37" t="str">
        <f>JUEVES!$C$237</f>
        <v>--</v>
      </c>
      <c r="G608" s="37" t="str">
        <f>IFERROR(LOOKUP(2,1/((HISTORIAL!$O$3:$O$606=D608&amp;"|"&amp;E608)*(HISTORIAL!$F$3:$F$606&lt;&gt;"")),HISTORIAL!$F$3:$F$606),"")</f>
        <v/>
      </c>
      <c r="H608" s="37" t="str">
        <f>IFERROR(LOOKUP(2,1/((HISTORIAL!$O$3:$O$606=D608&amp;"|"&amp;E608)*(HISTORIAL!$F$3:$F$606&lt;&gt;"")),HISTORIAL!$G$3:$G$606),"")</f>
        <v/>
      </c>
      <c r="I608" s="37" t="str">
        <f>IFERROR(LOOKUP(2,1/((HISTORIAL!$O$3:$O$606=D608&amp;"|"&amp;E608)*(HISTORIAL!$F$3:$F$606&lt;&gt;"")),HISTORIAL!$H$3:$H$606),"")</f>
        <v/>
      </c>
      <c r="J608" s="37" t="str">
        <f>IFERROR(LOOKUP(2,1/((HISTORIAL!$O$3:$O$606=D608&amp;"|"&amp;E608)*(HISTORIAL!$F$3:$F$606&lt;&gt;"")),HISTORIAL!$I$3:$I$606),"")</f>
        <v/>
      </c>
      <c r="K608" s="58" t="str">
        <f>IFERROR(IF(OR(G608="",N608="SIN"),"--",IF(N608="SUBIR_F",IF(F608="polea",IFERROR(INDEX(CONFIG!$B$25:$B$40,MATCH(G608,CONFIG!$B$25:$B$40,0)+2),IFERROR(INDEX(CONFIG!$B$25:$B$40,MATCH(G608,CONFIG!$B$25:$B$40,0)+1),G608)),G608+5),IF(OR(N608="SUBIR",N608="SUBIR_E"),IF(F608="polea",IFERROR(INDEX(CONFIG!$B$25:$B$40,MATCH(G608,CONFIG!$B$25:$B$40,0)+1),G608),G608+2.5),IF(N608="BAJAR",IF(F608="polea",IFERROR(INDEX(CONFIG!$B$25:$B$40,MAX(1,MATCH(G608,CONFIG!$B$25:$B$40,0)-1)),G608),MAX(0,G608-2.5)),G608)))),"--")</f>
        <v>--</v>
      </c>
      <c r="L608" s="59" t="str">
        <f>IFERROR(IF(N608="SIN","--",IF(N608="MANT",IF(H608="","--",H608+1),IFERROR(VLOOKUP(CONFIG!$E$2,CONFIG!$A$6:$E$8,2,0),"--"))),"--")</f>
        <v>--</v>
      </c>
      <c r="M608" s="59" t="str">
        <f>IFERROR(IF(N608="SIN","--",IF(CONFIG!$E$2="HIP",2,IF(CONFIG!$E$2="FUE",1,2))),"--")</f>
        <v>--</v>
      </c>
      <c r="N608" s="53" t="str">
        <f>IFERROR(IF(G608="","SIN",IF(O608=1,"SUBIR_E",IF(H608&lt;IFERROR(VLOOKUP(CONFIG!$E$2,CONFIG!$A$6:$E$8,2,0),6),"BAJAR",IF(H608+I608&gt;=IFERROR(VLOOKUP(CONFIG!$E$2,CONFIG!$A$6:$E$8,3,0),12),"SUBIR_F",IF(AND(H608&gt;=IFERROR(VLOOKUP(CONFIG!$E$2,CONFIG!$A$6:$E$8,2,0),6)+2,I608&gt;=2),"SUBIR",IF(I608&gt;IFERROR(VLOOKUP(CONFIG!$E$2,CONFIG!$A$6:$E$8,5,0),3),"SUBIR","MANT")))))),"SIN")</f>
        <v>SIN</v>
      </c>
      <c r="O608" s="55">
        <f>IF(COUNTIFS(HISTORIAL!$O$3:$O$606,D608&amp;"|"&amp;E608,HISTORIAL!$F$3:$F$606,"&gt;0")&lt;2,0,IF(COUNTIFS(HISTORIAL!$O$3:$O$606,D608&amp;"|"&amp;E608,HISTORIAL!$F$3:$F$606,IFERROR(LOOKUP(2,1/((HISTORIAL!$O$3:$O$606=D608&amp;"|"&amp;E608)*(HISTORIAL!$F$3:$F$606&gt;0)),HISTORIAL!$F$3:$F$606),0))&gt;=2,IF(IFERROR(LOOKUP(2,1/((HISTORIAL!$O$3:$O$606=D608&amp;"|"&amp;E608)*(HISTORIAL!$F$3:$F$606&gt;0)),HISTORIAL!$G$3:$G$606),0)&gt;0,IF(F608&gt;0,IF(G608&lt;=IFERROR(LOOKUP(2,1/((HISTORIAL!$O$3:$O$606=D608&amp;"|"&amp;E608)*(HISTORIAL!$F$3:$F$606&gt;0)),HISTORIAL!$G$3:$G$606),0),1,0),0),0),0))</f>
        <v>0</v>
      </c>
    </row>
    <row r="609" spans="1:15" ht="14.1" customHeight="1">
      <c r="A609" s="37">
        <v>10</v>
      </c>
      <c r="B609" s="37" t="s">
        <v>280</v>
      </c>
      <c r="C609" s="37">
        <v>2</v>
      </c>
      <c r="D609" s="56" t="str">
        <f>JUEVES!$A$238</f>
        <v>Elevaciones Laterales</v>
      </c>
      <c r="E609" s="57" t="str">
        <f>JUEVES!$B$238</f>
        <v>Drop Set Maquina</v>
      </c>
      <c r="F609" s="37" t="str">
        <f>JUEVES!$C$238</f>
        <v>--</v>
      </c>
      <c r="G609" s="37" t="str">
        <f>IFERROR(LOOKUP(2,1/((HISTORIAL!$O$3:$O$607=D609&amp;"|"&amp;E609)*(HISTORIAL!$F$3:$F$607&lt;&gt;"")),HISTORIAL!$F$3:$F$607),"")</f>
        <v/>
      </c>
      <c r="H609" s="37" t="str">
        <f>IFERROR(LOOKUP(2,1/((HISTORIAL!$O$3:$O$607=D609&amp;"|"&amp;E609)*(HISTORIAL!$F$3:$F$607&lt;&gt;"")),HISTORIAL!$G$3:$G$607),"")</f>
        <v/>
      </c>
      <c r="I609" s="37" t="str">
        <f>IFERROR(LOOKUP(2,1/((HISTORIAL!$O$3:$O$607=D609&amp;"|"&amp;E609)*(HISTORIAL!$F$3:$F$607&lt;&gt;"")),HISTORIAL!$H$3:$H$607),"")</f>
        <v/>
      </c>
      <c r="J609" s="37" t="str">
        <f>IFERROR(LOOKUP(2,1/((HISTORIAL!$O$3:$O$607=D609&amp;"|"&amp;E609)*(HISTORIAL!$F$3:$F$607&lt;&gt;"")),HISTORIAL!$I$3:$I$607),"")</f>
        <v/>
      </c>
      <c r="K609" s="58" t="str">
        <f>IFERROR(IF(OR(G609="",N609="SIN"),"--",IF(N609="SUBIR_F",IF(F609="polea",IFERROR(INDEX(CONFIG!$B$25:$B$40,MATCH(G609,CONFIG!$B$25:$B$40,0)+2),IFERROR(INDEX(CONFIG!$B$25:$B$40,MATCH(G609,CONFIG!$B$25:$B$40,0)+1),G609)),G609+5),IF(OR(N609="SUBIR",N609="SUBIR_E"),IF(F609="polea",IFERROR(INDEX(CONFIG!$B$25:$B$40,MATCH(G609,CONFIG!$B$25:$B$40,0)+1),G609),G609+2.5),IF(N609="BAJAR",IF(F609="polea",IFERROR(INDEX(CONFIG!$B$25:$B$40,MAX(1,MATCH(G609,CONFIG!$B$25:$B$40,0)-1)),G609),MAX(0,G609-2.5)),G609)))),"--")</f>
        <v>--</v>
      </c>
      <c r="L609" s="59" t="str">
        <f>IFERROR(IF(N609="SIN","--",IF(N609="MANT",IF(H609="","--",H609+1),IFERROR(VLOOKUP(CONFIG!$E$2,CONFIG!$A$6:$E$8,2,0),"--"))),"--")</f>
        <v>--</v>
      </c>
      <c r="M609" s="59" t="str">
        <f>IFERROR(IF(N609="SIN","--",IF(CONFIG!$E$2="HIP",2,IF(CONFIG!$E$2="FUE",1,2))),"--")</f>
        <v>--</v>
      </c>
      <c r="N609" s="53" t="str">
        <f>IFERROR(IF(G609="","SIN",IF(O609=1,"SUBIR_E",IF(H609&lt;IFERROR(VLOOKUP(CONFIG!$E$2,CONFIG!$A$6:$E$8,2,0),6),"BAJAR",IF(H609+I609&gt;=IFERROR(VLOOKUP(CONFIG!$E$2,CONFIG!$A$6:$E$8,3,0),12),"SUBIR_F",IF(AND(H609&gt;=IFERROR(VLOOKUP(CONFIG!$E$2,CONFIG!$A$6:$E$8,2,0),6)+2,I609&gt;=2),"SUBIR",IF(I609&gt;IFERROR(VLOOKUP(CONFIG!$E$2,CONFIG!$A$6:$E$8,5,0),3),"SUBIR","MANT")))))),"SIN")</f>
        <v>SIN</v>
      </c>
      <c r="O609" s="55">
        <f>IF(COUNTIFS(HISTORIAL!$O$3:$O$607,D609&amp;"|"&amp;E609,HISTORIAL!$F$3:$F$607,"&gt;0")&lt;2,0,IF(COUNTIFS(HISTORIAL!$O$3:$O$607,D609&amp;"|"&amp;E609,HISTORIAL!$F$3:$F$607,IFERROR(LOOKUP(2,1/((HISTORIAL!$O$3:$O$607=D609&amp;"|"&amp;E609)*(HISTORIAL!$F$3:$F$607&gt;0)),HISTORIAL!$F$3:$F$607),0))&gt;=2,IF(IFERROR(LOOKUP(2,1/((HISTORIAL!$O$3:$O$607=D609&amp;"|"&amp;E609)*(HISTORIAL!$F$3:$F$607&gt;0)),HISTORIAL!$G$3:$G$607),0)&gt;0,IF(F609&gt;0,IF(G609&lt;=IFERROR(LOOKUP(2,1/((HISTORIAL!$O$3:$O$607=D609&amp;"|"&amp;E609)*(HISTORIAL!$F$3:$F$607&gt;0)),HISTORIAL!$G$3:$G$607),0),1,0),0),0),0))</f>
        <v>0</v>
      </c>
    </row>
    <row r="610" spans="1:15" ht="14.1" customHeight="1">
      <c r="A610" s="37">
        <v>10</v>
      </c>
      <c r="B610" s="37" t="s">
        <v>280</v>
      </c>
      <c r="C610" s="37">
        <v>3</v>
      </c>
      <c r="D610" s="56" t="str">
        <f>JUEVES!$A$240</f>
        <v>Pajaro</v>
      </c>
      <c r="E610" s="57" t="str">
        <f>JUEVES!$B$240</f>
        <v>Elevacion Posterior</v>
      </c>
      <c r="F610" s="37" t="str">
        <f>JUEVES!$C$240</f>
        <v>mancuerna</v>
      </c>
      <c r="G610" s="37" t="str">
        <f>IFERROR(LOOKUP(2,1/((HISTORIAL!$O$3:$O$608=D610&amp;"|"&amp;E610)*(HISTORIAL!$F$3:$F$608&lt;&gt;"")),HISTORIAL!$F$3:$F$608),"")</f>
        <v/>
      </c>
      <c r="H610" s="37" t="str">
        <f>IFERROR(LOOKUP(2,1/((HISTORIAL!$O$3:$O$608=D610&amp;"|"&amp;E610)*(HISTORIAL!$F$3:$F$608&lt;&gt;"")),HISTORIAL!$G$3:$G$608),"")</f>
        <v/>
      </c>
      <c r="I610" s="37" t="str">
        <f>IFERROR(LOOKUP(2,1/((HISTORIAL!$O$3:$O$608=D610&amp;"|"&amp;E610)*(HISTORIAL!$F$3:$F$608&lt;&gt;"")),HISTORIAL!$H$3:$H$608),"")</f>
        <v/>
      </c>
      <c r="J610" s="37" t="str">
        <f>IFERROR(LOOKUP(2,1/((HISTORIAL!$O$3:$O$608=D610&amp;"|"&amp;E610)*(HISTORIAL!$F$3:$F$608&lt;&gt;"")),HISTORIAL!$I$3:$I$608),"")</f>
        <v/>
      </c>
      <c r="K610" s="58" t="str">
        <f>IFERROR(IF(OR(G610="",N610="SIN"),"--",IF(N610="SUBIR_F",IF(F610="polea",IFERROR(INDEX(CONFIG!$B$25:$B$40,MATCH(G610,CONFIG!$B$25:$B$40,0)+2),IFERROR(INDEX(CONFIG!$B$25:$B$40,MATCH(G610,CONFIG!$B$25:$B$40,0)+1),G610)),G610+5),IF(OR(N610="SUBIR",N610="SUBIR_E"),IF(F610="polea",IFERROR(INDEX(CONFIG!$B$25:$B$40,MATCH(G610,CONFIG!$B$25:$B$40,0)+1),G610),G610+2.5),IF(N610="BAJAR",IF(F610="polea",IFERROR(INDEX(CONFIG!$B$25:$B$40,MAX(1,MATCH(G610,CONFIG!$B$25:$B$40,0)-1)),G610),MAX(0,G610-2.5)),G610)))),"--")</f>
        <v>--</v>
      </c>
      <c r="L610" s="59" t="str">
        <f>IFERROR(IF(N610="SIN","--",IF(N610="MANT",IF(H610="","--",H610+1),IFERROR(VLOOKUP(CONFIG!$E$2,CONFIG!$A$6:$E$8,2,0),"--"))),"--")</f>
        <v>--</v>
      </c>
      <c r="M610" s="59" t="str">
        <f>IFERROR(IF(N610="SIN","--",IF(CONFIG!$E$2="HIP",2,IF(CONFIG!$E$2="FUE",1,2))),"--")</f>
        <v>--</v>
      </c>
      <c r="N610" s="53" t="str">
        <f>IFERROR(IF(G610="","SIN",IF(O610=1,"SUBIR_E",IF(H610&lt;IFERROR(VLOOKUP(CONFIG!$E$2,CONFIG!$A$6:$E$8,2,0),6),"BAJAR",IF(H610+I610&gt;=IFERROR(VLOOKUP(CONFIG!$E$2,CONFIG!$A$6:$E$8,3,0),12),"SUBIR_F",IF(AND(H610&gt;=IFERROR(VLOOKUP(CONFIG!$E$2,CONFIG!$A$6:$E$8,2,0),6)+2,I610&gt;=2),"SUBIR",IF(I610&gt;IFERROR(VLOOKUP(CONFIG!$E$2,CONFIG!$A$6:$E$8,5,0),3),"SUBIR","MANT")))))),"SIN")</f>
        <v>SIN</v>
      </c>
      <c r="O610" s="55">
        <f>IF(COUNTIFS(HISTORIAL!$O$3:$O$608,D610&amp;"|"&amp;E610,HISTORIAL!$F$3:$F$608,"&gt;0")&lt;2,0,IF(COUNTIFS(HISTORIAL!$O$3:$O$608,D610&amp;"|"&amp;E610,HISTORIAL!$F$3:$F$608,IFERROR(LOOKUP(2,1/((HISTORIAL!$O$3:$O$608=D610&amp;"|"&amp;E610)*(HISTORIAL!$F$3:$F$608&gt;0)),HISTORIAL!$F$3:$F$608),0))&gt;=2,IF(IFERROR(LOOKUP(2,1/((HISTORIAL!$O$3:$O$608=D610&amp;"|"&amp;E610)*(HISTORIAL!$F$3:$F$608&gt;0)),HISTORIAL!$G$3:$G$608),0)&gt;0,IF(F610&gt;0,IF(G610&lt;=IFERROR(LOOKUP(2,1/((HISTORIAL!$O$3:$O$608=D610&amp;"|"&amp;E610)*(HISTORIAL!$F$3:$F$608&gt;0)),HISTORIAL!$G$3:$G$608),0),1,0),0),0),0))</f>
        <v>0</v>
      </c>
    </row>
    <row r="611" spans="1:15" ht="14.1" customHeight="1">
      <c r="A611" s="37">
        <v>10</v>
      </c>
      <c r="B611" s="37" t="s">
        <v>280</v>
      </c>
      <c r="C611" s="37">
        <v>4</v>
      </c>
      <c r="D611" s="56" t="str">
        <f>JUEVES!$A$241</f>
        <v>Peck Deck Invertida</v>
      </c>
      <c r="E611" s="57" t="str">
        <f>JUEVES!$B$241</f>
        <v>Maquina</v>
      </c>
      <c r="F611" s="37" t="str">
        <f>JUEVES!$C$241</f>
        <v>polea</v>
      </c>
      <c r="G611" s="37" t="str">
        <f>IFERROR(LOOKUP(2,1/((HISTORIAL!$O$3:$O$609=D611&amp;"|"&amp;E611)*(HISTORIAL!$F$3:$F$609&lt;&gt;"")),HISTORIAL!$F$3:$F$609),"")</f>
        <v/>
      </c>
      <c r="H611" s="37" t="str">
        <f>IFERROR(LOOKUP(2,1/((HISTORIAL!$O$3:$O$609=D611&amp;"|"&amp;E611)*(HISTORIAL!$F$3:$F$609&lt;&gt;"")),HISTORIAL!$G$3:$G$609),"")</f>
        <v/>
      </c>
      <c r="I611" s="37" t="str">
        <f>IFERROR(LOOKUP(2,1/((HISTORIAL!$O$3:$O$609=D611&amp;"|"&amp;E611)*(HISTORIAL!$F$3:$F$609&lt;&gt;"")),HISTORIAL!$H$3:$H$609),"")</f>
        <v/>
      </c>
      <c r="J611" s="37" t="str">
        <f>IFERROR(LOOKUP(2,1/((HISTORIAL!$O$3:$O$609=D611&amp;"|"&amp;E611)*(HISTORIAL!$F$3:$F$609&lt;&gt;"")),HISTORIAL!$I$3:$I$609),"")</f>
        <v/>
      </c>
      <c r="K611" s="58" t="str">
        <f>IFERROR(IF(OR(G611="",N611="SIN"),"--",IF(N611="SUBIR_F",IF(F611="polea",IFERROR(INDEX(CONFIG!$B$25:$B$40,MATCH(G611,CONFIG!$B$25:$B$40,0)+2),IFERROR(INDEX(CONFIG!$B$25:$B$40,MATCH(G611,CONFIG!$B$25:$B$40,0)+1),G611)),G611+5),IF(OR(N611="SUBIR",N611="SUBIR_E"),IF(F611="polea",IFERROR(INDEX(CONFIG!$B$25:$B$40,MATCH(G611,CONFIG!$B$25:$B$40,0)+1),G611),G611+2.5),IF(N611="BAJAR",IF(F611="polea",IFERROR(INDEX(CONFIG!$B$25:$B$40,MAX(1,MATCH(G611,CONFIG!$B$25:$B$40,0)-1)),G611),MAX(0,G611-2.5)),G611)))),"--")</f>
        <v>--</v>
      </c>
      <c r="L611" s="59" t="str">
        <f>IFERROR(IF(N611="SIN","--",IF(N611="MANT",IF(H611="","--",H611+1),IFERROR(VLOOKUP(CONFIG!$E$2,CONFIG!$A$6:$E$8,2,0),"--"))),"--")</f>
        <v>--</v>
      </c>
      <c r="M611" s="59" t="str">
        <f>IFERROR(IF(N611="SIN","--",IF(CONFIG!$E$2="HIP",2,IF(CONFIG!$E$2="FUE",1,2))),"--")</f>
        <v>--</v>
      </c>
      <c r="N611" s="53" t="str">
        <f>IFERROR(IF(G611="","SIN",IF(O611=1,"SUBIR_E",IF(H611&lt;IFERROR(VLOOKUP(CONFIG!$E$2,CONFIG!$A$6:$E$8,2,0),6),"BAJAR",IF(H611+I611&gt;=IFERROR(VLOOKUP(CONFIG!$E$2,CONFIG!$A$6:$E$8,3,0),12),"SUBIR_F",IF(AND(H611&gt;=IFERROR(VLOOKUP(CONFIG!$E$2,CONFIG!$A$6:$E$8,2,0),6)+2,I611&gt;=2),"SUBIR",IF(I611&gt;IFERROR(VLOOKUP(CONFIG!$E$2,CONFIG!$A$6:$E$8,5,0),3),"SUBIR","MANT")))))),"SIN")</f>
        <v>SIN</v>
      </c>
      <c r="O611" s="55">
        <f>IF(COUNTIFS(HISTORIAL!$O$3:$O$609,D611&amp;"|"&amp;E611,HISTORIAL!$F$3:$F$609,"&gt;0")&lt;2,0,IF(COUNTIFS(HISTORIAL!$O$3:$O$609,D611&amp;"|"&amp;E611,HISTORIAL!$F$3:$F$609,IFERROR(LOOKUP(2,1/((HISTORIAL!$O$3:$O$609=D611&amp;"|"&amp;E611)*(HISTORIAL!$F$3:$F$609&gt;0)),HISTORIAL!$F$3:$F$609),0))&gt;=2,IF(IFERROR(LOOKUP(2,1/((HISTORIAL!$O$3:$O$609=D611&amp;"|"&amp;E611)*(HISTORIAL!$F$3:$F$609&gt;0)),HISTORIAL!$G$3:$G$609),0)&gt;0,IF(F611&gt;0,IF(G611&lt;=IFERROR(LOOKUP(2,1/((HISTORIAL!$O$3:$O$609=D611&amp;"|"&amp;E611)*(HISTORIAL!$F$3:$F$609&gt;0)),HISTORIAL!$G$3:$G$609),0),1,0),0),0),0))</f>
        <v>0</v>
      </c>
    </row>
    <row r="612" spans="1:15" ht="14.1" customHeight="1">
      <c r="A612" s="37">
        <v>10</v>
      </c>
      <c r="B612" s="37" t="s">
        <v>280</v>
      </c>
      <c r="C612" s="37">
        <v>5</v>
      </c>
      <c r="D612" s="56" t="str">
        <f>JUEVES!$A$242</f>
        <v>Elevaciones Posteriores</v>
      </c>
      <c r="E612" s="57" t="str">
        <f>JUEVES!$B$242</f>
        <v>Polea Individual</v>
      </c>
      <c r="F612" s="37" t="str">
        <f>JUEVES!$C$242</f>
        <v>polea</v>
      </c>
      <c r="G612" s="37" t="str">
        <f>IFERROR(LOOKUP(2,1/((HISTORIAL!$O$3:$O$610=D612&amp;"|"&amp;E612)*(HISTORIAL!$F$3:$F$610&lt;&gt;"")),HISTORIAL!$F$3:$F$610),"")</f>
        <v/>
      </c>
      <c r="H612" s="37" t="str">
        <f>IFERROR(LOOKUP(2,1/((HISTORIAL!$O$3:$O$610=D612&amp;"|"&amp;E612)*(HISTORIAL!$F$3:$F$610&lt;&gt;"")),HISTORIAL!$G$3:$G$610),"")</f>
        <v/>
      </c>
      <c r="I612" s="37" t="str">
        <f>IFERROR(LOOKUP(2,1/((HISTORIAL!$O$3:$O$610=D612&amp;"|"&amp;E612)*(HISTORIAL!$F$3:$F$610&lt;&gt;"")),HISTORIAL!$H$3:$H$610),"")</f>
        <v/>
      </c>
      <c r="J612" s="37" t="str">
        <f>IFERROR(LOOKUP(2,1/((HISTORIAL!$O$3:$O$610=D612&amp;"|"&amp;E612)*(HISTORIAL!$F$3:$F$610&lt;&gt;"")),HISTORIAL!$I$3:$I$610),"")</f>
        <v/>
      </c>
      <c r="K612" s="58" t="str">
        <f>IFERROR(IF(OR(G612="",N612="SIN"),"--",IF(N612="SUBIR_F",IF(F612="polea",IFERROR(INDEX(CONFIG!$B$25:$B$40,MATCH(G612,CONFIG!$B$25:$B$40,0)+2),IFERROR(INDEX(CONFIG!$B$25:$B$40,MATCH(G612,CONFIG!$B$25:$B$40,0)+1),G612)),G612+5),IF(OR(N612="SUBIR",N612="SUBIR_E"),IF(F612="polea",IFERROR(INDEX(CONFIG!$B$25:$B$40,MATCH(G612,CONFIG!$B$25:$B$40,0)+1),G612),G612+2.5),IF(N612="BAJAR",IF(F612="polea",IFERROR(INDEX(CONFIG!$B$25:$B$40,MAX(1,MATCH(G612,CONFIG!$B$25:$B$40,0)-1)),G612),MAX(0,G612-2.5)),G612)))),"--")</f>
        <v>--</v>
      </c>
      <c r="L612" s="59" t="str">
        <f>IFERROR(IF(N612="SIN","--",IF(N612="MANT",IF(H612="","--",H612+1),IFERROR(VLOOKUP(CONFIG!$E$2,CONFIG!$A$6:$E$8,2,0),"--"))),"--")</f>
        <v>--</v>
      </c>
      <c r="M612" s="59" t="str">
        <f>IFERROR(IF(N612="SIN","--",IF(CONFIG!$E$2="HIP",2,IF(CONFIG!$E$2="FUE",1,2))),"--")</f>
        <v>--</v>
      </c>
      <c r="N612" s="53" t="str">
        <f>IFERROR(IF(G612="","SIN",IF(O612=1,"SUBIR_E",IF(H612&lt;IFERROR(VLOOKUP(CONFIG!$E$2,CONFIG!$A$6:$E$8,2,0),6),"BAJAR",IF(H612+I612&gt;=IFERROR(VLOOKUP(CONFIG!$E$2,CONFIG!$A$6:$E$8,3,0),12),"SUBIR_F",IF(AND(H612&gt;=IFERROR(VLOOKUP(CONFIG!$E$2,CONFIG!$A$6:$E$8,2,0),6)+2,I612&gt;=2),"SUBIR",IF(I612&gt;IFERROR(VLOOKUP(CONFIG!$E$2,CONFIG!$A$6:$E$8,5,0),3),"SUBIR","MANT")))))),"SIN")</f>
        <v>SIN</v>
      </c>
      <c r="O612" s="55">
        <f>IF(COUNTIFS(HISTORIAL!$O$3:$O$610,D612&amp;"|"&amp;E612,HISTORIAL!$F$3:$F$610,"&gt;0")&lt;2,0,IF(COUNTIFS(HISTORIAL!$O$3:$O$610,D612&amp;"|"&amp;E612,HISTORIAL!$F$3:$F$610,IFERROR(LOOKUP(2,1/((HISTORIAL!$O$3:$O$610=D612&amp;"|"&amp;E612)*(HISTORIAL!$F$3:$F$610&gt;0)),HISTORIAL!$F$3:$F$610),0))&gt;=2,IF(IFERROR(LOOKUP(2,1/((HISTORIAL!$O$3:$O$610=D612&amp;"|"&amp;E612)*(HISTORIAL!$F$3:$F$610&gt;0)),HISTORIAL!$G$3:$G$610),0)&gt;0,IF(F612&gt;0,IF(G612&lt;=IFERROR(LOOKUP(2,1/((HISTORIAL!$O$3:$O$610=D612&amp;"|"&amp;E612)*(HISTORIAL!$F$3:$F$610&gt;0)),HISTORIAL!$G$3:$G$610),0),1,0),0),0),0))</f>
        <v>0</v>
      </c>
    </row>
    <row r="613" spans="1:15" ht="14.1" customHeight="1">
      <c r="A613" s="37">
        <v>10</v>
      </c>
      <c r="B613" s="37" t="s">
        <v>280</v>
      </c>
      <c r="C613" s="37">
        <v>6</v>
      </c>
      <c r="D613" s="56" t="str">
        <f>JUEVES!$A$245</f>
        <v>Press Plano</v>
      </c>
      <c r="E613" s="57" t="str">
        <f>JUEVES!$B$245</f>
        <v>Mancuernas</v>
      </c>
      <c r="F613" s="37" t="str">
        <f>JUEVES!$C$245</f>
        <v>mancuerna</v>
      </c>
      <c r="G613" s="37" t="str">
        <f>IFERROR(LOOKUP(2,1/((HISTORIAL!$O$3:$O$611=D613&amp;"|"&amp;E613)*(HISTORIAL!$F$3:$F$611&lt;&gt;"")),HISTORIAL!$F$3:$F$611),"")</f>
        <v/>
      </c>
      <c r="H613" s="37" t="str">
        <f>IFERROR(LOOKUP(2,1/((HISTORIAL!$O$3:$O$611=D613&amp;"|"&amp;E613)*(HISTORIAL!$F$3:$F$611&lt;&gt;"")),HISTORIAL!$G$3:$G$611),"")</f>
        <v/>
      </c>
      <c r="I613" s="37" t="str">
        <f>IFERROR(LOOKUP(2,1/((HISTORIAL!$O$3:$O$611=D613&amp;"|"&amp;E613)*(HISTORIAL!$F$3:$F$611&lt;&gt;"")),HISTORIAL!$H$3:$H$611),"")</f>
        <v/>
      </c>
      <c r="J613" s="37" t="str">
        <f>IFERROR(LOOKUP(2,1/((HISTORIAL!$O$3:$O$611=D613&amp;"|"&amp;E613)*(HISTORIAL!$F$3:$F$611&lt;&gt;"")),HISTORIAL!$I$3:$I$611),"")</f>
        <v/>
      </c>
      <c r="K613" s="58" t="str">
        <f>IFERROR(IF(OR(G613="",N613="SIN"),"--",IF(N613="SUBIR_F",IF(F613="polea",IFERROR(INDEX(CONFIG!$B$25:$B$40,MATCH(G613,CONFIG!$B$25:$B$40,0)+2),IFERROR(INDEX(CONFIG!$B$25:$B$40,MATCH(G613,CONFIG!$B$25:$B$40,0)+1),G613)),G613+5),IF(OR(N613="SUBIR",N613="SUBIR_E"),IF(F613="polea",IFERROR(INDEX(CONFIG!$B$25:$B$40,MATCH(G613,CONFIG!$B$25:$B$40,0)+1),G613),G613+2.5),IF(N613="BAJAR",IF(F613="polea",IFERROR(INDEX(CONFIG!$B$25:$B$40,MAX(1,MATCH(G613,CONFIG!$B$25:$B$40,0)-1)),G613),MAX(0,G613-2.5)),G613)))),"--")</f>
        <v>--</v>
      </c>
      <c r="L613" s="59" t="str">
        <f>IFERROR(IF(N613="SIN","--",IF(N613="MANT",IF(H613="","--",H613+1),IFERROR(VLOOKUP(CONFIG!$E$2,CONFIG!$A$6:$E$8,2,0),"--"))),"--")</f>
        <v>--</v>
      </c>
      <c r="M613" s="59" t="str">
        <f>IFERROR(IF(N613="SIN","--",IF(CONFIG!$E$2="HIP",2,IF(CONFIG!$E$2="FUE",1,2))),"--")</f>
        <v>--</v>
      </c>
      <c r="N613" s="53" t="str">
        <f>IFERROR(IF(G613="","SIN",IF(O613=1,"SUBIR_E",IF(H613&lt;IFERROR(VLOOKUP(CONFIG!$E$2,CONFIG!$A$6:$E$8,2,0),6),"BAJAR",IF(H613+I613&gt;=IFERROR(VLOOKUP(CONFIG!$E$2,CONFIG!$A$6:$E$8,3,0),12),"SUBIR_F",IF(AND(H613&gt;=IFERROR(VLOOKUP(CONFIG!$E$2,CONFIG!$A$6:$E$8,2,0),6)+2,I613&gt;=2),"SUBIR",IF(I613&gt;IFERROR(VLOOKUP(CONFIG!$E$2,CONFIG!$A$6:$E$8,5,0),3),"SUBIR","MANT")))))),"SIN")</f>
        <v>SIN</v>
      </c>
      <c r="O613" s="55">
        <f>IF(COUNTIFS(HISTORIAL!$O$3:$O$611,D613&amp;"|"&amp;E613,HISTORIAL!$F$3:$F$611,"&gt;0")&lt;2,0,IF(COUNTIFS(HISTORIAL!$O$3:$O$611,D613&amp;"|"&amp;E613,HISTORIAL!$F$3:$F$611,IFERROR(LOOKUP(2,1/((HISTORIAL!$O$3:$O$611=D613&amp;"|"&amp;E613)*(HISTORIAL!$F$3:$F$611&gt;0)),HISTORIAL!$F$3:$F$611),0))&gt;=2,IF(IFERROR(LOOKUP(2,1/((HISTORIAL!$O$3:$O$611=D613&amp;"|"&amp;E613)*(HISTORIAL!$F$3:$F$611&gt;0)),HISTORIAL!$G$3:$G$611),0)&gt;0,IF(F613&gt;0,IF(G613&lt;=IFERROR(LOOKUP(2,1/((HISTORIAL!$O$3:$O$611=D613&amp;"|"&amp;E613)*(HISTORIAL!$F$3:$F$611&gt;0)),HISTORIAL!$G$3:$G$611),0),1,0),0),0),0))</f>
        <v>0</v>
      </c>
    </row>
    <row r="614" spans="1:15" ht="14.1" customHeight="1">
      <c r="A614" s="37">
        <v>10</v>
      </c>
      <c r="B614" s="37" t="s">
        <v>280</v>
      </c>
      <c r="C614" s="37">
        <v>7</v>
      </c>
      <c r="D614" s="56" t="str">
        <f>JUEVES!$A$247</f>
        <v>Press Inclinado</v>
      </c>
      <c r="E614" s="57" t="str">
        <f>JUEVES!$B$247</f>
        <v>Multipower</v>
      </c>
      <c r="F614" s="37" t="str">
        <f>JUEVES!$C$247</f>
        <v>disco</v>
      </c>
      <c r="G614" s="37" t="str">
        <f>IFERROR(LOOKUP(2,1/((HISTORIAL!$O$3:$O$612=D614&amp;"|"&amp;E614)*(HISTORIAL!$F$3:$F$612&lt;&gt;"")),HISTORIAL!$F$3:$F$612),"")</f>
        <v/>
      </c>
      <c r="H614" s="37" t="str">
        <f>IFERROR(LOOKUP(2,1/((HISTORIAL!$O$3:$O$612=D614&amp;"|"&amp;E614)*(HISTORIAL!$F$3:$F$612&lt;&gt;"")),HISTORIAL!$G$3:$G$612),"")</f>
        <v/>
      </c>
      <c r="I614" s="37" t="str">
        <f>IFERROR(LOOKUP(2,1/((HISTORIAL!$O$3:$O$612=D614&amp;"|"&amp;E614)*(HISTORIAL!$F$3:$F$612&lt;&gt;"")),HISTORIAL!$H$3:$H$612),"")</f>
        <v/>
      </c>
      <c r="J614" s="37" t="str">
        <f>IFERROR(LOOKUP(2,1/((HISTORIAL!$O$3:$O$612=D614&amp;"|"&amp;E614)*(HISTORIAL!$F$3:$F$612&lt;&gt;"")),HISTORIAL!$I$3:$I$612),"")</f>
        <v/>
      </c>
      <c r="K614" s="58" t="str">
        <f>IFERROR(IF(OR(G614="",N614="SIN"),"--",IF(N614="SUBIR_F",IF(F614="polea",IFERROR(INDEX(CONFIG!$B$25:$B$40,MATCH(G614,CONFIG!$B$25:$B$40,0)+2),IFERROR(INDEX(CONFIG!$B$25:$B$40,MATCH(G614,CONFIG!$B$25:$B$40,0)+1),G614)),G614+5),IF(OR(N614="SUBIR",N614="SUBIR_E"),IF(F614="polea",IFERROR(INDEX(CONFIG!$B$25:$B$40,MATCH(G614,CONFIG!$B$25:$B$40,0)+1),G614),G614+2.5),IF(N614="BAJAR",IF(F614="polea",IFERROR(INDEX(CONFIG!$B$25:$B$40,MAX(1,MATCH(G614,CONFIG!$B$25:$B$40,0)-1)),G614),MAX(0,G614-2.5)),G614)))),"--")</f>
        <v>--</v>
      </c>
      <c r="L614" s="59" t="str">
        <f>IFERROR(IF(N614="SIN","--",IF(N614="MANT",IF(H614="","--",H614+1),IFERROR(VLOOKUP(CONFIG!$E$2,CONFIG!$A$6:$E$8,2,0),"--"))),"--")</f>
        <v>--</v>
      </c>
      <c r="M614" s="59" t="str">
        <f>IFERROR(IF(N614="SIN","--",IF(CONFIG!$E$2="HIP",2,IF(CONFIG!$E$2="FUE",1,2))),"--")</f>
        <v>--</v>
      </c>
      <c r="N614" s="53" t="str">
        <f>IFERROR(IF(G614="","SIN",IF(O614=1,"SUBIR_E",IF(H614&lt;IFERROR(VLOOKUP(CONFIG!$E$2,CONFIG!$A$6:$E$8,2,0),6),"BAJAR",IF(H614+I614&gt;=IFERROR(VLOOKUP(CONFIG!$E$2,CONFIG!$A$6:$E$8,3,0),12),"SUBIR_F",IF(AND(H614&gt;=IFERROR(VLOOKUP(CONFIG!$E$2,CONFIG!$A$6:$E$8,2,0),6)+2,I614&gt;=2),"SUBIR",IF(I614&gt;IFERROR(VLOOKUP(CONFIG!$E$2,CONFIG!$A$6:$E$8,5,0),3),"SUBIR","MANT")))))),"SIN")</f>
        <v>SIN</v>
      </c>
      <c r="O614" s="55">
        <f>IF(COUNTIFS(HISTORIAL!$O$3:$O$612,D614&amp;"|"&amp;E614,HISTORIAL!$F$3:$F$612,"&gt;0")&lt;2,0,IF(COUNTIFS(HISTORIAL!$O$3:$O$612,D614&amp;"|"&amp;E614,HISTORIAL!$F$3:$F$612,IFERROR(LOOKUP(2,1/((HISTORIAL!$O$3:$O$612=D614&amp;"|"&amp;E614)*(HISTORIAL!$F$3:$F$612&gt;0)),HISTORIAL!$F$3:$F$612),0))&gt;=2,IF(IFERROR(LOOKUP(2,1/((HISTORIAL!$O$3:$O$612=D614&amp;"|"&amp;E614)*(HISTORIAL!$F$3:$F$612&gt;0)),HISTORIAL!$G$3:$G$612),0)&gt;0,IF(F614&gt;0,IF(G614&lt;=IFERROR(LOOKUP(2,1/((HISTORIAL!$O$3:$O$612=D614&amp;"|"&amp;E614)*(HISTORIAL!$F$3:$F$612&gt;0)),HISTORIAL!$G$3:$G$612),0),1,0),0),0),0))</f>
        <v>0</v>
      </c>
    </row>
    <row r="615" spans="1:15" ht="14.1" customHeight="1">
      <c r="A615" s="37">
        <v>10</v>
      </c>
      <c r="B615" s="37" t="s">
        <v>280</v>
      </c>
      <c r="C615" s="37">
        <v>8</v>
      </c>
      <c r="D615" s="56" t="str">
        <f>JUEVES!$A$249</f>
        <v>Aperturas</v>
      </c>
      <c r="E615" s="57" t="str">
        <f>JUEVES!$B$249</f>
        <v>Pec Deck Maquina</v>
      </c>
      <c r="F615" s="37" t="str">
        <f>JUEVES!$C$249</f>
        <v>--</v>
      </c>
      <c r="G615" s="37" t="str">
        <f>IFERROR(LOOKUP(2,1/((HISTORIAL!$O$3:$O$613=D615&amp;"|"&amp;E615)*(HISTORIAL!$F$3:$F$613&lt;&gt;"")),HISTORIAL!$F$3:$F$613),"")</f>
        <v/>
      </c>
      <c r="H615" s="37" t="str">
        <f>IFERROR(LOOKUP(2,1/((HISTORIAL!$O$3:$O$613=D615&amp;"|"&amp;E615)*(HISTORIAL!$F$3:$F$613&lt;&gt;"")),HISTORIAL!$G$3:$G$613),"")</f>
        <v/>
      </c>
      <c r="I615" s="37" t="str">
        <f>IFERROR(LOOKUP(2,1/((HISTORIAL!$O$3:$O$613=D615&amp;"|"&amp;E615)*(HISTORIAL!$F$3:$F$613&lt;&gt;"")),HISTORIAL!$H$3:$H$613),"")</f>
        <v/>
      </c>
      <c r="J615" s="37" t="str">
        <f>IFERROR(LOOKUP(2,1/((HISTORIAL!$O$3:$O$613=D615&amp;"|"&amp;E615)*(HISTORIAL!$F$3:$F$613&lt;&gt;"")),HISTORIAL!$I$3:$I$613),"")</f>
        <v/>
      </c>
      <c r="K615" s="58" t="str">
        <f>IFERROR(IF(OR(G615="",N615="SIN"),"--",IF(N615="SUBIR_F",IF(F615="polea",IFERROR(INDEX(CONFIG!$B$25:$B$40,MATCH(G615,CONFIG!$B$25:$B$40,0)+2),IFERROR(INDEX(CONFIG!$B$25:$B$40,MATCH(G615,CONFIG!$B$25:$B$40,0)+1),G615)),G615+5),IF(OR(N615="SUBIR",N615="SUBIR_E"),IF(F615="polea",IFERROR(INDEX(CONFIG!$B$25:$B$40,MATCH(G615,CONFIG!$B$25:$B$40,0)+1),G615),G615+2.5),IF(N615="BAJAR",IF(F615="polea",IFERROR(INDEX(CONFIG!$B$25:$B$40,MAX(1,MATCH(G615,CONFIG!$B$25:$B$40,0)-1)),G615),MAX(0,G615-2.5)),G615)))),"--")</f>
        <v>--</v>
      </c>
      <c r="L615" s="59" t="str">
        <f>IFERROR(IF(N615="SIN","--",IF(N615="MANT",IF(H615="","--",H615+1),IFERROR(VLOOKUP(CONFIG!$E$2,CONFIG!$A$6:$E$8,2,0),"--"))),"--")</f>
        <v>--</v>
      </c>
      <c r="M615" s="59" t="str">
        <f>IFERROR(IF(N615="SIN","--",IF(CONFIG!$E$2="HIP",2,IF(CONFIG!$E$2="FUE",1,2))),"--")</f>
        <v>--</v>
      </c>
      <c r="N615" s="53" t="str">
        <f>IFERROR(IF(G615="","SIN",IF(O615=1,"SUBIR_E",IF(H615&lt;IFERROR(VLOOKUP(CONFIG!$E$2,CONFIG!$A$6:$E$8,2,0),6),"BAJAR",IF(H615+I615&gt;=IFERROR(VLOOKUP(CONFIG!$E$2,CONFIG!$A$6:$E$8,3,0),12),"SUBIR_F",IF(AND(H615&gt;=IFERROR(VLOOKUP(CONFIG!$E$2,CONFIG!$A$6:$E$8,2,0),6)+2,I615&gt;=2),"SUBIR",IF(I615&gt;IFERROR(VLOOKUP(CONFIG!$E$2,CONFIG!$A$6:$E$8,5,0),3),"SUBIR","MANT")))))),"SIN")</f>
        <v>SIN</v>
      </c>
      <c r="O615" s="55">
        <f>IF(COUNTIFS(HISTORIAL!$O$3:$O$613,D615&amp;"|"&amp;E615,HISTORIAL!$F$3:$F$613,"&gt;0")&lt;2,0,IF(COUNTIFS(HISTORIAL!$O$3:$O$613,D615&amp;"|"&amp;E615,HISTORIAL!$F$3:$F$613,IFERROR(LOOKUP(2,1/((HISTORIAL!$O$3:$O$613=D615&amp;"|"&amp;E615)*(HISTORIAL!$F$3:$F$613&gt;0)),HISTORIAL!$F$3:$F$613),0))&gt;=2,IF(IFERROR(LOOKUP(2,1/((HISTORIAL!$O$3:$O$613=D615&amp;"|"&amp;E615)*(HISTORIAL!$F$3:$F$613&gt;0)),HISTORIAL!$G$3:$G$613),0)&gt;0,IF(F615&gt;0,IF(G615&lt;=IFERROR(LOOKUP(2,1/((HISTORIAL!$O$3:$O$613=D615&amp;"|"&amp;E615)*(HISTORIAL!$F$3:$F$613&gt;0)),HISTORIAL!$G$3:$G$613),0),1,0),0),0),0))</f>
        <v>0</v>
      </c>
    </row>
    <row r="616" spans="1:15" ht="14.1" customHeight="1">
      <c r="A616" s="37">
        <v>10</v>
      </c>
      <c r="B616" s="37" t="s">
        <v>280</v>
      </c>
      <c r="C616" s="37">
        <v>9</v>
      </c>
      <c r="D616" s="56" t="str">
        <f>JUEVES!$A$251</f>
        <v>Press Polea</v>
      </c>
      <c r="E616" s="57" t="str">
        <f>JUEVES!$B$251</f>
        <v>Barra Recta Diagonal Arriba</v>
      </c>
      <c r="F616" s="37" t="str">
        <f>JUEVES!$C$251</f>
        <v>polea</v>
      </c>
      <c r="G616" s="37" t="str">
        <f>IFERROR(LOOKUP(2,1/((HISTORIAL!$O$3:$O$614=D616&amp;"|"&amp;E616)*(HISTORIAL!$F$3:$F$614&lt;&gt;"")),HISTORIAL!$F$3:$F$614),"")</f>
        <v/>
      </c>
      <c r="H616" s="37" t="str">
        <f>IFERROR(LOOKUP(2,1/((HISTORIAL!$O$3:$O$614=D616&amp;"|"&amp;E616)*(HISTORIAL!$F$3:$F$614&lt;&gt;"")),HISTORIAL!$G$3:$G$614),"")</f>
        <v/>
      </c>
      <c r="I616" s="37" t="str">
        <f>IFERROR(LOOKUP(2,1/((HISTORIAL!$O$3:$O$614=D616&amp;"|"&amp;E616)*(HISTORIAL!$F$3:$F$614&lt;&gt;"")),HISTORIAL!$H$3:$H$614),"")</f>
        <v/>
      </c>
      <c r="J616" s="37" t="str">
        <f>IFERROR(LOOKUP(2,1/((HISTORIAL!$O$3:$O$614=D616&amp;"|"&amp;E616)*(HISTORIAL!$F$3:$F$614&lt;&gt;"")),HISTORIAL!$I$3:$I$614),"")</f>
        <v/>
      </c>
      <c r="K616" s="58" t="str">
        <f>IFERROR(IF(OR(G616="",N616="SIN"),"--",IF(N616="SUBIR_F",IF(F616="polea",IFERROR(INDEX(CONFIG!$B$25:$B$40,MATCH(G616,CONFIG!$B$25:$B$40,0)+2),IFERROR(INDEX(CONFIG!$B$25:$B$40,MATCH(G616,CONFIG!$B$25:$B$40,0)+1),G616)),G616+5),IF(OR(N616="SUBIR",N616="SUBIR_E"),IF(F616="polea",IFERROR(INDEX(CONFIG!$B$25:$B$40,MATCH(G616,CONFIG!$B$25:$B$40,0)+1),G616),G616+2.5),IF(N616="BAJAR",IF(F616="polea",IFERROR(INDEX(CONFIG!$B$25:$B$40,MAX(1,MATCH(G616,CONFIG!$B$25:$B$40,0)-1)),G616),MAX(0,G616-2.5)),G616)))),"--")</f>
        <v>--</v>
      </c>
      <c r="L616" s="59" t="str">
        <f>IFERROR(IF(N616="SIN","--",IF(N616="MANT",IF(H616="","--",H616+1),IFERROR(VLOOKUP(CONFIG!$E$2,CONFIG!$A$6:$E$8,2,0),"--"))),"--")</f>
        <v>--</v>
      </c>
      <c r="M616" s="59" t="str">
        <f>IFERROR(IF(N616="SIN","--",IF(CONFIG!$E$2="HIP",2,IF(CONFIG!$E$2="FUE",1,2))),"--")</f>
        <v>--</v>
      </c>
      <c r="N616" s="53" t="str">
        <f>IFERROR(IF(G616="","SIN",IF(O616=1,"SUBIR_E",IF(H616&lt;IFERROR(VLOOKUP(CONFIG!$E$2,CONFIG!$A$6:$E$8,2,0),6),"BAJAR",IF(H616+I616&gt;=IFERROR(VLOOKUP(CONFIG!$E$2,CONFIG!$A$6:$E$8,3,0),12),"SUBIR_F",IF(AND(H616&gt;=IFERROR(VLOOKUP(CONFIG!$E$2,CONFIG!$A$6:$E$8,2,0),6)+2,I616&gt;=2),"SUBIR",IF(I616&gt;IFERROR(VLOOKUP(CONFIG!$E$2,CONFIG!$A$6:$E$8,5,0),3),"SUBIR","MANT")))))),"SIN")</f>
        <v>SIN</v>
      </c>
      <c r="O616" s="55">
        <f>IF(COUNTIFS(HISTORIAL!$O$3:$O$614,D616&amp;"|"&amp;E616,HISTORIAL!$F$3:$F$614,"&gt;0")&lt;2,0,IF(COUNTIFS(HISTORIAL!$O$3:$O$614,D616&amp;"|"&amp;E616,HISTORIAL!$F$3:$F$614,IFERROR(LOOKUP(2,1/((HISTORIAL!$O$3:$O$614=D616&amp;"|"&amp;E616)*(HISTORIAL!$F$3:$F$614&gt;0)),HISTORIAL!$F$3:$F$614),0))&gt;=2,IF(IFERROR(LOOKUP(2,1/((HISTORIAL!$O$3:$O$614=D616&amp;"|"&amp;E616)*(HISTORIAL!$F$3:$F$614&gt;0)),HISTORIAL!$G$3:$G$614),0)&gt;0,IF(F616&gt;0,IF(G616&lt;=IFERROR(LOOKUP(2,1/((HISTORIAL!$O$3:$O$614=D616&amp;"|"&amp;E616)*(HISTORIAL!$F$3:$F$614&gt;0)),HISTORIAL!$G$3:$G$614),0),1,0),0),0),0))</f>
        <v>0</v>
      </c>
    </row>
    <row r="617" spans="1:15" ht="14.1" customHeight="1">
      <c r="A617" s="37">
        <v>10</v>
      </c>
      <c r="B617" s="37" t="s">
        <v>280</v>
      </c>
      <c r="C617" s="37">
        <v>10</v>
      </c>
      <c r="D617" s="56" t="str">
        <f>JUEVES!$A$252</f>
        <v>Extension Triceps</v>
      </c>
      <c r="E617" s="57" t="str">
        <f>JUEVES!$B$252</f>
        <v>Polea Sobre Cabeza</v>
      </c>
      <c r="F617" s="37" t="str">
        <f>JUEVES!$C$252</f>
        <v>--</v>
      </c>
      <c r="G617" s="37" t="str">
        <f>IFERROR(LOOKUP(2,1/((HISTORIAL!$O$3:$O$615=D617&amp;"|"&amp;E617)*(HISTORIAL!$F$3:$F$615&lt;&gt;"")),HISTORIAL!$F$3:$F$615),"")</f>
        <v/>
      </c>
      <c r="H617" s="37" t="str">
        <f>IFERROR(LOOKUP(2,1/((HISTORIAL!$O$3:$O$615=D617&amp;"|"&amp;E617)*(HISTORIAL!$F$3:$F$615&lt;&gt;"")),HISTORIAL!$G$3:$G$615),"")</f>
        <v/>
      </c>
      <c r="I617" s="37" t="str">
        <f>IFERROR(LOOKUP(2,1/((HISTORIAL!$O$3:$O$615=D617&amp;"|"&amp;E617)*(HISTORIAL!$F$3:$F$615&lt;&gt;"")),HISTORIAL!$H$3:$H$615),"")</f>
        <v/>
      </c>
      <c r="J617" s="37" t="str">
        <f>IFERROR(LOOKUP(2,1/((HISTORIAL!$O$3:$O$615=D617&amp;"|"&amp;E617)*(HISTORIAL!$F$3:$F$615&lt;&gt;"")),HISTORIAL!$I$3:$I$615),"")</f>
        <v/>
      </c>
      <c r="K617" s="58" t="str">
        <f>IFERROR(IF(OR(G617="",N617="SIN"),"--",IF(N617="SUBIR_F",IF(F617="polea",IFERROR(INDEX(CONFIG!$B$25:$B$40,MATCH(G617,CONFIG!$B$25:$B$40,0)+2),IFERROR(INDEX(CONFIG!$B$25:$B$40,MATCH(G617,CONFIG!$B$25:$B$40,0)+1),G617)),G617+5),IF(OR(N617="SUBIR",N617="SUBIR_E"),IF(F617="polea",IFERROR(INDEX(CONFIG!$B$25:$B$40,MATCH(G617,CONFIG!$B$25:$B$40,0)+1),G617),G617+2.5),IF(N617="BAJAR",IF(F617="polea",IFERROR(INDEX(CONFIG!$B$25:$B$40,MAX(1,MATCH(G617,CONFIG!$B$25:$B$40,0)-1)),G617),MAX(0,G617-2.5)),G617)))),"--")</f>
        <v>--</v>
      </c>
      <c r="L617" s="59" t="str">
        <f>IFERROR(IF(N617="SIN","--",IF(N617="MANT",IF(H617="","--",H617+1),IFERROR(VLOOKUP(CONFIG!$E$2,CONFIG!$A$6:$E$8,2,0),"--"))),"--")</f>
        <v>--</v>
      </c>
      <c r="M617" s="59" t="str">
        <f>IFERROR(IF(N617="SIN","--",IF(CONFIG!$E$2="HIP",2,IF(CONFIG!$E$2="FUE",1,2))),"--")</f>
        <v>--</v>
      </c>
      <c r="N617" s="53" t="str">
        <f>IFERROR(IF(G617="","SIN",IF(O617=1,"SUBIR_E",IF(H617&lt;IFERROR(VLOOKUP(CONFIG!$E$2,CONFIG!$A$6:$E$8,2,0),6),"BAJAR",IF(H617+I617&gt;=IFERROR(VLOOKUP(CONFIG!$E$2,CONFIG!$A$6:$E$8,3,0),12),"SUBIR_F",IF(AND(H617&gt;=IFERROR(VLOOKUP(CONFIG!$E$2,CONFIG!$A$6:$E$8,2,0),6)+2,I617&gt;=2),"SUBIR",IF(I617&gt;IFERROR(VLOOKUP(CONFIG!$E$2,CONFIG!$A$6:$E$8,5,0),3),"SUBIR","MANT")))))),"SIN")</f>
        <v>SIN</v>
      </c>
      <c r="O617" s="55">
        <f>IF(COUNTIFS(HISTORIAL!$O$3:$O$615,D617&amp;"|"&amp;E617,HISTORIAL!$F$3:$F$615,"&gt;0")&lt;2,0,IF(COUNTIFS(HISTORIAL!$O$3:$O$615,D617&amp;"|"&amp;E617,HISTORIAL!$F$3:$F$615,IFERROR(LOOKUP(2,1/((HISTORIAL!$O$3:$O$615=D617&amp;"|"&amp;E617)*(HISTORIAL!$F$3:$F$615&gt;0)),HISTORIAL!$F$3:$F$615),0))&gt;=2,IF(IFERROR(LOOKUP(2,1/((HISTORIAL!$O$3:$O$615=D617&amp;"|"&amp;E617)*(HISTORIAL!$F$3:$F$615&gt;0)),HISTORIAL!$G$3:$G$615),0)&gt;0,IF(F617&gt;0,IF(G617&lt;=IFERROR(LOOKUP(2,1/((HISTORIAL!$O$3:$O$615=D617&amp;"|"&amp;E617)*(HISTORIAL!$F$3:$F$615&gt;0)),HISTORIAL!$G$3:$G$615),0),1,0),0),0),0))</f>
        <v>0</v>
      </c>
    </row>
    <row r="618" spans="1:15" ht="14.1" customHeight="1">
      <c r="A618" s="37">
        <v>10</v>
      </c>
      <c r="B618" s="37" t="s">
        <v>280</v>
      </c>
      <c r="C618" s="37">
        <v>11</v>
      </c>
      <c r="D618" s="56" t="str">
        <f>JUEVES!$A$254</f>
        <v>Extension Cuadriceps</v>
      </c>
      <c r="E618" s="57" t="str">
        <f>JUEVES!$B$254</f>
        <v>Vasto Interno</v>
      </c>
      <c r="F618" s="37" t="str">
        <f>JUEVES!$C$254</f>
        <v>--</v>
      </c>
      <c r="G618" s="37" t="str">
        <f>IFERROR(LOOKUP(2,1/((HISTORIAL!$O$3:$O$616=D618&amp;"|"&amp;E618)*(HISTORIAL!$F$3:$F$616&lt;&gt;"")),HISTORIAL!$F$3:$F$616),"")</f>
        <v/>
      </c>
      <c r="H618" s="37" t="str">
        <f>IFERROR(LOOKUP(2,1/((HISTORIAL!$O$3:$O$616=D618&amp;"|"&amp;E618)*(HISTORIAL!$F$3:$F$616&lt;&gt;"")),HISTORIAL!$G$3:$G$616),"")</f>
        <v/>
      </c>
      <c r="I618" s="37" t="str">
        <f>IFERROR(LOOKUP(2,1/((HISTORIAL!$O$3:$O$616=D618&amp;"|"&amp;E618)*(HISTORIAL!$F$3:$F$616&lt;&gt;"")),HISTORIAL!$H$3:$H$616),"")</f>
        <v/>
      </c>
      <c r="J618" s="37" t="str">
        <f>IFERROR(LOOKUP(2,1/((HISTORIAL!$O$3:$O$616=D618&amp;"|"&amp;E618)*(HISTORIAL!$F$3:$F$616&lt;&gt;"")),HISTORIAL!$I$3:$I$616),"")</f>
        <v/>
      </c>
      <c r="K618" s="58" t="str">
        <f>IFERROR(IF(OR(G618="",N618="SIN"),"--",IF(N618="SUBIR_F",IF(F618="polea",IFERROR(INDEX(CONFIG!$B$25:$B$40,MATCH(G618,CONFIG!$B$25:$B$40,0)+2),IFERROR(INDEX(CONFIG!$B$25:$B$40,MATCH(G618,CONFIG!$B$25:$B$40,0)+1),G618)),G618+5),IF(OR(N618="SUBIR",N618="SUBIR_E"),IF(F618="polea",IFERROR(INDEX(CONFIG!$B$25:$B$40,MATCH(G618,CONFIG!$B$25:$B$40,0)+1),G618),G618+2.5),IF(N618="BAJAR",IF(F618="polea",IFERROR(INDEX(CONFIG!$B$25:$B$40,MAX(1,MATCH(G618,CONFIG!$B$25:$B$40,0)-1)),G618),MAX(0,G618-2.5)),G618)))),"--")</f>
        <v>--</v>
      </c>
      <c r="L618" s="59" t="str">
        <f>IFERROR(IF(N618="SIN","--",IF(N618="MANT",IF(H618="","--",H618+1),IFERROR(VLOOKUP(CONFIG!$E$2,CONFIG!$A$6:$E$8,2,0),"--"))),"--")</f>
        <v>--</v>
      </c>
      <c r="M618" s="59" t="str">
        <f>IFERROR(IF(N618="SIN","--",IF(CONFIG!$E$2="HIP",2,IF(CONFIG!$E$2="FUE",1,2))),"--")</f>
        <v>--</v>
      </c>
      <c r="N618" s="53" t="str">
        <f>IFERROR(IF(G618="","SIN",IF(O618=1,"SUBIR_E",IF(H618&lt;IFERROR(VLOOKUP(CONFIG!$E$2,CONFIG!$A$6:$E$8,2,0),6),"BAJAR",IF(H618+I618&gt;=IFERROR(VLOOKUP(CONFIG!$E$2,CONFIG!$A$6:$E$8,3,0),12),"SUBIR_F",IF(AND(H618&gt;=IFERROR(VLOOKUP(CONFIG!$E$2,CONFIG!$A$6:$E$8,2,0),6)+2,I618&gt;=2),"SUBIR",IF(I618&gt;IFERROR(VLOOKUP(CONFIG!$E$2,CONFIG!$A$6:$E$8,5,0),3),"SUBIR","MANT")))))),"SIN")</f>
        <v>SIN</v>
      </c>
      <c r="O618" s="55">
        <f>IF(COUNTIFS(HISTORIAL!$O$3:$O$616,D618&amp;"|"&amp;E618,HISTORIAL!$F$3:$F$616,"&gt;0")&lt;2,0,IF(COUNTIFS(HISTORIAL!$O$3:$O$616,D618&amp;"|"&amp;E618,HISTORIAL!$F$3:$F$616,IFERROR(LOOKUP(2,1/((HISTORIAL!$O$3:$O$616=D618&amp;"|"&amp;E618)*(HISTORIAL!$F$3:$F$616&gt;0)),HISTORIAL!$F$3:$F$616),0))&gt;=2,IF(IFERROR(LOOKUP(2,1/((HISTORIAL!$O$3:$O$616=D618&amp;"|"&amp;E618)*(HISTORIAL!$F$3:$F$616&gt;0)),HISTORIAL!$G$3:$G$616),0)&gt;0,IF(F618&gt;0,IF(G618&lt;=IFERROR(LOOKUP(2,1/((HISTORIAL!$O$3:$O$616=D618&amp;"|"&amp;E618)*(HISTORIAL!$F$3:$F$616&gt;0)),HISTORIAL!$G$3:$G$616),0),1,0),0),0),0))</f>
        <v>0</v>
      </c>
    </row>
    <row r="619" spans="1:15" ht="14.1" customHeight="1">
      <c r="A619" s="37">
        <v>10</v>
      </c>
      <c r="B619" s="37" t="s">
        <v>280</v>
      </c>
      <c r="C619" s="37">
        <v>12</v>
      </c>
      <c r="D619" s="56" t="str">
        <f>JUEVES!$A$256</f>
        <v>Curl Biceps</v>
      </c>
      <c r="E619" s="57" t="str">
        <f>JUEVES!$B$256</f>
        <v>Concentrado Maquina</v>
      </c>
      <c r="F619" s="37" t="str">
        <f>JUEVES!$C$256</f>
        <v>polea</v>
      </c>
      <c r="G619" s="37">
        <f>IFERROR(LOOKUP(2,1/((HISTORIAL!$O$3:$O$617=D619&amp;"|"&amp;E619)*(HISTORIAL!$F$3:$F$617&lt;&gt;"")),HISTORIAL!$F$3:$F$617),"")</f>
        <v>40</v>
      </c>
      <c r="H619" s="37">
        <f>IFERROR(LOOKUP(2,1/((HISTORIAL!$O$3:$O$617=D619&amp;"|"&amp;E619)*(HISTORIAL!$F$3:$F$617&lt;&gt;"")),HISTORIAL!$G$3:$G$617),"")</f>
        <v>6</v>
      </c>
      <c r="I619" s="37">
        <f>IFERROR(LOOKUP(2,1/((HISTORIAL!$O$3:$O$617=D619&amp;"|"&amp;E619)*(HISTORIAL!$F$3:$F$617&lt;&gt;"")),HISTORIAL!$H$3:$H$617),"")</f>
        <v>0</v>
      </c>
      <c r="J619" s="37" t="str">
        <f>IFERROR(LOOKUP(2,1/((HISTORIAL!$O$3:$O$617=D619&amp;"|"&amp;E619)*(HISTORIAL!$F$3:$F$617&lt;&gt;"")),HISTORIAL!$I$3:$I$617),"")</f>
        <v>B</v>
      </c>
      <c r="K619" s="58">
        <f>IFERROR(IF(OR(G619="",N619="SIN"),"--",IF(N619="SUBIR_F",IF(F619="polea",IFERROR(INDEX(CONFIG!$B$25:$B$40,MATCH(G619,CONFIG!$B$25:$B$40,0)+2),IFERROR(INDEX(CONFIG!$B$25:$B$40,MATCH(G619,CONFIG!$B$25:$B$40,0)+1),G619)),G619+5),IF(OR(N619="SUBIR",N619="SUBIR_E"),IF(F619="polea",IFERROR(INDEX(CONFIG!$B$25:$B$40,MATCH(G619,CONFIG!$B$25:$B$40,0)+1),G619),G619+2.5),IF(N619="BAJAR",IF(F619="polea",IFERROR(INDEX(CONFIG!$B$25:$B$40,MAX(1,MATCH(G619,CONFIG!$B$25:$B$40,0)-1)),G619),MAX(0,G619-2.5)),G619)))),"--")</f>
        <v>40</v>
      </c>
      <c r="L619" s="59">
        <f>IFERROR(IF(N619="SIN","--",IF(N619="MANT",IF(H619="","--",H619+1),IFERROR(VLOOKUP(CONFIG!$E$2,CONFIG!$A$6:$E$8,2,0),"--"))),"--")</f>
        <v>7</v>
      </c>
      <c r="M619" s="59">
        <f>IFERROR(IF(N619="SIN","--",IF(CONFIG!$E$2="HIP",2,IF(CONFIG!$E$2="FUE",1,2))),"--")</f>
        <v>2</v>
      </c>
      <c r="N619" s="53" t="str">
        <f>IFERROR(IF(G619="","SIN",IF(O619=1,"SUBIR_E",IF(H619&lt;IFERROR(VLOOKUP(CONFIG!$E$2,CONFIG!$A$6:$E$8,2,0),6),"BAJAR",IF(H619+I619&gt;=IFERROR(VLOOKUP(CONFIG!$E$2,CONFIG!$A$6:$E$8,3,0),12),"SUBIR_F",IF(AND(H619&gt;=IFERROR(VLOOKUP(CONFIG!$E$2,CONFIG!$A$6:$E$8,2,0),6)+2,I619&gt;=2),"SUBIR",IF(I619&gt;IFERROR(VLOOKUP(CONFIG!$E$2,CONFIG!$A$6:$E$8,5,0),3),"SUBIR","MANT")))))),"SIN")</f>
        <v>MANT</v>
      </c>
      <c r="O619" s="55">
        <f>IF(COUNTIFS(HISTORIAL!$O$3:$O$617,D619&amp;"|"&amp;E619,HISTORIAL!$F$3:$F$617,"&gt;0")&lt;2,0,IF(COUNTIFS(HISTORIAL!$O$3:$O$617,D619&amp;"|"&amp;E619,HISTORIAL!$F$3:$F$617,IFERROR(LOOKUP(2,1/((HISTORIAL!$O$3:$O$617=D619&amp;"|"&amp;E619)*(HISTORIAL!$F$3:$F$617&gt;0)),HISTORIAL!$F$3:$F$617),0))&gt;=2,IF(IFERROR(LOOKUP(2,1/((HISTORIAL!$O$3:$O$617=D619&amp;"|"&amp;E619)*(HISTORIAL!$F$3:$F$617&gt;0)),HISTORIAL!$G$3:$G$617),0)&gt;0,IF(F619&gt;0,IF(G619&lt;=IFERROR(LOOKUP(2,1/((HISTORIAL!$O$3:$O$617=D619&amp;"|"&amp;E619)*(HISTORIAL!$F$3:$F$617&gt;0)),HISTORIAL!$G$3:$G$617),0),1,0),0),0),0))</f>
        <v>0</v>
      </c>
    </row>
    <row r="620" spans="1:15" ht="14.1" customHeight="1">
      <c r="A620" s="37">
        <v>10</v>
      </c>
      <c r="B620" s="37" t="s">
        <v>280</v>
      </c>
      <c r="C620" s="37">
        <v>13</v>
      </c>
      <c r="D620" s="56" t="str">
        <f>JUEVES!$A$258</f>
        <v>Crunch</v>
      </c>
      <c r="E620" s="57" t="str">
        <f>JUEVES!$B$258</f>
        <v>Polea</v>
      </c>
      <c r="F620" s="37" t="str">
        <f>JUEVES!$C$258</f>
        <v>polea</v>
      </c>
      <c r="G620" s="37" t="str">
        <f>IFERROR(LOOKUP(2,1/((HISTORIAL!$O$3:$O$618=D620&amp;"|"&amp;E620)*(HISTORIAL!$F$3:$F$618&lt;&gt;"")),HISTORIAL!$F$3:$F$618),"")</f>
        <v/>
      </c>
      <c r="H620" s="37" t="str">
        <f>IFERROR(LOOKUP(2,1/((HISTORIAL!$O$3:$O$618=D620&amp;"|"&amp;E620)*(HISTORIAL!$F$3:$F$618&lt;&gt;"")),HISTORIAL!$G$3:$G$618),"")</f>
        <v/>
      </c>
      <c r="I620" s="37" t="str">
        <f>IFERROR(LOOKUP(2,1/((HISTORIAL!$O$3:$O$618=D620&amp;"|"&amp;E620)*(HISTORIAL!$F$3:$F$618&lt;&gt;"")),HISTORIAL!$H$3:$H$618),"")</f>
        <v/>
      </c>
      <c r="J620" s="37" t="str">
        <f>IFERROR(LOOKUP(2,1/((HISTORIAL!$O$3:$O$618=D620&amp;"|"&amp;E620)*(HISTORIAL!$F$3:$F$618&lt;&gt;"")),HISTORIAL!$I$3:$I$618),"")</f>
        <v/>
      </c>
      <c r="K620" s="58" t="str">
        <f>IFERROR(IF(OR(G620="",N620="SIN"),"--",IF(N620="SUBIR_F",IF(F620="polea",IFERROR(INDEX(CONFIG!$B$25:$B$40,MATCH(G620,CONFIG!$B$25:$B$40,0)+2),IFERROR(INDEX(CONFIG!$B$25:$B$40,MATCH(G620,CONFIG!$B$25:$B$40,0)+1),G620)),G620+5),IF(OR(N620="SUBIR",N620="SUBIR_E"),IF(F620="polea",IFERROR(INDEX(CONFIG!$B$25:$B$40,MATCH(G620,CONFIG!$B$25:$B$40,0)+1),G620),G620+2.5),IF(N620="BAJAR",IF(F620="polea",IFERROR(INDEX(CONFIG!$B$25:$B$40,MAX(1,MATCH(G620,CONFIG!$B$25:$B$40,0)-1)),G620),MAX(0,G620-2.5)),G620)))),"--")</f>
        <v>--</v>
      </c>
      <c r="L620" s="59" t="str">
        <f>IFERROR(IF(N620="SIN","--",IF(N620="MANT",IF(H620="","--",H620+1),IFERROR(VLOOKUP(CONFIG!$E$2,CONFIG!$A$6:$E$8,2,0),"--"))),"--")</f>
        <v>--</v>
      </c>
      <c r="M620" s="59" t="str">
        <f>IFERROR(IF(N620="SIN","--",IF(CONFIG!$E$2="HIP",2,IF(CONFIG!$E$2="FUE",1,2))),"--")</f>
        <v>--</v>
      </c>
      <c r="N620" s="53" t="str">
        <f>IFERROR(IF(G620="","SIN",IF(O620=1,"SUBIR_E",IF(H620&lt;IFERROR(VLOOKUP(CONFIG!$E$2,CONFIG!$A$6:$E$8,2,0),6),"BAJAR",IF(H620+I620&gt;=IFERROR(VLOOKUP(CONFIG!$E$2,CONFIG!$A$6:$E$8,3,0),12),"SUBIR_F",IF(AND(H620&gt;=IFERROR(VLOOKUP(CONFIG!$E$2,CONFIG!$A$6:$E$8,2,0),6)+2,I620&gt;=2),"SUBIR",IF(I620&gt;IFERROR(VLOOKUP(CONFIG!$E$2,CONFIG!$A$6:$E$8,5,0),3),"SUBIR","MANT")))))),"SIN")</f>
        <v>SIN</v>
      </c>
      <c r="O620" s="55">
        <f>IF(COUNTIFS(HISTORIAL!$O$3:$O$618,D620&amp;"|"&amp;E620,HISTORIAL!$F$3:$F$618,"&gt;0")&lt;2,0,IF(COUNTIFS(HISTORIAL!$O$3:$O$618,D620&amp;"|"&amp;E620,HISTORIAL!$F$3:$F$618,IFERROR(LOOKUP(2,1/((HISTORIAL!$O$3:$O$618=D620&amp;"|"&amp;E620)*(HISTORIAL!$F$3:$F$618&gt;0)),HISTORIAL!$F$3:$F$618),0))&gt;=2,IF(IFERROR(LOOKUP(2,1/((HISTORIAL!$O$3:$O$618=D620&amp;"|"&amp;E620)*(HISTORIAL!$F$3:$F$618&gt;0)),HISTORIAL!$G$3:$G$618),0)&gt;0,IF(F620&gt;0,IF(G620&lt;=IFERROR(LOOKUP(2,1/((HISTORIAL!$O$3:$O$618=D620&amp;"|"&amp;E620)*(HISTORIAL!$F$3:$F$618&gt;0)),HISTORIAL!$G$3:$G$618),0),1,0),0),0),0))</f>
        <v>0</v>
      </c>
    </row>
    <row r="621" spans="1:15" ht="14.1" customHeight="1">
      <c r="A621" s="37">
        <v>10</v>
      </c>
      <c r="B621" s="37" t="s">
        <v>281</v>
      </c>
      <c r="C621" s="37">
        <v>1</v>
      </c>
      <c r="D621" s="56" t="str">
        <f>SABADO!$A$229</f>
        <v>Pulldown</v>
      </c>
      <c r="E621" s="57" t="str">
        <f>SABADO!$B$229</f>
        <v>Polea Alta Brazos Rectos Prono</v>
      </c>
      <c r="F621" s="37" t="str">
        <f>SABADO!$C$229</f>
        <v>polea</v>
      </c>
      <c r="G621" s="37" t="str">
        <f>IFERROR(LOOKUP(2,1/((HISTORIAL!$O$3:$O$619=D621&amp;"|"&amp;E621)*(HISTORIAL!$F$3:$F$619&lt;&gt;"")),HISTORIAL!$F$3:$F$619),"")</f>
        <v/>
      </c>
      <c r="H621" s="37" t="str">
        <f>IFERROR(LOOKUP(2,1/((HISTORIAL!$O$3:$O$619=D621&amp;"|"&amp;E621)*(HISTORIAL!$F$3:$F$619&lt;&gt;"")),HISTORIAL!$G$3:$G$619),"")</f>
        <v/>
      </c>
      <c r="I621" s="37" t="str">
        <f>IFERROR(LOOKUP(2,1/((HISTORIAL!$O$3:$O$619=D621&amp;"|"&amp;E621)*(HISTORIAL!$F$3:$F$619&lt;&gt;"")),HISTORIAL!$H$3:$H$619),"")</f>
        <v/>
      </c>
      <c r="J621" s="37" t="str">
        <f>IFERROR(LOOKUP(2,1/((HISTORIAL!$O$3:$O$619=D621&amp;"|"&amp;E621)*(HISTORIAL!$F$3:$F$619&lt;&gt;"")),HISTORIAL!$I$3:$I$619),"")</f>
        <v/>
      </c>
      <c r="K621" s="58" t="str">
        <f>IFERROR(IF(OR(G621="",N621="SIN"),"--",IF(N621="SUBIR_F",IF(F621="polea",IFERROR(INDEX(CONFIG!$B$25:$B$40,MATCH(G621,CONFIG!$B$25:$B$40,0)+2),IFERROR(INDEX(CONFIG!$B$25:$B$40,MATCH(G621,CONFIG!$B$25:$B$40,0)+1),G621)),G621+5),IF(OR(N621="SUBIR",N621="SUBIR_E"),IF(F621="polea",IFERROR(INDEX(CONFIG!$B$25:$B$40,MATCH(G621,CONFIG!$B$25:$B$40,0)+1),G621),G621+2.5),IF(N621="BAJAR",IF(F621="polea",IFERROR(INDEX(CONFIG!$B$25:$B$40,MAX(1,MATCH(G621,CONFIG!$B$25:$B$40,0)-1)),G621),MAX(0,G621-2.5)),G621)))),"--")</f>
        <v>--</v>
      </c>
      <c r="L621" s="59" t="str">
        <f>IFERROR(IF(N621="SIN","--",IF(N621="MANT",IF(H621="","--",H621+1),IFERROR(VLOOKUP(CONFIG!$E$2,CONFIG!$A$6:$E$8,2,0),"--"))),"--")</f>
        <v>--</v>
      </c>
      <c r="M621" s="59" t="str">
        <f>IFERROR(IF(N621="SIN","--",IF(CONFIG!$E$2="HIP",2,IF(CONFIG!$E$2="FUE",1,2))),"--")</f>
        <v>--</v>
      </c>
      <c r="N621" s="53" t="str">
        <f>IFERROR(IF(G621="","SIN",IF(O621=1,"SUBIR_E",IF(H621&lt;IFERROR(VLOOKUP(CONFIG!$E$2,CONFIG!$A$6:$E$8,2,0),6),"BAJAR",IF(H621+I621&gt;=IFERROR(VLOOKUP(CONFIG!$E$2,CONFIG!$A$6:$E$8,3,0),12),"SUBIR_F",IF(AND(H621&gt;=IFERROR(VLOOKUP(CONFIG!$E$2,CONFIG!$A$6:$E$8,2,0),6)+2,I621&gt;=2),"SUBIR",IF(I621&gt;IFERROR(VLOOKUP(CONFIG!$E$2,CONFIG!$A$6:$E$8,5,0),3),"SUBIR","MANT")))))),"SIN")</f>
        <v>SIN</v>
      </c>
      <c r="O621" s="55">
        <f>IF(COUNTIFS(HISTORIAL!$O$3:$O$619,D621&amp;"|"&amp;E621,HISTORIAL!$F$3:$F$619,"&gt;0")&lt;2,0,IF(COUNTIFS(HISTORIAL!$O$3:$O$619,D621&amp;"|"&amp;E621,HISTORIAL!$F$3:$F$619,IFERROR(LOOKUP(2,1/((HISTORIAL!$O$3:$O$619=D621&amp;"|"&amp;E621)*(HISTORIAL!$F$3:$F$619&gt;0)),HISTORIAL!$F$3:$F$619),0))&gt;=2,IF(IFERROR(LOOKUP(2,1/((HISTORIAL!$O$3:$O$619=D621&amp;"|"&amp;E621)*(HISTORIAL!$F$3:$F$619&gt;0)),HISTORIAL!$G$3:$G$619),0)&gt;0,IF(F621&gt;0,IF(G621&lt;=IFERROR(LOOKUP(2,1/((HISTORIAL!$O$3:$O$619=D621&amp;"|"&amp;E621)*(HISTORIAL!$F$3:$F$619&gt;0)),HISTORIAL!$G$3:$G$619),0),1,0),0),0),0))</f>
        <v>0</v>
      </c>
    </row>
    <row r="622" spans="1:15" ht="14.1" customHeight="1">
      <c r="A622" s="37">
        <v>10</v>
      </c>
      <c r="B622" s="37" t="s">
        <v>281</v>
      </c>
      <c r="C622" s="37">
        <v>2</v>
      </c>
      <c r="D622" s="56" t="str">
        <f>SABADO!$A$231</f>
        <v>Remo</v>
      </c>
      <c r="E622" s="57" t="str">
        <f>SABADO!$B$231</f>
        <v>Maquina Neutro Estrecho</v>
      </c>
      <c r="F622" s="37" t="str">
        <f>SABADO!$C$231</f>
        <v>polea</v>
      </c>
      <c r="G622" s="37" t="str">
        <f>IFERROR(LOOKUP(2,1/((HISTORIAL!$O$3:$O$620=D622&amp;"|"&amp;E622)*(HISTORIAL!$F$3:$F$620&lt;&gt;"")),HISTORIAL!$F$3:$F$620),"")</f>
        <v/>
      </c>
      <c r="H622" s="37" t="str">
        <f>IFERROR(LOOKUP(2,1/((HISTORIAL!$O$3:$O$620=D622&amp;"|"&amp;E622)*(HISTORIAL!$F$3:$F$620&lt;&gt;"")),HISTORIAL!$G$3:$G$620),"")</f>
        <v/>
      </c>
      <c r="I622" s="37" t="str">
        <f>IFERROR(LOOKUP(2,1/((HISTORIAL!$O$3:$O$620=D622&amp;"|"&amp;E622)*(HISTORIAL!$F$3:$F$620&lt;&gt;"")),HISTORIAL!$H$3:$H$620),"")</f>
        <v/>
      </c>
      <c r="J622" s="37" t="str">
        <f>IFERROR(LOOKUP(2,1/((HISTORIAL!$O$3:$O$620=D622&amp;"|"&amp;E622)*(HISTORIAL!$F$3:$F$620&lt;&gt;"")),HISTORIAL!$I$3:$I$620),"")</f>
        <v/>
      </c>
      <c r="K622" s="58" t="str">
        <f>IFERROR(IF(OR(G622="",N622="SIN"),"--",IF(N622="SUBIR_F",IF(F622="polea",IFERROR(INDEX(CONFIG!$B$25:$B$40,MATCH(G622,CONFIG!$B$25:$B$40,0)+2),IFERROR(INDEX(CONFIG!$B$25:$B$40,MATCH(G622,CONFIG!$B$25:$B$40,0)+1),G622)),G622+5),IF(OR(N622="SUBIR",N622="SUBIR_E"),IF(F622="polea",IFERROR(INDEX(CONFIG!$B$25:$B$40,MATCH(G622,CONFIG!$B$25:$B$40,0)+1),G622),G622+2.5),IF(N622="BAJAR",IF(F622="polea",IFERROR(INDEX(CONFIG!$B$25:$B$40,MAX(1,MATCH(G622,CONFIG!$B$25:$B$40,0)-1)),G622),MAX(0,G622-2.5)),G622)))),"--")</f>
        <v>--</v>
      </c>
      <c r="L622" s="59" t="str">
        <f>IFERROR(IF(N622="SIN","--",IF(N622="MANT",IF(H622="","--",H622+1),IFERROR(VLOOKUP(CONFIG!$E$2,CONFIG!$A$6:$E$8,2,0),"--"))),"--")</f>
        <v>--</v>
      </c>
      <c r="M622" s="59" t="str">
        <f>IFERROR(IF(N622="SIN","--",IF(CONFIG!$E$2="HIP",2,IF(CONFIG!$E$2="FUE",1,2))),"--")</f>
        <v>--</v>
      </c>
      <c r="N622" s="53" t="str">
        <f>IFERROR(IF(G622="","SIN",IF(O622=1,"SUBIR_E",IF(H622&lt;IFERROR(VLOOKUP(CONFIG!$E$2,CONFIG!$A$6:$E$8,2,0),6),"BAJAR",IF(H622+I622&gt;=IFERROR(VLOOKUP(CONFIG!$E$2,CONFIG!$A$6:$E$8,3,0),12),"SUBIR_F",IF(AND(H622&gt;=IFERROR(VLOOKUP(CONFIG!$E$2,CONFIG!$A$6:$E$8,2,0),6)+2,I622&gt;=2),"SUBIR",IF(I622&gt;IFERROR(VLOOKUP(CONFIG!$E$2,CONFIG!$A$6:$E$8,5,0),3),"SUBIR","MANT")))))),"SIN")</f>
        <v>SIN</v>
      </c>
      <c r="O622" s="55">
        <f>IF(COUNTIFS(HISTORIAL!$O$3:$O$620,D622&amp;"|"&amp;E622,HISTORIAL!$F$3:$F$620,"&gt;0")&lt;2,0,IF(COUNTIFS(HISTORIAL!$O$3:$O$620,D622&amp;"|"&amp;E622,HISTORIAL!$F$3:$F$620,IFERROR(LOOKUP(2,1/((HISTORIAL!$O$3:$O$620=D622&amp;"|"&amp;E622)*(HISTORIAL!$F$3:$F$620&gt;0)),HISTORIAL!$F$3:$F$620),0))&gt;=2,IF(IFERROR(LOOKUP(2,1/((HISTORIAL!$O$3:$O$620=D622&amp;"|"&amp;E622)*(HISTORIAL!$F$3:$F$620&gt;0)),HISTORIAL!$G$3:$G$620),0)&gt;0,IF(F622&gt;0,IF(G622&lt;=IFERROR(LOOKUP(2,1/((HISTORIAL!$O$3:$O$620=D622&amp;"|"&amp;E622)*(HISTORIAL!$F$3:$F$620&gt;0)),HISTORIAL!$G$3:$G$620),0),1,0),0),0),0))</f>
        <v>0</v>
      </c>
    </row>
    <row r="623" spans="1:15" ht="14.1" customHeight="1">
      <c r="A623" s="37">
        <v>10</v>
      </c>
      <c r="B623" s="37" t="s">
        <v>281</v>
      </c>
      <c r="C623" s="37">
        <v>3</v>
      </c>
      <c r="D623" s="56" t="str">
        <f>SABADO!$A$232</f>
        <v>Remo</v>
      </c>
      <c r="E623" s="57" t="str">
        <f>SABADO!$B$232</f>
        <v>Maquina Neutro Ancho</v>
      </c>
      <c r="F623" s="37" t="str">
        <f>SABADO!$C$232</f>
        <v>polea</v>
      </c>
      <c r="G623" s="37" t="str">
        <f>IFERROR(LOOKUP(2,1/((HISTORIAL!$O$3:$O$621=D623&amp;"|"&amp;E623)*(HISTORIAL!$F$3:$F$621&lt;&gt;"")),HISTORIAL!$F$3:$F$621),"")</f>
        <v/>
      </c>
      <c r="H623" s="37" t="str">
        <f>IFERROR(LOOKUP(2,1/((HISTORIAL!$O$3:$O$621=D623&amp;"|"&amp;E623)*(HISTORIAL!$F$3:$F$621&lt;&gt;"")),HISTORIAL!$G$3:$G$621),"")</f>
        <v/>
      </c>
      <c r="I623" s="37" t="str">
        <f>IFERROR(LOOKUP(2,1/((HISTORIAL!$O$3:$O$621=D623&amp;"|"&amp;E623)*(HISTORIAL!$F$3:$F$621&lt;&gt;"")),HISTORIAL!$H$3:$H$621),"")</f>
        <v/>
      </c>
      <c r="J623" s="37" t="str">
        <f>IFERROR(LOOKUP(2,1/((HISTORIAL!$O$3:$O$621=D623&amp;"|"&amp;E623)*(HISTORIAL!$F$3:$F$621&lt;&gt;"")),HISTORIAL!$I$3:$I$621),"")</f>
        <v/>
      </c>
      <c r="K623" s="58" t="str">
        <f>IFERROR(IF(OR(G623="",N623="SIN"),"--",IF(N623="SUBIR_F",IF(F623="polea",IFERROR(INDEX(CONFIG!$B$25:$B$40,MATCH(G623,CONFIG!$B$25:$B$40,0)+2),IFERROR(INDEX(CONFIG!$B$25:$B$40,MATCH(G623,CONFIG!$B$25:$B$40,0)+1),G623)),G623+5),IF(OR(N623="SUBIR",N623="SUBIR_E"),IF(F623="polea",IFERROR(INDEX(CONFIG!$B$25:$B$40,MATCH(G623,CONFIG!$B$25:$B$40,0)+1),G623),G623+2.5),IF(N623="BAJAR",IF(F623="polea",IFERROR(INDEX(CONFIG!$B$25:$B$40,MAX(1,MATCH(G623,CONFIG!$B$25:$B$40,0)-1)),G623),MAX(0,G623-2.5)),G623)))),"--")</f>
        <v>--</v>
      </c>
      <c r="L623" s="59" t="str">
        <f>IFERROR(IF(N623="SIN","--",IF(N623="MANT",IF(H623="","--",H623+1),IFERROR(VLOOKUP(CONFIG!$E$2,CONFIG!$A$6:$E$8,2,0),"--"))),"--")</f>
        <v>--</v>
      </c>
      <c r="M623" s="59" t="str">
        <f>IFERROR(IF(N623="SIN","--",IF(CONFIG!$E$2="HIP",2,IF(CONFIG!$E$2="FUE",1,2))),"--")</f>
        <v>--</v>
      </c>
      <c r="N623" s="53" t="str">
        <f>IFERROR(IF(G623="","SIN",IF(O623=1,"SUBIR_E",IF(H623&lt;IFERROR(VLOOKUP(CONFIG!$E$2,CONFIG!$A$6:$E$8,2,0),6),"BAJAR",IF(H623+I623&gt;=IFERROR(VLOOKUP(CONFIG!$E$2,CONFIG!$A$6:$E$8,3,0),12),"SUBIR_F",IF(AND(H623&gt;=IFERROR(VLOOKUP(CONFIG!$E$2,CONFIG!$A$6:$E$8,2,0),6)+2,I623&gt;=2),"SUBIR",IF(I623&gt;IFERROR(VLOOKUP(CONFIG!$E$2,CONFIG!$A$6:$E$8,5,0),3),"SUBIR","MANT")))))),"SIN")</f>
        <v>SIN</v>
      </c>
      <c r="O623" s="55">
        <f>IF(COUNTIFS(HISTORIAL!$O$3:$O$621,D623&amp;"|"&amp;E623,HISTORIAL!$F$3:$F$621,"&gt;0")&lt;2,0,IF(COUNTIFS(HISTORIAL!$O$3:$O$621,D623&amp;"|"&amp;E623,HISTORIAL!$F$3:$F$621,IFERROR(LOOKUP(2,1/((HISTORIAL!$O$3:$O$621=D623&amp;"|"&amp;E623)*(HISTORIAL!$F$3:$F$621&gt;0)),HISTORIAL!$F$3:$F$621),0))&gt;=2,IF(IFERROR(LOOKUP(2,1/((HISTORIAL!$O$3:$O$621=D623&amp;"|"&amp;E623)*(HISTORIAL!$F$3:$F$621&gt;0)),HISTORIAL!$G$3:$G$621),0)&gt;0,IF(F623&gt;0,IF(G623&lt;=IFERROR(LOOKUP(2,1/((HISTORIAL!$O$3:$O$621=D623&amp;"|"&amp;E623)*(HISTORIAL!$F$3:$F$621&gt;0)),HISTORIAL!$G$3:$G$621),0),1,0),0),0),0))</f>
        <v>0</v>
      </c>
    </row>
    <row r="624" spans="1:15" ht="14.1" customHeight="1">
      <c r="A624" s="37">
        <v>10</v>
      </c>
      <c r="B624" s="37" t="s">
        <v>281</v>
      </c>
      <c r="C624" s="37">
        <v>4</v>
      </c>
      <c r="D624" s="56" t="str">
        <f>SABADO!$A$233</f>
        <v>Peck Deck Invertida</v>
      </c>
      <c r="E624" s="57" t="str">
        <f>SABADO!$B$233</f>
        <v>Maquina</v>
      </c>
      <c r="F624" s="37" t="str">
        <f>SABADO!$C$233</f>
        <v>polea</v>
      </c>
      <c r="G624" s="37" t="str">
        <f>IFERROR(LOOKUP(2,1/((HISTORIAL!$O$3:$O$622=D624&amp;"|"&amp;E624)*(HISTORIAL!$F$3:$F$622&lt;&gt;"")),HISTORIAL!$F$3:$F$622),"")</f>
        <v/>
      </c>
      <c r="H624" s="37" t="str">
        <f>IFERROR(LOOKUP(2,1/((HISTORIAL!$O$3:$O$622=D624&amp;"|"&amp;E624)*(HISTORIAL!$F$3:$F$622&lt;&gt;"")),HISTORIAL!$G$3:$G$622),"")</f>
        <v/>
      </c>
      <c r="I624" s="37" t="str">
        <f>IFERROR(LOOKUP(2,1/((HISTORIAL!$O$3:$O$622=D624&amp;"|"&amp;E624)*(HISTORIAL!$F$3:$F$622&lt;&gt;"")),HISTORIAL!$H$3:$H$622),"")</f>
        <v/>
      </c>
      <c r="J624" s="37" t="str">
        <f>IFERROR(LOOKUP(2,1/((HISTORIAL!$O$3:$O$622=D624&amp;"|"&amp;E624)*(HISTORIAL!$F$3:$F$622&lt;&gt;"")),HISTORIAL!$I$3:$I$622),"")</f>
        <v/>
      </c>
      <c r="K624" s="58" t="str">
        <f>IFERROR(IF(OR(G624="",N624="SIN"),"--",IF(N624="SUBIR_F",IF(F624="polea",IFERROR(INDEX(CONFIG!$B$25:$B$40,MATCH(G624,CONFIG!$B$25:$B$40,0)+2),IFERROR(INDEX(CONFIG!$B$25:$B$40,MATCH(G624,CONFIG!$B$25:$B$40,0)+1),G624)),G624+5),IF(OR(N624="SUBIR",N624="SUBIR_E"),IF(F624="polea",IFERROR(INDEX(CONFIG!$B$25:$B$40,MATCH(G624,CONFIG!$B$25:$B$40,0)+1),G624),G624+2.5),IF(N624="BAJAR",IF(F624="polea",IFERROR(INDEX(CONFIG!$B$25:$B$40,MAX(1,MATCH(G624,CONFIG!$B$25:$B$40,0)-1)),G624),MAX(0,G624-2.5)),G624)))),"--")</f>
        <v>--</v>
      </c>
      <c r="L624" s="59" t="str">
        <f>IFERROR(IF(N624="SIN","--",IF(N624="MANT",IF(H624="","--",H624+1),IFERROR(VLOOKUP(CONFIG!$E$2,CONFIG!$A$6:$E$8,2,0),"--"))),"--")</f>
        <v>--</v>
      </c>
      <c r="M624" s="59" t="str">
        <f>IFERROR(IF(N624="SIN","--",IF(CONFIG!$E$2="HIP",2,IF(CONFIG!$E$2="FUE",1,2))),"--")</f>
        <v>--</v>
      </c>
      <c r="N624" s="53" t="str">
        <f>IFERROR(IF(G624="","SIN",IF(O624=1,"SUBIR_E",IF(H624&lt;IFERROR(VLOOKUP(CONFIG!$E$2,CONFIG!$A$6:$E$8,2,0),6),"BAJAR",IF(H624+I624&gt;=IFERROR(VLOOKUP(CONFIG!$E$2,CONFIG!$A$6:$E$8,3,0),12),"SUBIR_F",IF(AND(H624&gt;=IFERROR(VLOOKUP(CONFIG!$E$2,CONFIG!$A$6:$E$8,2,0),6)+2,I624&gt;=2),"SUBIR",IF(I624&gt;IFERROR(VLOOKUP(CONFIG!$E$2,CONFIG!$A$6:$E$8,5,0),3),"SUBIR","MANT")))))),"SIN")</f>
        <v>SIN</v>
      </c>
      <c r="O624" s="55">
        <f>IF(COUNTIFS(HISTORIAL!$O$3:$O$622,D624&amp;"|"&amp;E624,HISTORIAL!$F$3:$F$622,"&gt;0")&lt;2,0,IF(COUNTIFS(HISTORIAL!$O$3:$O$622,D624&amp;"|"&amp;E624,HISTORIAL!$F$3:$F$622,IFERROR(LOOKUP(2,1/((HISTORIAL!$O$3:$O$622=D624&amp;"|"&amp;E624)*(HISTORIAL!$F$3:$F$622&gt;0)),HISTORIAL!$F$3:$F$622),0))&gt;=2,IF(IFERROR(LOOKUP(2,1/((HISTORIAL!$O$3:$O$622=D624&amp;"|"&amp;E624)*(HISTORIAL!$F$3:$F$622&gt;0)),HISTORIAL!$G$3:$G$622),0)&gt;0,IF(F624&gt;0,IF(G624&lt;=IFERROR(LOOKUP(2,1/((HISTORIAL!$O$3:$O$622=D624&amp;"|"&amp;E624)*(HISTORIAL!$F$3:$F$622&gt;0)),HISTORIAL!$G$3:$G$622),0),1,0),0),0),0))</f>
        <v>0</v>
      </c>
    </row>
    <row r="625" spans="1:15" ht="14.1" customHeight="1">
      <c r="A625" s="37">
        <v>10</v>
      </c>
      <c r="B625" s="37" t="s">
        <v>281</v>
      </c>
      <c r="C625" s="37">
        <v>5</v>
      </c>
      <c r="D625" s="56" t="str">
        <f>SABADO!$A$235</f>
        <v>Curl Biceps</v>
      </c>
      <c r="E625" s="57" t="str">
        <f>SABADO!$B$235</f>
        <v>Concentrado Maquina</v>
      </c>
      <c r="F625" s="37" t="str">
        <f>SABADO!$C$235</f>
        <v>polea</v>
      </c>
      <c r="G625" s="37">
        <f>IFERROR(LOOKUP(2,1/((HISTORIAL!$O$3:$O$623=D625&amp;"|"&amp;E625)*(HISTORIAL!$F$3:$F$623&lt;&gt;"")),HISTORIAL!$F$3:$F$623),"")</f>
        <v>40</v>
      </c>
      <c r="H625" s="37">
        <f>IFERROR(LOOKUP(2,1/((HISTORIAL!$O$3:$O$623=D625&amp;"|"&amp;E625)*(HISTORIAL!$F$3:$F$623&lt;&gt;"")),HISTORIAL!$G$3:$G$623),"")</f>
        <v>6</v>
      </c>
      <c r="I625" s="37">
        <f>IFERROR(LOOKUP(2,1/((HISTORIAL!$O$3:$O$623=D625&amp;"|"&amp;E625)*(HISTORIAL!$F$3:$F$623&lt;&gt;"")),HISTORIAL!$H$3:$H$623),"")</f>
        <v>0</v>
      </c>
      <c r="J625" s="37" t="str">
        <f>IFERROR(LOOKUP(2,1/((HISTORIAL!$O$3:$O$623=D625&amp;"|"&amp;E625)*(HISTORIAL!$F$3:$F$623&lt;&gt;"")),HISTORIAL!$I$3:$I$623),"")</f>
        <v>B</v>
      </c>
      <c r="K625" s="58">
        <f>IFERROR(IF(OR(G625="",N625="SIN"),"--",IF(N625="SUBIR_F",IF(F625="polea",IFERROR(INDEX(CONFIG!$B$25:$B$40,MATCH(G625,CONFIG!$B$25:$B$40,0)+2),IFERROR(INDEX(CONFIG!$B$25:$B$40,MATCH(G625,CONFIG!$B$25:$B$40,0)+1),G625)),G625+5),IF(OR(N625="SUBIR",N625="SUBIR_E"),IF(F625="polea",IFERROR(INDEX(CONFIG!$B$25:$B$40,MATCH(G625,CONFIG!$B$25:$B$40,0)+1),G625),G625+2.5),IF(N625="BAJAR",IF(F625="polea",IFERROR(INDEX(CONFIG!$B$25:$B$40,MAX(1,MATCH(G625,CONFIG!$B$25:$B$40,0)-1)),G625),MAX(0,G625-2.5)),G625)))),"--")</f>
        <v>40</v>
      </c>
      <c r="L625" s="59">
        <f>IFERROR(IF(N625="SIN","--",IF(N625="MANT",IF(H625="","--",H625+1),IFERROR(VLOOKUP(CONFIG!$E$2,CONFIG!$A$6:$E$8,2,0),"--"))),"--")</f>
        <v>7</v>
      </c>
      <c r="M625" s="59">
        <f>IFERROR(IF(N625="SIN","--",IF(CONFIG!$E$2="HIP",2,IF(CONFIG!$E$2="FUE",1,2))),"--")</f>
        <v>2</v>
      </c>
      <c r="N625" s="53" t="str">
        <f>IFERROR(IF(G625="","SIN",IF(O625=1,"SUBIR_E",IF(H625&lt;IFERROR(VLOOKUP(CONFIG!$E$2,CONFIG!$A$6:$E$8,2,0),6),"BAJAR",IF(H625+I625&gt;=IFERROR(VLOOKUP(CONFIG!$E$2,CONFIG!$A$6:$E$8,3,0),12),"SUBIR_F",IF(AND(H625&gt;=IFERROR(VLOOKUP(CONFIG!$E$2,CONFIG!$A$6:$E$8,2,0),6)+2,I625&gt;=2),"SUBIR",IF(I625&gt;IFERROR(VLOOKUP(CONFIG!$E$2,CONFIG!$A$6:$E$8,5,0),3),"SUBIR","MANT")))))),"SIN")</f>
        <v>MANT</v>
      </c>
      <c r="O625" s="55">
        <f>IF(COUNTIFS(HISTORIAL!$O$3:$O$623,D625&amp;"|"&amp;E625,HISTORIAL!$F$3:$F$623,"&gt;0")&lt;2,0,IF(COUNTIFS(HISTORIAL!$O$3:$O$623,D625&amp;"|"&amp;E625,HISTORIAL!$F$3:$F$623,IFERROR(LOOKUP(2,1/((HISTORIAL!$O$3:$O$623=D625&amp;"|"&amp;E625)*(HISTORIAL!$F$3:$F$623&gt;0)),HISTORIAL!$F$3:$F$623),0))&gt;=2,IF(IFERROR(LOOKUP(2,1/((HISTORIAL!$O$3:$O$623=D625&amp;"|"&amp;E625)*(HISTORIAL!$F$3:$F$623&gt;0)),HISTORIAL!$G$3:$G$623),0)&gt;0,IF(F625&gt;0,IF(G625&lt;=IFERROR(LOOKUP(2,1/((HISTORIAL!$O$3:$O$623=D625&amp;"|"&amp;E625)*(HISTORIAL!$F$3:$F$623&gt;0)),HISTORIAL!$G$3:$G$623),0),1,0),0),0),0))</f>
        <v>0</v>
      </c>
    </row>
    <row r="626" spans="1:15" ht="14.1" customHeight="1">
      <c r="A626" s="37">
        <v>10</v>
      </c>
      <c r="B626" s="37" t="s">
        <v>281</v>
      </c>
      <c r="C626" s="37">
        <v>6</v>
      </c>
      <c r="D626" s="56" t="str">
        <f>SABADO!$A$236</f>
        <v>Curl Martillo</v>
      </c>
      <c r="E626" s="57" t="str">
        <f>SABADO!$B$236</f>
        <v>Polea Individual</v>
      </c>
      <c r="F626" s="37" t="str">
        <f>SABADO!$C$236</f>
        <v>polea</v>
      </c>
      <c r="G626" s="37">
        <f>IFERROR(LOOKUP(2,1/((HISTORIAL!$O$3:$O$624=D626&amp;"|"&amp;E626)*(HISTORIAL!$F$3:$F$624&lt;&gt;"")),HISTORIAL!$F$3:$F$624),"")</f>
        <v>20</v>
      </c>
      <c r="H626" s="37">
        <f>IFERROR(LOOKUP(2,1/((HISTORIAL!$O$3:$O$624=D626&amp;"|"&amp;E626)*(HISTORIAL!$F$3:$F$624&lt;&gt;"")),HISTORIAL!$G$3:$G$624),"")</f>
        <v>8</v>
      </c>
      <c r="I626" s="37">
        <f>IFERROR(LOOKUP(2,1/((HISTORIAL!$O$3:$O$624=D626&amp;"|"&amp;E626)*(HISTORIAL!$F$3:$F$624&lt;&gt;"")),HISTORIAL!$H$3:$H$624),"")</f>
        <v>3</v>
      </c>
      <c r="J626" s="37" t="str">
        <f>IFERROR(LOOKUP(2,1/((HISTORIAL!$O$3:$O$624=D626&amp;"|"&amp;E626)*(HISTORIAL!$F$3:$F$624&lt;&gt;"")),HISTORIAL!$I$3:$I$624),"")</f>
        <v>A</v>
      </c>
      <c r="K626" s="58">
        <f>IFERROR(IF(OR(G626="",N626="SIN"),"--",IF(N626="SUBIR_F",IF(F626="polea",IFERROR(INDEX(CONFIG!$B$25:$B$40,MATCH(G626,CONFIG!$B$25:$B$40,0)+2),IFERROR(INDEX(CONFIG!$B$25:$B$40,MATCH(G626,CONFIG!$B$25:$B$40,0)+1),G626)),G626+5),IF(OR(N626="SUBIR",N626="SUBIR_E"),IF(F626="polea",IFERROR(INDEX(CONFIG!$B$25:$B$40,MATCH(G626,CONFIG!$B$25:$B$40,0)+1),G626),G626+2.5),IF(N626="BAJAR",IF(F626="polea",IFERROR(INDEX(CONFIG!$B$25:$B$40,MAX(1,MATCH(G626,CONFIG!$B$25:$B$40,0)-1)),G626),MAX(0,G626-2.5)),G626)))),"--")</f>
        <v>20</v>
      </c>
      <c r="L626" s="59">
        <f>IFERROR(IF(N626="SIN","--",IF(N626="MANT",IF(H626="","--",H626+1),IFERROR(VLOOKUP(CONFIG!$E$2,CONFIG!$A$6:$E$8,2,0),"--"))),"--")</f>
        <v>6</v>
      </c>
      <c r="M626" s="59">
        <f>IFERROR(IF(N626="SIN","--",IF(CONFIG!$E$2="HIP",2,IF(CONFIG!$E$2="FUE",1,2))),"--")</f>
        <v>2</v>
      </c>
      <c r="N626" s="53" t="str">
        <f>IFERROR(IF(G626="","SIN",IF(O626=1,"SUBIR_E",IF(H626&lt;IFERROR(VLOOKUP(CONFIG!$E$2,CONFIG!$A$6:$E$8,2,0),6),"BAJAR",IF(H626+I626&gt;=IFERROR(VLOOKUP(CONFIG!$E$2,CONFIG!$A$6:$E$8,3,0),12),"SUBIR_F",IF(AND(H626&gt;=IFERROR(VLOOKUP(CONFIG!$E$2,CONFIG!$A$6:$E$8,2,0),6)+2,I626&gt;=2),"SUBIR",IF(I626&gt;IFERROR(VLOOKUP(CONFIG!$E$2,CONFIG!$A$6:$E$8,5,0),3),"SUBIR","MANT")))))),"SIN")</f>
        <v>SUBIR</v>
      </c>
      <c r="O626" s="55">
        <f>IF(COUNTIFS(HISTORIAL!$O$3:$O$624,D626&amp;"|"&amp;E626,HISTORIAL!$F$3:$F$624,"&gt;0")&lt;2,0,IF(COUNTIFS(HISTORIAL!$O$3:$O$624,D626&amp;"|"&amp;E626,HISTORIAL!$F$3:$F$624,IFERROR(LOOKUP(2,1/((HISTORIAL!$O$3:$O$624=D626&amp;"|"&amp;E626)*(HISTORIAL!$F$3:$F$624&gt;0)),HISTORIAL!$F$3:$F$624),0))&gt;=2,IF(IFERROR(LOOKUP(2,1/((HISTORIAL!$O$3:$O$624=D626&amp;"|"&amp;E626)*(HISTORIAL!$F$3:$F$624&gt;0)),HISTORIAL!$G$3:$G$624),0)&gt;0,IF(F626&gt;0,IF(G626&lt;=IFERROR(LOOKUP(2,1/((HISTORIAL!$O$3:$O$624=D626&amp;"|"&amp;E626)*(HISTORIAL!$F$3:$F$624&gt;0)),HISTORIAL!$G$3:$G$624),0),1,0),0),0),0))</f>
        <v>0</v>
      </c>
    </row>
    <row r="627" spans="1:15" ht="14.1" customHeight="1">
      <c r="A627" s="37">
        <v>10</v>
      </c>
      <c r="B627" s="37" t="s">
        <v>281</v>
      </c>
      <c r="C627" s="37">
        <v>7</v>
      </c>
      <c r="D627" s="56" t="str">
        <f>SABADO!$A$238</f>
        <v>Curl Muneca</v>
      </c>
      <c r="E627" s="57" t="str">
        <f>SABADO!$B$238</f>
        <v>Supinado</v>
      </c>
      <c r="F627" s="37" t="str">
        <f>SABADO!$C$238</f>
        <v>mancuerna</v>
      </c>
      <c r="G627" s="37" t="str">
        <f>IFERROR(LOOKUP(2,1/((HISTORIAL!$O$3:$O$625=D627&amp;"|"&amp;E627)*(HISTORIAL!$F$3:$F$625&lt;&gt;"")),HISTORIAL!$F$3:$F$625),"")</f>
        <v/>
      </c>
      <c r="H627" s="37" t="str">
        <f>IFERROR(LOOKUP(2,1/((HISTORIAL!$O$3:$O$625=D627&amp;"|"&amp;E627)*(HISTORIAL!$F$3:$F$625&lt;&gt;"")),HISTORIAL!$G$3:$G$625),"")</f>
        <v/>
      </c>
      <c r="I627" s="37" t="str">
        <f>IFERROR(LOOKUP(2,1/((HISTORIAL!$O$3:$O$625=D627&amp;"|"&amp;E627)*(HISTORIAL!$F$3:$F$625&lt;&gt;"")),HISTORIAL!$H$3:$H$625),"")</f>
        <v/>
      </c>
      <c r="J627" s="37" t="str">
        <f>IFERROR(LOOKUP(2,1/((HISTORIAL!$O$3:$O$625=D627&amp;"|"&amp;E627)*(HISTORIAL!$F$3:$F$625&lt;&gt;"")),HISTORIAL!$I$3:$I$625),"")</f>
        <v/>
      </c>
      <c r="K627" s="58" t="str">
        <f>IFERROR(IF(OR(G627="",N627="SIN"),"--",IF(N627="SUBIR_F",IF(F627="polea",IFERROR(INDEX(CONFIG!$B$25:$B$40,MATCH(G627,CONFIG!$B$25:$B$40,0)+2),IFERROR(INDEX(CONFIG!$B$25:$B$40,MATCH(G627,CONFIG!$B$25:$B$40,0)+1),G627)),G627+5),IF(OR(N627="SUBIR",N627="SUBIR_E"),IF(F627="polea",IFERROR(INDEX(CONFIG!$B$25:$B$40,MATCH(G627,CONFIG!$B$25:$B$40,0)+1),G627),G627+2.5),IF(N627="BAJAR",IF(F627="polea",IFERROR(INDEX(CONFIG!$B$25:$B$40,MAX(1,MATCH(G627,CONFIG!$B$25:$B$40,0)-1)),G627),MAX(0,G627-2.5)),G627)))),"--")</f>
        <v>--</v>
      </c>
      <c r="L627" s="59" t="str">
        <f>IFERROR(IF(N627="SIN","--",IF(N627="MANT",IF(H627="","--",H627+1),IFERROR(VLOOKUP(CONFIG!$E$2,CONFIG!$A$6:$E$8,2,0),"--"))),"--")</f>
        <v>--</v>
      </c>
      <c r="M627" s="59" t="str">
        <f>IFERROR(IF(N627="SIN","--",IF(CONFIG!$E$2="HIP",2,IF(CONFIG!$E$2="FUE",1,2))),"--")</f>
        <v>--</v>
      </c>
      <c r="N627" s="53" t="str">
        <f>IFERROR(IF(G627="","SIN",IF(O627=1,"SUBIR_E",IF(H627&lt;IFERROR(VLOOKUP(CONFIG!$E$2,CONFIG!$A$6:$E$8,2,0),6),"BAJAR",IF(H627+I627&gt;=IFERROR(VLOOKUP(CONFIG!$E$2,CONFIG!$A$6:$E$8,3,0),12),"SUBIR_F",IF(AND(H627&gt;=IFERROR(VLOOKUP(CONFIG!$E$2,CONFIG!$A$6:$E$8,2,0),6)+2,I627&gt;=2),"SUBIR",IF(I627&gt;IFERROR(VLOOKUP(CONFIG!$E$2,CONFIG!$A$6:$E$8,5,0),3),"SUBIR","MANT")))))),"SIN")</f>
        <v>SIN</v>
      </c>
      <c r="O627" s="55">
        <f>IF(COUNTIFS(HISTORIAL!$O$3:$O$625,D627&amp;"|"&amp;E627,HISTORIAL!$F$3:$F$625,"&gt;0")&lt;2,0,IF(COUNTIFS(HISTORIAL!$O$3:$O$625,D627&amp;"|"&amp;E627,HISTORIAL!$F$3:$F$625,IFERROR(LOOKUP(2,1/((HISTORIAL!$O$3:$O$625=D627&amp;"|"&amp;E627)*(HISTORIAL!$F$3:$F$625&gt;0)),HISTORIAL!$F$3:$F$625),0))&gt;=2,IF(IFERROR(LOOKUP(2,1/((HISTORIAL!$O$3:$O$625=D627&amp;"|"&amp;E627)*(HISTORIAL!$F$3:$F$625&gt;0)),HISTORIAL!$G$3:$G$625),0)&gt;0,IF(F627&gt;0,IF(G627&lt;=IFERROR(LOOKUP(2,1/((HISTORIAL!$O$3:$O$625=D627&amp;"|"&amp;E627)*(HISTORIAL!$F$3:$F$625&gt;0)),HISTORIAL!$G$3:$G$625),0),1,0),0),0),0))</f>
        <v>0</v>
      </c>
    </row>
    <row r="628" spans="1:15" ht="14.1" customHeight="1">
      <c r="A628" s="37">
        <v>10</v>
      </c>
      <c r="B628" s="37" t="s">
        <v>281</v>
      </c>
      <c r="C628" s="37">
        <v>8</v>
      </c>
      <c r="D628" s="56" t="str">
        <f>SABADO!$A$239</f>
        <v>Curl Muneca</v>
      </c>
      <c r="E628" s="57" t="str">
        <f>SABADO!$B$239</f>
        <v>Pronado</v>
      </c>
      <c r="F628" s="37" t="str">
        <f>SABADO!$C$239</f>
        <v>mancuerna</v>
      </c>
      <c r="G628" s="37" t="str">
        <f>IFERROR(LOOKUP(2,1/((HISTORIAL!$O$3:$O$626=D628&amp;"|"&amp;E628)*(HISTORIAL!$F$3:$F$626&lt;&gt;"")),HISTORIAL!$F$3:$F$626),"")</f>
        <v/>
      </c>
      <c r="H628" s="37" t="str">
        <f>IFERROR(LOOKUP(2,1/((HISTORIAL!$O$3:$O$626=D628&amp;"|"&amp;E628)*(HISTORIAL!$F$3:$F$626&lt;&gt;"")),HISTORIAL!$G$3:$G$626),"")</f>
        <v/>
      </c>
      <c r="I628" s="37" t="str">
        <f>IFERROR(LOOKUP(2,1/((HISTORIAL!$O$3:$O$626=D628&amp;"|"&amp;E628)*(HISTORIAL!$F$3:$F$626&lt;&gt;"")),HISTORIAL!$H$3:$H$626),"")</f>
        <v/>
      </c>
      <c r="J628" s="37" t="str">
        <f>IFERROR(LOOKUP(2,1/((HISTORIAL!$O$3:$O$626=D628&amp;"|"&amp;E628)*(HISTORIAL!$F$3:$F$626&lt;&gt;"")),HISTORIAL!$I$3:$I$626),"")</f>
        <v/>
      </c>
      <c r="K628" s="58" t="str">
        <f>IFERROR(IF(OR(G628="",N628="SIN"),"--",IF(N628="SUBIR_F",IF(F628="polea",IFERROR(INDEX(CONFIG!$B$25:$B$40,MATCH(G628,CONFIG!$B$25:$B$40,0)+2),IFERROR(INDEX(CONFIG!$B$25:$B$40,MATCH(G628,CONFIG!$B$25:$B$40,0)+1),G628)),G628+5),IF(OR(N628="SUBIR",N628="SUBIR_E"),IF(F628="polea",IFERROR(INDEX(CONFIG!$B$25:$B$40,MATCH(G628,CONFIG!$B$25:$B$40,0)+1),G628),G628+2.5),IF(N628="BAJAR",IF(F628="polea",IFERROR(INDEX(CONFIG!$B$25:$B$40,MAX(1,MATCH(G628,CONFIG!$B$25:$B$40,0)-1)),G628),MAX(0,G628-2.5)),G628)))),"--")</f>
        <v>--</v>
      </c>
      <c r="L628" s="59" t="str">
        <f>IFERROR(IF(N628="SIN","--",IF(N628="MANT",IF(H628="","--",H628+1),IFERROR(VLOOKUP(CONFIG!$E$2,CONFIG!$A$6:$E$8,2,0),"--"))),"--")</f>
        <v>--</v>
      </c>
      <c r="M628" s="59" t="str">
        <f>IFERROR(IF(N628="SIN","--",IF(CONFIG!$E$2="HIP",2,IF(CONFIG!$E$2="FUE",1,2))),"--")</f>
        <v>--</v>
      </c>
      <c r="N628" s="53" t="str">
        <f>IFERROR(IF(G628="","SIN",IF(O628=1,"SUBIR_E",IF(H628&lt;IFERROR(VLOOKUP(CONFIG!$E$2,CONFIG!$A$6:$E$8,2,0),6),"BAJAR",IF(H628+I628&gt;=IFERROR(VLOOKUP(CONFIG!$E$2,CONFIG!$A$6:$E$8,3,0),12),"SUBIR_F",IF(AND(H628&gt;=IFERROR(VLOOKUP(CONFIG!$E$2,CONFIG!$A$6:$E$8,2,0),6)+2,I628&gt;=2),"SUBIR",IF(I628&gt;IFERROR(VLOOKUP(CONFIG!$E$2,CONFIG!$A$6:$E$8,5,0),3),"SUBIR","MANT")))))),"SIN")</f>
        <v>SIN</v>
      </c>
      <c r="O628" s="55">
        <f>IF(COUNTIFS(HISTORIAL!$O$3:$O$626,D628&amp;"|"&amp;E628,HISTORIAL!$F$3:$F$626,"&gt;0")&lt;2,0,IF(COUNTIFS(HISTORIAL!$O$3:$O$626,D628&amp;"|"&amp;E628,HISTORIAL!$F$3:$F$626,IFERROR(LOOKUP(2,1/((HISTORIAL!$O$3:$O$626=D628&amp;"|"&amp;E628)*(HISTORIAL!$F$3:$F$626&gt;0)),HISTORIAL!$F$3:$F$626),0))&gt;=2,IF(IFERROR(LOOKUP(2,1/((HISTORIAL!$O$3:$O$626=D628&amp;"|"&amp;E628)*(HISTORIAL!$F$3:$F$626&gt;0)),HISTORIAL!$G$3:$G$626),0)&gt;0,IF(F628&gt;0,IF(G628&lt;=IFERROR(LOOKUP(2,1/((HISTORIAL!$O$3:$O$626=D628&amp;"|"&amp;E628)*(HISTORIAL!$F$3:$F$626&gt;0)),HISTORIAL!$G$3:$G$626),0),1,0),0),0),0))</f>
        <v>0</v>
      </c>
    </row>
    <row r="629" spans="1:15" ht="14.1" customHeight="1">
      <c r="A629" s="37">
        <v>10</v>
      </c>
      <c r="B629" s="37" t="s">
        <v>281</v>
      </c>
      <c r="C629" s="37">
        <v>9</v>
      </c>
      <c r="D629" s="56" t="str">
        <f>SABADO!$A$241</f>
        <v>Elevaciones Laterales</v>
      </c>
      <c r="E629" s="57" t="str">
        <f>SABADO!$B$241</f>
        <v>Cable Polea Individual</v>
      </c>
      <c r="F629" s="37" t="str">
        <f>SABADO!$C$241</f>
        <v>polea</v>
      </c>
      <c r="G629" s="37" t="str">
        <f>IFERROR(LOOKUP(2,1/((HISTORIAL!$O$3:$O$627=D629&amp;"|"&amp;E629)*(HISTORIAL!$F$3:$F$627&lt;&gt;"")),HISTORIAL!$F$3:$F$627),"")</f>
        <v/>
      </c>
      <c r="H629" s="37" t="str">
        <f>IFERROR(LOOKUP(2,1/((HISTORIAL!$O$3:$O$627=D629&amp;"|"&amp;E629)*(HISTORIAL!$F$3:$F$627&lt;&gt;"")),HISTORIAL!$G$3:$G$627),"")</f>
        <v/>
      </c>
      <c r="I629" s="37" t="str">
        <f>IFERROR(LOOKUP(2,1/((HISTORIAL!$O$3:$O$627=D629&amp;"|"&amp;E629)*(HISTORIAL!$F$3:$F$627&lt;&gt;"")),HISTORIAL!$H$3:$H$627),"")</f>
        <v/>
      </c>
      <c r="J629" s="37" t="str">
        <f>IFERROR(LOOKUP(2,1/((HISTORIAL!$O$3:$O$627=D629&amp;"|"&amp;E629)*(HISTORIAL!$F$3:$F$627&lt;&gt;"")),HISTORIAL!$I$3:$I$627),"")</f>
        <v/>
      </c>
      <c r="K629" s="58" t="str">
        <f>IFERROR(IF(OR(G629="",N629="SIN"),"--",IF(N629="SUBIR_F",IF(F629="polea",IFERROR(INDEX(CONFIG!$B$25:$B$40,MATCH(G629,CONFIG!$B$25:$B$40,0)+2),IFERROR(INDEX(CONFIG!$B$25:$B$40,MATCH(G629,CONFIG!$B$25:$B$40,0)+1),G629)),G629+5),IF(OR(N629="SUBIR",N629="SUBIR_E"),IF(F629="polea",IFERROR(INDEX(CONFIG!$B$25:$B$40,MATCH(G629,CONFIG!$B$25:$B$40,0)+1),G629),G629+2.5),IF(N629="BAJAR",IF(F629="polea",IFERROR(INDEX(CONFIG!$B$25:$B$40,MAX(1,MATCH(G629,CONFIG!$B$25:$B$40,0)-1)),G629),MAX(0,G629-2.5)),G629)))),"--")</f>
        <v>--</v>
      </c>
      <c r="L629" s="59" t="str">
        <f>IFERROR(IF(N629="SIN","--",IF(N629="MANT",IF(H629="","--",H629+1),IFERROR(VLOOKUP(CONFIG!$E$2,CONFIG!$A$6:$E$8,2,0),"--"))),"--")</f>
        <v>--</v>
      </c>
      <c r="M629" s="59" t="str">
        <f>IFERROR(IF(N629="SIN","--",IF(CONFIG!$E$2="HIP",2,IF(CONFIG!$E$2="FUE",1,2))),"--")</f>
        <v>--</v>
      </c>
      <c r="N629" s="53" t="str">
        <f>IFERROR(IF(G629="","SIN",IF(O629=1,"SUBIR_E",IF(H629&lt;IFERROR(VLOOKUP(CONFIG!$E$2,CONFIG!$A$6:$E$8,2,0),6),"BAJAR",IF(H629+I629&gt;=IFERROR(VLOOKUP(CONFIG!$E$2,CONFIG!$A$6:$E$8,3,0),12),"SUBIR_F",IF(AND(H629&gt;=IFERROR(VLOOKUP(CONFIG!$E$2,CONFIG!$A$6:$E$8,2,0),6)+2,I629&gt;=2),"SUBIR",IF(I629&gt;IFERROR(VLOOKUP(CONFIG!$E$2,CONFIG!$A$6:$E$8,5,0),3),"SUBIR","MANT")))))),"SIN")</f>
        <v>SIN</v>
      </c>
      <c r="O629" s="55">
        <f>IF(COUNTIFS(HISTORIAL!$O$3:$O$627,D629&amp;"|"&amp;E629,HISTORIAL!$F$3:$F$627,"&gt;0")&lt;2,0,IF(COUNTIFS(HISTORIAL!$O$3:$O$627,D629&amp;"|"&amp;E629,HISTORIAL!$F$3:$F$627,IFERROR(LOOKUP(2,1/((HISTORIAL!$O$3:$O$627=D629&amp;"|"&amp;E629)*(HISTORIAL!$F$3:$F$627&gt;0)),HISTORIAL!$F$3:$F$627),0))&gt;=2,IF(IFERROR(LOOKUP(2,1/((HISTORIAL!$O$3:$O$627=D629&amp;"|"&amp;E629)*(HISTORIAL!$F$3:$F$627&gt;0)),HISTORIAL!$G$3:$G$627),0)&gt;0,IF(F629&gt;0,IF(G629&lt;=IFERROR(LOOKUP(2,1/((HISTORIAL!$O$3:$O$627=D629&amp;"|"&amp;E629)*(HISTORIAL!$F$3:$F$627&gt;0)),HISTORIAL!$G$3:$G$627),0),1,0),0),0),0))</f>
        <v>0</v>
      </c>
    </row>
    <row r="630" spans="1:15" ht="14.1" customHeight="1">
      <c r="A630" s="37">
        <v>10</v>
      </c>
      <c r="B630" s="37" t="s">
        <v>281</v>
      </c>
      <c r="C630" s="37">
        <v>10</v>
      </c>
      <c r="D630" s="56" t="str">
        <f>SABADO!$A$243</f>
        <v>Encogimientos</v>
      </c>
      <c r="E630" s="57" t="str">
        <f>SABADO!$B$243</f>
        <v>Mancuernas Trapecio</v>
      </c>
      <c r="F630" s="37" t="str">
        <f>SABADO!$C$243</f>
        <v>mancuerna</v>
      </c>
      <c r="G630" s="37" t="str">
        <f>IFERROR(LOOKUP(2,1/((HISTORIAL!$O$3:$O$628=D630&amp;"|"&amp;E630)*(HISTORIAL!$F$3:$F$628&lt;&gt;"")),HISTORIAL!$F$3:$F$628),"")</f>
        <v/>
      </c>
      <c r="H630" s="37" t="str">
        <f>IFERROR(LOOKUP(2,1/((HISTORIAL!$O$3:$O$628=D630&amp;"|"&amp;E630)*(HISTORIAL!$F$3:$F$628&lt;&gt;"")),HISTORIAL!$G$3:$G$628),"")</f>
        <v/>
      </c>
      <c r="I630" s="37" t="str">
        <f>IFERROR(LOOKUP(2,1/((HISTORIAL!$O$3:$O$628=D630&amp;"|"&amp;E630)*(HISTORIAL!$F$3:$F$628&lt;&gt;"")),HISTORIAL!$H$3:$H$628),"")</f>
        <v/>
      </c>
      <c r="J630" s="37" t="str">
        <f>IFERROR(LOOKUP(2,1/((HISTORIAL!$O$3:$O$628=D630&amp;"|"&amp;E630)*(HISTORIAL!$F$3:$F$628&lt;&gt;"")),HISTORIAL!$I$3:$I$628),"")</f>
        <v/>
      </c>
      <c r="K630" s="58" t="str">
        <f>IFERROR(IF(OR(G630="",N630="SIN"),"--",IF(N630="SUBIR_F",IF(F630="polea",IFERROR(INDEX(CONFIG!$B$25:$B$40,MATCH(G630,CONFIG!$B$25:$B$40,0)+2),IFERROR(INDEX(CONFIG!$B$25:$B$40,MATCH(G630,CONFIG!$B$25:$B$40,0)+1),G630)),G630+5),IF(OR(N630="SUBIR",N630="SUBIR_E"),IF(F630="polea",IFERROR(INDEX(CONFIG!$B$25:$B$40,MATCH(G630,CONFIG!$B$25:$B$40,0)+1),G630),G630+2.5),IF(N630="BAJAR",IF(F630="polea",IFERROR(INDEX(CONFIG!$B$25:$B$40,MAX(1,MATCH(G630,CONFIG!$B$25:$B$40,0)-1)),G630),MAX(0,G630-2.5)),G630)))),"--")</f>
        <v>--</v>
      </c>
      <c r="L630" s="59" t="str">
        <f>IFERROR(IF(N630="SIN","--",IF(N630="MANT",IF(H630="","--",H630+1),IFERROR(VLOOKUP(CONFIG!$E$2,CONFIG!$A$6:$E$8,2,0),"--"))),"--")</f>
        <v>--</v>
      </c>
      <c r="M630" s="59" t="str">
        <f>IFERROR(IF(N630="SIN","--",IF(CONFIG!$E$2="HIP",2,IF(CONFIG!$E$2="FUE",1,2))),"--")</f>
        <v>--</v>
      </c>
      <c r="N630" s="53" t="str">
        <f>IFERROR(IF(G630="","SIN",IF(O630=1,"SUBIR_E",IF(H630&lt;IFERROR(VLOOKUP(CONFIG!$E$2,CONFIG!$A$6:$E$8,2,0),6),"BAJAR",IF(H630+I630&gt;=IFERROR(VLOOKUP(CONFIG!$E$2,CONFIG!$A$6:$E$8,3,0),12),"SUBIR_F",IF(AND(H630&gt;=IFERROR(VLOOKUP(CONFIG!$E$2,CONFIG!$A$6:$E$8,2,0),6)+2,I630&gt;=2),"SUBIR",IF(I630&gt;IFERROR(VLOOKUP(CONFIG!$E$2,CONFIG!$A$6:$E$8,5,0),3),"SUBIR","MANT")))))),"SIN")</f>
        <v>SIN</v>
      </c>
      <c r="O630" s="55">
        <f>IF(COUNTIFS(HISTORIAL!$O$3:$O$628,D630&amp;"|"&amp;E630,HISTORIAL!$F$3:$F$628,"&gt;0")&lt;2,0,IF(COUNTIFS(HISTORIAL!$O$3:$O$628,D630&amp;"|"&amp;E630,HISTORIAL!$F$3:$F$628,IFERROR(LOOKUP(2,1/((HISTORIAL!$O$3:$O$628=D630&amp;"|"&amp;E630)*(HISTORIAL!$F$3:$F$628&gt;0)),HISTORIAL!$F$3:$F$628),0))&gt;=2,IF(IFERROR(LOOKUP(2,1/((HISTORIAL!$O$3:$O$628=D630&amp;"|"&amp;E630)*(HISTORIAL!$F$3:$F$628&gt;0)),HISTORIAL!$G$3:$G$628),0)&gt;0,IF(F630&gt;0,IF(G630&lt;=IFERROR(LOOKUP(2,1/((HISTORIAL!$O$3:$O$628=D630&amp;"|"&amp;E630)*(HISTORIAL!$F$3:$F$628&gt;0)),HISTORIAL!$G$3:$G$628),0),1,0),0),0),0))</f>
        <v>0</v>
      </c>
    </row>
    <row r="631" spans="1:15" ht="14.1" customHeight="1">
      <c r="A631" s="37">
        <v>10</v>
      </c>
      <c r="B631" s="37" t="s">
        <v>281</v>
      </c>
      <c r="C631" s="37">
        <v>11</v>
      </c>
      <c r="D631" s="56" t="str">
        <f>SABADO!$A$244</f>
        <v>Face Pull</v>
      </c>
      <c r="E631" s="57" t="str">
        <f>SABADO!$B$244</f>
        <v>Polea Alta Cuerda</v>
      </c>
      <c r="F631" s="37" t="str">
        <f>SABADO!$C$244</f>
        <v>polea</v>
      </c>
      <c r="G631" s="37" t="str">
        <f>IFERROR(LOOKUP(2,1/((HISTORIAL!$O$3:$O$629=D631&amp;"|"&amp;E631)*(HISTORIAL!$F$3:$F$629&lt;&gt;"")),HISTORIAL!$F$3:$F$629),"")</f>
        <v/>
      </c>
      <c r="H631" s="37" t="str">
        <f>IFERROR(LOOKUP(2,1/((HISTORIAL!$O$3:$O$629=D631&amp;"|"&amp;E631)*(HISTORIAL!$F$3:$F$629&lt;&gt;"")),HISTORIAL!$G$3:$G$629),"")</f>
        <v/>
      </c>
      <c r="I631" s="37" t="str">
        <f>IFERROR(LOOKUP(2,1/((HISTORIAL!$O$3:$O$629=D631&amp;"|"&amp;E631)*(HISTORIAL!$F$3:$F$629&lt;&gt;"")),HISTORIAL!$H$3:$H$629),"")</f>
        <v/>
      </c>
      <c r="J631" s="37" t="str">
        <f>IFERROR(LOOKUP(2,1/((HISTORIAL!$O$3:$O$629=D631&amp;"|"&amp;E631)*(HISTORIAL!$F$3:$F$629&lt;&gt;"")),HISTORIAL!$I$3:$I$629),"")</f>
        <v/>
      </c>
      <c r="K631" s="58" t="str">
        <f>IFERROR(IF(OR(G631="",N631="SIN"),"--",IF(N631="SUBIR_F",IF(F631="polea",IFERROR(INDEX(CONFIG!$B$25:$B$40,MATCH(G631,CONFIG!$B$25:$B$40,0)+2),IFERROR(INDEX(CONFIG!$B$25:$B$40,MATCH(G631,CONFIG!$B$25:$B$40,0)+1),G631)),G631+5),IF(OR(N631="SUBIR",N631="SUBIR_E"),IF(F631="polea",IFERROR(INDEX(CONFIG!$B$25:$B$40,MATCH(G631,CONFIG!$B$25:$B$40,0)+1),G631),G631+2.5),IF(N631="BAJAR",IF(F631="polea",IFERROR(INDEX(CONFIG!$B$25:$B$40,MAX(1,MATCH(G631,CONFIG!$B$25:$B$40,0)-1)),G631),MAX(0,G631-2.5)),G631)))),"--")</f>
        <v>--</v>
      </c>
      <c r="L631" s="59" t="str">
        <f>IFERROR(IF(N631="SIN","--",IF(N631="MANT",IF(H631="","--",H631+1),IFERROR(VLOOKUP(CONFIG!$E$2,CONFIG!$A$6:$E$8,2,0),"--"))),"--")</f>
        <v>--</v>
      </c>
      <c r="M631" s="59" t="str">
        <f>IFERROR(IF(N631="SIN","--",IF(CONFIG!$E$2="HIP",2,IF(CONFIG!$E$2="FUE",1,2))),"--")</f>
        <v>--</v>
      </c>
      <c r="N631" s="53" t="str">
        <f>IFERROR(IF(G631="","SIN",IF(O631=1,"SUBIR_E",IF(H631&lt;IFERROR(VLOOKUP(CONFIG!$E$2,CONFIG!$A$6:$E$8,2,0),6),"BAJAR",IF(H631+I631&gt;=IFERROR(VLOOKUP(CONFIG!$E$2,CONFIG!$A$6:$E$8,3,0),12),"SUBIR_F",IF(AND(H631&gt;=IFERROR(VLOOKUP(CONFIG!$E$2,CONFIG!$A$6:$E$8,2,0),6)+2,I631&gt;=2),"SUBIR",IF(I631&gt;IFERROR(VLOOKUP(CONFIG!$E$2,CONFIG!$A$6:$E$8,5,0),3),"SUBIR","MANT")))))),"SIN")</f>
        <v>SIN</v>
      </c>
      <c r="O631" s="55">
        <f>IF(COUNTIFS(HISTORIAL!$O$3:$O$629,D631&amp;"|"&amp;E631,HISTORIAL!$F$3:$F$629,"&gt;0")&lt;2,0,IF(COUNTIFS(HISTORIAL!$O$3:$O$629,D631&amp;"|"&amp;E631,HISTORIAL!$F$3:$F$629,IFERROR(LOOKUP(2,1/((HISTORIAL!$O$3:$O$629=D631&amp;"|"&amp;E631)*(HISTORIAL!$F$3:$F$629&gt;0)),HISTORIAL!$F$3:$F$629),0))&gt;=2,IF(IFERROR(LOOKUP(2,1/((HISTORIAL!$O$3:$O$629=D631&amp;"|"&amp;E631)*(HISTORIAL!$F$3:$F$629&gt;0)),HISTORIAL!$G$3:$G$629),0)&gt;0,IF(F631&gt;0,IF(G631&lt;=IFERROR(LOOKUP(2,1/((HISTORIAL!$O$3:$O$629=D631&amp;"|"&amp;E631)*(HISTORIAL!$F$3:$F$629&gt;0)),HISTORIAL!$G$3:$G$629),0),1,0),0),0),0))</f>
        <v>0</v>
      </c>
    </row>
    <row r="632" spans="1:15" ht="14.1" customHeight="1">
      <c r="A632" s="37">
        <v>10</v>
      </c>
      <c r="B632" s="37" t="s">
        <v>281</v>
      </c>
      <c r="C632" s="37">
        <v>12</v>
      </c>
      <c r="D632" s="56" t="str">
        <f>SABADO!$A$246</f>
        <v>Hiperextension</v>
      </c>
      <c r="E632" s="57" t="str">
        <f>SABADO!$B$246</f>
        <v>Banco Romano</v>
      </c>
      <c r="F632" s="37" t="str">
        <f>SABADO!$C$246</f>
        <v>peso_corporal</v>
      </c>
      <c r="G632" s="37" t="str">
        <f>IFERROR(LOOKUP(2,1/((HISTORIAL!$O$3:$O$630=D632&amp;"|"&amp;E632)*(HISTORIAL!$F$3:$F$630&lt;&gt;"")),HISTORIAL!$F$3:$F$630),"")</f>
        <v/>
      </c>
      <c r="H632" s="37" t="str">
        <f>IFERROR(LOOKUP(2,1/((HISTORIAL!$O$3:$O$630=D632&amp;"|"&amp;E632)*(HISTORIAL!$F$3:$F$630&lt;&gt;"")),HISTORIAL!$G$3:$G$630),"")</f>
        <v/>
      </c>
      <c r="I632" s="37" t="str">
        <f>IFERROR(LOOKUP(2,1/((HISTORIAL!$O$3:$O$630=D632&amp;"|"&amp;E632)*(HISTORIAL!$F$3:$F$630&lt;&gt;"")),HISTORIAL!$H$3:$H$630),"")</f>
        <v/>
      </c>
      <c r="J632" s="37" t="str">
        <f>IFERROR(LOOKUP(2,1/((HISTORIAL!$O$3:$O$630=D632&amp;"|"&amp;E632)*(HISTORIAL!$F$3:$F$630&lt;&gt;"")),HISTORIAL!$I$3:$I$630),"")</f>
        <v/>
      </c>
      <c r="K632" s="58" t="str">
        <f>IFERROR(IF(OR(G632="",N632="SIN"),"--",IF(N632="SUBIR_F",IF(F632="polea",IFERROR(INDEX(CONFIG!$B$25:$B$40,MATCH(G632,CONFIG!$B$25:$B$40,0)+2),IFERROR(INDEX(CONFIG!$B$25:$B$40,MATCH(G632,CONFIG!$B$25:$B$40,0)+1),G632)),G632+5),IF(OR(N632="SUBIR",N632="SUBIR_E"),IF(F632="polea",IFERROR(INDEX(CONFIG!$B$25:$B$40,MATCH(G632,CONFIG!$B$25:$B$40,0)+1),G632),G632+2.5),IF(N632="BAJAR",IF(F632="polea",IFERROR(INDEX(CONFIG!$B$25:$B$40,MAX(1,MATCH(G632,CONFIG!$B$25:$B$40,0)-1)),G632),MAX(0,G632-2.5)),G632)))),"--")</f>
        <v>--</v>
      </c>
      <c r="L632" s="59" t="str">
        <f>IFERROR(IF(N632="SIN","--",IF(N632="MANT",IF(H632="","--",H632+1),IFERROR(VLOOKUP(CONFIG!$E$2,CONFIG!$A$6:$E$8,2,0),"--"))),"--")</f>
        <v>--</v>
      </c>
      <c r="M632" s="59" t="str">
        <f>IFERROR(IF(N632="SIN","--",IF(CONFIG!$E$2="HIP",2,IF(CONFIG!$E$2="FUE",1,2))),"--")</f>
        <v>--</v>
      </c>
      <c r="N632" s="53" t="str">
        <f>IFERROR(IF(G632="","SIN",IF(O632=1,"SUBIR_E",IF(H632&lt;IFERROR(VLOOKUP(CONFIG!$E$2,CONFIG!$A$6:$E$8,2,0),6),"BAJAR",IF(H632+I632&gt;=IFERROR(VLOOKUP(CONFIG!$E$2,CONFIG!$A$6:$E$8,3,0),12),"SUBIR_F",IF(AND(H632&gt;=IFERROR(VLOOKUP(CONFIG!$E$2,CONFIG!$A$6:$E$8,2,0),6)+2,I632&gt;=2),"SUBIR",IF(I632&gt;IFERROR(VLOOKUP(CONFIG!$E$2,CONFIG!$A$6:$E$8,5,0),3),"SUBIR","MANT")))))),"SIN")</f>
        <v>SIN</v>
      </c>
      <c r="O632" s="55">
        <f>IF(COUNTIFS(HISTORIAL!$O$3:$O$630,D632&amp;"|"&amp;E632,HISTORIAL!$F$3:$F$630,"&gt;0")&lt;2,0,IF(COUNTIFS(HISTORIAL!$O$3:$O$630,D632&amp;"|"&amp;E632,HISTORIAL!$F$3:$F$630,IFERROR(LOOKUP(2,1/((HISTORIAL!$O$3:$O$630=D632&amp;"|"&amp;E632)*(HISTORIAL!$F$3:$F$630&gt;0)),HISTORIAL!$F$3:$F$630),0))&gt;=2,IF(IFERROR(LOOKUP(2,1/((HISTORIAL!$O$3:$O$630=D632&amp;"|"&amp;E632)*(HISTORIAL!$F$3:$F$630&gt;0)),HISTORIAL!$G$3:$G$630),0)&gt;0,IF(F632&gt;0,IF(G632&lt;=IFERROR(LOOKUP(2,1/((HISTORIAL!$O$3:$O$630=D632&amp;"|"&amp;E632)*(HISTORIAL!$F$3:$F$630&gt;0)),HISTORIAL!$G$3:$G$630),0),1,0),0),0),0))</f>
        <v>0</v>
      </c>
    </row>
    <row r="633" spans="1:15" ht="14.1" customHeight="1">
      <c r="A633" s="37">
        <v>10</v>
      </c>
      <c r="B633" s="37" t="s">
        <v>281</v>
      </c>
      <c r="C633" s="37">
        <v>13</v>
      </c>
      <c r="D633" s="56" t="str">
        <f>SABADO!$A$248</f>
        <v>Crunch</v>
      </c>
      <c r="E633" s="57" t="str">
        <f>SABADO!$B$248</f>
        <v>Polea</v>
      </c>
      <c r="F633" s="37" t="str">
        <f>SABADO!$C$248</f>
        <v>polea</v>
      </c>
      <c r="G633" s="37" t="str">
        <f>IFERROR(LOOKUP(2,1/((HISTORIAL!$O$3:$O$631=D633&amp;"|"&amp;E633)*(HISTORIAL!$F$3:$F$631&lt;&gt;"")),HISTORIAL!$F$3:$F$631),"")</f>
        <v/>
      </c>
      <c r="H633" s="37" t="str">
        <f>IFERROR(LOOKUP(2,1/((HISTORIAL!$O$3:$O$631=D633&amp;"|"&amp;E633)*(HISTORIAL!$F$3:$F$631&lt;&gt;"")),HISTORIAL!$G$3:$G$631),"")</f>
        <v/>
      </c>
      <c r="I633" s="37" t="str">
        <f>IFERROR(LOOKUP(2,1/((HISTORIAL!$O$3:$O$631=D633&amp;"|"&amp;E633)*(HISTORIAL!$F$3:$F$631&lt;&gt;"")),HISTORIAL!$H$3:$H$631),"")</f>
        <v/>
      </c>
      <c r="J633" s="37" t="str">
        <f>IFERROR(LOOKUP(2,1/((HISTORIAL!$O$3:$O$631=D633&amp;"|"&amp;E633)*(HISTORIAL!$F$3:$F$631&lt;&gt;"")),HISTORIAL!$I$3:$I$631),"")</f>
        <v/>
      </c>
      <c r="K633" s="58" t="str">
        <f>IFERROR(IF(OR(G633="",N633="SIN"),"--",IF(N633="SUBIR_F",IF(F633="polea",IFERROR(INDEX(CONFIG!$B$25:$B$40,MATCH(G633,CONFIG!$B$25:$B$40,0)+2),IFERROR(INDEX(CONFIG!$B$25:$B$40,MATCH(G633,CONFIG!$B$25:$B$40,0)+1),G633)),G633+5),IF(OR(N633="SUBIR",N633="SUBIR_E"),IF(F633="polea",IFERROR(INDEX(CONFIG!$B$25:$B$40,MATCH(G633,CONFIG!$B$25:$B$40,0)+1),G633),G633+2.5),IF(N633="BAJAR",IF(F633="polea",IFERROR(INDEX(CONFIG!$B$25:$B$40,MAX(1,MATCH(G633,CONFIG!$B$25:$B$40,0)-1)),G633),MAX(0,G633-2.5)),G633)))),"--")</f>
        <v>--</v>
      </c>
      <c r="L633" s="59" t="str">
        <f>IFERROR(IF(N633="SIN","--",IF(N633="MANT",IF(H633="","--",H633+1),IFERROR(VLOOKUP(CONFIG!$E$2,CONFIG!$A$6:$E$8,2,0),"--"))),"--")</f>
        <v>--</v>
      </c>
      <c r="M633" s="59" t="str">
        <f>IFERROR(IF(N633="SIN","--",IF(CONFIG!$E$2="HIP",2,IF(CONFIG!$E$2="FUE",1,2))),"--")</f>
        <v>--</v>
      </c>
      <c r="N633" s="53" t="str">
        <f>IFERROR(IF(G633="","SIN",IF(O633=1,"SUBIR_E",IF(H633&lt;IFERROR(VLOOKUP(CONFIG!$E$2,CONFIG!$A$6:$E$8,2,0),6),"BAJAR",IF(H633+I633&gt;=IFERROR(VLOOKUP(CONFIG!$E$2,CONFIG!$A$6:$E$8,3,0),12),"SUBIR_F",IF(AND(H633&gt;=IFERROR(VLOOKUP(CONFIG!$E$2,CONFIG!$A$6:$E$8,2,0),6)+2,I633&gt;=2),"SUBIR",IF(I633&gt;IFERROR(VLOOKUP(CONFIG!$E$2,CONFIG!$A$6:$E$8,5,0),3),"SUBIR","MANT")))))),"SIN")</f>
        <v>SIN</v>
      </c>
      <c r="O633" s="55">
        <f>IF(COUNTIFS(HISTORIAL!$O$3:$O$631,D633&amp;"|"&amp;E633,HISTORIAL!$F$3:$F$631,"&gt;0")&lt;2,0,IF(COUNTIFS(HISTORIAL!$O$3:$O$631,D633&amp;"|"&amp;E633,HISTORIAL!$F$3:$F$631,IFERROR(LOOKUP(2,1/((HISTORIAL!$O$3:$O$631=D633&amp;"|"&amp;E633)*(HISTORIAL!$F$3:$F$631&gt;0)),HISTORIAL!$F$3:$F$631),0))&gt;=2,IF(IFERROR(LOOKUP(2,1/((HISTORIAL!$O$3:$O$631=D633&amp;"|"&amp;E633)*(HISTORIAL!$F$3:$F$631&gt;0)),HISTORIAL!$G$3:$G$631),0)&gt;0,IF(F633&gt;0,IF(G633&lt;=IFERROR(LOOKUP(2,1/((HISTORIAL!$O$3:$O$631=D633&amp;"|"&amp;E633)*(HISTORIAL!$F$3:$F$631&gt;0)),HISTORIAL!$G$3:$G$631),0),1,0),0),0),0))</f>
        <v>0</v>
      </c>
    </row>
    <row r="634" spans="1:15" ht="14.1" customHeight="1">
      <c r="A634" s="37">
        <v>11</v>
      </c>
      <c r="B634" s="37" t="s">
        <v>277</v>
      </c>
      <c r="C634" s="37">
        <v>1</v>
      </c>
      <c r="D634" s="56" t="str">
        <f>LUNES!$A$233</f>
        <v>Press Plano</v>
      </c>
      <c r="E634" s="57" t="str">
        <f>LUNES!$B$233</f>
        <v>Barra</v>
      </c>
      <c r="F634" s="37" t="str">
        <f>LUNES!$C$233</f>
        <v>disco</v>
      </c>
      <c r="G634" s="37" t="str">
        <f>IFERROR(LOOKUP(2,1/((HISTORIAL!$O$3:$O$632=D634&amp;"|"&amp;E634)*(HISTORIAL!$F$3:$F$632&lt;&gt;"")),HISTORIAL!$F$3:$F$632),"")</f>
        <v/>
      </c>
      <c r="H634" s="37" t="str">
        <f>IFERROR(LOOKUP(2,1/((HISTORIAL!$O$3:$O$632=D634&amp;"|"&amp;E634)*(HISTORIAL!$F$3:$F$632&lt;&gt;"")),HISTORIAL!$G$3:$G$632),"")</f>
        <v/>
      </c>
      <c r="I634" s="37" t="str">
        <f>IFERROR(LOOKUP(2,1/((HISTORIAL!$O$3:$O$632=D634&amp;"|"&amp;E634)*(HISTORIAL!$F$3:$F$632&lt;&gt;"")),HISTORIAL!$H$3:$H$632),"")</f>
        <v/>
      </c>
      <c r="J634" s="37" t="str">
        <f>IFERROR(LOOKUP(2,1/((HISTORIAL!$O$3:$O$632=D634&amp;"|"&amp;E634)*(HISTORIAL!$F$3:$F$632&lt;&gt;"")),HISTORIAL!$I$3:$I$632),"")</f>
        <v/>
      </c>
      <c r="K634" s="58" t="str">
        <f>IFERROR(IF(OR(G634="",N634="SIN"),"--",IF(N634="SUBIR_F",IF(F634="polea",IFERROR(INDEX(CONFIG!$B$25:$B$40,MATCH(G634,CONFIG!$B$25:$B$40,0)+2),IFERROR(INDEX(CONFIG!$B$25:$B$40,MATCH(G634,CONFIG!$B$25:$B$40,0)+1),G634)),G634+5),IF(OR(N634="SUBIR",N634="SUBIR_E"),IF(F634="polea",IFERROR(INDEX(CONFIG!$B$25:$B$40,MATCH(G634,CONFIG!$B$25:$B$40,0)+1),G634),G634+2.5),IF(N634="BAJAR",IF(F634="polea",IFERROR(INDEX(CONFIG!$B$25:$B$40,MAX(1,MATCH(G634,CONFIG!$B$25:$B$40,0)-1)),G634),MAX(0,G634-2.5)),G634)))),"--")</f>
        <v>--</v>
      </c>
      <c r="L634" s="59" t="str">
        <f>IFERROR(IF(N634="SIN","--",IF(N634="MANT",IF(H634="","--",H634+1),IFERROR(VLOOKUP(CONFIG!$E$2,CONFIG!$A$6:$E$8,2,0),"--"))),"--")</f>
        <v>--</v>
      </c>
      <c r="M634" s="59" t="str">
        <f>IFERROR(IF(N634="SIN","--",IF(CONFIG!$E$2="HIP",2,IF(CONFIG!$E$2="FUE",1,2))),"--")</f>
        <v>--</v>
      </c>
      <c r="N634" s="53" t="str">
        <f>IFERROR(IF(G634="","SIN",IF(O634=1,"SUBIR_E",IF(H634&lt;IFERROR(VLOOKUP(CONFIG!$E$2,CONFIG!$A$6:$E$8,2,0),6),"BAJAR",IF(H634+I634&gt;=IFERROR(VLOOKUP(CONFIG!$E$2,CONFIG!$A$6:$E$8,3,0),12),"SUBIR_F",IF(AND(H634&gt;=IFERROR(VLOOKUP(CONFIG!$E$2,CONFIG!$A$6:$E$8,2,0),6)+2,I634&gt;=2),"SUBIR",IF(I634&gt;IFERROR(VLOOKUP(CONFIG!$E$2,CONFIG!$A$6:$E$8,5,0),3),"SUBIR","MANT")))))),"SIN")</f>
        <v>SIN</v>
      </c>
      <c r="O634" s="55">
        <f>IF(COUNTIFS(HISTORIAL!$O$3:$O$632,D634&amp;"|"&amp;E634,HISTORIAL!$F$3:$F$632,"&gt;0")&lt;2,0,IF(COUNTIFS(HISTORIAL!$O$3:$O$632,D634&amp;"|"&amp;E634,HISTORIAL!$F$3:$F$632,IFERROR(LOOKUP(2,1/((HISTORIAL!$O$3:$O$632=D634&amp;"|"&amp;E634)*(HISTORIAL!$F$3:$F$632&gt;0)),HISTORIAL!$F$3:$F$632),0))&gt;=2,IF(IFERROR(LOOKUP(2,1/((HISTORIAL!$O$3:$O$632=D634&amp;"|"&amp;E634)*(HISTORIAL!$F$3:$F$632&gt;0)),HISTORIAL!$G$3:$G$632),0)&gt;0,IF(F634&gt;0,IF(G634&lt;=IFERROR(LOOKUP(2,1/((HISTORIAL!$O$3:$O$632=D634&amp;"|"&amp;E634)*(HISTORIAL!$F$3:$F$632&gt;0)),HISTORIAL!$G$3:$G$632),0),1,0),0),0),0))</f>
        <v>0</v>
      </c>
    </row>
    <row r="635" spans="1:15" ht="14.1" customHeight="1">
      <c r="A635" s="37">
        <v>11</v>
      </c>
      <c r="B635" s="37" t="s">
        <v>277</v>
      </c>
      <c r="C635" s="37">
        <v>2</v>
      </c>
      <c r="D635" s="56" t="str">
        <f>LUNES!$A$235</f>
        <v>Press Inclinado</v>
      </c>
      <c r="E635" s="57" t="str">
        <f>LUNES!$B$235</f>
        <v>Mancuernas</v>
      </c>
      <c r="F635" s="37" t="str">
        <f>LUNES!$C$235</f>
        <v>mancuerna</v>
      </c>
      <c r="G635" s="37" t="str">
        <f>IFERROR(LOOKUP(2,1/((HISTORIAL!$O$3:$O$633=D635&amp;"|"&amp;E635)*(HISTORIAL!$F$3:$F$633&lt;&gt;"")),HISTORIAL!$F$3:$F$633),"")</f>
        <v/>
      </c>
      <c r="H635" s="37" t="str">
        <f>IFERROR(LOOKUP(2,1/((HISTORIAL!$O$3:$O$633=D635&amp;"|"&amp;E635)*(HISTORIAL!$F$3:$F$633&lt;&gt;"")),HISTORIAL!$G$3:$G$633),"")</f>
        <v/>
      </c>
      <c r="I635" s="37" t="str">
        <f>IFERROR(LOOKUP(2,1/((HISTORIAL!$O$3:$O$633=D635&amp;"|"&amp;E635)*(HISTORIAL!$F$3:$F$633&lt;&gt;"")),HISTORIAL!$H$3:$H$633),"")</f>
        <v/>
      </c>
      <c r="J635" s="37" t="str">
        <f>IFERROR(LOOKUP(2,1/((HISTORIAL!$O$3:$O$633=D635&amp;"|"&amp;E635)*(HISTORIAL!$F$3:$F$633&lt;&gt;"")),HISTORIAL!$I$3:$I$633),"")</f>
        <v/>
      </c>
      <c r="K635" s="58" t="str">
        <f>IFERROR(IF(OR(G635="",N635="SIN"),"--",IF(N635="SUBIR_F",IF(F635="polea",IFERROR(INDEX(CONFIG!$B$25:$B$40,MATCH(G635,CONFIG!$B$25:$B$40,0)+2),IFERROR(INDEX(CONFIG!$B$25:$B$40,MATCH(G635,CONFIG!$B$25:$B$40,0)+1),G635)),G635+5),IF(OR(N635="SUBIR",N635="SUBIR_E"),IF(F635="polea",IFERROR(INDEX(CONFIG!$B$25:$B$40,MATCH(G635,CONFIG!$B$25:$B$40,0)+1),G635),G635+2.5),IF(N635="BAJAR",IF(F635="polea",IFERROR(INDEX(CONFIG!$B$25:$B$40,MAX(1,MATCH(G635,CONFIG!$B$25:$B$40,0)-1)),G635),MAX(0,G635-2.5)),G635)))),"--")</f>
        <v>--</v>
      </c>
      <c r="L635" s="59" t="str">
        <f>IFERROR(IF(N635="SIN","--",IF(N635="MANT",IF(H635="","--",H635+1),IFERROR(VLOOKUP(CONFIG!$E$2,CONFIG!$A$6:$E$8,2,0),"--"))),"--")</f>
        <v>--</v>
      </c>
      <c r="M635" s="59" t="str">
        <f>IFERROR(IF(N635="SIN","--",IF(CONFIG!$E$2="HIP",2,IF(CONFIG!$E$2="FUE",1,2))),"--")</f>
        <v>--</v>
      </c>
      <c r="N635" s="53" t="str">
        <f>IFERROR(IF(G635="","SIN",IF(O635=1,"SUBIR_E",IF(H635&lt;IFERROR(VLOOKUP(CONFIG!$E$2,CONFIG!$A$6:$E$8,2,0),6),"BAJAR",IF(H635+I635&gt;=IFERROR(VLOOKUP(CONFIG!$E$2,CONFIG!$A$6:$E$8,3,0),12),"SUBIR_F",IF(AND(H635&gt;=IFERROR(VLOOKUP(CONFIG!$E$2,CONFIG!$A$6:$E$8,2,0),6)+2,I635&gt;=2),"SUBIR",IF(I635&gt;IFERROR(VLOOKUP(CONFIG!$E$2,CONFIG!$A$6:$E$8,5,0),3),"SUBIR","MANT")))))),"SIN")</f>
        <v>SIN</v>
      </c>
      <c r="O635" s="55">
        <f>IF(COUNTIFS(HISTORIAL!$O$3:$O$633,D635&amp;"|"&amp;E635,HISTORIAL!$F$3:$F$633,"&gt;0")&lt;2,0,IF(COUNTIFS(HISTORIAL!$O$3:$O$633,D635&amp;"|"&amp;E635,HISTORIAL!$F$3:$F$633,IFERROR(LOOKUP(2,1/((HISTORIAL!$O$3:$O$633=D635&amp;"|"&amp;E635)*(HISTORIAL!$F$3:$F$633&gt;0)),HISTORIAL!$F$3:$F$633),0))&gt;=2,IF(IFERROR(LOOKUP(2,1/((HISTORIAL!$O$3:$O$633=D635&amp;"|"&amp;E635)*(HISTORIAL!$F$3:$F$633&gt;0)),HISTORIAL!$G$3:$G$633),0)&gt;0,IF(F635&gt;0,IF(G635&lt;=IFERROR(LOOKUP(2,1/((HISTORIAL!$O$3:$O$633=D635&amp;"|"&amp;E635)*(HISTORIAL!$F$3:$F$633&gt;0)),HISTORIAL!$G$3:$G$633),0),1,0),0),0),0))</f>
        <v>0</v>
      </c>
    </row>
    <row r="636" spans="1:15" ht="14.1" customHeight="1">
      <c r="A636" s="37">
        <v>11</v>
      </c>
      <c r="B636" s="37" t="s">
        <v>277</v>
      </c>
      <c r="C636" s="37">
        <v>3</v>
      </c>
      <c r="D636" s="56" t="str">
        <f>LUNES!$A$237</f>
        <v>Fondos</v>
      </c>
      <c r="E636" s="57" t="str">
        <f>LUNES!$B$237</f>
        <v>Paralelas</v>
      </c>
      <c r="F636" s="37" t="str">
        <f>LUNES!$C$237</f>
        <v>peso_corporal</v>
      </c>
      <c r="G636" s="37">
        <f>IFERROR(LOOKUP(2,1/((HISTORIAL!$O$3:$O$634=D636&amp;"|"&amp;E636)*(HISTORIAL!$F$3:$F$634&lt;&gt;"")),HISTORIAL!$F$3:$F$634),"")</f>
        <v>0</v>
      </c>
      <c r="H636" s="37">
        <f>IFERROR(LOOKUP(2,1/((HISTORIAL!$O$3:$O$634=D636&amp;"|"&amp;E636)*(HISTORIAL!$F$3:$F$634&lt;&gt;"")),HISTORIAL!$G$3:$G$634),"")</f>
        <v>12</v>
      </c>
      <c r="I636" s="37">
        <f>IFERROR(LOOKUP(2,1/((HISTORIAL!$O$3:$O$634=D636&amp;"|"&amp;E636)*(HISTORIAL!$F$3:$F$634&lt;&gt;"")),HISTORIAL!$H$3:$H$634),"")</f>
        <v>0</v>
      </c>
      <c r="J636" s="37" t="str">
        <f>IFERROR(LOOKUP(2,1/((HISTORIAL!$O$3:$O$634=D636&amp;"|"&amp;E636)*(HISTORIAL!$F$3:$F$634&lt;&gt;"")),HISTORIAL!$I$3:$I$634),"")</f>
        <v>B</v>
      </c>
      <c r="K636" s="58">
        <f>IFERROR(IF(OR(G636="",N636="SIN"),"--",IF(N636="SUBIR_F",IF(F636="polea",IFERROR(INDEX(CONFIG!$B$25:$B$40,MATCH(G636,CONFIG!$B$25:$B$40,0)+2),IFERROR(INDEX(CONFIG!$B$25:$B$40,MATCH(G636,CONFIG!$B$25:$B$40,0)+1),G636)),G636+5),IF(OR(N636="SUBIR",N636="SUBIR_E"),IF(F636="polea",IFERROR(INDEX(CONFIG!$B$25:$B$40,MATCH(G636,CONFIG!$B$25:$B$40,0)+1),G636),G636+2.5),IF(N636="BAJAR",IF(F636="polea",IFERROR(INDEX(CONFIG!$B$25:$B$40,MAX(1,MATCH(G636,CONFIG!$B$25:$B$40,0)-1)),G636),MAX(0,G636-2.5)),G636)))),"--")</f>
        <v>5</v>
      </c>
      <c r="L636" s="59">
        <f>IFERROR(IF(N636="SIN","--",IF(N636="MANT",IF(H636="","--",H636+1),IFERROR(VLOOKUP(CONFIG!$E$2,CONFIG!$A$6:$E$8,2,0),"--"))),"--")</f>
        <v>6</v>
      </c>
      <c r="M636" s="59">
        <f>IFERROR(IF(N636="SIN","--",IF(CONFIG!$E$2="HIP",2,IF(CONFIG!$E$2="FUE",1,2))),"--")</f>
        <v>2</v>
      </c>
      <c r="N636" s="53" t="str">
        <f>IFERROR(IF(G636="","SIN",IF(O636=1,"SUBIR_E",IF(H636&lt;IFERROR(VLOOKUP(CONFIG!$E$2,CONFIG!$A$6:$E$8,2,0),6),"BAJAR",IF(H636+I636&gt;=IFERROR(VLOOKUP(CONFIG!$E$2,CONFIG!$A$6:$E$8,3,0),12),"SUBIR_F",IF(AND(H636&gt;=IFERROR(VLOOKUP(CONFIG!$E$2,CONFIG!$A$6:$E$8,2,0),6)+2,I636&gt;=2),"SUBIR",IF(I636&gt;IFERROR(VLOOKUP(CONFIG!$E$2,CONFIG!$A$6:$E$8,5,0),3),"SUBIR","MANT")))))),"SIN")</f>
        <v>SUBIR_F</v>
      </c>
      <c r="O636" s="55">
        <f>IF(COUNTIFS(HISTORIAL!$O$3:$O$634,D636&amp;"|"&amp;E636,HISTORIAL!$F$3:$F$634,"&gt;0")&lt;2,0,IF(COUNTIFS(HISTORIAL!$O$3:$O$634,D636&amp;"|"&amp;E636,HISTORIAL!$F$3:$F$634,IFERROR(LOOKUP(2,1/((HISTORIAL!$O$3:$O$634=D636&amp;"|"&amp;E636)*(HISTORIAL!$F$3:$F$634&gt;0)),HISTORIAL!$F$3:$F$634),0))&gt;=2,IF(IFERROR(LOOKUP(2,1/((HISTORIAL!$O$3:$O$634=D636&amp;"|"&amp;E636)*(HISTORIAL!$F$3:$F$634&gt;0)),HISTORIAL!$G$3:$G$634),0)&gt;0,IF(F636&gt;0,IF(G636&lt;=IFERROR(LOOKUP(2,1/((HISTORIAL!$O$3:$O$634=D636&amp;"|"&amp;E636)*(HISTORIAL!$F$3:$F$634&gt;0)),HISTORIAL!$G$3:$G$634),0),1,0),0),0),0))</f>
        <v>0</v>
      </c>
    </row>
    <row r="637" spans="1:15" ht="14.1" customHeight="1">
      <c r="A637" s="37">
        <v>11</v>
      </c>
      <c r="B637" s="37" t="s">
        <v>277</v>
      </c>
      <c r="C637" s="37">
        <v>4</v>
      </c>
      <c r="D637" s="56" t="str">
        <f>LUNES!$A$238</f>
        <v>Aperturas</v>
      </c>
      <c r="E637" s="57" t="str">
        <f>LUNES!$B$238</f>
        <v>Polea Baja Crossover</v>
      </c>
      <c r="F637" s="37" t="str">
        <f>LUNES!$C$238</f>
        <v>--</v>
      </c>
      <c r="G637" s="37" t="str">
        <f>IFERROR(LOOKUP(2,1/((HISTORIAL!$O$3:$O$635=D637&amp;"|"&amp;E637)*(HISTORIAL!$F$3:$F$635&lt;&gt;"")),HISTORIAL!$F$3:$F$635),"")</f>
        <v/>
      </c>
      <c r="H637" s="37" t="str">
        <f>IFERROR(LOOKUP(2,1/((HISTORIAL!$O$3:$O$635=D637&amp;"|"&amp;E637)*(HISTORIAL!$F$3:$F$635&lt;&gt;"")),HISTORIAL!$G$3:$G$635),"")</f>
        <v/>
      </c>
      <c r="I637" s="37" t="str">
        <f>IFERROR(LOOKUP(2,1/((HISTORIAL!$O$3:$O$635=D637&amp;"|"&amp;E637)*(HISTORIAL!$F$3:$F$635&lt;&gt;"")),HISTORIAL!$H$3:$H$635),"")</f>
        <v/>
      </c>
      <c r="J637" s="37" t="str">
        <f>IFERROR(LOOKUP(2,1/((HISTORIAL!$O$3:$O$635=D637&amp;"|"&amp;E637)*(HISTORIAL!$F$3:$F$635&lt;&gt;"")),HISTORIAL!$I$3:$I$635),"")</f>
        <v/>
      </c>
      <c r="K637" s="58" t="str">
        <f>IFERROR(IF(OR(G637="",N637="SIN"),"--",IF(N637="SUBIR_F",IF(F637="polea",IFERROR(INDEX(CONFIG!$B$25:$B$40,MATCH(G637,CONFIG!$B$25:$B$40,0)+2),IFERROR(INDEX(CONFIG!$B$25:$B$40,MATCH(G637,CONFIG!$B$25:$B$40,0)+1),G637)),G637+5),IF(OR(N637="SUBIR",N637="SUBIR_E"),IF(F637="polea",IFERROR(INDEX(CONFIG!$B$25:$B$40,MATCH(G637,CONFIG!$B$25:$B$40,0)+1),G637),G637+2.5),IF(N637="BAJAR",IF(F637="polea",IFERROR(INDEX(CONFIG!$B$25:$B$40,MAX(1,MATCH(G637,CONFIG!$B$25:$B$40,0)-1)),G637),MAX(0,G637-2.5)),G637)))),"--")</f>
        <v>--</v>
      </c>
      <c r="L637" s="59" t="str">
        <f>IFERROR(IF(N637="SIN","--",IF(N637="MANT",IF(H637="","--",H637+1),IFERROR(VLOOKUP(CONFIG!$E$2,CONFIG!$A$6:$E$8,2,0),"--"))),"--")</f>
        <v>--</v>
      </c>
      <c r="M637" s="59" t="str">
        <f>IFERROR(IF(N637="SIN","--",IF(CONFIG!$E$2="HIP",2,IF(CONFIG!$E$2="FUE",1,2))),"--")</f>
        <v>--</v>
      </c>
      <c r="N637" s="53" t="str">
        <f>IFERROR(IF(G637="","SIN",IF(O637=1,"SUBIR_E",IF(H637&lt;IFERROR(VLOOKUP(CONFIG!$E$2,CONFIG!$A$6:$E$8,2,0),6),"BAJAR",IF(H637+I637&gt;=IFERROR(VLOOKUP(CONFIG!$E$2,CONFIG!$A$6:$E$8,3,0),12),"SUBIR_F",IF(AND(H637&gt;=IFERROR(VLOOKUP(CONFIG!$E$2,CONFIG!$A$6:$E$8,2,0),6)+2,I637&gt;=2),"SUBIR",IF(I637&gt;IFERROR(VLOOKUP(CONFIG!$E$2,CONFIG!$A$6:$E$8,5,0),3),"SUBIR","MANT")))))),"SIN")</f>
        <v>SIN</v>
      </c>
      <c r="O637" s="55">
        <f>IF(COUNTIFS(HISTORIAL!$O$3:$O$635,D637&amp;"|"&amp;E637,HISTORIAL!$F$3:$F$635,"&gt;0")&lt;2,0,IF(COUNTIFS(HISTORIAL!$O$3:$O$635,D637&amp;"|"&amp;E637,HISTORIAL!$F$3:$F$635,IFERROR(LOOKUP(2,1/((HISTORIAL!$O$3:$O$635=D637&amp;"|"&amp;E637)*(HISTORIAL!$F$3:$F$635&gt;0)),HISTORIAL!$F$3:$F$635),0))&gt;=2,IF(IFERROR(LOOKUP(2,1/((HISTORIAL!$O$3:$O$635=D637&amp;"|"&amp;E637)*(HISTORIAL!$F$3:$F$635&gt;0)),HISTORIAL!$G$3:$G$635),0)&gt;0,IF(F637&gt;0,IF(G637&lt;=IFERROR(LOOKUP(2,1/((HISTORIAL!$O$3:$O$635=D637&amp;"|"&amp;E637)*(HISTORIAL!$F$3:$F$635&gt;0)),HISTORIAL!$G$3:$G$635),0),1,0),0),0),0))</f>
        <v>0</v>
      </c>
    </row>
    <row r="638" spans="1:15" ht="14.1" customHeight="1">
      <c r="A638" s="37">
        <v>11</v>
      </c>
      <c r="B638" s="37" t="s">
        <v>277</v>
      </c>
      <c r="C638" s="37">
        <v>5</v>
      </c>
      <c r="D638" s="56" t="str">
        <f>LUNES!$A$239</f>
        <v>Aperturas</v>
      </c>
      <c r="E638" s="57" t="str">
        <f>LUNES!$B$239</f>
        <v>Pec Deck Maquina</v>
      </c>
      <c r="F638" s="37" t="str">
        <f>LUNES!$C$239</f>
        <v>--</v>
      </c>
      <c r="G638" s="37" t="str">
        <f>IFERROR(LOOKUP(2,1/((HISTORIAL!$O$3:$O$636=D638&amp;"|"&amp;E638)*(HISTORIAL!$F$3:$F$636&lt;&gt;"")),HISTORIAL!$F$3:$F$636),"")</f>
        <v/>
      </c>
      <c r="H638" s="37" t="str">
        <f>IFERROR(LOOKUP(2,1/((HISTORIAL!$O$3:$O$636=D638&amp;"|"&amp;E638)*(HISTORIAL!$F$3:$F$636&lt;&gt;"")),HISTORIAL!$G$3:$G$636),"")</f>
        <v/>
      </c>
      <c r="I638" s="37" t="str">
        <f>IFERROR(LOOKUP(2,1/((HISTORIAL!$O$3:$O$636=D638&amp;"|"&amp;E638)*(HISTORIAL!$F$3:$F$636&lt;&gt;"")),HISTORIAL!$H$3:$H$636),"")</f>
        <v/>
      </c>
      <c r="J638" s="37" t="str">
        <f>IFERROR(LOOKUP(2,1/((HISTORIAL!$O$3:$O$636=D638&amp;"|"&amp;E638)*(HISTORIAL!$F$3:$F$636&lt;&gt;"")),HISTORIAL!$I$3:$I$636),"")</f>
        <v/>
      </c>
      <c r="K638" s="58" t="str">
        <f>IFERROR(IF(OR(G638="",N638="SIN"),"--",IF(N638="SUBIR_F",IF(F638="polea",IFERROR(INDEX(CONFIG!$B$25:$B$40,MATCH(G638,CONFIG!$B$25:$B$40,0)+2),IFERROR(INDEX(CONFIG!$B$25:$B$40,MATCH(G638,CONFIG!$B$25:$B$40,0)+1),G638)),G638+5),IF(OR(N638="SUBIR",N638="SUBIR_E"),IF(F638="polea",IFERROR(INDEX(CONFIG!$B$25:$B$40,MATCH(G638,CONFIG!$B$25:$B$40,0)+1),G638),G638+2.5),IF(N638="BAJAR",IF(F638="polea",IFERROR(INDEX(CONFIG!$B$25:$B$40,MAX(1,MATCH(G638,CONFIG!$B$25:$B$40,0)-1)),G638),MAX(0,G638-2.5)),G638)))),"--")</f>
        <v>--</v>
      </c>
      <c r="L638" s="59" t="str">
        <f>IFERROR(IF(N638="SIN","--",IF(N638="MANT",IF(H638="","--",H638+1),IFERROR(VLOOKUP(CONFIG!$E$2,CONFIG!$A$6:$E$8,2,0),"--"))),"--")</f>
        <v>--</v>
      </c>
      <c r="M638" s="59" t="str">
        <f>IFERROR(IF(N638="SIN","--",IF(CONFIG!$E$2="HIP",2,IF(CONFIG!$E$2="FUE",1,2))),"--")</f>
        <v>--</v>
      </c>
      <c r="N638" s="53" t="str">
        <f>IFERROR(IF(G638="","SIN",IF(O638=1,"SUBIR_E",IF(H638&lt;IFERROR(VLOOKUP(CONFIG!$E$2,CONFIG!$A$6:$E$8,2,0),6),"BAJAR",IF(H638+I638&gt;=IFERROR(VLOOKUP(CONFIG!$E$2,CONFIG!$A$6:$E$8,3,0),12),"SUBIR_F",IF(AND(H638&gt;=IFERROR(VLOOKUP(CONFIG!$E$2,CONFIG!$A$6:$E$8,2,0),6)+2,I638&gt;=2),"SUBIR",IF(I638&gt;IFERROR(VLOOKUP(CONFIG!$E$2,CONFIG!$A$6:$E$8,5,0),3),"SUBIR","MANT")))))),"SIN")</f>
        <v>SIN</v>
      </c>
      <c r="O638" s="55">
        <f>IF(COUNTIFS(HISTORIAL!$O$3:$O$636,D638&amp;"|"&amp;E638,HISTORIAL!$F$3:$F$636,"&gt;0")&lt;2,0,IF(COUNTIFS(HISTORIAL!$O$3:$O$636,D638&amp;"|"&amp;E638,HISTORIAL!$F$3:$F$636,IFERROR(LOOKUP(2,1/((HISTORIAL!$O$3:$O$636=D638&amp;"|"&amp;E638)*(HISTORIAL!$F$3:$F$636&gt;0)),HISTORIAL!$F$3:$F$636),0))&gt;=2,IF(IFERROR(LOOKUP(2,1/((HISTORIAL!$O$3:$O$636=D638&amp;"|"&amp;E638)*(HISTORIAL!$F$3:$F$636&gt;0)),HISTORIAL!$G$3:$G$636),0)&gt;0,IF(F638&gt;0,IF(G638&lt;=IFERROR(LOOKUP(2,1/((HISTORIAL!$O$3:$O$636=D638&amp;"|"&amp;E638)*(HISTORIAL!$F$3:$F$636&gt;0)),HISTORIAL!$G$3:$G$636),0),1,0),0),0),0))</f>
        <v>0</v>
      </c>
    </row>
    <row r="639" spans="1:15" ht="14.1" customHeight="1">
      <c r="A639" s="37">
        <v>11</v>
      </c>
      <c r="B639" s="37" t="s">
        <v>277</v>
      </c>
      <c r="C639" s="37">
        <v>6</v>
      </c>
      <c r="D639" s="56" t="str">
        <f>LUNES!$A$241</f>
        <v>Elevaciones Laterales</v>
      </c>
      <c r="E639" s="57" t="str">
        <f>LUNES!$B$241</f>
        <v>Cable Polea Individual</v>
      </c>
      <c r="F639" s="37" t="str">
        <f>LUNES!$C$241</f>
        <v>polea</v>
      </c>
      <c r="G639" s="37" t="str">
        <f>IFERROR(LOOKUP(2,1/((HISTORIAL!$O$3:$O$637=D639&amp;"|"&amp;E639)*(HISTORIAL!$F$3:$F$637&lt;&gt;"")),HISTORIAL!$F$3:$F$637),"")</f>
        <v/>
      </c>
      <c r="H639" s="37" t="str">
        <f>IFERROR(LOOKUP(2,1/((HISTORIAL!$O$3:$O$637=D639&amp;"|"&amp;E639)*(HISTORIAL!$F$3:$F$637&lt;&gt;"")),HISTORIAL!$G$3:$G$637),"")</f>
        <v/>
      </c>
      <c r="I639" s="37" t="str">
        <f>IFERROR(LOOKUP(2,1/((HISTORIAL!$O$3:$O$637=D639&amp;"|"&amp;E639)*(HISTORIAL!$F$3:$F$637&lt;&gt;"")),HISTORIAL!$H$3:$H$637),"")</f>
        <v/>
      </c>
      <c r="J639" s="37" t="str">
        <f>IFERROR(LOOKUP(2,1/((HISTORIAL!$O$3:$O$637=D639&amp;"|"&amp;E639)*(HISTORIAL!$F$3:$F$637&lt;&gt;"")),HISTORIAL!$I$3:$I$637),"")</f>
        <v/>
      </c>
      <c r="K639" s="58" t="str">
        <f>IFERROR(IF(OR(G639="",N639="SIN"),"--",IF(N639="SUBIR_F",IF(F639="polea",IFERROR(INDEX(CONFIG!$B$25:$B$40,MATCH(G639,CONFIG!$B$25:$B$40,0)+2),IFERROR(INDEX(CONFIG!$B$25:$B$40,MATCH(G639,CONFIG!$B$25:$B$40,0)+1),G639)),G639+5),IF(OR(N639="SUBIR",N639="SUBIR_E"),IF(F639="polea",IFERROR(INDEX(CONFIG!$B$25:$B$40,MATCH(G639,CONFIG!$B$25:$B$40,0)+1),G639),G639+2.5),IF(N639="BAJAR",IF(F639="polea",IFERROR(INDEX(CONFIG!$B$25:$B$40,MAX(1,MATCH(G639,CONFIG!$B$25:$B$40,0)-1)),G639),MAX(0,G639-2.5)),G639)))),"--")</f>
        <v>--</v>
      </c>
      <c r="L639" s="59" t="str">
        <f>IFERROR(IF(N639="SIN","--",IF(N639="MANT",IF(H639="","--",H639+1),IFERROR(VLOOKUP(CONFIG!$E$2,CONFIG!$A$6:$E$8,2,0),"--"))),"--")</f>
        <v>--</v>
      </c>
      <c r="M639" s="59" t="str">
        <f>IFERROR(IF(N639="SIN","--",IF(CONFIG!$E$2="HIP",2,IF(CONFIG!$E$2="FUE",1,2))),"--")</f>
        <v>--</v>
      </c>
      <c r="N639" s="53" t="str">
        <f>IFERROR(IF(G639="","SIN",IF(O639=1,"SUBIR_E",IF(H639&lt;IFERROR(VLOOKUP(CONFIG!$E$2,CONFIG!$A$6:$E$8,2,0),6),"BAJAR",IF(H639+I639&gt;=IFERROR(VLOOKUP(CONFIG!$E$2,CONFIG!$A$6:$E$8,3,0),12),"SUBIR_F",IF(AND(H639&gt;=IFERROR(VLOOKUP(CONFIG!$E$2,CONFIG!$A$6:$E$8,2,0),6)+2,I639&gt;=2),"SUBIR",IF(I639&gt;IFERROR(VLOOKUP(CONFIG!$E$2,CONFIG!$A$6:$E$8,5,0),3),"SUBIR","MANT")))))),"SIN")</f>
        <v>SIN</v>
      </c>
      <c r="O639" s="55">
        <f>IF(COUNTIFS(HISTORIAL!$O$3:$O$637,D639&amp;"|"&amp;E639,HISTORIAL!$F$3:$F$637,"&gt;0")&lt;2,0,IF(COUNTIFS(HISTORIAL!$O$3:$O$637,D639&amp;"|"&amp;E639,HISTORIAL!$F$3:$F$637,IFERROR(LOOKUP(2,1/((HISTORIAL!$O$3:$O$637=D639&amp;"|"&amp;E639)*(HISTORIAL!$F$3:$F$637&gt;0)),HISTORIAL!$F$3:$F$637),0))&gt;=2,IF(IFERROR(LOOKUP(2,1/((HISTORIAL!$O$3:$O$637=D639&amp;"|"&amp;E639)*(HISTORIAL!$F$3:$F$637&gt;0)),HISTORIAL!$G$3:$G$637),0)&gt;0,IF(F639&gt;0,IF(G639&lt;=IFERROR(LOOKUP(2,1/((HISTORIAL!$O$3:$O$637=D639&amp;"|"&amp;E639)*(HISTORIAL!$F$3:$F$637&gt;0)),HISTORIAL!$G$3:$G$637),0),1,0),0),0),0))</f>
        <v>0</v>
      </c>
    </row>
    <row r="640" spans="1:15" ht="14.1" customHeight="1">
      <c r="A640" s="37">
        <v>11</v>
      </c>
      <c r="B640" s="37" t="s">
        <v>277</v>
      </c>
      <c r="C640" s="37">
        <v>7</v>
      </c>
      <c r="D640" s="56" t="str">
        <f>LUNES!$A$242</f>
        <v>Press Militar</v>
      </c>
      <c r="E640" s="57" t="str">
        <f>LUNES!$B$242</f>
        <v>Mancuernas Sentado</v>
      </c>
      <c r="F640" s="37" t="str">
        <f>LUNES!$C$242</f>
        <v>mancuerna</v>
      </c>
      <c r="G640" s="37" t="str">
        <f>IFERROR(LOOKUP(2,1/((HISTORIAL!$O$3:$O$638=D640&amp;"|"&amp;E640)*(HISTORIAL!$F$3:$F$638&lt;&gt;"")),HISTORIAL!$F$3:$F$638),"")</f>
        <v/>
      </c>
      <c r="H640" s="37" t="str">
        <f>IFERROR(LOOKUP(2,1/((HISTORIAL!$O$3:$O$638=D640&amp;"|"&amp;E640)*(HISTORIAL!$F$3:$F$638&lt;&gt;"")),HISTORIAL!$G$3:$G$638),"")</f>
        <v/>
      </c>
      <c r="I640" s="37" t="str">
        <f>IFERROR(LOOKUP(2,1/((HISTORIAL!$O$3:$O$638=D640&amp;"|"&amp;E640)*(HISTORIAL!$F$3:$F$638&lt;&gt;"")),HISTORIAL!$H$3:$H$638),"")</f>
        <v/>
      </c>
      <c r="J640" s="37" t="str">
        <f>IFERROR(LOOKUP(2,1/((HISTORIAL!$O$3:$O$638=D640&amp;"|"&amp;E640)*(HISTORIAL!$F$3:$F$638&lt;&gt;"")),HISTORIAL!$I$3:$I$638),"")</f>
        <v/>
      </c>
      <c r="K640" s="58" t="str">
        <f>IFERROR(IF(OR(G640="",N640="SIN"),"--",IF(N640="SUBIR_F",IF(F640="polea",IFERROR(INDEX(CONFIG!$B$25:$B$40,MATCH(G640,CONFIG!$B$25:$B$40,0)+2),IFERROR(INDEX(CONFIG!$B$25:$B$40,MATCH(G640,CONFIG!$B$25:$B$40,0)+1),G640)),G640+5),IF(OR(N640="SUBIR",N640="SUBIR_E"),IF(F640="polea",IFERROR(INDEX(CONFIG!$B$25:$B$40,MATCH(G640,CONFIG!$B$25:$B$40,0)+1),G640),G640+2.5),IF(N640="BAJAR",IF(F640="polea",IFERROR(INDEX(CONFIG!$B$25:$B$40,MAX(1,MATCH(G640,CONFIG!$B$25:$B$40,0)-1)),G640),MAX(0,G640-2.5)),G640)))),"--")</f>
        <v>--</v>
      </c>
      <c r="L640" s="59" t="str">
        <f>IFERROR(IF(N640="SIN","--",IF(N640="MANT",IF(H640="","--",H640+1),IFERROR(VLOOKUP(CONFIG!$E$2,CONFIG!$A$6:$E$8,2,0),"--"))),"--")</f>
        <v>--</v>
      </c>
      <c r="M640" s="59" t="str">
        <f>IFERROR(IF(N640="SIN","--",IF(CONFIG!$E$2="HIP",2,IF(CONFIG!$E$2="FUE",1,2))),"--")</f>
        <v>--</v>
      </c>
      <c r="N640" s="53" t="str">
        <f>IFERROR(IF(G640="","SIN",IF(O640=1,"SUBIR_E",IF(H640&lt;IFERROR(VLOOKUP(CONFIG!$E$2,CONFIG!$A$6:$E$8,2,0),6),"BAJAR",IF(H640+I640&gt;=IFERROR(VLOOKUP(CONFIG!$E$2,CONFIG!$A$6:$E$8,3,0),12),"SUBIR_F",IF(AND(H640&gt;=IFERROR(VLOOKUP(CONFIG!$E$2,CONFIG!$A$6:$E$8,2,0),6)+2,I640&gt;=2),"SUBIR",IF(I640&gt;IFERROR(VLOOKUP(CONFIG!$E$2,CONFIG!$A$6:$E$8,5,0),3),"SUBIR","MANT")))))),"SIN")</f>
        <v>SIN</v>
      </c>
      <c r="O640" s="55">
        <f>IF(COUNTIFS(HISTORIAL!$O$3:$O$638,D640&amp;"|"&amp;E640,HISTORIAL!$F$3:$F$638,"&gt;0")&lt;2,0,IF(COUNTIFS(HISTORIAL!$O$3:$O$638,D640&amp;"|"&amp;E640,HISTORIAL!$F$3:$F$638,IFERROR(LOOKUP(2,1/((HISTORIAL!$O$3:$O$638=D640&amp;"|"&amp;E640)*(HISTORIAL!$F$3:$F$638&gt;0)),HISTORIAL!$F$3:$F$638),0))&gt;=2,IF(IFERROR(LOOKUP(2,1/((HISTORIAL!$O$3:$O$638=D640&amp;"|"&amp;E640)*(HISTORIAL!$F$3:$F$638&gt;0)),HISTORIAL!$G$3:$G$638),0)&gt;0,IF(F640&gt;0,IF(G640&lt;=IFERROR(LOOKUP(2,1/((HISTORIAL!$O$3:$O$638=D640&amp;"|"&amp;E640)*(HISTORIAL!$F$3:$F$638&gt;0)),HISTORIAL!$G$3:$G$638),0),1,0),0),0),0))</f>
        <v>0</v>
      </c>
    </row>
    <row r="641" spans="1:15" ht="14.1" customHeight="1">
      <c r="A641" s="37">
        <v>11</v>
      </c>
      <c r="B641" s="37" t="s">
        <v>277</v>
      </c>
      <c r="C641" s="37">
        <v>8</v>
      </c>
      <c r="D641" s="56" t="str">
        <f>LUNES!$A$244</f>
        <v>Extension Triceps</v>
      </c>
      <c r="E641" s="57" t="str">
        <f>LUNES!$B$244</f>
        <v>Press Neutro Polea Individual</v>
      </c>
      <c r="F641" s="37" t="str">
        <f>LUNES!$C$244</f>
        <v>--</v>
      </c>
      <c r="G641" s="37" t="str">
        <f>IFERROR(LOOKUP(2,1/((HISTORIAL!$O$3:$O$639=D641&amp;"|"&amp;E641)*(HISTORIAL!$F$3:$F$639&lt;&gt;"")),HISTORIAL!$F$3:$F$639),"")</f>
        <v/>
      </c>
      <c r="H641" s="37" t="str">
        <f>IFERROR(LOOKUP(2,1/((HISTORIAL!$O$3:$O$639=D641&amp;"|"&amp;E641)*(HISTORIAL!$F$3:$F$639&lt;&gt;"")),HISTORIAL!$G$3:$G$639),"")</f>
        <v/>
      </c>
      <c r="I641" s="37" t="str">
        <f>IFERROR(LOOKUP(2,1/((HISTORIAL!$O$3:$O$639=D641&amp;"|"&amp;E641)*(HISTORIAL!$F$3:$F$639&lt;&gt;"")),HISTORIAL!$H$3:$H$639),"")</f>
        <v/>
      </c>
      <c r="J641" s="37" t="str">
        <f>IFERROR(LOOKUP(2,1/((HISTORIAL!$O$3:$O$639=D641&amp;"|"&amp;E641)*(HISTORIAL!$F$3:$F$639&lt;&gt;"")),HISTORIAL!$I$3:$I$639),"")</f>
        <v/>
      </c>
      <c r="K641" s="58" t="str">
        <f>IFERROR(IF(OR(G641="",N641="SIN"),"--",IF(N641="SUBIR_F",IF(F641="polea",IFERROR(INDEX(CONFIG!$B$25:$B$40,MATCH(G641,CONFIG!$B$25:$B$40,0)+2),IFERROR(INDEX(CONFIG!$B$25:$B$40,MATCH(G641,CONFIG!$B$25:$B$40,0)+1),G641)),G641+5),IF(OR(N641="SUBIR",N641="SUBIR_E"),IF(F641="polea",IFERROR(INDEX(CONFIG!$B$25:$B$40,MATCH(G641,CONFIG!$B$25:$B$40,0)+1),G641),G641+2.5),IF(N641="BAJAR",IF(F641="polea",IFERROR(INDEX(CONFIG!$B$25:$B$40,MAX(1,MATCH(G641,CONFIG!$B$25:$B$40,0)-1)),G641),MAX(0,G641-2.5)),G641)))),"--")</f>
        <v>--</v>
      </c>
      <c r="L641" s="59" t="str">
        <f>IFERROR(IF(N641="SIN","--",IF(N641="MANT",IF(H641="","--",H641+1),IFERROR(VLOOKUP(CONFIG!$E$2,CONFIG!$A$6:$E$8,2,0),"--"))),"--")</f>
        <v>--</v>
      </c>
      <c r="M641" s="59" t="str">
        <f>IFERROR(IF(N641="SIN","--",IF(CONFIG!$E$2="HIP",2,IF(CONFIG!$E$2="FUE",1,2))),"--")</f>
        <v>--</v>
      </c>
      <c r="N641" s="53" t="str">
        <f>IFERROR(IF(G641="","SIN",IF(O641=1,"SUBIR_E",IF(H641&lt;IFERROR(VLOOKUP(CONFIG!$E$2,CONFIG!$A$6:$E$8,2,0),6),"BAJAR",IF(H641+I641&gt;=IFERROR(VLOOKUP(CONFIG!$E$2,CONFIG!$A$6:$E$8,3,0),12),"SUBIR_F",IF(AND(H641&gt;=IFERROR(VLOOKUP(CONFIG!$E$2,CONFIG!$A$6:$E$8,2,0),6)+2,I641&gt;=2),"SUBIR",IF(I641&gt;IFERROR(VLOOKUP(CONFIG!$E$2,CONFIG!$A$6:$E$8,5,0),3),"SUBIR","MANT")))))),"SIN")</f>
        <v>SIN</v>
      </c>
      <c r="O641" s="55">
        <f>IF(COUNTIFS(HISTORIAL!$O$3:$O$639,D641&amp;"|"&amp;E641,HISTORIAL!$F$3:$F$639,"&gt;0")&lt;2,0,IF(COUNTIFS(HISTORIAL!$O$3:$O$639,D641&amp;"|"&amp;E641,HISTORIAL!$F$3:$F$639,IFERROR(LOOKUP(2,1/((HISTORIAL!$O$3:$O$639=D641&amp;"|"&amp;E641)*(HISTORIAL!$F$3:$F$639&gt;0)),HISTORIAL!$F$3:$F$639),0))&gt;=2,IF(IFERROR(LOOKUP(2,1/((HISTORIAL!$O$3:$O$639=D641&amp;"|"&amp;E641)*(HISTORIAL!$F$3:$F$639&gt;0)),HISTORIAL!$G$3:$G$639),0)&gt;0,IF(F641&gt;0,IF(G641&lt;=IFERROR(LOOKUP(2,1/((HISTORIAL!$O$3:$O$639=D641&amp;"|"&amp;E641)*(HISTORIAL!$F$3:$F$639&gt;0)),HISTORIAL!$G$3:$G$639),0),1,0),0),0),0))</f>
        <v>0</v>
      </c>
    </row>
    <row r="642" spans="1:15" ht="14.1" customHeight="1">
      <c r="A642" s="37">
        <v>11</v>
      </c>
      <c r="B642" s="37" t="s">
        <v>277</v>
      </c>
      <c r="C642" s="37">
        <v>9</v>
      </c>
      <c r="D642" s="56" t="str">
        <f>LUNES!$A$246</f>
        <v>Extension Cuadriceps</v>
      </c>
      <c r="E642" s="57" t="str">
        <f>LUNES!$B$246</f>
        <v>Vasto Externo</v>
      </c>
      <c r="F642" s="37" t="str">
        <f>LUNES!$C$246</f>
        <v>--</v>
      </c>
      <c r="G642" s="37" t="str">
        <f>IFERROR(LOOKUP(2,1/((HISTORIAL!$O$3:$O$640=D642&amp;"|"&amp;E642)*(HISTORIAL!$F$3:$F$640&lt;&gt;"")),HISTORIAL!$F$3:$F$640),"")</f>
        <v/>
      </c>
      <c r="H642" s="37" t="str">
        <f>IFERROR(LOOKUP(2,1/((HISTORIAL!$O$3:$O$640=D642&amp;"|"&amp;E642)*(HISTORIAL!$F$3:$F$640&lt;&gt;"")),HISTORIAL!$G$3:$G$640),"")</f>
        <v/>
      </c>
      <c r="I642" s="37" t="str">
        <f>IFERROR(LOOKUP(2,1/((HISTORIAL!$O$3:$O$640=D642&amp;"|"&amp;E642)*(HISTORIAL!$F$3:$F$640&lt;&gt;"")),HISTORIAL!$H$3:$H$640),"")</f>
        <v/>
      </c>
      <c r="J642" s="37" t="str">
        <f>IFERROR(LOOKUP(2,1/((HISTORIAL!$O$3:$O$640=D642&amp;"|"&amp;E642)*(HISTORIAL!$F$3:$F$640&lt;&gt;"")),HISTORIAL!$I$3:$I$640),"")</f>
        <v/>
      </c>
      <c r="K642" s="58" t="str">
        <f>IFERROR(IF(OR(G642="",N642="SIN"),"--",IF(N642="SUBIR_F",IF(F642="polea",IFERROR(INDEX(CONFIG!$B$25:$B$40,MATCH(G642,CONFIG!$B$25:$B$40,0)+2),IFERROR(INDEX(CONFIG!$B$25:$B$40,MATCH(G642,CONFIG!$B$25:$B$40,0)+1),G642)),G642+5),IF(OR(N642="SUBIR",N642="SUBIR_E"),IF(F642="polea",IFERROR(INDEX(CONFIG!$B$25:$B$40,MATCH(G642,CONFIG!$B$25:$B$40,0)+1),G642),G642+2.5),IF(N642="BAJAR",IF(F642="polea",IFERROR(INDEX(CONFIG!$B$25:$B$40,MAX(1,MATCH(G642,CONFIG!$B$25:$B$40,0)-1)),G642),MAX(0,G642-2.5)),G642)))),"--")</f>
        <v>--</v>
      </c>
      <c r="L642" s="59" t="str">
        <f>IFERROR(IF(N642="SIN","--",IF(N642="MANT",IF(H642="","--",H642+1),IFERROR(VLOOKUP(CONFIG!$E$2,CONFIG!$A$6:$E$8,2,0),"--"))),"--")</f>
        <v>--</v>
      </c>
      <c r="M642" s="59" t="str">
        <f>IFERROR(IF(N642="SIN","--",IF(CONFIG!$E$2="HIP",2,IF(CONFIG!$E$2="FUE",1,2))),"--")</f>
        <v>--</v>
      </c>
      <c r="N642" s="53" t="str">
        <f>IFERROR(IF(G642="","SIN",IF(O642=1,"SUBIR_E",IF(H642&lt;IFERROR(VLOOKUP(CONFIG!$E$2,CONFIG!$A$6:$E$8,2,0),6),"BAJAR",IF(H642+I642&gt;=IFERROR(VLOOKUP(CONFIG!$E$2,CONFIG!$A$6:$E$8,3,0),12),"SUBIR_F",IF(AND(H642&gt;=IFERROR(VLOOKUP(CONFIG!$E$2,CONFIG!$A$6:$E$8,2,0),6)+2,I642&gt;=2),"SUBIR",IF(I642&gt;IFERROR(VLOOKUP(CONFIG!$E$2,CONFIG!$A$6:$E$8,5,0),3),"SUBIR","MANT")))))),"SIN")</f>
        <v>SIN</v>
      </c>
      <c r="O642" s="55">
        <f>IF(COUNTIFS(HISTORIAL!$O$3:$O$640,D642&amp;"|"&amp;E642,HISTORIAL!$F$3:$F$640,"&gt;0")&lt;2,0,IF(COUNTIFS(HISTORIAL!$O$3:$O$640,D642&amp;"|"&amp;E642,HISTORIAL!$F$3:$F$640,IFERROR(LOOKUP(2,1/((HISTORIAL!$O$3:$O$640=D642&amp;"|"&amp;E642)*(HISTORIAL!$F$3:$F$640&gt;0)),HISTORIAL!$F$3:$F$640),0))&gt;=2,IF(IFERROR(LOOKUP(2,1/((HISTORIAL!$O$3:$O$640=D642&amp;"|"&amp;E642)*(HISTORIAL!$F$3:$F$640&gt;0)),HISTORIAL!$G$3:$G$640),0)&gt;0,IF(F642&gt;0,IF(G642&lt;=IFERROR(LOOKUP(2,1/((HISTORIAL!$O$3:$O$640=D642&amp;"|"&amp;E642)*(HISTORIAL!$F$3:$F$640&gt;0)),HISTORIAL!$G$3:$G$640),0),1,0),0),0),0))</f>
        <v>0</v>
      </c>
    </row>
    <row r="643" spans="1:15" ht="14.1" customHeight="1">
      <c r="A643" s="37">
        <v>11</v>
      </c>
      <c r="B643" s="37" t="s">
        <v>277</v>
      </c>
      <c r="C643" s="37">
        <v>10</v>
      </c>
      <c r="D643" s="56" t="str">
        <f>LUNES!$A$248</f>
        <v>Curl Biceps</v>
      </c>
      <c r="E643" s="57" t="str">
        <f>LUNES!$B$248</f>
        <v>Inclinado Banco Mancuernas</v>
      </c>
      <c r="F643" s="37" t="str">
        <f>LUNES!$C$248</f>
        <v>mancuerna</v>
      </c>
      <c r="G643" s="37" t="str">
        <f>IFERROR(LOOKUP(2,1/((HISTORIAL!$O$3:$O$641=D643&amp;"|"&amp;E643)*(HISTORIAL!$F$3:$F$641&lt;&gt;"")),HISTORIAL!$F$3:$F$641),"")</f>
        <v/>
      </c>
      <c r="H643" s="37" t="str">
        <f>IFERROR(LOOKUP(2,1/((HISTORIAL!$O$3:$O$641=D643&amp;"|"&amp;E643)*(HISTORIAL!$F$3:$F$641&lt;&gt;"")),HISTORIAL!$G$3:$G$641),"")</f>
        <v/>
      </c>
      <c r="I643" s="37" t="str">
        <f>IFERROR(LOOKUP(2,1/((HISTORIAL!$O$3:$O$641=D643&amp;"|"&amp;E643)*(HISTORIAL!$F$3:$F$641&lt;&gt;"")),HISTORIAL!$H$3:$H$641),"")</f>
        <v/>
      </c>
      <c r="J643" s="37" t="str">
        <f>IFERROR(LOOKUP(2,1/((HISTORIAL!$O$3:$O$641=D643&amp;"|"&amp;E643)*(HISTORIAL!$F$3:$F$641&lt;&gt;"")),HISTORIAL!$I$3:$I$641),"")</f>
        <v/>
      </c>
      <c r="K643" s="58" t="str">
        <f>IFERROR(IF(OR(G643="",N643="SIN"),"--",IF(N643="SUBIR_F",IF(F643="polea",IFERROR(INDEX(CONFIG!$B$25:$B$40,MATCH(G643,CONFIG!$B$25:$B$40,0)+2),IFERROR(INDEX(CONFIG!$B$25:$B$40,MATCH(G643,CONFIG!$B$25:$B$40,0)+1),G643)),G643+5),IF(OR(N643="SUBIR",N643="SUBIR_E"),IF(F643="polea",IFERROR(INDEX(CONFIG!$B$25:$B$40,MATCH(G643,CONFIG!$B$25:$B$40,0)+1),G643),G643+2.5),IF(N643="BAJAR",IF(F643="polea",IFERROR(INDEX(CONFIG!$B$25:$B$40,MAX(1,MATCH(G643,CONFIG!$B$25:$B$40,0)-1)),G643),MAX(0,G643-2.5)),G643)))),"--")</f>
        <v>--</v>
      </c>
      <c r="L643" s="59" t="str">
        <f>IFERROR(IF(N643="SIN","--",IF(N643="MANT",IF(H643="","--",H643+1),IFERROR(VLOOKUP(CONFIG!$E$2,CONFIG!$A$6:$E$8,2,0),"--"))),"--")</f>
        <v>--</v>
      </c>
      <c r="M643" s="59" t="str">
        <f>IFERROR(IF(N643="SIN","--",IF(CONFIG!$E$2="HIP",2,IF(CONFIG!$E$2="FUE",1,2))),"--")</f>
        <v>--</v>
      </c>
      <c r="N643" s="53" t="str">
        <f>IFERROR(IF(G643="","SIN",IF(O643=1,"SUBIR_E",IF(H643&lt;IFERROR(VLOOKUP(CONFIG!$E$2,CONFIG!$A$6:$E$8,2,0),6),"BAJAR",IF(H643+I643&gt;=IFERROR(VLOOKUP(CONFIG!$E$2,CONFIG!$A$6:$E$8,3,0),12),"SUBIR_F",IF(AND(H643&gt;=IFERROR(VLOOKUP(CONFIG!$E$2,CONFIG!$A$6:$E$8,2,0),6)+2,I643&gt;=2),"SUBIR",IF(I643&gt;IFERROR(VLOOKUP(CONFIG!$E$2,CONFIG!$A$6:$E$8,5,0),3),"SUBIR","MANT")))))),"SIN")</f>
        <v>SIN</v>
      </c>
      <c r="O643" s="55">
        <f>IF(COUNTIFS(HISTORIAL!$O$3:$O$641,D643&amp;"|"&amp;E643,HISTORIAL!$F$3:$F$641,"&gt;0")&lt;2,0,IF(COUNTIFS(HISTORIAL!$O$3:$O$641,D643&amp;"|"&amp;E643,HISTORIAL!$F$3:$F$641,IFERROR(LOOKUP(2,1/((HISTORIAL!$O$3:$O$641=D643&amp;"|"&amp;E643)*(HISTORIAL!$F$3:$F$641&gt;0)),HISTORIAL!$F$3:$F$641),0))&gt;=2,IF(IFERROR(LOOKUP(2,1/((HISTORIAL!$O$3:$O$641=D643&amp;"|"&amp;E643)*(HISTORIAL!$F$3:$F$641&gt;0)),HISTORIAL!$G$3:$G$641),0)&gt;0,IF(F643&gt;0,IF(G643&lt;=IFERROR(LOOKUP(2,1/((HISTORIAL!$O$3:$O$641=D643&amp;"|"&amp;E643)*(HISTORIAL!$F$3:$F$641&gt;0)),HISTORIAL!$G$3:$G$641),0),1,0),0),0),0))</f>
        <v>0</v>
      </c>
    </row>
    <row r="644" spans="1:15" ht="14.1" customHeight="1">
      <c r="A644" s="37">
        <v>11</v>
      </c>
      <c r="B644" s="37" t="s">
        <v>277</v>
      </c>
      <c r="C644" s="37">
        <v>11</v>
      </c>
      <c r="D644" s="56" t="str">
        <f>LUNES!$A$250</f>
        <v>Crunch</v>
      </c>
      <c r="E644" s="57" t="str">
        <f>LUNES!$B$250</f>
        <v>Polea</v>
      </c>
      <c r="F644" s="37" t="str">
        <f>LUNES!$C$250</f>
        <v>polea</v>
      </c>
      <c r="G644" s="37" t="str">
        <f>IFERROR(LOOKUP(2,1/((HISTORIAL!$O$3:$O$642=D644&amp;"|"&amp;E644)*(HISTORIAL!$F$3:$F$642&lt;&gt;"")),HISTORIAL!$F$3:$F$642),"")</f>
        <v/>
      </c>
      <c r="H644" s="37" t="str">
        <f>IFERROR(LOOKUP(2,1/((HISTORIAL!$O$3:$O$642=D644&amp;"|"&amp;E644)*(HISTORIAL!$F$3:$F$642&lt;&gt;"")),HISTORIAL!$G$3:$G$642),"")</f>
        <v/>
      </c>
      <c r="I644" s="37" t="str">
        <f>IFERROR(LOOKUP(2,1/((HISTORIAL!$O$3:$O$642=D644&amp;"|"&amp;E644)*(HISTORIAL!$F$3:$F$642&lt;&gt;"")),HISTORIAL!$H$3:$H$642),"")</f>
        <v/>
      </c>
      <c r="J644" s="37" t="str">
        <f>IFERROR(LOOKUP(2,1/((HISTORIAL!$O$3:$O$642=D644&amp;"|"&amp;E644)*(HISTORIAL!$F$3:$F$642&lt;&gt;"")),HISTORIAL!$I$3:$I$642),"")</f>
        <v/>
      </c>
      <c r="K644" s="58" t="str">
        <f>IFERROR(IF(OR(G644="",N644="SIN"),"--",IF(N644="SUBIR_F",IF(F644="polea",IFERROR(INDEX(CONFIG!$B$25:$B$40,MATCH(G644,CONFIG!$B$25:$B$40,0)+2),IFERROR(INDEX(CONFIG!$B$25:$B$40,MATCH(G644,CONFIG!$B$25:$B$40,0)+1),G644)),G644+5),IF(OR(N644="SUBIR",N644="SUBIR_E"),IF(F644="polea",IFERROR(INDEX(CONFIG!$B$25:$B$40,MATCH(G644,CONFIG!$B$25:$B$40,0)+1),G644),G644+2.5),IF(N644="BAJAR",IF(F644="polea",IFERROR(INDEX(CONFIG!$B$25:$B$40,MAX(1,MATCH(G644,CONFIG!$B$25:$B$40,0)-1)),G644),MAX(0,G644-2.5)),G644)))),"--")</f>
        <v>--</v>
      </c>
      <c r="L644" s="59" t="str">
        <f>IFERROR(IF(N644="SIN","--",IF(N644="MANT",IF(H644="","--",H644+1),IFERROR(VLOOKUP(CONFIG!$E$2,CONFIG!$A$6:$E$8,2,0),"--"))),"--")</f>
        <v>--</v>
      </c>
      <c r="M644" s="59" t="str">
        <f>IFERROR(IF(N644="SIN","--",IF(CONFIG!$E$2="HIP",2,IF(CONFIG!$E$2="FUE",1,2))),"--")</f>
        <v>--</v>
      </c>
      <c r="N644" s="53" t="str">
        <f>IFERROR(IF(G644="","SIN",IF(O644=1,"SUBIR_E",IF(H644&lt;IFERROR(VLOOKUP(CONFIG!$E$2,CONFIG!$A$6:$E$8,2,0),6),"BAJAR",IF(H644+I644&gt;=IFERROR(VLOOKUP(CONFIG!$E$2,CONFIG!$A$6:$E$8,3,0),12),"SUBIR_F",IF(AND(H644&gt;=IFERROR(VLOOKUP(CONFIG!$E$2,CONFIG!$A$6:$E$8,2,0),6)+2,I644&gt;=2),"SUBIR",IF(I644&gt;IFERROR(VLOOKUP(CONFIG!$E$2,CONFIG!$A$6:$E$8,5,0),3),"SUBIR","MANT")))))),"SIN")</f>
        <v>SIN</v>
      </c>
      <c r="O644" s="55">
        <f>IF(COUNTIFS(HISTORIAL!$O$3:$O$642,D644&amp;"|"&amp;E644,HISTORIAL!$F$3:$F$642,"&gt;0")&lt;2,0,IF(COUNTIFS(HISTORIAL!$O$3:$O$642,D644&amp;"|"&amp;E644,HISTORIAL!$F$3:$F$642,IFERROR(LOOKUP(2,1/((HISTORIAL!$O$3:$O$642=D644&amp;"|"&amp;E644)*(HISTORIAL!$F$3:$F$642&gt;0)),HISTORIAL!$F$3:$F$642),0))&gt;=2,IF(IFERROR(LOOKUP(2,1/((HISTORIAL!$O$3:$O$642=D644&amp;"|"&amp;E644)*(HISTORIAL!$F$3:$F$642&gt;0)),HISTORIAL!$G$3:$G$642),0)&gt;0,IF(F644&gt;0,IF(G644&lt;=IFERROR(LOOKUP(2,1/((HISTORIAL!$O$3:$O$642=D644&amp;"|"&amp;E644)*(HISTORIAL!$F$3:$F$642&gt;0)),HISTORIAL!$G$3:$G$642),0),1,0),0),0),0))</f>
        <v>0</v>
      </c>
    </row>
    <row r="645" spans="1:15" ht="14.1" customHeight="1">
      <c r="A645" s="37">
        <v>11</v>
      </c>
      <c r="B645" s="37" t="s">
        <v>278</v>
      </c>
      <c r="C645" s="37">
        <v>1</v>
      </c>
      <c r="D645" s="56" t="str">
        <f>MARTES!$A$223</f>
        <v>Dominadas</v>
      </c>
      <c r="E645" s="57" t="str">
        <f>MARTES!$B$223</f>
        <v>Polea Alta Prono Ancho</v>
      </c>
      <c r="F645" s="37" t="str">
        <f>MARTES!$C$223</f>
        <v>peso_corporal</v>
      </c>
      <c r="G645" s="37" t="str">
        <f>IFERROR(LOOKUP(2,1/((HISTORIAL!$O$3:$O$643=D645&amp;"|"&amp;E645)*(HISTORIAL!$F$3:$F$643&lt;&gt;"")),HISTORIAL!$F$3:$F$643),"")</f>
        <v/>
      </c>
      <c r="H645" s="37" t="str">
        <f>IFERROR(LOOKUP(2,1/((HISTORIAL!$O$3:$O$643=D645&amp;"|"&amp;E645)*(HISTORIAL!$F$3:$F$643&lt;&gt;"")),HISTORIAL!$G$3:$G$643),"")</f>
        <v/>
      </c>
      <c r="I645" s="37" t="str">
        <f>IFERROR(LOOKUP(2,1/((HISTORIAL!$O$3:$O$643=D645&amp;"|"&amp;E645)*(HISTORIAL!$F$3:$F$643&lt;&gt;"")),HISTORIAL!$H$3:$H$643),"")</f>
        <v/>
      </c>
      <c r="J645" s="37" t="str">
        <f>IFERROR(LOOKUP(2,1/((HISTORIAL!$O$3:$O$643=D645&amp;"|"&amp;E645)*(HISTORIAL!$F$3:$F$643&lt;&gt;"")),HISTORIAL!$I$3:$I$643),"")</f>
        <v/>
      </c>
      <c r="K645" s="58" t="str">
        <f>IFERROR(IF(OR(G645="",N645="SIN"),"--",IF(N645="SUBIR_F",IF(F645="polea",IFERROR(INDEX(CONFIG!$B$25:$B$40,MATCH(G645,CONFIG!$B$25:$B$40,0)+2),IFERROR(INDEX(CONFIG!$B$25:$B$40,MATCH(G645,CONFIG!$B$25:$B$40,0)+1),G645)),G645+5),IF(OR(N645="SUBIR",N645="SUBIR_E"),IF(F645="polea",IFERROR(INDEX(CONFIG!$B$25:$B$40,MATCH(G645,CONFIG!$B$25:$B$40,0)+1),G645),G645+2.5),IF(N645="BAJAR",IF(F645="polea",IFERROR(INDEX(CONFIG!$B$25:$B$40,MAX(1,MATCH(G645,CONFIG!$B$25:$B$40,0)-1)),G645),MAX(0,G645-2.5)),G645)))),"--")</f>
        <v>--</v>
      </c>
      <c r="L645" s="59" t="str">
        <f>IFERROR(IF(N645="SIN","--",IF(N645="MANT",IF(H645="","--",H645+1),IFERROR(VLOOKUP(CONFIG!$E$2,CONFIG!$A$6:$E$8,2,0),"--"))),"--")</f>
        <v>--</v>
      </c>
      <c r="M645" s="59" t="str">
        <f>IFERROR(IF(N645="SIN","--",IF(CONFIG!$E$2="HIP",2,IF(CONFIG!$E$2="FUE",1,2))),"--")</f>
        <v>--</v>
      </c>
      <c r="N645" s="53" t="str">
        <f>IFERROR(IF(G645="","SIN",IF(O645=1,"SUBIR_E",IF(H645&lt;IFERROR(VLOOKUP(CONFIG!$E$2,CONFIG!$A$6:$E$8,2,0),6),"BAJAR",IF(H645+I645&gt;=IFERROR(VLOOKUP(CONFIG!$E$2,CONFIG!$A$6:$E$8,3,0),12),"SUBIR_F",IF(AND(H645&gt;=IFERROR(VLOOKUP(CONFIG!$E$2,CONFIG!$A$6:$E$8,2,0),6)+2,I645&gt;=2),"SUBIR",IF(I645&gt;IFERROR(VLOOKUP(CONFIG!$E$2,CONFIG!$A$6:$E$8,5,0),3),"SUBIR","MANT")))))),"SIN")</f>
        <v>SIN</v>
      </c>
      <c r="O645" s="55">
        <f>IF(COUNTIFS(HISTORIAL!$O$3:$O$643,D645&amp;"|"&amp;E645,HISTORIAL!$F$3:$F$643,"&gt;0")&lt;2,0,IF(COUNTIFS(HISTORIAL!$O$3:$O$643,D645&amp;"|"&amp;E645,HISTORIAL!$F$3:$F$643,IFERROR(LOOKUP(2,1/((HISTORIAL!$O$3:$O$643=D645&amp;"|"&amp;E645)*(HISTORIAL!$F$3:$F$643&gt;0)),HISTORIAL!$F$3:$F$643),0))&gt;=2,IF(IFERROR(LOOKUP(2,1/((HISTORIAL!$O$3:$O$643=D645&amp;"|"&amp;E645)*(HISTORIAL!$F$3:$F$643&gt;0)),HISTORIAL!$G$3:$G$643),0)&gt;0,IF(F645&gt;0,IF(G645&lt;=IFERROR(LOOKUP(2,1/((HISTORIAL!$O$3:$O$643=D645&amp;"|"&amp;E645)*(HISTORIAL!$F$3:$F$643&gt;0)),HISTORIAL!$G$3:$G$643),0),1,0),0),0),0))</f>
        <v>0</v>
      </c>
    </row>
    <row r="646" spans="1:15" ht="14.1" customHeight="1">
      <c r="A646" s="37">
        <v>11</v>
      </c>
      <c r="B646" s="37" t="s">
        <v>278</v>
      </c>
      <c r="C646" s="37">
        <v>2</v>
      </c>
      <c r="D646" s="56" t="str">
        <f>MARTES!$A$224</f>
        <v>Pulldown</v>
      </c>
      <c r="E646" s="57" t="str">
        <f>MARTES!$B$224</f>
        <v>Polea Alta Brazos Rectos Prono</v>
      </c>
      <c r="F646" s="37" t="str">
        <f>MARTES!$C$224</f>
        <v>polea</v>
      </c>
      <c r="G646" s="37" t="str">
        <f>IFERROR(LOOKUP(2,1/((HISTORIAL!$O$3:$O$644=D646&amp;"|"&amp;E646)*(HISTORIAL!$F$3:$F$644&lt;&gt;"")),HISTORIAL!$F$3:$F$644),"")</f>
        <v/>
      </c>
      <c r="H646" s="37" t="str">
        <f>IFERROR(LOOKUP(2,1/((HISTORIAL!$O$3:$O$644=D646&amp;"|"&amp;E646)*(HISTORIAL!$F$3:$F$644&lt;&gt;"")),HISTORIAL!$G$3:$G$644),"")</f>
        <v/>
      </c>
      <c r="I646" s="37" t="str">
        <f>IFERROR(LOOKUP(2,1/((HISTORIAL!$O$3:$O$644=D646&amp;"|"&amp;E646)*(HISTORIAL!$F$3:$F$644&lt;&gt;"")),HISTORIAL!$H$3:$H$644),"")</f>
        <v/>
      </c>
      <c r="J646" s="37" t="str">
        <f>IFERROR(LOOKUP(2,1/((HISTORIAL!$O$3:$O$644=D646&amp;"|"&amp;E646)*(HISTORIAL!$F$3:$F$644&lt;&gt;"")),HISTORIAL!$I$3:$I$644),"")</f>
        <v/>
      </c>
      <c r="K646" s="58" t="str">
        <f>IFERROR(IF(OR(G646="",N646="SIN"),"--",IF(N646="SUBIR_F",IF(F646="polea",IFERROR(INDEX(CONFIG!$B$25:$B$40,MATCH(G646,CONFIG!$B$25:$B$40,0)+2),IFERROR(INDEX(CONFIG!$B$25:$B$40,MATCH(G646,CONFIG!$B$25:$B$40,0)+1),G646)),G646+5),IF(OR(N646="SUBIR",N646="SUBIR_E"),IF(F646="polea",IFERROR(INDEX(CONFIG!$B$25:$B$40,MATCH(G646,CONFIG!$B$25:$B$40,0)+1),G646),G646+2.5),IF(N646="BAJAR",IF(F646="polea",IFERROR(INDEX(CONFIG!$B$25:$B$40,MAX(1,MATCH(G646,CONFIG!$B$25:$B$40,0)-1)),G646),MAX(0,G646-2.5)),G646)))),"--")</f>
        <v>--</v>
      </c>
      <c r="L646" s="59" t="str">
        <f>IFERROR(IF(N646="SIN","--",IF(N646="MANT",IF(H646="","--",H646+1),IFERROR(VLOOKUP(CONFIG!$E$2,CONFIG!$A$6:$E$8,2,0),"--"))),"--")</f>
        <v>--</v>
      </c>
      <c r="M646" s="59" t="str">
        <f>IFERROR(IF(N646="SIN","--",IF(CONFIG!$E$2="HIP",2,IF(CONFIG!$E$2="FUE",1,2))),"--")</f>
        <v>--</v>
      </c>
      <c r="N646" s="53" t="str">
        <f>IFERROR(IF(G646="","SIN",IF(O646=1,"SUBIR_E",IF(H646&lt;IFERROR(VLOOKUP(CONFIG!$E$2,CONFIG!$A$6:$E$8,2,0),6),"BAJAR",IF(H646+I646&gt;=IFERROR(VLOOKUP(CONFIG!$E$2,CONFIG!$A$6:$E$8,3,0),12),"SUBIR_F",IF(AND(H646&gt;=IFERROR(VLOOKUP(CONFIG!$E$2,CONFIG!$A$6:$E$8,2,0),6)+2,I646&gt;=2),"SUBIR",IF(I646&gt;IFERROR(VLOOKUP(CONFIG!$E$2,CONFIG!$A$6:$E$8,5,0),3),"SUBIR","MANT")))))),"SIN")</f>
        <v>SIN</v>
      </c>
      <c r="O646" s="55">
        <f>IF(COUNTIFS(HISTORIAL!$O$3:$O$644,D646&amp;"|"&amp;E646,HISTORIAL!$F$3:$F$644,"&gt;0")&lt;2,0,IF(COUNTIFS(HISTORIAL!$O$3:$O$644,D646&amp;"|"&amp;E646,HISTORIAL!$F$3:$F$644,IFERROR(LOOKUP(2,1/((HISTORIAL!$O$3:$O$644=D646&amp;"|"&amp;E646)*(HISTORIAL!$F$3:$F$644&gt;0)),HISTORIAL!$F$3:$F$644),0))&gt;=2,IF(IFERROR(LOOKUP(2,1/((HISTORIAL!$O$3:$O$644=D646&amp;"|"&amp;E646)*(HISTORIAL!$F$3:$F$644&gt;0)),HISTORIAL!$G$3:$G$644),0)&gt;0,IF(F646&gt;0,IF(G646&lt;=IFERROR(LOOKUP(2,1/((HISTORIAL!$O$3:$O$644=D646&amp;"|"&amp;E646)*(HISTORIAL!$F$3:$F$644&gt;0)),HISTORIAL!$G$3:$G$644),0),1,0),0),0),0))</f>
        <v>0</v>
      </c>
    </row>
    <row r="647" spans="1:15" ht="14.1" customHeight="1">
      <c r="A647" s="37">
        <v>11</v>
      </c>
      <c r="B647" s="37" t="s">
        <v>278</v>
      </c>
      <c r="C647" s="37">
        <v>3</v>
      </c>
      <c r="D647" s="56" t="str">
        <f>MARTES!$A$226</f>
        <v>Remo</v>
      </c>
      <c r="E647" s="57" t="str">
        <f>MARTES!$B$226</f>
        <v>Maquina Hammer Neutro Unilateral</v>
      </c>
      <c r="F647" s="37" t="str">
        <f>MARTES!$C$226</f>
        <v>polea</v>
      </c>
      <c r="G647" s="37" t="str">
        <f>IFERROR(LOOKUP(2,1/((HISTORIAL!$O$3:$O$645=D647&amp;"|"&amp;E647)*(HISTORIAL!$F$3:$F$645&lt;&gt;"")),HISTORIAL!$F$3:$F$645),"")</f>
        <v/>
      </c>
      <c r="H647" s="37" t="str">
        <f>IFERROR(LOOKUP(2,1/((HISTORIAL!$O$3:$O$645=D647&amp;"|"&amp;E647)*(HISTORIAL!$F$3:$F$645&lt;&gt;"")),HISTORIAL!$G$3:$G$645),"")</f>
        <v/>
      </c>
      <c r="I647" s="37" t="str">
        <f>IFERROR(LOOKUP(2,1/((HISTORIAL!$O$3:$O$645=D647&amp;"|"&amp;E647)*(HISTORIAL!$F$3:$F$645&lt;&gt;"")),HISTORIAL!$H$3:$H$645),"")</f>
        <v/>
      </c>
      <c r="J647" s="37" t="str">
        <f>IFERROR(LOOKUP(2,1/((HISTORIAL!$O$3:$O$645=D647&amp;"|"&amp;E647)*(HISTORIAL!$F$3:$F$645&lt;&gt;"")),HISTORIAL!$I$3:$I$645),"")</f>
        <v/>
      </c>
      <c r="K647" s="58" t="str">
        <f>IFERROR(IF(OR(G647="",N647="SIN"),"--",IF(N647="SUBIR_F",IF(F647="polea",IFERROR(INDEX(CONFIG!$B$25:$B$40,MATCH(G647,CONFIG!$B$25:$B$40,0)+2),IFERROR(INDEX(CONFIG!$B$25:$B$40,MATCH(G647,CONFIG!$B$25:$B$40,0)+1),G647)),G647+5),IF(OR(N647="SUBIR",N647="SUBIR_E"),IF(F647="polea",IFERROR(INDEX(CONFIG!$B$25:$B$40,MATCH(G647,CONFIG!$B$25:$B$40,0)+1),G647),G647+2.5),IF(N647="BAJAR",IF(F647="polea",IFERROR(INDEX(CONFIG!$B$25:$B$40,MAX(1,MATCH(G647,CONFIG!$B$25:$B$40,0)-1)),G647),MAX(0,G647-2.5)),G647)))),"--")</f>
        <v>--</v>
      </c>
      <c r="L647" s="59" t="str">
        <f>IFERROR(IF(N647="SIN","--",IF(N647="MANT",IF(H647="","--",H647+1),IFERROR(VLOOKUP(CONFIG!$E$2,CONFIG!$A$6:$E$8,2,0),"--"))),"--")</f>
        <v>--</v>
      </c>
      <c r="M647" s="59" t="str">
        <f>IFERROR(IF(N647="SIN","--",IF(CONFIG!$E$2="HIP",2,IF(CONFIG!$E$2="FUE",1,2))),"--")</f>
        <v>--</v>
      </c>
      <c r="N647" s="53" t="str">
        <f>IFERROR(IF(G647="","SIN",IF(O647=1,"SUBIR_E",IF(H647&lt;IFERROR(VLOOKUP(CONFIG!$E$2,CONFIG!$A$6:$E$8,2,0),6),"BAJAR",IF(H647+I647&gt;=IFERROR(VLOOKUP(CONFIG!$E$2,CONFIG!$A$6:$E$8,3,0),12),"SUBIR_F",IF(AND(H647&gt;=IFERROR(VLOOKUP(CONFIG!$E$2,CONFIG!$A$6:$E$8,2,0),6)+2,I647&gt;=2),"SUBIR",IF(I647&gt;IFERROR(VLOOKUP(CONFIG!$E$2,CONFIG!$A$6:$E$8,5,0),3),"SUBIR","MANT")))))),"SIN")</f>
        <v>SIN</v>
      </c>
      <c r="O647" s="55">
        <f>IF(COUNTIFS(HISTORIAL!$O$3:$O$645,D647&amp;"|"&amp;E647,HISTORIAL!$F$3:$F$645,"&gt;0")&lt;2,0,IF(COUNTIFS(HISTORIAL!$O$3:$O$645,D647&amp;"|"&amp;E647,HISTORIAL!$F$3:$F$645,IFERROR(LOOKUP(2,1/((HISTORIAL!$O$3:$O$645=D647&amp;"|"&amp;E647)*(HISTORIAL!$F$3:$F$645&gt;0)),HISTORIAL!$F$3:$F$645),0))&gt;=2,IF(IFERROR(LOOKUP(2,1/((HISTORIAL!$O$3:$O$645=D647&amp;"|"&amp;E647)*(HISTORIAL!$F$3:$F$645&gt;0)),HISTORIAL!$G$3:$G$645),0)&gt;0,IF(F647&gt;0,IF(G647&lt;=IFERROR(LOOKUP(2,1/((HISTORIAL!$O$3:$O$645=D647&amp;"|"&amp;E647)*(HISTORIAL!$F$3:$F$645&gt;0)),HISTORIAL!$G$3:$G$645),0),1,0),0),0),0))</f>
        <v>0</v>
      </c>
    </row>
    <row r="648" spans="1:15" ht="14.1" customHeight="1">
      <c r="A648" s="37">
        <v>11</v>
      </c>
      <c r="B648" s="37" t="s">
        <v>278</v>
      </c>
      <c r="C648" s="37">
        <v>4</v>
      </c>
      <c r="D648" s="56" t="str">
        <f>MARTES!$A$227</f>
        <v>Remo</v>
      </c>
      <c r="E648" s="57" t="str">
        <f>MARTES!$B$227</f>
        <v>Maquina Prono</v>
      </c>
      <c r="F648" s="37" t="str">
        <f>MARTES!$C$227</f>
        <v>polea</v>
      </c>
      <c r="G648" s="37" t="str">
        <f>IFERROR(LOOKUP(2,1/((HISTORIAL!$O$3:$O$646=D648&amp;"|"&amp;E648)*(HISTORIAL!$F$3:$F$646&lt;&gt;"")),HISTORIAL!$F$3:$F$646),"")</f>
        <v/>
      </c>
      <c r="H648" s="37" t="str">
        <f>IFERROR(LOOKUP(2,1/((HISTORIAL!$O$3:$O$646=D648&amp;"|"&amp;E648)*(HISTORIAL!$F$3:$F$646&lt;&gt;"")),HISTORIAL!$G$3:$G$646),"")</f>
        <v/>
      </c>
      <c r="I648" s="37" t="str">
        <f>IFERROR(LOOKUP(2,1/((HISTORIAL!$O$3:$O$646=D648&amp;"|"&amp;E648)*(HISTORIAL!$F$3:$F$646&lt;&gt;"")),HISTORIAL!$H$3:$H$646),"")</f>
        <v/>
      </c>
      <c r="J648" s="37" t="str">
        <f>IFERROR(LOOKUP(2,1/((HISTORIAL!$O$3:$O$646=D648&amp;"|"&amp;E648)*(HISTORIAL!$F$3:$F$646&lt;&gt;"")),HISTORIAL!$I$3:$I$646),"")</f>
        <v/>
      </c>
      <c r="K648" s="58" t="str">
        <f>IFERROR(IF(OR(G648="",N648="SIN"),"--",IF(N648="SUBIR_F",IF(F648="polea",IFERROR(INDEX(CONFIG!$B$25:$B$40,MATCH(G648,CONFIG!$B$25:$B$40,0)+2),IFERROR(INDEX(CONFIG!$B$25:$B$40,MATCH(G648,CONFIG!$B$25:$B$40,0)+1),G648)),G648+5),IF(OR(N648="SUBIR",N648="SUBIR_E"),IF(F648="polea",IFERROR(INDEX(CONFIG!$B$25:$B$40,MATCH(G648,CONFIG!$B$25:$B$40,0)+1),G648),G648+2.5),IF(N648="BAJAR",IF(F648="polea",IFERROR(INDEX(CONFIG!$B$25:$B$40,MAX(1,MATCH(G648,CONFIG!$B$25:$B$40,0)-1)),G648),MAX(0,G648-2.5)),G648)))),"--")</f>
        <v>--</v>
      </c>
      <c r="L648" s="59" t="str">
        <f>IFERROR(IF(N648="SIN","--",IF(N648="MANT",IF(H648="","--",H648+1),IFERROR(VLOOKUP(CONFIG!$E$2,CONFIG!$A$6:$E$8,2,0),"--"))),"--")</f>
        <v>--</v>
      </c>
      <c r="M648" s="59" t="str">
        <f>IFERROR(IF(N648="SIN","--",IF(CONFIG!$E$2="HIP",2,IF(CONFIG!$E$2="FUE",1,2))),"--")</f>
        <v>--</v>
      </c>
      <c r="N648" s="53" t="str">
        <f>IFERROR(IF(G648="","SIN",IF(O648=1,"SUBIR_E",IF(H648&lt;IFERROR(VLOOKUP(CONFIG!$E$2,CONFIG!$A$6:$E$8,2,0),6),"BAJAR",IF(H648+I648&gt;=IFERROR(VLOOKUP(CONFIG!$E$2,CONFIG!$A$6:$E$8,3,0),12),"SUBIR_F",IF(AND(H648&gt;=IFERROR(VLOOKUP(CONFIG!$E$2,CONFIG!$A$6:$E$8,2,0),6)+2,I648&gt;=2),"SUBIR",IF(I648&gt;IFERROR(VLOOKUP(CONFIG!$E$2,CONFIG!$A$6:$E$8,5,0),3),"SUBIR","MANT")))))),"SIN")</f>
        <v>SIN</v>
      </c>
      <c r="O648" s="55">
        <f>IF(COUNTIFS(HISTORIAL!$O$3:$O$646,D648&amp;"|"&amp;E648,HISTORIAL!$F$3:$F$646,"&gt;0")&lt;2,0,IF(COUNTIFS(HISTORIAL!$O$3:$O$646,D648&amp;"|"&amp;E648,HISTORIAL!$F$3:$F$646,IFERROR(LOOKUP(2,1/((HISTORIAL!$O$3:$O$646=D648&amp;"|"&amp;E648)*(HISTORIAL!$F$3:$F$646&gt;0)),HISTORIAL!$F$3:$F$646),0))&gt;=2,IF(IFERROR(LOOKUP(2,1/((HISTORIAL!$O$3:$O$646=D648&amp;"|"&amp;E648)*(HISTORIAL!$F$3:$F$646&gt;0)),HISTORIAL!$G$3:$G$646),0)&gt;0,IF(F648&gt;0,IF(G648&lt;=IFERROR(LOOKUP(2,1/((HISTORIAL!$O$3:$O$646=D648&amp;"|"&amp;E648)*(HISTORIAL!$F$3:$F$646&gt;0)),HISTORIAL!$G$3:$G$646),0),1,0),0),0),0))</f>
        <v>0</v>
      </c>
    </row>
    <row r="649" spans="1:15" ht="14.1" customHeight="1">
      <c r="A649" s="37">
        <v>11</v>
      </c>
      <c r="B649" s="37" t="s">
        <v>278</v>
      </c>
      <c r="C649" s="37">
        <v>5</v>
      </c>
      <c r="D649" s="56" t="str">
        <f>MARTES!$A$229</f>
        <v>Curl Biceps</v>
      </c>
      <c r="E649" s="57" t="str">
        <f>MARTES!$B$229</f>
        <v>Inclinado Banco Mancuernas</v>
      </c>
      <c r="F649" s="37" t="str">
        <f>MARTES!$C$229</f>
        <v>mancuerna</v>
      </c>
      <c r="G649" s="37" t="str">
        <f>IFERROR(LOOKUP(2,1/((HISTORIAL!$O$3:$O$647=D649&amp;"|"&amp;E649)*(HISTORIAL!$F$3:$F$647&lt;&gt;"")),HISTORIAL!$F$3:$F$647),"")</f>
        <v/>
      </c>
      <c r="H649" s="37" t="str">
        <f>IFERROR(LOOKUP(2,1/((HISTORIAL!$O$3:$O$647=D649&amp;"|"&amp;E649)*(HISTORIAL!$F$3:$F$647&lt;&gt;"")),HISTORIAL!$G$3:$G$647),"")</f>
        <v/>
      </c>
      <c r="I649" s="37" t="str">
        <f>IFERROR(LOOKUP(2,1/((HISTORIAL!$O$3:$O$647=D649&amp;"|"&amp;E649)*(HISTORIAL!$F$3:$F$647&lt;&gt;"")),HISTORIAL!$H$3:$H$647),"")</f>
        <v/>
      </c>
      <c r="J649" s="37" t="str">
        <f>IFERROR(LOOKUP(2,1/((HISTORIAL!$O$3:$O$647=D649&amp;"|"&amp;E649)*(HISTORIAL!$F$3:$F$647&lt;&gt;"")),HISTORIAL!$I$3:$I$647),"")</f>
        <v/>
      </c>
      <c r="K649" s="58" t="str">
        <f>IFERROR(IF(OR(G649="",N649="SIN"),"--",IF(N649="SUBIR_F",IF(F649="polea",IFERROR(INDEX(CONFIG!$B$25:$B$40,MATCH(G649,CONFIG!$B$25:$B$40,0)+2),IFERROR(INDEX(CONFIG!$B$25:$B$40,MATCH(G649,CONFIG!$B$25:$B$40,0)+1),G649)),G649+5),IF(OR(N649="SUBIR",N649="SUBIR_E"),IF(F649="polea",IFERROR(INDEX(CONFIG!$B$25:$B$40,MATCH(G649,CONFIG!$B$25:$B$40,0)+1),G649),G649+2.5),IF(N649="BAJAR",IF(F649="polea",IFERROR(INDEX(CONFIG!$B$25:$B$40,MAX(1,MATCH(G649,CONFIG!$B$25:$B$40,0)-1)),G649),MAX(0,G649-2.5)),G649)))),"--")</f>
        <v>--</v>
      </c>
      <c r="L649" s="59" t="str">
        <f>IFERROR(IF(N649="SIN","--",IF(N649="MANT",IF(H649="","--",H649+1),IFERROR(VLOOKUP(CONFIG!$E$2,CONFIG!$A$6:$E$8,2,0),"--"))),"--")</f>
        <v>--</v>
      </c>
      <c r="M649" s="59" t="str">
        <f>IFERROR(IF(N649="SIN","--",IF(CONFIG!$E$2="HIP",2,IF(CONFIG!$E$2="FUE",1,2))),"--")</f>
        <v>--</v>
      </c>
      <c r="N649" s="53" t="str">
        <f>IFERROR(IF(G649="","SIN",IF(O649=1,"SUBIR_E",IF(H649&lt;IFERROR(VLOOKUP(CONFIG!$E$2,CONFIG!$A$6:$E$8,2,0),6),"BAJAR",IF(H649+I649&gt;=IFERROR(VLOOKUP(CONFIG!$E$2,CONFIG!$A$6:$E$8,3,0),12),"SUBIR_F",IF(AND(H649&gt;=IFERROR(VLOOKUP(CONFIG!$E$2,CONFIG!$A$6:$E$8,2,0),6)+2,I649&gt;=2),"SUBIR",IF(I649&gt;IFERROR(VLOOKUP(CONFIG!$E$2,CONFIG!$A$6:$E$8,5,0),3),"SUBIR","MANT")))))),"SIN")</f>
        <v>SIN</v>
      </c>
      <c r="O649" s="55">
        <f>IF(COUNTIFS(HISTORIAL!$O$3:$O$647,D649&amp;"|"&amp;E649,HISTORIAL!$F$3:$F$647,"&gt;0")&lt;2,0,IF(COUNTIFS(HISTORIAL!$O$3:$O$647,D649&amp;"|"&amp;E649,HISTORIAL!$F$3:$F$647,IFERROR(LOOKUP(2,1/((HISTORIAL!$O$3:$O$647=D649&amp;"|"&amp;E649)*(HISTORIAL!$F$3:$F$647&gt;0)),HISTORIAL!$F$3:$F$647),0))&gt;=2,IF(IFERROR(LOOKUP(2,1/((HISTORIAL!$O$3:$O$647=D649&amp;"|"&amp;E649)*(HISTORIAL!$F$3:$F$647&gt;0)),HISTORIAL!$G$3:$G$647),0)&gt;0,IF(F649&gt;0,IF(G649&lt;=IFERROR(LOOKUP(2,1/((HISTORIAL!$O$3:$O$647=D649&amp;"|"&amp;E649)*(HISTORIAL!$F$3:$F$647&gt;0)),HISTORIAL!$G$3:$G$647),0),1,0),0),0),0))</f>
        <v>0</v>
      </c>
    </row>
    <row r="650" spans="1:15" ht="14.1" customHeight="1">
      <c r="A650" s="37">
        <v>11</v>
      </c>
      <c r="B650" s="37" t="s">
        <v>278</v>
      </c>
      <c r="C650" s="37">
        <v>6</v>
      </c>
      <c r="D650" s="56" t="str">
        <f>MARTES!$A$230</f>
        <v>Curl Biceps</v>
      </c>
      <c r="E650" s="57" t="str">
        <f>MARTES!$B$230</f>
        <v>Polea Baja Supino</v>
      </c>
      <c r="F650" s="37" t="str">
        <f>MARTES!$C$230</f>
        <v>polea</v>
      </c>
      <c r="G650" s="37" t="str">
        <f>IFERROR(LOOKUP(2,1/((HISTORIAL!$O$3:$O$648=D650&amp;"|"&amp;E650)*(HISTORIAL!$F$3:$F$648&lt;&gt;"")),HISTORIAL!$F$3:$F$648),"")</f>
        <v/>
      </c>
      <c r="H650" s="37" t="str">
        <f>IFERROR(LOOKUP(2,1/((HISTORIAL!$O$3:$O$648=D650&amp;"|"&amp;E650)*(HISTORIAL!$F$3:$F$648&lt;&gt;"")),HISTORIAL!$G$3:$G$648),"")</f>
        <v/>
      </c>
      <c r="I650" s="37" t="str">
        <f>IFERROR(LOOKUP(2,1/((HISTORIAL!$O$3:$O$648=D650&amp;"|"&amp;E650)*(HISTORIAL!$F$3:$F$648&lt;&gt;"")),HISTORIAL!$H$3:$H$648),"")</f>
        <v/>
      </c>
      <c r="J650" s="37" t="str">
        <f>IFERROR(LOOKUP(2,1/((HISTORIAL!$O$3:$O$648=D650&amp;"|"&amp;E650)*(HISTORIAL!$F$3:$F$648&lt;&gt;"")),HISTORIAL!$I$3:$I$648),"")</f>
        <v/>
      </c>
      <c r="K650" s="58" t="str">
        <f>IFERROR(IF(OR(G650="",N650="SIN"),"--",IF(N650="SUBIR_F",IF(F650="polea",IFERROR(INDEX(CONFIG!$B$25:$B$40,MATCH(G650,CONFIG!$B$25:$B$40,0)+2),IFERROR(INDEX(CONFIG!$B$25:$B$40,MATCH(G650,CONFIG!$B$25:$B$40,0)+1),G650)),G650+5),IF(OR(N650="SUBIR",N650="SUBIR_E"),IF(F650="polea",IFERROR(INDEX(CONFIG!$B$25:$B$40,MATCH(G650,CONFIG!$B$25:$B$40,0)+1),G650),G650+2.5),IF(N650="BAJAR",IF(F650="polea",IFERROR(INDEX(CONFIG!$B$25:$B$40,MAX(1,MATCH(G650,CONFIG!$B$25:$B$40,0)-1)),G650),MAX(0,G650-2.5)),G650)))),"--")</f>
        <v>--</v>
      </c>
      <c r="L650" s="59" t="str">
        <f>IFERROR(IF(N650="SIN","--",IF(N650="MANT",IF(H650="","--",H650+1),IFERROR(VLOOKUP(CONFIG!$E$2,CONFIG!$A$6:$E$8,2,0),"--"))),"--")</f>
        <v>--</v>
      </c>
      <c r="M650" s="59" t="str">
        <f>IFERROR(IF(N650="SIN","--",IF(CONFIG!$E$2="HIP",2,IF(CONFIG!$E$2="FUE",1,2))),"--")</f>
        <v>--</v>
      </c>
      <c r="N650" s="53" t="str">
        <f>IFERROR(IF(G650="","SIN",IF(O650=1,"SUBIR_E",IF(H650&lt;IFERROR(VLOOKUP(CONFIG!$E$2,CONFIG!$A$6:$E$8,2,0),6),"BAJAR",IF(H650+I650&gt;=IFERROR(VLOOKUP(CONFIG!$E$2,CONFIG!$A$6:$E$8,3,0),12),"SUBIR_F",IF(AND(H650&gt;=IFERROR(VLOOKUP(CONFIG!$E$2,CONFIG!$A$6:$E$8,2,0),6)+2,I650&gt;=2),"SUBIR",IF(I650&gt;IFERROR(VLOOKUP(CONFIG!$E$2,CONFIG!$A$6:$E$8,5,0),3),"SUBIR","MANT")))))),"SIN")</f>
        <v>SIN</v>
      </c>
      <c r="O650" s="55">
        <f>IF(COUNTIFS(HISTORIAL!$O$3:$O$648,D650&amp;"|"&amp;E650,HISTORIAL!$F$3:$F$648,"&gt;0")&lt;2,0,IF(COUNTIFS(HISTORIAL!$O$3:$O$648,D650&amp;"|"&amp;E650,HISTORIAL!$F$3:$F$648,IFERROR(LOOKUP(2,1/((HISTORIAL!$O$3:$O$648=D650&amp;"|"&amp;E650)*(HISTORIAL!$F$3:$F$648&gt;0)),HISTORIAL!$F$3:$F$648),0))&gt;=2,IF(IFERROR(LOOKUP(2,1/((HISTORIAL!$O$3:$O$648=D650&amp;"|"&amp;E650)*(HISTORIAL!$F$3:$F$648&gt;0)),HISTORIAL!$G$3:$G$648),0)&gt;0,IF(F650&gt;0,IF(G650&lt;=IFERROR(LOOKUP(2,1/((HISTORIAL!$O$3:$O$648=D650&amp;"|"&amp;E650)*(HISTORIAL!$F$3:$F$648&gt;0)),HISTORIAL!$G$3:$G$648),0),1,0),0),0),0))</f>
        <v>0</v>
      </c>
    </row>
    <row r="651" spans="1:15" ht="14.1" customHeight="1">
      <c r="A651" s="37">
        <v>11</v>
      </c>
      <c r="B651" s="37" t="s">
        <v>278</v>
      </c>
      <c r="C651" s="37">
        <v>7</v>
      </c>
      <c r="D651" s="56" t="str">
        <f>MARTES!$A$232</f>
        <v>Curl Muneca</v>
      </c>
      <c r="E651" s="57" t="str">
        <f>MARTES!$B$232</f>
        <v>Supinado</v>
      </c>
      <c r="F651" s="37" t="str">
        <f>MARTES!$C$232</f>
        <v>mancuerna</v>
      </c>
      <c r="G651" s="37" t="str">
        <f>IFERROR(LOOKUP(2,1/((HISTORIAL!$O$3:$O$649=D651&amp;"|"&amp;E651)*(HISTORIAL!$F$3:$F$649&lt;&gt;"")),HISTORIAL!$F$3:$F$649),"")</f>
        <v/>
      </c>
      <c r="H651" s="37" t="str">
        <f>IFERROR(LOOKUP(2,1/((HISTORIAL!$O$3:$O$649=D651&amp;"|"&amp;E651)*(HISTORIAL!$F$3:$F$649&lt;&gt;"")),HISTORIAL!$G$3:$G$649),"")</f>
        <v/>
      </c>
      <c r="I651" s="37" t="str">
        <f>IFERROR(LOOKUP(2,1/((HISTORIAL!$O$3:$O$649=D651&amp;"|"&amp;E651)*(HISTORIAL!$F$3:$F$649&lt;&gt;"")),HISTORIAL!$H$3:$H$649),"")</f>
        <v/>
      </c>
      <c r="J651" s="37" t="str">
        <f>IFERROR(LOOKUP(2,1/((HISTORIAL!$O$3:$O$649=D651&amp;"|"&amp;E651)*(HISTORIAL!$F$3:$F$649&lt;&gt;"")),HISTORIAL!$I$3:$I$649),"")</f>
        <v/>
      </c>
      <c r="K651" s="58" t="str">
        <f>IFERROR(IF(OR(G651="",N651="SIN"),"--",IF(N651="SUBIR_F",IF(F651="polea",IFERROR(INDEX(CONFIG!$B$25:$B$40,MATCH(G651,CONFIG!$B$25:$B$40,0)+2),IFERROR(INDEX(CONFIG!$B$25:$B$40,MATCH(G651,CONFIG!$B$25:$B$40,0)+1),G651)),G651+5),IF(OR(N651="SUBIR",N651="SUBIR_E"),IF(F651="polea",IFERROR(INDEX(CONFIG!$B$25:$B$40,MATCH(G651,CONFIG!$B$25:$B$40,0)+1),G651),G651+2.5),IF(N651="BAJAR",IF(F651="polea",IFERROR(INDEX(CONFIG!$B$25:$B$40,MAX(1,MATCH(G651,CONFIG!$B$25:$B$40,0)-1)),G651),MAX(0,G651-2.5)),G651)))),"--")</f>
        <v>--</v>
      </c>
      <c r="L651" s="59" t="str">
        <f>IFERROR(IF(N651="SIN","--",IF(N651="MANT",IF(H651="","--",H651+1),IFERROR(VLOOKUP(CONFIG!$E$2,CONFIG!$A$6:$E$8,2,0),"--"))),"--")</f>
        <v>--</v>
      </c>
      <c r="M651" s="59" t="str">
        <f>IFERROR(IF(N651="SIN","--",IF(CONFIG!$E$2="HIP",2,IF(CONFIG!$E$2="FUE",1,2))),"--")</f>
        <v>--</v>
      </c>
      <c r="N651" s="53" t="str">
        <f>IFERROR(IF(G651="","SIN",IF(O651=1,"SUBIR_E",IF(H651&lt;IFERROR(VLOOKUP(CONFIG!$E$2,CONFIG!$A$6:$E$8,2,0),6),"BAJAR",IF(H651+I651&gt;=IFERROR(VLOOKUP(CONFIG!$E$2,CONFIG!$A$6:$E$8,3,0),12),"SUBIR_F",IF(AND(H651&gt;=IFERROR(VLOOKUP(CONFIG!$E$2,CONFIG!$A$6:$E$8,2,0),6)+2,I651&gt;=2),"SUBIR",IF(I651&gt;IFERROR(VLOOKUP(CONFIG!$E$2,CONFIG!$A$6:$E$8,5,0),3),"SUBIR","MANT")))))),"SIN")</f>
        <v>SIN</v>
      </c>
      <c r="O651" s="55">
        <f>IF(COUNTIFS(HISTORIAL!$O$3:$O$649,D651&amp;"|"&amp;E651,HISTORIAL!$F$3:$F$649,"&gt;0")&lt;2,0,IF(COUNTIFS(HISTORIAL!$O$3:$O$649,D651&amp;"|"&amp;E651,HISTORIAL!$F$3:$F$649,IFERROR(LOOKUP(2,1/((HISTORIAL!$O$3:$O$649=D651&amp;"|"&amp;E651)*(HISTORIAL!$F$3:$F$649&gt;0)),HISTORIAL!$F$3:$F$649),0))&gt;=2,IF(IFERROR(LOOKUP(2,1/((HISTORIAL!$O$3:$O$649=D651&amp;"|"&amp;E651)*(HISTORIAL!$F$3:$F$649&gt;0)),HISTORIAL!$G$3:$G$649),0)&gt;0,IF(F651&gt;0,IF(G651&lt;=IFERROR(LOOKUP(2,1/((HISTORIAL!$O$3:$O$649=D651&amp;"|"&amp;E651)*(HISTORIAL!$F$3:$F$649&gt;0)),HISTORIAL!$G$3:$G$649),0),1,0),0),0),0))</f>
        <v>0</v>
      </c>
    </row>
    <row r="652" spans="1:15" ht="14.1" customHeight="1">
      <c r="A652" s="37">
        <v>11</v>
      </c>
      <c r="B652" s="37" t="s">
        <v>278</v>
      </c>
      <c r="C652" s="37">
        <v>8</v>
      </c>
      <c r="D652" s="56" t="str">
        <f>MARTES!$A$233</f>
        <v>Curl Muneca</v>
      </c>
      <c r="E652" s="57" t="str">
        <f>MARTES!$B$233</f>
        <v>Pronado</v>
      </c>
      <c r="F652" s="37" t="str">
        <f>MARTES!$C$233</f>
        <v>mancuerna</v>
      </c>
      <c r="G652" s="37" t="str">
        <f>IFERROR(LOOKUP(2,1/((HISTORIAL!$O$3:$O$650=D652&amp;"|"&amp;E652)*(HISTORIAL!$F$3:$F$650&lt;&gt;"")),HISTORIAL!$F$3:$F$650),"")</f>
        <v/>
      </c>
      <c r="H652" s="37" t="str">
        <f>IFERROR(LOOKUP(2,1/((HISTORIAL!$O$3:$O$650=D652&amp;"|"&amp;E652)*(HISTORIAL!$F$3:$F$650&lt;&gt;"")),HISTORIAL!$G$3:$G$650),"")</f>
        <v/>
      </c>
      <c r="I652" s="37" t="str">
        <f>IFERROR(LOOKUP(2,1/((HISTORIAL!$O$3:$O$650=D652&amp;"|"&amp;E652)*(HISTORIAL!$F$3:$F$650&lt;&gt;"")),HISTORIAL!$H$3:$H$650),"")</f>
        <v/>
      </c>
      <c r="J652" s="37" t="str">
        <f>IFERROR(LOOKUP(2,1/((HISTORIAL!$O$3:$O$650=D652&amp;"|"&amp;E652)*(HISTORIAL!$F$3:$F$650&lt;&gt;"")),HISTORIAL!$I$3:$I$650),"")</f>
        <v/>
      </c>
      <c r="K652" s="58" t="str">
        <f>IFERROR(IF(OR(G652="",N652="SIN"),"--",IF(N652="SUBIR_F",IF(F652="polea",IFERROR(INDEX(CONFIG!$B$25:$B$40,MATCH(G652,CONFIG!$B$25:$B$40,0)+2),IFERROR(INDEX(CONFIG!$B$25:$B$40,MATCH(G652,CONFIG!$B$25:$B$40,0)+1),G652)),G652+5),IF(OR(N652="SUBIR",N652="SUBIR_E"),IF(F652="polea",IFERROR(INDEX(CONFIG!$B$25:$B$40,MATCH(G652,CONFIG!$B$25:$B$40,0)+1),G652),G652+2.5),IF(N652="BAJAR",IF(F652="polea",IFERROR(INDEX(CONFIG!$B$25:$B$40,MAX(1,MATCH(G652,CONFIG!$B$25:$B$40,0)-1)),G652),MAX(0,G652-2.5)),G652)))),"--")</f>
        <v>--</v>
      </c>
      <c r="L652" s="59" t="str">
        <f>IFERROR(IF(N652="SIN","--",IF(N652="MANT",IF(H652="","--",H652+1),IFERROR(VLOOKUP(CONFIG!$E$2,CONFIG!$A$6:$E$8,2,0),"--"))),"--")</f>
        <v>--</v>
      </c>
      <c r="M652" s="59" t="str">
        <f>IFERROR(IF(N652="SIN","--",IF(CONFIG!$E$2="HIP",2,IF(CONFIG!$E$2="FUE",1,2))),"--")</f>
        <v>--</v>
      </c>
      <c r="N652" s="53" t="str">
        <f>IFERROR(IF(G652="","SIN",IF(O652=1,"SUBIR_E",IF(H652&lt;IFERROR(VLOOKUP(CONFIG!$E$2,CONFIG!$A$6:$E$8,2,0),6),"BAJAR",IF(H652+I652&gt;=IFERROR(VLOOKUP(CONFIG!$E$2,CONFIG!$A$6:$E$8,3,0),12),"SUBIR_F",IF(AND(H652&gt;=IFERROR(VLOOKUP(CONFIG!$E$2,CONFIG!$A$6:$E$8,2,0),6)+2,I652&gt;=2),"SUBIR",IF(I652&gt;IFERROR(VLOOKUP(CONFIG!$E$2,CONFIG!$A$6:$E$8,5,0),3),"SUBIR","MANT")))))),"SIN")</f>
        <v>SIN</v>
      </c>
      <c r="O652" s="55">
        <f>IF(COUNTIFS(HISTORIAL!$O$3:$O$650,D652&amp;"|"&amp;E652,HISTORIAL!$F$3:$F$650,"&gt;0")&lt;2,0,IF(COUNTIFS(HISTORIAL!$O$3:$O$650,D652&amp;"|"&amp;E652,HISTORIAL!$F$3:$F$650,IFERROR(LOOKUP(2,1/((HISTORIAL!$O$3:$O$650=D652&amp;"|"&amp;E652)*(HISTORIAL!$F$3:$F$650&gt;0)),HISTORIAL!$F$3:$F$650),0))&gt;=2,IF(IFERROR(LOOKUP(2,1/((HISTORIAL!$O$3:$O$650=D652&amp;"|"&amp;E652)*(HISTORIAL!$F$3:$F$650&gt;0)),HISTORIAL!$G$3:$G$650),0)&gt;0,IF(F652&gt;0,IF(G652&lt;=IFERROR(LOOKUP(2,1/((HISTORIAL!$O$3:$O$650=D652&amp;"|"&amp;E652)*(HISTORIAL!$F$3:$F$650&gt;0)),HISTORIAL!$G$3:$G$650),0),1,0),0),0),0))</f>
        <v>0</v>
      </c>
    </row>
    <row r="653" spans="1:15" ht="14.1" customHeight="1">
      <c r="A653" s="37">
        <v>11</v>
      </c>
      <c r="B653" s="37" t="s">
        <v>278</v>
      </c>
      <c r="C653" s="37">
        <v>9</v>
      </c>
      <c r="D653" s="56" t="str">
        <f>MARTES!$A$235</f>
        <v>Farmer Carry</v>
      </c>
      <c r="E653" s="57" t="str">
        <f>MARTES!$B$235</f>
        <v>Libre</v>
      </c>
      <c r="F653" s="37" t="str">
        <f>MARTES!$C$235</f>
        <v>mancuerna</v>
      </c>
      <c r="G653" s="37" t="str">
        <f>IFERROR(LOOKUP(2,1/((HISTORIAL!$O$3:$O$651=D653&amp;"|"&amp;E653)*(HISTORIAL!$F$3:$F$651&lt;&gt;"")),HISTORIAL!$F$3:$F$651),"")</f>
        <v/>
      </c>
      <c r="H653" s="37" t="str">
        <f>IFERROR(LOOKUP(2,1/((HISTORIAL!$O$3:$O$651=D653&amp;"|"&amp;E653)*(HISTORIAL!$F$3:$F$651&lt;&gt;"")),HISTORIAL!$G$3:$G$651),"")</f>
        <v/>
      </c>
      <c r="I653" s="37" t="str">
        <f>IFERROR(LOOKUP(2,1/((HISTORIAL!$O$3:$O$651=D653&amp;"|"&amp;E653)*(HISTORIAL!$F$3:$F$651&lt;&gt;"")),HISTORIAL!$H$3:$H$651),"")</f>
        <v/>
      </c>
      <c r="J653" s="37" t="str">
        <f>IFERROR(LOOKUP(2,1/((HISTORIAL!$O$3:$O$651=D653&amp;"|"&amp;E653)*(HISTORIAL!$F$3:$F$651&lt;&gt;"")),HISTORIAL!$I$3:$I$651),"")</f>
        <v/>
      </c>
      <c r="K653" s="58" t="str">
        <f>IFERROR(IF(OR(G653="",N653="SIN"),"--",IF(N653="SUBIR_F",IF(F653="polea",IFERROR(INDEX(CONFIG!$B$25:$B$40,MATCH(G653,CONFIG!$B$25:$B$40,0)+2),IFERROR(INDEX(CONFIG!$B$25:$B$40,MATCH(G653,CONFIG!$B$25:$B$40,0)+1),G653)),G653+5),IF(OR(N653="SUBIR",N653="SUBIR_E"),IF(F653="polea",IFERROR(INDEX(CONFIG!$B$25:$B$40,MATCH(G653,CONFIG!$B$25:$B$40,0)+1),G653),G653+2.5),IF(N653="BAJAR",IF(F653="polea",IFERROR(INDEX(CONFIG!$B$25:$B$40,MAX(1,MATCH(G653,CONFIG!$B$25:$B$40,0)-1)),G653),MAX(0,G653-2.5)),G653)))),"--")</f>
        <v>--</v>
      </c>
      <c r="L653" s="59" t="str">
        <f>IFERROR(IF(N653="SIN","--",IF(N653="MANT",IF(H653="","--",H653+1),IFERROR(VLOOKUP(CONFIG!$E$2,CONFIG!$A$6:$E$8,2,0),"--"))),"--")</f>
        <v>--</v>
      </c>
      <c r="M653" s="59" t="str">
        <f>IFERROR(IF(N653="SIN","--",IF(CONFIG!$E$2="HIP",2,IF(CONFIG!$E$2="FUE",1,2))),"--")</f>
        <v>--</v>
      </c>
      <c r="N653" s="53" t="str">
        <f>IFERROR(IF(G653="","SIN",IF(O653=1,"SUBIR_E",IF(H653&lt;IFERROR(VLOOKUP(CONFIG!$E$2,CONFIG!$A$6:$E$8,2,0),6),"BAJAR",IF(H653+I653&gt;=IFERROR(VLOOKUP(CONFIG!$E$2,CONFIG!$A$6:$E$8,3,0),12),"SUBIR_F",IF(AND(H653&gt;=IFERROR(VLOOKUP(CONFIG!$E$2,CONFIG!$A$6:$E$8,2,0),6)+2,I653&gt;=2),"SUBIR",IF(I653&gt;IFERROR(VLOOKUP(CONFIG!$E$2,CONFIG!$A$6:$E$8,5,0),3),"SUBIR","MANT")))))),"SIN")</f>
        <v>SIN</v>
      </c>
      <c r="O653" s="55">
        <f>IF(COUNTIFS(HISTORIAL!$O$3:$O$651,D653&amp;"|"&amp;E653,HISTORIAL!$F$3:$F$651,"&gt;0")&lt;2,0,IF(COUNTIFS(HISTORIAL!$O$3:$O$651,D653&amp;"|"&amp;E653,HISTORIAL!$F$3:$F$651,IFERROR(LOOKUP(2,1/((HISTORIAL!$O$3:$O$651=D653&amp;"|"&amp;E653)*(HISTORIAL!$F$3:$F$651&gt;0)),HISTORIAL!$F$3:$F$651),0))&gt;=2,IF(IFERROR(LOOKUP(2,1/((HISTORIAL!$O$3:$O$651=D653&amp;"|"&amp;E653)*(HISTORIAL!$F$3:$F$651&gt;0)),HISTORIAL!$G$3:$G$651),0)&gt;0,IF(F653&gt;0,IF(G653&lt;=IFERROR(LOOKUP(2,1/((HISTORIAL!$O$3:$O$651=D653&amp;"|"&amp;E653)*(HISTORIAL!$F$3:$F$651&gt;0)),HISTORIAL!$G$3:$G$651),0),1,0),0),0),0))</f>
        <v>0</v>
      </c>
    </row>
    <row r="654" spans="1:15" ht="14.1" customHeight="1">
      <c r="A654" s="37">
        <v>11</v>
      </c>
      <c r="B654" s="37" t="s">
        <v>278</v>
      </c>
      <c r="C654" s="37">
        <v>10</v>
      </c>
      <c r="D654" s="56" t="str">
        <f>MARTES!$A$237</f>
        <v>Skullcrusher</v>
      </c>
      <c r="E654" s="57" t="str">
        <f>MARTES!$B$237</f>
        <v>Mancuerna Tumbado</v>
      </c>
      <c r="F654" s="37" t="str">
        <f>MARTES!$C$237</f>
        <v>--</v>
      </c>
      <c r="G654" s="37" t="str">
        <f>IFERROR(LOOKUP(2,1/((HISTORIAL!$O$3:$O$652=D654&amp;"|"&amp;E654)*(HISTORIAL!$F$3:$F$652&lt;&gt;"")),HISTORIAL!$F$3:$F$652),"")</f>
        <v/>
      </c>
      <c r="H654" s="37" t="str">
        <f>IFERROR(LOOKUP(2,1/((HISTORIAL!$O$3:$O$652=D654&amp;"|"&amp;E654)*(HISTORIAL!$F$3:$F$652&lt;&gt;"")),HISTORIAL!$G$3:$G$652),"")</f>
        <v/>
      </c>
      <c r="I654" s="37" t="str">
        <f>IFERROR(LOOKUP(2,1/((HISTORIAL!$O$3:$O$652=D654&amp;"|"&amp;E654)*(HISTORIAL!$F$3:$F$652&lt;&gt;"")),HISTORIAL!$H$3:$H$652),"")</f>
        <v/>
      </c>
      <c r="J654" s="37" t="str">
        <f>IFERROR(LOOKUP(2,1/((HISTORIAL!$O$3:$O$652=D654&amp;"|"&amp;E654)*(HISTORIAL!$F$3:$F$652&lt;&gt;"")),HISTORIAL!$I$3:$I$652),"")</f>
        <v/>
      </c>
      <c r="K654" s="58" t="str">
        <f>IFERROR(IF(OR(G654="",N654="SIN"),"--",IF(N654="SUBIR_F",IF(F654="polea",IFERROR(INDEX(CONFIG!$B$25:$B$40,MATCH(G654,CONFIG!$B$25:$B$40,0)+2),IFERROR(INDEX(CONFIG!$B$25:$B$40,MATCH(G654,CONFIG!$B$25:$B$40,0)+1),G654)),G654+5),IF(OR(N654="SUBIR",N654="SUBIR_E"),IF(F654="polea",IFERROR(INDEX(CONFIG!$B$25:$B$40,MATCH(G654,CONFIG!$B$25:$B$40,0)+1),G654),G654+2.5),IF(N654="BAJAR",IF(F654="polea",IFERROR(INDEX(CONFIG!$B$25:$B$40,MAX(1,MATCH(G654,CONFIG!$B$25:$B$40,0)-1)),G654),MAX(0,G654-2.5)),G654)))),"--")</f>
        <v>--</v>
      </c>
      <c r="L654" s="59" t="str">
        <f>IFERROR(IF(N654="SIN","--",IF(N654="MANT",IF(H654="","--",H654+1),IFERROR(VLOOKUP(CONFIG!$E$2,CONFIG!$A$6:$E$8,2,0),"--"))),"--")</f>
        <v>--</v>
      </c>
      <c r="M654" s="59" t="str">
        <f>IFERROR(IF(N654="SIN","--",IF(CONFIG!$E$2="HIP",2,IF(CONFIG!$E$2="FUE",1,2))),"--")</f>
        <v>--</v>
      </c>
      <c r="N654" s="53" t="str">
        <f>IFERROR(IF(G654="","SIN",IF(O654=1,"SUBIR_E",IF(H654&lt;IFERROR(VLOOKUP(CONFIG!$E$2,CONFIG!$A$6:$E$8,2,0),6),"BAJAR",IF(H654+I654&gt;=IFERROR(VLOOKUP(CONFIG!$E$2,CONFIG!$A$6:$E$8,3,0),12),"SUBIR_F",IF(AND(H654&gt;=IFERROR(VLOOKUP(CONFIG!$E$2,CONFIG!$A$6:$E$8,2,0),6)+2,I654&gt;=2),"SUBIR",IF(I654&gt;IFERROR(VLOOKUP(CONFIG!$E$2,CONFIG!$A$6:$E$8,5,0),3),"SUBIR","MANT")))))),"SIN")</f>
        <v>SIN</v>
      </c>
      <c r="O654" s="55">
        <f>IF(COUNTIFS(HISTORIAL!$O$3:$O$652,D654&amp;"|"&amp;E654,HISTORIAL!$F$3:$F$652,"&gt;0")&lt;2,0,IF(COUNTIFS(HISTORIAL!$O$3:$O$652,D654&amp;"|"&amp;E654,HISTORIAL!$F$3:$F$652,IFERROR(LOOKUP(2,1/((HISTORIAL!$O$3:$O$652=D654&amp;"|"&amp;E654)*(HISTORIAL!$F$3:$F$652&gt;0)),HISTORIAL!$F$3:$F$652),0))&gt;=2,IF(IFERROR(LOOKUP(2,1/((HISTORIAL!$O$3:$O$652=D654&amp;"|"&amp;E654)*(HISTORIAL!$F$3:$F$652&gt;0)),HISTORIAL!$G$3:$G$652),0)&gt;0,IF(F654&gt;0,IF(G654&lt;=IFERROR(LOOKUP(2,1/((HISTORIAL!$O$3:$O$652=D654&amp;"|"&amp;E654)*(HISTORIAL!$F$3:$F$652&gt;0)),HISTORIAL!$G$3:$G$652),0),1,0),0),0),0))</f>
        <v>0</v>
      </c>
    </row>
    <row r="655" spans="1:15" ht="14.1" customHeight="1">
      <c r="A655" s="37">
        <v>11</v>
      </c>
      <c r="B655" s="37" t="s">
        <v>278</v>
      </c>
      <c r="C655" s="37">
        <v>11</v>
      </c>
      <c r="D655" s="56" t="str">
        <f>MARTES!$A$239</f>
        <v>Crunch</v>
      </c>
      <c r="E655" s="57" t="str">
        <f>MARTES!$B$239</f>
        <v>Polea</v>
      </c>
      <c r="F655" s="37" t="str">
        <f>MARTES!$C$239</f>
        <v>polea</v>
      </c>
      <c r="G655" s="37" t="str">
        <f>IFERROR(LOOKUP(2,1/((HISTORIAL!$O$3:$O$653=D655&amp;"|"&amp;E655)*(HISTORIAL!$F$3:$F$653&lt;&gt;"")),HISTORIAL!$F$3:$F$653),"")</f>
        <v/>
      </c>
      <c r="H655" s="37" t="str">
        <f>IFERROR(LOOKUP(2,1/((HISTORIAL!$O$3:$O$653=D655&amp;"|"&amp;E655)*(HISTORIAL!$F$3:$F$653&lt;&gt;"")),HISTORIAL!$G$3:$G$653),"")</f>
        <v/>
      </c>
      <c r="I655" s="37" t="str">
        <f>IFERROR(LOOKUP(2,1/((HISTORIAL!$O$3:$O$653=D655&amp;"|"&amp;E655)*(HISTORIAL!$F$3:$F$653&lt;&gt;"")),HISTORIAL!$H$3:$H$653),"")</f>
        <v/>
      </c>
      <c r="J655" s="37" t="str">
        <f>IFERROR(LOOKUP(2,1/((HISTORIAL!$O$3:$O$653=D655&amp;"|"&amp;E655)*(HISTORIAL!$F$3:$F$653&lt;&gt;"")),HISTORIAL!$I$3:$I$653),"")</f>
        <v/>
      </c>
      <c r="K655" s="58" t="str">
        <f>IFERROR(IF(OR(G655="",N655="SIN"),"--",IF(N655="SUBIR_F",IF(F655="polea",IFERROR(INDEX(CONFIG!$B$25:$B$40,MATCH(G655,CONFIG!$B$25:$B$40,0)+2),IFERROR(INDEX(CONFIG!$B$25:$B$40,MATCH(G655,CONFIG!$B$25:$B$40,0)+1),G655)),G655+5),IF(OR(N655="SUBIR",N655="SUBIR_E"),IF(F655="polea",IFERROR(INDEX(CONFIG!$B$25:$B$40,MATCH(G655,CONFIG!$B$25:$B$40,0)+1),G655),G655+2.5),IF(N655="BAJAR",IF(F655="polea",IFERROR(INDEX(CONFIG!$B$25:$B$40,MAX(1,MATCH(G655,CONFIG!$B$25:$B$40,0)-1)),G655),MAX(0,G655-2.5)),G655)))),"--")</f>
        <v>--</v>
      </c>
      <c r="L655" s="59" t="str">
        <f>IFERROR(IF(N655="SIN","--",IF(N655="MANT",IF(H655="","--",H655+1),IFERROR(VLOOKUP(CONFIG!$E$2,CONFIG!$A$6:$E$8,2,0),"--"))),"--")</f>
        <v>--</v>
      </c>
      <c r="M655" s="59" t="str">
        <f>IFERROR(IF(N655="SIN","--",IF(CONFIG!$E$2="HIP",2,IF(CONFIG!$E$2="FUE",1,2))),"--")</f>
        <v>--</v>
      </c>
      <c r="N655" s="53" t="str">
        <f>IFERROR(IF(G655="","SIN",IF(O655=1,"SUBIR_E",IF(H655&lt;IFERROR(VLOOKUP(CONFIG!$E$2,CONFIG!$A$6:$E$8,2,0),6),"BAJAR",IF(H655+I655&gt;=IFERROR(VLOOKUP(CONFIG!$E$2,CONFIG!$A$6:$E$8,3,0),12),"SUBIR_F",IF(AND(H655&gt;=IFERROR(VLOOKUP(CONFIG!$E$2,CONFIG!$A$6:$E$8,2,0),6)+2,I655&gt;=2),"SUBIR",IF(I655&gt;IFERROR(VLOOKUP(CONFIG!$E$2,CONFIG!$A$6:$E$8,5,0),3),"SUBIR","MANT")))))),"SIN")</f>
        <v>SIN</v>
      </c>
      <c r="O655" s="55">
        <f>IF(COUNTIFS(HISTORIAL!$O$3:$O$653,D655&amp;"|"&amp;E655,HISTORIAL!$F$3:$F$653,"&gt;0")&lt;2,0,IF(COUNTIFS(HISTORIAL!$O$3:$O$653,D655&amp;"|"&amp;E655,HISTORIAL!$F$3:$F$653,IFERROR(LOOKUP(2,1/((HISTORIAL!$O$3:$O$653=D655&amp;"|"&amp;E655)*(HISTORIAL!$F$3:$F$653&gt;0)),HISTORIAL!$F$3:$F$653),0))&gt;=2,IF(IFERROR(LOOKUP(2,1/((HISTORIAL!$O$3:$O$653=D655&amp;"|"&amp;E655)*(HISTORIAL!$F$3:$F$653&gt;0)),HISTORIAL!$G$3:$G$653),0)&gt;0,IF(F655&gt;0,IF(G655&lt;=IFERROR(LOOKUP(2,1/((HISTORIAL!$O$3:$O$653=D655&amp;"|"&amp;E655)*(HISTORIAL!$F$3:$F$653&gt;0)),HISTORIAL!$G$3:$G$653),0),1,0),0),0),0))</f>
        <v>0</v>
      </c>
    </row>
    <row r="656" spans="1:15" ht="14.1" customHeight="1">
      <c r="A656" s="37">
        <v>11</v>
      </c>
      <c r="B656" s="37" t="s">
        <v>279</v>
      </c>
      <c r="C656" s="37">
        <v>1</v>
      </c>
      <c r="D656" s="56" t="str">
        <f>MIERCOLES!$A$232</f>
        <v>Curl Femoral</v>
      </c>
      <c r="E656" s="57" t="str">
        <f>MIERCOLES!$B$232</f>
        <v>Tumbado Maquina</v>
      </c>
      <c r="F656" s="37" t="str">
        <f>MIERCOLES!$C$232</f>
        <v>polea</v>
      </c>
      <c r="G656" s="37" t="str">
        <f>IFERROR(LOOKUP(2,1/((HISTORIAL!$O$3:$O$654=D656&amp;"|"&amp;E656)*(HISTORIAL!$F$3:$F$654&lt;&gt;"")),HISTORIAL!$F$3:$F$654),"")</f>
        <v/>
      </c>
      <c r="H656" s="37" t="str">
        <f>IFERROR(LOOKUP(2,1/((HISTORIAL!$O$3:$O$654=D656&amp;"|"&amp;E656)*(HISTORIAL!$F$3:$F$654&lt;&gt;"")),HISTORIAL!$G$3:$G$654),"")</f>
        <v/>
      </c>
      <c r="I656" s="37" t="str">
        <f>IFERROR(LOOKUP(2,1/((HISTORIAL!$O$3:$O$654=D656&amp;"|"&amp;E656)*(HISTORIAL!$F$3:$F$654&lt;&gt;"")),HISTORIAL!$H$3:$H$654),"")</f>
        <v/>
      </c>
      <c r="J656" s="37" t="str">
        <f>IFERROR(LOOKUP(2,1/((HISTORIAL!$O$3:$O$654=D656&amp;"|"&amp;E656)*(HISTORIAL!$F$3:$F$654&lt;&gt;"")),HISTORIAL!$I$3:$I$654),"")</f>
        <v/>
      </c>
      <c r="K656" s="58" t="str">
        <f>IFERROR(IF(OR(G656="",N656="SIN"),"--",IF(N656="SUBIR_F",IF(F656="polea",IFERROR(INDEX(CONFIG!$B$25:$B$40,MATCH(G656,CONFIG!$B$25:$B$40,0)+2),IFERROR(INDEX(CONFIG!$B$25:$B$40,MATCH(G656,CONFIG!$B$25:$B$40,0)+1),G656)),G656+5),IF(OR(N656="SUBIR",N656="SUBIR_E"),IF(F656="polea",IFERROR(INDEX(CONFIG!$B$25:$B$40,MATCH(G656,CONFIG!$B$25:$B$40,0)+1),G656),G656+2.5),IF(N656="BAJAR",IF(F656="polea",IFERROR(INDEX(CONFIG!$B$25:$B$40,MAX(1,MATCH(G656,CONFIG!$B$25:$B$40,0)-1)),G656),MAX(0,G656-2.5)),G656)))),"--")</f>
        <v>--</v>
      </c>
      <c r="L656" s="59" t="str">
        <f>IFERROR(IF(N656="SIN","--",IF(N656="MANT",IF(H656="","--",H656+1),IFERROR(VLOOKUP(CONFIG!$E$2,CONFIG!$A$6:$E$8,2,0),"--"))),"--")</f>
        <v>--</v>
      </c>
      <c r="M656" s="59" t="str">
        <f>IFERROR(IF(N656="SIN","--",IF(CONFIG!$E$2="HIP",2,IF(CONFIG!$E$2="FUE",1,2))),"--")</f>
        <v>--</v>
      </c>
      <c r="N656" s="53" t="str">
        <f>IFERROR(IF(G656="","SIN",IF(O656=1,"SUBIR_E",IF(H656&lt;IFERROR(VLOOKUP(CONFIG!$E$2,CONFIG!$A$6:$E$8,2,0),6),"BAJAR",IF(H656+I656&gt;=IFERROR(VLOOKUP(CONFIG!$E$2,CONFIG!$A$6:$E$8,3,0),12),"SUBIR_F",IF(AND(H656&gt;=IFERROR(VLOOKUP(CONFIG!$E$2,CONFIG!$A$6:$E$8,2,0),6)+2,I656&gt;=2),"SUBIR",IF(I656&gt;IFERROR(VLOOKUP(CONFIG!$E$2,CONFIG!$A$6:$E$8,5,0),3),"SUBIR","MANT")))))),"SIN")</f>
        <v>SIN</v>
      </c>
      <c r="O656" s="55">
        <f>IF(COUNTIFS(HISTORIAL!$O$3:$O$654,D656&amp;"|"&amp;E656,HISTORIAL!$F$3:$F$654,"&gt;0")&lt;2,0,IF(COUNTIFS(HISTORIAL!$O$3:$O$654,D656&amp;"|"&amp;E656,HISTORIAL!$F$3:$F$654,IFERROR(LOOKUP(2,1/((HISTORIAL!$O$3:$O$654=D656&amp;"|"&amp;E656)*(HISTORIAL!$F$3:$F$654&gt;0)),HISTORIAL!$F$3:$F$654),0))&gt;=2,IF(IFERROR(LOOKUP(2,1/((HISTORIAL!$O$3:$O$654=D656&amp;"|"&amp;E656)*(HISTORIAL!$F$3:$F$654&gt;0)),HISTORIAL!$G$3:$G$654),0)&gt;0,IF(F656&gt;0,IF(G656&lt;=IFERROR(LOOKUP(2,1/((HISTORIAL!$O$3:$O$654=D656&amp;"|"&amp;E656)*(HISTORIAL!$F$3:$F$654&gt;0)),HISTORIAL!$G$3:$G$654),0),1,0),0),0),0))</f>
        <v>0</v>
      </c>
    </row>
    <row r="657" spans="1:15" ht="14.1" customHeight="1">
      <c r="A657" s="37">
        <v>11</v>
      </c>
      <c r="B657" s="37" t="s">
        <v>279</v>
      </c>
      <c r="C657" s="37">
        <v>2</v>
      </c>
      <c r="D657" s="56" t="str">
        <f>MIERCOLES!$A$233</f>
        <v>Curl Femoral</v>
      </c>
      <c r="E657" s="57" t="str">
        <f>MIERCOLES!$B$233</f>
        <v>Sentado Maquina</v>
      </c>
      <c r="F657" s="37" t="str">
        <f>MIERCOLES!$C$233</f>
        <v>polea</v>
      </c>
      <c r="G657" s="37" t="str">
        <f>IFERROR(LOOKUP(2,1/((HISTORIAL!$O$3:$O$655=D657&amp;"|"&amp;E657)*(HISTORIAL!$F$3:$F$655&lt;&gt;"")),HISTORIAL!$F$3:$F$655),"")</f>
        <v/>
      </c>
      <c r="H657" s="37" t="str">
        <f>IFERROR(LOOKUP(2,1/((HISTORIAL!$O$3:$O$655=D657&amp;"|"&amp;E657)*(HISTORIAL!$F$3:$F$655&lt;&gt;"")),HISTORIAL!$G$3:$G$655),"")</f>
        <v/>
      </c>
      <c r="I657" s="37" t="str">
        <f>IFERROR(LOOKUP(2,1/((HISTORIAL!$O$3:$O$655=D657&amp;"|"&amp;E657)*(HISTORIAL!$F$3:$F$655&lt;&gt;"")),HISTORIAL!$H$3:$H$655),"")</f>
        <v/>
      </c>
      <c r="J657" s="37" t="str">
        <f>IFERROR(LOOKUP(2,1/((HISTORIAL!$O$3:$O$655=D657&amp;"|"&amp;E657)*(HISTORIAL!$F$3:$F$655&lt;&gt;"")),HISTORIAL!$I$3:$I$655),"")</f>
        <v/>
      </c>
      <c r="K657" s="58" t="str">
        <f>IFERROR(IF(OR(G657="",N657="SIN"),"--",IF(N657="SUBIR_F",IF(F657="polea",IFERROR(INDEX(CONFIG!$B$25:$B$40,MATCH(G657,CONFIG!$B$25:$B$40,0)+2),IFERROR(INDEX(CONFIG!$B$25:$B$40,MATCH(G657,CONFIG!$B$25:$B$40,0)+1),G657)),G657+5),IF(OR(N657="SUBIR",N657="SUBIR_E"),IF(F657="polea",IFERROR(INDEX(CONFIG!$B$25:$B$40,MATCH(G657,CONFIG!$B$25:$B$40,0)+1),G657),G657+2.5),IF(N657="BAJAR",IF(F657="polea",IFERROR(INDEX(CONFIG!$B$25:$B$40,MAX(1,MATCH(G657,CONFIG!$B$25:$B$40,0)-1)),G657),MAX(0,G657-2.5)),G657)))),"--")</f>
        <v>--</v>
      </c>
      <c r="L657" s="59" t="str">
        <f>IFERROR(IF(N657="SIN","--",IF(N657="MANT",IF(H657="","--",H657+1),IFERROR(VLOOKUP(CONFIG!$E$2,CONFIG!$A$6:$E$8,2,0),"--"))),"--")</f>
        <v>--</v>
      </c>
      <c r="M657" s="59" t="str">
        <f>IFERROR(IF(N657="SIN","--",IF(CONFIG!$E$2="HIP",2,IF(CONFIG!$E$2="FUE",1,2))),"--")</f>
        <v>--</v>
      </c>
      <c r="N657" s="53" t="str">
        <f>IFERROR(IF(G657="","SIN",IF(O657=1,"SUBIR_E",IF(H657&lt;IFERROR(VLOOKUP(CONFIG!$E$2,CONFIG!$A$6:$E$8,2,0),6),"BAJAR",IF(H657+I657&gt;=IFERROR(VLOOKUP(CONFIG!$E$2,CONFIG!$A$6:$E$8,3,0),12),"SUBIR_F",IF(AND(H657&gt;=IFERROR(VLOOKUP(CONFIG!$E$2,CONFIG!$A$6:$E$8,2,0),6)+2,I657&gt;=2),"SUBIR",IF(I657&gt;IFERROR(VLOOKUP(CONFIG!$E$2,CONFIG!$A$6:$E$8,5,0),3),"SUBIR","MANT")))))),"SIN")</f>
        <v>SIN</v>
      </c>
      <c r="O657" s="55">
        <f>IF(COUNTIFS(HISTORIAL!$O$3:$O$655,D657&amp;"|"&amp;E657,HISTORIAL!$F$3:$F$655,"&gt;0")&lt;2,0,IF(COUNTIFS(HISTORIAL!$O$3:$O$655,D657&amp;"|"&amp;E657,HISTORIAL!$F$3:$F$655,IFERROR(LOOKUP(2,1/((HISTORIAL!$O$3:$O$655=D657&amp;"|"&amp;E657)*(HISTORIAL!$F$3:$F$655&gt;0)),HISTORIAL!$F$3:$F$655),0))&gt;=2,IF(IFERROR(LOOKUP(2,1/((HISTORIAL!$O$3:$O$655=D657&amp;"|"&amp;E657)*(HISTORIAL!$F$3:$F$655&gt;0)),HISTORIAL!$G$3:$G$655),0)&gt;0,IF(F657&gt;0,IF(G657&lt;=IFERROR(LOOKUP(2,1/((HISTORIAL!$O$3:$O$655=D657&amp;"|"&amp;E657)*(HISTORIAL!$F$3:$F$655&gt;0)),HISTORIAL!$G$3:$G$655),0),1,0),0),0),0))</f>
        <v>0</v>
      </c>
    </row>
    <row r="658" spans="1:15" ht="14.1" customHeight="1">
      <c r="A658" s="37">
        <v>11</v>
      </c>
      <c r="B658" s="37" t="s">
        <v>279</v>
      </c>
      <c r="C658" s="37">
        <v>3</v>
      </c>
      <c r="D658" s="56" t="str">
        <f>MIERCOLES!$A$234</f>
        <v>Curl Rumano</v>
      </c>
      <c r="E658" s="57" t="str">
        <f>MIERCOLES!$B$234</f>
        <v>Mancuernas</v>
      </c>
      <c r="F658" s="37" t="str">
        <f>MIERCOLES!$C$234</f>
        <v>mancuerna</v>
      </c>
      <c r="G658" s="37" t="str">
        <f>IFERROR(LOOKUP(2,1/((HISTORIAL!$O$3:$O$656=D658&amp;"|"&amp;E658)*(HISTORIAL!$F$3:$F$656&lt;&gt;"")),HISTORIAL!$F$3:$F$656),"")</f>
        <v/>
      </c>
      <c r="H658" s="37" t="str">
        <f>IFERROR(LOOKUP(2,1/((HISTORIAL!$O$3:$O$656=D658&amp;"|"&amp;E658)*(HISTORIAL!$F$3:$F$656&lt;&gt;"")),HISTORIAL!$G$3:$G$656),"")</f>
        <v/>
      </c>
      <c r="I658" s="37" t="str">
        <f>IFERROR(LOOKUP(2,1/((HISTORIAL!$O$3:$O$656=D658&amp;"|"&amp;E658)*(HISTORIAL!$F$3:$F$656&lt;&gt;"")),HISTORIAL!$H$3:$H$656),"")</f>
        <v/>
      </c>
      <c r="J658" s="37" t="str">
        <f>IFERROR(LOOKUP(2,1/((HISTORIAL!$O$3:$O$656=D658&amp;"|"&amp;E658)*(HISTORIAL!$F$3:$F$656&lt;&gt;"")),HISTORIAL!$I$3:$I$656),"")</f>
        <v/>
      </c>
      <c r="K658" s="58" t="str">
        <f>IFERROR(IF(OR(G658="",N658="SIN"),"--",IF(N658="SUBIR_F",IF(F658="polea",IFERROR(INDEX(CONFIG!$B$25:$B$40,MATCH(G658,CONFIG!$B$25:$B$40,0)+2),IFERROR(INDEX(CONFIG!$B$25:$B$40,MATCH(G658,CONFIG!$B$25:$B$40,0)+1),G658)),G658+5),IF(OR(N658="SUBIR",N658="SUBIR_E"),IF(F658="polea",IFERROR(INDEX(CONFIG!$B$25:$B$40,MATCH(G658,CONFIG!$B$25:$B$40,0)+1),G658),G658+2.5),IF(N658="BAJAR",IF(F658="polea",IFERROR(INDEX(CONFIG!$B$25:$B$40,MAX(1,MATCH(G658,CONFIG!$B$25:$B$40,0)-1)),G658),MAX(0,G658-2.5)),G658)))),"--")</f>
        <v>--</v>
      </c>
      <c r="L658" s="59" t="str">
        <f>IFERROR(IF(N658="SIN","--",IF(N658="MANT",IF(H658="","--",H658+1),IFERROR(VLOOKUP(CONFIG!$E$2,CONFIG!$A$6:$E$8,2,0),"--"))),"--")</f>
        <v>--</v>
      </c>
      <c r="M658" s="59" t="str">
        <f>IFERROR(IF(N658="SIN","--",IF(CONFIG!$E$2="HIP",2,IF(CONFIG!$E$2="FUE",1,2))),"--")</f>
        <v>--</v>
      </c>
      <c r="N658" s="53" t="str">
        <f>IFERROR(IF(G658="","SIN",IF(O658=1,"SUBIR_E",IF(H658&lt;IFERROR(VLOOKUP(CONFIG!$E$2,CONFIG!$A$6:$E$8,2,0),6),"BAJAR",IF(H658+I658&gt;=IFERROR(VLOOKUP(CONFIG!$E$2,CONFIG!$A$6:$E$8,3,0),12),"SUBIR_F",IF(AND(H658&gt;=IFERROR(VLOOKUP(CONFIG!$E$2,CONFIG!$A$6:$E$8,2,0),6)+2,I658&gt;=2),"SUBIR",IF(I658&gt;IFERROR(VLOOKUP(CONFIG!$E$2,CONFIG!$A$6:$E$8,5,0),3),"SUBIR","MANT")))))),"SIN")</f>
        <v>SIN</v>
      </c>
      <c r="O658" s="55">
        <f>IF(COUNTIFS(HISTORIAL!$O$3:$O$656,D658&amp;"|"&amp;E658,HISTORIAL!$F$3:$F$656,"&gt;0")&lt;2,0,IF(COUNTIFS(HISTORIAL!$O$3:$O$656,D658&amp;"|"&amp;E658,HISTORIAL!$F$3:$F$656,IFERROR(LOOKUP(2,1/((HISTORIAL!$O$3:$O$656=D658&amp;"|"&amp;E658)*(HISTORIAL!$F$3:$F$656&gt;0)),HISTORIAL!$F$3:$F$656),0))&gt;=2,IF(IFERROR(LOOKUP(2,1/((HISTORIAL!$O$3:$O$656=D658&amp;"|"&amp;E658)*(HISTORIAL!$F$3:$F$656&gt;0)),HISTORIAL!$G$3:$G$656),0)&gt;0,IF(F658&gt;0,IF(G658&lt;=IFERROR(LOOKUP(2,1/((HISTORIAL!$O$3:$O$656=D658&amp;"|"&amp;E658)*(HISTORIAL!$F$3:$F$656&gt;0)),HISTORIAL!$G$3:$G$656),0),1,0),0),0),0))</f>
        <v>0</v>
      </c>
    </row>
    <row r="659" spans="1:15" ht="14.1" customHeight="1">
      <c r="A659" s="37">
        <v>11</v>
      </c>
      <c r="B659" s="37" t="s">
        <v>279</v>
      </c>
      <c r="C659" s="37">
        <v>4</v>
      </c>
      <c r="D659" s="56" t="str">
        <f>MIERCOLES!$A$236</f>
        <v>Sentadilla</v>
      </c>
      <c r="E659" s="57" t="str">
        <f>MIERCOLES!$B$236</f>
        <v>Multipower Cuna Talones</v>
      </c>
      <c r="F659" s="37" t="str">
        <f>MIERCOLES!$C$236</f>
        <v>--</v>
      </c>
      <c r="G659" s="37" t="str">
        <f>IFERROR(LOOKUP(2,1/((HISTORIAL!$O$3:$O$657=D659&amp;"|"&amp;E659)*(HISTORIAL!$F$3:$F$657&lt;&gt;"")),HISTORIAL!$F$3:$F$657),"")</f>
        <v/>
      </c>
      <c r="H659" s="37" t="str">
        <f>IFERROR(LOOKUP(2,1/((HISTORIAL!$O$3:$O$657=D659&amp;"|"&amp;E659)*(HISTORIAL!$F$3:$F$657&lt;&gt;"")),HISTORIAL!$G$3:$G$657),"")</f>
        <v/>
      </c>
      <c r="I659" s="37" t="str">
        <f>IFERROR(LOOKUP(2,1/((HISTORIAL!$O$3:$O$657=D659&amp;"|"&amp;E659)*(HISTORIAL!$F$3:$F$657&lt;&gt;"")),HISTORIAL!$H$3:$H$657),"")</f>
        <v/>
      </c>
      <c r="J659" s="37" t="str">
        <f>IFERROR(LOOKUP(2,1/((HISTORIAL!$O$3:$O$657=D659&amp;"|"&amp;E659)*(HISTORIAL!$F$3:$F$657&lt;&gt;"")),HISTORIAL!$I$3:$I$657),"")</f>
        <v/>
      </c>
      <c r="K659" s="58" t="str">
        <f>IFERROR(IF(OR(G659="",N659="SIN"),"--",IF(N659="SUBIR_F",IF(F659="polea",IFERROR(INDEX(CONFIG!$B$25:$B$40,MATCH(G659,CONFIG!$B$25:$B$40,0)+2),IFERROR(INDEX(CONFIG!$B$25:$B$40,MATCH(G659,CONFIG!$B$25:$B$40,0)+1),G659)),G659+5),IF(OR(N659="SUBIR",N659="SUBIR_E"),IF(F659="polea",IFERROR(INDEX(CONFIG!$B$25:$B$40,MATCH(G659,CONFIG!$B$25:$B$40,0)+1),G659),G659+2.5),IF(N659="BAJAR",IF(F659="polea",IFERROR(INDEX(CONFIG!$B$25:$B$40,MAX(1,MATCH(G659,CONFIG!$B$25:$B$40,0)-1)),G659),MAX(0,G659-2.5)),G659)))),"--")</f>
        <v>--</v>
      </c>
      <c r="L659" s="59" t="str">
        <f>IFERROR(IF(N659="SIN","--",IF(N659="MANT",IF(H659="","--",H659+1),IFERROR(VLOOKUP(CONFIG!$E$2,CONFIG!$A$6:$E$8,2,0),"--"))),"--")</f>
        <v>--</v>
      </c>
      <c r="M659" s="59" t="str">
        <f>IFERROR(IF(N659="SIN","--",IF(CONFIG!$E$2="HIP",2,IF(CONFIG!$E$2="FUE",1,2))),"--")</f>
        <v>--</v>
      </c>
      <c r="N659" s="53" t="str">
        <f>IFERROR(IF(G659="","SIN",IF(O659=1,"SUBIR_E",IF(H659&lt;IFERROR(VLOOKUP(CONFIG!$E$2,CONFIG!$A$6:$E$8,2,0),6),"BAJAR",IF(H659+I659&gt;=IFERROR(VLOOKUP(CONFIG!$E$2,CONFIG!$A$6:$E$8,3,0),12),"SUBIR_F",IF(AND(H659&gt;=IFERROR(VLOOKUP(CONFIG!$E$2,CONFIG!$A$6:$E$8,2,0),6)+2,I659&gt;=2),"SUBIR",IF(I659&gt;IFERROR(VLOOKUP(CONFIG!$E$2,CONFIG!$A$6:$E$8,5,0),3),"SUBIR","MANT")))))),"SIN")</f>
        <v>SIN</v>
      </c>
      <c r="O659" s="55">
        <f>IF(COUNTIFS(HISTORIAL!$O$3:$O$657,D659&amp;"|"&amp;E659,HISTORIAL!$F$3:$F$657,"&gt;0")&lt;2,0,IF(COUNTIFS(HISTORIAL!$O$3:$O$657,D659&amp;"|"&amp;E659,HISTORIAL!$F$3:$F$657,IFERROR(LOOKUP(2,1/((HISTORIAL!$O$3:$O$657=D659&amp;"|"&amp;E659)*(HISTORIAL!$F$3:$F$657&gt;0)),HISTORIAL!$F$3:$F$657),0))&gt;=2,IF(IFERROR(LOOKUP(2,1/((HISTORIAL!$O$3:$O$657=D659&amp;"|"&amp;E659)*(HISTORIAL!$F$3:$F$657&gt;0)),HISTORIAL!$G$3:$G$657),0)&gt;0,IF(F659&gt;0,IF(G659&lt;=IFERROR(LOOKUP(2,1/((HISTORIAL!$O$3:$O$657=D659&amp;"|"&amp;E659)*(HISTORIAL!$F$3:$F$657&gt;0)),HISTORIAL!$G$3:$G$657),0),1,0),0),0),0))</f>
        <v>0</v>
      </c>
    </row>
    <row r="660" spans="1:15" ht="14.1" customHeight="1">
      <c r="A660" s="37">
        <v>11</v>
      </c>
      <c r="B660" s="37" t="s">
        <v>279</v>
      </c>
      <c r="C660" s="37">
        <v>5</v>
      </c>
      <c r="D660" s="56" t="str">
        <f>MIERCOLES!$A$237</f>
        <v>Prensa Pierna</v>
      </c>
      <c r="E660" s="57" t="str">
        <f>MIERCOLES!$B$237</f>
        <v>Individual Horizontal</v>
      </c>
      <c r="F660" s="37" t="str">
        <f>MIERCOLES!$C$237</f>
        <v>--</v>
      </c>
      <c r="G660" s="37" t="str">
        <f>IFERROR(LOOKUP(2,1/((HISTORIAL!$O$3:$O$658=D660&amp;"|"&amp;E660)*(HISTORIAL!$F$3:$F$658&lt;&gt;"")),HISTORIAL!$F$3:$F$658),"")</f>
        <v/>
      </c>
      <c r="H660" s="37" t="str">
        <f>IFERROR(LOOKUP(2,1/((HISTORIAL!$O$3:$O$658=D660&amp;"|"&amp;E660)*(HISTORIAL!$F$3:$F$658&lt;&gt;"")),HISTORIAL!$G$3:$G$658),"")</f>
        <v/>
      </c>
      <c r="I660" s="37" t="str">
        <f>IFERROR(LOOKUP(2,1/((HISTORIAL!$O$3:$O$658=D660&amp;"|"&amp;E660)*(HISTORIAL!$F$3:$F$658&lt;&gt;"")),HISTORIAL!$H$3:$H$658),"")</f>
        <v/>
      </c>
      <c r="J660" s="37" t="str">
        <f>IFERROR(LOOKUP(2,1/((HISTORIAL!$O$3:$O$658=D660&amp;"|"&amp;E660)*(HISTORIAL!$F$3:$F$658&lt;&gt;"")),HISTORIAL!$I$3:$I$658),"")</f>
        <v/>
      </c>
      <c r="K660" s="58" t="str">
        <f>IFERROR(IF(OR(G660="",N660="SIN"),"--",IF(N660="SUBIR_F",IF(F660="polea",IFERROR(INDEX(CONFIG!$B$25:$B$40,MATCH(G660,CONFIG!$B$25:$B$40,0)+2),IFERROR(INDEX(CONFIG!$B$25:$B$40,MATCH(G660,CONFIG!$B$25:$B$40,0)+1),G660)),G660+5),IF(OR(N660="SUBIR",N660="SUBIR_E"),IF(F660="polea",IFERROR(INDEX(CONFIG!$B$25:$B$40,MATCH(G660,CONFIG!$B$25:$B$40,0)+1),G660),G660+2.5),IF(N660="BAJAR",IF(F660="polea",IFERROR(INDEX(CONFIG!$B$25:$B$40,MAX(1,MATCH(G660,CONFIG!$B$25:$B$40,0)-1)),G660),MAX(0,G660-2.5)),G660)))),"--")</f>
        <v>--</v>
      </c>
      <c r="L660" s="59" t="str">
        <f>IFERROR(IF(N660="SIN","--",IF(N660="MANT",IF(H660="","--",H660+1),IFERROR(VLOOKUP(CONFIG!$E$2,CONFIG!$A$6:$E$8,2,0),"--"))),"--")</f>
        <v>--</v>
      </c>
      <c r="M660" s="59" t="str">
        <f>IFERROR(IF(N660="SIN","--",IF(CONFIG!$E$2="HIP",2,IF(CONFIG!$E$2="FUE",1,2))),"--")</f>
        <v>--</v>
      </c>
      <c r="N660" s="53" t="str">
        <f>IFERROR(IF(G660="","SIN",IF(O660=1,"SUBIR_E",IF(H660&lt;IFERROR(VLOOKUP(CONFIG!$E$2,CONFIG!$A$6:$E$8,2,0),6),"BAJAR",IF(H660+I660&gt;=IFERROR(VLOOKUP(CONFIG!$E$2,CONFIG!$A$6:$E$8,3,0),12),"SUBIR_F",IF(AND(H660&gt;=IFERROR(VLOOKUP(CONFIG!$E$2,CONFIG!$A$6:$E$8,2,0),6)+2,I660&gt;=2),"SUBIR",IF(I660&gt;IFERROR(VLOOKUP(CONFIG!$E$2,CONFIG!$A$6:$E$8,5,0),3),"SUBIR","MANT")))))),"SIN")</f>
        <v>SIN</v>
      </c>
      <c r="O660" s="55">
        <f>IF(COUNTIFS(HISTORIAL!$O$3:$O$658,D660&amp;"|"&amp;E660,HISTORIAL!$F$3:$F$658,"&gt;0")&lt;2,0,IF(COUNTIFS(HISTORIAL!$O$3:$O$658,D660&amp;"|"&amp;E660,HISTORIAL!$F$3:$F$658,IFERROR(LOOKUP(2,1/((HISTORIAL!$O$3:$O$658=D660&amp;"|"&amp;E660)*(HISTORIAL!$F$3:$F$658&gt;0)),HISTORIAL!$F$3:$F$658),0))&gt;=2,IF(IFERROR(LOOKUP(2,1/((HISTORIAL!$O$3:$O$658=D660&amp;"|"&amp;E660)*(HISTORIAL!$F$3:$F$658&gt;0)),HISTORIAL!$G$3:$G$658),0)&gt;0,IF(F660&gt;0,IF(G660&lt;=IFERROR(LOOKUP(2,1/((HISTORIAL!$O$3:$O$658=D660&amp;"|"&amp;E660)*(HISTORIAL!$F$3:$F$658&gt;0)),HISTORIAL!$G$3:$G$658),0),1,0),0),0),0))</f>
        <v>0</v>
      </c>
    </row>
    <row r="661" spans="1:15" ht="14.1" customHeight="1">
      <c r="A661" s="37">
        <v>11</v>
      </c>
      <c r="B661" s="37" t="s">
        <v>279</v>
      </c>
      <c r="C661" s="37">
        <v>6</v>
      </c>
      <c r="D661" s="56" t="str">
        <f>MIERCOLES!$A$238</f>
        <v>Extension Cuadriceps</v>
      </c>
      <c r="E661" s="57" t="str">
        <f>MIERCOLES!$B$238</f>
        <v>Vasto Externo</v>
      </c>
      <c r="F661" s="37" t="str">
        <f>MIERCOLES!$C$238</f>
        <v>--</v>
      </c>
      <c r="G661" s="37" t="str">
        <f>IFERROR(LOOKUP(2,1/((HISTORIAL!$O$3:$O$659=D661&amp;"|"&amp;E661)*(HISTORIAL!$F$3:$F$659&lt;&gt;"")),HISTORIAL!$F$3:$F$659),"")</f>
        <v/>
      </c>
      <c r="H661" s="37" t="str">
        <f>IFERROR(LOOKUP(2,1/((HISTORIAL!$O$3:$O$659=D661&amp;"|"&amp;E661)*(HISTORIAL!$F$3:$F$659&lt;&gt;"")),HISTORIAL!$G$3:$G$659),"")</f>
        <v/>
      </c>
      <c r="I661" s="37" t="str">
        <f>IFERROR(LOOKUP(2,1/((HISTORIAL!$O$3:$O$659=D661&amp;"|"&amp;E661)*(HISTORIAL!$F$3:$F$659&lt;&gt;"")),HISTORIAL!$H$3:$H$659),"")</f>
        <v/>
      </c>
      <c r="J661" s="37" t="str">
        <f>IFERROR(LOOKUP(2,1/((HISTORIAL!$O$3:$O$659=D661&amp;"|"&amp;E661)*(HISTORIAL!$F$3:$F$659&lt;&gt;"")),HISTORIAL!$I$3:$I$659),"")</f>
        <v/>
      </c>
      <c r="K661" s="58" t="str">
        <f>IFERROR(IF(OR(G661="",N661="SIN"),"--",IF(N661="SUBIR_F",IF(F661="polea",IFERROR(INDEX(CONFIG!$B$25:$B$40,MATCH(G661,CONFIG!$B$25:$B$40,0)+2),IFERROR(INDEX(CONFIG!$B$25:$B$40,MATCH(G661,CONFIG!$B$25:$B$40,0)+1),G661)),G661+5),IF(OR(N661="SUBIR",N661="SUBIR_E"),IF(F661="polea",IFERROR(INDEX(CONFIG!$B$25:$B$40,MATCH(G661,CONFIG!$B$25:$B$40,0)+1),G661),G661+2.5),IF(N661="BAJAR",IF(F661="polea",IFERROR(INDEX(CONFIG!$B$25:$B$40,MAX(1,MATCH(G661,CONFIG!$B$25:$B$40,0)-1)),G661),MAX(0,G661-2.5)),G661)))),"--")</f>
        <v>--</v>
      </c>
      <c r="L661" s="59" t="str">
        <f>IFERROR(IF(N661="SIN","--",IF(N661="MANT",IF(H661="","--",H661+1),IFERROR(VLOOKUP(CONFIG!$E$2,CONFIG!$A$6:$E$8,2,0),"--"))),"--")</f>
        <v>--</v>
      </c>
      <c r="M661" s="59" t="str">
        <f>IFERROR(IF(N661="SIN","--",IF(CONFIG!$E$2="HIP",2,IF(CONFIG!$E$2="FUE",1,2))),"--")</f>
        <v>--</v>
      </c>
      <c r="N661" s="53" t="str">
        <f>IFERROR(IF(G661="","SIN",IF(O661=1,"SUBIR_E",IF(H661&lt;IFERROR(VLOOKUP(CONFIG!$E$2,CONFIG!$A$6:$E$8,2,0),6),"BAJAR",IF(H661+I661&gt;=IFERROR(VLOOKUP(CONFIG!$E$2,CONFIG!$A$6:$E$8,3,0),12),"SUBIR_F",IF(AND(H661&gt;=IFERROR(VLOOKUP(CONFIG!$E$2,CONFIG!$A$6:$E$8,2,0),6)+2,I661&gt;=2),"SUBIR",IF(I661&gt;IFERROR(VLOOKUP(CONFIG!$E$2,CONFIG!$A$6:$E$8,5,0),3),"SUBIR","MANT")))))),"SIN")</f>
        <v>SIN</v>
      </c>
      <c r="O661" s="55">
        <f>IF(COUNTIFS(HISTORIAL!$O$3:$O$659,D661&amp;"|"&amp;E661,HISTORIAL!$F$3:$F$659,"&gt;0")&lt;2,0,IF(COUNTIFS(HISTORIAL!$O$3:$O$659,D661&amp;"|"&amp;E661,HISTORIAL!$F$3:$F$659,IFERROR(LOOKUP(2,1/((HISTORIAL!$O$3:$O$659=D661&amp;"|"&amp;E661)*(HISTORIAL!$F$3:$F$659&gt;0)),HISTORIAL!$F$3:$F$659),0))&gt;=2,IF(IFERROR(LOOKUP(2,1/((HISTORIAL!$O$3:$O$659=D661&amp;"|"&amp;E661)*(HISTORIAL!$F$3:$F$659&gt;0)),HISTORIAL!$G$3:$G$659),0)&gt;0,IF(F661&gt;0,IF(G661&lt;=IFERROR(LOOKUP(2,1/((HISTORIAL!$O$3:$O$659=D661&amp;"|"&amp;E661)*(HISTORIAL!$F$3:$F$659&gt;0)),HISTORIAL!$G$3:$G$659),0),1,0),0),0),0))</f>
        <v>0</v>
      </c>
    </row>
    <row r="662" spans="1:15" ht="14.1" customHeight="1">
      <c r="A662" s="37">
        <v>11</v>
      </c>
      <c r="B662" s="37" t="s">
        <v>279</v>
      </c>
      <c r="C662" s="37">
        <v>7</v>
      </c>
      <c r="D662" s="56" t="str">
        <f>MIERCOLES!$A$239</f>
        <v>Extension Cuadriceps</v>
      </c>
      <c r="E662" s="57" t="str">
        <f>MIERCOLES!$B$239</f>
        <v>Vasto Interno</v>
      </c>
      <c r="F662" s="37" t="str">
        <f>MIERCOLES!$C$239</f>
        <v>--</v>
      </c>
      <c r="G662" s="37" t="str">
        <f>IFERROR(LOOKUP(2,1/((HISTORIAL!$O$3:$O$660=D662&amp;"|"&amp;E662)*(HISTORIAL!$F$3:$F$660&lt;&gt;"")),HISTORIAL!$F$3:$F$660),"")</f>
        <v/>
      </c>
      <c r="H662" s="37" t="str">
        <f>IFERROR(LOOKUP(2,1/((HISTORIAL!$O$3:$O$660=D662&amp;"|"&amp;E662)*(HISTORIAL!$F$3:$F$660&lt;&gt;"")),HISTORIAL!$G$3:$G$660),"")</f>
        <v/>
      </c>
      <c r="I662" s="37" t="str">
        <f>IFERROR(LOOKUP(2,1/((HISTORIAL!$O$3:$O$660=D662&amp;"|"&amp;E662)*(HISTORIAL!$F$3:$F$660&lt;&gt;"")),HISTORIAL!$H$3:$H$660),"")</f>
        <v/>
      </c>
      <c r="J662" s="37" t="str">
        <f>IFERROR(LOOKUP(2,1/((HISTORIAL!$O$3:$O$660=D662&amp;"|"&amp;E662)*(HISTORIAL!$F$3:$F$660&lt;&gt;"")),HISTORIAL!$I$3:$I$660),"")</f>
        <v/>
      </c>
      <c r="K662" s="58" t="str">
        <f>IFERROR(IF(OR(G662="",N662="SIN"),"--",IF(N662="SUBIR_F",IF(F662="polea",IFERROR(INDEX(CONFIG!$B$25:$B$40,MATCH(G662,CONFIG!$B$25:$B$40,0)+2),IFERROR(INDEX(CONFIG!$B$25:$B$40,MATCH(G662,CONFIG!$B$25:$B$40,0)+1),G662)),G662+5),IF(OR(N662="SUBIR",N662="SUBIR_E"),IF(F662="polea",IFERROR(INDEX(CONFIG!$B$25:$B$40,MATCH(G662,CONFIG!$B$25:$B$40,0)+1),G662),G662+2.5),IF(N662="BAJAR",IF(F662="polea",IFERROR(INDEX(CONFIG!$B$25:$B$40,MAX(1,MATCH(G662,CONFIG!$B$25:$B$40,0)-1)),G662),MAX(0,G662-2.5)),G662)))),"--")</f>
        <v>--</v>
      </c>
      <c r="L662" s="59" t="str">
        <f>IFERROR(IF(N662="SIN","--",IF(N662="MANT",IF(H662="","--",H662+1),IFERROR(VLOOKUP(CONFIG!$E$2,CONFIG!$A$6:$E$8,2,0),"--"))),"--")</f>
        <v>--</v>
      </c>
      <c r="M662" s="59" t="str">
        <f>IFERROR(IF(N662="SIN","--",IF(CONFIG!$E$2="HIP",2,IF(CONFIG!$E$2="FUE",1,2))),"--")</f>
        <v>--</v>
      </c>
      <c r="N662" s="53" t="str">
        <f>IFERROR(IF(G662="","SIN",IF(O662=1,"SUBIR_E",IF(H662&lt;IFERROR(VLOOKUP(CONFIG!$E$2,CONFIG!$A$6:$E$8,2,0),6),"BAJAR",IF(H662+I662&gt;=IFERROR(VLOOKUP(CONFIG!$E$2,CONFIG!$A$6:$E$8,3,0),12),"SUBIR_F",IF(AND(H662&gt;=IFERROR(VLOOKUP(CONFIG!$E$2,CONFIG!$A$6:$E$8,2,0),6)+2,I662&gt;=2),"SUBIR",IF(I662&gt;IFERROR(VLOOKUP(CONFIG!$E$2,CONFIG!$A$6:$E$8,5,0),3),"SUBIR","MANT")))))),"SIN")</f>
        <v>SIN</v>
      </c>
      <c r="O662" s="55">
        <f>IF(COUNTIFS(HISTORIAL!$O$3:$O$660,D662&amp;"|"&amp;E662,HISTORIAL!$F$3:$F$660,"&gt;0")&lt;2,0,IF(COUNTIFS(HISTORIAL!$O$3:$O$660,D662&amp;"|"&amp;E662,HISTORIAL!$F$3:$F$660,IFERROR(LOOKUP(2,1/((HISTORIAL!$O$3:$O$660=D662&amp;"|"&amp;E662)*(HISTORIAL!$F$3:$F$660&gt;0)),HISTORIAL!$F$3:$F$660),0))&gt;=2,IF(IFERROR(LOOKUP(2,1/((HISTORIAL!$O$3:$O$660=D662&amp;"|"&amp;E662)*(HISTORIAL!$F$3:$F$660&gt;0)),HISTORIAL!$G$3:$G$660),0)&gt;0,IF(F662&gt;0,IF(G662&lt;=IFERROR(LOOKUP(2,1/((HISTORIAL!$O$3:$O$660=D662&amp;"|"&amp;E662)*(HISTORIAL!$F$3:$F$660&gt;0)),HISTORIAL!$G$3:$G$660),0),1,0),0),0),0))</f>
        <v>0</v>
      </c>
    </row>
    <row r="663" spans="1:15" ht="14.1" customHeight="1">
      <c r="A663" s="37">
        <v>11</v>
      </c>
      <c r="B663" s="37" t="s">
        <v>279</v>
      </c>
      <c r="C663" s="37">
        <v>8</v>
      </c>
      <c r="D663" s="56" t="str">
        <f>MIERCOLES!$A$241</f>
        <v>Elevacion Gemelo</v>
      </c>
      <c r="E663" s="57" t="str">
        <f>MIERCOLES!$B$241</f>
        <v>Sentado</v>
      </c>
      <c r="F663" s="37" t="str">
        <f>MIERCOLES!$C$241</f>
        <v>disco</v>
      </c>
      <c r="G663" s="37" t="str">
        <f>IFERROR(LOOKUP(2,1/((HISTORIAL!$O$3:$O$661=D663&amp;"|"&amp;E663)*(HISTORIAL!$F$3:$F$661&lt;&gt;"")),HISTORIAL!$F$3:$F$661),"")</f>
        <v/>
      </c>
      <c r="H663" s="37" t="str">
        <f>IFERROR(LOOKUP(2,1/((HISTORIAL!$O$3:$O$661=D663&amp;"|"&amp;E663)*(HISTORIAL!$F$3:$F$661&lt;&gt;"")),HISTORIAL!$G$3:$G$661),"")</f>
        <v/>
      </c>
      <c r="I663" s="37" t="str">
        <f>IFERROR(LOOKUP(2,1/((HISTORIAL!$O$3:$O$661=D663&amp;"|"&amp;E663)*(HISTORIAL!$F$3:$F$661&lt;&gt;"")),HISTORIAL!$H$3:$H$661),"")</f>
        <v/>
      </c>
      <c r="J663" s="37" t="str">
        <f>IFERROR(LOOKUP(2,1/((HISTORIAL!$O$3:$O$661=D663&amp;"|"&amp;E663)*(HISTORIAL!$F$3:$F$661&lt;&gt;"")),HISTORIAL!$I$3:$I$661),"")</f>
        <v/>
      </c>
      <c r="K663" s="58" t="str">
        <f>IFERROR(IF(OR(G663="",N663="SIN"),"--",IF(N663="SUBIR_F",IF(F663="polea",IFERROR(INDEX(CONFIG!$B$25:$B$40,MATCH(G663,CONFIG!$B$25:$B$40,0)+2),IFERROR(INDEX(CONFIG!$B$25:$B$40,MATCH(G663,CONFIG!$B$25:$B$40,0)+1),G663)),G663+5),IF(OR(N663="SUBIR",N663="SUBIR_E"),IF(F663="polea",IFERROR(INDEX(CONFIG!$B$25:$B$40,MATCH(G663,CONFIG!$B$25:$B$40,0)+1),G663),G663+2.5),IF(N663="BAJAR",IF(F663="polea",IFERROR(INDEX(CONFIG!$B$25:$B$40,MAX(1,MATCH(G663,CONFIG!$B$25:$B$40,0)-1)),G663),MAX(0,G663-2.5)),G663)))),"--")</f>
        <v>--</v>
      </c>
      <c r="L663" s="59" t="str">
        <f>IFERROR(IF(N663="SIN","--",IF(N663="MANT",IF(H663="","--",H663+1),IFERROR(VLOOKUP(CONFIG!$E$2,CONFIG!$A$6:$E$8,2,0),"--"))),"--")</f>
        <v>--</v>
      </c>
      <c r="M663" s="59" t="str">
        <f>IFERROR(IF(N663="SIN","--",IF(CONFIG!$E$2="HIP",2,IF(CONFIG!$E$2="FUE",1,2))),"--")</f>
        <v>--</v>
      </c>
      <c r="N663" s="53" t="str">
        <f>IFERROR(IF(G663="","SIN",IF(O663=1,"SUBIR_E",IF(H663&lt;IFERROR(VLOOKUP(CONFIG!$E$2,CONFIG!$A$6:$E$8,2,0),6),"BAJAR",IF(H663+I663&gt;=IFERROR(VLOOKUP(CONFIG!$E$2,CONFIG!$A$6:$E$8,3,0),12),"SUBIR_F",IF(AND(H663&gt;=IFERROR(VLOOKUP(CONFIG!$E$2,CONFIG!$A$6:$E$8,2,0),6)+2,I663&gt;=2),"SUBIR",IF(I663&gt;IFERROR(VLOOKUP(CONFIG!$E$2,CONFIG!$A$6:$E$8,5,0),3),"SUBIR","MANT")))))),"SIN")</f>
        <v>SIN</v>
      </c>
      <c r="O663" s="55">
        <f>IF(COUNTIFS(HISTORIAL!$O$3:$O$661,D663&amp;"|"&amp;E663,HISTORIAL!$F$3:$F$661,"&gt;0")&lt;2,0,IF(COUNTIFS(HISTORIAL!$O$3:$O$661,D663&amp;"|"&amp;E663,HISTORIAL!$F$3:$F$661,IFERROR(LOOKUP(2,1/((HISTORIAL!$O$3:$O$661=D663&amp;"|"&amp;E663)*(HISTORIAL!$F$3:$F$661&gt;0)),HISTORIAL!$F$3:$F$661),0))&gt;=2,IF(IFERROR(LOOKUP(2,1/((HISTORIAL!$O$3:$O$661=D663&amp;"|"&amp;E663)*(HISTORIAL!$F$3:$F$661&gt;0)),HISTORIAL!$G$3:$G$661),0)&gt;0,IF(F663&gt;0,IF(G663&lt;=IFERROR(LOOKUP(2,1/((HISTORIAL!$O$3:$O$661=D663&amp;"|"&amp;E663)*(HISTORIAL!$F$3:$F$661&gt;0)),HISTORIAL!$G$3:$G$661),0),1,0),0),0),0))</f>
        <v>0</v>
      </c>
    </row>
    <row r="664" spans="1:15" ht="14.1" customHeight="1">
      <c r="A664" s="37">
        <v>11</v>
      </c>
      <c r="B664" s="37" t="s">
        <v>279</v>
      </c>
      <c r="C664" s="37">
        <v>9</v>
      </c>
      <c r="D664" s="56" t="str">
        <f>MIERCOLES!$A$242</f>
        <v>Elevacion Gemelo</v>
      </c>
      <c r="E664" s="57" t="str">
        <f>MIERCOLES!$B$242</f>
        <v>De Pie</v>
      </c>
      <c r="F664" s="37" t="str">
        <f>MIERCOLES!$C$242</f>
        <v>disco</v>
      </c>
      <c r="G664" s="37" t="str">
        <f>IFERROR(LOOKUP(2,1/((HISTORIAL!$O$3:$O$662=D664&amp;"|"&amp;E664)*(HISTORIAL!$F$3:$F$662&lt;&gt;"")),HISTORIAL!$F$3:$F$662),"")</f>
        <v/>
      </c>
      <c r="H664" s="37" t="str">
        <f>IFERROR(LOOKUP(2,1/((HISTORIAL!$O$3:$O$662=D664&amp;"|"&amp;E664)*(HISTORIAL!$F$3:$F$662&lt;&gt;"")),HISTORIAL!$G$3:$G$662),"")</f>
        <v/>
      </c>
      <c r="I664" s="37" t="str">
        <f>IFERROR(LOOKUP(2,1/((HISTORIAL!$O$3:$O$662=D664&amp;"|"&amp;E664)*(HISTORIAL!$F$3:$F$662&lt;&gt;"")),HISTORIAL!$H$3:$H$662),"")</f>
        <v/>
      </c>
      <c r="J664" s="37" t="str">
        <f>IFERROR(LOOKUP(2,1/((HISTORIAL!$O$3:$O$662=D664&amp;"|"&amp;E664)*(HISTORIAL!$F$3:$F$662&lt;&gt;"")),HISTORIAL!$I$3:$I$662),"")</f>
        <v/>
      </c>
      <c r="K664" s="58" t="str">
        <f>IFERROR(IF(OR(G664="",N664="SIN"),"--",IF(N664="SUBIR_F",IF(F664="polea",IFERROR(INDEX(CONFIG!$B$25:$B$40,MATCH(G664,CONFIG!$B$25:$B$40,0)+2),IFERROR(INDEX(CONFIG!$B$25:$B$40,MATCH(G664,CONFIG!$B$25:$B$40,0)+1),G664)),G664+5),IF(OR(N664="SUBIR",N664="SUBIR_E"),IF(F664="polea",IFERROR(INDEX(CONFIG!$B$25:$B$40,MATCH(G664,CONFIG!$B$25:$B$40,0)+1),G664),G664+2.5),IF(N664="BAJAR",IF(F664="polea",IFERROR(INDEX(CONFIG!$B$25:$B$40,MAX(1,MATCH(G664,CONFIG!$B$25:$B$40,0)-1)),G664),MAX(0,G664-2.5)),G664)))),"--")</f>
        <v>--</v>
      </c>
      <c r="L664" s="59" t="str">
        <f>IFERROR(IF(N664="SIN","--",IF(N664="MANT",IF(H664="","--",H664+1),IFERROR(VLOOKUP(CONFIG!$E$2,CONFIG!$A$6:$E$8,2,0),"--"))),"--")</f>
        <v>--</v>
      </c>
      <c r="M664" s="59" t="str">
        <f>IFERROR(IF(N664="SIN","--",IF(CONFIG!$E$2="HIP",2,IF(CONFIG!$E$2="FUE",1,2))),"--")</f>
        <v>--</v>
      </c>
      <c r="N664" s="53" t="str">
        <f>IFERROR(IF(G664="","SIN",IF(O664=1,"SUBIR_E",IF(H664&lt;IFERROR(VLOOKUP(CONFIG!$E$2,CONFIG!$A$6:$E$8,2,0),6),"BAJAR",IF(H664+I664&gt;=IFERROR(VLOOKUP(CONFIG!$E$2,CONFIG!$A$6:$E$8,3,0),12),"SUBIR_F",IF(AND(H664&gt;=IFERROR(VLOOKUP(CONFIG!$E$2,CONFIG!$A$6:$E$8,2,0),6)+2,I664&gt;=2),"SUBIR",IF(I664&gt;IFERROR(VLOOKUP(CONFIG!$E$2,CONFIG!$A$6:$E$8,5,0),3),"SUBIR","MANT")))))),"SIN")</f>
        <v>SIN</v>
      </c>
      <c r="O664" s="55">
        <f>IF(COUNTIFS(HISTORIAL!$O$3:$O$662,D664&amp;"|"&amp;E664,HISTORIAL!$F$3:$F$662,"&gt;0")&lt;2,0,IF(COUNTIFS(HISTORIAL!$O$3:$O$662,D664&amp;"|"&amp;E664,HISTORIAL!$F$3:$F$662,IFERROR(LOOKUP(2,1/((HISTORIAL!$O$3:$O$662=D664&amp;"|"&amp;E664)*(HISTORIAL!$F$3:$F$662&gt;0)),HISTORIAL!$F$3:$F$662),0))&gt;=2,IF(IFERROR(LOOKUP(2,1/((HISTORIAL!$O$3:$O$662=D664&amp;"|"&amp;E664)*(HISTORIAL!$F$3:$F$662&gt;0)),HISTORIAL!$G$3:$G$662),0)&gt;0,IF(F664&gt;0,IF(G664&lt;=IFERROR(LOOKUP(2,1/((HISTORIAL!$O$3:$O$662=D664&amp;"|"&amp;E664)*(HISTORIAL!$F$3:$F$662&gt;0)),HISTORIAL!$G$3:$G$662),0),1,0),0),0),0))</f>
        <v>0</v>
      </c>
    </row>
    <row r="665" spans="1:15" ht="14.1" customHeight="1">
      <c r="A665" s="37">
        <v>11</v>
      </c>
      <c r="B665" s="37" t="s">
        <v>279</v>
      </c>
      <c r="C665" s="37">
        <v>10</v>
      </c>
      <c r="D665" s="56" t="str">
        <f>MIERCOLES!$A$244</f>
        <v>Hiperextension</v>
      </c>
      <c r="E665" s="57" t="str">
        <f>MIERCOLES!$B$244</f>
        <v>Banco Romano</v>
      </c>
      <c r="F665" s="37" t="str">
        <f>MIERCOLES!$C$244</f>
        <v>peso_corporal</v>
      </c>
      <c r="G665" s="37" t="str">
        <f>IFERROR(LOOKUP(2,1/((HISTORIAL!$O$3:$O$663=D665&amp;"|"&amp;E665)*(HISTORIAL!$F$3:$F$663&lt;&gt;"")),HISTORIAL!$F$3:$F$663),"")</f>
        <v/>
      </c>
      <c r="H665" s="37" t="str">
        <f>IFERROR(LOOKUP(2,1/((HISTORIAL!$O$3:$O$663=D665&amp;"|"&amp;E665)*(HISTORIAL!$F$3:$F$663&lt;&gt;"")),HISTORIAL!$G$3:$G$663),"")</f>
        <v/>
      </c>
      <c r="I665" s="37" t="str">
        <f>IFERROR(LOOKUP(2,1/((HISTORIAL!$O$3:$O$663=D665&amp;"|"&amp;E665)*(HISTORIAL!$F$3:$F$663&lt;&gt;"")),HISTORIAL!$H$3:$H$663),"")</f>
        <v/>
      </c>
      <c r="J665" s="37" t="str">
        <f>IFERROR(LOOKUP(2,1/((HISTORIAL!$O$3:$O$663=D665&amp;"|"&amp;E665)*(HISTORIAL!$F$3:$F$663&lt;&gt;"")),HISTORIAL!$I$3:$I$663),"")</f>
        <v/>
      </c>
      <c r="K665" s="58" t="str">
        <f>IFERROR(IF(OR(G665="",N665="SIN"),"--",IF(N665="SUBIR_F",IF(F665="polea",IFERROR(INDEX(CONFIG!$B$25:$B$40,MATCH(G665,CONFIG!$B$25:$B$40,0)+2),IFERROR(INDEX(CONFIG!$B$25:$B$40,MATCH(G665,CONFIG!$B$25:$B$40,0)+1),G665)),G665+5),IF(OR(N665="SUBIR",N665="SUBIR_E"),IF(F665="polea",IFERROR(INDEX(CONFIG!$B$25:$B$40,MATCH(G665,CONFIG!$B$25:$B$40,0)+1),G665),G665+2.5),IF(N665="BAJAR",IF(F665="polea",IFERROR(INDEX(CONFIG!$B$25:$B$40,MAX(1,MATCH(G665,CONFIG!$B$25:$B$40,0)-1)),G665),MAX(0,G665-2.5)),G665)))),"--")</f>
        <v>--</v>
      </c>
      <c r="L665" s="59" t="str">
        <f>IFERROR(IF(N665="SIN","--",IF(N665="MANT",IF(H665="","--",H665+1),IFERROR(VLOOKUP(CONFIG!$E$2,CONFIG!$A$6:$E$8,2,0),"--"))),"--")</f>
        <v>--</v>
      </c>
      <c r="M665" s="59" t="str">
        <f>IFERROR(IF(N665="SIN","--",IF(CONFIG!$E$2="HIP",2,IF(CONFIG!$E$2="FUE",1,2))),"--")</f>
        <v>--</v>
      </c>
      <c r="N665" s="53" t="str">
        <f>IFERROR(IF(G665="","SIN",IF(O665=1,"SUBIR_E",IF(H665&lt;IFERROR(VLOOKUP(CONFIG!$E$2,CONFIG!$A$6:$E$8,2,0),6),"BAJAR",IF(H665+I665&gt;=IFERROR(VLOOKUP(CONFIG!$E$2,CONFIG!$A$6:$E$8,3,0),12),"SUBIR_F",IF(AND(H665&gt;=IFERROR(VLOOKUP(CONFIG!$E$2,CONFIG!$A$6:$E$8,2,0),6)+2,I665&gt;=2),"SUBIR",IF(I665&gt;IFERROR(VLOOKUP(CONFIG!$E$2,CONFIG!$A$6:$E$8,5,0),3),"SUBIR","MANT")))))),"SIN")</f>
        <v>SIN</v>
      </c>
      <c r="O665" s="55">
        <f>IF(COUNTIFS(HISTORIAL!$O$3:$O$663,D665&amp;"|"&amp;E665,HISTORIAL!$F$3:$F$663,"&gt;0")&lt;2,0,IF(COUNTIFS(HISTORIAL!$O$3:$O$663,D665&amp;"|"&amp;E665,HISTORIAL!$F$3:$F$663,IFERROR(LOOKUP(2,1/((HISTORIAL!$O$3:$O$663=D665&amp;"|"&amp;E665)*(HISTORIAL!$F$3:$F$663&gt;0)),HISTORIAL!$F$3:$F$663),0))&gt;=2,IF(IFERROR(LOOKUP(2,1/((HISTORIAL!$O$3:$O$663=D665&amp;"|"&amp;E665)*(HISTORIAL!$F$3:$F$663&gt;0)),HISTORIAL!$G$3:$G$663),0)&gt;0,IF(F665&gt;0,IF(G665&lt;=IFERROR(LOOKUP(2,1/((HISTORIAL!$O$3:$O$663=D665&amp;"|"&amp;E665)*(HISTORIAL!$F$3:$F$663&gt;0)),HISTORIAL!$G$3:$G$663),0),1,0),0),0),0))</f>
        <v>0</v>
      </c>
    </row>
    <row r="666" spans="1:15" ht="14.1" customHeight="1">
      <c r="A666" s="37">
        <v>11</v>
      </c>
      <c r="B666" s="37" t="s">
        <v>279</v>
      </c>
      <c r="C666" s="37">
        <v>11</v>
      </c>
      <c r="D666" s="56" t="str">
        <f>MIERCOLES!$A$245</f>
        <v>Peso Muerto Parcial</v>
      </c>
      <c r="E666" s="57" t="str">
        <f>MIERCOLES!$B$245</f>
        <v>Barra</v>
      </c>
      <c r="F666" s="37" t="str">
        <f>MIERCOLES!$C$245</f>
        <v>disco</v>
      </c>
      <c r="G666" s="37" t="str">
        <f>IFERROR(LOOKUP(2,1/((HISTORIAL!$O$3:$O$664=D666&amp;"|"&amp;E666)*(HISTORIAL!$F$3:$F$664&lt;&gt;"")),HISTORIAL!$F$3:$F$664),"")</f>
        <v/>
      </c>
      <c r="H666" s="37" t="str">
        <f>IFERROR(LOOKUP(2,1/((HISTORIAL!$O$3:$O$664=D666&amp;"|"&amp;E666)*(HISTORIAL!$F$3:$F$664&lt;&gt;"")),HISTORIAL!$G$3:$G$664),"")</f>
        <v/>
      </c>
      <c r="I666" s="37" t="str">
        <f>IFERROR(LOOKUP(2,1/((HISTORIAL!$O$3:$O$664=D666&amp;"|"&amp;E666)*(HISTORIAL!$F$3:$F$664&lt;&gt;"")),HISTORIAL!$H$3:$H$664),"")</f>
        <v/>
      </c>
      <c r="J666" s="37" t="str">
        <f>IFERROR(LOOKUP(2,1/((HISTORIAL!$O$3:$O$664=D666&amp;"|"&amp;E666)*(HISTORIAL!$F$3:$F$664&lt;&gt;"")),HISTORIAL!$I$3:$I$664),"")</f>
        <v/>
      </c>
      <c r="K666" s="58" t="str">
        <f>IFERROR(IF(OR(G666="",N666="SIN"),"--",IF(N666="SUBIR_F",IF(F666="polea",IFERROR(INDEX(CONFIG!$B$25:$B$40,MATCH(G666,CONFIG!$B$25:$B$40,0)+2),IFERROR(INDEX(CONFIG!$B$25:$B$40,MATCH(G666,CONFIG!$B$25:$B$40,0)+1),G666)),G666+5),IF(OR(N666="SUBIR",N666="SUBIR_E"),IF(F666="polea",IFERROR(INDEX(CONFIG!$B$25:$B$40,MATCH(G666,CONFIG!$B$25:$B$40,0)+1),G666),G666+2.5),IF(N666="BAJAR",IF(F666="polea",IFERROR(INDEX(CONFIG!$B$25:$B$40,MAX(1,MATCH(G666,CONFIG!$B$25:$B$40,0)-1)),G666),MAX(0,G666-2.5)),G666)))),"--")</f>
        <v>--</v>
      </c>
      <c r="L666" s="59" t="str">
        <f>IFERROR(IF(N666="SIN","--",IF(N666="MANT",IF(H666="","--",H666+1),IFERROR(VLOOKUP(CONFIG!$E$2,CONFIG!$A$6:$E$8,2,0),"--"))),"--")</f>
        <v>--</v>
      </c>
      <c r="M666" s="59" t="str">
        <f>IFERROR(IF(N666="SIN","--",IF(CONFIG!$E$2="HIP",2,IF(CONFIG!$E$2="FUE",1,2))),"--")</f>
        <v>--</v>
      </c>
      <c r="N666" s="53" t="str">
        <f>IFERROR(IF(G666="","SIN",IF(O666=1,"SUBIR_E",IF(H666&lt;IFERROR(VLOOKUP(CONFIG!$E$2,CONFIG!$A$6:$E$8,2,0),6),"BAJAR",IF(H666+I666&gt;=IFERROR(VLOOKUP(CONFIG!$E$2,CONFIG!$A$6:$E$8,3,0),12),"SUBIR_F",IF(AND(H666&gt;=IFERROR(VLOOKUP(CONFIG!$E$2,CONFIG!$A$6:$E$8,2,0),6)+2,I666&gt;=2),"SUBIR",IF(I666&gt;IFERROR(VLOOKUP(CONFIG!$E$2,CONFIG!$A$6:$E$8,5,0),3),"SUBIR","MANT")))))),"SIN")</f>
        <v>SIN</v>
      </c>
      <c r="O666" s="55">
        <f>IF(COUNTIFS(HISTORIAL!$O$3:$O$664,D666&amp;"|"&amp;E666,HISTORIAL!$F$3:$F$664,"&gt;0")&lt;2,0,IF(COUNTIFS(HISTORIAL!$O$3:$O$664,D666&amp;"|"&amp;E666,HISTORIAL!$F$3:$F$664,IFERROR(LOOKUP(2,1/((HISTORIAL!$O$3:$O$664=D666&amp;"|"&amp;E666)*(HISTORIAL!$F$3:$F$664&gt;0)),HISTORIAL!$F$3:$F$664),0))&gt;=2,IF(IFERROR(LOOKUP(2,1/((HISTORIAL!$O$3:$O$664=D666&amp;"|"&amp;E666)*(HISTORIAL!$F$3:$F$664&gt;0)),HISTORIAL!$G$3:$G$664),0)&gt;0,IF(F666&gt;0,IF(G666&lt;=IFERROR(LOOKUP(2,1/((HISTORIAL!$O$3:$O$664=D666&amp;"|"&amp;E666)*(HISTORIAL!$F$3:$F$664&gt;0)),HISTORIAL!$G$3:$G$664),0),1,0),0),0),0))</f>
        <v>0</v>
      </c>
    </row>
    <row r="667" spans="1:15" ht="14.1" customHeight="1">
      <c r="A667" s="37">
        <v>11</v>
      </c>
      <c r="B667" s="37" t="s">
        <v>279</v>
      </c>
      <c r="C667" s="37">
        <v>12</v>
      </c>
      <c r="D667" s="56" t="str">
        <f>MIERCOLES!$A$247</f>
        <v>Crunch</v>
      </c>
      <c r="E667" s="57" t="str">
        <f>MIERCOLES!$B$247</f>
        <v>Polea</v>
      </c>
      <c r="F667" s="37" t="str">
        <f>MIERCOLES!$C$247</f>
        <v>polea</v>
      </c>
      <c r="G667" s="37" t="str">
        <f>IFERROR(LOOKUP(2,1/((HISTORIAL!$O$3:$O$665=D667&amp;"|"&amp;E667)*(HISTORIAL!$F$3:$F$665&lt;&gt;"")),HISTORIAL!$F$3:$F$665),"")</f>
        <v/>
      </c>
      <c r="H667" s="37" t="str">
        <f>IFERROR(LOOKUP(2,1/((HISTORIAL!$O$3:$O$665=D667&amp;"|"&amp;E667)*(HISTORIAL!$F$3:$F$665&lt;&gt;"")),HISTORIAL!$G$3:$G$665),"")</f>
        <v/>
      </c>
      <c r="I667" s="37" t="str">
        <f>IFERROR(LOOKUP(2,1/((HISTORIAL!$O$3:$O$665=D667&amp;"|"&amp;E667)*(HISTORIAL!$F$3:$F$665&lt;&gt;"")),HISTORIAL!$H$3:$H$665),"")</f>
        <v/>
      </c>
      <c r="J667" s="37" t="str">
        <f>IFERROR(LOOKUP(2,1/((HISTORIAL!$O$3:$O$665=D667&amp;"|"&amp;E667)*(HISTORIAL!$F$3:$F$665&lt;&gt;"")),HISTORIAL!$I$3:$I$665),"")</f>
        <v/>
      </c>
      <c r="K667" s="58" t="str">
        <f>IFERROR(IF(OR(G667="",N667="SIN"),"--",IF(N667="SUBIR_F",IF(F667="polea",IFERROR(INDEX(CONFIG!$B$25:$B$40,MATCH(G667,CONFIG!$B$25:$B$40,0)+2),IFERROR(INDEX(CONFIG!$B$25:$B$40,MATCH(G667,CONFIG!$B$25:$B$40,0)+1),G667)),G667+5),IF(OR(N667="SUBIR",N667="SUBIR_E"),IF(F667="polea",IFERROR(INDEX(CONFIG!$B$25:$B$40,MATCH(G667,CONFIG!$B$25:$B$40,0)+1),G667),G667+2.5),IF(N667="BAJAR",IF(F667="polea",IFERROR(INDEX(CONFIG!$B$25:$B$40,MAX(1,MATCH(G667,CONFIG!$B$25:$B$40,0)-1)),G667),MAX(0,G667-2.5)),G667)))),"--")</f>
        <v>--</v>
      </c>
      <c r="L667" s="59" t="str">
        <f>IFERROR(IF(N667="SIN","--",IF(N667="MANT",IF(H667="","--",H667+1),IFERROR(VLOOKUP(CONFIG!$E$2,CONFIG!$A$6:$E$8,2,0),"--"))),"--")</f>
        <v>--</v>
      </c>
      <c r="M667" s="59" t="str">
        <f>IFERROR(IF(N667="SIN","--",IF(CONFIG!$E$2="HIP",2,IF(CONFIG!$E$2="FUE",1,2))),"--")</f>
        <v>--</v>
      </c>
      <c r="N667" s="53" t="str">
        <f>IFERROR(IF(G667="","SIN",IF(O667=1,"SUBIR_E",IF(H667&lt;IFERROR(VLOOKUP(CONFIG!$E$2,CONFIG!$A$6:$E$8,2,0),6),"BAJAR",IF(H667+I667&gt;=IFERROR(VLOOKUP(CONFIG!$E$2,CONFIG!$A$6:$E$8,3,0),12),"SUBIR_F",IF(AND(H667&gt;=IFERROR(VLOOKUP(CONFIG!$E$2,CONFIG!$A$6:$E$8,2,0),6)+2,I667&gt;=2),"SUBIR",IF(I667&gt;IFERROR(VLOOKUP(CONFIG!$E$2,CONFIG!$A$6:$E$8,5,0),3),"SUBIR","MANT")))))),"SIN")</f>
        <v>SIN</v>
      </c>
      <c r="O667" s="55">
        <f>IF(COUNTIFS(HISTORIAL!$O$3:$O$665,D667&amp;"|"&amp;E667,HISTORIAL!$F$3:$F$665,"&gt;0")&lt;2,0,IF(COUNTIFS(HISTORIAL!$O$3:$O$665,D667&amp;"|"&amp;E667,HISTORIAL!$F$3:$F$665,IFERROR(LOOKUP(2,1/((HISTORIAL!$O$3:$O$665=D667&amp;"|"&amp;E667)*(HISTORIAL!$F$3:$F$665&gt;0)),HISTORIAL!$F$3:$F$665),0))&gt;=2,IF(IFERROR(LOOKUP(2,1/((HISTORIAL!$O$3:$O$665=D667&amp;"|"&amp;E667)*(HISTORIAL!$F$3:$F$665&gt;0)),HISTORIAL!$G$3:$G$665),0)&gt;0,IF(F667&gt;0,IF(G667&lt;=IFERROR(LOOKUP(2,1/((HISTORIAL!$O$3:$O$665=D667&amp;"|"&amp;E667)*(HISTORIAL!$F$3:$F$665&gt;0)),HISTORIAL!$G$3:$G$665),0),1,0),0),0),0))</f>
        <v>0</v>
      </c>
    </row>
    <row r="668" spans="1:15" ht="14.1" customHeight="1">
      <c r="A668" s="37">
        <v>11</v>
      </c>
      <c r="B668" s="37" t="s">
        <v>279</v>
      </c>
      <c r="C668" s="37">
        <v>13</v>
      </c>
      <c r="D668" s="56" t="str">
        <f>MIERCOLES!$A$248</f>
        <v>Plancha</v>
      </c>
      <c r="E668" s="57" t="str">
        <f>MIERCOLES!$B$248</f>
        <v>Abdominal</v>
      </c>
      <c r="F668" s="37" t="str">
        <f>MIERCOLES!$C$248</f>
        <v>--</v>
      </c>
      <c r="G668" s="37" t="str">
        <f>IFERROR(LOOKUP(2,1/((HISTORIAL!$O$3:$O$666=D668&amp;"|"&amp;E668)*(HISTORIAL!$F$3:$F$666&lt;&gt;"")),HISTORIAL!$F$3:$F$666),"")</f>
        <v/>
      </c>
      <c r="H668" s="37" t="str">
        <f>IFERROR(LOOKUP(2,1/((HISTORIAL!$O$3:$O$666=D668&amp;"|"&amp;E668)*(HISTORIAL!$F$3:$F$666&lt;&gt;"")),HISTORIAL!$G$3:$G$666),"")</f>
        <v/>
      </c>
      <c r="I668" s="37" t="str">
        <f>IFERROR(LOOKUP(2,1/((HISTORIAL!$O$3:$O$666=D668&amp;"|"&amp;E668)*(HISTORIAL!$F$3:$F$666&lt;&gt;"")),HISTORIAL!$H$3:$H$666),"")</f>
        <v/>
      </c>
      <c r="J668" s="37" t="str">
        <f>IFERROR(LOOKUP(2,1/((HISTORIAL!$O$3:$O$666=D668&amp;"|"&amp;E668)*(HISTORIAL!$F$3:$F$666&lt;&gt;"")),HISTORIAL!$I$3:$I$666),"")</f>
        <v/>
      </c>
      <c r="K668" s="58" t="str">
        <f>IFERROR(IF(OR(G668="",N668="SIN"),"--",IF(N668="SUBIR_F",IF(F668="polea",IFERROR(INDEX(CONFIG!$B$25:$B$40,MATCH(G668,CONFIG!$B$25:$B$40,0)+2),IFERROR(INDEX(CONFIG!$B$25:$B$40,MATCH(G668,CONFIG!$B$25:$B$40,0)+1),G668)),G668+5),IF(OR(N668="SUBIR",N668="SUBIR_E"),IF(F668="polea",IFERROR(INDEX(CONFIG!$B$25:$B$40,MATCH(G668,CONFIG!$B$25:$B$40,0)+1),G668),G668+2.5),IF(N668="BAJAR",IF(F668="polea",IFERROR(INDEX(CONFIG!$B$25:$B$40,MAX(1,MATCH(G668,CONFIG!$B$25:$B$40,0)-1)),G668),MAX(0,G668-2.5)),G668)))),"--")</f>
        <v>--</v>
      </c>
      <c r="L668" s="59" t="str">
        <f>IFERROR(IF(N668="SIN","--",IF(N668="MANT",IF(H668="","--",H668+1),IFERROR(VLOOKUP(CONFIG!$E$2,CONFIG!$A$6:$E$8,2,0),"--"))),"--")</f>
        <v>--</v>
      </c>
      <c r="M668" s="59" t="str">
        <f>IFERROR(IF(N668="SIN","--",IF(CONFIG!$E$2="HIP",2,IF(CONFIG!$E$2="FUE",1,2))),"--")</f>
        <v>--</v>
      </c>
      <c r="N668" s="53" t="str">
        <f>IFERROR(IF(G668="","SIN",IF(O668=1,"SUBIR_E",IF(H668&lt;IFERROR(VLOOKUP(CONFIG!$E$2,CONFIG!$A$6:$E$8,2,0),6),"BAJAR",IF(H668+I668&gt;=IFERROR(VLOOKUP(CONFIG!$E$2,CONFIG!$A$6:$E$8,3,0),12),"SUBIR_F",IF(AND(H668&gt;=IFERROR(VLOOKUP(CONFIG!$E$2,CONFIG!$A$6:$E$8,2,0),6)+2,I668&gt;=2),"SUBIR",IF(I668&gt;IFERROR(VLOOKUP(CONFIG!$E$2,CONFIG!$A$6:$E$8,5,0),3),"SUBIR","MANT")))))),"SIN")</f>
        <v>SIN</v>
      </c>
      <c r="O668" s="55">
        <f>IF(COUNTIFS(HISTORIAL!$O$3:$O$666,D668&amp;"|"&amp;E668,HISTORIAL!$F$3:$F$666,"&gt;0")&lt;2,0,IF(COUNTIFS(HISTORIAL!$O$3:$O$666,D668&amp;"|"&amp;E668,HISTORIAL!$F$3:$F$666,IFERROR(LOOKUP(2,1/((HISTORIAL!$O$3:$O$666=D668&amp;"|"&amp;E668)*(HISTORIAL!$F$3:$F$666&gt;0)),HISTORIAL!$F$3:$F$666),0))&gt;=2,IF(IFERROR(LOOKUP(2,1/((HISTORIAL!$O$3:$O$666=D668&amp;"|"&amp;E668)*(HISTORIAL!$F$3:$F$666&gt;0)),HISTORIAL!$G$3:$G$666),0)&gt;0,IF(F668&gt;0,IF(G668&lt;=IFERROR(LOOKUP(2,1/((HISTORIAL!$O$3:$O$666=D668&amp;"|"&amp;E668)*(HISTORIAL!$F$3:$F$666&gt;0)),HISTORIAL!$G$3:$G$666),0),1,0),0),0),0))</f>
        <v>0</v>
      </c>
    </row>
    <row r="669" spans="1:15" ht="14.1" customHeight="1">
      <c r="A669" s="37">
        <v>11</v>
      </c>
      <c r="B669" s="37" t="s">
        <v>279</v>
      </c>
      <c r="C669" s="37">
        <v>14</v>
      </c>
      <c r="D669" s="56" t="str">
        <f>MIERCOLES!$A$249</f>
        <v>Rueda Abdominal</v>
      </c>
      <c r="E669" s="57" t="str">
        <f>MIERCOLES!$B$249</f>
        <v>Ab Wheel</v>
      </c>
      <c r="F669" s="37" t="str">
        <f>MIERCOLES!$C$249</f>
        <v>--</v>
      </c>
      <c r="G669" s="37" t="str">
        <f>IFERROR(LOOKUP(2,1/((HISTORIAL!$O$3:$O$667=D669&amp;"|"&amp;E669)*(HISTORIAL!$F$3:$F$667&lt;&gt;"")),HISTORIAL!$F$3:$F$667),"")</f>
        <v/>
      </c>
      <c r="H669" s="37" t="str">
        <f>IFERROR(LOOKUP(2,1/((HISTORIAL!$O$3:$O$667=D669&amp;"|"&amp;E669)*(HISTORIAL!$F$3:$F$667&lt;&gt;"")),HISTORIAL!$G$3:$G$667),"")</f>
        <v/>
      </c>
      <c r="I669" s="37" t="str">
        <f>IFERROR(LOOKUP(2,1/((HISTORIAL!$O$3:$O$667=D669&amp;"|"&amp;E669)*(HISTORIAL!$F$3:$F$667&lt;&gt;"")),HISTORIAL!$H$3:$H$667),"")</f>
        <v/>
      </c>
      <c r="J669" s="37" t="str">
        <f>IFERROR(LOOKUP(2,1/((HISTORIAL!$O$3:$O$667=D669&amp;"|"&amp;E669)*(HISTORIAL!$F$3:$F$667&lt;&gt;"")),HISTORIAL!$I$3:$I$667),"")</f>
        <v/>
      </c>
      <c r="K669" s="58" t="str">
        <f>IFERROR(IF(OR(G669="",N669="SIN"),"--",IF(N669="SUBIR_F",IF(F669="polea",IFERROR(INDEX(CONFIG!$B$25:$B$40,MATCH(G669,CONFIG!$B$25:$B$40,0)+2),IFERROR(INDEX(CONFIG!$B$25:$B$40,MATCH(G669,CONFIG!$B$25:$B$40,0)+1),G669)),G669+5),IF(OR(N669="SUBIR",N669="SUBIR_E"),IF(F669="polea",IFERROR(INDEX(CONFIG!$B$25:$B$40,MATCH(G669,CONFIG!$B$25:$B$40,0)+1),G669),G669+2.5),IF(N669="BAJAR",IF(F669="polea",IFERROR(INDEX(CONFIG!$B$25:$B$40,MAX(1,MATCH(G669,CONFIG!$B$25:$B$40,0)-1)),G669),MAX(0,G669-2.5)),G669)))),"--")</f>
        <v>--</v>
      </c>
      <c r="L669" s="59" t="str">
        <f>IFERROR(IF(N669="SIN","--",IF(N669="MANT",IF(H669="","--",H669+1),IFERROR(VLOOKUP(CONFIG!$E$2,CONFIG!$A$6:$E$8,2,0),"--"))),"--")</f>
        <v>--</v>
      </c>
      <c r="M669" s="59" t="str">
        <f>IFERROR(IF(N669="SIN","--",IF(CONFIG!$E$2="HIP",2,IF(CONFIG!$E$2="FUE",1,2))),"--")</f>
        <v>--</v>
      </c>
      <c r="N669" s="53" t="str">
        <f>IFERROR(IF(G669="","SIN",IF(O669=1,"SUBIR_E",IF(H669&lt;IFERROR(VLOOKUP(CONFIG!$E$2,CONFIG!$A$6:$E$8,2,0),6),"BAJAR",IF(H669+I669&gt;=IFERROR(VLOOKUP(CONFIG!$E$2,CONFIG!$A$6:$E$8,3,0),12),"SUBIR_F",IF(AND(H669&gt;=IFERROR(VLOOKUP(CONFIG!$E$2,CONFIG!$A$6:$E$8,2,0),6)+2,I669&gt;=2),"SUBIR",IF(I669&gt;IFERROR(VLOOKUP(CONFIG!$E$2,CONFIG!$A$6:$E$8,5,0),3),"SUBIR","MANT")))))),"SIN")</f>
        <v>SIN</v>
      </c>
      <c r="O669" s="55">
        <f>IF(COUNTIFS(HISTORIAL!$O$3:$O$667,D669&amp;"|"&amp;E669,HISTORIAL!$F$3:$F$667,"&gt;0")&lt;2,0,IF(COUNTIFS(HISTORIAL!$O$3:$O$667,D669&amp;"|"&amp;E669,HISTORIAL!$F$3:$F$667,IFERROR(LOOKUP(2,1/((HISTORIAL!$O$3:$O$667=D669&amp;"|"&amp;E669)*(HISTORIAL!$F$3:$F$667&gt;0)),HISTORIAL!$F$3:$F$667),0))&gt;=2,IF(IFERROR(LOOKUP(2,1/((HISTORIAL!$O$3:$O$667=D669&amp;"|"&amp;E669)*(HISTORIAL!$F$3:$F$667&gt;0)),HISTORIAL!$G$3:$G$667),0)&gt;0,IF(F669&gt;0,IF(G669&lt;=IFERROR(LOOKUP(2,1/((HISTORIAL!$O$3:$O$667=D669&amp;"|"&amp;E669)*(HISTORIAL!$F$3:$F$667&gt;0)),HISTORIAL!$G$3:$G$667),0),1,0),0),0),0))</f>
        <v>0</v>
      </c>
    </row>
    <row r="670" spans="1:15" ht="14.1" customHeight="1">
      <c r="A670" s="37">
        <v>11</v>
      </c>
      <c r="B670" s="37" t="s">
        <v>279</v>
      </c>
      <c r="C670" s="37">
        <v>15</v>
      </c>
      <c r="D670" s="56" t="str">
        <f>MIERCOLES!$A$250</f>
        <v>Elevacion Piernas</v>
      </c>
      <c r="E670" s="57" t="str">
        <f>MIERCOLES!$B$250</f>
        <v>Colgado</v>
      </c>
      <c r="F670" s="37" t="str">
        <f>MIERCOLES!$C$250</f>
        <v>peso_corporal</v>
      </c>
      <c r="G670" s="37" t="str">
        <f>IFERROR(LOOKUP(2,1/((HISTORIAL!$O$3:$O$668=D670&amp;"|"&amp;E670)*(HISTORIAL!$F$3:$F$668&lt;&gt;"")),HISTORIAL!$F$3:$F$668),"")</f>
        <v/>
      </c>
      <c r="H670" s="37" t="str">
        <f>IFERROR(LOOKUP(2,1/((HISTORIAL!$O$3:$O$668=D670&amp;"|"&amp;E670)*(HISTORIAL!$F$3:$F$668&lt;&gt;"")),HISTORIAL!$G$3:$G$668),"")</f>
        <v/>
      </c>
      <c r="I670" s="37" t="str">
        <f>IFERROR(LOOKUP(2,1/((HISTORIAL!$O$3:$O$668=D670&amp;"|"&amp;E670)*(HISTORIAL!$F$3:$F$668&lt;&gt;"")),HISTORIAL!$H$3:$H$668),"")</f>
        <v/>
      </c>
      <c r="J670" s="37" t="str">
        <f>IFERROR(LOOKUP(2,1/((HISTORIAL!$O$3:$O$668=D670&amp;"|"&amp;E670)*(HISTORIAL!$F$3:$F$668&lt;&gt;"")),HISTORIAL!$I$3:$I$668),"")</f>
        <v/>
      </c>
      <c r="K670" s="58" t="str">
        <f>IFERROR(IF(OR(G670="",N670="SIN"),"--",IF(N670="SUBIR_F",IF(F670="polea",IFERROR(INDEX(CONFIG!$B$25:$B$40,MATCH(G670,CONFIG!$B$25:$B$40,0)+2),IFERROR(INDEX(CONFIG!$B$25:$B$40,MATCH(G670,CONFIG!$B$25:$B$40,0)+1),G670)),G670+5),IF(OR(N670="SUBIR",N670="SUBIR_E"),IF(F670="polea",IFERROR(INDEX(CONFIG!$B$25:$B$40,MATCH(G670,CONFIG!$B$25:$B$40,0)+1),G670),G670+2.5),IF(N670="BAJAR",IF(F670="polea",IFERROR(INDEX(CONFIG!$B$25:$B$40,MAX(1,MATCH(G670,CONFIG!$B$25:$B$40,0)-1)),G670),MAX(0,G670-2.5)),G670)))),"--")</f>
        <v>--</v>
      </c>
      <c r="L670" s="59" t="str">
        <f>IFERROR(IF(N670="SIN","--",IF(N670="MANT",IF(H670="","--",H670+1),IFERROR(VLOOKUP(CONFIG!$E$2,CONFIG!$A$6:$E$8,2,0),"--"))),"--")</f>
        <v>--</v>
      </c>
      <c r="M670" s="59" t="str">
        <f>IFERROR(IF(N670="SIN","--",IF(CONFIG!$E$2="HIP",2,IF(CONFIG!$E$2="FUE",1,2))),"--")</f>
        <v>--</v>
      </c>
      <c r="N670" s="53" t="str">
        <f>IFERROR(IF(G670="","SIN",IF(O670=1,"SUBIR_E",IF(H670&lt;IFERROR(VLOOKUP(CONFIG!$E$2,CONFIG!$A$6:$E$8,2,0),6),"BAJAR",IF(H670+I670&gt;=IFERROR(VLOOKUP(CONFIG!$E$2,CONFIG!$A$6:$E$8,3,0),12),"SUBIR_F",IF(AND(H670&gt;=IFERROR(VLOOKUP(CONFIG!$E$2,CONFIG!$A$6:$E$8,2,0),6)+2,I670&gt;=2),"SUBIR",IF(I670&gt;IFERROR(VLOOKUP(CONFIG!$E$2,CONFIG!$A$6:$E$8,5,0),3),"SUBIR","MANT")))))),"SIN")</f>
        <v>SIN</v>
      </c>
      <c r="O670" s="55">
        <f>IF(COUNTIFS(HISTORIAL!$O$3:$O$668,D670&amp;"|"&amp;E670,HISTORIAL!$F$3:$F$668,"&gt;0")&lt;2,0,IF(COUNTIFS(HISTORIAL!$O$3:$O$668,D670&amp;"|"&amp;E670,HISTORIAL!$F$3:$F$668,IFERROR(LOOKUP(2,1/((HISTORIAL!$O$3:$O$668=D670&amp;"|"&amp;E670)*(HISTORIAL!$F$3:$F$668&gt;0)),HISTORIAL!$F$3:$F$668),0))&gt;=2,IF(IFERROR(LOOKUP(2,1/((HISTORIAL!$O$3:$O$668=D670&amp;"|"&amp;E670)*(HISTORIAL!$F$3:$F$668&gt;0)),HISTORIAL!$G$3:$G$668),0)&gt;0,IF(F670&gt;0,IF(G670&lt;=IFERROR(LOOKUP(2,1/((HISTORIAL!$O$3:$O$668=D670&amp;"|"&amp;E670)*(HISTORIAL!$F$3:$F$668&gt;0)),HISTORIAL!$G$3:$G$668),0),1,0),0),0),0))</f>
        <v>0</v>
      </c>
    </row>
    <row r="671" spans="1:15" ht="14.1" customHeight="1">
      <c r="A671" s="37">
        <v>11</v>
      </c>
      <c r="B671" s="37" t="s">
        <v>280</v>
      </c>
      <c r="C671" s="37">
        <v>1</v>
      </c>
      <c r="D671" s="56" t="str">
        <f>JUEVES!$A$262</f>
        <v>Press Militar</v>
      </c>
      <c r="E671" s="57" t="str">
        <f>JUEVES!$B$262</f>
        <v>Multipower</v>
      </c>
      <c r="F671" s="37" t="str">
        <f>JUEVES!$C$262</f>
        <v>--</v>
      </c>
      <c r="G671" s="37" t="str">
        <f>IFERROR(LOOKUP(2,1/((HISTORIAL!$O$3:$O$669=D671&amp;"|"&amp;E671)*(HISTORIAL!$F$3:$F$669&lt;&gt;"")),HISTORIAL!$F$3:$F$669),"")</f>
        <v/>
      </c>
      <c r="H671" s="37" t="str">
        <f>IFERROR(LOOKUP(2,1/((HISTORIAL!$O$3:$O$669=D671&amp;"|"&amp;E671)*(HISTORIAL!$F$3:$F$669&lt;&gt;"")),HISTORIAL!$G$3:$G$669),"")</f>
        <v/>
      </c>
      <c r="I671" s="37" t="str">
        <f>IFERROR(LOOKUP(2,1/((HISTORIAL!$O$3:$O$669=D671&amp;"|"&amp;E671)*(HISTORIAL!$F$3:$F$669&lt;&gt;"")),HISTORIAL!$H$3:$H$669),"")</f>
        <v/>
      </c>
      <c r="J671" s="37" t="str">
        <f>IFERROR(LOOKUP(2,1/((HISTORIAL!$O$3:$O$669=D671&amp;"|"&amp;E671)*(HISTORIAL!$F$3:$F$669&lt;&gt;"")),HISTORIAL!$I$3:$I$669),"")</f>
        <v/>
      </c>
      <c r="K671" s="58" t="str">
        <f>IFERROR(IF(OR(G671="",N671="SIN"),"--",IF(N671="SUBIR_F",IF(F671="polea",IFERROR(INDEX(CONFIG!$B$25:$B$40,MATCH(G671,CONFIG!$B$25:$B$40,0)+2),IFERROR(INDEX(CONFIG!$B$25:$B$40,MATCH(G671,CONFIG!$B$25:$B$40,0)+1),G671)),G671+5),IF(OR(N671="SUBIR",N671="SUBIR_E"),IF(F671="polea",IFERROR(INDEX(CONFIG!$B$25:$B$40,MATCH(G671,CONFIG!$B$25:$B$40,0)+1),G671),G671+2.5),IF(N671="BAJAR",IF(F671="polea",IFERROR(INDEX(CONFIG!$B$25:$B$40,MAX(1,MATCH(G671,CONFIG!$B$25:$B$40,0)-1)),G671),MAX(0,G671-2.5)),G671)))),"--")</f>
        <v>--</v>
      </c>
      <c r="L671" s="59" t="str">
        <f>IFERROR(IF(N671="SIN","--",IF(N671="MANT",IF(H671="","--",H671+1),IFERROR(VLOOKUP(CONFIG!$E$2,CONFIG!$A$6:$E$8,2,0),"--"))),"--")</f>
        <v>--</v>
      </c>
      <c r="M671" s="59" t="str">
        <f>IFERROR(IF(N671="SIN","--",IF(CONFIG!$E$2="HIP",2,IF(CONFIG!$E$2="FUE",1,2))),"--")</f>
        <v>--</v>
      </c>
      <c r="N671" s="53" t="str">
        <f>IFERROR(IF(G671="","SIN",IF(O671=1,"SUBIR_E",IF(H671&lt;IFERROR(VLOOKUP(CONFIG!$E$2,CONFIG!$A$6:$E$8,2,0),6),"BAJAR",IF(H671+I671&gt;=IFERROR(VLOOKUP(CONFIG!$E$2,CONFIG!$A$6:$E$8,3,0),12),"SUBIR_F",IF(AND(H671&gt;=IFERROR(VLOOKUP(CONFIG!$E$2,CONFIG!$A$6:$E$8,2,0),6)+2,I671&gt;=2),"SUBIR",IF(I671&gt;IFERROR(VLOOKUP(CONFIG!$E$2,CONFIG!$A$6:$E$8,5,0),3),"SUBIR","MANT")))))),"SIN")</f>
        <v>SIN</v>
      </c>
      <c r="O671" s="55">
        <f>IF(COUNTIFS(HISTORIAL!$O$3:$O$669,D671&amp;"|"&amp;E671,HISTORIAL!$F$3:$F$669,"&gt;0")&lt;2,0,IF(COUNTIFS(HISTORIAL!$O$3:$O$669,D671&amp;"|"&amp;E671,HISTORIAL!$F$3:$F$669,IFERROR(LOOKUP(2,1/((HISTORIAL!$O$3:$O$669=D671&amp;"|"&amp;E671)*(HISTORIAL!$F$3:$F$669&gt;0)),HISTORIAL!$F$3:$F$669),0))&gt;=2,IF(IFERROR(LOOKUP(2,1/((HISTORIAL!$O$3:$O$669=D671&amp;"|"&amp;E671)*(HISTORIAL!$F$3:$F$669&gt;0)),HISTORIAL!$G$3:$G$669),0)&gt;0,IF(F671&gt;0,IF(G671&lt;=IFERROR(LOOKUP(2,1/((HISTORIAL!$O$3:$O$669=D671&amp;"|"&amp;E671)*(HISTORIAL!$F$3:$F$669&gt;0)),HISTORIAL!$G$3:$G$669),0),1,0),0),0),0))</f>
        <v>0</v>
      </c>
    </row>
    <row r="672" spans="1:15" ht="14.1" customHeight="1">
      <c r="A672" s="37">
        <v>11</v>
      </c>
      <c r="B672" s="37" t="s">
        <v>280</v>
      </c>
      <c r="C672" s="37">
        <v>2</v>
      </c>
      <c r="D672" s="56" t="str">
        <f>JUEVES!$A$263</f>
        <v>Elevaciones Laterales</v>
      </c>
      <c r="E672" s="57" t="str">
        <f>JUEVES!$B$263</f>
        <v>Drop Set Maquina</v>
      </c>
      <c r="F672" s="37" t="str">
        <f>JUEVES!$C$263</f>
        <v>--</v>
      </c>
      <c r="G672" s="37" t="str">
        <f>IFERROR(LOOKUP(2,1/((HISTORIAL!$O$3:$O$670=D672&amp;"|"&amp;E672)*(HISTORIAL!$F$3:$F$670&lt;&gt;"")),HISTORIAL!$F$3:$F$670),"")</f>
        <v/>
      </c>
      <c r="H672" s="37" t="str">
        <f>IFERROR(LOOKUP(2,1/((HISTORIAL!$O$3:$O$670=D672&amp;"|"&amp;E672)*(HISTORIAL!$F$3:$F$670&lt;&gt;"")),HISTORIAL!$G$3:$G$670),"")</f>
        <v/>
      </c>
      <c r="I672" s="37" t="str">
        <f>IFERROR(LOOKUP(2,1/((HISTORIAL!$O$3:$O$670=D672&amp;"|"&amp;E672)*(HISTORIAL!$F$3:$F$670&lt;&gt;"")),HISTORIAL!$H$3:$H$670),"")</f>
        <v/>
      </c>
      <c r="J672" s="37" t="str">
        <f>IFERROR(LOOKUP(2,1/((HISTORIAL!$O$3:$O$670=D672&amp;"|"&amp;E672)*(HISTORIAL!$F$3:$F$670&lt;&gt;"")),HISTORIAL!$I$3:$I$670),"")</f>
        <v/>
      </c>
      <c r="K672" s="58" t="str">
        <f>IFERROR(IF(OR(G672="",N672="SIN"),"--",IF(N672="SUBIR_F",IF(F672="polea",IFERROR(INDEX(CONFIG!$B$25:$B$40,MATCH(G672,CONFIG!$B$25:$B$40,0)+2),IFERROR(INDEX(CONFIG!$B$25:$B$40,MATCH(G672,CONFIG!$B$25:$B$40,0)+1),G672)),G672+5),IF(OR(N672="SUBIR",N672="SUBIR_E"),IF(F672="polea",IFERROR(INDEX(CONFIG!$B$25:$B$40,MATCH(G672,CONFIG!$B$25:$B$40,0)+1),G672),G672+2.5),IF(N672="BAJAR",IF(F672="polea",IFERROR(INDEX(CONFIG!$B$25:$B$40,MAX(1,MATCH(G672,CONFIG!$B$25:$B$40,0)-1)),G672),MAX(0,G672-2.5)),G672)))),"--")</f>
        <v>--</v>
      </c>
      <c r="L672" s="59" t="str">
        <f>IFERROR(IF(N672="SIN","--",IF(N672="MANT",IF(H672="","--",H672+1),IFERROR(VLOOKUP(CONFIG!$E$2,CONFIG!$A$6:$E$8,2,0),"--"))),"--")</f>
        <v>--</v>
      </c>
      <c r="M672" s="59" t="str">
        <f>IFERROR(IF(N672="SIN","--",IF(CONFIG!$E$2="HIP",2,IF(CONFIG!$E$2="FUE",1,2))),"--")</f>
        <v>--</v>
      </c>
      <c r="N672" s="53" t="str">
        <f>IFERROR(IF(G672="","SIN",IF(O672=1,"SUBIR_E",IF(H672&lt;IFERROR(VLOOKUP(CONFIG!$E$2,CONFIG!$A$6:$E$8,2,0),6),"BAJAR",IF(H672+I672&gt;=IFERROR(VLOOKUP(CONFIG!$E$2,CONFIG!$A$6:$E$8,3,0),12),"SUBIR_F",IF(AND(H672&gt;=IFERROR(VLOOKUP(CONFIG!$E$2,CONFIG!$A$6:$E$8,2,0),6)+2,I672&gt;=2),"SUBIR",IF(I672&gt;IFERROR(VLOOKUP(CONFIG!$E$2,CONFIG!$A$6:$E$8,5,0),3),"SUBIR","MANT")))))),"SIN")</f>
        <v>SIN</v>
      </c>
      <c r="O672" s="55">
        <f>IF(COUNTIFS(HISTORIAL!$O$3:$O$670,D672&amp;"|"&amp;E672,HISTORIAL!$F$3:$F$670,"&gt;0")&lt;2,0,IF(COUNTIFS(HISTORIAL!$O$3:$O$670,D672&amp;"|"&amp;E672,HISTORIAL!$F$3:$F$670,IFERROR(LOOKUP(2,1/((HISTORIAL!$O$3:$O$670=D672&amp;"|"&amp;E672)*(HISTORIAL!$F$3:$F$670&gt;0)),HISTORIAL!$F$3:$F$670),0))&gt;=2,IF(IFERROR(LOOKUP(2,1/((HISTORIAL!$O$3:$O$670=D672&amp;"|"&amp;E672)*(HISTORIAL!$F$3:$F$670&gt;0)),HISTORIAL!$G$3:$G$670),0)&gt;0,IF(F672&gt;0,IF(G672&lt;=IFERROR(LOOKUP(2,1/((HISTORIAL!$O$3:$O$670=D672&amp;"|"&amp;E672)*(HISTORIAL!$F$3:$F$670&gt;0)),HISTORIAL!$G$3:$G$670),0),1,0),0),0),0))</f>
        <v>0</v>
      </c>
    </row>
    <row r="673" spans="1:15" ht="14.1" customHeight="1">
      <c r="A673" s="37">
        <v>11</v>
      </c>
      <c r="B673" s="37" t="s">
        <v>280</v>
      </c>
      <c r="C673" s="37">
        <v>3</v>
      </c>
      <c r="D673" s="56" t="str">
        <f>JUEVES!$A$265</f>
        <v>Pajaro</v>
      </c>
      <c r="E673" s="57" t="str">
        <f>JUEVES!$B$265</f>
        <v>Elevacion Posterior</v>
      </c>
      <c r="F673" s="37" t="str">
        <f>JUEVES!$C$265</f>
        <v>mancuerna</v>
      </c>
      <c r="G673" s="37" t="str">
        <f>IFERROR(LOOKUP(2,1/((HISTORIAL!$O$3:$O$671=D673&amp;"|"&amp;E673)*(HISTORIAL!$F$3:$F$671&lt;&gt;"")),HISTORIAL!$F$3:$F$671),"")</f>
        <v/>
      </c>
      <c r="H673" s="37" t="str">
        <f>IFERROR(LOOKUP(2,1/((HISTORIAL!$O$3:$O$671=D673&amp;"|"&amp;E673)*(HISTORIAL!$F$3:$F$671&lt;&gt;"")),HISTORIAL!$G$3:$G$671),"")</f>
        <v/>
      </c>
      <c r="I673" s="37" t="str">
        <f>IFERROR(LOOKUP(2,1/((HISTORIAL!$O$3:$O$671=D673&amp;"|"&amp;E673)*(HISTORIAL!$F$3:$F$671&lt;&gt;"")),HISTORIAL!$H$3:$H$671),"")</f>
        <v/>
      </c>
      <c r="J673" s="37" t="str">
        <f>IFERROR(LOOKUP(2,1/((HISTORIAL!$O$3:$O$671=D673&amp;"|"&amp;E673)*(HISTORIAL!$F$3:$F$671&lt;&gt;"")),HISTORIAL!$I$3:$I$671),"")</f>
        <v/>
      </c>
      <c r="K673" s="58" t="str">
        <f>IFERROR(IF(OR(G673="",N673="SIN"),"--",IF(N673="SUBIR_F",IF(F673="polea",IFERROR(INDEX(CONFIG!$B$25:$B$40,MATCH(G673,CONFIG!$B$25:$B$40,0)+2),IFERROR(INDEX(CONFIG!$B$25:$B$40,MATCH(G673,CONFIG!$B$25:$B$40,0)+1),G673)),G673+5),IF(OR(N673="SUBIR",N673="SUBIR_E"),IF(F673="polea",IFERROR(INDEX(CONFIG!$B$25:$B$40,MATCH(G673,CONFIG!$B$25:$B$40,0)+1),G673),G673+2.5),IF(N673="BAJAR",IF(F673="polea",IFERROR(INDEX(CONFIG!$B$25:$B$40,MAX(1,MATCH(G673,CONFIG!$B$25:$B$40,0)-1)),G673),MAX(0,G673-2.5)),G673)))),"--")</f>
        <v>--</v>
      </c>
      <c r="L673" s="59" t="str">
        <f>IFERROR(IF(N673="SIN","--",IF(N673="MANT",IF(H673="","--",H673+1),IFERROR(VLOOKUP(CONFIG!$E$2,CONFIG!$A$6:$E$8,2,0),"--"))),"--")</f>
        <v>--</v>
      </c>
      <c r="M673" s="59" t="str">
        <f>IFERROR(IF(N673="SIN","--",IF(CONFIG!$E$2="HIP",2,IF(CONFIG!$E$2="FUE",1,2))),"--")</f>
        <v>--</v>
      </c>
      <c r="N673" s="53" t="str">
        <f>IFERROR(IF(G673="","SIN",IF(O673=1,"SUBIR_E",IF(H673&lt;IFERROR(VLOOKUP(CONFIG!$E$2,CONFIG!$A$6:$E$8,2,0),6),"BAJAR",IF(H673+I673&gt;=IFERROR(VLOOKUP(CONFIG!$E$2,CONFIG!$A$6:$E$8,3,0),12),"SUBIR_F",IF(AND(H673&gt;=IFERROR(VLOOKUP(CONFIG!$E$2,CONFIG!$A$6:$E$8,2,0),6)+2,I673&gt;=2),"SUBIR",IF(I673&gt;IFERROR(VLOOKUP(CONFIG!$E$2,CONFIG!$A$6:$E$8,5,0),3),"SUBIR","MANT")))))),"SIN")</f>
        <v>SIN</v>
      </c>
      <c r="O673" s="55">
        <f>IF(COUNTIFS(HISTORIAL!$O$3:$O$671,D673&amp;"|"&amp;E673,HISTORIAL!$F$3:$F$671,"&gt;0")&lt;2,0,IF(COUNTIFS(HISTORIAL!$O$3:$O$671,D673&amp;"|"&amp;E673,HISTORIAL!$F$3:$F$671,IFERROR(LOOKUP(2,1/((HISTORIAL!$O$3:$O$671=D673&amp;"|"&amp;E673)*(HISTORIAL!$F$3:$F$671&gt;0)),HISTORIAL!$F$3:$F$671),0))&gt;=2,IF(IFERROR(LOOKUP(2,1/((HISTORIAL!$O$3:$O$671=D673&amp;"|"&amp;E673)*(HISTORIAL!$F$3:$F$671&gt;0)),HISTORIAL!$G$3:$G$671),0)&gt;0,IF(F673&gt;0,IF(G673&lt;=IFERROR(LOOKUP(2,1/((HISTORIAL!$O$3:$O$671=D673&amp;"|"&amp;E673)*(HISTORIAL!$F$3:$F$671&gt;0)),HISTORIAL!$G$3:$G$671),0),1,0),0),0),0))</f>
        <v>0</v>
      </c>
    </row>
    <row r="674" spans="1:15" ht="14.1" customHeight="1">
      <c r="A674" s="37">
        <v>11</v>
      </c>
      <c r="B674" s="37" t="s">
        <v>280</v>
      </c>
      <c r="C674" s="37">
        <v>4</v>
      </c>
      <c r="D674" s="56" t="str">
        <f>JUEVES!$A$266</f>
        <v>Peck Deck Invertida</v>
      </c>
      <c r="E674" s="57" t="str">
        <f>JUEVES!$B$266</f>
        <v>Maquina</v>
      </c>
      <c r="F674" s="37" t="str">
        <f>JUEVES!$C$266</f>
        <v>polea</v>
      </c>
      <c r="G674" s="37" t="str">
        <f>IFERROR(LOOKUP(2,1/((HISTORIAL!$O$3:$O$672=D674&amp;"|"&amp;E674)*(HISTORIAL!$F$3:$F$672&lt;&gt;"")),HISTORIAL!$F$3:$F$672),"")</f>
        <v/>
      </c>
      <c r="H674" s="37" t="str">
        <f>IFERROR(LOOKUP(2,1/((HISTORIAL!$O$3:$O$672=D674&amp;"|"&amp;E674)*(HISTORIAL!$F$3:$F$672&lt;&gt;"")),HISTORIAL!$G$3:$G$672),"")</f>
        <v/>
      </c>
      <c r="I674" s="37" t="str">
        <f>IFERROR(LOOKUP(2,1/((HISTORIAL!$O$3:$O$672=D674&amp;"|"&amp;E674)*(HISTORIAL!$F$3:$F$672&lt;&gt;"")),HISTORIAL!$H$3:$H$672),"")</f>
        <v/>
      </c>
      <c r="J674" s="37" t="str">
        <f>IFERROR(LOOKUP(2,1/((HISTORIAL!$O$3:$O$672=D674&amp;"|"&amp;E674)*(HISTORIAL!$F$3:$F$672&lt;&gt;"")),HISTORIAL!$I$3:$I$672),"")</f>
        <v/>
      </c>
      <c r="K674" s="58" t="str">
        <f>IFERROR(IF(OR(G674="",N674="SIN"),"--",IF(N674="SUBIR_F",IF(F674="polea",IFERROR(INDEX(CONFIG!$B$25:$B$40,MATCH(G674,CONFIG!$B$25:$B$40,0)+2),IFERROR(INDEX(CONFIG!$B$25:$B$40,MATCH(G674,CONFIG!$B$25:$B$40,0)+1),G674)),G674+5),IF(OR(N674="SUBIR",N674="SUBIR_E"),IF(F674="polea",IFERROR(INDEX(CONFIG!$B$25:$B$40,MATCH(G674,CONFIG!$B$25:$B$40,0)+1),G674),G674+2.5),IF(N674="BAJAR",IF(F674="polea",IFERROR(INDEX(CONFIG!$B$25:$B$40,MAX(1,MATCH(G674,CONFIG!$B$25:$B$40,0)-1)),G674),MAX(0,G674-2.5)),G674)))),"--")</f>
        <v>--</v>
      </c>
      <c r="L674" s="59" t="str">
        <f>IFERROR(IF(N674="SIN","--",IF(N674="MANT",IF(H674="","--",H674+1),IFERROR(VLOOKUP(CONFIG!$E$2,CONFIG!$A$6:$E$8,2,0),"--"))),"--")</f>
        <v>--</v>
      </c>
      <c r="M674" s="59" t="str">
        <f>IFERROR(IF(N674="SIN","--",IF(CONFIG!$E$2="HIP",2,IF(CONFIG!$E$2="FUE",1,2))),"--")</f>
        <v>--</v>
      </c>
      <c r="N674" s="53" t="str">
        <f>IFERROR(IF(G674="","SIN",IF(O674=1,"SUBIR_E",IF(H674&lt;IFERROR(VLOOKUP(CONFIG!$E$2,CONFIG!$A$6:$E$8,2,0),6),"BAJAR",IF(H674+I674&gt;=IFERROR(VLOOKUP(CONFIG!$E$2,CONFIG!$A$6:$E$8,3,0),12),"SUBIR_F",IF(AND(H674&gt;=IFERROR(VLOOKUP(CONFIG!$E$2,CONFIG!$A$6:$E$8,2,0),6)+2,I674&gt;=2),"SUBIR",IF(I674&gt;IFERROR(VLOOKUP(CONFIG!$E$2,CONFIG!$A$6:$E$8,5,0),3),"SUBIR","MANT")))))),"SIN")</f>
        <v>SIN</v>
      </c>
      <c r="O674" s="55">
        <f>IF(COUNTIFS(HISTORIAL!$O$3:$O$672,D674&amp;"|"&amp;E674,HISTORIAL!$F$3:$F$672,"&gt;0")&lt;2,0,IF(COUNTIFS(HISTORIAL!$O$3:$O$672,D674&amp;"|"&amp;E674,HISTORIAL!$F$3:$F$672,IFERROR(LOOKUP(2,1/((HISTORIAL!$O$3:$O$672=D674&amp;"|"&amp;E674)*(HISTORIAL!$F$3:$F$672&gt;0)),HISTORIAL!$F$3:$F$672),0))&gt;=2,IF(IFERROR(LOOKUP(2,1/((HISTORIAL!$O$3:$O$672=D674&amp;"|"&amp;E674)*(HISTORIAL!$F$3:$F$672&gt;0)),HISTORIAL!$G$3:$G$672),0)&gt;0,IF(F674&gt;0,IF(G674&lt;=IFERROR(LOOKUP(2,1/((HISTORIAL!$O$3:$O$672=D674&amp;"|"&amp;E674)*(HISTORIAL!$F$3:$F$672&gt;0)),HISTORIAL!$G$3:$G$672),0),1,0),0),0),0))</f>
        <v>0</v>
      </c>
    </row>
    <row r="675" spans="1:15" ht="14.1" customHeight="1">
      <c r="A675" s="37">
        <v>11</v>
      </c>
      <c r="B675" s="37" t="s">
        <v>280</v>
      </c>
      <c r="C675" s="37">
        <v>5</v>
      </c>
      <c r="D675" s="56" t="str">
        <f>JUEVES!$A$267</f>
        <v>Elevaciones Posteriores</v>
      </c>
      <c r="E675" s="57" t="str">
        <f>JUEVES!$B$267</f>
        <v>Polea Individual</v>
      </c>
      <c r="F675" s="37" t="str">
        <f>JUEVES!$C$267</f>
        <v>polea</v>
      </c>
      <c r="G675" s="37" t="str">
        <f>IFERROR(LOOKUP(2,1/((HISTORIAL!$O$3:$O$673=D675&amp;"|"&amp;E675)*(HISTORIAL!$F$3:$F$673&lt;&gt;"")),HISTORIAL!$F$3:$F$673),"")</f>
        <v/>
      </c>
      <c r="H675" s="37" t="str">
        <f>IFERROR(LOOKUP(2,1/((HISTORIAL!$O$3:$O$673=D675&amp;"|"&amp;E675)*(HISTORIAL!$F$3:$F$673&lt;&gt;"")),HISTORIAL!$G$3:$G$673),"")</f>
        <v/>
      </c>
      <c r="I675" s="37" t="str">
        <f>IFERROR(LOOKUP(2,1/((HISTORIAL!$O$3:$O$673=D675&amp;"|"&amp;E675)*(HISTORIAL!$F$3:$F$673&lt;&gt;"")),HISTORIAL!$H$3:$H$673),"")</f>
        <v/>
      </c>
      <c r="J675" s="37" t="str">
        <f>IFERROR(LOOKUP(2,1/((HISTORIAL!$O$3:$O$673=D675&amp;"|"&amp;E675)*(HISTORIAL!$F$3:$F$673&lt;&gt;"")),HISTORIAL!$I$3:$I$673),"")</f>
        <v/>
      </c>
      <c r="K675" s="58" t="str">
        <f>IFERROR(IF(OR(G675="",N675="SIN"),"--",IF(N675="SUBIR_F",IF(F675="polea",IFERROR(INDEX(CONFIG!$B$25:$B$40,MATCH(G675,CONFIG!$B$25:$B$40,0)+2),IFERROR(INDEX(CONFIG!$B$25:$B$40,MATCH(G675,CONFIG!$B$25:$B$40,0)+1),G675)),G675+5),IF(OR(N675="SUBIR",N675="SUBIR_E"),IF(F675="polea",IFERROR(INDEX(CONFIG!$B$25:$B$40,MATCH(G675,CONFIG!$B$25:$B$40,0)+1),G675),G675+2.5),IF(N675="BAJAR",IF(F675="polea",IFERROR(INDEX(CONFIG!$B$25:$B$40,MAX(1,MATCH(G675,CONFIG!$B$25:$B$40,0)-1)),G675),MAX(0,G675-2.5)),G675)))),"--")</f>
        <v>--</v>
      </c>
      <c r="L675" s="59" t="str">
        <f>IFERROR(IF(N675="SIN","--",IF(N675="MANT",IF(H675="","--",H675+1),IFERROR(VLOOKUP(CONFIG!$E$2,CONFIG!$A$6:$E$8,2,0),"--"))),"--")</f>
        <v>--</v>
      </c>
      <c r="M675" s="59" t="str">
        <f>IFERROR(IF(N675="SIN","--",IF(CONFIG!$E$2="HIP",2,IF(CONFIG!$E$2="FUE",1,2))),"--")</f>
        <v>--</v>
      </c>
      <c r="N675" s="53" t="str">
        <f>IFERROR(IF(G675="","SIN",IF(O675=1,"SUBIR_E",IF(H675&lt;IFERROR(VLOOKUP(CONFIG!$E$2,CONFIG!$A$6:$E$8,2,0),6),"BAJAR",IF(H675+I675&gt;=IFERROR(VLOOKUP(CONFIG!$E$2,CONFIG!$A$6:$E$8,3,0),12),"SUBIR_F",IF(AND(H675&gt;=IFERROR(VLOOKUP(CONFIG!$E$2,CONFIG!$A$6:$E$8,2,0),6)+2,I675&gt;=2),"SUBIR",IF(I675&gt;IFERROR(VLOOKUP(CONFIG!$E$2,CONFIG!$A$6:$E$8,5,0),3),"SUBIR","MANT")))))),"SIN")</f>
        <v>SIN</v>
      </c>
      <c r="O675" s="55">
        <f>IF(COUNTIFS(HISTORIAL!$O$3:$O$673,D675&amp;"|"&amp;E675,HISTORIAL!$F$3:$F$673,"&gt;0")&lt;2,0,IF(COUNTIFS(HISTORIAL!$O$3:$O$673,D675&amp;"|"&amp;E675,HISTORIAL!$F$3:$F$673,IFERROR(LOOKUP(2,1/((HISTORIAL!$O$3:$O$673=D675&amp;"|"&amp;E675)*(HISTORIAL!$F$3:$F$673&gt;0)),HISTORIAL!$F$3:$F$673),0))&gt;=2,IF(IFERROR(LOOKUP(2,1/((HISTORIAL!$O$3:$O$673=D675&amp;"|"&amp;E675)*(HISTORIAL!$F$3:$F$673&gt;0)),HISTORIAL!$G$3:$G$673),0)&gt;0,IF(F675&gt;0,IF(G675&lt;=IFERROR(LOOKUP(2,1/((HISTORIAL!$O$3:$O$673=D675&amp;"|"&amp;E675)*(HISTORIAL!$F$3:$F$673&gt;0)),HISTORIAL!$G$3:$G$673),0),1,0),0),0),0))</f>
        <v>0</v>
      </c>
    </row>
    <row r="676" spans="1:15" ht="14.1" customHeight="1">
      <c r="A676" s="37">
        <v>11</v>
      </c>
      <c r="B676" s="37" t="s">
        <v>280</v>
      </c>
      <c r="C676" s="37">
        <v>6</v>
      </c>
      <c r="D676" s="56" t="str">
        <f>JUEVES!$A$270</f>
        <v>Press Plano</v>
      </c>
      <c r="E676" s="57" t="str">
        <f>JUEVES!$B$270</f>
        <v>Mancuernas</v>
      </c>
      <c r="F676" s="37" t="str">
        <f>JUEVES!$C$270</f>
        <v>mancuerna</v>
      </c>
      <c r="G676" s="37" t="str">
        <f>IFERROR(LOOKUP(2,1/((HISTORIAL!$O$3:$O$674=D676&amp;"|"&amp;E676)*(HISTORIAL!$F$3:$F$674&lt;&gt;"")),HISTORIAL!$F$3:$F$674),"")</f>
        <v/>
      </c>
      <c r="H676" s="37" t="str">
        <f>IFERROR(LOOKUP(2,1/((HISTORIAL!$O$3:$O$674=D676&amp;"|"&amp;E676)*(HISTORIAL!$F$3:$F$674&lt;&gt;"")),HISTORIAL!$G$3:$G$674),"")</f>
        <v/>
      </c>
      <c r="I676" s="37" t="str">
        <f>IFERROR(LOOKUP(2,1/((HISTORIAL!$O$3:$O$674=D676&amp;"|"&amp;E676)*(HISTORIAL!$F$3:$F$674&lt;&gt;"")),HISTORIAL!$H$3:$H$674),"")</f>
        <v/>
      </c>
      <c r="J676" s="37" t="str">
        <f>IFERROR(LOOKUP(2,1/((HISTORIAL!$O$3:$O$674=D676&amp;"|"&amp;E676)*(HISTORIAL!$F$3:$F$674&lt;&gt;"")),HISTORIAL!$I$3:$I$674),"")</f>
        <v/>
      </c>
      <c r="K676" s="58" t="str">
        <f>IFERROR(IF(OR(G676="",N676="SIN"),"--",IF(N676="SUBIR_F",IF(F676="polea",IFERROR(INDEX(CONFIG!$B$25:$B$40,MATCH(G676,CONFIG!$B$25:$B$40,0)+2),IFERROR(INDEX(CONFIG!$B$25:$B$40,MATCH(G676,CONFIG!$B$25:$B$40,0)+1),G676)),G676+5),IF(OR(N676="SUBIR",N676="SUBIR_E"),IF(F676="polea",IFERROR(INDEX(CONFIG!$B$25:$B$40,MATCH(G676,CONFIG!$B$25:$B$40,0)+1),G676),G676+2.5),IF(N676="BAJAR",IF(F676="polea",IFERROR(INDEX(CONFIG!$B$25:$B$40,MAX(1,MATCH(G676,CONFIG!$B$25:$B$40,0)-1)),G676),MAX(0,G676-2.5)),G676)))),"--")</f>
        <v>--</v>
      </c>
      <c r="L676" s="59" t="str">
        <f>IFERROR(IF(N676="SIN","--",IF(N676="MANT",IF(H676="","--",H676+1),IFERROR(VLOOKUP(CONFIG!$E$2,CONFIG!$A$6:$E$8,2,0),"--"))),"--")</f>
        <v>--</v>
      </c>
      <c r="M676" s="59" t="str">
        <f>IFERROR(IF(N676="SIN","--",IF(CONFIG!$E$2="HIP",2,IF(CONFIG!$E$2="FUE",1,2))),"--")</f>
        <v>--</v>
      </c>
      <c r="N676" s="53" t="str">
        <f>IFERROR(IF(G676="","SIN",IF(O676=1,"SUBIR_E",IF(H676&lt;IFERROR(VLOOKUP(CONFIG!$E$2,CONFIG!$A$6:$E$8,2,0),6),"BAJAR",IF(H676+I676&gt;=IFERROR(VLOOKUP(CONFIG!$E$2,CONFIG!$A$6:$E$8,3,0),12),"SUBIR_F",IF(AND(H676&gt;=IFERROR(VLOOKUP(CONFIG!$E$2,CONFIG!$A$6:$E$8,2,0),6)+2,I676&gt;=2),"SUBIR",IF(I676&gt;IFERROR(VLOOKUP(CONFIG!$E$2,CONFIG!$A$6:$E$8,5,0),3),"SUBIR","MANT")))))),"SIN")</f>
        <v>SIN</v>
      </c>
      <c r="O676" s="55">
        <f>IF(COUNTIFS(HISTORIAL!$O$3:$O$674,D676&amp;"|"&amp;E676,HISTORIAL!$F$3:$F$674,"&gt;0")&lt;2,0,IF(COUNTIFS(HISTORIAL!$O$3:$O$674,D676&amp;"|"&amp;E676,HISTORIAL!$F$3:$F$674,IFERROR(LOOKUP(2,1/((HISTORIAL!$O$3:$O$674=D676&amp;"|"&amp;E676)*(HISTORIAL!$F$3:$F$674&gt;0)),HISTORIAL!$F$3:$F$674),0))&gt;=2,IF(IFERROR(LOOKUP(2,1/((HISTORIAL!$O$3:$O$674=D676&amp;"|"&amp;E676)*(HISTORIAL!$F$3:$F$674&gt;0)),HISTORIAL!$G$3:$G$674),0)&gt;0,IF(F676&gt;0,IF(G676&lt;=IFERROR(LOOKUP(2,1/((HISTORIAL!$O$3:$O$674=D676&amp;"|"&amp;E676)*(HISTORIAL!$F$3:$F$674&gt;0)),HISTORIAL!$G$3:$G$674),0),1,0),0),0),0))</f>
        <v>0</v>
      </c>
    </row>
    <row r="677" spans="1:15" ht="14.1" customHeight="1">
      <c r="A677" s="37">
        <v>11</v>
      </c>
      <c r="B677" s="37" t="s">
        <v>280</v>
      </c>
      <c r="C677" s="37">
        <v>7</v>
      </c>
      <c r="D677" s="56" t="str">
        <f>JUEVES!$A$272</f>
        <v>Press Inclinado</v>
      </c>
      <c r="E677" s="57" t="str">
        <f>JUEVES!$B$272</f>
        <v>Multipower</v>
      </c>
      <c r="F677" s="37" t="str">
        <f>JUEVES!$C$272</f>
        <v>disco</v>
      </c>
      <c r="G677" s="37" t="str">
        <f>IFERROR(LOOKUP(2,1/((HISTORIAL!$O$3:$O$675=D677&amp;"|"&amp;E677)*(HISTORIAL!$F$3:$F$675&lt;&gt;"")),HISTORIAL!$F$3:$F$675),"")</f>
        <v/>
      </c>
      <c r="H677" s="37" t="str">
        <f>IFERROR(LOOKUP(2,1/((HISTORIAL!$O$3:$O$675=D677&amp;"|"&amp;E677)*(HISTORIAL!$F$3:$F$675&lt;&gt;"")),HISTORIAL!$G$3:$G$675),"")</f>
        <v/>
      </c>
      <c r="I677" s="37" t="str">
        <f>IFERROR(LOOKUP(2,1/((HISTORIAL!$O$3:$O$675=D677&amp;"|"&amp;E677)*(HISTORIAL!$F$3:$F$675&lt;&gt;"")),HISTORIAL!$H$3:$H$675),"")</f>
        <v/>
      </c>
      <c r="J677" s="37" t="str">
        <f>IFERROR(LOOKUP(2,1/((HISTORIAL!$O$3:$O$675=D677&amp;"|"&amp;E677)*(HISTORIAL!$F$3:$F$675&lt;&gt;"")),HISTORIAL!$I$3:$I$675),"")</f>
        <v/>
      </c>
      <c r="K677" s="58" t="str">
        <f>IFERROR(IF(OR(G677="",N677="SIN"),"--",IF(N677="SUBIR_F",IF(F677="polea",IFERROR(INDEX(CONFIG!$B$25:$B$40,MATCH(G677,CONFIG!$B$25:$B$40,0)+2),IFERROR(INDEX(CONFIG!$B$25:$B$40,MATCH(G677,CONFIG!$B$25:$B$40,0)+1),G677)),G677+5),IF(OR(N677="SUBIR",N677="SUBIR_E"),IF(F677="polea",IFERROR(INDEX(CONFIG!$B$25:$B$40,MATCH(G677,CONFIG!$B$25:$B$40,0)+1),G677),G677+2.5),IF(N677="BAJAR",IF(F677="polea",IFERROR(INDEX(CONFIG!$B$25:$B$40,MAX(1,MATCH(G677,CONFIG!$B$25:$B$40,0)-1)),G677),MAX(0,G677-2.5)),G677)))),"--")</f>
        <v>--</v>
      </c>
      <c r="L677" s="59" t="str">
        <f>IFERROR(IF(N677="SIN","--",IF(N677="MANT",IF(H677="","--",H677+1),IFERROR(VLOOKUP(CONFIG!$E$2,CONFIG!$A$6:$E$8,2,0),"--"))),"--")</f>
        <v>--</v>
      </c>
      <c r="M677" s="59" t="str">
        <f>IFERROR(IF(N677="SIN","--",IF(CONFIG!$E$2="HIP",2,IF(CONFIG!$E$2="FUE",1,2))),"--")</f>
        <v>--</v>
      </c>
      <c r="N677" s="53" t="str">
        <f>IFERROR(IF(G677="","SIN",IF(O677=1,"SUBIR_E",IF(H677&lt;IFERROR(VLOOKUP(CONFIG!$E$2,CONFIG!$A$6:$E$8,2,0),6),"BAJAR",IF(H677+I677&gt;=IFERROR(VLOOKUP(CONFIG!$E$2,CONFIG!$A$6:$E$8,3,0),12),"SUBIR_F",IF(AND(H677&gt;=IFERROR(VLOOKUP(CONFIG!$E$2,CONFIG!$A$6:$E$8,2,0),6)+2,I677&gt;=2),"SUBIR",IF(I677&gt;IFERROR(VLOOKUP(CONFIG!$E$2,CONFIG!$A$6:$E$8,5,0),3),"SUBIR","MANT")))))),"SIN")</f>
        <v>SIN</v>
      </c>
      <c r="O677" s="55">
        <f>IF(COUNTIFS(HISTORIAL!$O$3:$O$675,D677&amp;"|"&amp;E677,HISTORIAL!$F$3:$F$675,"&gt;0")&lt;2,0,IF(COUNTIFS(HISTORIAL!$O$3:$O$675,D677&amp;"|"&amp;E677,HISTORIAL!$F$3:$F$675,IFERROR(LOOKUP(2,1/((HISTORIAL!$O$3:$O$675=D677&amp;"|"&amp;E677)*(HISTORIAL!$F$3:$F$675&gt;0)),HISTORIAL!$F$3:$F$675),0))&gt;=2,IF(IFERROR(LOOKUP(2,1/((HISTORIAL!$O$3:$O$675=D677&amp;"|"&amp;E677)*(HISTORIAL!$F$3:$F$675&gt;0)),HISTORIAL!$G$3:$G$675),0)&gt;0,IF(F677&gt;0,IF(G677&lt;=IFERROR(LOOKUP(2,1/((HISTORIAL!$O$3:$O$675=D677&amp;"|"&amp;E677)*(HISTORIAL!$F$3:$F$675&gt;0)),HISTORIAL!$G$3:$G$675),0),1,0),0),0),0))</f>
        <v>0</v>
      </c>
    </row>
    <row r="678" spans="1:15" ht="14.1" customHeight="1">
      <c r="A678" s="37">
        <v>11</v>
      </c>
      <c r="B678" s="37" t="s">
        <v>280</v>
      </c>
      <c r="C678" s="37">
        <v>8</v>
      </c>
      <c r="D678" s="56" t="str">
        <f>JUEVES!$A$274</f>
        <v>Aperturas</v>
      </c>
      <c r="E678" s="57" t="str">
        <f>JUEVES!$B$274</f>
        <v>Pec Deck Maquina</v>
      </c>
      <c r="F678" s="37" t="str">
        <f>JUEVES!$C$274</f>
        <v>--</v>
      </c>
      <c r="G678" s="37" t="str">
        <f>IFERROR(LOOKUP(2,1/((HISTORIAL!$O$3:$O$676=D678&amp;"|"&amp;E678)*(HISTORIAL!$F$3:$F$676&lt;&gt;"")),HISTORIAL!$F$3:$F$676),"")</f>
        <v/>
      </c>
      <c r="H678" s="37" t="str">
        <f>IFERROR(LOOKUP(2,1/((HISTORIAL!$O$3:$O$676=D678&amp;"|"&amp;E678)*(HISTORIAL!$F$3:$F$676&lt;&gt;"")),HISTORIAL!$G$3:$G$676),"")</f>
        <v/>
      </c>
      <c r="I678" s="37" t="str">
        <f>IFERROR(LOOKUP(2,1/((HISTORIAL!$O$3:$O$676=D678&amp;"|"&amp;E678)*(HISTORIAL!$F$3:$F$676&lt;&gt;"")),HISTORIAL!$H$3:$H$676),"")</f>
        <v/>
      </c>
      <c r="J678" s="37" t="str">
        <f>IFERROR(LOOKUP(2,1/((HISTORIAL!$O$3:$O$676=D678&amp;"|"&amp;E678)*(HISTORIAL!$F$3:$F$676&lt;&gt;"")),HISTORIAL!$I$3:$I$676),"")</f>
        <v/>
      </c>
      <c r="K678" s="58" t="str">
        <f>IFERROR(IF(OR(G678="",N678="SIN"),"--",IF(N678="SUBIR_F",IF(F678="polea",IFERROR(INDEX(CONFIG!$B$25:$B$40,MATCH(G678,CONFIG!$B$25:$B$40,0)+2),IFERROR(INDEX(CONFIG!$B$25:$B$40,MATCH(G678,CONFIG!$B$25:$B$40,0)+1),G678)),G678+5),IF(OR(N678="SUBIR",N678="SUBIR_E"),IF(F678="polea",IFERROR(INDEX(CONFIG!$B$25:$B$40,MATCH(G678,CONFIG!$B$25:$B$40,0)+1),G678),G678+2.5),IF(N678="BAJAR",IF(F678="polea",IFERROR(INDEX(CONFIG!$B$25:$B$40,MAX(1,MATCH(G678,CONFIG!$B$25:$B$40,0)-1)),G678),MAX(0,G678-2.5)),G678)))),"--")</f>
        <v>--</v>
      </c>
      <c r="L678" s="59" t="str">
        <f>IFERROR(IF(N678="SIN","--",IF(N678="MANT",IF(H678="","--",H678+1),IFERROR(VLOOKUP(CONFIG!$E$2,CONFIG!$A$6:$E$8,2,0),"--"))),"--")</f>
        <v>--</v>
      </c>
      <c r="M678" s="59" t="str">
        <f>IFERROR(IF(N678="SIN","--",IF(CONFIG!$E$2="HIP",2,IF(CONFIG!$E$2="FUE",1,2))),"--")</f>
        <v>--</v>
      </c>
      <c r="N678" s="53" t="str">
        <f>IFERROR(IF(G678="","SIN",IF(O678=1,"SUBIR_E",IF(H678&lt;IFERROR(VLOOKUP(CONFIG!$E$2,CONFIG!$A$6:$E$8,2,0),6),"BAJAR",IF(H678+I678&gt;=IFERROR(VLOOKUP(CONFIG!$E$2,CONFIG!$A$6:$E$8,3,0),12),"SUBIR_F",IF(AND(H678&gt;=IFERROR(VLOOKUP(CONFIG!$E$2,CONFIG!$A$6:$E$8,2,0),6)+2,I678&gt;=2),"SUBIR",IF(I678&gt;IFERROR(VLOOKUP(CONFIG!$E$2,CONFIG!$A$6:$E$8,5,0),3),"SUBIR","MANT")))))),"SIN")</f>
        <v>SIN</v>
      </c>
      <c r="O678" s="55">
        <f>IF(COUNTIFS(HISTORIAL!$O$3:$O$676,D678&amp;"|"&amp;E678,HISTORIAL!$F$3:$F$676,"&gt;0")&lt;2,0,IF(COUNTIFS(HISTORIAL!$O$3:$O$676,D678&amp;"|"&amp;E678,HISTORIAL!$F$3:$F$676,IFERROR(LOOKUP(2,1/((HISTORIAL!$O$3:$O$676=D678&amp;"|"&amp;E678)*(HISTORIAL!$F$3:$F$676&gt;0)),HISTORIAL!$F$3:$F$676),0))&gt;=2,IF(IFERROR(LOOKUP(2,1/((HISTORIAL!$O$3:$O$676=D678&amp;"|"&amp;E678)*(HISTORIAL!$F$3:$F$676&gt;0)),HISTORIAL!$G$3:$G$676),0)&gt;0,IF(F678&gt;0,IF(G678&lt;=IFERROR(LOOKUP(2,1/((HISTORIAL!$O$3:$O$676=D678&amp;"|"&amp;E678)*(HISTORIAL!$F$3:$F$676&gt;0)),HISTORIAL!$G$3:$G$676),0),1,0),0),0),0))</f>
        <v>0</v>
      </c>
    </row>
    <row r="679" spans="1:15" ht="14.1" customHeight="1">
      <c r="A679" s="37">
        <v>11</v>
      </c>
      <c r="B679" s="37" t="s">
        <v>280</v>
      </c>
      <c r="C679" s="37">
        <v>9</v>
      </c>
      <c r="D679" s="56" t="str">
        <f>JUEVES!$A$276</f>
        <v>Press Polea</v>
      </c>
      <c r="E679" s="57" t="str">
        <f>JUEVES!$B$276</f>
        <v>Barra Recta Diagonal Arriba</v>
      </c>
      <c r="F679" s="37" t="str">
        <f>JUEVES!$C$276</f>
        <v>polea</v>
      </c>
      <c r="G679" s="37" t="str">
        <f>IFERROR(LOOKUP(2,1/((HISTORIAL!$O$3:$O$677=D679&amp;"|"&amp;E679)*(HISTORIAL!$F$3:$F$677&lt;&gt;"")),HISTORIAL!$F$3:$F$677),"")</f>
        <v/>
      </c>
      <c r="H679" s="37" t="str">
        <f>IFERROR(LOOKUP(2,1/((HISTORIAL!$O$3:$O$677=D679&amp;"|"&amp;E679)*(HISTORIAL!$F$3:$F$677&lt;&gt;"")),HISTORIAL!$G$3:$G$677),"")</f>
        <v/>
      </c>
      <c r="I679" s="37" t="str">
        <f>IFERROR(LOOKUP(2,1/((HISTORIAL!$O$3:$O$677=D679&amp;"|"&amp;E679)*(HISTORIAL!$F$3:$F$677&lt;&gt;"")),HISTORIAL!$H$3:$H$677),"")</f>
        <v/>
      </c>
      <c r="J679" s="37" t="str">
        <f>IFERROR(LOOKUP(2,1/((HISTORIAL!$O$3:$O$677=D679&amp;"|"&amp;E679)*(HISTORIAL!$F$3:$F$677&lt;&gt;"")),HISTORIAL!$I$3:$I$677),"")</f>
        <v/>
      </c>
      <c r="K679" s="58" t="str">
        <f>IFERROR(IF(OR(G679="",N679="SIN"),"--",IF(N679="SUBIR_F",IF(F679="polea",IFERROR(INDEX(CONFIG!$B$25:$B$40,MATCH(G679,CONFIG!$B$25:$B$40,0)+2),IFERROR(INDEX(CONFIG!$B$25:$B$40,MATCH(G679,CONFIG!$B$25:$B$40,0)+1),G679)),G679+5),IF(OR(N679="SUBIR",N679="SUBIR_E"),IF(F679="polea",IFERROR(INDEX(CONFIG!$B$25:$B$40,MATCH(G679,CONFIG!$B$25:$B$40,0)+1),G679),G679+2.5),IF(N679="BAJAR",IF(F679="polea",IFERROR(INDEX(CONFIG!$B$25:$B$40,MAX(1,MATCH(G679,CONFIG!$B$25:$B$40,0)-1)),G679),MAX(0,G679-2.5)),G679)))),"--")</f>
        <v>--</v>
      </c>
      <c r="L679" s="59" t="str">
        <f>IFERROR(IF(N679="SIN","--",IF(N679="MANT",IF(H679="","--",H679+1),IFERROR(VLOOKUP(CONFIG!$E$2,CONFIG!$A$6:$E$8,2,0),"--"))),"--")</f>
        <v>--</v>
      </c>
      <c r="M679" s="59" t="str">
        <f>IFERROR(IF(N679="SIN","--",IF(CONFIG!$E$2="HIP",2,IF(CONFIG!$E$2="FUE",1,2))),"--")</f>
        <v>--</v>
      </c>
      <c r="N679" s="53" t="str">
        <f>IFERROR(IF(G679="","SIN",IF(O679=1,"SUBIR_E",IF(H679&lt;IFERROR(VLOOKUP(CONFIG!$E$2,CONFIG!$A$6:$E$8,2,0),6),"BAJAR",IF(H679+I679&gt;=IFERROR(VLOOKUP(CONFIG!$E$2,CONFIG!$A$6:$E$8,3,0),12),"SUBIR_F",IF(AND(H679&gt;=IFERROR(VLOOKUP(CONFIG!$E$2,CONFIG!$A$6:$E$8,2,0),6)+2,I679&gt;=2),"SUBIR",IF(I679&gt;IFERROR(VLOOKUP(CONFIG!$E$2,CONFIG!$A$6:$E$8,5,0),3),"SUBIR","MANT")))))),"SIN")</f>
        <v>SIN</v>
      </c>
      <c r="O679" s="55">
        <f>IF(COUNTIFS(HISTORIAL!$O$3:$O$677,D679&amp;"|"&amp;E679,HISTORIAL!$F$3:$F$677,"&gt;0")&lt;2,0,IF(COUNTIFS(HISTORIAL!$O$3:$O$677,D679&amp;"|"&amp;E679,HISTORIAL!$F$3:$F$677,IFERROR(LOOKUP(2,1/((HISTORIAL!$O$3:$O$677=D679&amp;"|"&amp;E679)*(HISTORIAL!$F$3:$F$677&gt;0)),HISTORIAL!$F$3:$F$677),0))&gt;=2,IF(IFERROR(LOOKUP(2,1/((HISTORIAL!$O$3:$O$677=D679&amp;"|"&amp;E679)*(HISTORIAL!$F$3:$F$677&gt;0)),HISTORIAL!$G$3:$G$677),0)&gt;0,IF(F679&gt;0,IF(G679&lt;=IFERROR(LOOKUP(2,1/((HISTORIAL!$O$3:$O$677=D679&amp;"|"&amp;E679)*(HISTORIAL!$F$3:$F$677&gt;0)),HISTORIAL!$G$3:$G$677),0),1,0),0),0),0))</f>
        <v>0</v>
      </c>
    </row>
    <row r="680" spans="1:15" ht="14.1" customHeight="1">
      <c r="A680" s="37">
        <v>11</v>
      </c>
      <c r="B680" s="37" t="s">
        <v>280</v>
      </c>
      <c r="C680" s="37">
        <v>10</v>
      </c>
      <c r="D680" s="56" t="str">
        <f>JUEVES!$A$277</f>
        <v>Extension Triceps</v>
      </c>
      <c r="E680" s="57" t="str">
        <f>JUEVES!$B$277</f>
        <v>Polea Sobre Cabeza</v>
      </c>
      <c r="F680" s="37" t="str">
        <f>JUEVES!$C$277</f>
        <v>--</v>
      </c>
      <c r="G680" s="37" t="str">
        <f>IFERROR(LOOKUP(2,1/((HISTORIAL!$O$3:$O$678=D680&amp;"|"&amp;E680)*(HISTORIAL!$F$3:$F$678&lt;&gt;"")),HISTORIAL!$F$3:$F$678),"")</f>
        <v/>
      </c>
      <c r="H680" s="37" t="str">
        <f>IFERROR(LOOKUP(2,1/((HISTORIAL!$O$3:$O$678=D680&amp;"|"&amp;E680)*(HISTORIAL!$F$3:$F$678&lt;&gt;"")),HISTORIAL!$G$3:$G$678),"")</f>
        <v/>
      </c>
      <c r="I680" s="37" t="str">
        <f>IFERROR(LOOKUP(2,1/((HISTORIAL!$O$3:$O$678=D680&amp;"|"&amp;E680)*(HISTORIAL!$F$3:$F$678&lt;&gt;"")),HISTORIAL!$H$3:$H$678),"")</f>
        <v/>
      </c>
      <c r="J680" s="37" t="str">
        <f>IFERROR(LOOKUP(2,1/((HISTORIAL!$O$3:$O$678=D680&amp;"|"&amp;E680)*(HISTORIAL!$F$3:$F$678&lt;&gt;"")),HISTORIAL!$I$3:$I$678),"")</f>
        <v/>
      </c>
      <c r="K680" s="58" t="str">
        <f>IFERROR(IF(OR(G680="",N680="SIN"),"--",IF(N680="SUBIR_F",IF(F680="polea",IFERROR(INDEX(CONFIG!$B$25:$B$40,MATCH(G680,CONFIG!$B$25:$B$40,0)+2),IFERROR(INDEX(CONFIG!$B$25:$B$40,MATCH(G680,CONFIG!$B$25:$B$40,0)+1),G680)),G680+5),IF(OR(N680="SUBIR",N680="SUBIR_E"),IF(F680="polea",IFERROR(INDEX(CONFIG!$B$25:$B$40,MATCH(G680,CONFIG!$B$25:$B$40,0)+1),G680),G680+2.5),IF(N680="BAJAR",IF(F680="polea",IFERROR(INDEX(CONFIG!$B$25:$B$40,MAX(1,MATCH(G680,CONFIG!$B$25:$B$40,0)-1)),G680),MAX(0,G680-2.5)),G680)))),"--")</f>
        <v>--</v>
      </c>
      <c r="L680" s="59" t="str">
        <f>IFERROR(IF(N680="SIN","--",IF(N680="MANT",IF(H680="","--",H680+1),IFERROR(VLOOKUP(CONFIG!$E$2,CONFIG!$A$6:$E$8,2,0),"--"))),"--")</f>
        <v>--</v>
      </c>
      <c r="M680" s="59" t="str">
        <f>IFERROR(IF(N680="SIN","--",IF(CONFIG!$E$2="HIP",2,IF(CONFIG!$E$2="FUE",1,2))),"--")</f>
        <v>--</v>
      </c>
      <c r="N680" s="53" t="str">
        <f>IFERROR(IF(G680="","SIN",IF(O680=1,"SUBIR_E",IF(H680&lt;IFERROR(VLOOKUP(CONFIG!$E$2,CONFIG!$A$6:$E$8,2,0),6),"BAJAR",IF(H680+I680&gt;=IFERROR(VLOOKUP(CONFIG!$E$2,CONFIG!$A$6:$E$8,3,0),12),"SUBIR_F",IF(AND(H680&gt;=IFERROR(VLOOKUP(CONFIG!$E$2,CONFIG!$A$6:$E$8,2,0),6)+2,I680&gt;=2),"SUBIR",IF(I680&gt;IFERROR(VLOOKUP(CONFIG!$E$2,CONFIG!$A$6:$E$8,5,0),3),"SUBIR","MANT")))))),"SIN")</f>
        <v>SIN</v>
      </c>
      <c r="O680" s="55">
        <f>IF(COUNTIFS(HISTORIAL!$O$3:$O$678,D680&amp;"|"&amp;E680,HISTORIAL!$F$3:$F$678,"&gt;0")&lt;2,0,IF(COUNTIFS(HISTORIAL!$O$3:$O$678,D680&amp;"|"&amp;E680,HISTORIAL!$F$3:$F$678,IFERROR(LOOKUP(2,1/((HISTORIAL!$O$3:$O$678=D680&amp;"|"&amp;E680)*(HISTORIAL!$F$3:$F$678&gt;0)),HISTORIAL!$F$3:$F$678),0))&gt;=2,IF(IFERROR(LOOKUP(2,1/((HISTORIAL!$O$3:$O$678=D680&amp;"|"&amp;E680)*(HISTORIAL!$F$3:$F$678&gt;0)),HISTORIAL!$G$3:$G$678),0)&gt;0,IF(F680&gt;0,IF(G680&lt;=IFERROR(LOOKUP(2,1/((HISTORIAL!$O$3:$O$678=D680&amp;"|"&amp;E680)*(HISTORIAL!$F$3:$F$678&gt;0)),HISTORIAL!$G$3:$G$678),0),1,0),0),0),0))</f>
        <v>0</v>
      </c>
    </row>
    <row r="681" spans="1:15" ht="14.1" customHeight="1">
      <c r="A681" s="37">
        <v>11</v>
      </c>
      <c r="B681" s="37" t="s">
        <v>280</v>
      </c>
      <c r="C681" s="37">
        <v>11</v>
      </c>
      <c r="D681" s="56" t="str">
        <f>JUEVES!$A$279</f>
        <v>Extension Cuadriceps</v>
      </c>
      <c r="E681" s="57" t="str">
        <f>JUEVES!$B$279</f>
        <v>Vasto Interno</v>
      </c>
      <c r="F681" s="37" t="str">
        <f>JUEVES!$C$279</f>
        <v>--</v>
      </c>
      <c r="G681" s="37" t="str">
        <f>IFERROR(LOOKUP(2,1/((HISTORIAL!$O$3:$O$679=D681&amp;"|"&amp;E681)*(HISTORIAL!$F$3:$F$679&lt;&gt;"")),HISTORIAL!$F$3:$F$679),"")</f>
        <v/>
      </c>
      <c r="H681" s="37" t="str">
        <f>IFERROR(LOOKUP(2,1/((HISTORIAL!$O$3:$O$679=D681&amp;"|"&amp;E681)*(HISTORIAL!$F$3:$F$679&lt;&gt;"")),HISTORIAL!$G$3:$G$679),"")</f>
        <v/>
      </c>
      <c r="I681" s="37" t="str">
        <f>IFERROR(LOOKUP(2,1/((HISTORIAL!$O$3:$O$679=D681&amp;"|"&amp;E681)*(HISTORIAL!$F$3:$F$679&lt;&gt;"")),HISTORIAL!$H$3:$H$679),"")</f>
        <v/>
      </c>
      <c r="J681" s="37" t="str">
        <f>IFERROR(LOOKUP(2,1/((HISTORIAL!$O$3:$O$679=D681&amp;"|"&amp;E681)*(HISTORIAL!$F$3:$F$679&lt;&gt;"")),HISTORIAL!$I$3:$I$679),"")</f>
        <v/>
      </c>
      <c r="K681" s="58" t="str">
        <f>IFERROR(IF(OR(G681="",N681="SIN"),"--",IF(N681="SUBIR_F",IF(F681="polea",IFERROR(INDEX(CONFIG!$B$25:$B$40,MATCH(G681,CONFIG!$B$25:$B$40,0)+2),IFERROR(INDEX(CONFIG!$B$25:$B$40,MATCH(G681,CONFIG!$B$25:$B$40,0)+1),G681)),G681+5),IF(OR(N681="SUBIR",N681="SUBIR_E"),IF(F681="polea",IFERROR(INDEX(CONFIG!$B$25:$B$40,MATCH(G681,CONFIG!$B$25:$B$40,0)+1),G681),G681+2.5),IF(N681="BAJAR",IF(F681="polea",IFERROR(INDEX(CONFIG!$B$25:$B$40,MAX(1,MATCH(G681,CONFIG!$B$25:$B$40,0)-1)),G681),MAX(0,G681-2.5)),G681)))),"--")</f>
        <v>--</v>
      </c>
      <c r="L681" s="59" t="str">
        <f>IFERROR(IF(N681="SIN","--",IF(N681="MANT",IF(H681="","--",H681+1),IFERROR(VLOOKUP(CONFIG!$E$2,CONFIG!$A$6:$E$8,2,0),"--"))),"--")</f>
        <v>--</v>
      </c>
      <c r="M681" s="59" t="str">
        <f>IFERROR(IF(N681="SIN","--",IF(CONFIG!$E$2="HIP",2,IF(CONFIG!$E$2="FUE",1,2))),"--")</f>
        <v>--</v>
      </c>
      <c r="N681" s="53" t="str">
        <f>IFERROR(IF(G681="","SIN",IF(O681=1,"SUBIR_E",IF(H681&lt;IFERROR(VLOOKUP(CONFIG!$E$2,CONFIG!$A$6:$E$8,2,0),6),"BAJAR",IF(H681+I681&gt;=IFERROR(VLOOKUP(CONFIG!$E$2,CONFIG!$A$6:$E$8,3,0),12),"SUBIR_F",IF(AND(H681&gt;=IFERROR(VLOOKUP(CONFIG!$E$2,CONFIG!$A$6:$E$8,2,0),6)+2,I681&gt;=2),"SUBIR",IF(I681&gt;IFERROR(VLOOKUP(CONFIG!$E$2,CONFIG!$A$6:$E$8,5,0),3),"SUBIR","MANT")))))),"SIN")</f>
        <v>SIN</v>
      </c>
      <c r="O681" s="55">
        <f>IF(COUNTIFS(HISTORIAL!$O$3:$O$679,D681&amp;"|"&amp;E681,HISTORIAL!$F$3:$F$679,"&gt;0")&lt;2,0,IF(COUNTIFS(HISTORIAL!$O$3:$O$679,D681&amp;"|"&amp;E681,HISTORIAL!$F$3:$F$679,IFERROR(LOOKUP(2,1/((HISTORIAL!$O$3:$O$679=D681&amp;"|"&amp;E681)*(HISTORIAL!$F$3:$F$679&gt;0)),HISTORIAL!$F$3:$F$679),0))&gt;=2,IF(IFERROR(LOOKUP(2,1/((HISTORIAL!$O$3:$O$679=D681&amp;"|"&amp;E681)*(HISTORIAL!$F$3:$F$679&gt;0)),HISTORIAL!$G$3:$G$679),0)&gt;0,IF(F681&gt;0,IF(G681&lt;=IFERROR(LOOKUP(2,1/((HISTORIAL!$O$3:$O$679=D681&amp;"|"&amp;E681)*(HISTORIAL!$F$3:$F$679&gt;0)),HISTORIAL!$G$3:$G$679),0),1,0),0),0),0))</f>
        <v>0</v>
      </c>
    </row>
    <row r="682" spans="1:15" ht="14.1" customHeight="1">
      <c r="A682" s="37">
        <v>11</v>
      </c>
      <c r="B682" s="37" t="s">
        <v>280</v>
      </c>
      <c r="C682" s="37">
        <v>12</v>
      </c>
      <c r="D682" s="56" t="str">
        <f>JUEVES!$A$281</f>
        <v>Curl Biceps</v>
      </c>
      <c r="E682" s="57" t="str">
        <f>JUEVES!$B$281</f>
        <v>Concentrado Maquina</v>
      </c>
      <c r="F682" s="37" t="str">
        <f>JUEVES!$C$281</f>
        <v>polea</v>
      </c>
      <c r="G682" s="37">
        <f>IFERROR(LOOKUP(2,1/((HISTORIAL!$O$3:$O$680=D682&amp;"|"&amp;E682)*(HISTORIAL!$F$3:$F$680&lt;&gt;"")),HISTORIAL!$F$3:$F$680),"")</f>
        <v>40</v>
      </c>
      <c r="H682" s="37">
        <f>IFERROR(LOOKUP(2,1/((HISTORIAL!$O$3:$O$680=D682&amp;"|"&amp;E682)*(HISTORIAL!$F$3:$F$680&lt;&gt;"")),HISTORIAL!$G$3:$G$680),"")</f>
        <v>6</v>
      </c>
      <c r="I682" s="37">
        <f>IFERROR(LOOKUP(2,1/((HISTORIAL!$O$3:$O$680=D682&amp;"|"&amp;E682)*(HISTORIAL!$F$3:$F$680&lt;&gt;"")),HISTORIAL!$H$3:$H$680),"")</f>
        <v>0</v>
      </c>
      <c r="J682" s="37" t="str">
        <f>IFERROR(LOOKUP(2,1/((HISTORIAL!$O$3:$O$680=D682&amp;"|"&amp;E682)*(HISTORIAL!$F$3:$F$680&lt;&gt;"")),HISTORIAL!$I$3:$I$680),"")</f>
        <v>B</v>
      </c>
      <c r="K682" s="58">
        <f>IFERROR(IF(OR(G682="",N682="SIN"),"--",IF(N682="SUBIR_F",IF(F682="polea",IFERROR(INDEX(CONFIG!$B$25:$B$40,MATCH(G682,CONFIG!$B$25:$B$40,0)+2),IFERROR(INDEX(CONFIG!$B$25:$B$40,MATCH(G682,CONFIG!$B$25:$B$40,0)+1),G682)),G682+5),IF(OR(N682="SUBIR",N682="SUBIR_E"),IF(F682="polea",IFERROR(INDEX(CONFIG!$B$25:$B$40,MATCH(G682,CONFIG!$B$25:$B$40,0)+1),G682),G682+2.5),IF(N682="BAJAR",IF(F682="polea",IFERROR(INDEX(CONFIG!$B$25:$B$40,MAX(1,MATCH(G682,CONFIG!$B$25:$B$40,0)-1)),G682),MAX(0,G682-2.5)),G682)))),"--")</f>
        <v>40</v>
      </c>
      <c r="L682" s="59">
        <f>IFERROR(IF(N682="SIN","--",IF(N682="MANT",IF(H682="","--",H682+1),IFERROR(VLOOKUP(CONFIG!$E$2,CONFIG!$A$6:$E$8,2,0),"--"))),"--")</f>
        <v>7</v>
      </c>
      <c r="M682" s="59">
        <f>IFERROR(IF(N682="SIN","--",IF(CONFIG!$E$2="HIP",2,IF(CONFIG!$E$2="FUE",1,2))),"--")</f>
        <v>2</v>
      </c>
      <c r="N682" s="53" t="str">
        <f>IFERROR(IF(G682="","SIN",IF(O682=1,"SUBIR_E",IF(H682&lt;IFERROR(VLOOKUP(CONFIG!$E$2,CONFIG!$A$6:$E$8,2,0),6),"BAJAR",IF(H682+I682&gt;=IFERROR(VLOOKUP(CONFIG!$E$2,CONFIG!$A$6:$E$8,3,0),12),"SUBIR_F",IF(AND(H682&gt;=IFERROR(VLOOKUP(CONFIG!$E$2,CONFIG!$A$6:$E$8,2,0),6)+2,I682&gt;=2),"SUBIR",IF(I682&gt;IFERROR(VLOOKUP(CONFIG!$E$2,CONFIG!$A$6:$E$8,5,0),3),"SUBIR","MANT")))))),"SIN")</f>
        <v>MANT</v>
      </c>
      <c r="O682" s="55">
        <f>IF(COUNTIFS(HISTORIAL!$O$3:$O$680,D682&amp;"|"&amp;E682,HISTORIAL!$F$3:$F$680,"&gt;0")&lt;2,0,IF(COUNTIFS(HISTORIAL!$O$3:$O$680,D682&amp;"|"&amp;E682,HISTORIAL!$F$3:$F$680,IFERROR(LOOKUP(2,1/((HISTORIAL!$O$3:$O$680=D682&amp;"|"&amp;E682)*(HISTORIAL!$F$3:$F$680&gt;0)),HISTORIAL!$F$3:$F$680),0))&gt;=2,IF(IFERROR(LOOKUP(2,1/((HISTORIAL!$O$3:$O$680=D682&amp;"|"&amp;E682)*(HISTORIAL!$F$3:$F$680&gt;0)),HISTORIAL!$G$3:$G$680),0)&gt;0,IF(F682&gt;0,IF(G682&lt;=IFERROR(LOOKUP(2,1/((HISTORIAL!$O$3:$O$680=D682&amp;"|"&amp;E682)*(HISTORIAL!$F$3:$F$680&gt;0)),HISTORIAL!$G$3:$G$680),0),1,0),0),0),0))</f>
        <v>0</v>
      </c>
    </row>
    <row r="683" spans="1:15" ht="14.1" customHeight="1">
      <c r="A683" s="37">
        <v>11</v>
      </c>
      <c r="B683" s="37" t="s">
        <v>280</v>
      </c>
      <c r="C683" s="37">
        <v>13</v>
      </c>
      <c r="D683" s="56" t="str">
        <f>JUEVES!$A$283</f>
        <v>Crunch</v>
      </c>
      <c r="E683" s="57" t="str">
        <f>JUEVES!$B$283</f>
        <v>Polea</v>
      </c>
      <c r="F683" s="37" t="str">
        <f>JUEVES!$C$283</f>
        <v>polea</v>
      </c>
      <c r="G683" s="37" t="str">
        <f>IFERROR(LOOKUP(2,1/((HISTORIAL!$O$3:$O$681=D683&amp;"|"&amp;E683)*(HISTORIAL!$F$3:$F$681&lt;&gt;"")),HISTORIAL!$F$3:$F$681),"")</f>
        <v/>
      </c>
      <c r="H683" s="37" t="str">
        <f>IFERROR(LOOKUP(2,1/((HISTORIAL!$O$3:$O$681=D683&amp;"|"&amp;E683)*(HISTORIAL!$F$3:$F$681&lt;&gt;"")),HISTORIAL!$G$3:$G$681),"")</f>
        <v/>
      </c>
      <c r="I683" s="37" t="str">
        <f>IFERROR(LOOKUP(2,1/((HISTORIAL!$O$3:$O$681=D683&amp;"|"&amp;E683)*(HISTORIAL!$F$3:$F$681&lt;&gt;"")),HISTORIAL!$H$3:$H$681),"")</f>
        <v/>
      </c>
      <c r="J683" s="37" t="str">
        <f>IFERROR(LOOKUP(2,1/((HISTORIAL!$O$3:$O$681=D683&amp;"|"&amp;E683)*(HISTORIAL!$F$3:$F$681&lt;&gt;"")),HISTORIAL!$I$3:$I$681),"")</f>
        <v/>
      </c>
      <c r="K683" s="58" t="str">
        <f>IFERROR(IF(OR(G683="",N683="SIN"),"--",IF(N683="SUBIR_F",IF(F683="polea",IFERROR(INDEX(CONFIG!$B$25:$B$40,MATCH(G683,CONFIG!$B$25:$B$40,0)+2),IFERROR(INDEX(CONFIG!$B$25:$B$40,MATCH(G683,CONFIG!$B$25:$B$40,0)+1),G683)),G683+5),IF(OR(N683="SUBIR",N683="SUBIR_E"),IF(F683="polea",IFERROR(INDEX(CONFIG!$B$25:$B$40,MATCH(G683,CONFIG!$B$25:$B$40,0)+1),G683),G683+2.5),IF(N683="BAJAR",IF(F683="polea",IFERROR(INDEX(CONFIG!$B$25:$B$40,MAX(1,MATCH(G683,CONFIG!$B$25:$B$40,0)-1)),G683),MAX(0,G683-2.5)),G683)))),"--")</f>
        <v>--</v>
      </c>
      <c r="L683" s="59" t="str">
        <f>IFERROR(IF(N683="SIN","--",IF(N683="MANT",IF(H683="","--",H683+1),IFERROR(VLOOKUP(CONFIG!$E$2,CONFIG!$A$6:$E$8,2,0),"--"))),"--")</f>
        <v>--</v>
      </c>
      <c r="M683" s="59" t="str">
        <f>IFERROR(IF(N683="SIN","--",IF(CONFIG!$E$2="HIP",2,IF(CONFIG!$E$2="FUE",1,2))),"--")</f>
        <v>--</v>
      </c>
      <c r="N683" s="53" t="str">
        <f>IFERROR(IF(G683="","SIN",IF(O683=1,"SUBIR_E",IF(H683&lt;IFERROR(VLOOKUP(CONFIG!$E$2,CONFIG!$A$6:$E$8,2,0),6),"BAJAR",IF(H683+I683&gt;=IFERROR(VLOOKUP(CONFIG!$E$2,CONFIG!$A$6:$E$8,3,0),12),"SUBIR_F",IF(AND(H683&gt;=IFERROR(VLOOKUP(CONFIG!$E$2,CONFIG!$A$6:$E$8,2,0),6)+2,I683&gt;=2),"SUBIR",IF(I683&gt;IFERROR(VLOOKUP(CONFIG!$E$2,CONFIG!$A$6:$E$8,5,0),3),"SUBIR","MANT")))))),"SIN")</f>
        <v>SIN</v>
      </c>
      <c r="O683" s="55">
        <f>IF(COUNTIFS(HISTORIAL!$O$3:$O$681,D683&amp;"|"&amp;E683,HISTORIAL!$F$3:$F$681,"&gt;0")&lt;2,0,IF(COUNTIFS(HISTORIAL!$O$3:$O$681,D683&amp;"|"&amp;E683,HISTORIAL!$F$3:$F$681,IFERROR(LOOKUP(2,1/((HISTORIAL!$O$3:$O$681=D683&amp;"|"&amp;E683)*(HISTORIAL!$F$3:$F$681&gt;0)),HISTORIAL!$F$3:$F$681),0))&gt;=2,IF(IFERROR(LOOKUP(2,1/((HISTORIAL!$O$3:$O$681=D683&amp;"|"&amp;E683)*(HISTORIAL!$F$3:$F$681&gt;0)),HISTORIAL!$G$3:$G$681),0)&gt;0,IF(F683&gt;0,IF(G683&lt;=IFERROR(LOOKUP(2,1/((HISTORIAL!$O$3:$O$681=D683&amp;"|"&amp;E683)*(HISTORIAL!$F$3:$F$681&gt;0)),HISTORIAL!$G$3:$G$681),0),1,0),0),0),0))</f>
        <v>0</v>
      </c>
    </row>
    <row r="684" spans="1:15" ht="14.1" customHeight="1">
      <c r="A684" s="37">
        <v>11</v>
      </c>
      <c r="B684" s="37" t="s">
        <v>281</v>
      </c>
      <c r="C684" s="37">
        <v>1</v>
      </c>
      <c r="D684" s="56" t="str">
        <f>SABADO!$A$253</f>
        <v>Pulldown</v>
      </c>
      <c r="E684" s="57" t="str">
        <f>SABADO!$B$253</f>
        <v>Polea Alta Brazos Rectos Prono</v>
      </c>
      <c r="F684" s="37" t="str">
        <f>SABADO!$C$253</f>
        <v>polea</v>
      </c>
      <c r="G684" s="37" t="str">
        <f>IFERROR(LOOKUP(2,1/((HISTORIAL!$O$3:$O$682=D684&amp;"|"&amp;E684)*(HISTORIAL!$F$3:$F$682&lt;&gt;"")),HISTORIAL!$F$3:$F$682),"")</f>
        <v/>
      </c>
      <c r="H684" s="37" t="str">
        <f>IFERROR(LOOKUP(2,1/((HISTORIAL!$O$3:$O$682=D684&amp;"|"&amp;E684)*(HISTORIAL!$F$3:$F$682&lt;&gt;"")),HISTORIAL!$G$3:$G$682),"")</f>
        <v/>
      </c>
      <c r="I684" s="37" t="str">
        <f>IFERROR(LOOKUP(2,1/((HISTORIAL!$O$3:$O$682=D684&amp;"|"&amp;E684)*(HISTORIAL!$F$3:$F$682&lt;&gt;"")),HISTORIAL!$H$3:$H$682),"")</f>
        <v/>
      </c>
      <c r="J684" s="37" t="str">
        <f>IFERROR(LOOKUP(2,1/((HISTORIAL!$O$3:$O$682=D684&amp;"|"&amp;E684)*(HISTORIAL!$F$3:$F$682&lt;&gt;"")),HISTORIAL!$I$3:$I$682),"")</f>
        <v/>
      </c>
      <c r="K684" s="58" t="str">
        <f>IFERROR(IF(OR(G684="",N684="SIN"),"--",IF(N684="SUBIR_F",IF(F684="polea",IFERROR(INDEX(CONFIG!$B$25:$B$40,MATCH(G684,CONFIG!$B$25:$B$40,0)+2),IFERROR(INDEX(CONFIG!$B$25:$B$40,MATCH(G684,CONFIG!$B$25:$B$40,0)+1),G684)),G684+5),IF(OR(N684="SUBIR",N684="SUBIR_E"),IF(F684="polea",IFERROR(INDEX(CONFIG!$B$25:$B$40,MATCH(G684,CONFIG!$B$25:$B$40,0)+1),G684),G684+2.5),IF(N684="BAJAR",IF(F684="polea",IFERROR(INDEX(CONFIG!$B$25:$B$40,MAX(1,MATCH(G684,CONFIG!$B$25:$B$40,0)-1)),G684),MAX(0,G684-2.5)),G684)))),"--")</f>
        <v>--</v>
      </c>
      <c r="L684" s="59" t="str">
        <f>IFERROR(IF(N684="SIN","--",IF(N684="MANT",IF(H684="","--",H684+1),IFERROR(VLOOKUP(CONFIG!$E$2,CONFIG!$A$6:$E$8,2,0),"--"))),"--")</f>
        <v>--</v>
      </c>
      <c r="M684" s="59" t="str">
        <f>IFERROR(IF(N684="SIN","--",IF(CONFIG!$E$2="HIP",2,IF(CONFIG!$E$2="FUE",1,2))),"--")</f>
        <v>--</v>
      </c>
      <c r="N684" s="53" t="str">
        <f>IFERROR(IF(G684="","SIN",IF(O684=1,"SUBIR_E",IF(H684&lt;IFERROR(VLOOKUP(CONFIG!$E$2,CONFIG!$A$6:$E$8,2,0),6),"BAJAR",IF(H684+I684&gt;=IFERROR(VLOOKUP(CONFIG!$E$2,CONFIG!$A$6:$E$8,3,0),12),"SUBIR_F",IF(AND(H684&gt;=IFERROR(VLOOKUP(CONFIG!$E$2,CONFIG!$A$6:$E$8,2,0),6)+2,I684&gt;=2),"SUBIR",IF(I684&gt;IFERROR(VLOOKUP(CONFIG!$E$2,CONFIG!$A$6:$E$8,5,0),3),"SUBIR","MANT")))))),"SIN")</f>
        <v>SIN</v>
      </c>
      <c r="O684" s="55">
        <f>IF(COUNTIFS(HISTORIAL!$O$3:$O$682,D684&amp;"|"&amp;E684,HISTORIAL!$F$3:$F$682,"&gt;0")&lt;2,0,IF(COUNTIFS(HISTORIAL!$O$3:$O$682,D684&amp;"|"&amp;E684,HISTORIAL!$F$3:$F$682,IFERROR(LOOKUP(2,1/((HISTORIAL!$O$3:$O$682=D684&amp;"|"&amp;E684)*(HISTORIAL!$F$3:$F$682&gt;0)),HISTORIAL!$F$3:$F$682),0))&gt;=2,IF(IFERROR(LOOKUP(2,1/((HISTORIAL!$O$3:$O$682=D684&amp;"|"&amp;E684)*(HISTORIAL!$F$3:$F$682&gt;0)),HISTORIAL!$G$3:$G$682),0)&gt;0,IF(F684&gt;0,IF(G684&lt;=IFERROR(LOOKUP(2,1/((HISTORIAL!$O$3:$O$682=D684&amp;"|"&amp;E684)*(HISTORIAL!$F$3:$F$682&gt;0)),HISTORIAL!$G$3:$G$682),0),1,0),0),0),0))</f>
        <v>0</v>
      </c>
    </row>
    <row r="685" spans="1:15" ht="14.1" customHeight="1">
      <c r="A685" s="37">
        <v>11</v>
      </c>
      <c r="B685" s="37" t="s">
        <v>281</v>
      </c>
      <c r="C685" s="37">
        <v>2</v>
      </c>
      <c r="D685" s="56" t="str">
        <f>SABADO!$A$255</f>
        <v>Remo</v>
      </c>
      <c r="E685" s="57" t="str">
        <f>SABADO!$B$255</f>
        <v>Maquina Neutro Estrecho</v>
      </c>
      <c r="F685" s="37" t="str">
        <f>SABADO!$C$255</f>
        <v>polea</v>
      </c>
      <c r="G685" s="37" t="str">
        <f>IFERROR(LOOKUP(2,1/((HISTORIAL!$O$3:$O$683=D685&amp;"|"&amp;E685)*(HISTORIAL!$F$3:$F$683&lt;&gt;"")),HISTORIAL!$F$3:$F$683),"")</f>
        <v/>
      </c>
      <c r="H685" s="37" t="str">
        <f>IFERROR(LOOKUP(2,1/((HISTORIAL!$O$3:$O$683=D685&amp;"|"&amp;E685)*(HISTORIAL!$F$3:$F$683&lt;&gt;"")),HISTORIAL!$G$3:$G$683),"")</f>
        <v/>
      </c>
      <c r="I685" s="37" t="str">
        <f>IFERROR(LOOKUP(2,1/((HISTORIAL!$O$3:$O$683=D685&amp;"|"&amp;E685)*(HISTORIAL!$F$3:$F$683&lt;&gt;"")),HISTORIAL!$H$3:$H$683),"")</f>
        <v/>
      </c>
      <c r="J685" s="37" t="str">
        <f>IFERROR(LOOKUP(2,1/((HISTORIAL!$O$3:$O$683=D685&amp;"|"&amp;E685)*(HISTORIAL!$F$3:$F$683&lt;&gt;"")),HISTORIAL!$I$3:$I$683),"")</f>
        <v/>
      </c>
      <c r="K685" s="58" t="str">
        <f>IFERROR(IF(OR(G685="",N685="SIN"),"--",IF(N685="SUBIR_F",IF(F685="polea",IFERROR(INDEX(CONFIG!$B$25:$B$40,MATCH(G685,CONFIG!$B$25:$B$40,0)+2),IFERROR(INDEX(CONFIG!$B$25:$B$40,MATCH(G685,CONFIG!$B$25:$B$40,0)+1),G685)),G685+5),IF(OR(N685="SUBIR",N685="SUBIR_E"),IF(F685="polea",IFERROR(INDEX(CONFIG!$B$25:$B$40,MATCH(G685,CONFIG!$B$25:$B$40,0)+1),G685),G685+2.5),IF(N685="BAJAR",IF(F685="polea",IFERROR(INDEX(CONFIG!$B$25:$B$40,MAX(1,MATCH(G685,CONFIG!$B$25:$B$40,0)-1)),G685),MAX(0,G685-2.5)),G685)))),"--")</f>
        <v>--</v>
      </c>
      <c r="L685" s="59" t="str">
        <f>IFERROR(IF(N685="SIN","--",IF(N685="MANT",IF(H685="","--",H685+1),IFERROR(VLOOKUP(CONFIG!$E$2,CONFIG!$A$6:$E$8,2,0),"--"))),"--")</f>
        <v>--</v>
      </c>
      <c r="M685" s="59" t="str">
        <f>IFERROR(IF(N685="SIN","--",IF(CONFIG!$E$2="HIP",2,IF(CONFIG!$E$2="FUE",1,2))),"--")</f>
        <v>--</v>
      </c>
      <c r="N685" s="53" t="str">
        <f>IFERROR(IF(G685="","SIN",IF(O685=1,"SUBIR_E",IF(H685&lt;IFERROR(VLOOKUP(CONFIG!$E$2,CONFIG!$A$6:$E$8,2,0),6),"BAJAR",IF(H685+I685&gt;=IFERROR(VLOOKUP(CONFIG!$E$2,CONFIG!$A$6:$E$8,3,0),12),"SUBIR_F",IF(AND(H685&gt;=IFERROR(VLOOKUP(CONFIG!$E$2,CONFIG!$A$6:$E$8,2,0),6)+2,I685&gt;=2),"SUBIR",IF(I685&gt;IFERROR(VLOOKUP(CONFIG!$E$2,CONFIG!$A$6:$E$8,5,0),3),"SUBIR","MANT")))))),"SIN")</f>
        <v>SIN</v>
      </c>
      <c r="O685" s="55">
        <f>IF(COUNTIFS(HISTORIAL!$O$3:$O$683,D685&amp;"|"&amp;E685,HISTORIAL!$F$3:$F$683,"&gt;0")&lt;2,0,IF(COUNTIFS(HISTORIAL!$O$3:$O$683,D685&amp;"|"&amp;E685,HISTORIAL!$F$3:$F$683,IFERROR(LOOKUP(2,1/((HISTORIAL!$O$3:$O$683=D685&amp;"|"&amp;E685)*(HISTORIAL!$F$3:$F$683&gt;0)),HISTORIAL!$F$3:$F$683),0))&gt;=2,IF(IFERROR(LOOKUP(2,1/((HISTORIAL!$O$3:$O$683=D685&amp;"|"&amp;E685)*(HISTORIAL!$F$3:$F$683&gt;0)),HISTORIAL!$G$3:$G$683),0)&gt;0,IF(F685&gt;0,IF(G685&lt;=IFERROR(LOOKUP(2,1/((HISTORIAL!$O$3:$O$683=D685&amp;"|"&amp;E685)*(HISTORIAL!$F$3:$F$683&gt;0)),HISTORIAL!$G$3:$G$683),0),1,0),0),0),0))</f>
        <v>0</v>
      </c>
    </row>
    <row r="686" spans="1:15" ht="14.1" customHeight="1">
      <c r="A686" s="37">
        <v>11</v>
      </c>
      <c r="B686" s="37" t="s">
        <v>281</v>
      </c>
      <c r="C686" s="37">
        <v>3</v>
      </c>
      <c r="D686" s="56" t="str">
        <f>SABADO!$A$256</f>
        <v>Remo</v>
      </c>
      <c r="E686" s="57" t="str">
        <f>SABADO!$B$256</f>
        <v>Maquina Neutro Ancho</v>
      </c>
      <c r="F686" s="37" t="str">
        <f>SABADO!$C$256</f>
        <v>polea</v>
      </c>
      <c r="G686" s="37" t="str">
        <f>IFERROR(LOOKUP(2,1/((HISTORIAL!$O$3:$O$684=D686&amp;"|"&amp;E686)*(HISTORIAL!$F$3:$F$684&lt;&gt;"")),HISTORIAL!$F$3:$F$684),"")</f>
        <v/>
      </c>
      <c r="H686" s="37" t="str">
        <f>IFERROR(LOOKUP(2,1/((HISTORIAL!$O$3:$O$684=D686&amp;"|"&amp;E686)*(HISTORIAL!$F$3:$F$684&lt;&gt;"")),HISTORIAL!$G$3:$G$684),"")</f>
        <v/>
      </c>
      <c r="I686" s="37" t="str">
        <f>IFERROR(LOOKUP(2,1/((HISTORIAL!$O$3:$O$684=D686&amp;"|"&amp;E686)*(HISTORIAL!$F$3:$F$684&lt;&gt;"")),HISTORIAL!$H$3:$H$684),"")</f>
        <v/>
      </c>
      <c r="J686" s="37" t="str">
        <f>IFERROR(LOOKUP(2,1/((HISTORIAL!$O$3:$O$684=D686&amp;"|"&amp;E686)*(HISTORIAL!$F$3:$F$684&lt;&gt;"")),HISTORIAL!$I$3:$I$684),"")</f>
        <v/>
      </c>
      <c r="K686" s="58" t="str">
        <f>IFERROR(IF(OR(G686="",N686="SIN"),"--",IF(N686="SUBIR_F",IF(F686="polea",IFERROR(INDEX(CONFIG!$B$25:$B$40,MATCH(G686,CONFIG!$B$25:$B$40,0)+2),IFERROR(INDEX(CONFIG!$B$25:$B$40,MATCH(G686,CONFIG!$B$25:$B$40,0)+1),G686)),G686+5),IF(OR(N686="SUBIR",N686="SUBIR_E"),IF(F686="polea",IFERROR(INDEX(CONFIG!$B$25:$B$40,MATCH(G686,CONFIG!$B$25:$B$40,0)+1),G686),G686+2.5),IF(N686="BAJAR",IF(F686="polea",IFERROR(INDEX(CONFIG!$B$25:$B$40,MAX(1,MATCH(G686,CONFIG!$B$25:$B$40,0)-1)),G686),MAX(0,G686-2.5)),G686)))),"--")</f>
        <v>--</v>
      </c>
      <c r="L686" s="59" t="str">
        <f>IFERROR(IF(N686="SIN","--",IF(N686="MANT",IF(H686="","--",H686+1),IFERROR(VLOOKUP(CONFIG!$E$2,CONFIG!$A$6:$E$8,2,0),"--"))),"--")</f>
        <v>--</v>
      </c>
      <c r="M686" s="59" t="str">
        <f>IFERROR(IF(N686="SIN","--",IF(CONFIG!$E$2="HIP",2,IF(CONFIG!$E$2="FUE",1,2))),"--")</f>
        <v>--</v>
      </c>
      <c r="N686" s="53" t="str">
        <f>IFERROR(IF(G686="","SIN",IF(O686=1,"SUBIR_E",IF(H686&lt;IFERROR(VLOOKUP(CONFIG!$E$2,CONFIG!$A$6:$E$8,2,0),6),"BAJAR",IF(H686+I686&gt;=IFERROR(VLOOKUP(CONFIG!$E$2,CONFIG!$A$6:$E$8,3,0),12),"SUBIR_F",IF(AND(H686&gt;=IFERROR(VLOOKUP(CONFIG!$E$2,CONFIG!$A$6:$E$8,2,0),6)+2,I686&gt;=2),"SUBIR",IF(I686&gt;IFERROR(VLOOKUP(CONFIG!$E$2,CONFIG!$A$6:$E$8,5,0),3),"SUBIR","MANT")))))),"SIN")</f>
        <v>SIN</v>
      </c>
      <c r="O686" s="55">
        <f>IF(COUNTIFS(HISTORIAL!$O$3:$O$684,D686&amp;"|"&amp;E686,HISTORIAL!$F$3:$F$684,"&gt;0")&lt;2,0,IF(COUNTIFS(HISTORIAL!$O$3:$O$684,D686&amp;"|"&amp;E686,HISTORIAL!$F$3:$F$684,IFERROR(LOOKUP(2,1/((HISTORIAL!$O$3:$O$684=D686&amp;"|"&amp;E686)*(HISTORIAL!$F$3:$F$684&gt;0)),HISTORIAL!$F$3:$F$684),0))&gt;=2,IF(IFERROR(LOOKUP(2,1/((HISTORIAL!$O$3:$O$684=D686&amp;"|"&amp;E686)*(HISTORIAL!$F$3:$F$684&gt;0)),HISTORIAL!$G$3:$G$684),0)&gt;0,IF(F686&gt;0,IF(G686&lt;=IFERROR(LOOKUP(2,1/((HISTORIAL!$O$3:$O$684=D686&amp;"|"&amp;E686)*(HISTORIAL!$F$3:$F$684&gt;0)),HISTORIAL!$G$3:$G$684),0),1,0),0),0),0))</f>
        <v>0</v>
      </c>
    </row>
    <row r="687" spans="1:15" ht="14.1" customHeight="1">
      <c r="A687" s="37">
        <v>11</v>
      </c>
      <c r="B687" s="37" t="s">
        <v>281</v>
      </c>
      <c r="C687" s="37">
        <v>4</v>
      </c>
      <c r="D687" s="56" t="str">
        <f>SABADO!$A$257</f>
        <v>Peck Deck Invertida</v>
      </c>
      <c r="E687" s="57" t="str">
        <f>SABADO!$B$257</f>
        <v>Maquina</v>
      </c>
      <c r="F687" s="37" t="str">
        <f>SABADO!$C$257</f>
        <v>polea</v>
      </c>
      <c r="G687" s="37" t="str">
        <f>IFERROR(LOOKUP(2,1/((HISTORIAL!$O$3:$O$685=D687&amp;"|"&amp;E687)*(HISTORIAL!$F$3:$F$685&lt;&gt;"")),HISTORIAL!$F$3:$F$685),"")</f>
        <v/>
      </c>
      <c r="H687" s="37" t="str">
        <f>IFERROR(LOOKUP(2,1/((HISTORIAL!$O$3:$O$685=D687&amp;"|"&amp;E687)*(HISTORIAL!$F$3:$F$685&lt;&gt;"")),HISTORIAL!$G$3:$G$685),"")</f>
        <v/>
      </c>
      <c r="I687" s="37" t="str">
        <f>IFERROR(LOOKUP(2,1/((HISTORIAL!$O$3:$O$685=D687&amp;"|"&amp;E687)*(HISTORIAL!$F$3:$F$685&lt;&gt;"")),HISTORIAL!$H$3:$H$685),"")</f>
        <v/>
      </c>
      <c r="J687" s="37" t="str">
        <f>IFERROR(LOOKUP(2,1/((HISTORIAL!$O$3:$O$685=D687&amp;"|"&amp;E687)*(HISTORIAL!$F$3:$F$685&lt;&gt;"")),HISTORIAL!$I$3:$I$685),"")</f>
        <v/>
      </c>
      <c r="K687" s="58" t="str">
        <f>IFERROR(IF(OR(G687="",N687="SIN"),"--",IF(N687="SUBIR_F",IF(F687="polea",IFERROR(INDEX(CONFIG!$B$25:$B$40,MATCH(G687,CONFIG!$B$25:$B$40,0)+2),IFERROR(INDEX(CONFIG!$B$25:$B$40,MATCH(G687,CONFIG!$B$25:$B$40,0)+1),G687)),G687+5),IF(OR(N687="SUBIR",N687="SUBIR_E"),IF(F687="polea",IFERROR(INDEX(CONFIG!$B$25:$B$40,MATCH(G687,CONFIG!$B$25:$B$40,0)+1),G687),G687+2.5),IF(N687="BAJAR",IF(F687="polea",IFERROR(INDEX(CONFIG!$B$25:$B$40,MAX(1,MATCH(G687,CONFIG!$B$25:$B$40,0)-1)),G687),MAX(0,G687-2.5)),G687)))),"--")</f>
        <v>--</v>
      </c>
      <c r="L687" s="59" t="str">
        <f>IFERROR(IF(N687="SIN","--",IF(N687="MANT",IF(H687="","--",H687+1),IFERROR(VLOOKUP(CONFIG!$E$2,CONFIG!$A$6:$E$8,2,0),"--"))),"--")</f>
        <v>--</v>
      </c>
      <c r="M687" s="59" t="str">
        <f>IFERROR(IF(N687="SIN","--",IF(CONFIG!$E$2="HIP",2,IF(CONFIG!$E$2="FUE",1,2))),"--")</f>
        <v>--</v>
      </c>
      <c r="N687" s="53" t="str">
        <f>IFERROR(IF(G687="","SIN",IF(O687=1,"SUBIR_E",IF(H687&lt;IFERROR(VLOOKUP(CONFIG!$E$2,CONFIG!$A$6:$E$8,2,0),6),"BAJAR",IF(H687+I687&gt;=IFERROR(VLOOKUP(CONFIG!$E$2,CONFIG!$A$6:$E$8,3,0),12),"SUBIR_F",IF(AND(H687&gt;=IFERROR(VLOOKUP(CONFIG!$E$2,CONFIG!$A$6:$E$8,2,0),6)+2,I687&gt;=2),"SUBIR",IF(I687&gt;IFERROR(VLOOKUP(CONFIG!$E$2,CONFIG!$A$6:$E$8,5,0),3),"SUBIR","MANT")))))),"SIN")</f>
        <v>SIN</v>
      </c>
      <c r="O687" s="55">
        <f>IF(COUNTIFS(HISTORIAL!$O$3:$O$685,D687&amp;"|"&amp;E687,HISTORIAL!$F$3:$F$685,"&gt;0")&lt;2,0,IF(COUNTIFS(HISTORIAL!$O$3:$O$685,D687&amp;"|"&amp;E687,HISTORIAL!$F$3:$F$685,IFERROR(LOOKUP(2,1/((HISTORIAL!$O$3:$O$685=D687&amp;"|"&amp;E687)*(HISTORIAL!$F$3:$F$685&gt;0)),HISTORIAL!$F$3:$F$685),0))&gt;=2,IF(IFERROR(LOOKUP(2,1/((HISTORIAL!$O$3:$O$685=D687&amp;"|"&amp;E687)*(HISTORIAL!$F$3:$F$685&gt;0)),HISTORIAL!$G$3:$G$685),0)&gt;0,IF(F687&gt;0,IF(G687&lt;=IFERROR(LOOKUP(2,1/((HISTORIAL!$O$3:$O$685=D687&amp;"|"&amp;E687)*(HISTORIAL!$F$3:$F$685&gt;0)),HISTORIAL!$G$3:$G$685),0),1,0),0),0),0))</f>
        <v>0</v>
      </c>
    </row>
    <row r="688" spans="1:15" ht="14.1" customHeight="1">
      <c r="A688" s="37">
        <v>11</v>
      </c>
      <c r="B688" s="37" t="s">
        <v>281</v>
      </c>
      <c r="C688" s="37">
        <v>5</v>
      </c>
      <c r="D688" s="56" t="str">
        <f>SABADO!$A$259</f>
        <v>Curl Biceps</v>
      </c>
      <c r="E688" s="57" t="str">
        <f>SABADO!$B$259</f>
        <v>Concentrado Maquina</v>
      </c>
      <c r="F688" s="37" t="str">
        <f>SABADO!$C$259</f>
        <v>polea</v>
      </c>
      <c r="G688" s="37">
        <f>IFERROR(LOOKUP(2,1/((HISTORIAL!$O$3:$O$686=D688&amp;"|"&amp;E688)*(HISTORIAL!$F$3:$F$686&lt;&gt;"")),HISTORIAL!$F$3:$F$686),"")</f>
        <v>40</v>
      </c>
      <c r="H688" s="37">
        <f>IFERROR(LOOKUP(2,1/((HISTORIAL!$O$3:$O$686=D688&amp;"|"&amp;E688)*(HISTORIAL!$F$3:$F$686&lt;&gt;"")),HISTORIAL!$G$3:$G$686),"")</f>
        <v>6</v>
      </c>
      <c r="I688" s="37">
        <f>IFERROR(LOOKUP(2,1/((HISTORIAL!$O$3:$O$686=D688&amp;"|"&amp;E688)*(HISTORIAL!$F$3:$F$686&lt;&gt;"")),HISTORIAL!$H$3:$H$686),"")</f>
        <v>0</v>
      </c>
      <c r="J688" s="37" t="str">
        <f>IFERROR(LOOKUP(2,1/((HISTORIAL!$O$3:$O$686=D688&amp;"|"&amp;E688)*(HISTORIAL!$F$3:$F$686&lt;&gt;"")),HISTORIAL!$I$3:$I$686),"")</f>
        <v>B</v>
      </c>
      <c r="K688" s="58">
        <f>IFERROR(IF(OR(G688="",N688="SIN"),"--",IF(N688="SUBIR_F",IF(F688="polea",IFERROR(INDEX(CONFIG!$B$25:$B$40,MATCH(G688,CONFIG!$B$25:$B$40,0)+2),IFERROR(INDEX(CONFIG!$B$25:$B$40,MATCH(G688,CONFIG!$B$25:$B$40,0)+1),G688)),G688+5),IF(OR(N688="SUBIR",N688="SUBIR_E"),IF(F688="polea",IFERROR(INDEX(CONFIG!$B$25:$B$40,MATCH(G688,CONFIG!$B$25:$B$40,0)+1),G688),G688+2.5),IF(N688="BAJAR",IF(F688="polea",IFERROR(INDEX(CONFIG!$B$25:$B$40,MAX(1,MATCH(G688,CONFIG!$B$25:$B$40,0)-1)),G688),MAX(0,G688-2.5)),G688)))),"--")</f>
        <v>40</v>
      </c>
      <c r="L688" s="59">
        <f>IFERROR(IF(N688="SIN","--",IF(N688="MANT",IF(H688="","--",H688+1),IFERROR(VLOOKUP(CONFIG!$E$2,CONFIG!$A$6:$E$8,2,0),"--"))),"--")</f>
        <v>7</v>
      </c>
      <c r="M688" s="59">
        <f>IFERROR(IF(N688="SIN","--",IF(CONFIG!$E$2="HIP",2,IF(CONFIG!$E$2="FUE",1,2))),"--")</f>
        <v>2</v>
      </c>
      <c r="N688" s="53" t="str">
        <f>IFERROR(IF(G688="","SIN",IF(O688=1,"SUBIR_E",IF(H688&lt;IFERROR(VLOOKUP(CONFIG!$E$2,CONFIG!$A$6:$E$8,2,0),6),"BAJAR",IF(H688+I688&gt;=IFERROR(VLOOKUP(CONFIG!$E$2,CONFIG!$A$6:$E$8,3,0),12),"SUBIR_F",IF(AND(H688&gt;=IFERROR(VLOOKUP(CONFIG!$E$2,CONFIG!$A$6:$E$8,2,0),6)+2,I688&gt;=2),"SUBIR",IF(I688&gt;IFERROR(VLOOKUP(CONFIG!$E$2,CONFIG!$A$6:$E$8,5,0),3),"SUBIR","MANT")))))),"SIN")</f>
        <v>MANT</v>
      </c>
      <c r="O688" s="55">
        <f>IF(COUNTIFS(HISTORIAL!$O$3:$O$686,D688&amp;"|"&amp;E688,HISTORIAL!$F$3:$F$686,"&gt;0")&lt;2,0,IF(COUNTIFS(HISTORIAL!$O$3:$O$686,D688&amp;"|"&amp;E688,HISTORIAL!$F$3:$F$686,IFERROR(LOOKUP(2,1/((HISTORIAL!$O$3:$O$686=D688&amp;"|"&amp;E688)*(HISTORIAL!$F$3:$F$686&gt;0)),HISTORIAL!$F$3:$F$686),0))&gt;=2,IF(IFERROR(LOOKUP(2,1/((HISTORIAL!$O$3:$O$686=D688&amp;"|"&amp;E688)*(HISTORIAL!$F$3:$F$686&gt;0)),HISTORIAL!$G$3:$G$686),0)&gt;0,IF(F688&gt;0,IF(G688&lt;=IFERROR(LOOKUP(2,1/((HISTORIAL!$O$3:$O$686=D688&amp;"|"&amp;E688)*(HISTORIAL!$F$3:$F$686&gt;0)),HISTORIAL!$G$3:$G$686),0),1,0),0),0),0))</f>
        <v>0</v>
      </c>
    </row>
    <row r="689" spans="1:15" ht="14.1" customHeight="1">
      <c r="A689" s="37">
        <v>11</v>
      </c>
      <c r="B689" s="37" t="s">
        <v>281</v>
      </c>
      <c r="C689" s="37">
        <v>6</v>
      </c>
      <c r="D689" s="56" t="str">
        <f>SABADO!$A$260</f>
        <v>Curl Martillo</v>
      </c>
      <c r="E689" s="57" t="str">
        <f>SABADO!$B$260</f>
        <v>Polea Individual</v>
      </c>
      <c r="F689" s="37" t="str">
        <f>SABADO!$C$260</f>
        <v>polea</v>
      </c>
      <c r="G689" s="37">
        <f>IFERROR(LOOKUP(2,1/((HISTORIAL!$O$3:$O$687=D689&amp;"|"&amp;E689)*(HISTORIAL!$F$3:$F$687&lt;&gt;"")),HISTORIAL!$F$3:$F$687),"")</f>
        <v>20</v>
      </c>
      <c r="H689" s="37">
        <f>IFERROR(LOOKUP(2,1/((HISTORIAL!$O$3:$O$687=D689&amp;"|"&amp;E689)*(HISTORIAL!$F$3:$F$687&lt;&gt;"")),HISTORIAL!$G$3:$G$687),"")</f>
        <v>8</v>
      </c>
      <c r="I689" s="37">
        <f>IFERROR(LOOKUP(2,1/((HISTORIAL!$O$3:$O$687=D689&amp;"|"&amp;E689)*(HISTORIAL!$F$3:$F$687&lt;&gt;"")),HISTORIAL!$H$3:$H$687),"")</f>
        <v>3</v>
      </c>
      <c r="J689" s="37" t="str">
        <f>IFERROR(LOOKUP(2,1/((HISTORIAL!$O$3:$O$687=D689&amp;"|"&amp;E689)*(HISTORIAL!$F$3:$F$687&lt;&gt;"")),HISTORIAL!$I$3:$I$687),"")</f>
        <v>A</v>
      </c>
      <c r="K689" s="58">
        <f>IFERROR(IF(OR(G689="",N689="SIN"),"--",IF(N689="SUBIR_F",IF(F689="polea",IFERROR(INDEX(CONFIG!$B$25:$B$40,MATCH(G689,CONFIG!$B$25:$B$40,0)+2),IFERROR(INDEX(CONFIG!$B$25:$B$40,MATCH(G689,CONFIG!$B$25:$B$40,0)+1),G689)),G689+5),IF(OR(N689="SUBIR",N689="SUBIR_E"),IF(F689="polea",IFERROR(INDEX(CONFIG!$B$25:$B$40,MATCH(G689,CONFIG!$B$25:$B$40,0)+1),G689),G689+2.5),IF(N689="BAJAR",IF(F689="polea",IFERROR(INDEX(CONFIG!$B$25:$B$40,MAX(1,MATCH(G689,CONFIG!$B$25:$B$40,0)-1)),G689),MAX(0,G689-2.5)),G689)))),"--")</f>
        <v>20</v>
      </c>
      <c r="L689" s="59">
        <f>IFERROR(IF(N689="SIN","--",IF(N689="MANT",IF(H689="","--",H689+1),IFERROR(VLOOKUP(CONFIG!$E$2,CONFIG!$A$6:$E$8,2,0),"--"))),"--")</f>
        <v>6</v>
      </c>
      <c r="M689" s="59">
        <f>IFERROR(IF(N689="SIN","--",IF(CONFIG!$E$2="HIP",2,IF(CONFIG!$E$2="FUE",1,2))),"--")</f>
        <v>2</v>
      </c>
      <c r="N689" s="53" t="str">
        <f>IFERROR(IF(G689="","SIN",IF(O689=1,"SUBIR_E",IF(H689&lt;IFERROR(VLOOKUP(CONFIG!$E$2,CONFIG!$A$6:$E$8,2,0),6),"BAJAR",IF(H689+I689&gt;=IFERROR(VLOOKUP(CONFIG!$E$2,CONFIG!$A$6:$E$8,3,0),12),"SUBIR_F",IF(AND(H689&gt;=IFERROR(VLOOKUP(CONFIG!$E$2,CONFIG!$A$6:$E$8,2,0),6)+2,I689&gt;=2),"SUBIR",IF(I689&gt;IFERROR(VLOOKUP(CONFIG!$E$2,CONFIG!$A$6:$E$8,5,0),3),"SUBIR","MANT")))))),"SIN")</f>
        <v>SUBIR</v>
      </c>
      <c r="O689" s="55">
        <f>IF(COUNTIFS(HISTORIAL!$O$3:$O$687,D689&amp;"|"&amp;E689,HISTORIAL!$F$3:$F$687,"&gt;0")&lt;2,0,IF(COUNTIFS(HISTORIAL!$O$3:$O$687,D689&amp;"|"&amp;E689,HISTORIAL!$F$3:$F$687,IFERROR(LOOKUP(2,1/((HISTORIAL!$O$3:$O$687=D689&amp;"|"&amp;E689)*(HISTORIAL!$F$3:$F$687&gt;0)),HISTORIAL!$F$3:$F$687),0))&gt;=2,IF(IFERROR(LOOKUP(2,1/((HISTORIAL!$O$3:$O$687=D689&amp;"|"&amp;E689)*(HISTORIAL!$F$3:$F$687&gt;0)),HISTORIAL!$G$3:$G$687),0)&gt;0,IF(F689&gt;0,IF(G689&lt;=IFERROR(LOOKUP(2,1/((HISTORIAL!$O$3:$O$687=D689&amp;"|"&amp;E689)*(HISTORIAL!$F$3:$F$687&gt;0)),HISTORIAL!$G$3:$G$687),0),1,0),0),0),0))</f>
        <v>0</v>
      </c>
    </row>
    <row r="690" spans="1:15" ht="14.1" customHeight="1">
      <c r="A690" s="37">
        <v>11</v>
      </c>
      <c r="B690" s="37" t="s">
        <v>281</v>
      </c>
      <c r="C690" s="37">
        <v>7</v>
      </c>
      <c r="D690" s="56" t="str">
        <f>SABADO!$A$262</f>
        <v>Curl Muneca</v>
      </c>
      <c r="E690" s="57" t="str">
        <f>SABADO!$B$262</f>
        <v>Supinado</v>
      </c>
      <c r="F690" s="37" t="str">
        <f>SABADO!$C$262</f>
        <v>mancuerna</v>
      </c>
      <c r="G690" s="37" t="str">
        <f>IFERROR(LOOKUP(2,1/((HISTORIAL!$O$3:$O$688=D690&amp;"|"&amp;E690)*(HISTORIAL!$F$3:$F$688&lt;&gt;"")),HISTORIAL!$F$3:$F$688),"")</f>
        <v/>
      </c>
      <c r="H690" s="37" t="str">
        <f>IFERROR(LOOKUP(2,1/((HISTORIAL!$O$3:$O$688=D690&amp;"|"&amp;E690)*(HISTORIAL!$F$3:$F$688&lt;&gt;"")),HISTORIAL!$G$3:$G$688),"")</f>
        <v/>
      </c>
      <c r="I690" s="37" t="str">
        <f>IFERROR(LOOKUP(2,1/((HISTORIAL!$O$3:$O$688=D690&amp;"|"&amp;E690)*(HISTORIAL!$F$3:$F$688&lt;&gt;"")),HISTORIAL!$H$3:$H$688),"")</f>
        <v/>
      </c>
      <c r="J690" s="37" t="str">
        <f>IFERROR(LOOKUP(2,1/((HISTORIAL!$O$3:$O$688=D690&amp;"|"&amp;E690)*(HISTORIAL!$F$3:$F$688&lt;&gt;"")),HISTORIAL!$I$3:$I$688),"")</f>
        <v/>
      </c>
      <c r="K690" s="58" t="str">
        <f>IFERROR(IF(OR(G690="",N690="SIN"),"--",IF(N690="SUBIR_F",IF(F690="polea",IFERROR(INDEX(CONFIG!$B$25:$B$40,MATCH(G690,CONFIG!$B$25:$B$40,0)+2),IFERROR(INDEX(CONFIG!$B$25:$B$40,MATCH(G690,CONFIG!$B$25:$B$40,0)+1),G690)),G690+5),IF(OR(N690="SUBIR",N690="SUBIR_E"),IF(F690="polea",IFERROR(INDEX(CONFIG!$B$25:$B$40,MATCH(G690,CONFIG!$B$25:$B$40,0)+1),G690),G690+2.5),IF(N690="BAJAR",IF(F690="polea",IFERROR(INDEX(CONFIG!$B$25:$B$40,MAX(1,MATCH(G690,CONFIG!$B$25:$B$40,0)-1)),G690),MAX(0,G690-2.5)),G690)))),"--")</f>
        <v>--</v>
      </c>
      <c r="L690" s="59" t="str">
        <f>IFERROR(IF(N690="SIN","--",IF(N690="MANT",IF(H690="","--",H690+1),IFERROR(VLOOKUP(CONFIG!$E$2,CONFIG!$A$6:$E$8,2,0),"--"))),"--")</f>
        <v>--</v>
      </c>
      <c r="M690" s="59" t="str">
        <f>IFERROR(IF(N690="SIN","--",IF(CONFIG!$E$2="HIP",2,IF(CONFIG!$E$2="FUE",1,2))),"--")</f>
        <v>--</v>
      </c>
      <c r="N690" s="53" t="str">
        <f>IFERROR(IF(G690="","SIN",IF(O690=1,"SUBIR_E",IF(H690&lt;IFERROR(VLOOKUP(CONFIG!$E$2,CONFIG!$A$6:$E$8,2,0),6),"BAJAR",IF(H690+I690&gt;=IFERROR(VLOOKUP(CONFIG!$E$2,CONFIG!$A$6:$E$8,3,0),12),"SUBIR_F",IF(AND(H690&gt;=IFERROR(VLOOKUP(CONFIG!$E$2,CONFIG!$A$6:$E$8,2,0),6)+2,I690&gt;=2),"SUBIR",IF(I690&gt;IFERROR(VLOOKUP(CONFIG!$E$2,CONFIG!$A$6:$E$8,5,0),3),"SUBIR","MANT")))))),"SIN")</f>
        <v>SIN</v>
      </c>
      <c r="O690" s="55">
        <f>IF(COUNTIFS(HISTORIAL!$O$3:$O$688,D690&amp;"|"&amp;E690,HISTORIAL!$F$3:$F$688,"&gt;0")&lt;2,0,IF(COUNTIFS(HISTORIAL!$O$3:$O$688,D690&amp;"|"&amp;E690,HISTORIAL!$F$3:$F$688,IFERROR(LOOKUP(2,1/((HISTORIAL!$O$3:$O$688=D690&amp;"|"&amp;E690)*(HISTORIAL!$F$3:$F$688&gt;0)),HISTORIAL!$F$3:$F$688),0))&gt;=2,IF(IFERROR(LOOKUP(2,1/((HISTORIAL!$O$3:$O$688=D690&amp;"|"&amp;E690)*(HISTORIAL!$F$3:$F$688&gt;0)),HISTORIAL!$G$3:$G$688),0)&gt;0,IF(F690&gt;0,IF(G690&lt;=IFERROR(LOOKUP(2,1/((HISTORIAL!$O$3:$O$688=D690&amp;"|"&amp;E690)*(HISTORIAL!$F$3:$F$688&gt;0)),HISTORIAL!$G$3:$G$688),0),1,0),0),0),0))</f>
        <v>0</v>
      </c>
    </row>
    <row r="691" spans="1:15" ht="14.1" customHeight="1">
      <c r="A691" s="37">
        <v>11</v>
      </c>
      <c r="B691" s="37" t="s">
        <v>281</v>
      </c>
      <c r="C691" s="37">
        <v>8</v>
      </c>
      <c r="D691" s="56" t="str">
        <f>SABADO!$A$263</f>
        <v>Curl Muneca</v>
      </c>
      <c r="E691" s="57" t="str">
        <f>SABADO!$B$263</f>
        <v>Pronado</v>
      </c>
      <c r="F691" s="37" t="str">
        <f>SABADO!$C$263</f>
        <v>mancuerna</v>
      </c>
      <c r="G691" s="37" t="str">
        <f>IFERROR(LOOKUP(2,1/((HISTORIAL!$O$3:$O$689=D691&amp;"|"&amp;E691)*(HISTORIAL!$F$3:$F$689&lt;&gt;"")),HISTORIAL!$F$3:$F$689),"")</f>
        <v/>
      </c>
      <c r="H691" s="37" t="str">
        <f>IFERROR(LOOKUP(2,1/((HISTORIAL!$O$3:$O$689=D691&amp;"|"&amp;E691)*(HISTORIAL!$F$3:$F$689&lt;&gt;"")),HISTORIAL!$G$3:$G$689),"")</f>
        <v/>
      </c>
      <c r="I691" s="37" t="str">
        <f>IFERROR(LOOKUP(2,1/((HISTORIAL!$O$3:$O$689=D691&amp;"|"&amp;E691)*(HISTORIAL!$F$3:$F$689&lt;&gt;"")),HISTORIAL!$H$3:$H$689),"")</f>
        <v/>
      </c>
      <c r="J691" s="37" t="str">
        <f>IFERROR(LOOKUP(2,1/((HISTORIAL!$O$3:$O$689=D691&amp;"|"&amp;E691)*(HISTORIAL!$F$3:$F$689&lt;&gt;"")),HISTORIAL!$I$3:$I$689),"")</f>
        <v/>
      </c>
      <c r="K691" s="58" t="str">
        <f>IFERROR(IF(OR(G691="",N691="SIN"),"--",IF(N691="SUBIR_F",IF(F691="polea",IFERROR(INDEX(CONFIG!$B$25:$B$40,MATCH(G691,CONFIG!$B$25:$B$40,0)+2),IFERROR(INDEX(CONFIG!$B$25:$B$40,MATCH(G691,CONFIG!$B$25:$B$40,0)+1),G691)),G691+5),IF(OR(N691="SUBIR",N691="SUBIR_E"),IF(F691="polea",IFERROR(INDEX(CONFIG!$B$25:$B$40,MATCH(G691,CONFIG!$B$25:$B$40,0)+1),G691),G691+2.5),IF(N691="BAJAR",IF(F691="polea",IFERROR(INDEX(CONFIG!$B$25:$B$40,MAX(1,MATCH(G691,CONFIG!$B$25:$B$40,0)-1)),G691),MAX(0,G691-2.5)),G691)))),"--")</f>
        <v>--</v>
      </c>
      <c r="L691" s="59" t="str">
        <f>IFERROR(IF(N691="SIN","--",IF(N691="MANT",IF(H691="","--",H691+1),IFERROR(VLOOKUP(CONFIG!$E$2,CONFIG!$A$6:$E$8,2,0),"--"))),"--")</f>
        <v>--</v>
      </c>
      <c r="M691" s="59" t="str">
        <f>IFERROR(IF(N691="SIN","--",IF(CONFIG!$E$2="HIP",2,IF(CONFIG!$E$2="FUE",1,2))),"--")</f>
        <v>--</v>
      </c>
      <c r="N691" s="53" t="str">
        <f>IFERROR(IF(G691="","SIN",IF(O691=1,"SUBIR_E",IF(H691&lt;IFERROR(VLOOKUP(CONFIG!$E$2,CONFIG!$A$6:$E$8,2,0),6),"BAJAR",IF(H691+I691&gt;=IFERROR(VLOOKUP(CONFIG!$E$2,CONFIG!$A$6:$E$8,3,0),12),"SUBIR_F",IF(AND(H691&gt;=IFERROR(VLOOKUP(CONFIG!$E$2,CONFIG!$A$6:$E$8,2,0),6)+2,I691&gt;=2),"SUBIR",IF(I691&gt;IFERROR(VLOOKUP(CONFIG!$E$2,CONFIG!$A$6:$E$8,5,0),3),"SUBIR","MANT")))))),"SIN")</f>
        <v>SIN</v>
      </c>
      <c r="O691" s="55">
        <f>IF(COUNTIFS(HISTORIAL!$O$3:$O$689,D691&amp;"|"&amp;E691,HISTORIAL!$F$3:$F$689,"&gt;0")&lt;2,0,IF(COUNTIFS(HISTORIAL!$O$3:$O$689,D691&amp;"|"&amp;E691,HISTORIAL!$F$3:$F$689,IFERROR(LOOKUP(2,1/((HISTORIAL!$O$3:$O$689=D691&amp;"|"&amp;E691)*(HISTORIAL!$F$3:$F$689&gt;0)),HISTORIAL!$F$3:$F$689),0))&gt;=2,IF(IFERROR(LOOKUP(2,1/((HISTORIAL!$O$3:$O$689=D691&amp;"|"&amp;E691)*(HISTORIAL!$F$3:$F$689&gt;0)),HISTORIAL!$G$3:$G$689),0)&gt;0,IF(F691&gt;0,IF(G691&lt;=IFERROR(LOOKUP(2,1/((HISTORIAL!$O$3:$O$689=D691&amp;"|"&amp;E691)*(HISTORIAL!$F$3:$F$689&gt;0)),HISTORIAL!$G$3:$G$689),0),1,0),0),0),0))</f>
        <v>0</v>
      </c>
    </row>
    <row r="692" spans="1:15" ht="14.1" customHeight="1">
      <c r="A692" s="37">
        <v>11</v>
      </c>
      <c r="B692" s="37" t="s">
        <v>281</v>
      </c>
      <c r="C692" s="37">
        <v>9</v>
      </c>
      <c r="D692" s="56" t="str">
        <f>SABADO!$A$265</f>
        <v>Elevaciones Laterales</v>
      </c>
      <c r="E692" s="57" t="str">
        <f>SABADO!$B$265</f>
        <v>Cable Polea Individual</v>
      </c>
      <c r="F692" s="37" t="str">
        <f>SABADO!$C$265</f>
        <v>polea</v>
      </c>
      <c r="G692" s="37" t="str">
        <f>IFERROR(LOOKUP(2,1/((HISTORIAL!$O$3:$O$690=D692&amp;"|"&amp;E692)*(HISTORIAL!$F$3:$F$690&lt;&gt;"")),HISTORIAL!$F$3:$F$690),"")</f>
        <v/>
      </c>
      <c r="H692" s="37" t="str">
        <f>IFERROR(LOOKUP(2,1/((HISTORIAL!$O$3:$O$690=D692&amp;"|"&amp;E692)*(HISTORIAL!$F$3:$F$690&lt;&gt;"")),HISTORIAL!$G$3:$G$690),"")</f>
        <v/>
      </c>
      <c r="I692" s="37" t="str">
        <f>IFERROR(LOOKUP(2,1/((HISTORIAL!$O$3:$O$690=D692&amp;"|"&amp;E692)*(HISTORIAL!$F$3:$F$690&lt;&gt;"")),HISTORIAL!$H$3:$H$690),"")</f>
        <v/>
      </c>
      <c r="J692" s="37" t="str">
        <f>IFERROR(LOOKUP(2,1/((HISTORIAL!$O$3:$O$690=D692&amp;"|"&amp;E692)*(HISTORIAL!$F$3:$F$690&lt;&gt;"")),HISTORIAL!$I$3:$I$690),"")</f>
        <v/>
      </c>
      <c r="K692" s="58" t="str">
        <f>IFERROR(IF(OR(G692="",N692="SIN"),"--",IF(N692="SUBIR_F",IF(F692="polea",IFERROR(INDEX(CONFIG!$B$25:$B$40,MATCH(G692,CONFIG!$B$25:$B$40,0)+2),IFERROR(INDEX(CONFIG!$B$25:$B$40,MATCH(G692,CONFIG!$B$25:$B$40,0)+1),G692)),G692+5),IF(OR(N692="SUBIR",N692="SUBIR_E"),IF(F692="polea",IFERROR(INDEX(CONFIG!$B$25:$B$40,MATCH(G692,CONFIG!$B$25:$B$40,0)+1),G692),G692+2.5),IF(N692="BAJAR",IF(F692="polea",IFERROR(INDEX(CONFIG!$B$25:$B$40,MAX(1,MATCH(G692,CONFIG!$B$25:$B$40,0)-1)),G692),MAX(0,G692-2.5)),G692)))),"--")</f>
        <v>--</v>
      </c>
      <c r="L692" s="59" t="str">
        <f>IFERROR(IF(N692="SIN","--",IF(N692="MANT",IF(H692="","--",H692+1),IFERROR(VLOOKUP(CONFIG!$E$2,CONFIG!$A$6:$E$8,2,0),"--"))),"--")</f>
        <v>--</v>
      </c>
      <c r="M692" s="59" t="str">
        <f>IFERROR(IF(N692="SIN","--",IF(CONFIG!$E$2="HIP",2,IF(CONFIG!$E$2="FUE",1,2))),"--")</f>
        <v>--</v>
      </c>
      <c r="N692" s="53" t="str">
        <f>IFERROR(IF(G692="","SIN",IF(O692=1,"SUBIR_E",IF(H692&lt;IFERROR(VLOOKUP(CONFIG!$E$2,CONFIG!$A$6:$E$8,2,0),6),"BAJAR",IF(H692+I692&gt;=IFERROR(VLOOKUP(CONFIG!$E$2,CONFIG!$A$6:$E$8,3,0),12),"SUBIR_F",IF(AND(H692&gt;=IFERROR(VLOOKUP(CONFIG!$E$2,CONFIG!$A$6:$E$8,2,0),6)+2,I692&gt;=2),"SUBIR",IF(I692&gt;IFERROR(VLOOKUP(CONFIG!$E$2,CONFIG!$A$6:$E$8,5,0),3),"SUBIR","MANT")))))),"SIN")</f>
        <v>SIN</v>
      </c>
      <c r="O692" s="55">
        <f>IF(COUNTIFS(HISTORIAL!$O$3:$O$690,D692&amp;"|"&amp;E692,HISTORIAL!$F$3:$F$690,"&gt;0")&lt;2,0,IF(COUNTIFS(HISTORIAL!$O$3:$O$690,D692&amp;"|"&amp;E692,HISTORIAL!$F$3:$F$690,IFERROR(LOOKUP(2,1/((HISTORIAL!$O$3:$O$690=D692&amp;"|"&amp;E692)*(HISTORIAL!$F$3:$F$690&gt;0)),HISTORIAL!$F$3:$F$690),0))&gt;=2,IF(IFERROR(LOOKUP(2,1/((HISTORIAL!$O$3:$O$690=D692&amp;"|"&amp;E692)*(HISTORIAL!$F$3:$F$690&gt;0)),HISTORIAL!$G$3:$G$690),0)&gt;0,IF(F692&gt;0,IF(G692&lt;=IFERROR(LOOKUP(2,1/((HISTORIAL!$O$3:$O$690=D692&amp;"|"&amp;E692)*(HISTORIAL!$F$3:$F$690&gt;0)),HISTORIAL!$G$3:$G$690),0),1,0),0),0),0))</f>
        <v>0</v>
      </c>
    </row>
    <row r="693" spans="1:15" ht="14.1" customHeight="1">
      <c r="A693" s="37">
        <v>11</v>
      </c>
      <c r="B693" s="37" t="s">
        <v>281</v>
      </c>
      <c r="C693" s="37">
        <v>10</v>
      </c>
      <c r="D693" s="56" t="str">
        <f>SABADO!$A$267</f>
        <v>Encogimientos</v>
      </c>
      <c r="E693" s="57" t="str">
        <f>SABADO!$B$267</f>
        <v>Mancuernas Trapecio</v>
      </c>
      <c r="F693" s="37" t="str">
        <f>SABADO!$C$267</f>
        <v>mancuerna</v>
      </c>
      <c r="G693" s="37" t="str">
        <f>IFERROR(LOOKUP(2,1/((HISTORIAL!$O$3:$O$691=D693&amp;"|"&amp;E693)*(HISTORIAL!$F$3:$F$691&lt;&gt;"")),HISTORIAL!$F$3:$F$691),"")</f>
        <v/>
      </c>
      <c r="H693" s="37" t="str">
        <f>IFERROR(LOOKUP(2,1/((HISTORIAL!$O$3:$O$691=D693&amp;"|"&amp;E693)*(HISTORIAL!$F$3:$F$691&lt;&gt;"")),HISTORIAL!$G$3:$G$691),"")</f>
        <v/>
      </c>
      <c r="I693" s="37" t="str">
        <f>IFERROR(LOOKUP(2,1/((HISTORIAL!$O$3:$O$691=D693&amp;"|"&amp;E693)*(HISTORIAL!$F$3:$F$691&lt;&gt;"")),HISTORIAL!$H$3:$H$691),"")</f>
        <v/>
      </c>
      <c r="J693" s="37" t="str">
        <f>IFERROR(LOOKUP(2,1/((HISTORIAL!$O$3:$O$691=D693&amp;"|"&amp;E693)*(HISTORIAL!$F$3:$F$691&lt;&gt;"")),HISTORIAL!$I$3:$I$691),"")</f>
        <v/>
      </c>
      <c r="K693" s="58" t="str">
        <f>IFERROR(IF(OR(G693="",N693="SIN"),"--",IF(N693="SUBIR_F",IF(F693="polea",IFERROR(INDEX(CONFIG!$B$25:$B$40,MATCH(G693,CONFIG!$B$25:$B$40,0)+2),IFERROR(INDEX(CONFIG!$B$25:$B$40,MATCH(G693,CONFIG!$B$25:$B$40,0)+1),G693)),G693+5),IF(OR(N693="SUBIR",N693="SUBIR_E"),IF(F693="polea",IFERROR(INDEX(CONFIG!$B$25:$B$40,MATCH(G693,CONFIG!$B$25:$B$40,0)+1),G693),G693+2.5),IF(N693="BAJAR",IF(F693="polea",IFERROR(INDEX(CONFIG!$B$25:$B$40,MAX(1,MATCH(G693,CONFIG!$B$25:$B$40,0)-1)),G693),MAX(0,G693-2.5)),G693)))),"--")</f>
        <v>--</v>
      </c>
      <c r="L693" s="59" t="str">
        <f>IFERROR(IF(N693="SIN","--",IF(N693="MANT",IF(H693="","--",H693+1),IFERROR(VLOOKUP(CONFIG!$E$2,CONFIG!$A$6:$E$8,2,0),"--"))),"--")</f>
        <v>--</v>
      </c>
      <c r="M693" s="59" t="str">
        <f>IFERROR(IF(N693="SIN","--",IF(CONFIG!$E$2="HIP",2,IF(CONFIG!$E$2="FUE",1,2))),"--")</f>
        <v>--</v>
      </c>
      <c r="N693" s="53" t="str">
        <f>IFERROR(IF(G693="","SIN",IF(O693=1,"SUBIR_E",IF(H693&lt;IFERROR(VLOOKUP(CONFIG!$E$2,CONFIG!$A$6:$E$8,2,0),6),"BAJAR",IF(H693+I693&gt;=IFERROR(VLOOKUP(CONFIG!$E$2,CONFIG!$A$6:$E$8,3,0),12),"SUBIR_F",IF(AND(H693&gt;=IFERROR(VLOOKUP(CONFIG!$E$2,CONFIG!$A$6:$E$8,2,0),6)+2,I693&gt;=2),"SUBIR",IF(I693&gt;IFERROR(VLOOKUP(CONFIG!$E$2,CONFIG!$A$6:$E$8,5,0),3),"SUBIR","MANT")))))),"SIN")</f>
        <v>SIN</v>
      </c>
      <c r="O693" s="55">
        <f>IF(COUNTIFS(HISTORIAL!$O$3:$O$691,D693&amp;"|"&amp;E693,HISTORIAL!$F$3:$F$691,"&gt;0")&lt;2,0,IF(COUNTIFS(HISTORIAL!$O$3:$O$691,D693&amp;"|"&amp;E693,HISTORIAL!$F$3:$F$691,IFERROR(LOOKUP(2,1/((HISTORIAL!$O$3:$O$691=D693&amp;"|"&amp;E693)*(HISTORIAL!$F$3:$F$691&gt;0)),HISTORIAL!$F$3:$F$691),0))&gt;=2,IF(IFERROR(LOOKUP(2,1/((HISTORIAL!$O$3:$O$691=D693&amp;"|"&amp;E693)*(HISTORIAL!$F$3:$F$691&gt;0)),HISTORIAL!$G$3:$G$691),0)&gt;0,IF(F693&gt;0,IF(G693&lt;=IFERROR(LOOKUP(2,1/((HISTORIAL!$O$3:$O$691=D693&amp;"|"&amp;E693)*(HISTORIAL!$F$3:$F$691&gt;0)),HISTORIAL!$G$3:$G$691),0),1,0),0),0),0))</f>
        <v>0</v>
      </c>
    </row>
    <row r="694" spans="1:15" ht="14.1" customHeight="1">
      <c r="A694" s="37">
        <v>11</v>
      </c>
      <c r="B694" s="37" t="s">
        <v>281</v>
      </c>
      <c r="C694" s="37">
        <v>11</v>
      </c>
      <c r="D694" s="56" t="str">
        <f>SABADO!$A$268</f>
        <v>Face Pull</v>
      </c>
      <c r="E694" s="57" t="str">
        <f>SABADO!$B$268</f>
        <v>Polea Alta Cuerda</v>
      </c>
      <c r="F694" s="37" t="str">
        <f>SABADO!$C$268</f>
        <v>polea</v>
      </c>
      <c r="G694" s="37" t="str">
        <f>IFERROR(LOOKUP(2,1/((HISTORIAL!$O$3:$O$692=D694&amp;"|"&amp;E694)*(HISTORIAL!$F$3:$F$692&lt;&gt;"")),HISTORIAL!$F$3:$F$692),"")</f>
        <v/>
      </c>
      <c r="H694" s="37" t="str">
        <f>IFERROR(LOOKUP(2,1/((HISTORIAL!$O$3:$O$692=D694&amp;"|"&amp;E694)*(HISTORIAL!$F$3:$F$692&lt;&gt;"")),HISTORIAL!$G$3:$G$692),"")</f>
        <v/>
      </c>
      <c r="I694" s="37" t="str">
        <f>IFERROR(LOOKUP(2,1/((HISTORIAL!$O$3:$O$692=D694&amp;"|"&amp;E694)*(HISTORIAL!$F$3:$F$692&lt;&gt;"")),HISTORIAL!$H$3:$H$692),"")</f>
        <v/>
      </c>
      <c r="J694" s="37" t="str">
        <f>IFERROR(LOOKUP(2,1/((HISTORIAL!$O$3:$O$692=D694&amp;"|"&amp;E694)*(HISTORIAL!$F$3:$F$692&lt;&gt;"")),HISTORIAL!$I$3:$I$692),"")</f>
        <v/>
      </c>
      <c r="K694" s="58" t="str">
        <f>IFERROR(IF(OR(G694="",N694="SIN"),"--",IF(N694="SUBIR_F",IF(F694="polea",IFERROR(INDEX(CONFIG!$B$25:$B$40,MATCH(G694,CONFIG!$B$25:$B$40,0)+2),IFERROR(INDEX(CONFIG!$B$25:$B$40,MATCH(G694,CONFIG!$B$25:$B$40,0)+1),G694)),G694+5),IF(OR(N694="SUBIR",N694="SUBIR_E"),IF(F694="polea",IFERROR(INDEX(CONFIG!$B$25:$B$40,MATCH(G694,CONFIG!$B$25:$B$40,0)+1),G694),G694+2.5),IF(N694="BAJAR",IF(F694="polea",IFERROR(INDEX(CONFIG!$B$25:$B$40,MAX(1,MATCH(G694,CONFIG!$B$25:$B$40,0)-1)),G694),MAX(0,G694-2.5)),G694)))),"--")</f>
        <v>--</v>
      </c>
      <c r="L694" s="59" t="str">
        <f>IFERROR(IF(N694="SIN","--",IF(N694="MANT",IF(H694="","--",H694+1),IFERROR(VLOOKUP(CONFIG!$E$2,CONFIG!$A$6:$E$8,2,0),"--"))),"--")</f>
        <v>--</v>
      </c>
      <c r="M694" s="59" t="str">
        <f>IFERROR(IF(N694="SIN","--",IF(CONFIG!$E$2="HIP",2,IF(CONFIG!$E$2="FUE",1,2))),"--")</f>
        <v>--</v>
      </c>
      <c r="N694" s="53" t="str">
        <f>IFERROR(IF(G694="","SIN",IF(O694=1,"SUBIR_E",IF(H694&lt;IFERROR(VLOOKUP(CONFIG!$E$2,CONFIG!$A$6:$E$8,2,0),6),"BAJAR",IF(H694+I694&gt;=IFERROR(VLOOKUP(CONFIG!$E$2,CONFIG!$A$6:$E$8,3,0),12),"SUBIR_F",IF(AND(H694&gt;=IFERROR(VLOOKUP(CONFIG!$E$2,CONFIG!$A$6:$E$8,2,0),6)+2,I694&gt;=2),"SUBIR",IF(I694&gt;IFERROR(VLOOKUP(CONFIG!$E$2,CONFIG!$A$6:$E$8,5,0),3),"SUBIR","MANT")))))),"SIN")</f>
        <v>SIN</v>
      </c>
      <c r="O694" s="55">
        <f>IF(COUNTIFS(HISTORIAL!$O$3:$O$692,D694&amp;"|"&amp;E694,HISTORIAL!$F$3:$F$692,"&gt;0")&lt;2,0,IF(COUNTIFS(HISTORIAL!$O$3:$O$692,D694&amp;"|"&amp;E694,HISTORIAL!$F$3:$F$692,IFERROR(LOOKUP(2,1/((HISTORIAL!$O$3:$O$692=D694&amp;"|"&amp;E694)*(HISTORIAL!$F$3:$F$692&gt;0)),HISTORIAL!$F$3:$F$692),0))&gt;=2,IF(IFERROR(LOOKUP(2,1/((HISTORIAL!$O$3:$O$692=D694&amp;"|"&amp;E694)*(HISTORIAL!$F$3:$F$692&gt;0)),HISTORIAL!$G$3:$G$692),0)&gt;0,IF(F694&gt;0,IF(G694&lt;=IFERROR(LOOKUP(2,1/((HISTORIAL!$O$3:$O$692=D694&amp;"|"&amp;E694)*(HISTORIAL!$F$3:$F$692&gt;0)),HISTORIAL!$G$3:$G$692),0),1,0),0),0),0))</f>
        <v>0</v>
      </c>
    </row>
    <row r="695" spans="1:15" ht="14.1" customHeight="1">
      <c r="A695" s="37">
        <v>11</v>
      </c>
      <c r="B695" s="37" t="s">
        <v>281</v>
      </c>
      <c r="C695" s="37">
        <v>12</v>
      </c>
      <c r="D695" s="56" t="str">
        <f>SABADO!$A$270</f>
        <v>Hiperextension</v>
      </c>
      <c r="E695" s="57" t="str">
        <f>SABADO!$B$270</f>
        <v>Banco Romano</v>
      </c>
      <c r="F695" s="37" t="str">
        <f>SABADO!$C$270</f>
        <v>peso_corporal</v>
      </c>
      <c r="G695" s="37" t="str">
        <f>IFERROR(LOOKUP(2,1/((HISTORIAL!$O$3:$O$693=D695&amp;"|"&amp;E695)*(HISTORIAL!$F$3:$F$693&lt;&gt;"")),HISTORIAL!$F$3:$F$693),"")</f>
        <v/>
      </c>
      <c r="H695" s="37" t="str">
        <f>IFERROR(LOOKUP(2,1/((HISTORIAL!$O$3:$O$693=D695&amp;"|"&amp;E695)*(HISTORIAL!$F$3:$F$693&lt;&gt;"")),HISTORIAL!$G$3:$G$693),"")</f>
        <v/>
      </c>
      <c r="I695" s="37" t="str">
        <f>IFERROR(LOOKUP(2,1/((HISTORIAL!$O$3:$O$693=D695&amp;"|"&amp;E695)*(HISTORIAL!$F$3:$F$693&lt;&gt;"")),HISTORIAL!$H$3:$H$693),"")</f>
        <v/>
      </c>
      <c r="J695" s="37" t="str">
        <f>IFERROR(LOOKUP(2,1/((HISTORIAL!$O$3:$O$693=D695&amp;"|"&amp;E695)*(HISTORIAL!$F$3:$F$693&lt;&gt;"")),HISTORIAL!$I$3:$I$693),"")</f>
        <v/>
      </c>
      <c r="K695" s="58" t="str">
        <f>IFERROR(IF(OR(G695="",N695="SIN"),"--",IF(N695="SUBIR_F",IF(F695="polea",IFERROR(INDEX(CONFIG!$B$25:$B$40,MATCH(G695,CONFIG!$B$25:$B$40,0)+2),IFERROR(INDEX(CONFIG!$B$25:$B$40,MATCH(G695,CONFIG!$B$25:$B$40,0)+1),G695)),G695+5),IF(OR(N695="SUBIR",N695="SUBIR_E"),IF(F695="polea",IFERROR(INDEX(CONFIG!$B$25:$B$40,MATCH(G695,CONFIG!$B$25:$B$40,0)+1),G695),G695+2.5),IF(N695="BAJAR",IF(F695="polea",IFERROR(INDEX(CONFIG!$B$25:$B$40,MAX(1,MATCH(G695,CONFIG!$B$25:$B$40,0)-1)),G695),MAX(0,G695-2.5)),G695)))),"--")</f>
        <v>--</v>
      </c>
      <c r="L695" s="59" t="str">
        <f>IFERROR(IF(N695="SIN","--",IF(N695="MANT",IF(H695="","--",H695+1),IFERROR(VLOOKUP(CONFIG!$E$2,CONFIG!$A$6:$E$8,2,0),"--"))),"--")</f>
        <v>--</v>
      </c>
      <c r="M695" s="59" t="str">
        <f>IFERROR(IF(N695="SIN","--",IF(CONFIG!$E$2="HIP",2,IF(CONFIG!$E$2="FUE",1,2))),"--")</f>
        <v>--</v>
      </c>
      <c r="N695" s="53" t="str">
        <f>IFERROR(IF(G695="","SIN",IF(O695=1,"SUBIR_E",IF(H695&lt;IFERROR(VLOOKUP(CONFIG!$E$2,CONFIG!$A$6:$E$8,2,0),6),"BAJAR",IF(H695+I695&gt;=IFERROR(VLOOKUP(CONFIG!$E$2,CONFIG!$A$6:$E$8,3,0),12),"SUBIR_F",IF(AND(H695&gt;=IFERROR(VLOOKUP(CONFIG!$E$2,CONFIG!$A$6:$E$8,2,0),6)+2,I695&gt;=2),"SUBIR",IF(I695&gt;IFERROR(VLOOKUP(CONFIG!$E$2,CONFIG!$A$6:$E$8,5,0),3),"SUBIR","MANT")))))),"SIN")</f>
        <v>SIN</v>
      </c>
      <c r="O695" s="55">
        <f>IF(COUNTIFS(HISTORIAL!$O$3:$O$693,D695&amp;"|"&amp;E695,HISTORIAL!$F$3:$F$693,"&gt;0")&lt;2,0,IF(COUNTIFS(HISTORIAL!$O$3:$O$693,D695&amp;"|"&amp;E695,HISTORIAL!$F$3:$F$693,IFERROR(LOOKUP(2,1/((HISTORIAL!$O$3:$O$693=D695&amp;"|"&amp;E695)*(HISTORIAL!$F$3:$F$693&gt;0)),HISTORIAL!$F$3:$F$693),0))&gt;=2,IF(IFERROR(LOOKUP(2,1/((HISTORIAL!$O$3:$O$693=D695&amp;"|"&amp;E695)*(HISTORIAL!$F$3:$F$693&gt;0)),HISTORIAL!$G$3:$G$693),0)&gt;0,IF(F695&gt;0,IF(G695&lt;=IFERROR(LOOKUP(2,1/((HISTORIAL!$O$3:$O$693=D695&amp;"|"&amp;E695)*(HISTORIAL!$F$3:$F$693&gt;0)),HISTORIAL!$G$3:$G$693),0),1,0),0),0),0))</f>
        <v>0</v>
      </c>
    </row>
    <row r="696" spans="1:15" ht="14.1" customHeight="1">
      <c r="A696" s="37">
        <v>11</v>
      </c>
      <c r="B696" s="37" t="s">
        <v>281</v>
      </c>
      <c r="C696" s="37">
        <v>13</v>
      </c>
      <c r="D696" s="56" t="str">
        <f>SABADO!$A$272</f>
        <v>Crunch</v>
      </c>
      <c r="E696" s="57" t="str">
        <f>SABADO!$B$272</f>
        <v>Polea</v>
      </c>
      <c r="F696" s="37" t="str">
        <f>SABADO!$C$272</f>
        <v>polea</v>
      </c>
      <c r="G696" s="37" t="str">
        <f>IFERROR(LOOKUP(2,1/((HISTORIAL!$O$3:$O$694=D696&amp;"|"&amp;E696)*(HISTORIAL!$F$3:$F$694&lt;&gt;"")),HISTORIAL!$F$3:$F$694),"")</f>
        <v/>
      </c>
      <c r="H696" s="37" t="str">
        <f>IFERROR(LOOKUP(2,1/((HISTORIAL!$O$3:$O$694=D696&amp;"|"&amp;E696)*(HISTORIAL!$F$3:$F$694&lt;&gt;"")),HISTORIAL!$G$3:$G$694),"")</f>
        <v/>
      </c>
      <c r="I696" s="37" t="str">
        <f>IFERROR(LOOKUP(2,1/((HISTORIAL!$O$3:$O$694=D696&amp;"|"&amp;E696)*(HISTORIAL!$F$3:$F$694&lt;&gt;"")),HISTORIAL!$H$3:$H$694),"")</f>
        <v/>
      </c>
      <c r="J696" s="37" t="str">
        <f>IFERROR(LOOKUP(2,1/((HISTORIAL!$O$3:$O$694=D696&amp;"|"&amp;E696)*(HISTORIAL!$F$3:$F$694&lt;&gt;"")),HISTORIAL!$I$3:$I$694),"")</f>
        <v/>
      </c>
      <c r="K696" s="58" t="str">
        <f>IFERROR(IF(OR(G696="",N696="SIN"),"--",IF(N696="SUBIR_F",IF(F696="polea",IFERROR(INDEX(CONFIG!$B$25:$B$40,MATCH(G696,CONFIG!$B$25:$B$40,0)+2),IFERROR(INDEX(CONFIG!$B$25:$B$40,MATCH(G696,CONFIG!$B$25:$B$40,0)+1),G696)),G696+5),IF(OR(N696="SUBIR",N696="SUBIR_E"),IF(F696="polea",IFERROR(INDEX(CONFIG!$B$25:$B$40,MATCH(G696,CONFIG!$B$25:$B$40,0)+1),G696),G696+2.5),IF(N696="BAJAR",IF(F696="polea",IFERROR(INDEX(CONFIG!$B$25:$B$40,MAX(1,MATCH(G696,CONFIG!$B$25:$B$40,0)-1)),G696),MAX(0,G696-2.5)),G696)))),"--")</f>
        <v>--</v>
      </c>
      <c r="L696" s="59" t="str">
        <f>IFERROR(IF(N696="SIN","--",IF(N696="MANT",IF(H696="","--",H696+1),IFERROR(VLOOKUP(CONFIG!$E$2,CONFIG!$A$6:$E$8,2,0),"--"))),"--")</f>
        <v>--</v>
      </c>
      <c r="M696" s="59" t="str">
        <f>IFERROR(IF(N696="SIN","--",IF(CONFIG!$E$2="HIP",2,IF(CONFIG!$E$2="FUE",1,2))),"--")</f>
        <v>--</v>
      </c>
      <c r="N696" s="53" t="str">
        <f>IFERROR(IF(G696="","SIN",IF(O696=1,"SUBIR_E",IF(H696&lt;IFERROR(VLOOKUP(CONFIG!$E$2,CONFIG!$A$6:$E$8,2,0),6),"BAJAR",IF(H696+I696&gt;=IFERROR(VLOOKUP(CONFIG!$E$2,CONFIG!$A$6:$E$8,3,0),12),"SUBIR_F",IF(AND(H696&gt;=IFERROR(VLOOKUP(CONFIG!$E$2,CONFIG!$A$6:$E$8,2,0),6)+2,I696&gt;=2),"SUBIR",IF(I696&gt;IFERROR(VLOOKUP(CONFIG!$E$2,CONFIG!$A$6:$E$8,5,0),3),"SUBIR","MANT")))))),"SIN")</f>
        <v>SIN</v>
      </c>
      <c r="O696" s="55">
        <f>IF(COUNTIFS(HISTORIAL!$O$3:$O$694,D696&amp;"|"&amp;E696,HISTORIAL!$F$3:$F$694,"&gt;0")&lt;2,0,IF(COUNTIFS(HISTORIAL!$O$3:$O$694,D696&amp;"|"&amp;E696,HISTORIAL!$F$3:$F$694,IFERROR(LOOKUP(2,1/((HISTORIAL!$O$3:$O$694=D696&amp;"|"&amp;E696)*(HISTORIAL!$F$3:$F$694&gt;0)),HISTORIAL!$F$3:$F$694),0))&gt;=2,IF(IFERROR(LOOKUP(2,1/((HISTORIAL!$O$3:$O$694=D696&amp;"|"&amp;E696)*(HISTORIAL!$F$3:$F$694&gt;0)),HISTORIAL!$G$3:$G$694),0)&gt;0,IF(F696&gt;0,IF(G696&lt;=IFERROR(LOOKUP(2,1/((HISTORIAL!$O$3:$O$694=D696&amp;"|"&amp;E696)*(HISTORIAL!$F$3:$F$694&gt;0)),HISTORIAL!$G$3:$G$694),0),1,0),0),0),0))</f>
        <v>0</v>
      </c>
    </row>
    <row r="697" spans="1:15" ht="14.1" customHeight="1">
      <c r="A697" s="37">
        <v>12</v>
      </c>
      <c r="B697" s="37" t="s">
        <v>277</v>
      </c>
      <c r="C697" s="37">
        <v>1</v>
      </c>
      <c r="D697" s="56" t="str">
        <f>LUNES!$A$255</f>
        <v>Press Plano</v>
      </c>
      <c r="E697" s="57" t="str">
        <f>LUNES!$B$255</f>
        <v>Barra</v>
      </c>
      <c r="F697" s="37" t="str">
        <f>LUNES!$C$255</f>
        <v>disco</v>
      </c>
      <c r="G697" s="37" t="str">
        <f>IFERROR(LOOKUP(2,1/((HISTORIAL!$O$3:$O$695=D697&amp;"|"&amp;E697)*(HISTORIAL!$F$3:$F$695&lt;&gt;"")),HISTORIAL!$F$3:$F$695),"")</f>
        <v/>
      </c>
      <c r="H697" s="37" t="str">
        <f>IFERROR(LOOKUP(2,1/((HISTORIAL!$O$3:$O$695=D697&amp;"|"&amp;E697)*(HISTORIAL!$F$3:$F$695&lt;&gt;"")),HISTORIAL!$G$3:$G$695),"")</f>
        <v/>
      </c>
      <c r="I697" s="37" t="str">
        <f>IFERROR(LOOKUP(2,1/((HISTORIAL!$O$3:$O$695=D697&amp;"|"&amp;E697)*(HISTORIAL!$F$3:$F$695&lt;&gt;"")),HISTORIAL!$H$3:$H$695),"")</f>
        <v/>
      </c>
      <c r="J697" s="37" t="str">
        <f>IFERROR(LOOKUP(2,1/((HISTORIAL!$O$3:$O$695=D697&amp;"|"&amp;E697)*(HISTORIAL!$F$3:$F$695&lt;&gt;"")),HISTORIAL!$I$3:$I$695),"")</f>
        <v/>
      </c>
      <c r="K697" s="58" t="str">
        <f>IFERROR(IF(OR(G697="",N697="SIN"),"--",IF(N697="SUBIR_F",IF(F697="polea",IFERROR(INDEX(CONFIG!$B$25:$B$40,MATCH(G697,CONFIG!$B$25:$B$40,0)+2),IFERROR(INDEX(CONFIG!$B$25:$B$40,MATCH(G697,CONFIG!$B$25:$B$40,0)+1),G697)),G697+5),IF(OR(N697="SUBIR",N697="SUBIR_E"),IF(F697="polea",IFERROR(INDEX(CONFIG!$B$25:$B$40,MATCH(G697,CONFIG!$B$25:$B$40,0)+1),G697),G697+2.5),IF(N697="BAJAR",IF(F697="polea",IFERROR(INDEX(CONFIG!$B$25:$B$40,MAX(1,MATCH(G697,CONFIG!$B$25:$B$40,0)-1)),G697),MAX(0,G697-2.5)),G697)))),"--")</f>
        <v>--</v>
      </c>
      <c r="L697" s="59" t="str">
        <f>IFERROR(IF(N697="SIN","--",IF(N697="MANT",IF(H697="","--",H697+1),IFERROR(VLOOKUP(CONFIG!$E$2,CONFIG!$A$6:$E$8,2,0),"--"))),"--")</f>
        <v>--</v>
      </c>
      <c r="M697" s="59" t="str">
        <f>IFERROR(IF(N697="SIN","--",IF(CONFIG!$E$2="HIP",2,IF(CONFIG!$E$2="FUE",1,2))),"--")</f>
        <v>--</v>
      </c>
      <c r="N697" s="53" t="str">
        <f>IFERROR(IF(G697="","SIN",IF(O697=1,"SUBIR_E",IF(H697&lt;IFERROR(VLOOKUP(CONFIG!$E$2,CONFIG!$A$6:$E$8,2,0),6),"BAJAR",IF(H697+I697&gt;=IFERROR(VLOOKUP(CONFIG!$E$2,CONFIG!$A$6:$E$8,3,0),12),"SUBIR_F",IF(AND(H697&gt;=IFERROR(VLOOKUP(CONFIG!$E$2,CONFIG!$A$6:$E$8,2,0),6)+2,I697&gt;=2),"SUBIR",IF(I697&gt;IFERROR(VLOOKUP(CONFIG!$E$2,CONFIG!$A$6:$E$8,5,0),3),"SUBIR","MANT")))))),"SIN")</f>
        <v>SIN</v>
      </c>
      <c r="O697" s="55">
        <f>IF(COUNTIFS(HISTORIAL!$O$3:$O$695,D697&amp;"|"&amp;E697,HISTORIAL!$F$3:$F$695,"&gt;0")&lt;2,0,IF(COUNTIFS(HISTORIAL!$O$3:$O$695,D697&amp;"|"&amp;E697,HISTORIAL!$F$3:$F$695,IFERROR(LOOKUP(2,1/((HISTORIAL!$O$3:$O$695=D697&amp;"|"&amp;E697)*(HISTORIAL!$F$3:$F$695&gt;0)),HISTORIAL!$F$3:$F$695),0))&gt;=2,IF(IFERROR(LOOKUP(2,1/((HISTORIAL!$O$3:$O$695=D697&amp;"|"&amp;E697)*(HISTORIAL!$F$3:$F$695&gt;0)),HISTORIAL!$G$3:$G$695),0)&gt;0,IF(F697&gt;0,IF(G697&lt;=IFERROR(LOOKUP(2,1/((HISTORIAL!$O$3:$O$695=D697&amp;"|"&amp;E697)*(HISTORIAL!$F$3:$F$695&gt;0)),HISTORIAL!$G$3:$G$695),0),1,0),0),0),0))</f>
        <v>0</v>
      </c>
    </row>
    <row r="698" spans="1:15" ht="14.1" customHeight="1">
      <c r="A698" s="37">
        <v>12</v>
      </c>
      <c r="B698" s="37" t="s">
        <v>277</v>
      </c>
      <c r="C698" s="37">
        <v>2</v>
      </c>
      <c r="D698" s="56" t="str">
        <f>LUNES!$A$257</f>
        <v>Press Inclinado</v>
      </c>
      <c r="E698" s="57" t="str">
        <f>LUNES!$B$257</f>
        <v>Mancuernas</v>
      </c>
      <c r="F698" s="37" t="str">
        <f>LUNES!$C$257</f>
        <v>mancuerna</v>
      </c>
      <c r="G698" s="37" t="str">
        <f>IFERROR(LOOKUP(2,1/((HISTORIAL!$O$3:$O$696=D698&amp;"|"&amp;E698)*(HISTORIAL!$F$3:$F$696&lt;&gt;"")),HISTORIAL!$F$3:$F$696),"")</f>
        <v/>
      </c>
      <c r="H698" s="37" t="str">
        <f>IFERROR(LOOKUP(2,1/((HISTORIAL!$O$3:$O$696=D698&amp;"|"&amp;E698)*(HISTORIAL!$F$3:$F$696&lt;&gt;"")),HISTORIAL!$G$3:$G$696),"")</f>
        <v/>
      </c>
      <c r="I698" s="37" t="str">
        <f>IFERROR(LOOKUP(2,1/((HISTORIAL!$O$3:$O$696=D698&amp;"|"&amp;E698)*(HISTORIAL!$F$3:$F$696&lt;&gt;"")),HISTORIAL!$H$3:$H$696),"")</f>
        <v/>
      </c>
      <c r="J698" s="37" t="str">
        <f>IFERROR(LOOKUP(2,1/((HISTORIAL!$O$3:$O$696=D698&amp;"|"&amp;E698)*(HISTORIAL!$F$3:$F$696&lt;&gt;"")),HISTORIAL!$I$3:$I$696),"")</f>
        <v/>
      </c>
      <c r="K698" s="58" t="str">
        <f>IFERROR(IF(OR(G698="",N698="SIN"),"--",IF(N698="SUBIR_F",IF(F698="polea",IFERROR(INDEX(CONFIG!$B$25:$B$40,MATCH(G698,CONFIG!$B$25:$B$40,0)+2),IFERROR(INDEX(CONFIG!$B$25:$B$40,MATCH(G698,CONFIG!$B$25:$B$40,0)+1),G698)),G698+5),IF(OR(N698="SUBIR",N698="SUBIR_E"),IF(F698="polea",IFERROR(INDEX(CONFIG!$B$25:$B$40,MATCH(G698,CONFIG!$B$25:$B$40,0)+1),G698),G698+2.5),IF(N698="BAJAR",IF(F698="polea",IFERROR(INDEX(CONFIG!$B$25:$B$40,MAX(1,MATCH(G698,CONFIG!$B$25:$B$40,0)-1)),G698),MAX(0,G698-2.5)),G698)))),"--")</f>
        <v>--</v>
      </c>
      <c r="L698" s="59" t="str">
        <f>IFERROR(IF(N698="SIN","--",IF(N698="MANT",IF(H698="","--",H698+1),IFERROR(VLOOKUP(CONFIG!$E$2,CONFIG!$A$6:$E$8,2,0),"--"))),"--")</f>
        <v>--</v>
      </c>
      <c r="M698" s="59" t="str">
        <f>IFERROR(IF(N698="SIN","--",IF(CONFIG!$E$2="HIP",2,IF(CONFIG!$E$2="FUE",1,2))),"--")</f>
        <v>--</v>
      </c>
      <c r="N698" s="53" t="str">
        <f>IFERROR(IF(G698="","SIN",IF(O698=1,"SUBIR_E",IF(H698&lt;IFERROR(VLOOKUP(CONFIG!$E$2,CONFIG!$A$6:$E$8,2,0),6),"BAJAR",IF(H698+I698&gt;=IFERROR(VLOOKUP(CONFIG!$E$2,CONFIG!$A$6:$E$8,3,0),12),"SUBIR_F",IF(AND(H698&gt;=IFERROR(VLOOKUP(CONFIG!$E$2,CONFIG!$A$6:$E$8,2,0),6)+2,I698&gt;=2),"SUBIR",IF(I698&gt;IFERROR(VLOOKUP(CONFIG!$E$2,CONFIG!$A$6:$E$8,5,0),3),"SUBIR","MANT")))))),"SIN")</f>
        <v>SIN</v>
      </c>
      <c r="O698" s="55">
        <f>IF(COUNTIFS(HISTORIAL!$O$3:$O$696,D698&amp;"|"&amp;E698,HISTORIAL!$F$3:$F$696,"&gt;0")&lt;2,0,IF(COUNTIFS(HISTORIAL!$O$3:$O$696,D698&amp;"|"&amp;E698,HISTORIAL!$F$3:$F$696,IFERROR(LOOKUP(2,1/((HISTORIAL!$O$3:$O$696=D698&amp;"|"&amp;E698)*(HISTORIAL!$F$3:$F$696&gt;0)),HISTORIAL!$F$3:$F$696),0))&gt;=2,IF(IFERROR(LOOKUP(2,1/((HISTORIAL!$O$3:$O$696=D698&amp;"|"&amp;E698)*(HISTORIAL!$F$3:$F$696&gt;0)),HISTORIAL!$G$3:$G$696),0)&gt;0,IF(F698&gt;0,IF(G698&lt;=IFERROR(LOOKUP(2,1/((HISTORIAL!$O$3:$O$696=D698&amp;"|"&amp;E698)*(HISTORIAL!$F$3:$F$696&gt;0)),HISTORIAL!$G$3:$G$696),0),1,0),0),0),0))</f>
        <v>0</v>
      </c>
    </row>
    <row r="699" spans="1:15" ht="14.1" customHeight="1">
      <c r="A699" s="37">
        <v>12</v>
      </c>
      <c r="B699" s="37" t="s">
        <v>277</v>
      </c>
      <c r="C699" s="37">
        <v>3</v>
      </c>
      <c r="D699" s="56" t="str">
        <f>LUNES!$A$259</f>
        <v>Fondos</v>
      </c>
      <c r="E699" s="57" t="str">
        <f>LUNES!$B$259</f>
        <v>Paralelas</v>
      </c>
      <c r="F699" s="37" t="str">
        <f>LUNES!$C$259</f>
        <v>peso_corporal</v>
      </c>
      <c r="G699" s="37">
        <f>IFERROR(LOOKUP(2,1/((HISTORIAL!$O$3:$O$697=D699&amp;"|"&amp;E699)*(HISTORIAL!$F$3:$F$697&lt;&gt;"")),HISTORIAL!$F$3:$F$697),"")</f>
        <v>0</v>
      </c>
      <c r="H699" s="37">
        <f>IFERROR(LOOKUP(2,1/((HISTORIAL!$O$3:$O$697=D699&amp;"|"&amp;E699)*(HISTORIAL!$F$3:$F$697&lt;&gt;"")),HISTORIAL!$G$3:$G$697),"")</f>
        <v>12</v>
      </c>
      <c r="I699" s="37">
        <f>IFERROR(LOOKUP(2,1/((HISTORIAL!$O$3:$O$697=D699&amp;"|"&amp;E699)*(HISTORIAL!$F$3:$F$697&lt;&gt;"")),HISTORIAL!$H$3:$H$697),"")</f>
        <v>0</v>
      </c>
      <c r="J699" s="37" t="str">
        <f>IFERROR(LOOKUP(2,1/((HISTORIAL!$O$3:$O$697=D699&amp;"|"&amp;E699)*(HISTORIAL!$F$3:$F$697&lt;&gt;"")),HISTORIAL!$I$3:$I$697),"")</f>
        <v>B</v>
      </c>
      <c r="K699" s="58">
        <f>IFERROR(IF(OR(G699="",N699="SIN"),"--",IF(N699="SUBIR_F",IF(F699="polea",IFERROR(INDEX(CONFIG!$B$25:$B$40,MATCH(G699,CONFIG!$B$25:$B$40,0)+2),IFERROR(INDEX(CONFIG!$B$25:$B$40,MATCH(G699,CONFIG!$B$25:$B$40,0)+1),G699)),G699+5),IF(OR(N699="SUBIR",N699="SUBIR_E"),IF(F699="polea",IFERROR(INDEX(CONFIG!$B$25:$B$40,MATCH(G699,CONFIG!$B$25:$B$40,0)+1),G699),G699+2.5),IF(N699="BAJAR",IF(F699="polea",IFERROR(INDEX(CONFIG!$B$25:$B$40,MAX(1,MATCH(G699,CONFIG!$B$25:$B$40,0)-1)),G699),MAX(0,G699-2.5)),G699)))),"--")</f>
        <v>5</v>
      </c>
      <c r="L699" s="59">
        <f>IFERROR(IF(N699="SIN","--",IF(N699="MANT",IF(H699="","--",H699+1),IFERROR(VLOOKUP(CONFIG!$E$2,CONFIG!$A$6:$E$8,2,0),"--"))),"--")</f>
        <v>6</v>
      </c>
      <c r="M699" s="59">
        <f>IFERROR(IF(N699="SIN","--",IF(CONFIG!$E$2="HIP",2,IF(CONFIG!$E$2="FUE",1,2))),"--")</f>
        <v>2</v>
      </c>
      <c r="N699" s="53" t="str">
        <f>IFERROR(IF(G699="","SIN",IF(O699=1,"SUBIR_E",IF(H699&lt;IFERROR(VLOOKUP(CONFIG!$E$2,CONFIG!$A$6:$E$8,2,0),6),"BAJAR",IF(H699+I699&gt;=IFERROR(VLOOKUP(CONFIG!$E$2,CONFIG!$A$6:$E$8,3,0),12),"SUBIR_F",IF(AND(H699&gt;=IFERROR(VLOOKUP(CONFIG!$E$2,CONFIG!$A$6:$E$8,2,0),6)+2,I699&gt;=2),"SUBIR",IF(I699&gt;IFERROR(VLOOKUP(CONFIG!$E$2,CONFIG!$A$6:$E$8,5,0),3),"SUBIR","MANT")))))),"SIN")</f>
        <v>SUBIR_F</v>
      </c>
      <c r="O699" s="55">
        <f>IF(COUNTIFS(HISTORIAL!$O$3:$O$697,D699&amp;"|"&amp;E699,HISTORIAL!$F$3:$F$697,"&gt;0")&lt;2,0,IF(COUNTIFS(HISTORIAL!$O$3:$O$697,D699&amp;"|"&amp;E699,HISTORIAL!$F$3:$F$697,IFERROR(LOOKUP(2,1/((HISTORIAL!$O$3:$O$697=D699&amp;"|"&amp;E699)*(HISTORIAL!$F$3:$F$697&gt;0)),HISTORIAL!$F$3:$F$697),0))&gt;=2,IF(IFERROR(LOOKUP(2,1/((HISTORIAL!$O$3:$O$697=D699&amp;"|"&amp;E699)*(HISTORIAL!$F$3:$F$697&gt;0)),HISTORIAL!$G$3:$G$697),0)&gt;0,IF(F699&gt;0,IF(G699&lt;=IFERROR(LOOKUP(2,1/((HISTORIAL!$O$3:$O$697=D699&amp;"|"&amp;E699)*(HISTORIAL!$F$3:$F$697&gt;0)),HISTORIAL!$G$3:$G$697),0),1,0),0),0),0))</f>
        <v>0</v>
      </c>
    </row>
    <row r="700" spans="1:15" ht="14.1" customHeight="1">
      <c r="A700" s="37">
        <v>12</v>
      </c>
      <c r="B700" s="37" t="s">
        <v>277</v>
      </c>
      <c r="C700" s="37">
        <v>4</v>
      </c>
      <c r="D700" s="56" t="str">
        <f>LUNES!$A$260</f>
        <v>Aperturas</v>
      </c>
      <c r="E700" s="57" t="str">
        <f>LUNES!$B$260</f>
        <v>Polea Baja Crossover</v>
      </c>
      <c r="F700" s="37" t="str">
        <f>LUNES!$C$260</f>
        <v>--</v>
      </c>
      <c r="G700" s="37" t="str">
        <f>IFERROR(LOOKUP(2,1/((HISTORIAL!$O$3:$O$698=D700&amp;"|"&amp;E700)*(HISTORIAL!$F$3:$F$698&lt;&gt;"")),HISTORIAL!$F$3:$F$698),"")</f>
        <v/>
      </c>
      <c r="H700" s="37" t="str">
        <f>IFERROR(LOOKUP(2,1/((HISTORIAL!$O$3:$O$698=D700&amp;"|"&amp;E700)*(HISTORIAL!$F$3:$F$698&lt;&gt;"")),HISTORIAL!$G$3:$G$698),"")</f>
        <v/>
      </c>
      <c r="I700" s="37" t="str">
        <f>IFERROR(LOOKUP(2,1/((HISTORIAL!$O$3:$O$698=D700&amp;"|"&amp;E700)*(HISTORIAL!$F$3:$F$698&lt;&gt;"")),HISTORIAL!$H$3:$H$698),"")</f>
        <v/>
      </c>
      <c r="J700" s="37" t="str">
        <f>IFERROR(LOOKUP(2,1/((HISTORIAL!$O$3:$O$698=D700&amp;"|"&amp;E700)*(HISTORIAL!$F$3:$F$698&lt;&gt;"")),HISTORIAL!$I$3:$I$698),"")</f>
        <v/>
      </c>
      <c r="K700" s="58" t="str">
        <f>IFERROR(IF(OR(G700="",N700="SIN"),"--",IF(N700="SUBIR_F",IF(F700="polea",IFERROR(INDEX(CONFIG!$B$25:$B$40,MATCH(G700,CONFIG!$B$25:$B$40,0)+2),IFERROR(INDEX(CONFIG!$B$25:$B$40,MATCH(G700,CONFIG!$B$25:$B$40,0)+1),G700)),G700+5),IF(OR(N700="SUBIR",N700="SUBIR_E"),IF(F700="polea",IFERROR(INDEX(CONFIG!$B$25:$B$40,MATCH(G700,CONFIG!$B$25:$B$40,0)+1),G700),G700+2.5),IF(N700="BAJAR",IF(F700="polea",IFERROR(INDEX(CONFIG!$B$25:$B$40,MAX(1,MATCH(G700,CONFIG!$B$25:$B$40,0)-1)),G700),MAX(0,G700-2.5)),G700)))),"--")</f>
        <v>--</v>
      </c>
      <c r="L700" s="59" t="str">
        <f>IFERROR(IF(N700="SIN","--",IF(N700="MANT",IF(H700="","--",H700+1),IFERROR(VLOOKUP(CONFIG!$E$2,CONFIG!$A$6:$E$8,2,0),"--"))),"--")</f>
        <v>--</v>
      </c>
      <c r="M700" s="59" t="str">
        <f>IFERROR(IF(N700="SIN","--",IF(CONFIG!$E$2="HIP",2,IF(CONFIG!$E$2="FUE",1,2))),"--")</f>
        <v>--</v>
      </c>
      <c r="N700" s="53" t="str">
        <f>IFERROR(IF(G700="","SIN",IF(O700=1,"SUBIR_E",IF(H700&lt;IFERROR(VLOOKUP(CONFIG!$E$2,CONFIG!$A$6:$E$8,2,0),6),"BAJAR",IF(H700+I700&gt;=IFERROR(VLOOKUP(CONFIG!$E$2,CONFIG!$A$6:$E$8,3,0),12),"SUBIR_F",IF(AND(H700&gt;=IFERROR(VLOOKUP(CONFIG!$E$2,CONFIG!$A$6:$E$8,2,0),6)+2,I700&gt;=2),"SUBIR",IF(I700&gt;IFERROR(VLOOKUP(CONFIG!$E$2,CONFIG!$A$6:$E$8,5,0),3),"SUBIR","MANT")))))),"SIN")</f>
        <v>SIN</v>
      </c>
      <c r="O700" s="55">
        <f>IF(COUNTIFS(HISTORIAL!$O$3:$O$698,D700&amp;"|"&amp;E700,HISTORIAL!$F$3:$F$698,"&gt;0")&lt;2,0,IF(COUNTIFS(HISTORIAL!$O$3:$O$698,D700&amp;"|"&amp;E700,HISTORIAL!$F$3:$F$698,IFERROR(LOOKUP(2,1/((HISTORIAL!$O$3:$O$698=D700&amp;"|"&amp;E700)*(HISTORIAL!$F$3:$F$698&gt;0)),HISTORIAL!$F$3:$F$698),0))&gt;=2,IF(IFERROR(LOOKUP(2,1/((HISTORIAL!$O$3:$O$698=D700&amp;"|"&amp;E700)*(HISTORIAL!$F$3:$F$698&gt;0)),HISTORIAL!$G$3:$G$698),0)&gt;0,IF(F700&gt;0,IF(G700&lt;=IFERROR(LOOKUP(2,1/((HISTORIAL!$O$3:$O$698=D700&amp;"|"&amp;E700)*(HISTORIAL!$F$3:$F$698&gt;0)),HISTORIAL!$G$3:$G$698),0),1,0),0),0),0))</f>
        <v>0</v>
      </c>
    </row>
    <row r="701" spans="1:15" ht="14.1" customHeight="1">
      <c r="A701" s="37">
        <v>12</v>
      </c>
      <c r="B701" s="37" t="s">
        <v>277</v>
      </c>
      <c r="C701" s="37">
        <v>5</v>
      </c>
      <c r="D701" s="56" t="str">
        <f>LUNES!$A$261</f>
        <v>Aperturas</v>
      </c>
      <c r="E701" s="57" t="str">
        <f>LUNES!$B$261</f>
        <v>Pec Deck Maquina</v>
      </c>
      <c r="F701" s="37" t="str">
        <f>LUNES!$C$261</f>
        <v>--</v>
      </c>
      <c r="G701" s="37" t="str">
        <f>IFERROR(LOOKUP(2,1/((HISTORIAL!$O$3:$O$699=D701&amp;"|"&amp;E701)*(HISTORIAL!$F$3:$F$699&lt;&gt;"")),HISTORIAL!$F$3:$F$699),"")</f>
        <v/>
      </c>
      <c r="H701" s="37" t="str">
        <f>IFERROR(LOOKUP(2,1/((HISTORIAL!$O$3:$O$699=D701&amp;"|"&amp;E701)*(HISTORIAL!$F$3:$F$699&lt;&gt;"")),HISTORIAL!$G$3:$G$699),"")</f>
        <v/>
      </c>
      <c r="I701" s="37" t="str">
        <f>IFERROR(LOOKUP(2,1/((HISTORIAL!$O$3:$O$699=D701&amp;"|"&amp;E701)*(HISTORIAL!$F$3:$F$699&lt;&gt;"")),HISTORIAL!$H$3:$H$699),"")</f>
        <v/>
      </c>
      <c r="J701" s="37" t="str">
        <f>IFERROR(LOOKUP(2,1/((HISTORIAL!$O$3:$O$699=D701&amp;"|"&amp;E701)*(HISTORIAL!$F$3:$F$699&lt;&gt;"")),HISTORIAL!$I$3:$I$699),"")</f>
        <v/>
      </c>
      <c r="K701" s="58" t="str">
        <f>IFERROR(IF(OR(G701="",N701="SIN"),"--",IF(N701="SUBIR_F",IF(F701="polea",IFERROR(INDEX(CONFIG!$B$25:$B$40,MATCH(G701,CONFIG!$B$25:$B$40,0)+2),IFERROR(INDEX(CONFIG!$B$25:$B$40,MATCH(G701,CONFIG!$B$25:$B$40,0)+1),G701)),G701+5),IF(OR(N701="SUBIR",N701="SUBIR_E"),IF(F701="polea",IFERROR(INDEX(CONFIG!$B$25:$B$40,MATCH(G701,CONFIG!$B$25:$B$40,0)+1),G701),G701+2.5),IF(N701="BAJAR",IF(F701="polea",IFERROR(INDEX(CONFIG!$B$25:$B$40,MAX(1,MATCH(G701,CONFIG!$B$25:$B$40,0)-1)),G701),MAX(0,G701-2.5)),G701)))),"--")</f>
        <v>--</v>
      </c>
      <c r="L701" s="59" t="str">
        <f>IFERROR(IF(N701="SIN","--",IF(N701="MANT",IF(H701="","--",H701+1),IFERROR(VLOOKUP(CONFIG!$E$2,CONFIG!$A$6:$E$8,2,0),"--"))),"--")</f>
        <v>--</v>
      </c>
      <c r="M701" s="59" t="str">
        <f>IFERROR(IF(N701="SIN","--",IF(CONFIG!$E$2="HIP",2,IF(CONFIG!$E$2="FUE",1,2))),"--")</f>
        <v>--</v>
      </c>
      <c r="N701" s="53" t="str">
        <f>IFERROR(IF(G701="","SIN",IF(O701=1,"SUBIR_E",IF(H701&lt;IFERROR(VLOOKUP(CONFIG!$E$2,CONFIG!$A$6:$E$8,2,0),6),"BAJAR",IF(H701+I701&gt;=IFERROR(VLOOKUP(CONFIG!$E$2,CONFIG!$A$6:$E$8,3,0),12),"SUBIR_F",IF(AND(H701&gt;=IFERROR(VLOOKUP(CONFIG!$E$2,CONFIG!$A$6:$E$8,2,0),6)+2,I701&gt;=2),"SUBIR",IF(I701&gt;IFERROR(VLOOKUP(CONFIG!$E$2,CONFIG!$A$6:$E$8,5,0),3),"SUBIR","MANT")))))),"SIN")</f>
        <v>SIN</v>
      </c>
      <c r="O701" s="55">
        <f>IF(COUNTIFS(HISTORIAL!$O$3:$O$699,D701&amp;"|"&amp;E701,HISTORIAL!$F$3:$F$699,"&gt;0")&lt;2,0,IF(COUNTIFS(HISTORIAL!$O$3:$O$699,D701&amp;"|"&amp;E701,HISTORIAL!$F$3:$F$699,IFERROR(LOOKUP(2,1/((HISTORIAL!$O$3:$O$699=D701&amp;"|"&amp;E701)*(HISTORIAL!$F$3:$F$699&gt;0)),HISTORIAL!$F$3:$F$699),0))&gt;=2,IF(IFERROR(LOOKUP(2,1/((HISTORIAL!$O$3:$O$699=D701&amp;"|"&amp;E701)*(HISTORIAL!$F$3:$F$699&gt;0)),HISTORIAL!$G$3:$G$699),0)&gt;0,IF(F701&gt;0,IF(G701&lt;=IFERROR(LOOKUP(2,1/((HISTORIAL!$O$3:$O$699=D701&amp;"|"&amp;E701)*(HISTORIAL!$F$3:$F$699&gt;0)),HISTORIAL!$G$3:$G$699),0),1,0),0),0),0))</f>
        <v>0</v>
      </c>
    </row>
    <row r="702" spans="1:15" ht="14.1" customHeight="1">
      <c r="A702" s="37">
        <v>12</v>
      </c>
      <c r="B702" s="37" t="s">
        <v>277</v>
      </c>
      <c r="C702" s="37">
        <v>6</v>
      </c>
      <c r="D702" s="56" t="str">
        <f>LUNES!$A$263</f>
        <v>Elevaciones Laterales</v>
      </c>
      <c r="E702" s="57" t="str">
        <f>LUNES!$B$263</f>
        <v>Cable Polea Individual</v>
      </c>
      <c r="F702" s="37" t="str">
        <f>LUNES!$C$263</f>
        <v>polea</v>
      </c>
      <c r="G702" s="37" t="str">
        <f>IFERROR(LOOKUP(2,1/((HISTORIAL!$O$3:$O$700=D702&amp;"|"&amp;E702)*(HISTORIAL!$F$3:$F$700&lt;&gt;"")),HISTORIAL!$F$3:$F$700),"")</f>
        <v/>
      </c>
      <c r="H702" s="37" t="str">
        <f>IFERROR(LOOKUP(2,1/((HISTORIAL!$O$3:$O$700=D702&amp;"|"&amp;E702)*(HISTORIAL!$F$3:$F$700&lt;&gt;"")),HISTORIAL!$G$3:$G$700),"")</f>
        <v/>
      </c>
      <c r="I702" s="37" t="str">
        <f>IFERROR(LOOKUP(2,1/((HISTORIAL!$O$3:$O$700=D702&amp;"|"&amp;E702)*(HISTORIAL!$F$3:$F$700&lt;&gt;"")),HISTORIAL!$H$3:$H$700),"")</f>
        <v/>
      </c>
      <c r="J702" s="37" t="str">
        <f>IFERROR(LOOKUP(2,1/((HISTORIAL!$O$3:$O$700=D702&amp;"|"&amp;E702)*(HISTORIAL!$F$3:$F$700&lt;&gt;"")),HISTORIAL!$I$3:$I$700),"")</f>
        <v/>
      </c>
      <c r="K702" s="58" t="str">
        <f>IFERROR(IF(OR(G702="",N702="SIN"),"--",IF(N702="SUBIR_F",IF(F702="polea",IFERROR(INDEX(CONFIG!$B$25:$B$40,MATCH(G702,CONFIG!$B$25:$B$40,0)+2),IFERROR(INDEX(CONFIG!$B$25:$B$40,MATCH(G702,CONFIG!$B$25:$B$40,0)+1),G702)),G702+5),IF(OR(N702="SUBIR",N702="SUBIR_E"),IF(F702="polea",IFERROR(INDEX(CONFIG!$B$25:$B$40,MATCH(G702,CONFIG!$B$25:$B$40,0)+1),G702),G702+2.5),IF(N702="BAJAR",IF(F702="polea",IFERROR(INDEX(CONFIG!$B$25:$B$40,MAX(1,MATCH(G702,CONFIG!$B$25:$B$40,0)-1)),G702),MAX(0,G702-2.5)),G702)))),"--")</f>
        <v>--</v>
      </c>
      <c r="L702" s="59" t="str">
        <f>IFERROR(IF(N702="SIN","--",IF(N702="MANT",IF(H702="","--",H702+1),IFERROR(VLOOKUP(CONFIG!$E$2,CONFIG!$A$6:$E$8,2,0),"--"))),"--")</f>
        <v>--</v>
      </c>
      <c r="M702" s="59" t="str">
        <f>IFERROR(IF(N702="SIN","--",IF(CONFIG!$E$2="HIP",2,IF(CONFIG!$E$2="FUE",1,2))),"--")</f>
        <v>--</v>
      </c>
      <c r="N702" s="53" t="str">
        <f>IFERROR(IF(G702="","SIN",IF(O702=1,"SUBIR_E",IF(H702&lt;IFERROR(VLOOKUP(CONFIG!$E$2,CONFIG!$A$6:$E$8,2,0),6),"BAJAR",IF(H702+I702&gt;=IFERROR(VLOOKUP(CONFIG!$E$2,CONFIG!$A$6:$E$8,3,0),12),"SUBIR_F",IF(AND(H702&gt;=IFERROR(VLOOKUP(CONFIG!$E$2,CONFIG!$A$6:$E$8,2,0),6)+2,I702&gt;=2),"SUBIR",IF(I702&gt;IFERROR(VLOOKUP(CONFIG!$E$2,CONFIG!$A$6:$E$8,5,0),3),"SUBIR","MANT")))))),"SIN")</f>
        <v>SIN</v>
      </c>
      <c r="O702" s="55">
        <f>IF(COUNTIFS(HISTORIAL!$O$3:$O$700,D702&amp;"|"&amp;E702,HISTORIAL!$F$3:$F$700,"&gt;0")&lt;2,0,IF(COUNTIFS(HISTORIAL!$O$3:$O$700,D702&amp;"|"&amp;E702,HISTORIAL!$F$3:$F$700,IFERROR(LOOKUP(2,1/((HISTORIAL!$O$3:$O$700=D702&amp;"|"&amp;E702)*(HISTORIAL!$F$3:$F$700&gt;0)),HISTORIAL!$F$3:$F$700),0))&gt;=2,IF(IFERROR(LOOKUP(2,1/((HISTORIAL!$O$3:$O$700=D702&amp;"|"&amp;E702)*(HISTORIAL!$F$3:$F$700&gt;0)),HISTORIAL!$G$3:$G$700),0)&gt;0,IF(F702&gt;0,IF(G702&lt;=IFERROR(LOOKUP(2,1/((HISTORIAL!$O$3:$O$700=D702&amp;"|"&amp;E702)*(HISTORIAL!$F$3:$F$700&gt;0)),HISTORIAL!$G$3:$G$700),0),1,0),0),0),0))</f>
        <v>0</v>
      </c>
    </row>
    <row r="703" spans="1:15" ht="14.1" customHeight="1">
      <c r="A703" s="37">
        <v>12</v>
      </c>
      <c r="B703" s="37" t="s">
        <v>277</v>
      </c>
      <c r="C703" s="37">
        <v>7</v>
      </c>
      <c r="D703" s="56" t="str">
        <f>LUNES!$A$264</f>
        <v>Press Militar</v>
      </c>
      <c r="E703" s="57" t="str">
        <f>LUNES!$B$264</f>
        <v>Mancuernas Sentado</v>
      </c>
      <c r="F703" s="37" t="str">
        <f>LUNES!$C$264</f>
        <v>mancuerna</v>
      </c>
      <c r="G703" s="37" t="str">
        <f>IFERROR(LOOKUP(2,1/((HISTORIAL!$O$3:$O$701=D703&amp;"|"&amp;E703)*(HISTORIAL!$F$3:$F$701&lt;&gt;"")),HISTORIAL!$F$3:$F$701),"")</f>
        <v/>
      </c>
      <c r="H703" s="37" t="str">
        <f>IFERROR(LOOKUP(2,1/((HISTORIAL!$O$3:$O$701=D703&amp;"|"&amp;E703)*(HISTORIAL!$F$3:$F$701&lt;&gt;"")),HISTORIAL!$G$3:$G$701),"")</f>
        <v/>
      </c>
      <c r="I703" s="37" t="str">
        <f>IFERROR(LOOKUP(2,1/((HISTORIAL!$O$3:$O$701=D703&amp;"|"&amp;E703)*(HISTORIAL!$F$3:$F$701&lt;&gt;"")),HISTORIAL!$H$3:$H$701),"")</f>
        <v/>
      </c>
      <c r="J703" s="37" t="str">
        <f>IFERROR(LOOKUP(2,1/((HISTORIAL!$O$3:$O$701=D703&amp;"|"&amp;E703)*(HISTORIAL!$F$3:$F$701&lt;&gt;"")),HISTORIAL!$I$3:$I$701),"")</f>
        <v/>
      </c>
      <c r="K703" s="58" t="str">
        <f>IFERROR(IF(OR(G703="",N703="SIN"),"--",IF(N703="SUBIR_F",IF(F703="polea",IFERROR(INDEX(CONFIG!$B$25:$B$40,MATCH(G703,CONFIG!$B$25:$B$40,0)+2),IFERROR(INDEX(CONFIG!$B$25:$B$40,MATCH(G703,CONFIG!$B$25:$B$40,0)+1),G703)),G703+5),IF(OR(N703="SUBIR",N703="SUBIR_E"),IF(F703="polea",IFERROR(INDEX(CONFIG!$B$25:$B$40,MATCH(G703,CONFIG!$B$25:$B$40,0)+1),G703),G703+2.5),IF(N703="BAJAR",IF(F703="polea",IFERROR(INDEX(CONFIG!$B$25:$B$40,MAX(1,MATCH(G703,CONFIG!$B$25:$B$40,0)-1)),G703),MAX(0,G703-2.5)),G703)))),"--")</f>
        <v>--</v>
      </c>
      <c r="L703" s="59" t="str">
        <f>IFERROR(IF(N703="SIN","--",IF(N703="MANT",IF(H703="","--",H703+1),IFERROR(VLOOKUP(CONFIG!$E$2,CONFIG!$A$6:$E$8,2,0),"--"))),"--")</f>
        <v>--</v>
      </c>
      <c r="M703" s="59" t="str">
        <f>IFERROR(IF(N703="SIN","--",IF(CONFIG!$E$2="HIP",2,IF(CONFIG!$E$2="FUE",1,2))),"--")</f>
        <v>--</v>
      </c>
      <c r="N703" s="53" t="str">
        <f>IFERROR(IF(G703="","SIN",IF(O703=1,"SUBIR_E",IF(H703&lt;IFERROR(VLOOKUP(CONFIG!$E$2,CONFIG!$A$6:$E$8,2,0),6),"BAJAR",IF(H703+I703&gt;=IFERROR(VLOOKUP(CONFIG!$E$2,CONFIG!$A$6:$E$8,3,0),12),"SUBIR_F",IF(AND(H703&gt;=IFERROR(VLOOKUP(CONFIG!$E$2,CONFIG!$A$6:$E$8,2,0),6)+2,I703&gt;=2),"SUBIR",IF(I703&gt;IFERROR(VLOOKUP(CONFIG!$E$2,CONFIG!$A$6:$E$8,5,0),3),"SUBIR","MANT")))))),"SIN")</f>
        <v>SIN</v>
      </c>
      <c r="O703" s="55">
        <f>IF(COUNTIFS(HISTORIAL!$O$3:$O$701,D703&amp;"|"&amp;E703,HISTORIAL!$F$3:$F$701,"&gt;0")&lt;2,0,IF(COUNTIFS(HISTORIAL!$O$3:$O$701,D703&amp;"|"&amp;E703,HISTORIAL!$F$3:$F$701,IFERROR(LOOKUP(2,1/((HISTORIAL!$O$3:$O$701=D703&amp;"|"&amp;E703)*(HISTORIAL!$F$3:$F$701&gt;0)),HISTORIAL!$F$3:$F$701),0))&gt;=2,IF(IFERROR(LOOKUP(2,1/((HISTORIAL!$O$3:$O$701=D703&amp;"|"&amp;E703)*(HISTORIAL!$F$3:$F$701&gt;0)),HISTORIAL!$G$3:$G$701),0)&gt;0,IF(F703&gt;0,IF(G703&lt;=IFERROR(LOOKUP(2,1/((HISTORIAL!$O$3:$O$701=D703&amp;"|"&amp;E703)*(HISTORIAL!$F$3:$F$701&gt;0)),HISTORIAL!$G$3:$G$701),0),1,0),0),0),0))</f>
        <v>0</v>
      </c>
    </row>
    <row r="704" spans="1:15" ht="14.1" customHeight="1">
      <c r="A704" s="37">
        <v>12</v>
      </c>
      <c r="B704" s="37" t="s">
        <v>277</v>
      </c>
      <c r="C704" s="37">
        <v>8</v>
      </c>
      <c r="D704" s="56" t="str">
        <f>LUNES!$A$266</f>
        <v>Extension Triceps</v>
      </c>
      <c r="E704" s="57" t="str">
        <f>LUNES!$B$266</f>
        <v>Press Neutro Polea Individual</v>
      </c>
      <c r="F704" s="37" t="str">
        <f>LUNES!$C$266</f>
        <v>--</v>
      </c>
      <c r="G704" s="37" t="str">
        <f>IFERROR(LOOKUP(2,1/((HISTORIAL!$O$3:$O$702=D704&amp;"|"&amp;E704)*(HISTORIAL!$F$3:$F$702&lt;&gt;"")),HISTORIAL!$F$3:$F$702),"")</f>
        <v/>
      </c>
      <c r="H704" s="37" t="str">
        <f>IFERROR(LOOKUP(2,1/((HISTORIAL!$O$3:$O$702=D704&amp;"|"&amp;E704)*(HISTORIAL!$F$3:$F$702&lt;&gt;"")),HISTORIAL!$G$3:$G$702),"")</f>
        <v/>
      </c>
      <c r="I704" s="37" t="str">
        <f>IFERROR(LOOKUP(2,1/((HISTORIAL!$O$3:$O$702=D704&amp;"|"&amp;E704)*(HISTORIAL!$F$3:$F$702&lt;&gt;"")),HISTORIAL!$H$3:$H$702),"")</f>
        <v/>
      </c>
      <c r="J704" s="37" t="str">
        <f>IFERROR(LOOKUP(2,1/((HISTORIAL!$O$3:$O$702=D704&amp;"|"&amp;E704)*(HISTORIAL!$F$3:$F$702&lt;&gt;"")),HISTORIAL!$I$3:$I$702),"")</f>
        <v/>
      </c>
      <c r="K704" s="58" t="str">
        <f>IFERROR(IF(OR(G704="",N704="SIN"),"--",IF(N704="SUBIR_F",IF(F704="polea",IFERROR(INDEX(CONFIG!$B$25:$B$40,MATCH(G704,CONFIG!$B$25:$B$40,0)+2),IFERROR(INDEX(CONFIG!$B$25:$B$40,MATCH(G704,CONFIG!$B$25:$B$40,0)+1),G704)),G704+5),IF(OR(N704="SUBIR",N704="SUBIR_E"),IF(F704="polea",IFERROR(INDEX(CONFIG!$B$25:$B$40,MATCH(G704,CONFIG!$B$25:$B$40,0)+1),G704),G704+2.5),IF(N704="BAJAR",IF(F704="polea",IFERROR(INDEX(CONFIG!$B$25:$B$40,MAX(1,MATCH(G704,CONFIG!$B$25:$B$40,0)-1)),G704),MAX(0,G704-2.5)),G704)))),"--")</f>
        <v>--</v>
      </c>
      <c r="L704" s="59" t="str">
        <f>IFERROR(IF(N704="SIN","--",IF(N704="MANT",IF(H704="","--",H704+1),IFERROR(VLOOKUP(CONFIG!$E$2,CONFIG!$A$6:$E$8,2,0),"--"))),"--")</f>
        <v>--</v>
      </c>
      <c r="M704" s="59" t="str">
        <f>IFERROR(IF(N704="SIN","--",IF(CONFIG!$E$2="HIP",2,IF(CONFIG!$E$2="FUE",1,2))),"--")</f>
        <v>--</v>
      </c>
      <c r="N704" s="53" t="str">
        <f>IFERROR(IF(G704="","SIN",IF(O704=1,"SUBIR_E",IF(H704&lt;IFERROR(VLOOKUP(CONFIG!$E$2,CONFIG!$A$6:$E$8,2,0),6),"BAJAR",IF(H704+I704&gt;=IFERROR(VLOOKUP(CONFIG!$E$2,CONFIG!$A$6:$E$8,3,0),12),"SUBIR_F",IF(AND(H704&gt;=IFERROR(VLOOKUP(CONFIG!$E$2,CONFIG!$A$6:$E$8,2,0),6)+2,I704&gt;=2),"SUBIR",IF(I704&gt;IFERROR(VLOOKUP(CONFIG!$E$2,CONFIG!$A$6:$E$8,5,0),3),"SUBIR","MANT")))))),"SIN")</f>
        <v>SIN</v>
      </c>
      <c r="O704" s="55">
        <f>IF(COUNTIFS(HISTORIAL!$O$3:$O$702,D704&amp;"|"&amp;E704,HISTORIAL!$F$3:$F$702,"&gt;0")&lt;2,0,IF(COUNTIFS(HISTORIAL!$O$3:$O$702,D704&amp;"|"&amp;E704,HISTORIAL!$F$3:$F$702,IFERROR(LOOKUP(2,1/((HISTORIAL!$O$3:$O$702=D704&amp;"|"&amp;E704)*(HISTORIAL!$F$3:$F$702&gt;0)),HISTORIAL!$F$3:$F$702),0))&gt;=2,IF(IFERROR(LOOKUP(2,1/((HISTORIAL!$O$3:$O$702=D704&amp;"|"&amp;E704)*(HISTORIAL!$F$3:$F$702&gt;0)),HISTORIAL!$G$3:$G$702),0)&gt;0,IF(F704&gt;0,IF(G704&lt;=IFERROR(LOOKUP(2,1/((HISTORIAL!$O$3:$O$702=D704&amp;"|"&amp;E704)*(HISTORIAL!$F$3:$F$702&gt;0)),HISTORIAL!$G$3:$G$702),0),1,0),0),0),0))</f>
        <v>0</v>
      </c>
    </row>
    <row r="705" spans="1:15" ht="14.1" customHeight="1">
      <c r="A705" s="37">
        <v>12</v>
      </c>
      <c r="B705" s="37" t="s">
        <v>277</v>
      </c>
      <c r="C705" s="37">
        <v>9</v>
      </c>
      <c r="D705" s="56" t="str">
        <f>LUNES!$A$268</f>
        <v>Extension Cuadriceps</v>
      </c>
      <c r="E705" s="57" t="str">
        <f>LUNES!$B$268</f>
        <v>Vasto Externo</v>
      </c>
      <c r="F705" s="37" t="str">
        <f>LUNES!$C$268</f>
        <v>--</v>
      </c>
      <c r="G705" s="37" t="str">
        <f>IFERROR(LOOKUP(2,1/((HISTORIAL!$O$3:$O$703=D705&amp;"|"&amp;E705)*(HISTORIAL!$F$3:$F$703&lt;&gt;"")),HISTORIAL!$F$3:$F$703),"")</f>
        <v/>
      </c>
      <c r="H705" s="37" t="str">
        <f>IFERROR(LOOKUP(2,1/((HISTORIAL!$O$3:$O$703=D705&amp;"|"&amp;E705)*(HISTORIAL!$F$3:$F$703&lt;&gt;"")),HISTORIAL!$G$3:$G$703),"")</f>
        <v/>
      </c>
      <c r="I705" s="37" t="str">
        <f>IFERROR(LOOKUP(2,1/((HISTORIAL!$O$3:$O$703=D705&amp;"|"&amp;E705)*(HISTORIAL!$F$3:$F$703&lt;&gt;"")),HISTORIAL!$H$3:$H$703),"")</f>
        <v/>
      </c>
      <c r="J705" s="37" t="str">
        <f>IFERROR(LOOKUP(2,1/((HISTORIAL!$O$3:$O$703=D705&amp;"|"&amp;E705)*(HISTORIAL!$F$3:$F$703&lt;&gt;"")),HISTORIAL!$I$3:$I$703),"")</f>
        <v/>
      </c>
      <c r="K705" s="58" t="str">
        <f>IFERROR(IF(OR(G705="",N705="SIN"),"--",IF(N705="SUBIR_F",IF(F705="polea",IFERROR(INDEX(CONFIG!$B$25:$B$40,MATCH(G705,CONFIG!$B$25:$B$40,0)+2),IFERROR(INDEX(CONFIG!$B$25:$B$40,MATCH(G705,CONFIG!$B$25:$B$40,0)+1),G705)),G705+5),IF(OR(N705="SUBIR",N705="SUBIR_E"),IF(F705="polea",IFERROR(INDEX(CONFIG!$B$25:$B$40,MATCH(G705,CONFIG!$B$25:$B$40,0)+1),G705),G705+2.5),IF(N705="BAJAR",IF(F705="polea",IFERROR(INDEX(CONFIG!$B$25:$B$40,MAX(1,MATCH(G705,CONFIG!$B$25:$B$40,0)-1)),G705),MAX(0,G705-2.5)),G705)))),"--")</f>
        <v>--</v>
      </c>
      <c r="L705" s="59" t="str">
        <f>IFERROR(IF(N705="SIN","--",IF(N705="MANT",IF(H705="","--",H705+1),IFERROR(VLOOKUP(CONFIG!$E$2,CONFIG!$A$6:$E$8,2,0),"--"))),"--")</f>
        <v>--</v>
      </c>
      <c r="M705" s="59" t="str">
        <f>IFERROR(IF(N705="SIN","--",IF(CONFIG!$E$2="HIP",2,IF(CONFIG!$E$2="FUE",1,2))),"--")</f>
        <v>--</v>
      </c>
      <c r="N705" s="53" t="str">
        <f>IFERROR(IF(G705="","SIN",IF(O705=1,"SUBIR_E",IF(H705&lt;IFERROR(VLOOKUP(CONFIG!$E$2,CONFIG!$A$6:$E$8,2,0),6),"BAJAR",IF(H705+I705&gt;=IFERROR(VLOOKUP(CONFIG!$E$2,CONFIG!$A$6:$E$8,3,0),12),"SUBIR_F",IF(AND(H705&gt;=IFERROR(VLOOKUP(CONFIG!$E$2,CONFIG!$A$6:$E$8,2,0),6)+2,I705&gt;=2),"SUBIR",IF(I705&gt;IFERROR(VLOOKUP(CONFIG!$E$2,CONFIG!$A$6:$E$8,5,0),3),"SUBIR","MANT")))))),"SIN")</f>
        <v>SIN</v>
      </c>
      <c r="O705" s="55">
        <f>IF(COUNTIFS(HISTORIAL!$O$3:$O$703,D705&amp;"|"&amp;E705,HISTORIAL!$F$3:$F$703,"&gt;0")&lt;2,0,IF(COUNTIFS(HISTORIAL!$O$3:$O$703,D705&amp;"|"&amp;E705,HISTORIAL!$F$3:$F$703,IFERROR(LOOKUP(2,1/((HISTORIAL!$O$3:$O$703=D705&amp;"|"&amp;E705)*(HISTORIAL!$F$3:$F$703&gt;0)),HISTORIAL!$F$3:$F$703),0))&gt;=2,IF(IFERROR(LOOKUP(2,1/((HISTORIAL!$O$3:$O$703=D705&amp;"|"&amp;E705)*(HISTORIAL!$F$3:$F$703&gt;0)),HISTORIAL!$G$3:$G$703),0)&gt;0,IF(F705&gt;0,IF(G705&lt;=IFERROR(LOOKUP(2,1/((HISTORIAL!$O$3:$O$703=D705&amp;"|"&amp;E705)*(HISTORIAL!$F$3:$F$703&gt;0)),HISTORIAL!$G$3:$G$703),0),1,0),0),0),0))</f>
        <v>0</v>
      </c>
    </row>
    <row r="706" spans="1:15" ht="14.1" customHeight="1">
      <c r="A706" s="37">
        <v>12</v>
      </c>
      <c r="B706" s="37" t="s">
        <v>277</v>
      </c>
      <c r="C706" s="37">
        <v>10</v>
      </c>
      <c r="D706" s="56" t="str">
        <f>LUNES!$A$270</f>
        <v>Curl Biceps</v>
      </c>
      <c r="E706" s="57" t="str">
        <f>LUNES!$B$270</f>
        <v>Inclinado Banco Mancuernas</v>
      </c>
      <c r="F706" s="37" t="str">
        <f>LUNES!$C$270</f>
        <v>mancuerna</v>
      </c>
      <c r="G706" s="37" t="str">
        <f>IFERROR(LOOKUP(2,1/((HISTORIAL!$O$3:$O$704=D706&amp;"|"&amp;E706)*(HISTORIAL!$F$3:$F$704&lt;&gt;"")),HISTORIAL!$F$3:$F$704),"")</f>
        <v/>
      </c>
      <c r="H706" s="37" t="str">
        <f>IFERROR(LOOKUP(2,1/((HISTORIAL!$O$3:$O$704=D706&amp;"|"&amp;E706)*(HISTORIAL!$F$3:$F$704&lt;&gt;"")),HISTORIAL!$G$3:$G$704),"")</f>
        <v/>
      </c>
      <c r="I706" s="37" t="str">
        <f>IFERROR(LOOKUP(2,1/((HISTORIAL!$O$3:$O$704=D706&amp;"|"&amp;E706)*(HISTORIAL!$F$3:$F$704&lt;&gt;"")),HISTORIAL!$H$3:$H$704),"")</f>
        <v/>
      </c>
      <c r="J706" s="37" t="str">
        <f>IFERROR(LOOKUP(2,1/((HISTORIAL!$O$3:$O$704=D706&amp;"|"&amp;E706)*(HISTORIAL!$F$3:$F$704&lt;&gt;"")),HISTORIAL!$I$3:$I$704),"")</f>
        <v/>
      </c>
      <c r="K706" s="58" t="str">
        <f>IFERROR(IF(OR(G706="",N706="SIN"),"--",IF(N706="SUBIR_F",IF(F706="polea",IFERROR(INDEX(CONFIG!$B$25:$B$40,MATCH(G706,CONFIG!$B$25:$B$40,0)+2),IFERROR(INDEX(CONFIG!$B$25:$B$40,MATCH(G706,CONFIG!$B$25:$B$40,0)+1),G706)),G706+5),IF(OR(N706="SUBIR",N706="SUBIR_E"),IF(F706="polea",IFERROR(INDEX(CONFIG!$B$25:$B$40,MATCH(G706,CONFIG!$B$25:$B$40,0)+1),G706),G706+2.5),IF(N706="BAJAR",IF(F706="polea",IFERROR(INDEX(CONFIG!$B$25:$B$40,MAX(1,MATCH(G706,CONFIG!$B$25:$B$40,0)-1)),G706),MAX(0,G706-2.5)),G706)))),"--")</f>
        <v>--</v>
      </c>
      <c r="L706" s="59" t="str">
        <f>IFERROR(IF(N706="SIN","--",IF(N706="MANT",IF(H706="","--",H706+1),IFERROR(VLOOKUP(CONFIG!$E$2,CONFIG!$A$6:$E$8,2,0),"--"))),"--")</f>
        <v>--</v>
      </c>
      <c r="M706" s="59" t="str">
        <f>IFERROR(IF(N706="SIN","--",IF(CONFIG!$E$2="HIP",2,IF(CONFIG!$E$2="FUE",1,2))),"--")</f>
        <v>--</v>
      </c>
      <c r="N706" s="53" t="str">
        <f>IFERROR(IF(G706="","SIN",IF(O706=1,"SUBIR_E",IF(H706&lt;IFERROR(VLOOKUP(CONFIG!$E$2,CONFIG!$A$6:$E$8,2,0),6),"BAJAR",IF(H706+I706&gt;=IFERROR(VLOOKUP(CONFIG!$E$2,CONFIG!$A$6:$E$8,3,0),12),"SUBIR_F",IF(AND(H706&gt;=IFERROR(VLOOKUP(CONFIG!$E$2,CONFIG!$A$6:$E$8,2,0),6)+2,I706&gt;=2),"SUBIR",IF(I706&gt;IFERROR(VLOOKUP(CONFIG!$E$2,CONFIG!$A$6:$E$8,5,0),3),"SUBIR","MANT")))))),"SIN")</f>
        <v>SIN</v>
      </c>
      <c r="O706" s="55">
        <f>IF(COUNTIFS(HISTORIAL!$O$3:$O$704,D706&amp;"|"&amp;E706,HISTORIAL!$F$3:$F$704,"&gt;0")&lt;2,0,IF(COUNTIFS(HISTORIAL!$O$3:$O$704,D706&amp;"|"&amp;E706,HISTORIAL!$F$3:$F$704,IFERROR(LOOKUP(2,1/((HISTORIAL!$O$3:$O$704=D706&amp;"|"&amp;E706)*(HISTORIAL!$F$3:$F$704&gt;0)),HISTORIAL!$F$3:$F$704),0))&gt;=2,IF(IFERROR(LOOKUP(2,1/((HISTORIAL!$O$3:$O$704=D706&amp;"|"&amp;E706)*(HISTORIAL!$F$3:$F$704&gt;0)),HISTORIAL!$G$3:$G$704),0)&gt;0,IF(F706&gt;0,IF(G706&lt;=IFERROR(LOOKUP(2,1/((HISTORIAL!$O$3:$O$704=D706&amp;"|"&amp;E706)*(HISTORIAL!$F$3:$F$704&gt;0)),HISTORIAL!$G$3:$G$704),0),1,0),0),0),0))</f>
        <v>0</v>
      </c>
    </row>
    <row r="707" spans="1:15" ht="14.1" customHeight="1">
      <c r="A707" s="37">
        <v>12</v>
      </c>
      <c r="B707" s="37" t="s">
        <v>277</v>
      </c>
      <c r="C707" s="37">
        <v>11</v>
      </c>
      <c r="D707" s="56" t="str">
        <f>LUNES!$A$272</f>
        <v>Crunch</v>
      </c>
      <c r="E707" s="57" t="str">
        <f>LUNES!$B$272</f>
        <v>Polea</v>
      </c>
      <c r="F707" s="37" t="str">
        <f>LUNES!$C$272</f>
        <v>polea</v>
      </c>
      <c r="G707" s="37" t="str">
        <f>IFERROR(LOOKUP(2,1/((HISTORIAL!$O$3:$O$705=D707&amp;"|"&amp;E707)*(HISTORIAL!$F$3:$F$705&lt;&gt;"")),HISTORIAL!$F$3:$F$705),"")</f>
        <v/>
      </c>
      <c r="H707" s="37" t="str">
        <f>IFERROR(LOOKUP(2,1/((HISTORIAL!$O$3:$O$705=D707&amp;"|"&amp;E707)*(HISTORIAL!$F$3:$F$705&lt;&gt;"")),HISTORIAL!$G$3:$G$705),"")</f>
        <v/>
      </c>
      <c r="I707" s="37" t="str">
        <f>IFERROR(LOOKUP(2,1/((HISTORIAL!$O$3:$O$705=D707&amp;"|"&amp;E707)*(HISTORIAL!$F$3:$F$705&lt;&gt;"")),HISTORIAL!$H$3:$H$705),"")</f>
        <v/>
      </c>
      <c r="J707" s="37" t="str">
        <f>IFERROR(LOOKUP(2,1/((HISTORIAL!$O$3:$O$705=D707&amp;"|"&amp;E707)*(HISTORIAL!$F$3:$F$705&lt;&gt;"")),HISTORIAL!$I$3:$I$705),"")</f>
        <v/>
      </c>
      <c r="K707" s="58" t="str">
        <f>IFERROR(IF(OR(G707="",N707="SIN"),"--",IF(N707="SUBIR_F",IF(F707="polea",IFERROR(INDEX(CONFIG!$B$25:$B$40,MATCH(G707,CONFIG!$B$25:$B$40,0)+2),IFERROR(INDEX(CONFIG!$B$25:$B$40,MATCH(G707,CONFIG!$B$25:$B$40,0)+1),G707)),G707+5),IF(OR(N707="SUBIR",N707="SUBIR_E"),IF(F707="polea",IFERROR(INDEX(CONFIG!$B$25:$B$40,MATCH(G707,CONFIG!$B$25:$B$40,0)+1),G707),G707+2.5),IF(N707="BAJAR",IF(F707="polea",IFERROR(INDEX(CONFIG!$B$25:$B$40,MAX(1,MATCH(G707,CONFIG!$B$25:$B$40,0)-1)),G707),MAX(0,G707-2.5)),G707)))),"--")</f>
        <v>--</v>
      </c>
      <c r="L707" s="59" t="str">
        <f>IFERROR(IF(N707="SIN","--",IF(N707="MANT",IF(H707="","--",H707+1),IFERROR(VLOOKUP(CONFIG!$E$2,CONFIG!$A$6:$E$8,2,0),"--"))),"--")</f>
        <v>--</v>
      </c>
      <c r="M707" s="59" t="str">
        <f>IFERROR(IF(N707="SIN","--",IF(CONFIG!$E$2="HIP",2,IF(CONFIG!$E$2="FUE",1,2))),"--")</f>
        <v>--</v>
      </c>
      <c r="N707" s="53" t="str">
        <f>IFERROR(IF(G707="","SIN",IF(O707=1,"SUBIR_E",IF(H707&lt;IFERROR(VLOOKUP(CONFIG!$E$2,CONFIG!$A$6:$E$8,2,0),6),"BAJAR",IF(H707+I707&gt;=IFERROR(VLOOKUP(CONFIG!$E$2,CONFIG!$A$6:$E$8,3,0),12),"SUBIR_F",IF(AND(H707&gt;=IFERROR(VLOOKUP(CONFIG!$E$2,CONFIG!$A$6:$E$8,2,0),6)+2,I707&gt;=2),"SUBIR",IF(I707&gt;IFERROR(VLOOKUP(CONFIG!$E$2,CONFIG!$A$6:$E$8,5,0),3),"SUBIR","MANT")))))),"SIN")</f>
        <v>SIN</v>
      </c>
      <c r="O707" s="55">
        <f>IF(COUNTIFS(HISTORIAL!$O$3:$O$705,D707&amp;"|"&amp;E707,HISTORIAL!$F$3:$F$705,"&gt;0")&lt;2,0,IF(COUNTIFS(HISTORIAL!$O$3:$O$705,D707&amp;"|"&amp;E707,HISTORIAL!$F$3:$F$705,IFERROR(LOOKUP(2,1/((HISTORIAL!$O$3:$O$705=D707&amp;"|"&amp;E707)*(HISTORIAL!$F$3:$F$705&gt;0)),HISTORIAL!$F$3:$F$705),0))&gt;=2,IF(IFERROR(LOOKUP(2,1/((HISTORIAL!$O$3:$O$705=D707&amp;"|"&amp;E707)*(HISTORIAL!$F$3:$F$705&gt;0)),HISTORIAL!$G$3:$G$705),0)&gt;0,IF(F707&gt;0,IF(G707&lt;=IFERROR(LOOKUP(2,1/((HISTORIAL!$O$3:$O$705=D707&amp;"|"&amp;E707)*(HISTORIAL!$F$3:$F$705&gt;0)),HISTORIAL!$G$3:$G$705),0),1,0),0),0),0))</f>
        <v>0</v>
      </c>
    </row>
    <row r="708" spans="1:15" ht="14.1" customHeight="1">
      <c r="A708" s="37">
        <v>12</v>
      </c>
      <c r="B708" s="37" t="s">
        <v>278</v>
      </c>
      <c r="C708" s="37">
        <v>1</v>
      </c>
      <c r="D708" s="56" t="str">
        <f>MARTES!$A$244</f>
        <v>Dominadas</v>
      </c>
      <c r="E708" s="57" t="str">
        <f>MARTES!$B$244</f>
        <v>Polea Alta Prono Ancho</v>
      </c>
      <c r="F708" s="37" t="str">
        <f>MARTES!$C$244</f>
        <v>peso_corporal</v>
      </c>
      <c r="G708" s="37" t="str">
        <f>IFERROR(LOOKUP(2,1/((HISTORIAL!$O$3:$O$706=D708&amp;"|"&amp;E708)*(HISTORIAL!$F$3:$F$706&lt;&gt;"")),HISTORIAL!$F$3:$F$706),"")</f>
        <v/>
      </c>
      <c r="H708" s="37" t="str">
        <f>IFERROR(LOOKUP(2,1/((HISTORIAL!$O$3:$O$706=D708&amp;"|"&amp;E708)*(HISTORIAL!$F$3:$F$706&lt;&gt;"")),HISTORIAL!$G$3:$G$706),"")</f>
        <v/>
      </c>
      <c r="I708" s="37" t="str">
        <f>IFERROR(LOOKUP(2,1/((HISTORIAL!$O$3:$O$706=D708&amp;"|"&amp;E708)*(HISTORIAL!$F$3:$F$706&lt;&gt;"")),HISTORIAL!$H$3:$H$706),"")</f>
        <v/>
      </c>
      <c r="J708" s="37" t="str">
        <f>IFERROR(LOOKUP(2,1/((HISTORIAL!$O$3:$O$706=D708&amp;"|"&amp;E708)*(HISTORIAL!$F$3:$F$706&lt;&gt;"")),HISTORIAL!$I$3:$I$706),"")</f>
        <v/>
      </c>
      <c r="K708" s="58" t="str">
        <f>IFERROR(IF(OR(G708="",N708="SIN"),"--",IF(N708="SUBIR_F",IF(F708="polea",IFERROR(INDEX(CONFIG!$B$25:$B$40,MATCH(G708,CONFIG!$B$25:$B$40,0)+2),IFERROR(INDEX(CONFIG!$B$25:$B$40,MATCH(G708,CONFIG!$B$25:$B$40,0)+1),G708)),G708+5),IF(OR(N708="SUBIR",N708="SUBIR_E"),IF(F708="polea",IFERROR(INDEX(CONFIG!$B$25:$B$40,MATCH(G708,CONFIG!$B$25:$B$40,0)+1),G708),G708+2.5),IF(N708="BAJAR",IF(F708="polea",IFERROR(INDEX(CONFIG!$B$25:$B$40,MAX(1,MATCH(G708,CONFIG!$B$25:$B$40,0)-1)),G708),MAX(0,G708-2.5)),G708)))),"--")</f>
        <v>--</v>
      </c>
      <c r="L708" s="59" t="str">
        <f>IFERROR(IF(N708="SIN","--",IF(N708="MANT",IF(H708="","--",H708+1),IFERROR(VLOOKUP(CONFIG!$E$2,CONFIG!$A$6:$E$8,2,0),"--"))),"--")</f>
        <v>--</v>
      </c>
      <c r="M708" s="59" t="str">
        <f>IFERROR(IF(N708="SIN","--",IF(CONFIG!$E$2="HIP",2,IF(CONFIG!$E$2="FUE",1,2))),"--")</f>
        <v>--</v>
      </c>
      <c r="N708" s="53" t="str">
        <f>IFERROR(IF(G708="","SIN",IF(O708=1,"SUBIR_E",IF(H708&lt;IFERROR(VLOOKUP(CONFIG!$E$2,CONFIG!$A$6:$E$8,2,0),6),"BAJAR",IF(H708+I708&gt;=IFERROR(VLOOKUP(CONFIG!$E$2,CONFIG!$A$6:$E$8,3,0),12),"SUBIR_F",IF(AND(H708&gt;=IFERROR(VLOOKUP(CONFIG!$E$2,CONFIG!$A$6:$E$8,2,0),6)+2,I708&gt;=2),"SUBIR",IF(I708&gt;IFERROR(VLOOKUP(CONFIG!$E$2,CONFIG!$A$6:$E$8,5,0),3),"SUBIR","MANT")))))),"SIN")</f>
        <v>SIN</v>
      </c>
      <c r="O708" s="55">
        <f>IF(COUNTIFS(HISTORIAL!$O$3:$O$706,D708&amp;"|"&amp;E708,HISTORIAL!$F$3:$F$706,"&gt;0")&lt;2,0,IF(COUNTIFS(HISTORIAL!$O$3:$O$706,D708&amp;"|"&amp;E708,HISTORIAL!$F$3:$F$706,IFERROR(LOOKUP(2,1/((HISTORIAL!$O$3:$O$706=D708&amp;"|"&amp;E708)*(HISTORIAL!$F$3:$F$706&gt;0)),HISTORIAL!$F$3:$F$706),0))&gt;=2,IF(IFERROR(LOOKUP(2,1/((HISTORIAL!$O$3:$O$706=D708&amp;"|"&amp;E708)*(HISTORIAL!$F$3:$F$706&gt;0)),HISTORIAL!$G$3:$G$706),0)&gt;0,IF(F708&gt;0,IF(G708&lt;=IFERROR(LOOKUP(2,1/((HISTORIAL!$O$3:$O$706=D708&amp;"|"&amp;E708)*(HISTORIAL!$F$3:$F$706&gt;0)),HISTORIAL!$G$3:$G$706),0),1,0),0),0),0))</f>
        <v>0</v>
      </c>
    </row>
    <row r="709" spans="1:15" ht="14.1" customHeight="1">
      <c r="A709" s="37">
        <v>12</v>
      </c>
      <c r="B709" s="37" t="s">
        <v>278</v>
      </c>
      <c r="C709" s="37">
        <v>2</v>
      </c>
      <c r="D709" s="56" t="str">
        <f>MARTES!$A$245</f>
        <v>Pulldown</v>
      </c>
      <c r="E709" s="57" t="str">
        <f>MARTES!$B$245</f>
        <v>Polea Alta Brazos Rectos Prono</v>
      </c>
      <c r="F709" s="37" t="str">
        <f>MARTES!$C$245</f>
        <v>polea</v>
      </c>
      <c r="G709" s="37" t="str">
        <f>IFERROR(LOOKUP(2,1/((HISTORIAL!$O$3:$O$707=D709&amp;"|"&amp;E709)*(HISTORIAL!$F$3:$F$707&lt;&gt;"")),HISTORIAL!$F$3:$F$707),"")</f>
        <v/>
      </c>
      <c r="H709" s="37" t="str">
        <f>IFERROR(LOOKUP(2,1/((HISTORIAL!$O$3:$O$707=D709&amp;"|"&amp;E709)*(HISTORIAL!$F$3:$F$707&lt;&gt;"")),HISTORIAL!$G$3:$G$707),"")</f>
        <v/>
      </c>
      <c r="I709" s="37" t="str">
        <f>IFERROR(LOOKUP(2,1/((HISTORIAL!$O$3:$O$707=D709&amp;"|"&amp;E709)*(HISTORIAL!$F$3:$F$707&lt;&gt;"")),HISTORIAL!$H$3:$H$707),"")</f>
        <v/>
      </c>
      <c r="J709" s="37" t="str">
        <f>IFERROR(LOOKUP(2,1/((HISTORIAL!$O$3:$O$707=D709&amp;"|"&amp;E709)*(HISTORIAL!$F$3:$F$707&lt;&gt;"")),HISTORIAL!$I$3:$I$707),"")</f>
        <v/>
      </c>
      <c r="K709" s="58" t="str">
        <f>IFERROR(IF(OR(G709="",N709="SIN"),"--",IF(N709="SUBIR_F",IF(F709="polea",IFERROR(INDEX(CONFIG!$B$25:$B$40,MATCH(G709,CONFIG!$B$25:$B$40,0)+2),IFERROR(INDEX(CONFIG!$B$25:$B$40,MATCH(G709,CONFIG!$B$25:$B$40,0)+1),G709)),G709+5),IF(OR(N709="SUBIR",N709="SUBIR_E"),IF(F709="polea",IFERROR(INDEX(CONFIG!$B$25:$B$40,MATCH(G709,CONFIG!$B$25:$B$40,0)+1),G709),G709+2.5),IF(N709="BAJAR",IF(F709="polea",IFERROR(INDEX(CONFIG!$B$25:$B$40,MAX(1,MATCH(G709,CONFIG!$B$25:$B$40,0)-1)),G709),MAX(0,G709-2.5)),G709)))),"--")</f>
        <v>--</v>
      </c>
      <c r="L709" s="59" t="str">
        <f>IFERROR(IF(N709="SIN","--",IF(N709="MANT",IF(H709="","--",H709+1),IFERROR(VLOOKUP(CONFIG!$E$2,CONFIG!$A$6:$E$8,2,0),"--"))),"--")</f>
        <v>--</v>
      </c>
      <c r="M709" s="59" t="str">
        <f>IFERROR(IF(N709="SIN","--",IF(CONFIG!$E$2="HIP",2,IF(CONFIG!$E$2="FUE",1,2))),"--")</f>
        <v>--</v>
      </c>
      <c r="N709" s="53" t="str">
        <f>IFERROR(IF(G709="","SIN",IF(O709=1,"SUBIR_E",IF(H709&lt;IFERROR(VLOOKUP(CONFIG!$E$2,CONFIG!$A$6:$E$8,2,0),6),"BAJAR",IF(H709+I709&gt;=IFERROR(VLOOKUP(CONFIG!$E$2,CONFIG!$A$6:$E$8,3,0),12),"SUBIR_F",IF(AND(H709&gt;=IFERROR(VLOOKUP(CONFIG!$E$2,CONFIG!$A$6:$E$8,2,0),6)+2,I709&gt;=2),"SUBIR",IF(I709&gt;IFERROR(VLOOKUP(CONFIG!$E$2,CONFIG!$A$6:$E$8,5,0),3),"SUBIR","MANT")))))),"SIN")</f>
        <v>SIN</v>
      </c>
      <c r="O709" s="55">
        <f>IF(COUNTIFS(HISTORIAL!$O$3:$O$707,D709&amp;"|"&amp;E709,HISTORIAL!$F$3:$F$707,"&gt;0")&lt;2,0,IF(COUNTIFS(HISTORIAL!$O$3:$O$707,D709&amp;"|"&amp;E709,HISTORIAL!$F$3:$F$707,IFERROR(LOOKUP(2,1/((HISTORIAL!$O$3:$O$707=D709&amp;"|"&amp;E709)*(HISTORIAL!$F$3:$F$707&gt;0)),HISTORIAL!$F$3:$F$707),0))&gt;=2,IF(IFERROR(LOOKUP(2,1/((HISTORIAL!$O$3:$O$707=D709&amp;"|"&amp;E709)*(HISTORIAL!$F$3:$F$707&gt;0)),HISTORIAL!$G$3:$G$707),0)&gt;0,IF(F709&gt;0,IF(G709&lt;=IFERROR(LOOKUP(2,1/((HISTORIAL!$O$3:$O$707=D709&amp;"|"&amp;E709)*(HISTORIAL!$F$3:$F$707&gt;0)),HISTORIAL!$G$3:$G$707),0),1,0),0),0),0))</f>
        <v>0</v>
      </c>
    </row>
    <row r="710" spans="1:15" ht="14.1" customHeight="1">
      <c r="A710" s="37">
        <v>12</v>
      </c>
      <c r="B710" s="37" t="s">
        <v>278</v>
      </c>
      <c r="C710" s="37">
        <v>3</v>
      </c>
      <c r="D710" s="56" t="str">
        <f>MARTES!$A$247</f>
        <v>Remo</v>
      </c>
      <c r="E710" s="57" t="str">
        <f>MARTES!$B$247</f>
        <v>Maquina Hammer Neutro Unilateral</v>
      </c>
      <c r="F710" s="37" t="str">
        <f>MARTES!$C$247</f>
        <v>polea</v>
      </c>
      <c r="G710" s="37" t="str">
        <f>IFERROR(LOOKUP(2,1/((HISTORIAL!$O$3:$O$708=D710&amp;"|"&amp;E710)*(HISTORIAL!$F$3:$F$708&lt;&gt;"")),HISTORIAL!$F$3:$F$708),"")</f>
        <v/>
      </c>
      <c r="H710" s="37" t="str">
        <f>IFERROR(LOOKUP(2,1/((HISTORIAL!$O$3:$O$708=D710&amp;"|"&amp;E710)*(HISTORIAL!$F$3:$F$708&lt;&gt;"")),HISTORIAL!$G$3:$G$708),"")</f>
        <v/>
      </c>
      <c r="I710" s="37" t="str">
        <f>IFERROR(LOOKUP(2,1/((HISTORIAL!$O$3:$O$708=D710&amp;"|"&amp;E710)*(HISTORIAL!$F$3:$F$708&lt;&gt;"")),HISTORIAL!$H$3:$H$708),"")</f>
        <v/>
      </c>
      <c r="J710" s="37" t="str">
        <f>IFERROR(LOOKUP(2,1/((HISTORIAL!$O$3:$O$708=D710&amp;"|"&amp;E710)*(HISTORIAL!$F$3:$F$708&lt;&gt;"")),HISTORIAL!$I$3:$I$708),"")</f>
        <v/>
      </c>
      <c r="K710" s="58" t="str">
        <f>IFERROR(IF(OR(G710="",N710="SIN"),"--",IF(N710="SUBIR_F",IF(F710="polea",IFERROR(INDEX(CONFIG!$B$25:$B$40,MATCH(G710,CONFIG!$B$25:$B$40,0)+2),IFERROR(INDEX(CONFIG!$B$25:$B$40,MATCH(G710,CONFIG!$B$25:$B$40,0)+1),G710)),G710+5),IF(OR(N710="SUBIR",N710="SUBIR_E"),IF(F710="polea",IFERROR(INDEX(CONFIG!$B$25:$B$40,MATCH(G710,CONFIG!$B$25:$B$40,0)+1),G710),G710+2.5),IF(N710="BAJAR",IF(F710="polea",IFERROR(INDEX(CONFIG!$B$25:$B$40,MAX(1,MATCH(G710,CONFIG!$B$25:$B$40,0)-1)),G710),MAX(0,G710-2.5)),G710)))),"--")</f>
        <v>--</v>
      </c>
      <c r="L710" s="59" t="str">
        <f>IFERROR(IF(N710="SIN","--",IF(N710="MANT",IF(H710="","--",H710+1),IFERROR(VLOOKUP(CONFIG!$E$2,CONFIG!$A$6:$E$8,2,0),"--"))),"--")</f>
        <v>--</v>
      </c>
      <c r="M710" s="59" t="str">
        <f>IFERROR(IF(N710="SIN","--",IF(CONFIG!$E$2="HIP",2,IF(CONFIG!$E$2="FUE",1,2))),"--")</f>
        <v>--</v>
      </c>
      <c r="N710" s="53" t="str">
        <f>IFERROR(IF(G710="","SIN",IF(O710=1,"SUBIR_E",IF(H710&lt;IFERROR(VLOOKUP(CONFIG!$E$2,CONFIG!$A$6:$E$8,2,0),6),"BAJAR",IF(H710+I710&gt;=IFERROR(VLOOKUP(CONFIG!$E$2,CONFIG!$A$6:$E$8,3,0),12),"SUBIR_F",IF(AND(H710&gt;=IFERROR(VLOOKUP(CONFIG!$E$2,CONFIG!$A$6:$E$8,2,0),6)+2,I710&gt;=2),"SUBIR",IF(I710&gt;IFERROR(VLOOKUP(CONFIG!$E$2,CONFIG!$A$6:$E$8,5,0),3),"SUBIR","MANT")))))),"SIN")</f>
        <v>SIN</v>
      </c>
      <c r="O710" s="55">
        <f>IF(COUNTIFS(HISTORIAL!$O$3:$O$708,D710&amp;"|"&amp;E710,HISTORIAL!$F$3:$F$708,"&gt;0")&lt;2,0,IF(COUNTIFS(HISTORIAL!$O$3:$O$708,D710&amp;"|"&amp;E710,HISTORIAL!$F$3:$F$708,IFERROR(LOOKUP(2,1/((HISTORIAL!$O$3:$O$708=D710&amp;"|"&amp;E710)*(HISTORIAL!$F$3:$F$708&gt;0)),HISTORIAL!$F$3:$F$708),0))&gt;=2,IF(IFERROR(LOOKUP(2,1/((HISTORIAL!$O$3:$O$708=D710&amp;"|"&amp;E710)*(HISTORIAL!$F$3:$F$708&gt;0)),HISTORIAL!$G$3:$G$708),0)&gt;0,IF(F710&gt;0,IF(G710&lt;=IFERROR(LOOKUP(2,1/((HISTORIAL!$O$3:$O$708=D710&amp;"|"&amp;E710)*(HISTORIAL!$F$3:$F$708&gt;0)),HISTORIAL!$G$3:$G$708),0),1,0),0),0),0))</f>
        <v>0</v>
      </c>
    </row>
    <row r="711" spans="1:15" ht="14.1" customHeight="1">
      <c r="A711" s="37">
        <v>12</v>
      </c>
      <c r="B711" s="37" t="s">
        <v>278</v>
      </c>
      <c r="C711" s="37">
        <v>4</v>
      </c>
      <c r="D711" s="56" t="str">
        <f>MARTES!$A$248</f>
        <v>Remo</v>
      </c>
      <c r="E711" s="57" t="str">
        <f>MARTES!$B$248</f>
        <v>Maquina Prono</v>
      </c>
      <c r="F711" s="37" t="str">
        <f>MARTES!$C$248</f>
        <v>polea</v>
      </c>
      <c r="G711" s="37" t="str">
        <f>IFERROR(LOOKUP(2,1/((HISTORIAL!$O$3:$O$709=D711&amp;"|"&amp;E711)*(HISTORIAL!$F$3:$F$709&lt;&gt;"")),HISTORIAL!$F$3:$F$709),"")</f>
        <v/>
      </c>
      <c r="H711" s="37" t="str">
        <f>IFERROR(LOOKUP(2,1/((HISTORIAL!$O$3:$O$709=D711&amp;"|"&amp;E711)*(HISTORIAL!$F$3:$F$709&lt;&gt;"")),HISTORIAL!$G$3:$G$709),"")</f>
        <v/>
      </c>
      <c r="I711" s="37" t="str">
        <f>IFERROR(LOOKUP(2,1/((HISTORIAL!$O$3:$O$709=D711&amp;"|"&amp;E711)*(HISTORIAL!$F$3:$F$709&lt;&gt;"")),HISTORIAL!$H$3:$H$709),"")</f>
        <v/>
      </c>
      <c r="J711" s="37" t="str">
        <f>IFERROR(LOOKUP(2,1/((HISTORIAL!$O$3:$O$709=D711&amp;"|"&amp;E711)*(HISTORIAL!$F$3:$F$709&lt;&gt;"")),HISTORIAL!$I$3:$I$709),"")</f>
        <v/>
      </c>
      <c r="K711" s="58" t="str">
        <f>IFERROR(IF(OR(G711="",N711="SIN"),"--",IF(N711="SUBIR_F",IF(F711="polea",IFERROR(INDEX(CONFIG!$B$25:$B$40,MATCH(G711,CONFIG!$B$25:$B$40,0)+2),IFERROR(INDEX(CONFIG!$B$25:$B$40,MATCH(G711,CONFIG!$B$25:$B$40,0)+1),G711)),G711+5),IF(OR(N711="SUBIR",N711="SUBIR_E"),IF(F711="polea",IFERROR(INDEX(CONFIG!$B$25:$B$40,MATCH(G711,CONFIG!$B$25:$B$40,0)+1),G711),G711+2.5),IF(N711="BAJAR",IF(F711="polea",IFERROR(INDEX(CONFIG!$B$25:$B$40,MAX(1,MATCH(G711,CONFIG!$B$25:$B$40,0)-1)),G711),MAX(0,G711-2.5)),G711)))),"--")</f>
        <v>--</v>
      </c>
      <c r="L711" s="59" t="str">
        <f>IFERROR(IF(N711="SIN","--",IF(N711="MANT",IF(H711="","--",H711+1),IFERROR(VLOOKUP(CONFIG!$E$2,CONFIG!$A$6:$E$8,2,0),"--"))),"--")</f>
        <v>--</v>
      </c>
      <c r="M711" s="59" t="str">
        <f>IFERROR(IF(N711="SIN","--",IF(CONFIG!$E$2="HIP",2,IF(CONFIG!$E$2="FUE",1,2))),"--")</f>
        <v>--</v>
      </c>
      <c r="N711" s="53" t="str">
        <f>IFERROR(IF(G711="","SIN",IF(O711=1,"SUBIR_E",IF(H711&lt;IFERROR(VLOOKUP(CONFIG!$E$2,CONFIG!$A$6:$E$8,2,0),6),"BAJAR",IF(H711+I711&gt;=IFERROR(VLOOKUP(CONFIG!$E$2,CONFIG!$A$6:$E$8,3,0),12),"SUBIR_F",IF(AND(H711&gt;=IFERROR(VLOOKUP(CONFIG!$E$2,CONFIG!$A$6:$E$8,2,0),6)+2,I711&gt;=2),"SUBIR",IF(I711&gt;IFERROR(VLOOKUP(CONFIG!$E$2,CONFIG!$A$6:$E$8,5,0),3),"SUBIR","MANT")))))),"SIN")</f>
        <v>SIN</v>
      </c>
      <c r="O711" s="55">
        <f>IF(COUNTIFS(HISTORIAL!$O$3:$O$709,D711&amp;"|"&amp;E711,HISTORIAL!$F$3:$F$709,"&gt;0")&lt;2,0,IF(COUNTIFS(HISTORIAL!$O$3:$O$709,D711&amp;"|"&amp;E711,HISTORIAL!$F$3:$F$709,IFERROR(LOOKUP(2,1/((HISTORIAL!$O$3:$O$709=D711&amp;"|"&amp;E711)*(HISTORIAL!$F$3:$F$709&gt;0)),HISTORIAL!$F$3:$F$709),0))&gt;=2,IF(IFERROR(LOOKUP(2,1/((HISTORIAL!$O$3:$O$709=D711&amp;"|"&amp;E711)*(HISTORIAL!$F$3:$F$709&gt;0)),HISTORIAL!$G$3:$G$709),0)&gt;0,IF(F711&gt;0,IF(G711&lt;=IFERROR(LOOKUP(2,1/((HISTORIAL!$O$3:$O$709=D711&amp;"|"&amp;E711)*(HISTORIAL!$F$3:$F$709&gt;0)),HISTORIAL!$G$3:$G$709),0),1,0),0),0),0))</f>
        <v>0</v>
      </c>
    </row>
    <row r="712" spans="1:15" ht="14.1" customHeight="1">
      <c r="A712" s="37">
        <v>12</v>
      </c>
      <c r="B712" s="37" t="s">
        <v>278</v>
      </c>
      <c r="C712" s="37">
        <v>5</v>
      </c>
      <c r="D712" s="56" t="str">
        <f>MARTES!$A$250</f>
        <v>Curl Biceps</v>
      </c>
      <c r="E712" s="57" t="str">
        <f>MARTES!$B$250</f>
        <v>Inclinado Banco Mancuernas</v>
      </c>
      <c r="F712" s="37" t="str">
        <f>MARTES!$C$250</f>
        <v>mancuerna</v>
      </c>
      <c r="G712" s="37" t="str">
        <f>IFERROR(LOOKUP(2,1/((HISTORIAL!$O$3:$O$710=D712&amp;"|"&amp;E712)*(HISTORIAL!$F$3:$F$710&lt;&gt;"")),HISTORIAL!$F$3:$F$710),"")</f>
        <v/>
      </c>
      <c r="H712" s="37" t="str">
        <f>IFERROR(LOOKUP(2,1/((HISTORIAL!$O$3:$O$710=D712&amp;"|"&amp;E712)*(HISTORIAL!$F$3:$F$710&lt;&gt;"")),HISTORIAL!$G$3:$G$710),"")</f>
        <v/>
      </c>
      <c r="I712" s="37" t="str">
        <f>IFERROR(LOOKUP(2,1/((HISTORIAL!$O$3:$O$710=D712&amp;"|"&amp;E712)*(HISTORIAL!$F$3:$F$710&lt;&gt;"")),HISTORIAL!$H$3:$H$710),"")</f>
        <v/>
      </c>
      <c r="J712" s="37" t="str">
        <f>IFERROR(LOOKUP(2,1/((HISTORIAL!$O$3:$O$710=D712&amp;"|"&amp;E712)*(HISTORIAL!$F$3:$F$710&lt;&gt;"")),HISTORIAL!$I$3:$I$710),"")</f>
        <v/>
      </c>
      <c r="K712" s="58" t="str">
        <f>IFERROR(IF(OR(G712="",N712="SIN"),"--",IF(N712="SUBIR_F",IF(F712="polea",IFERROR(INDEX(CONFIG!$B$25:$B$40,MATCH(G712,CONFIG!$B$25:$B$40,0)+2),IFERROR(INDEX(CONFIG!$B$25:$B$40,MATCH(G712,CONFIG!$B$25:$B$40,0)+1),G712)),G712+5),IF(OR(N712="SUBIR",N712="SUBIR_E"),IF(F712="polea",IFERROR(INDEX(CONFIG!$B$25:$B$40,MATCH(G712,CONFIG!$B$25:$B$40,0)+1),G712),G712+2.5),IF(N712="BAJAR",IF(F712="polea",IFERROR(INDEX(CONFIG!$B$25:$B$40,MAX(1,MATCH(G712,CONFIG!$B$25:$B$40,0)-1)),G712),MAX(0,G712-2.5)),G712)))),"--")</f>
        <v>--</v>
      </c>
      <c r="L712" s="59" t="str">
        <f>IFERROR(IF(N712="SIN","--",IF(N712="MANT",IF(H712="","--",H712+1),IFERROR(VLOOKUP(CONFIG!$E$2,CONFIG!$A$6:$E$8,2,0),"--"))),"--")</f>
        <v>--</v>
      </c>
      <c r="M712" s="59" t="str">
        <f>IFERROR(IF(N712="SIN","--",IF(CONFIG!$E$2="HIP",2,IF(CONFIG!$E$2="FUE",1,2))),"--")</f>
        <v>--</v>
      </c>
      <c r="N712" s="53" t="str">
        <f>IFERROR(IF(G712="","SIN",IF(O712=1,"SUBIR_E",IF(H712&lt;IFERROR(VLOOKUP(CONFIG!$E$2,CONFIG!$A$6:$E$8,2,0),6),"BAJAR",IF(H712+I712&gt;=IFERROR(VLOOKUP(CONFIG!$E$2,CONFIG!$A$6:$E$8,3,0),12),"SUBIR_F",IF(AND(H712&gt;=IFERROR(VLOOKUP(CONFIG!$E$2,CONFIG!$A$6:$E$8,2,0),6)+2,I712&gt;=2),"SUBIR",IF(I712&gt;IFERROR(VLOOKUP(CONFIG!$E$2,CONFIG!$A$6:$E$8,5,0),3),"SUBIR","MANT")))))),"SIN")</f>
        <v>SIN</v>
      </c>
      <c r="O712" s="55">
        <f>IF(COUNTIFS(HISTORIAL!$O$3:$O$710,D712&amp;"|"&amp;E712,HISTORIAL!$F$3:$F$710,"&gt;0")&lt;2,0,IF(COUNTIFS(HISTORIAL!$O$3:$O$710,D712&amp;"|"&amp;E712,HISTORIAL!$F$3:$F$710,IFERROR(LOOKUP(2,1/((HISTORIAL!$O$3:$O$710=D712&amp;"|"&amp;E712)*(HISTORIAL!$F$3:$F$710&gt;0)),HISTORIAL!$F$3:$F$710),0))&gt;=2,IF(IFERROR(LOOKUP(2,1/((HISTORIAL!$O$3:$O$710=D712&amp;"|"&amp;E712)*(HISTORIAL!$F$3:$F$710&gt;0)),HISTORIAL!$G$3:$G$710),0)&gt;0,IF(F712&gt;0,IF(G712&lt;=IFERROR(LOOKUP(2,1/((HISTORIAL!$O$3:$O$710=D712&amp;"|"&amp;E712)*(HISTORIAL!$F$3:$F$710&gt;0)),HISTORIAL!$G$3:$G$710),0),1,0),0),0),0))</f>
        <v>0</v>
      </c>
    </row>
    <row r="713" spans="1:15" ht="14.1" customHeight="1">
      <c r="A713" s="37">
        <v>12</v>
      </c>
      <c r="B713" s="37" t="s">
        <v>278</v>
      </c>
      <c r="C713" s="37">
        <v>6</v>
      </c>
      <c r="D713" s="56" t="str">
        <f>MARTES!$A$251</f>
        <v>Curl Biceps</v>
      </c>
      <c r="E713" s="57" t="str">
        <f>MARTES!$B$251</f>
        <v>Polea Baja Supino</v>
      </c>
      <c r="F713" s="37" t="str">
        <f>MARTES!$C$251</f>
        <v>polea</v>
      </c>
      <c r="G713" s="37" t="str">
        <f>IFERROR(LOOKUP(2,1/((HISTORIAL!$O$3:$O$711=D713&amp;"|"&amp;E713)*(HISTORIAL!$F$3:$F$711&lt;&gt;"")),HISTORIAL!$F$3:$F$711),"")</f>
        <v/>
      </c>
      <c r="H713" s="37" t="str">
        <f>IFERROR(LOOKUP(2,1/((HISTORIAL!$O$3:$O$711=D713&amp;"|"&amp;E713)*(HISTORIAL!$F$3:$F$711&lt;&gt;"")),HISTORIAL!$G$3:$G$711),"")</f>
        <v/>
      </c>
      <c r="I713" s="37" t="str">
        <f>IFERROR(LOOKUP(2,1/((HISTORIAL!$O$3:$O$711=D713&amp;"|"&amp;E713)*(HISTORIAL!$F$3:$F$711&lt;&gt;"")),HISTORIAL!$H$3:$H$711),"")</f>
        <v/>
      </c>
      <c r="J713" s="37" t="str">
        <f>IFERROR(LOOKUP(2,1/((HISTORIAL!$O$3:$O$711=D713&amp;"|"&amp;E713)*(HISTORIAL!$F$3:$F$711&lt;&gt;"")),HISTORIAL!$I$3:$I$711),"")</f>
        <v/>
      </c>
      <c r="K713" s="58" t="str">
        <f>IFERROR(IF(OR(G713="",N713="SIN"),"--",IF(N713="SUBIR_F",IF(F713="polea",IFERROR(INDEX(CONFIG!$B$25:$B$40,MATCH(G713,CONFIG!$B$25:$B$40,0)+2),IFERROR(INDEX(CONFIG!$B$25:$B$40,MATCH(G713,CONFIG!$B$25:$B$40,0)+1),G713)),G713+5),IF(OR(N713="SUBIR",N713="SUBIR_E"),IF(F713="polea",IFERROR(INDEX(CONFIG!$B$25:$B$40,MATCH(G713,CONFIG!$B$25:$B$40,0)+1),G713),G713+2.5),IF(N713="BAJAR",IF(F713="polea",IFERROR(INDEX(CONFIG!$B$25:$B$40,MAX(1,MATCH(G713,CONFIG!$B$25:$B$40,0)-1)),G713),MAX(0,G713-2.5)),G713)))),"--")</f>
        <v>--</v>
      </c>
      <c r="L713" s="59" t="str">
        <f>IFERROR(IF(N713="SIN","--",IF(N713="MANT",IF(H713="","--",H713+1),IFERROR(VLOOKUP(CONFIG!$E$2,CONFIG!$A$6:$E$8,2,0),"--"))),"--")</f>
        <v>--</v>
      </c>
      <c r="M713" s="59" t="str">
        <f>IFERROR(IF(N713="SIN","--",IF(CONFIG!$E$2="HIP",2,IF(CONFIG!$E$2="FUE",1,2))),"--")</f>
        <v>--</v>
      </c>
      <c r="N713" s="53" t="str">
        <f>IFERROR(IF(G713="","SIN",IF(O713=1,"SUBIR_E",IF(H713&lt;IFERROR(VLOOKUP(CONFIG!$E$2,CONFIG!$A$6:$E$8,2,0),6),"BAJAR",IF(H713+I713&gt;=IFERROR(VLOOKUP(CONFIG!$E$2,CONFIG!$A$6:$E$8,3,0),12),"SUBIR_F",IF(AND(H713&gt;=IFERROR(VLOOKUP(CONFIG!$E$2,CONFIG!$A$6:$E$8,2,0),6)+2,I713&gt;=2),"SUBIR",IF(I713&gt;IFERROR(VLOOKUP(CONFIG!$E$2,CONFIG!$A$6:$E$8,5,0),3),"SUBIR","MANT")))))),"SIN")</f>
        <v>SIN</v>
      </c>
      <c r="O713" s="55">
        <f>IF(COUNTIFS(HISTORIAL!$O$3:$O$711,D713&amp;"|"&amp;E713,HISTORIAL!$F$3:$F$711,"&gt;0")&lt;2,0,IF(COUNTIFS(HISTORIAL!$O$3:$O$711,D713&amp;"|"&amp;E713,HISTORIAL!$F$3:$F$711,IFERROR(LOOKUP(2,1/((HISTORIAL!$O$3:$O$711=D713&amp;"|"&amp;E713)*(HISTORIAL!$F$3:$F$711&gt;0)),HISTORIAL!$F$3:$F$711),0))&gt;=2,IF(IFERROR(LOOKUP(2,1/((HISTORIAL!$O$3:$O$711=D713&amp;"|"&amp;E713)*(HISTORIAL!$F$3:$F$711&gt;0)),HISTORIAL!$G$3:$G$711),0)&gt;0,IF(F713&gt;0,IF(G713&lt;=IFERROR(LOOKUP(2,1/((HISTORIAL!$O$3:$O$711=D713&amp;"|"&amp;E713)*(HISTORIAL!$F$3:$F$711&gt;0)),HISTORIAL!$G$3:$G$711),0),1,0),0),0),0))</f>
        <v>0</v>
      </c>
    </row>
    <row r="714" spans="1:15" ht="14.1" customHeight="1">
      <c r="A714" s="37">
        <v>12</v>
      </c>
      <c r="B714" s="37" t="s">
        <v>278</v>
      </c>
      <c r="C714" s="37">
        <v>7</v>
      </c>
      <c r="D714" s="56" t="str">
        <f>MARTES!$A$253</f>
        <v>Curl Muneca</v>
      </c>
      <c r="E714" s="57" t="str">
        <f>MARTES!$B$253</f>
        <v>Supinado</v>
      </c>
      <c r="F714" s="37" t="str">
        <f>MARTES!$C$253</f>
        <v>mancuerna</v>
      </c>
      <c r="G714" s="37" t="str">
        <f>IFERROR(LOOKUP(2,1/((HISTORIAL!$O$3:$O$712=D714&amp;"|"&amp;E714)*(HISTORIAL!$F$3:$F$712&lt;&gt;"")),HISTORIAL!$F$3:$F$712),"")</f>
        <v/>
      </c>
      <c r="H714" s="37" t="str">
        <f>IFERROR(LOOKUP(2,1/((HISTORIAL!$O$3:$O$712=D714&amp;"|"&amp;E714)*(HISTORIAL!$F$3:$F$712&lt;&gt;"")),HISTORIAL!$G$3:$G$712),"")</f>
        <v/>
      </c>
      <c r="I714" s="37" t="str">
        <f>IFERROR(LOOKUP(2,1/((HISTORIAL!$O$3:$O$712=D714&amp;"|"&amp;E714)*(HISTORIAL!$F$3:$F$712&lt;&gt;"")),HISTORIAL!$H$3:$H$712),"")</f>
        <v/>
      </c>
      <c r="J714" s="37" t="str">
        <f>IFERROR(LOOKUP(2,1/((HISTORIAL!$O$3:$O$712=D714&amp;"|"&amp;E714)*(HISTORIAL!$F$3:$F$712&lt;&gt;"")),HISTORIAL!$I$3:$I$712),"")</f>
        <v/>
      </c>
      <c r="K714" s="58" t="str">
        <f>IFERROR(IF(OR(G714="",N714="SIN"),"--",IF(N714="SUBIR_F",IF(F714="polea",IFERROR(INDEX(CONFIG!$B$25:$B$40,MATCH(G714,CONFIG!$B$25:$B$40,0)+2),IFERROR(INDEX(CONFIG!$B$25:$B$40,MATCH(G714,CONFIG!$B$25:$B$40,0)+1),G714)),G714+5),IF(OR(N714="SUBIR",N714="SUBIR_E"),IF(F714="polea",IFERROR(INDEX(CONFIG!$B$25:$B$40,MATCH(G714,CONFIG!$B$25:$B$40,0)+1),G714),G714+2.5),IF(N714="BAJAR",IF(F714="polea",IFERROR(INDEX(CONFIG!$B$25:$B$40,MAX(1,MATCH(G714,CONFIG!$B$25:$B$40,0)-1)),G714),MAX(0,G714-2.5)),G714)))),"--")</f>
        <v>--</v>
      </c>
      <c r="L714" s="59" t="str">
        <f>IFERROR(IF(N714="SIN","--",IF(N714="MANT",IF(H714="","--",H714+1),IFERROR(VLOOKUP(CONFIG!$E$2,CONFIG!$A$6:$E$8,2,0),"--"))),"--")</f>
        <v>--</v>
      </c>
      <c r="M714" s="59" t="str">
        <f>IFERROR(IF(N714="SIN","--",IF(CONFIG!$E$2="HIP",2,IF(CONFIG!$E$2="FUE",1,2))),"--")</f>
        <v>--</v>
      </c>
      <c r="N714" s="53" t="str">
        <f>IFERROR(IF(G714="","SIN",IF(O714=1,"SUBIR_E",IF(H714&lt;IFERROR(VLOOKUP(CONFIG!$E$2,CONFIG!$A$6:$E$8,2,0),6),"BAJAR",IF(H714+I714&gt;=IFERROR(VLOOKUP(CONFIG!$E$2,CONFIG!$A$6:$E$8,3,0),12),"SUBIR_F",IF(AND(H714&gt;=IFERROR(VLOOKUP(CONFIG!$E$2,CONFIG!$A$6:$E$8,2,0),6)+2,I714&gt;=2),"SUBIR",IF(I714&gt;IFERROR(VLOOKUP(CONFIG!$E$2,CONFIG!$A$6:$E$8,5,0),3),"SUBIR","MANT")))))),"SIN")</f>
        <v>SIN</v>
      </c>
      <c r="O714" s="55">
        <f>IF(COUNTIFS(HISTORIAL!$O$3:$O$712,D714&amp;"|"&amp;E714,HISTORIAL!$F$3:$F$712,"&gt;0")&lt;2,0,IF(COUNTIFS(HISTORIAL!$O$3:$O$712,D714&amp;"|"&amp;E714,HISTORIAL!$F$3:$F$712,IFERROR(LOOKUP(2,1/((HISTORIAL!$O$3:$O$712=D714&amp;"|"&amp;E714)*(HISTORIAL!$F$3:$F$712&gt;0)),HISTORIAL!$F$3:$F$712),0))&gt;=2,IF(IFERROR(LOOKUP(2,1/((HISTORIAL!$O$3:$O$712=D714&amp;"|"&amp;E714)*(HISTORIAL!$F$3:$F$712&gt;0)),HISTORIAL!$G$3:$G$712),0)&gt;0,IF(F714&gt;0,IF(G714&lt;=IFERROR(LOOKUP(2,1/((HISTORIAL!$O$3:$O$712=D714&amp;"|"&amp;E714)*(HISTORIAL!$F$3:$F$712&gt;0)),HISTORIAL!$G$3:$G$712),0),1,0),0),0),0))</f>
        <v>0</v>
      </c>
    </row>
    <row r="715" spans="1:15" ht="14.1" customHeight="1">
      <c r="A715" s="37">
        <v>12</v>
      </c>
      <c r="B715" s="37" t="s">
        <v>278</v>
      </c>
      <c r="C715" s="37">
        <v>8</v>
      </c>
      <c r="D715" s="56" t="str">
        <f>MARTES!$A$254</f>
        <v>Curl Muneca</v>
      </c>
      <c r="E715" s="57" t="str">
        <f>MARTES!$B$254</f>
        <v>Pronado</v>
      </c>
      <c r="F715" s="37" t="str">
        <f>MARTES!$C$254</f>
        <v>mancuerna</v>
      </c>
      <c r="G715" s="37" t="str">
        <f>IFERROR(LOOKUP(2,1/((HISTORIAL!$O$3:$O$713=D715&amp;"|"&amp;E715)*(HISTORIAL!$F$3:$F$713&lt;&gt;"")),HISTORIAL!$F$3:$F$713),"")</f>
        <v/>
      </c>
      <c r="H715" s="37" t="str">
        <f>IFERROR(LOOKUP(2,1/((HISTORIAL!$O$3:$O$713=D715&amp;"|"&amp;E715)*(HISTORIAL!$F$3:$F$713&lt;&gt;"")),HISTORIAL!$G$3:$G$713),"")</f>
        <v/>
      </c>
      <c r="I715" s="37" t="str">
        <f>IFERROR(LOOKUP(2,1/((HISTORIAL!$O$3:$O$713=D715&amp;"|"&amp;E715)*(HISTORIAL!$F$3:$F$713&lt;&gt;"")),HISTORIAL!$H$3:$H$713),"")</f>
        <v/>
      </c>
      <c r="J715" s="37" t="str">
        <f>IFERROR(LOOKUP(2,1/((HISTORIAL!$O$3:$O$713=D715&amp;"|"&amp;E715)*(HISTORIAL!$F$3:$F$713&lt;&gt;"")),HISTORIAL!$I$3:$I$713),"")</f>
        <v/>
      </c>
      <c r="K715" s="58" t="str">
        <f>IFERROR(IF(OR(G715="",N715="SIN"),"--",IF(N715="SUBIR_F",IF(F715="polea",IFERROR(INDEX(CONFIG!$B$25:$B$40,MATCH(G715,CONFIG!$B$25:$B$40,0)+2),IFERROR(INDEX(CONFIG!$B$25:$B$40,MATCH(G715,CONFIG!$B$25:$B$40,0)+1),G715)),G715+5),IF(OR(N715="SUBIR",N715="SUBIR_E"),IF(F715="polea",IFERROR(INDEX(CONFIG!$B$25:$B$40,MATCH(G715,CONFIG!$B$25:$B$40,0)+1),G715),G715+2.5),IF(N715="BAJAR",IF(F715="polea",IFERROR(INDEX(CONFIG!$B$25:$B$40,MAX(1,MATCH(G715,CONFIG!$B$25:$B$40,0)-1)),G715),MAX(0,G715-2.5)),G715)))),"--")</f>
        <v>--</v>
      </c>
      <c r="L715" s="59" t="str">
        <f>IFERROR(IF(N715="SIN","--",IF(N715="MANT",IF(H715="","--",H715+1),IFERROR(VLOOKUP(CONFIG!$E$2,CONFIG!$A$6:$E$8,2,0),"--"))),"--")</f>
        <v>--</v>
      </c>
      <c r="M715" s="59" t="str">
        <f>IFERROR(IF(N715="SIN","--",IF(CONFIG!$E$2="HIP",2,IF(CONFIG!$E$2="FUE",1,2))),"--")</f>
        <v>--</v>
      </c>
      <c r="N715" s="53" t="str">
        <f>IFERROR(IF(G715="","SIN",IF(O715=1,"SUBIR_E",IF(H715&lt;IFERROR(VLOOKUP(CONFIG!$E$2,CONFIG!$A$6:$E$8,2,0),6),"BAJAR",IF(H715+I715&gt;=IFERROR(VLOOKUP(CONFIG!$E$2,CONFIG!$A$6:$E$8,3,0),12),"SUBIR_F",IF(AND(H715&gt;=IFERROR(VLOOKUP(CONFIG!$E$2,CONFIG!$A$6:$E$8,2,0),6)+2,I715&gt;=2),"SUBIR",IF(I715&gt;IFERROR(VLOOKUP(CONFIG!$E$2,CONFIG!$A$6:$E$8,5,0),3),"SUBIR","MANT")))))),"SIN")</f>
        <v>SIN</v>
      </c>
      <c r="O715" s="55">
        <f>IF(COUNTIFS(HISTORIAL!$O$3:$O$713,D715&amp;"|"&amp;E715,HISTORIAL!$F$3:$F$713,"&gt;0")&lt;2,0,IF(COUNTIFS(HISTORIAL!$O$3:$O$713,D715&amp;"|"&amp;E715,HISTORIAL!$F$3:$F$713,IFERROR(LOOKUP(2,1/((HISTORIAL!$O$3:$O$713=D715&amp;"|"&amp;E715)*(HISTORIAL!$F$3:$F$713&gt;0)),HISTORIAL!$F$3:$F$713),0))&gt;=2,IF(IFERROR(LOOKUP(2,1/((HISTORIAL!$O$3:$O$713=D715&amp;"|"&amp;E715)*(HISTORIAL!$F$3:$F$713&gt;0)),HISTORIAL!$G$3:$G$713),0)&gt;0,IF(F715&gt;0,IF(G715&lt;=IFERROR(LOOKUP(2,1/((HISTORIAL!$O$3:$O$713=D715&amp;"|"&amp;E715)*(HISTORIAL!$F$3:$F$713&gt;0)),HISTORIAL!$G$3:$G$713),0),1,0),0),0),0))</f>
        <v>0</v>
      </c>
    </row>
    <row r="716" spans="1:15" ht="14.1" customHeight="1">
      <c r="A716" s="37">
        <v>12</v>
      </c>
      <c r="B716" s="37" t="s">
        <v>278</v>
      </c>
      <c r="C716" s="37">
        <v>9</v>
      </c>
      <c r="D716" s="56" t="str">
        <f>MARTES!$A$256</f>
        <v>Farmer Carry</v>
      </c>
      <c r="E716" s="57" t="str">
        <f>MARTES!$B$256</f>
        <v>Libre</v>
      </c>
      <c r="F716" s="37" t="str">
        <f>MARTES!$C$256</f>
        <v>mancuerna</v>
      </c>
      <c r="G716" s="37" t="str">
        <f>IFERROR(LOOKUP(2,1/((HISTORIAL!$O$3:$O$714=D716&amp;"|"&amp;E716)*(HISTORIAL!$F$3:$F$714&lt;&gt;"")),HISTORIAL!$F$3:$F$714),"")</f>
        <v/>
      </c>
      <c r="H716" s="37" t="str">
        <f>IFERROR(LOOKUP(2,1/((HISTORIAL!$O$3:$O$714=D716&amp;"|"&amp;E716)*(HISTORIAL!$F$3:$F$714&lt;&gt;"")),HISTORIAL!$G$3:$G$714),"")</f>
        <v/>
      </c>
      <c r="I716" s="37" t="str">
        <f>IFERROR(LOOKUP(2,1/((HISTORIAL!$O$3:$O$714=D716&amp;"|"&amp;E716)*(HISTORIAL!$F$3:$F$714&lt;&gt;"")),HISTORIAL!$H$3:$H$714),"")</f>
        <v/>
      </c>
      <c r="J716" s="37" t="str">
        <f>IFERROR(LOOKUP(2,1/((HISTORIAL!$O$3:$O$714=D716&amp;"|"&amp;E716)*(HISTORIAL!$F$3:$F$714&lt;&gt;"")),HISTORIAL!$I$3:$I$714),"")</f>
        <v/>
      </c>
      <c r="K716" s="58" t="str">
        <f>IFERROR(IF(OR(G716="",N716="SIN"),"--",IF(N716="SUBIR_F",IF(F716="polea",IFERROR(INDEX(CONFIG!$B$25:$B$40,MATCH(G716,CONFIG!$B$25:$B$40,0)+2),IFERROR(INDEX(CONFIG!$B$25:$B$40,MATCH(G716,CONFIG!$B$25:$B$40,0)+1),G716)),G716+5),IF(OR(N716="SUBIR",N716="SUBIR_E"),IF(F716="polea",IFERROR(INDEX(CONFIG!$B$25:$B$40,MATCH(G716,CONFIG!$B$25:$B$40,0)+1),G716),G716+2.5),IF(N716="BAJAR",IF(F716="polea",IFERROR(INDEX(CONFIG!$B$25:$B$40,MAX(1,MATCH(G716,CONFIG!$B$25:$B$40,0)-1)),G716),MAX(0,G716-2.5)),G716)))),"--")</f>
        <v>--</v>
      </c>
      <c r="L716" s="59" t="str">
        <f>IFERROR(IF(N716="SIN","--",IF(N716="MANT",IF(H716="","--",H716+1),IFERROR(VLOOKUP(CONFIG!$E$2,CONFIG!$A$6:$E$8,2,0),"--"))),"--")</f>
        <v>--</v>
      </c>
      <c r="M716" s="59" t="str">
        <f>IFERROR(IF(N716="SIN","--",IF(CONFIG!$E$2="HIP",2,IF(CONFIG!$E$2="FUE",1,2))),"--")</f>
        <v>--</v>
      </c>
      <c r="N716" s="53" t="str">
        <f>IFERROR(IF(G716="","SIN",IF(O716=1,"SUBIR_E",IF(H716&lt;IFERROR(VLOOKUP(CONFIG!$E$2,CONFIG!$A$6:$E$8,2,0),6),"BAJAR",IF(H716+I716&gt;=IFERROR(VLOOKUP(CONFIG!$E$2,CONFIG!$A$6:$E$8,3,0),12),"SUBIR_F",IF(AND(H716&gt;=IFERROR(VLOOKUP(CONFIG!$E$2,CONFIG!$A$6:$E$8,2,0),6)+2,I716&gt;=2),"SUBIR",IF(I716&gt;IFERROR(VLOOKUP(CONFIG!$E$2,CONFIG!$A$6:$E$8,5,0),3),"SUBIR","MANT")))))),"SIN")</f>
        <v>SIN</v>
      </c>
      <c r="O716" s="55">
        <f>IF(COUNTIFS(HISTORIAL!$O$3:$O$714,D716&amp;"|"&amp;E716,HISTORIAL!$F$3:$F$714,"&gt;0")&lt;2,0,IF(COUNTIFS(HISTORIAL!$O$3:$O$714,D716&amp;"|"&amp;E716,HISTORIAL!$F$3:$F$714,IFERROR(LOOKUP(2,1/((HISTORIAL!$O$3:$O$714=D716&amp;"|"&amp;E716)*(HISTORIAL!$F$3:$F$714&gt;0)),HISTORIAL!$F$3:$F$714),0))&gt;=2,IF(IFERROR(LOOKUP(2,1/((HISTORIAL!$O$3:$O$714=D716&amp;"|"&amp;E716)*(HISTORIAL!$F$3:$F$714&gt;0)),HISTORIAL!$G$3:$G$714),0)&gt;0,IF(F716&gt;0,IF(G716&lt;=IFERROR(LOOKUP(2,1/((HISTORIAL!$O$3:$O$714=D716&amp;"|"&amp;E716)*(HISTORIAL!$F$3:$F$714&gt;0)),HISTORIAL!$G$3:$G$714),0),1,0),0),0),0))</f>
        <v>0</v>
      </c>
    </row>
    <row r="717" spans="1:15" ht="14.1" customHeight="1">
      <c r="A717" s="37">
        <v>12</v>
      </c>
      <c r="B717" s="37" t="s">
        <v>278</v>
      </c>
      <c r="C717" s="37">
        <v>10</v>
      </c>
      <c r="D717" s="56" t="str">
        <f>MARTES!$A$258</f>
        <v>Skullcrusher</v>
      </c>
      <c r="E717" s="57" t="str">
        <f>MARTES!$B$258</f>
        <v>Mancuerna Tumbado</v>
      </c>
      <c r="F717" s="37" t="str">
        <f>MARTES!$C$258</f>
        <v>--</v>
      </c>
      <c r="G717" s="37" t="str">
        <f>IFERROR(LOOKUP(2,1/((HISTORIAL!$O$3:$O$715=D717&amp;"|"&amp;E717)*(HISTORIAL!$F$3:$F$715&lt;&gt;"")),HISTORIAL!$F$3:$F$715),"")</f>
        <v/>
      </c>
      <c r="H717" s="37" t="str">
        <f>IFERROR(LOOKUP(2,1/((HISTORIAL!$O$3:$O$715=D717&amp;"|"&amp;E717)*(HISTORIAL!$F$3:$F$715&lt;&gt;"")),HISTORIAL!$G$3:$G$715),"")</f>
        <v/>
      </c>
      <c r="I717" s="37" t="str">
        <f>IFERROR(LOOKUP(2,1/((HISTORIAL!$O$3:$O$715=D717&amp;"|"&amp;E717)*(HISTORIAL!$F$3:$F$715&lt;&gt;"")),HISTORIAL!$H$3:$H$715),"")</f>
        <v/>
      </c>
      <c r="J717" s="37" t="str">
        <f>IFERROR(LOOKUP(2,1/((HISTORIAL!$O$3:$O$715=D717&amp;"|"&amp;E717)*(HISTORIAL!$F$3:$F$715&lt;&gt;"")),HISTORIAL!$I$3:$I$715),"")</f>
        <v/>
      </c>
      <c r="K717" s="58" t="str">
        <f>IFERROR(IF(OR(G717="",N717="SIN"),"--",IF(N717="SUBIR_F",IF(F717="polea",IFERROR(INDEX(CONFIG!$B$25:$B$40,MATCH(G717,CONFIG!$B$25:$B$40,0)+2),IFERROR(INDEX(CONFIG!$B$25:$B$40,MATCH(G717,CONFIG!$B$25:$B$40,0)+1),G717)),G717+5),IF(OR(N717="SUBIR",N717="SUBIR_E"),IF(F717="polea",IFERROR(INDEX(CONFIG!$B$25:$B$40,MATCH(G717,CONFIG!$B$25:$B$40,0)+1),G717),G717+2.5),IF(N717="BAJAR",IF(F717="polea",IFERROR(INDEX(CONFIG!$B$25:$B$40,MAX(1,MATCH(G717,CONFIG!$B$25:$B$40,0)-1)),G717),MAX(0,G717-2.5)),G717)))),"--")</f>
        <v>--</v>
      </c>
      <c r="L717" s="59" t="str">
        <f>IFERROR(IF(N717="SIN","--",IF(N717="MANT",IF(H717="","--",H717+1),IFERROR(VLOOKUP(CONFIG!$E$2,CONFIG!$A$6:$E$8,2,0),"--"))),"--")</f>
        <v>--</v>
      </c>
      <c r="M717" s="59" t="str">
        <f>IFERROR(IF(N717="SIN","--",IF(CONFIG!$E$2="HIP",2,IF(CONFIG!$E$2="FUE",1,2))),"--")</f>
        <v>--</v>
      </c>
      <c r="N717" s="53" t="str">
        <f>IFERROR(IF(G717="","SIN",IF(O717=1,"SUBIR_E",IF(H717&lt;IFERROR(VLOOKUP(CONFIG!$E$2,CONFIG!$A$6:$E$8,2,0),6),"BAJAR",IF(H717+I717&gt;=IFERROR(VLOOKUP(CONFIG!$E$2,CONFIG!$A$6:$E$8,3,0),12),"SUBIR_F",IF(AND(H717&gt;=IFERROR(VLOOKUP(CONFIG!$E$2,CONFIG!$A$6:$E$8,2,0),6)+2,I717&gt;=2),"SUBIR",IF(I717&gt;IFERROR(VLOOKUP(CONFIG!$E$2,CONFIG!$A$6:$E$8,5,0),3),"SUBIR","MANT")))))),"SIN")</f>
        <v>SIN</v>
      </c>
      <c r="O717" s="55">
        <f>IF(COUNTIFS(HISTORIAL!$O$3:$O$715,D717&amp;"|"&amp;E717,HISTORIAL!$F$3:$F$715,"&gt;0")&lt;2,0,IF(COUNTIFS(HISTORIAL!$O$3:$O$715,D717&amp;"|"&amp;E717,HISTORIAL!$F$3:$F$715,IFERROR(LOOKUP(2,1/((HISTORIAL!$O$3:$O$715=D717&amp;"|"&amp;E717)*(HISTORIAL!$F$3:$F$715&gt;0)),HISTORIAL!$F$3:$F$715),0))&gt;=2,IF(IFERROR(LOOKUP(2,1/((HISTORIAL!$O$3:$O$715=D717&amp;"|"&amp;E717)*(HISTORIAL!$F$3:$F$715&gt;0)),HISTORIAL!$G$3:$G$715),0)&gt;0,IF(F717&gt;0,IF(G717&lt;=IFERROR(LOOKUP(2,1/((HISTORIAL!$O$3:$O$715=D717&amp;"|"&amp;E717)*(HISTORIAL!$F$3:$F$715&gt;0)),HISTORIAL!$G$3:$G$715),0),1,0),0),0),0))</f>
        <v>0</v>
      </c>
    </row>
    <row r="718" spans="1:15" ht="14.1" customHeight="1">
      <c r="A718" s="37">
        <v>12</v>
      </c>
      <c r="B718" s="37" t="s">
        <v>278</v>
      </c>
      <c r="C718" s="37">
        <v>11</v>
      </c>
      <c r="D718" s="56" t="str">
        <f>MARTES!$A$260</f>
        <v>Crunch</v>
      </c>
      <c r="E718" s="57" t="str">
        <f>MARTES!$B$260</f>
        <v>Polea</v>
      </c>
      <c r="F718" s="37" t="str">
        <f>MARTES!$C$260</f>
        <v>polea</v>
      </c>
      <c r="G718" s="37" t="str">
        <f>IFERROR(LOOKUP(2,1/((HISTORIAL!$O$3:$O$716=D718&amp;"|"&amp;E718)*(HISTORIAL!$F$3:$F$716&lt;&gt;"")),HISTORIAL!$F$3:$F$716),"")</f>
        <v/>
      </c>
      <c r="H718" s="37" t="str">
        <f>IFERROR(LOOKUP(2,1/((HISTORIAL!$O$3:$O$716=D718&amp;"|"&amp;E718)*(HISTORIAL!$F$3:$F$716&lt;&gt;"")),HISTORIAL!$G$3:$G$716),"")</f>
        <v/>
      </c>
      <c r="I718" s="37" t="str">
        <f>IFERROR(LOOKUP(2,1/((HISTORIAL!$O$3:$O$716=D718&amp;"|"&amp;E718)*(HISTORIAL!$F$3:$F$716&lt;&gt;"")),HISTORIAL!$H$3:$H$716),"")</f>
        <v/>
      </c>
      <c r="J718" s="37" t="str">
        <f>IFERROR(LOOKUP(2,1/((HISTORIAL!$O$3:$O$716=D718&amp;"|"&amp;E718)*(HISTORIAL!$F$3:$F$716&lt;&gt;"")),HISTORIAL!$I$3:$I$716),"")</f>
        <v/>
      </c>
      <c r="K718" s="58" t="str">
        <f>IFERROR(IF(OR(G718="",N718="SIN"),"--",IF(N718="SUBIR_F",IF(F718="polea",IFERROR(INDEX(CONFIG!$B$25:$B$40,MATCH(G718,CONFIG!$B$25:$B$40,0)+2),IFERROR(INDEX(CONFIG!$B$25:$B$40,MATCH(G718,CONFIG!$B$25:$B$40,0)+1),G718)),G718+5),IF(OR(N718="SUBIR",N718="SUBIR_E"),IF(F718="polea",IFERROR(INDEX(CONFIG!$B$25:$B$40,MATCH(G718,CONFIG!$B$25:$B$40,0)+1),G718),G718+2.5),IF(N718="BAJAR",IF(F718="polea",IFERROR(INDEX(CONFIG!$B$25:$B$40,MAX(1,MATCH(G718,CONFIG!$B$25:$B$40,0)-1)),G718),MAX(0,G718-2.5)),G718)))),"--")</f>
        <v>--</v>
      </c>
      <c r="L718" s="59" t="str">
        <f>IFERROR(IF(N718="SIN","--",IF(N718="MANT",IF(H718="","--",H718+1),IFERROR(VLOOKUP(CONFIG!$E$2,CONFIG!$A$6:$E$8,2,0),"--"))),"--")</f>
        <v>--</v>
      </c>
      <c r="M718" s="59" t="str">
        <f>IFERROR(IF(N718="SIN","--",IF(CONFIG!$E$2="HIP",2,IF(CONFIG!$E$2="FUE",1,2))),"--")</f>
        <v>--</v>
      </c>
      <c r="N718" s="53" t="str">
        <f>IFERROR(IF(G718="","SIN",IF(O718=1,"SUBIR_E",IF(H718&lt;IFERROR(VLOOKUP(CONFIG!$E$2,CONFIG!$A$6:$E$8,2,0),6),"BAJAR",IF(H718+I718&gt;=IFERROR(VLOOKUP(CONFIG!$E$2,CONFIG!$A$6:$E$8,3,0),12),"SUBIR_F",IF(AND(H718&gt;=IFERROR(VLOOKUP(CONFIG!$E$2,CONFIG!$A$6:$E$8,2,0),6)+2,I718&gt;=2),"SUBIR",IF(I718&gt;IFERROR(VLOOKUP(CONFIG!$E$2,CONFIG!$A$6:$E$8,5,0),3),"SUBIR","MANT")))))),"SIN")</f>
        <v>SIN</v>
      </c>
      <c r="O718" s="55">
        <f>IF(COUNTIFS(HISTORIAL!$O$3:$O$716,D718&amp;"|"&amp;E718,HISTORIAL!$F$3:$F$716,"&gt;0")&lt;2,0,IF(COUNTIFS(HISTORIAL!$O$3:$O$716,D718&amp;"|"&amp;E718,HISTORIAL!$F$3:$F$716,IFERROR(LOOKUP(2,1/((HISTORIAL!$O$3:$O$716=D718&amp;"|"&amp;E718)*(HISTORIAL!$F$3:$F$716&gt;0)),HISTORIAL!$F$3:$F$716),0))&gt;=2,IF(IFERROR(LOOKUP(2,1/((HISTORIAL!$O$3:$O$716=D718&amp;"|"&amp;E718)*(HISTORIAL!$F$3:$F$716&gt;0)),HISTORIAL!$G$3:$G$716),0)&gt;0,IF(F718&gt;0,IF(G718&lt;=IFERROR(LOOKUP(2,1/((HISTORIAL!$O$3:$O$716=D718&amp;"|"&amp;E718)*(HISTORIAL!$F$3:$F$716&gt;0)),HISTORIAL!$G$3:$G$716),0),1,0),0),0),0))</f>
        <v>0</v>
      </c>
    </row>
    <row r="719" spans="1:15" ht="14.1" customHeight="1">
      <c r="A719" s="37">
        <v>12</v>
      </c>
      <c r="B719" s="37" t="s">
        <v>279</v>
      </c>
      <c r="C719" s="37">
        <v>1</v>
      </c>
      <c r="D719" s="56" t="str">
        <f>MIERCOLES!$A$254</f>
        <v>Curl Femoral</v>
      </c>
      <c r="E719" s="57" t="str">
        <f>MIERCOLES!$B$254</f>
        <v>Tumbado Maquina</v>
      </c>
      <c r="F719" s="37" t="str">
        <f>MIERCOLES!$C$254</f>
        <v>polea</v>
      </c>
      <c r="G719" s="37" t="str">
        <f>IFERROR(LOOKUP(2,1/((HISTORIAL!$O$3:$O$717=D719&amp;"|"&amp;E719)*(HISTORIAL!$F$3:$F$717&lt;&gt;"")),HISTORIAL!$F$3:$F$717),"")</f>
        <v/>
      </c>
      <c r="H719" s="37" t="str">
        <f>IFERROR(LOOKUP(2,1/((HISTORIAL!$O$3:$O$717=D719&amp;"|"&amp;E719)*(HISTORIAL!$F$3:$F$717&lt;&gt;"")),HISTORIAL!$G$3:$G$717),"")</f>
        <v/>
      </c>
      <c r="I719" s="37" t="str">
        <f>IFERROR(LOOKUP(2,1/((HISTORIAL!$O$3:$O$717=D719&amp;"|"&amp;E719)*(HISTORIAL!$F$3:$F$717&lt;&gt;"")),HISTORIAL!$H$3:$H$717),"")</f>
        <v/>
      </c>
      <c r="J719" s="37" t="str">
        <f>IFERROR(LOOKUP(2,1/((HISTORIAL!$O$3:$O$717=D719&amp;"|"&amp;E719)*(HISTORIAL!$F$3:$F$717&lt;&gt;"")),HISTORIAL!$I$3:$I$717),"")</f>
        <v/>
      </c>
      <c r="K719" s="58" t="str">
        <f>IFERROR(IF(OR(G719="",N719="SIN"),"--",IF(N719="SUBIR_F",IF(F719="polea",IFERROR(INDEX(CONFIG!$B$25:$B$40,MATCH(G719,CONFIG!$B$25:$B$40,0)+2),IFERROR(INDEX(CONFIG!$B$25:$B$40,MATCH(G719,CONFIG!$B$25:$B$40,0)+1),G719)),G719+5),IF(OR(N719="SUBIR",N719="SUBIR_E"),IF(F719="polea",IFERROR(INDEX(CONFIG!$B$25:$B$40,MATCH(G719,CONFIG!$B$25:$B$40,0)+1),G719),G719+2.5),IF(N719="BAJAR",IF(F719="polea",IFERROR(INDEX(CONFIG!$B$25:$B$40,MAX(1,MATCH(G719,CONFIG!$B$25:$B$40,0)-1)),G719),MAX(0,G719-2.5)),G719)))),"--")</f>
        <v>--</v>
      </c>
      <c r="L719" s="59" t="str">
        <f>IFERROR(IF(N719="SIN","--",IF(N719="MANT",IF(H719="","--",H719+1),IFERROR(VLOOKUP(CONFIG!$E$2,CONFIG!$A$6:$E$8,2,0),"--"))),"--")</f>
        <v>--</v>
      </c>
      <c r="M719" s="59" t="str">
        <f>IFERROR(IF(N719="SIN","--",IF(CONFIG!$E$2="HIP",2,IF(CONFIG!$E$2="FUE",1,2))),"--")</f>
        <v>--</v>
      </c>
      <c r="N719" s="53" t="str">
        <f>IFERROR(IF(G719="","SIN",IF(O719=1,"SUBIR_E",IF(H719&lt;IFERROR(VLOOKUP(CONFIG!$E$2,CONFIG!$A$6:$E$8,2,0),6),"BAJAR",IF(H719+I719&gt;=IFERROR(VLOOKUP(CONFIG!$E$2,CONFIG!$A$6:$E$8,3,0),12),"SUBIR_F",IF(AND(H719&gt;=IFERROR(VLOOKUP(CONFIG!$E$2,CONFIG!$A$6:$E$8,2,0),6)+2,I719&gt;=2),"SUBIR",IF(I719&gt;IFERROR(VLOOKUP(CONFIG!$E$2,CONFIG!$A$6:$E$8,5,0),3),"SUBIR","MANT")))))),"SIN")</f>
        <v>SIN</v>
      </c>
      <c r="O719" s="55">
        <f>IF(COUNTIFS(HISTORIAL!$O$3:$O$717,D719&amp;"|"&amp;E719,HISTORIAL!$F$3:$F$717,"&gt;0")&lt;2,0,IF(COUNTIFS(HISTORIAL!$O$3:$O$717,D719&amp;"|"&amp;E719,HISTORIAL!$F$3:$F$717,IFERROR(LOOKUP(2,1/((HISTORIAL!$O$3:$O$717=D719&amp;"|"&amp;E719)*(HISTORIAL!$F$3:$F$717&gt;0)),HISTORIAL!$F$3:$F$717),0))&gt;=2,IF(IFERROR(LOOKUP(2,1/((HISTORIAL!$O$3:$O$717=D719&amp;"|"&amp;E719)*(HISTORIAL!$F$3:$F$717&gt;0)),HISTORIAL!$G$3:$G$717),0)&gt;0,IF(F719&gt;0,IF(G719&lt;=IFERROR(LOOKUP(2,1/((HISTORIAL!$O$3:$O$717=D719&amp;"|"&amp;E719)*(HISTORIAL!$F$3:$F$717&gt;0)),HISTORIAL!$G$3:$G$717),0),1,0),0),0),0))</f>
        <v>0</v>
      </c>
    </row>
    <row r="720" spans="1:15" ht="14.1" customHeight="1">
      <c r="A720" s="37">
        <v>12</v>
      </c>
      <c r="B720" s="37" t="s">
        <v>279</v>
      </c>
      <c r="C720" s="37">
        <v>2</v>
      </c>
      <c r="D720" s="56" t="str">
        <f>MIERCOLES!$A$255</f>
        <v>Curl Femoral</v>
      </c>
      <c r="E720" s="57" t="str">
        <f>MIERCOLES!$B$255</f>
        <v>Sentado Maquina</v>
      </c>
      <c r="F720" s="37" t="str">
        <f>MIERCOLES!$C$255</f>
        <v>polea</v>
      </c>
      <c r="G720" s="37" t="str">
        <f>IFERROR(LOOKUP(2,1/((HISTORIAL!$O$3:$O$718=D720&amp;"|"&amp;E720)*(HISTORIAL!$F$3:$F$718&lt;&gt;"")),HISTORIAL!$F$3:$F$718),"")</f>
        <v/>
      </c>
      <c r="H720" s="37" t="str">
        <f>IFERROR(LOOKUP(2,1/((HISTORIAL!$O$3:$O$718=D720&amp;"|"&amp;E720)*(HISTORIAL!$F$3:$F$718&lt;&gt;"")),HISTORIAL!$G$3:$G$718),"")</f>
        <v/>
      </c>
      <c r="I720" s="37" t="str">
        <f>IFERROR(LOOKUP(2,1/((HISTORIAL!$O$3:$O$718=D720&amp;"|"&amp;E720)*(HISTORIAL!$F$3:$F$718&lt;&gt;"")),HISTORIAL!$H$3:$H$718),"")</f>
        <v/>
      </c>
      <c r="J720" s="37" t="str">
        <f>IFERROR(LOOKUP(2,1/((HISTORIAL!$O$3:$O$718=D720&amp;"|"&amp;E720)*(HISTORIAL!$F$3:$F$718&lt;&gt;"")),HISTORIAL!$I$3:$I$718),"")</f>
        <v/>
      </c>
      <c r="K720" s="58" t="str">
        <f>IFERROR(IF(OR(G720="",N720="SIN"),"--",IF(N720="SUBIR_F",IF(F720="polea",IFERROR(INDEX(CONFIG!$B$25:$B$40,MATCH(G720,CONFIG!$B$25:$B$40,0)+2),IFERROR(INDEX(CONFIG!$B$25:$B$40,MATCH(G720,CONFIG!$B$25:$B$40,0)+1),G720)),G720+5),IF(OR(N720="SUBIR",N720="SUBIR_E"),IF(F720="polea",IFERROR(INDEX(CONFIG!$B$25:$B$40,MATCH(G720,CONFIG!$B$25:$B$40,0)+1),G720),G720+2.5),IF(N720="BAJAR",IF(F720="polea",IFERROR(INDEX(CONFIG!$B$25:$B$40,MAX(1,MATCH(G720,CONFIG!$B$25:$B$40,0)-1)),G720),MAX(0,G720-2.5)),G720)))),"--")</f>
        <v>--</v>
      </c>
      <c r="L720" s="59" t="str">
        <f>IFERROR(IF(N720="SIN","--",IF(N720="MANT",IF(H720="","--",H720+1),IFERROR(VLOOKUP(CONFIG!$E$2,CONFIG!$A$6:$E$8,2,0),"--"))),"--")</f>
        <v>--</v>
      </c>
      <c r="M720" s="59" t="str">
        <f>IFERROR(IF(N720="SIN","--",IF(CONFIG!$E$2="HIP",2,IF(CONFIG!$E$2="FUE",1,2))),"--")</f>
        <v>--</v>
      </c>
      <c r="N720" s="53" t="str">
        <f>IFERROR(IF(G720="","SIN",IF(O720=1,"SUBIR_E",IF(H720&lt;IFERROR(VLOOKUP(CONFIG!$E$2,CONFIG!$A$6:$E$8,2,0),6),"BAJAR",IF(H720+I720&gt;=IFERROR(VLOOKUP(CONFIG!$E$2,CONFIG!$A$6:$E$8,3,0),12),"SUBIR_F",IF(AND(H720&gt;=IFERROR(VLOOKUP(CONFIG!$E$2,CONFIG!$A$6:$E$8,2,0),6)+2,I720&gt;=2),"SUBIR",IF(I720&gt;IFERROR(VLOOKUP(CONFIG!$E$2,CONFIG!$A$6:$E$8,5,0),3),"SUBIR","MANT")))))),"SIN")</f>
        <v>SIN</v>
      </c>
      <c r="O720" s="55">
        <f>IF(COUNTIFS(HISTORIAL!$O$3:$O$718,D720&amp;"|"&amp;E720,HISTORIAL!$F$3:$F$718,"&gt;0")&lt;2,0,IF(COUNTIFS(HISTORIAL!$O$3:$O$718,D720&amp;"|"&amp;E720,HISTORIAL!$F$3:$F$718,IFERROR(LOOKUP(2,1/((HISTORIAL!$O$3:$O$718=D720&amp;"|"&amp;E720)*(HISTORIAL!$F$3:$F$718&gt;0)),HISTORIAL!$F$3:$F$718),0))&gt;=2,IF(IFERROR(LOOKUP(2,1/((HISTORIAL!$O$3:$O$718=D720&amp;"|"&amp;E720)*(HISTORIAL!$F$3:$F$718&gt;0)),HISTORIAL!$G$3:$G$718),0)&gt;0,IF(F720&gt;0,IF(G720&lt;=IFERROR(LOOKUP(2,1/((HISTORIAL!$O$3:$O$718=D720&amp;"|"&amp;E720)*(HISTORIAL!$F$3:$F$718&gt;0)),HISTORIAL!$G$3:$G$718),0),1,0),0),0),0))</f>
        <v>0</v>
      </c>
    </row>
    <row r="721" spans="1:15" ht="14.1" customHeight="1">
      <c r="A721" s="37">
        <v>12</v>
      </c>
      <c r="B721" s="37" t="s">
        <v>279</v>
      </c>
      <c r="C721" s="37">
        <v>3</v>
      </c>
      <c r="D721" s="56" t="str">
        <f>MIERCOLES!$A$256</f>
        <v>Curl Rumano</v>
      </c>
      <c r="E721" s="57" t="str">
        <f>MIERCOLES!$B$256</f>
        <v>Mancuernas</v>
      </c>
      <c r="F721" s="37" t="str">
        <f>MIERCOLES!$C$256</f>
        <v>mancuerna</v>
      </c>
      <c r="G721" s="37" t="str">
        <f>IFERROR(LOOKUP(2,1/((HISTORIAL!$O$3:$O$719=D721&amp;"|"&amp;E721)*(HISTORIAL!$F$3:$F$719&lt;&gt;"")),HISTORIAL!$F$3:$F$719),"")</f>
        <v/>
      </c>
      <c r="H721" s="37" t="str">
        <f>IFERROR(LOOKUP(2,1/((HISTORIAL!$O$3:$O$719=D721&amp;"|"&amp;E721)*(HISTORIAL!$F$3:$F$719&lt;&gt;"")),HISTORIAL!$G$3:$G$719),"")</f>
        <v/>
      </c>
      <c r="I721" s="37" t="str">
        <f>IFERROR(LOOKUP(2,1/((HISTORIAL!$O$3:$O$719=D721&amp;"|"&amp;E721)*(HISTORIAL!$F$3:$F$719&lt;&gt;"")),HISTORIAL!$H$3:$H$719),"")</f>
        <v/>
      </c>
      <c r="J721" s="37" t="str">
        <f>IFERROR(LOOKUP(2,1/((HISTORIAL!$O$3:$O$719=D721&amp;"|"&amp;E721)*(HISTORIAL!$F$3:$F$719&lt;&gt;"")),HISTORIAL!$I$3:$I$719),"")</f>
        <v/>
      </c>
      <c r="K721" s="58" t="str">
        <f>IFERROR(IF(OR(G721="",N721="SIN"),"--",IF(N721="SUBIR_F",IF(F721="polea",IFERROR(INDEX(CONFIG!$B$25:$B$40,MATCH(G721,CONFIG!$B$25:$B$40,0)+2),IFERROR(INDEX(CONFIG!$B$25:$B$40,MATCH(G721,CONFIG!$B$25:$B$40,0)+1),G721)),G721+5),IF(OR(N721="SUBIR",N721="SUBIR_E"),IF(F721="polea",IFERROR(INDEX(CONFIG!$B$25:$B$40,MATCH(G721,CONFIG!$B$25:$B$40,0)+1),G721),G721+2.5),IF(N721="BAJAR",IF(F721="polea",IFERROR(INDEX(CONFIG!$B$25:$B$40,MAX(1,MATCH(G721,CONFIG!$B$25:$B$40,0)-1)),G721),MAX(0,G721-2.5)),G721)))),"--")</f>
        <v>--</v>
      </c>
      <c r="L721" s="59" t="str">
        <f>IFERROR(IF(N721="SIN","--",IF(N721="MANT",IF(H721="","--",H721+1),IFERROR(VLOOKUP(CONFIG!$E$2,CONFIG!$A$6:$E$8,2,0),"--"))),"--")</f>
        <v>--</v>
      </c>
      <c r="M721" s="59" t="str">
        <f>IFERROR(IF(N721="SIN","--",IF(CONFIG!$E$2="HIP",2,IF(CONFIG!$E$2="FUE",1,2))),"--")</f>
        <v>--</v>
      </c>
      <c r="N721" s="53" t="str">
        <f>IFERROR(IF(G721="","SIN",IF(O721=1,"SUBIR_E",IF(H721&lt;IFERROR(VLOOKUP(CONFIG!$E$2,CONFIG!$A$6:$E$8,2,0),6),"BAJAR",IF(H721+I721&gt;=IFERROR(VLOOKUP(CONFIG!$E$2,CONFIG!$A$6:$E$8,3,0),12),"SUBIR_F",IF(AND(H721&gt;=IFERROR(VLOOKUP(CONFIG!$E$2,CONFIG!$A$6:$E$8,2,0),6)+2,I721&gt;=2),"SUBIR",IF(I721&gt;IFERROR(VLOOKUP(CONFIG!$E$2,CONFIG!$A$6:$E$8,5,0),3),"SUBIR","MANT")))))),"SIN")</f>
        <v>SIN</v>
      </c>
      <c r="O721" s="55">
        <f>IF(COUNTIFS(HISTORIAL!$O$3:$O$719,D721&amp;"|"&amp;E721,HISTORIAL!$F$3:$F$719,"&gt;0")&lt;2,0,IF(COUNTIFS(HISTORIAL!$O$3:$O$719,D721&amp;"|"&amp;E721,HISTORIAL!$F$3:$F$719,IFERROR(LOOKUP(2,1/((HISTORIAL!$O$3:$O$719=D721&amp;"|"&amp;E721)*(HISTORIAL!$F$3:$F$719&gt;0)),HISTORIAL!$F$3:$F$719),0))&gt;=2,IF(IFERROR(LOOKUP(2,1/((HISTORIAL!$O$3:$O$719=D721&amp;"|"&amp;E721)*(HISTORIAL!$F$3:$F$719&gt;0)),HISTORIAL!$G$3:$G$719),0)&gt;0,IF(F721&gt;0,IF(G721&lt;=IFERROR(LOOKUP(2,1/((HISTORIAL!$O$3:$O$719=D721&amp;"|"&amp;E721)*(HISTORIAL!$F$3:$F$719&gt;0)),HISTORIAL!$G$3:$G$719),0),1,0),0),0),0))</f>
        <v>0</v>
      </c>
    </row>
    <row r="722" spans="1:15" ht="14.1" customHeight="1">
      <c r="A722" s="37">
        <v>12</v>
      </c>
      <c r="B722" s="37" t="s">
        <v>279</v>
      </c>
      <c r="C722" s="37">
        <v>4</v>
      </c>
      <c r="D722" s="56" t="str">
        <f>MIERCOLES!$A$258</f>
        <v>Sentadilla</v>
      </c>
      <c r="E722" s="57" t="str">
        <f>MIERCOLES!$B$258</f>
        <v>Multipower Cuna Talones</v>
      </c>
      <c r="F722" s="37" t="str">
        <f>MIERCOLES!$C$258</f>
        <v>--</v>
      </c>
      <c r="G722" s="37" t="str">
        <f>IFERROR(LOOKUP(2,1/((HISTORIAL!$O$3:$O$720=D722&amp;"|"&amp;E722)*(HISTORIAL!$F$3:$F$720&lt;&gt;"")),HISTORIAL!$F$3:$F$720),"")</f>
        <v/>
      </c>
      <c r="H722" s="37" t="str">
        <f>IFERROR(LOOKUP(2,1/((HISTORIAL!$O$3:$O$720=D722&amp;"|"&amp;E722)*(HISTORIAL!$F$3:$F$720&lt;&gt;"")),HISTORIAL!$G$3:$G$720),"")</f>
        <v/>
      </c>
      <c r="I722" s="37" t="str">
        <f>IFERROR(LOOKUP(2,1/((HISTORIAL!$O$3:$O$720=D722&amp;"|"&amp;E722)*(HISTORIAL!$F$3:$F$720&lt;&gt;"")),HISTORIAL!$H$3:$H$720),"")</f>
        <v/>
      </c>
      <c r="J722" s="37" t="str">
        <f>IFERROR(LOOKUP(2,1/((HISTORIAL!$O$3:$O$720=D722&amp;"|"&amp;E722)*(HISTORIAL!$F$3:$F$720&lt;&gt;"")),HISTORIAL!$I$3:$I$720),"")</f>
        <v/>
      </c>
      <c r="K722" s="58" t="str">
        <f>IFERROR(IF(OR(G722="",N722="SIN"),"--",IF(N722="SUBIR_F",IF(F722="polea",IFERROR(INDEX(CONFIG!$B$25:$B$40,MATCH(G722,CONFIG!$B$25:$B$40,0)+2),IFERROR(INDEX(CONFIG!$B$25:$B$40,MATCH(G722,CONFIG!$B$25:$B$40,0)+1),G722)),G722+5),IF(OR(N722="SUBIR",N722="SUBIR_E"),IF(F722="polea",IFERROR(INDEX(CONFIG!$B$25:$B$40,MATCH(G722,CONFIG!$B$25:$B$40,0)+1),G722),G722+2.5),IF(N722="BAJAR",IF(F722="polea",IFERROR(INDEX(CONFIG!$B$25:$B$40,MAX(1,MATCH(G722,CONFIG!$B$25:$B$40,0)-1)),G722),MAX(0,G722-2.5)),G722)))),"--")</f>
        <v>--</v>
      </c>
      <c r="L722" s="59" t="str">
        <f>IFERROR(IF(N722="SIN","--",IF(N722="MANT",IF(H722="","--",H722+1),IFERROR(VLOOKUP(CONFIG!$E$2,CONFIG!$A$6:$E$8,2,0),"--"))),"--")</f>
        <v>--</v>
      </c>
      <c r="M722" s="59" t="str">
        <f>IFERROR(IF(N722="SIN","--",IF(CONFIG!$E$2="HIP",2,IF(CONFIG!$E$2="FUE",1,2))),"--")</f>
        <v>--</v>
      </c>
      <c r="N722" s="53" t="str">
        <f>IFERROR(IF(G722="","SIN",IF(O722=1,"SUBIR_E",IF(H722&lt;IFERROR(VLOOKUP(CONFIG!$E$2,CONFIG!$A$6:$E$8,2,0),6),"BAJAR",IF(H722+I722&gt;=IFERROR(VLOOKUP(CONFIG!$E$2,CONFIG!$A$6:$E$8,3,0),12),"SUBIR_F",IF(AND(H722&gt;=IFERROR(VLOOKUP(CONFIG!$E$2,CONFIG!$A$6:$E$8,2,0),6)+2,I722&gt;=2),"SUBIR",IF(I722&gt;IFERROR(VLOOKUP(CONFIG!$E$2,CONFIG!$A$6:$E$8,5,0),3),"SUBIR","MANT")))))),"SIN")</f>
        <v>SIN</v>
      </c>
      <c r="O722" s="55">
        <f>IF(COUNTIFS(HISTORIAL!$O$3:$O$720,D722&amp;"|"&amp;E722,HISTORIAL!$F$3:$F$720,"&gt;0")&lt;2,0,IF(COUNTIFS(HISTORIAL!$O$3:$O$720,D722&amp;"|"&amp;E722,HISTORIAL!$F$3:$F$720,IFERROR(LOOKUP(2,1/((HISTORIAL!$O$3:$O$720=D722&amp;"|"&amp;E722)*(HISTORIAL!$F$3:$F$720&gt;0)),HISTORIAL!$F$3:$F$720),0))&gt;=2,IF(IFERROR(LOOKUP(2,1/((HISTORIAL!$O$3:$O$720=D722&amp;"|"&amp;E722)*(HISTORIAL!$F$3:$F$720&gt;0)),HISTORIAL!$G$3:$G$720),0)&gt;0,IF(F722&gt;0,IF(G722&lt;=IFERROR(LOOKUP(2,1/((HISTORIAL!$O$3:$O$720=D722&amp;"|"&amp;E722)*(HISTORIAL!$F$3:$F$720&gt;0)),HISTORIAL!$G$3:$G$720),0),1,0),0),0),0))</f>
        <v>0</v>
      </c>
    </row>
    <row r="723" spans="1:15" ht="14.1" customHeight="1">
      <c r="A723" s="37">
        <v>12</v>
      </c>
      <c r="B723" s="37" t="s">
        <v>279</v>
      </c>
      <c r="C723" s="37">
        <v>5</v>
      </c>
      <c r="D723" s="56" t="str">
        <f>MIERCOLES!$A$259</f>
        <v>Prensa Pierna</v>
      </c>
      <c r="E723" s="57" t="str">
        <f>MIERCOLES!$B$259</f>
        <v>Individual Horizontal</v>
      </c>
      <c r="F723" s="37" t="str">
        <f>MIERCOLES!$C$259</f>
        <v>--</v>
      </c>
      <c r="G723" s="37" t="str">
        <f>IFERROR(LOOKUP(2,1/((HISTORIAL!$O$3:$O$721=D723&amp;"|"&amp;E723)*(HISTORIAL!$F$3:$F$721&lt;&gt;"")),HISTORIAL!$F$3:$F$721),"")</f>
        <v/>
      </c>
      <c r="H723" s="37" t="str">
        <f>IFERROR(LOOKUP(2,1/((HISTORIAL!$O$3:$O$721=D723&amp;"|"&amp;E723)*(HISTORIAL!$F$3:$F$721&lt;&gt;"")),HISTORIAL!$G$3:$G$721),"")</f>
        <v/>
      </c>
      <c r="I723" s="37" t="str">
        <f>IFERROR(LOOKUP(2,1/((HISTORIAL!$O$3:$O$721=D723&amp;"|"&amp;E723)*(HISTORIAL!$F$3:$F$721&lt;&gt;"")),HISTORIAL!$H$3:$H$721),"")</f>
        <v/>
      </c>
      <c r="J723" s="37" t="str">
        <f>IFERROR(LOOKUP(2,1/((HISTORIAL!$O$3:$O$721=D723&amp;"|"&amp;E723)*(HISTORIAL!$F$3:$F$721&lt;&gt;"")),HISTORIAL!$I$3:$I$721),"")</f>
        <v/>
      </c>
      <c r="K723" s="58" t="str">
        <f>IFERROR(IF(OR(G723="",N723="SIN"),"--",IF(N723="SUBIR_F",IF(F723="polea",IFERROR(INDEX(CONFIG!$B$25:$B$40,MATCH(G723,CONFIG!$B$25:$B$40,0)+2),IFERROR(INDEX(CONFIG!$B$25:$B$40,MATCH(G723,CONFIG!$B$25:$B$40,0)+1),G723)),G723+5),IF(OR(N723="SUBIR",N723="SUBIR_E"),IF(F723="polea",IFERROR(INDEX(CONFIG!$B$25:$B$40,MATCH(G723,CONFIG!$B$25:$B$40,0)+1),G723),G723+2.5),IF(N723="BAJAR",IF(F723="polea",IFERROR(INDEX(CONFIG!$B$25:$B$40,MAX(1,MATCH(G723,CONFIG!$B$25:$B$40,0)-1)),G723),MAX(0,G723-2.5)),G723)))),"--")</f>
        <v>--</v>
      </c>
      <c r="L723" s="59" t="str">
        <f>IFERROR(IF(N723="SIN","--",IF(N723="MANT",IF(H723="","--",H723+1),IFERROR(VLOOKUP(CONFIG!$E$2,CONFIG!$A$6:$E$8,2,0),"--"))),"--")</f>
        <v>--</v>
      </c>
      <c r="M723" s="59" t="str">
        <f>IFERROR(IF(N723="SIN","--",IF(CONFIG!$E$2="HIP",2,IF(CONFIG!$E$2="FUE",1,2))),"--")</f>
        <v>--</v>
      </c>
      <c r="N723" s="53" t="str">
        <f>IFERROR(IF(G723="","SIN",IF(O723=1,"SUBIR_E",IF(H723&lt;IFERROR(VLOOKUP(CONFIG!$E$2,CONFIG!$A$6:$E$8,2,0),6),"BAJAR",IF(H723+I723&gt;=IFERROR(VLOOKUP(CONFIG!$E$2,CONFIG!$A$6:$E$8,3,0),12),"SUBIR_F",IF(AND(H723&gt;=IFERROR(VLOOKUP(CONFIG!$E$2,CONFIG!$A$6:$E$8,2,0),6)+2,I723&gt;=2),"SUBIR",IF(I723&gt;IFERROR(VLOOKUP(CONFIG!$E$2,CONFIG!$A$6:$E$8,5,0),3),"SUBIR","MANT")))))),"SIN")</f>
        <v>SIN</v>
      </c>
      <c r="O723" s="55">
        <f>IF(COUNTIFS(HISTORIAL!$O$3:$O$721,D723&amp;"|"&amp;E723,HISTORIAL!$F$3:$F$721,"&gt;0")&lt;2,0,IF(COUNTIFS(HISTORIAL!$O$3:$O$721,D723&amp;"|"&amp;E723,HISTORIAL!$F$3:$F$721,IFERROR(LOOKUP(2,1/((HISTORIAL!$O$3:$O$721=D723&amp;"|"&amp;E723)*(HISTORIAL!$F$3:$F$721&gt;0)),HISTORIAL!$F$3:$F$721),0))&gt;=2,IF(IFERROR(LOOKUP(2,1/((HISTORIAL!$O$3:$O$721=D723&amp;"|"&amp;E723)*(HISTORIAL!$F$3:$F$721&gt;0)),HISTORIAL!$G$3:$G$721),0)&gt;0,IF(F723&gt;0,IF(G723&lt;=IFERROR(LOOKUP(2,1/((HISTORIAL!$O$3:$O$721=D723&amp;"|"&amp;E723)*(HISTORIAL!$F$3:$F$721&gt;0)),HISTORIAL!$G$3:$G$721),0),1,0),0),0),0))</f>
        <v>0</v>
      </c>
    </row>
    <row r="724" spans="1:15" ht="14.1" customHeight="1">
      <c r="A724" s="37">
        <v>12</v>
      </c>
      <c r="B724" s="37" t="s">
        <v>279</v>
      </c>
      <c r="C724" s="37">
        <v>6</v>
      </c>
      <c r="D724" s="56" t="str">
        <f>MIERCOLES!$A$260</f>
        <v>Extension Cuadriceps</v>
      </c>
      <c r="E724" s="57" t="str">
        <f>MIERCOLES!$B$260</f>
        <v>Vasto Externo</v>
      </c>
      <c r="F724" s="37" t="str">
        <f>MIERCOLES!$C$260</f>
        <v>--</v>
      </c>
      <c r="G724" s="37" t="str">
        <f>IFERROR(LOOKUP(2,1/((HISTORIAL!$O$3:$O$722=D724&amp;"|"&amp;E724)*(HISTORIAL!$F$3:$F$722&lt;&gt;"")),HISTORIAL!$F$3:$F$722),"")</f>
        <v/>
      </c>
      <c r="H724" s="37" t="str">
        <f>IFERROR(LOOKUP(2,1/((HISTORIAL!$O$3:$O$722=D724&amp;"|"&amp;E724)*(HISTORIAL!$F$3:$F$722&lt;&gt;"")),HISTORIAL!$G$3:$G$722),"")</f>
        <v/>
      </c>
      <c r="I724" s="37" t="str">
        <f>IFERROR(LOOKUP(2,1/((HISTORIAL!$O$3:$O$722=D724&amp;"|"&amp;E724)*(HISTORIAL!$F$3:$F$722&lt;&gt;"")),HISTORIAL!$H$3:$H$722),"")</f>
        <v/>
      </c>
      <c r="J724" s="37" t="str">
        <f>IFERROR(LOOKUP(2,1/((HISTORIAL!$O$3:$O$722=D724&amp;"|"&amp;E724)*(HISTORIAL!$F$3:$F$722&lt;&gt;"")),HISTORIAL!$I$3:$I$722),"")</f>
        <v/>
      </c>
      <c r="K724" s="58" t="str">
        <f>IFERROR(IF(OR(G724="",N724="SIN"),"--",IF(N724="SUBIR_F",IF(F724="polea",IFERROR(INDEX(CONFIG!$B$25:$B$40,MATCH(G724,CONFIG!$B$25:$B$40,0)+2),IFERROR(INDEX(CONFIG!$B$25:$B$40,MATCH(G724,CONFIG!$B$25:$B$40,0)+1),G724)),G724+5),IF(OR(N724="SUBIR",N724="SUBIR_E"),IF(F724="polea",IFERROR(INDEX(CONFIG!$B$25:$B$40,MATCH(G724,CONFIG!$B$25:$B$40,0)+1),G724),G724+2.5),IF(N724="BAJAR",IF(F724="polea",IFERROR(INDEX(CONFIG!$B$25:$B$40,MAX(1,MATCH(G724,CONFIG!$B$25:$B$40,0)-1)),G724),MAX(0,G724-2.5)),G724)))),"--")</f>
        <v>--</v>
      </c>
      <c r="L724" s="59" t="str">
        <f>IFERROR(IF(N724="SIN","--",IF(N724="MANT",IF(H724="","--",H724+1),IFERROR(VLOOKUP(CONFIG!$E$2,CONFIG!$A$6:$E$8,2,0),"--"))),"--")</f>
        <v>--</v>
      </c>
      <c r="M724" s="59" t="str">
        <f>IFERROR(IF(N724="SIN","--",IF(CONFIG!$E$2="HIP",2,IF(CONFIG!$E$2="FUE",1,2))),"--")</f>
        <v>--</v>
      </c>
      <c r="N724" s="53" t="str">
        <f>IFERROR(IF(G724="","SIN",IF(O724=1,"SUBIR_E",IF(H724&lt;IFERROR(VLOOKUP(CONFIG!$E$2,CONFIG!$A$6:$E$8,2,0),6),"BAJAR",IF(H724+I724&gt;=IFERROR(VLOOKUP(CONFIG!$E$2,CONFIG!$A$6:$E$8,3,0),12),"SUBIR_F",IF(AND(H724&gt;=IFERROR(VLOOKUP(CONFIG!$E$2,CONFIG!$A$6:$E$8,2,0),6)+2,I724&gt;=2),"SUBIR",IF(I724&gt;IFERROR(VLOOKUP(CONFIG!$E$2,CONFIG!$A$6:$E$8,5,0),3),"SUBIR","MANT")))))),"SIN")</f>
        <v>SIN</v>
      </c>
      <c r="O724" s="55">
        <f>IF(COUNTIFS(HISTORIAL!$O$3:$O$722,D724&amp;"|"&amp;E724,HISTORIAL!$F$3:$F$722,"&gt;0")&lt;2,0,IF(COUNTIFS(HISTORIAL!$O$3:$O$722,D724&amp;"|"&amp;E724,HISTORIAL!$F$3:$F$722,IFERROR(LOOKUP(2,1/((HISTORIAL!$O$3:$O$722=D724&amp;"|"&amp;E724)*(HISTORIAL!$F$3:$F$722&gt;0)),HISTORIAL!$F$3:$F$722),0))&gt;=2,IF(IFERROR(LOOKUP(2,1/((HISTORIAL!$O$3:$O$722=D724&amp;"|"&amp;E724)*(HISTORIAL!$F$3:$F$722&gt;0)),HISTORIAL!$G$3:$G$722),0)&gt;0,IF(F724&gt;0,IF(G724&lt;=IFERROR(LOOKUP(2,1/((HISTORIAL!$O$3:$O$722=D724&amp;"|"&amp;E724)*(HISTORIAL!$F$3:$F$722&gt;0)),HISTORIAL!$G$3:$G$722),0),1,0),0),0),0))</f>
        <v>0</v>
      </c>
    </row>
    <row r="725" spans="1:15" ht="14.1" customHeight="1">
      <c r="A725" s="37">
        <v>12</v>
      </c>
      <c r="B725" s="37" t="s">
        <v>279</v>
      </c>
      <c r="C725" s="37">
        <v>7</v>
      </c>
      <c r="D725" s="56" t="str">
        <f>MIERCOLES!$A$261</f>
        <v>Extension Cuadriceps</v>
      </c>
      <c r="E725" s="57" t="str">
        <f>MIERCOLES!$B$261</f>
        <v>Vasto Interno</v>
      </c>
      <c r="F725" s="37" t="str">
        <f>MIERCOLES!$C$261</f>
        <v>--</v>
      </c>
      <c r="G725" s="37" t="str">
        <f>IFERROR(LOOKUP(2,1/((HISTORIAL!$O$3:$O$723=D725&amp;"|"&amp;E725)*(HISTORIAL!$F$3:$F$723&lt;&gt;"")),HISTORIAL!$F$3:$F$723),"")</f>
        <v/>
      </c>
      <c r="H725" s="37" t="str">
        <f>IFERROR(LOOKUP(2,1/((HISTORIAL!$O$3:$O$723=D725&amp;"|"&amp;E725)*(HISTORIAL!$F$3:$F$723&lt;&gt;"")),HISTORIAL!$G$3:$G$723),"")</f>
        <v/>
      </c>
      <c r="I725" s="37" t="str">
        <f>IFERROR(LOOKUP(2,1/((HISTORIAL!$O$3:$O$723=D725&amp;"|"&amp;E725)*(HISTORIAL!$F$3:$F$723&lt;&gt;"")),HISTORIAL!$H$3:$H$723),"")</f>
        <v/>
      </c>
      <c r="J725" s="37" t="str">
        <f>IFERROR(LOOKUP(2,1/((HISTORIAL!$O$3:$O$723=D725&amp;"|"&amp;E725)*(HISTORIAL!$F$3:$F$723&lt;&gt;"")),HISTORIAL!$I$3:$I$723),"")</f>
        <v/>
      </c>
      <c r="K725" s="58" t="str">
        <f>IFERROR(IF(OR(G725="",N725="SIN"),"--",IF(N725="SUBIR_F",IF(F725="polea",IFERROR(INDEX(CONFIG!$B$25:$B$40,MATCH(G725,CONFIG!$B$25:$B$40,0)+2),IFERROR(INDEX(CONFIG!$B$25:$B$40,MATCH(G725,CONFIG!$B$25:$B$40,0)+1),G725)),G725+5),IF(OR(N725="SUBIR",N725="SUBIR_E"),IF(F725="polea",IFERROR(INDEX(CONFIG!$B$25:$B$40,MATCH(G725,CONFIG!$B$25:$B$40,0)+1),G725),G725+2.5),IF(N725="BAJAR",IF(F725="polea",IFERROR(INDEX(CONFIG!$B$25:$B$40,MAX(1,MATCH(G725,CONFIG!$B$25:$B$40,0)-1)),G725),MAX(0,G725-2.5)),G725)))),"--")</f>
        <v>--</v>
      </c>
      <c r="L725" s="59" t="str">
        <f>IFERROR(IF(N725="SIN","--",IF(N725="MANT",IF(H725="","--",H725+1),IFERROR(VLOOKUP(CONFIG!$E$2,CONFIG!$A$6:$E$8,2,0),"--"))),"--")</f>
        <v>--</v>
      </c>
      <c r="M725" s="59" t="str">
        <f>IFERROR(IF(N725="SIN","--",IF(CONFIG!$E$2="HIP",2,IF(CONFIG!$E$2="FUE",1,2))),"--")</f>
        <v>--</v>
      </c>
      <c r="N725" s="53" t="str">
        <f>IFERROR(IF(G725="","SIN",IF(O725=1,"SUBIR_E",IF(H725&lt;IFERROR(VLOOKUP(CONFIG!$E$2,CONFIG!$A$6:$E$8,2,0),6),"BAJAR",IF(H725+I725&gt;=IFERROR(VLOOKUP(CONFIG!$E$2,CONFIG!$A$6:$E$8,3,0),12),"SUBIR_F",IF(AND(H725&gt;=IFERROR(VLOOKUP(CONFIG!$E$2,CONFIG!$A$6:$E$8,2,0),6)+2,I725&gt;=2),"SUBIR",IF(I725&gt;IFERROR(VLOOKUP(CONFIG!$E$2,CONFIG!$A$6:$E$8,5,0),3),"SUBIR","MANT")))))),"SIN")</f>
        <v>SIN</v>
      </c>
      <c r="O725" s="55">
        <f>IF(COUNTIFS(HISTORIAL!$O$3:$O$723,D725&amp;"|"&amp;E725,HISTORIAL!$F$3:$F$723,"&gt;0")&lt;2,0,IF(COUNTIFS(HISTORIAL!$O$3:$O$723,D725&amp;"|"&amp;E725,HISTORIAL!$F$3:$F$723,IFERROR(LOOKUP(2,1/((HISTORIAL!$O$3:$O$723=D725&amp;"|"&amp;E725)*(HISTORIAL!$F$3:$F$723&gt;0)),HISTORIAL!$F$3:$F$723),0))&gt;=2,IF(IFERROR(LOOKUP(2,1/((HISTORIAL!$O$3:$O$723=D725&amp;"|"&amp;E725)*(HISTORIAL!$F$3:$F$723&gt;0)),HISTORIAL!$G$3:$G$723),0)&gt;0,IF(F725&gt;0,IF(G725&lt;=IFERROR(LOOKUP(2,1/((HISTORIAL!$O$3:$O$723=D725&amp;"|"&amp;E725)*(HISTORIAL!$F$3:$F$723&gt;0)),HISTORIAL!$G$3:$G$723),0),1,0),0),0),0))</f>
        <v>0</v>
      </c>
    </row>
    <row r="726" spans="1:15" ht="14.1" customHeight="1">
      <c r="A726" s="37">
        <v>12</v>
      </c>
      <c r="B726" s="37" t="s">
        <v>279</v>
      </c>
      <c r="C726" s="37">
        <v>8</v>
      </c>
      <c r="D726" s="56" t="str">
        <f>MIERCOLES!$A$263</f>
        <v>Elevacion Gemelo</v>
      </c>
      <c r="E726" s="57" t="str">
        <f>MIERCOLES!$B$263</f>
        <v>Sentado</v>
      </c>
      <c r="F726" s="37" t="str">
        <f>MIERCOLES!$C$263</f>
        <v>disco</v>
      </c>
      <c r="G726" s="37" t="str">
        <f>IFERROR(LOOKUP(2,1/((HISTORIAL!$O$3:$O$724=D726&amp;"|"&amp;E726)*(HISTORIAL!$F$3:$F$724&lt;&gt;"")),HISTORIAL!$F$3:$F$724),"")</f>
        <v/>
      </c>
      <c r="H726" s="37" t="str">
        <f>IFERROR(LOOKUP(2,1/((HISTORIAL!$O$3:$O$724=D726&amp;"|"&amp;E726)*(HISTORIAL!$F$3:$F$724&lt;&gt;"")),HISTORIAL!$G$3:$G$724),"")</f>
        <v/>
      </c>
      <c r="I726" s="37" t="str">
        <f>IFERROR(LOOKUP(2,1/((HISTORIAL!$O$3:$O$724=D726&amp;"|"&amp;E726)*(HISTORIAL!$F$3:$F$724&lt;&gt;"")),HISTORIAL!$H$3:$H$724),"")</f>
        <v/>
      </c>
      <c r="J726" s="37" t="str">
        <f>IFERROR(LOOKUP(2,1/((HISTORIAL!$O$3:$O$724=D726&amp;"|"&amp;E726)*(HISTORIAL!$F$3:$F$724&lt;&gt;"")),HISTORIAL!$I$3:$I$724),"")</f>
        <v/>
      </c>
      <c r="K726" s="58" t="str">
        <f>IFERROR(IF(OR(G726="",N726="SIN"),"--",IF(N726="SUBIR_F",IF(F726="polea",IFERROR(INDEX(CONFIG!$B$25:$B$40,MATCH(G726,CONFIG!$B$25:$B$40,0)+2),IFERROR(INDEX(CONFIG!$B$25:$B$40,MATCH(G726,CONFIG!$B$25:$B$40,0)+1),G726)),G726+5),IF(OR(N726="SUBIR",N726="SUBIR_E"),IF(F726="polea",IFERROR(INDEX(CONFIG!$B$25:$B$40,MATCH(G726,CONFIG!$B$25:$B$40,0)+1),G726),G726+2.5),IF(N726="BAJAR",IF(F726="polea",IFERROR(INDEX(CONFIG!$B$25:$B$40,MAX(1,MATCH(G726,CONFIG!$B$25:$B$40,0)-1)),G726),MAX(0,G726-2.5)),G726)))),"--")</f>
        <v>--</v>
      </c>
      <c r="L726" s="59" t="str">
        <f>IFERROR(IF(N726="SIN","--",IF(N726="MANT",IF(H726="","--",H726+1),IFERROR(VLOOKUP(CONFIG!$E$2,CONFIG!$A$6:$E$8,2,0),"--"))),"--")</f>
        <v>--</v>
      </c>
      <c r="M726" s="59" t="str">
        <f>IFERROR(IF(N726="SIN","--",IF(CONFIG!$E$2="HIP",2,IF(CONFIG!$E$2="FUE",1,2))),"--")</f>
        <v>--</v>
      </c>
      <c r="N726" s="53" t="str">
        <f>IFERROR(IF(G726="","SIN",IF(O726=1,"SUBIR_E",IF(H726&lt;IFERROR(VLOOKUP(CONFIG!$E$2,CONFIG!$A$6:$E$8,2,0),6),"BAJAR",IF(H726+I726&gt;=IFERROR(VLOOKUP(CONFIG!$E$2,CONFIG!$A$6:$E$8,3,0),12),"SUBIR_F",IF(AND(H726&gt;=IFERROR(VLOOKUP(CONFIG!$E$2,CONFIG!$A$6:$E$8,2,0),6)+2,I726&gt;=2),"SUBIR",IF(I726&gt;IFERROR(VLOOKUP(CONFIG!$E$2,CONFIG!$A$6:$E$8,5,0),3),"SUBIR","MANT")))))),"SIN")</f>
        <v>SIN</v>
      </c>
      <c r="O726" s="55">
        <f>IF(COUNTIFS(HISTORIAL!$O$3:$O$724,D726&amp;"|"&amp;E726,HISTORIAL!$F$3:$F$724,"&gt;0")&lt;2,0,IF(COUNTIFS(HISTORIAL!$O$3:$O$724,D726&amp;"|"&amp;E726,HISTORIAL!$F$3:$F$724,IFERROR(LOOKUP(2,1/((HISTORIAL!$O$3:$O$724=D726&amp;"|"&amp;E726)*(HISTORIAL!$F$3:$F$724&gt;0)),HISTORIAL!$F$3:$F$724),0))&gt;=2,IF(IFERROR(LOOKUP(2,1/((HISTORIAL!$O$3:$O$724=D726&amp;"|"&amp;E726)*(HISTORIAL!$F$3:$F$724&gt;0)),HISTORIAL!$G$3:$G$724),0)&gt;0,IF(F726&gt;0,IF(G726&lt;=IFERROR(LOOKUP(2,1/((HISTORIAL!$O$3:$O$724=D726&amp;"|"&amp;E726)*(HISTORIAL!$F$3:$F$724&gt;0)),HISTORIAL!$G$3:$G$724),0),1,0),0),0),0))</f>
        <v>0</v>
      </c>
    </row>
    <row r="727" spans="1:15" ht="14.1" customHeight="1">
      <c r="A727" s="37">
        <v>12</v>
      </c>
      <c r="B727" s="37" t="s">
        <v>279</v>
      </c>
      <c r="C727" s="37">
        <v>9</v>
      </c>
      <c r="D727" s="56" t="str">
        <f>MIERCOLES!$A$264</f>
        <v>Elevacion Gemelo</v>
      </c>
      <c r="E727" s="57" t="str">
        <f>MIERCOLES!$B$264</f>
        <v>De Pie</v>
      </c>
      <c r="F727" s="37" t="str">
        <f>MIERCOLES!$C$264</f>
        <v>disco</v>
      </c>
      <c r="G727" s="37" t="str">
        <f>IFERROR(LOOKUP(2,1/((HISTORIAL!$O$3:$O$725=D727&amp;"|"&amp;E727)*(HISTORIAL!$F$3:$F$725&lt;&gt;"")),HISTORIAL!$F$3:$F$725),"")</f>
        <v/>
      </c>
      <c r="H727" s="37" t="str">
        <f>IFERROR(LOOKUP(2,1/((HISTORIAL!$O$3:$O$725=D727&amp;"|"&amp;E727)*(HISTORIAL!$F$3:$F$725&lt;&gt;"")),HISTORIAL!$G$3:$G$725),"")</f>
        <v/>
      </c>
      <c r="I727" s="37" t="str">
        <f>IFERROR(LOOKUP(2,1/((HISTORIAL!$O$3:$O$725=D727&amp;"|"&amp;E727)*(HISTORIAL!$F$3:$F$725&lt;&gt;"")),HISTORIAL!$H$3:$H$725),"")</f>
        <v/>
      </c>
      <c r="J727" s="37" t="str">
        <f>IFERROR(LOOKUP(2,1/((HISTORIAL!$O$3:$O$725=D727&amp;"|"&amp;E727)*(HISTORIAL!$F$3:$F$725&lt;&gt;"")),HISTORIAL!$I$3:$I$725),"")</f>
        <v/>
      </c>
      <c r="K727" s="58" t="str">
        <f>IFERROR(IF(OR(G727="",N727="SIN"),"--",IF(N727="SUBIR_F",IF(F727="polea",IFERROR(INDEX(CONFIG!$B$25:$B$40,MATCH(G727,CONFIG!$B$25:$B$40,0)+2),IFERROR(INDEX(CONFIG!$B$25:$B$40,MATCH(G727,CONFIG!$B$25:$B$40,0)+1),G727)),G727+5),IF(OR(N727="SUBIR",N727="SUBIR_E"),IF(F727="polea",IFERROR(INDEX(CONFIG!$B$25:$B$40,MATCH(G727,CONFIG!$B$25:$B$40,0)+1),G727),G727+2.5),IF(N727="BAJAR",IF(F727="polea",IFERROR(INDEX(CONFIG!$B$25:$B$40,MAX(1,MATCH(G727,CONFIG!$B$25:$B$40,0)-1)),G727),MAX(0,G727-2.5)),G727)))),"--")</f>
        <v>--</v>
      </c>
      <c r="L727" s="59" t="str">
        <f>IFERROR(IF(N727="SIN","--",IF(N727="MANT",IF(H727="","--",H727+1),IFERROR(VLOOKUP(CONFIG!$E$2,CONFIG!$A$6:$E$8,2,0),"--"))),"--")</f>
        <v>--</v>
      </c>
      <c r="M727" s="59" t="str">
        <f>IFERROR(IF(N727="SIN","--",IF(CONFIG!$E$2="HIP",2,IF(CONFIG!$E$2="FUE",1,2))),"--")</f>
        <v>--</v>
      </c>
      <c r="N727" s="53" t="str">
        <f>IFERROR(IF(G727="","SIN",IF(O727=1,"SUBIR_E",IF(H727&lt;IFERROR(VLOOKUP(CONFIG!$E$2,CONFIG!$A$6:$E$8,2,0),6),"BAJAR",IF(H727+I727&gt;=IFERROR(VLOOKUP(CONFIG!$E$2,CONFIG!$A$6:$E$8,3,0),12),"SUBIR_F",IF(AND(H727&gt;=IFERROR(VLOOKUP(CONFIG!$E$2,CONFIG!$A$6:$E$8,2,0),6)+2,I727&gt;=2),"SUBIR",IF(I727&gt;IFERROR(VLOOKUP(CONFIG!$E$2,CONFIG!$A$6:$E$8,5,0),3),"SUBIR","MANT")))))),"SIN")</f>
        <v>SIN</v>
      </c>
      <c r="O727" s="55">
        <f>IF(COUNTIFS(HISTORIAL!$O$3:$O$725,D727&amp;"|"&amp;E727,HISTORIAL!$F$3:$F$725,"&gt;0")&lt;2,0,IF(COUNTIFS(HISTORIAL!$O$3:$O$725,D727&amp;"|"&amp;E727,HISTORIAL!$F$3:$F$725,IFERROR(LOOKUP(2,1/((HISTORIAL!$O$3:$O$725=D727&amp;"|"&amp;E727)*(HISTORIAL!$F$3:$F$725&gt;0)),HISTORIAL!$F$3:$F$725),0))&gt;=2,IF(IFERROR(LOOKUP(2,1/((HISTORIAL!$O$3:$O$725=D727&amp;"|"&amp;E727)*(HISTORIAL!$F$3:$F$725&gt;0)),HISTORIAL!$G$3:$G$725),0)&gt;0,IF(F727&gt;0,IF(G727&lt;=IFERROR(LOOKUP(2,1/((HISTORIAL!$O$3:$O$725=D727&amp;"|"&amp;E727)*(HISTORIAL!$F$3:$F$725&gt;0)),HISTORIAL!$G$3:$G$725),0),1,0),0),0),0))</f>
        <v>0</v>
      </c>
    </row>
    <row r="728" spans="1:15" ht="14.1" customHeight="1">
      <c r="A728" s="37">
        <v>12</v>
      </c>
      <c r="B728" s="37" t="s">
        <v>279</v>
      </c>
      <c r="C728" s="37">
        <v>10</v>
      </c>
      <c r="D728" s="56" t="str">
        <f>MIERCOLES!$A$266</f>
        <v>Hiperextension</v>
      </c>
      <c r="E728" s="57" t="str">
        <f>MIERCOLES!$B$266</f>
        <v>Banco Romano</v>
      </c>
      <c r="F728" s="37" t="str">
        <f>MIERCOLES!$C$266</f>
        <v>peso_corporal</v>
      </c>
      <c r="G728" s="37" t="str">
        <f>IFERROR(LOOKUP(2,1/((HISTORIAL!$O$3:$O$726=D728&amp;"|"&amp;E728)*(HISTORIAL!$F$3:$F$726&lt;&gt;"")),HISTORIAL!$F$3:$F$726),"")</f>
        <v/>
      </c>
      <c r="H728" s="37" t="str">
        <f>IFERROR(LOOKUP(2,1/((HISTORIAL!$O$3:$O$726=D728&amp;"|"&amp;E728)*(HISTORIAL!$F$3:$F$726&lt;&gt;"")),HISTORIAL!$G$3:$G$726),"")</f>
        <v/>
      </c>
      <c r="I728" s="37" t="str">
        <f>IFERROR(LOOKUP(2,1/((HISTORIAL!$O$3:$O$726=D728&amp;"|"&amp;E728)*(HISTORIAL!$F$3:$F$726&lt;&gt;"")),HISTORIAL!$H$3:$H$726),"")</f>
        <v/>
      </c>
      <c r="J728" s="37" t="str">
        <f>IFERROR(LOOKUP(2,1/((HISTORIAL!$O$3:$O$726=D728&amp;"|"&amp;E728)*(HISTORIAL!$F$3:$F$726&lt;&gt;"")),HISTORIAL!$I$3:$I$726),"")</f>
        <v/>
      </c>
      <c r="K728" s="58" t="str">
        <f>IFERROR(IF(OR(G728="",N728="SIN"),"--",IF(N728="SUBIR_F",IF(F728="polea",IFERROR(INDEX(CONFIG!$B$25:$B$40,MATCH(G728,CONFIG!$B$25:$B$40,0)+2),IFERROR(INDEX(CONFIG!$B$25:$B$40,MATCH(G728,CONFIG!$B$25:$B$40,0)+1),G728)),G728+5),IF(OR(N728="SUBIR",N728="SUBIR_E"),IF(F728="polea",IFERROR(INDEX(CONFIG!$B$25:$B$40,MATCH(G728,CONFIG!$B$25:$B$40,0)+1),G728),G728+2.5),IF(N728="BAJAR",IF(F728="polea",IFERROR(INDEX(CONFIG!$B$25:$B$40,MAX(1,MATCH(G728,CONFIG!$B$25:$B$40,0)-1)),G728),MAX(0,G728-2.5)),G728)))),"--")</f>
        <v>--</v>
      </c>
      <c r="L728" s="59" t="str">
        <f>IFERROR(IF(N728="SIN","--",IF(N728="MANT",IF(H728="","--",H728+1),IFERROR(VLOOKUP(CONFIG!$E$2,CONFIG!$A$6:$E$8,2,0),"--"))),"--")</f>
        <v>--</v>
      </c>
      <c r="M728" s="59" t="str">
        <f>IFERROR(IF(N728="SIN","--",IF(CONFIG!$E$2="HIP",2,IF(CONFIG!$E$2="FUE",1,2))),"--")</f>
        <v>--</v>
      </c>
      <c r="N728" s="53" t="str">
        <f>IFERROR(IF(G728="","SIN",IF(O728=1,"SUBIR_E",IF(H728&lt;IFERROR(VLOOKUP(CONFIG!$E$2,CONFIG!$A$6:$E$8,2,0),6),"BAJAR",IF(H728+I728&gt;=IFERROR(VLOOKUP(CONFIG!$E$2,CONFIG!$A$6:$E$8,3,0),12),"SUBIR_F",IF(AND(H728&gt;=IFERROR(VLOOKUP(CONFIG!$E$2,CONFIG!$A$6:$E$8,2,0),6)+2,I728&gt;=2),"SUBIR",IF(I728&gt;IFERROR(VLOOKUP(CONFIG!$E$2,CONFIG!$A$6:$E$8,5,0),3),"SUBIR","MANT")))))),"SIN")</f>
        <v>SIN</v>
      </c>
      <c r="O728" s="55">
        <f>IF(COUNTIFS(HISTORIAL!$O$3:$O$726,D728&amp;"|"&amp;E728,HISTORIAL!$F$3:$F$726,"&gt;0")&lt;2,0,IF(COUNTIFS(HISTORIAL!$O$3:$O$726,D728&amp;"|"&amp;E728,HISTORIAL!$F$3:$F$726,IFERROR(LOOKUP(2,1/((HISTORIAL!$O$3:$O$726=D728&amp;"|"&amp;E728)*(HISTORIAL!$F$3:$F$726&gt;0)),HISTORIAL!$F$3:$F$726),0))&gt;=2,IF(IFERROR(LOOKUP(2,1/((HISTORIAL!$O$3:$O$726=D728&amp;"|"&amp;E728)*(HISTORIAL!$F$3:$F$726&gt;0)),HISTORIAL!$G$3:$G$726),0)&gt;0,IF(F728&gt;0,IF(G728&lt;=IFERROR(LOOKUP(2,1/((HISTORIAL!$O$3:$O$726=D728&amp;"|"&amp;E728)*(HISTORIAL!$F$3:$F$726&gt;0)),HISTORIAL!$G$3:$G$726),0),1,0),0),0),0))</f>
        <v>0</v>
      </c>
    </row>
    <row r="729" spans="1:15" ht="14.1" customHeight="1">
      <c r="A729" s="37">
        <v>12</v>
      </c>
      <c r="B729" s="37" t="s">
        <v>279</v>
      </c>
      <c r="C729" s="37">
        <v>11</v>
      </c>
      <c r="D729" s="56" t="str">
        <f>MIERCOLES!$A$267</f>
        <v>Peso Muerto Parcial</v>
      </c>
      <c r="E729" s="57" t="str">
        <f>MIERCOLES!$B$267</f>
        <v>Barra</v>
      </c>
      <c r="F729" s="37" t="str">
        <f>MIERCOLES!$C$267</f>
        <v>disco</v>
      </c>
      <c r="G729" s="37" t="str">
        <f>IFERROR(LOOKUP(2,1/((HISTORIAL!$O$3:$O$727=D729&amp;"|"&amp;E729)*(HISTORIAL!$F$3:$F$727&lt;&gt;"")),HISTORIAL!$F$3:$F$727),"")</f>
        <v/>
      </c>
      <c r="H729" s="37" t="str">
        <f>IFERROR(LOOKUP(2,1/((HISTORIAL!$O$3:$O$727=D729&amp;"|"&amp;E729)*(HISTORIAL!$F$3:$F$727&lt;&gt;"")),HISTORIAL!$G$3:$G$727),"")</f>
        <v/>
      </c>
      <c r="I729" s="37" t="str">
        <f>IFERROR(LOOKUP(2,1/((HISTORIAL!$O$3:$O$727=D729&amp;"|"&amp;E729)*(HISTORIAL!$F$3:$F$727&lt;&gt;"")),HISTORIAL!$H$3:$H$727),"")</f>
        <v/>
      </c>
      <c r="J729" s="37" t="str">
        <f>IFERROR(LOOKUP(2,1/((HISTORIAL!$O$3:$O$727=D729&amp;"|"&amp;E729)*(HISTORIAL!$F$3:$F$727&lt;&gt;"")),HISTORIAL!$I$3:$I$727),"")</f>
        <v/>
      </c>
      <c r="K729" s="58" t="str">
        <f>IFERROR(IF(OR(G729="",N729="SIN"),"--",IF(N729="SUBIR_F",IF(F729="polea",IFERROR(INDEX(CONFIG!$B$25:$B$40,MATCH(G729,CONFIG!$B$25:$B$40,0)+2),IFERROR(INDEX(CONFIG!$B$25:$B$40,MATCH(G729,CONFIG!$B$25:$B$40,0)+1),G729)),G729+5),IF(OR(N729="SUBIR",N729="SUBIR_E"),IF(F729="polea",IFERROR(INDEX(CONFIG!$B$25:$B$40,MATCH(G729,CONFIG!$B$25:$B$40,0)+1),G729),G729+2.5),IF(N729="BAJAR",IF(F729="polea",IFERROR(INDEX(CONFIG!$B$25:$B$40,MAX(1,MATCH(G729,CONFIG!$B$25:$B$40,0)-1)),G729),MAX(0,G729-2.5)),G729)))),"--")</f>
        <v>--</v>
      </c>
      <c r="L729" s="59" t="str">
        <f>IFERROR(IF(N729="SIN","--",IF(N729="MANT",IF(H729="","--",H729+1),IFERROR(VLOOKUP(CONFIG!$E$2,CONFIG!$A$6:$E$8,2,0),"--"))),"--")</f>
        <v>--</v>
      </c>
      <c r="M729" s="59" t="str">
        <f>IFERROR(IF(N729="SIN","--",IF(CONFIG!$E$2="HIP",2,IF(CONFIG!$E$2="FUE",1,2))),"--")</f>
        <v>--</v>
      </c>
      <c r="N729" s="53" t="str">
        <f>IFERROR(IF(G729="","SIN",IF(O729=1,"SUBIR_E",IF(H729&lt;IFERROR(VLOOKUP(CONFIG!$E$2,CONFIG!$A$6:$E$8,2,0),6),"BAJAR",IF(H729+I729&gt;=IFERROR(VLOOKUP(CONFIG!$E$2,CONFIG!$A$6:$E$8,3,0),12),"SUBIR_F",IF(AND(H729&gt;=IFERROR(VLOOKUP(CONFIG!$E$2,CONFIG!$A$6:$E$8,2,0),6)+2,I729&gt;=2),"SUBIR",IF(I729&gt;IFERROR(VLOOKUP(CONFIG!$E$2,CONFIG!$A$6:$E$8,5,0),3),"SUBIR","MANT")))))),"SIN")</f>
        <v>SIN</v>
      </c>
      <c r="O729" s="55">
        <f>IF(COUNTIFS(HISTORIAL!$O$3:$O$727,D729&amp;"|"&amp;E729,HISTORIAL!$F$3:$F$727,"&gt;0")&lt;2,0,IF(COUNTIFS(HISTORIAL!$O$3:$O$727,D729&amp;"|"&amp;E729,HISTORIAL!$F$3:$F$727,IFERROR(LOOKUP(2,1/((HISTORIAL!$O$3:$O$727=D729&amp;"|"&amp;E729)*(HISTORIAL!$F$3:$F$727&gt;0)),HISTORIAL!$F$3:$F$727),0))&gt;=2,IF(IFERROR(LOOKUP(2,1/((HISTORIAL!$O$3:$O$727=D729&amp;"|"&amp;E729)*(HISTORIAL!$F$3:$F$727&gt;0)),HISTORIAL!$G$3:$G$727),0)&gt;0,IF(F729&gt;0,IF(G729&lt;=IFERROR(LOOKUP(2,1/((HISTORIAL!$O$3:$O$727=D729&amp;"|"&amp;E729)*(HISTORIAL!$F$3:$F$727&gt;0)),HISTORIAL!$G$3:$G$727),0),1,0),0),0),0))</f>
        <v>0</v>
      </c>
    </row>
    <row r="730" spans="1:15" ht="14.1" customHeight="1">
      <c r="A730" s="37">
        <v>12</v>
      </c>
      <c r="B730" s="37" t="s">
        <v>279</v>
      </c>
      <c r="C730" s="37">
        <v>12</v>
      </c>
      <c r="D730" s="56" t="str">
        <f>MIERCOLES!$A$269</f>
        <v>Crunch</v>
      </c>
      <c r="E730" s="57" t="str">
        <f>MIERCOLES!$B$269</f>
        <v>Polea</v>
      </c>
      <c r="F730" s="37" t="str">
        <f>MIERCOLES!$C$269</f>
        <v>polea</v>
      </c>
      <c r="G730" s="37" t="str">
        <f>IFERROR(LOOKUP(2,1/((HISTORIAL!$O$3:$O$728=D730&amp;"|"&amp;E730)*(HISTORIAL!$F$3:$F$728&lt;&gt;"")),HISTORIAL!$F$3:$F$728),"")</f>
        <v/>
      </c>
      <c r="H730" s="37" t="str">
        <f>IFERROR(LOOKUP(2,1/((HISTORIAL!$O$3:$O$728=D730&amp;"|"&amp;E730)*(HISTORIAL!$F$3:$F$728&lt;&gt;"")),HISTORIAL!$G$3:$G$728),"")</f>
        <v/>
      </c>
      <c r="I730" s="37" t="str">
        <f>IFERROR(LOOKUP(2,1/((HISTORIAL!$O$3:$O$728=D730&amp;"|"&amp;E730)*(HISTORIAL!$F$3:$F$728&lt;&gt;"")),HISTORIAL!$H$3:$H$728),"")</f>
        <v/>
      </c>
      <c r="J730" s="37" t="str">
        <f>IFERROR(LOOKUP(2,1/((HISTORIAL!$O$3:$O$728=D730&amp;"|"&amp;E730)*(HISTORIAL!$F$3:$F$728&lt;&gt;"")),HISTORIAL!$I$3:$I$728),"")</f>
        <v/>
      </c>
      <c r="K730" s="58" t="str">
        <f>IFERROR(IF(OR(G730="",N730="SIN"),"--",IF(N730="SUBIR_F",IF(F730="polea",IFERROR(INDEX(CONFIG!$B$25:$B$40,MATCH(G730,CONFIG!$B$25:$B$40,0)+2),IFERROR(INDEX(CONFIG!$B$25:$B$40,MATCH(G730,CONFIG!$B$25:$B$40,0)+1),G730)),G730+5),IF(OR(N730="SUBIR",N730="SUBIR_E"),IF(F730="polea",IFERROR(INDEX(CONFIG!$B$25:$B$40,MATCH(G730,CONFIG!$B$25:$B$40,0)+1),G730),G730+2.5),IF(N730="BAJAR",IF(F730="polea",IFERROR(INDEX(CONFIG!$B$25:$B$40,MAX(1,MATCH(G730,CONFIG!$B$25:$B$40,0)-1)),G730),MAX(0,G730-2.5)),G730)))),"--")</f>
        <v>--</v>
      </c>
      <c r="L730" s="59" t="str">
        <f>IFERROR(IF(N730="SIN","--",IF(N730="MANT",IF(H730="","--",H730+1),IFERROR(VLOOKUP(CONFIG!$E$2,CONFIG!$A$6:$E$8,2,0),"--"))),"--")</f>
        <v>--</v>
      </c>
      <c r="M730" s="59" t="str">
        <f>IFERROR(IF(N730="SIN","--",IF(CONFIG!$E$2="HIP",2,IF(CONFIG!$E$2="FUE",1,2))),"--")</f>
        <v>--</v>
      </c>
      <c r="N730" s="53" t="str">
        <f>IFERROR(IF(G730="","SIN",IF(O730=1,"SUBIR_E",IF(H730&lt;IFERROR(VLOOKUP(CONFIG!$E$2,CONFIG!$A$6:$E$8,2,0),6),"BAJAR",IF(H730+I730&gt;=IFERROR(VLOOKUP(CONFIG!$E$2,CONFIG!$A$6:$E$8,3,0),12),"SUBIR_F",IF(AND(H730&gt;=IFERROR(VLOOKUP(CONFIG!$E$2,CONFIG!$A$6:$E$8,2,0),6)+2,I730&gt;=2),"SUBIR",IF(I730&gt;IFERROR(VLOOKUP(CONFIG!$E$2,CONFIG!$A$6:$E$8,5,0),3),"SUBIR","MANT")))))),"SIN")</f>
        <v>SIN</v>
      </c>
      <c r="O730" s="55">
        <f>IF(COUNTIFS(HISTORIAL!$O$3:$O$728,D730&amp;"|"&amp;E730,HISTORIAL!$F$3:$F$728,"&gt;0")&lt;2,0,IF(COUNTIFS(HISTORIAL!$O$3:$O$728,D730&amp;"|"&amp;E730,HISTORIAL!$F$3:$F$728,IFERROR(LOOKUP(2,1/((HISTORIAL!$O$3:$O$728=D730&amp;"|"&amp;E730)*(HISTORIAL!$F$3:$F$728&gt;0)),HISTORIAL!$F$3:$F$728),0))&gt;=2,IF(IFERROR(LOOKUP(2,1/((HISTORIAL!$O$3:$O$728=D730&amp;"|"&amp;E730)*(HISTORIAL!$F$3:$F$728&gt;0)),HISTORIAL!$G$3:$G$728),0)&gt;0,IF(F730&gt;0,IF(G730&lt;=IFERROR(LOOKUP(2,1/((HISTORIAL!$O$3:$O$728=D730&amp;"|"&amp;E730)*(HISTORIAL!$F$3:$F$728&gt;0)),HISTORIAL!$G$3:$G$728),0),1,0),0),0),0))</f>
        <v>0</v>
      </c>
    </row>
    <row r="731" spans="1:15" ht="14.1" customHeight="1">
      <c r="A731" s="37">
        <v>12</v>
      </c>
      <c r="B731" s="37" t="s">
        <v>279</v>
      </c>
      <c r="C731" s="37">
        <v>13</v>
      </c>
      <c r="D731" s="56" t="str">
        <f>MIERCOLES!$A$270</f>
        <v>Plancha</v>
      </c>
      <c r="E731" s="57" t="str">
        <f>MIERCOLES!$B$270</f>
        <v>Abdominal</v>
      </c>
      <c r="F731" s="37" t="str">
        <f>MIERCOLES!$C$270</f>
        <v>--</v>
      </c>
      <c r="G731" s="37" t="str">
        <f>IFERROR(LOOKUP(2,1/((HISTORIAL!$O$3:$O$729=D731&amp;"|"&amp;E731)*(HISTORIAL!$F$3:$F$729&lt;&gt;"")),HISTORIAL!$F$3:$F$729),"")</f>
        <v/>
      </c>
      <c r="H731" s="37" t="str">
        <f>IFERROR(LOOKUP(2,1/((HISTORIAL!$O$3:$O$729=D731&amp;"|"&amp;E731)*(HISTORIAL!$F$3:$F$729&lt;&gt;"")),HISTORIAL!$G$3:$G$729),"")</f>
        <v/>
      </c>
      <c r="I731" s="37" t="str">
        <f>IFERROR(LOOKUP(2,1/((HISTORIAL!$O$3:$O$729=D731&amp;"|"&amp;E731)*(HISTORIAL!$F$3:$F$729&lt;&gt;"")),HISTORIAL!$H$3:$H$729),"")</f>
        <v/>
      </c>
      <c r="J731" s="37" t="str">
        <f>IFERROR(LOOKUP(2,1/((HISTORIAL!$O$3:$O$729=D731&amp;"|"&amp;E731)*(HISTORIAL!$F$3:$F$729&lt;&gt;"")),HISTORIAL!$I$3:$I$729),"")</f>
        <v/>
      </c>
      <c r="K731" s="58" t="str">
        <f>IFERROR(IF(OR(G731="",N731="SIN"),"--",IF(N731="SUBIR_F",IF(F731="polea",IFERROR(INDEX(CONFIG!$B$25:$B$40,MATCH(G731,CONFIG!$B$25:$B$40,0)+2),IFERROR(INDEX(CONFIG!$B$25:$B$40,MATCH(G731,CONFIG!$B$25:$B$40,0)+1),G731)),G731+5),IF(OR(N731="SUBIR",N731="SUBIR_E"),IF(F731="polea",IFERROR(INDEX(CONFIG!$B$25:$B$40,MATCH(G731,CONFIG!$B$25:$B$40,0)+1),G731),G731+2.5),IF(N731="BAJAR",IF(F731="polea",IFERROR(INDEX(CONFIG!$B$25:$B$40,MAX(1,MATCH(G731,CONFIG!$B$25:$B$40,0)-1)),G731),MAX(0,G731-2.5)),G731)))),"--")</f>
        <v>--</v>
      </c>
      <c r="L731" s="59" t="str">
        <f>IFERROR(IF(N731="SIN","--",IF(N731="MANT",IF(H731="","--",H731+1),IFERROR(VLOOKUP(CONFIG!$E$2,CONFIG!$A$6:$E$8,2,0),"--"))),"--")</f>
        <v>--</v>
      </c>
      <c r="M731" s="59" t="str">
        <f>IFERROR(IF(N731="SIN","--",IF(CONFIG!$E$2="HIP",2,IF(CONFIG!$E$2="FUE",1,2))),"--")</f>
        <v>--</v>
      </c>
      <c r="N731" s="53" t="str">
        <f>IFERROR(IF(G731="","SIN",IF(O731=1,"SUBIR_E",IF(H731&lt;IFERROR(VLOOKUP(CONFIG!$E$2,CONFIG!$A$6:$E$8,2,0),6),"BAJAR",IF(H731+I731&gt;=IFERROR(VLOOKUP(CONFIG!$E$2,CONFIG!$A$6:$E$8,3,0),12),"SUBIR_F",IF(AND(H731&gt;=IFERROR(VLOOKUP(CONFIG!$E$2,CONFIG!$A$6:$E$8,2,0),6)+2,I731&gt;=2),"SUBIR",IF(I731&gt;IFERROR(VLOOKUP(CONFIG!$E$2,CONFIG!$A$6:$E$8,5,0),3),"SUBIR","MANT")))))),"SIN")</f>
        <v>SIN</v>
      </c>
      <c r="O731" s="55">
        <f>IF(COUNTIFS(HISTORIAL!$O$3:$O$729,D731&amp;"|"&amp;E731,HISTORIAL!$F$3:$F$729,"&gt;0")&lt;2,0,IF(COUNTIFS(HISTORIAL!$O$3:$O$729,D731&amp;"|"&amp;E731,HISTORIAL!$F$3:$F$729,IFERROR(LOOKUP(2,1/((HISTORIAL!$O$3:$O$729=D731&amp;"|"&amp;E731)*(HISTORIAL!$F$3:$F$729&gt;0)),HISTORIAL!$F$3:$F$729),0))&gt;=2,IF(IFERROR(LOOKUP(2,1/((HISTORIAL!$O$3:$O$729=D731&amp;"|"&amp;E731)*(HISTORIAL!$F$3:$F$729&gt;0)),HISTORIAL!$G$3:$G$729),0)&gt;0,IF(F731&gt;0,IF(G731&lt;=IFERROR(LOOKUP(2,1/((HISTORIAL!$O$3:$O$729=D731&amp;"|"&amp;E731)*(HISTORIAL!$F$3:$F$729&gt;0)),HISTORIAL!$G$3:$G$729),0),1,0),0),0),0))</f>
        <v>0</v>
      </c>
    </row>
    <row r="732" spans="1:15" ht="14.1" customHeight="1">
      <c r="A732" s="37">
        <v>12</v>
      </c>
      <c r="B732" s="37" t="s">
        <v>279</v>
      </c>
      <c r="C732" s="37">
        <v>14</v>
      </c>
      <c r="D732" s="56" t="str">
        <f>MIERCOLES!$A$271</f>
        <v>Rueda Abdominal</v>
      </c>
      <c r="E732" s="57" t="str">
        <f>MIERCOLES!$B$271</f>
        <v>Ab Wheel</v>
      </c>
      <c r="F732" s="37" t="str">
        <f>MIERCOLES!$C$271</f>
        <v>--</v>
      </c>
      <c r="G732" s="37" t="str">
        <f>IFERROR(LOOKUP(2,1/((HISTORIAL!$O$3:$O$730=D732&amp;"|"&amp;E732)*(HISTORIAL!$F$3:$F$730&lt;&gt;"")),HISTORIAL!$F$3:$F$730),"")</f>
        <v/>
      </c>
      <c r="H732" s="37" t="str">
        <f>IFERROR(LOOKUP(2,1/((HISTORIAL!$O$3:$O$730=D732&amp;"|"&amp;E732)*(HISTORIAL!$F$3:$F$730&lt;&gt;"")),HISTORIAL!$G$3:$G$730),"")</f>
        <v/>
      </c>
      <c r="I732" s="37" t="str">
        <f>IFERROR(LOOKUP(2,1/((HISTORIAL!$O$3:$O$730=D732&amp;"|"&amp;E732)*(HISTORIAL!$F$3:$F$730&lt;&gt;"")),HISTORIAL!$H$3:$H$730),"")</f>
        <v/>
      </c>
      <c r="J732" s="37" t="str">
        <f>IFERROR(LOOKUP(2,1/((HISTORIAL!$O$3:$O$730=D732&amp;"|"&amp;E732)*(HISTORIAL!$F$3:$F$730&lt;&gt;"")),HISTORIAL!$I$3:$I$730),"")</f>
        <v/>
      </c>
      <c r="K732" s="58" t="str">
        <f>IFERROR(IF(OR(G732="",N732="SIN"),"--",IF(N732="SUBIR_F",IF(F732="polea",IFERROR(INDEX(CONFIG!$B$25:$B$40,MATCH(G732,CONFIG!$B$25:$B$40,0)+2),IFERROR(INDEX(CONFIG!$B$25:$B$40,MATCH(G732,CONFIG!$B$25:$B$40,0)+1),G732)),G732+5),IF(OR(N732="SUBIR",N732="SUBIR_E"),IF(F732="polea",IFERROR(INDEX(CONFIG!$B$25:$B$40,MATCH(G732,CONFIG!$B$25:$B$40,0)+1),G732),G732+2.5),IF(N732="BAJAR",IF(F732="polea",IFERROR(INDEX(CONFIG!$B$25:$B$40,MAX(1,MATCH(G732,CONFIG!$B$25:$B$40,0)-1)),G732),MAX(0,G732-2.5)),G732)))),"--")</f>
        <v>--</v>
      </c>
      <c r="L732" s="59" t="str">
        <f>IFERROR(IF(N732="SIN","--",IF(N732="MANT",IF(H732="","--",H732+1),IFERROR(VLOOKUP(CONFIG!$E$2,CONFIG!$A$6:$E$8,2,0),"--"))),"--")</f>
        <v>--</v>
      </c>
      <c r="M732" s="59" t="str">
        <f>IFERROR(IF(N732="SIN","--",IF(CONFIG!$E$2="HIP",2,IF(CONFIG!$E$2="FUE",1,2))),"--")</f>
        <v>--</v>
      </c>
      <c r="N732" s="53" t="str">
        <f>IFERROR(IF(G732="","SIN",IF(O732=1,"SUBIR_E",IF(H732&lt;IFERROR(VLOOKUP(CONFIG!$E$2,CONFIG!$A$6:$E$8,2,0),6),"BAJAR",IF(H732+I732&gt;=IFERROR(VLOOKUP(CONFIG!$E$2,CONFIG!$A$6:$E$8,3,0),12),"SUBIR_F",IF(AND(H732&gt;=IFERROR(VLOOKUP(CONFIG!$E$2,CONFIG!$A$6:$E$8,2,0),6)+2,I732&gt;=2),"SUBIR",IF(I732&gt;IFERROR(VLOOKUP(CONFIG!$E$2,CONFIG!$A$6:$E$8,5,0),3),"SUBIR","MANT")))))),"SIN")</f>
        <v>SIN</v>
      </c>
      <c r="O732" s="55">
        <f>IF(COUNTIFS(HISTORIAL!$O$3:$O$730,D732&amp;"|"&amp;E732,HISTORIAL!$F$3:$F$730,"&gt;0")&lt;2,0,IF(COUNTIFS(HISTORIAL!$O$3:$O$730,D732&amp;"|"&amp;E732,HISTORIAL!$F$3:$F$730,IFERROR(LOOKUP(2,1/((HISTORIAL!$O$3:$O$730=D732&amp;"|"&amp;E732)*(HISTORIAL!$F$3:$F$730&gt;0)),HISTORIAL!$F$3:$F$730),0))&gt;=2,IF(IFERROR(LOOKUP(2,1/((HISTORIAL!$O$3:$O$730=D732&amp;"|"&amp;E732)*(HISTORIAL!$F$3:$F$730&gt;0)),HISTORIAL!$G$3:$G$730),0)&gt;0,IF(F732&gt;0,IF(G732&lt;=IFERROR(LOOKUP(2,1/((HISTORIAL!$O$3:$O$730=D732&amp;"|"&amp;E732)*(HISTORIAL!$F$3:$F$730&gt;0)),HISTORIAL!$G$3:$G$730),0),1,0),0),0),0))</f>
        <v>0</v>
      </c>
    </row>
    <row r="733" spans="1:15" ht="14.1" customHeight="1">
      <c r="A733" s="37">
        <v>12</v>
      </c>
      <c r="B733" s="37" t="s">
        <v>279</v>
      </c>
      <c r="C733" s="37">
        <v>15</v>
      </c>
      <c r="D733" s="56" t="str">
        <f>MIERCOLES!$A$272</f>
        <v>Elevacion Piernas</v>
      </c>
      <c r="E733" s="57" t="str">
        <f>MIERCOLES!$B$272</f>
        <v>Colgado</v>
      </c>
      <c r="F733" s="37" t="str">
        <f>MIERCOLES!$C$272</f>
        <v>peso_corporal</v>
      </c>
      <c r="G733" s="37" t="str">
        <f>IFERROR(LOOKUP(2,1/((HISTORIAL!$O$3:$O$731=D733&amp;"|"&amp;E733)*(HISTORIAL!$F$3:$F$731&lt;&gt;"")),HISTORIAL!$F$3:$F$731),"")</f>
        <v/>
      </c>
      <c r="H733" s="37" t="str">
        <f>IFERROR(LOOKUP(2,1/((HISTORIAL!$O$3:$O$731=D733&amp;"|"&amp;E733)*(HISTORIAL!$F$3:$F$731&lt;&gt;"")),HISTORIAL!$G$3:$G$731),"")</f>
        <v/>
      </c>
      <c r="I733" s="37" t="str">
        <f>IFERROR(LOOKUP(2,1/((HISTORIAL!$O$3:$O$731=D733&amp;"|"&amp;E733)*(HISTORIAL!$F$3:$F$731&lt;&gt;"")),HISTORIAL!$H$3:$H$731),"")</f>
        <v/>
      </c>
      <c r="J733" s="37" t="str">
        <f>IFERROR(LOOKUP(2,1/((HISTORIAL!$O$3:$O$731=D733&amp;"|"&amp;E733)*(HISTORIAL!$F$3:$F$731&lt;&gt;"")),HISTORIAL!$I$3:$I$731),"")</f>
        <v/>
      </c>
      <c r="K733" s="58" t="str">
        <f>IFERROR(IF(OR(G733="",N733="SIN"),"--",IF(N733="SUBIR_F",IF(F733="polea",IFERROR(INDEX(CONFIG!$B$25:$B$40,MATCH(G733,CONFIG!$B$25:$B$40,0)+2),IFERROR(INDEX(CONFIG!$B$25:$B$40,MATCH(G733,CONFIG!$B$25:$B$40,0)+1),G733)),G733+5),IF(OR(N733="SUBIR",N733="SUBIR_E"),IF(F733="polea",IFERROR(INDEX(CONFIG!$B$25:$B$40,MATCH(G733,CONFIG!$B$25:$B$40,0)+1),G733),G733+2.5),IF(N733="BAJAR",IF(F733="polea",IFERROR(INDEX(CONFIG!$B$25:$B$40,MAX(1,MATCH(G733,CONFIG!$B$25:$B$40,0)-1)),G733),MAX(0,G733-2.5)),G733)))),"--")</f>
        <v>--</v>
      </c>
      <c r="L733" s="59" t="str">
        <f>IFERROR(IF(N733="SIN","--",IF(N733="MANT",IF(H733="","--",H733+1),IFERROR(VLOOKUP(CONFIG!$E$2,CONFIG!$A$6:$E$8,2,0),"--"))),"--")</f>
        <v>--</v>
      </c>
      <c r="M733" s="59" t="str">
        <f>IFERROR(IF(N733="SIN","--",IF(CONFIG!$E$2="HIP",2,IF(CONFIG!$E$2="FUE",1,2))),"--")</f>
        <v>--</v>
      </c>
      <c r="N733" s="53" t="str">
        <f>IFERROR(IF(G733="","SIN",IF(O733=1,"SUBIR_E",IF(H733&lt;IFERROR(VLOOKUP(CONFIG!$E$2,CONFIG!$A$6:$E$8,2,0),6),"BAJAR",IF(H733+I733&gt;=IFERROR(VLOOKUP(CONFIG!$E$2,CONFIG!$A$6:$E$8,3,0),12),"SUBIR_F",IF(AND(H733&gt;=IFERROR(VLOOKUP(CONFIG!$E$2,CONFIG!$A$6:$E$8,2,0),6)+2,I733&gt;=2),"SUBIR",IF(I733&gt;IFERROR(VLOOKUP(CONFIG!$E$2,CONFIG!$A$6:$E$8,5,0),3),"SUBIR","MANT")))))),"SIN")</f>
        <v>SIN</v>
      </c>
      <c r="O733" s="55">
        <f>IF(COUNTIFS(HISTORIAL!$O$3:$O$731,D733&amp;"|"&amp;E733,HISTORIAL!$F$3:$F$731,"&gt;0")&lt;2,0,IF(COUNTIFS(HISTORIAL!$O$3:$O$731,D733&amp;"|"&amp;E733,HISTORIAL!$F$3:$F$731,IFERROR(LOOKUP(2,1/((HISTORIAL!$O$3:$O$731=D733&amp;"|"&amp;E733)*(HISTORIAL!$F$3:$F$731&gt;0)),HISTORIAL!$F$3:$F$731),0))&gt;=2,IF(IFERROR(LOOKUP(2,1/((HISTORIAL!$O$3:$O$731=D733&amp;"|"&amp;E733)*(HISTORIAL!$F$3:$F$731&gt;0)),HISTORIAL!$G$3:$G$731),0)&gt;0,IF(F733&gt;0,IF(G733&lt;=IFERROR(LOOKUP(2,1/((HISTORIAL!$O$3:$O$731=D733&amp;"|"&amp;E733)*(HISTORIAL!$F$3:$F$731&gt;0)),HISTORIAL!$G$3:$G$731),0),1,0),0),0),0))</f>
        <v>0</v>
      </c>
    </row>
    <row r="734" spans="1:15" ht="14.1" customHeight="1">
      <c r="A734" s="37">
        <v>12</v>
      </c>
      <c r="B734" s="37" t="s">
        <v>280</v>
      </c>
      <c r="C734" s="37">
        <v>1</v>
      </c>
      <c r="D734" s="56" t="str">
        <f>JUEVES!$A$287</f>
        <v>Press Militar</v>
      </c>
      <c r="E734" s="57" t="str">
        <f>JUEVES!$B$287</f>
        <v>Multipower</v>
      </c>
      <c r="F734" s="37" t="str">
        <f>JUEVES!$C$287</f>
        <v>--</v>
      </c>
      <c r="G734" s="37" t="str">
        <f>IFERROR(LOOKUP(2,1/((HISTORIAL!$O$3:$O$732=D734&amp;"|"&amp;E734)*(HISTORIAL!$F$3:$F$732&lt;&gt;"")),HISTORIAL!$F$3:$F$732),"")</f>
        <v/>
      </c>
      <c r="H734" s="37" t="str">
        <f>IFERROR(LOOKUP(2,1/((HISTORIAL!$O$3:$O$732=D734&amp;"|"&amp;E734)*(HISTORIAL!$F$3:$F$732&lt;&gt;"")),HISTORIAL!$G$3:$G$732),"")</f>
        <v/>
      </c>
      <c r="I734" s="37" t="str">
        <f>IFERROR(LOOKUP(2,1/((HISTORIAL!$O$3:$O$732=D734&amp;"|"&amp;E734)*(HISTORIAL!$F$3:$F$732&lt;&gt;"")),HISTORIAL!$H$3:$H$732),"")</f>
        <v/>
      </c>
      <c r="J734" s="37" t="str">
        <f>IFERROR(LOOKUP(2,1/((HISTORIAL!$O$3:$O$732=D734&amp;"|"&amp;E734)*(HISTORIAL!$F$3:$F$732&lt;&gt;"")),HISTORIAL!$I$3:$I$732),"")</f>
        <v/>
      </c>
      <c r="K734" s="58" t="str">
        <f>IFERROR(IF(OR(G734="",N734="SIN"),"--",IF(N734="SUBIR_F",IF(F734="polea",IFERROR(INDEX(CONFIG!$B$25:$B$40,MATCH(G734,CONFIG!$B$25:$B$40,0)+2),IFERROR(INDEX(CONFIG!$B$25:$B$40,MATCH(G734,CONFIG!$B$25:$B$40,0)+1),G734)),G734+5),IF(OR(N734="SUBIR",N734="SUBIR_E"),IF(F734="polea",IFERROR(INDEX(CONFIG!$B$25:$B$40,MATCH(G734,CONFIG!$B$25:$B$40,0)+1),G734),G734+2.5),IF(N734="BAJAR",IF(F734="polea",IFERROR(INDEX(CONFIG!$B$25:$B$40,MAX(1,MATCH(G734,CONFIG!$B$25:$B$40,0)-1)),G734),MAX(0,G734-2.5)),G734)))),"--")</f>
        <v>--</v>
      </c>
      <c r="L734" s="59" t="str">
        <f>IFERROR(IF(N734="SIN","--",IF(N734="MANT",IF(H734="","--",H734+1),IFERROR(VLOOKUP(CONFIG!$E$2,CONFIG!$A$6:$E$8,2,0),"--"))),"--")</f>
        <v>--</v>
      </c>
      <c r="M734" s="59" t="str">
        <f>IFERROR(IF(N734="SIN","--",IF(CONFIG!$E$2="HIP",2,IF(CONFIG!$E$2="FUE",1,2))),"--")</f>
        <v>--</v>
      </c>
      <c r="N734" s="53" t="str">
        <f>IFERROR(IF(G734="","SIN",IF(O734=1,"SUBIR_E",IF(H734&lt;IFERROR(VLOOKUP(CONFIG!$E$2,CONFIG!$A$6:$E$8,2,0),6),"BAJAR",IF(H734+I734&gt;=IFERROR(VLOOKUP(CONFIG!$E$2,CONFIG!$A$6:$E$8,3,0),12),"SUBIR_F",IF(AND(H734&gt;=IFERROR(VLOOKUP(CONFIG!$E$2,CONFIG!$A$6:$E$8,2,0),6)+2,I734&gt;=2),"SUBIR",IF(I734&gt;IFERROR(VLOOKUP(CONFIG!$E$2,CONFIG!$A$6:$E$8,5,0),3),"SUBIR","MANT")))))),"SIN")</f>
        <v>SIN</v>
      </c>
      <c r="O734" s="55">
        <f>IF(COUNTIFS(HISTORIAL!$O$3:$O$732,D734&amp;"|"&amp;E734,HISTORIAL!$F$3:$F$732,"&gt;0")&lt;2,0,IF(COUNTIFS(HISTORIAL!$O$3:$O$732,D734&amp;"|"&amp;E734,HISTORIAL!$F$3:$F$732,IFERROR(LOOKUP(2,1/((HISTORIAL!$O$3:$O$732=D734&amp;"|"&amp;E734)*(HISTORIAL!$F$3:$F$732&gt;0)),HISTORIAL!$F$3:$F$732),0))&gt;=2,IF(IFERROR(LOOKUP(2,1/((HISTORIAL!$O$3:$O$732=D734&amp;"|"&amp;E734)*(HISTORIAL!$F$3:$F$732&gt;0)),HISTORIAL!$G$3:$G$732),0)&gt;0,IF(F734&gt;0,IF(G734&lt;=IFERROR(LOOKUP(2,1/((HISTORIAL!$O$3:$O$732=D734&amp;"|"&amp;E734)*(HISTORIAL!$F$3:$F$732&gt;0)),HISTORIAL!$G$3:$G$732),0),1,0),0),0),0))</f>
        <v>0</v>
      </c>
    </row>
    <row r="735" spans="1:15" ht="14.1" customHeight="1">
      <c r="A735" s="37">
        <v>12</v>
      </c>
      <c r="B735" s="37" t="s">
        <v>280</v>
      </c>
      <c r="C735" s="37">
        <v>2</v>
      </c>
      <c r="D735" s="56" t="str">
        <f>JUEVES!$A$288</f>
        <v>Elevaciones Laterales</v>
      </c>
      <c r="E735" s="57" t="str">
        <f>JUEVES!$B$288</f>
        <v>Drop Set Maquina</v>
      </c>
      <c r="F735" s="37" t="str">
        <f>JUEVES!$C$288</f>
        <v>--</v>
      </c>
      <c r="G735" s="37" t="str">
        <f>IFERROR(LOOKUP(2,1/((HISTORIAL!$O$3:$O$733=D735&amp;"|"&amp;E735)*(HISTORIAL!$F$3:$F$733&lt;&gt;"")),HISTORIAL!$F$3:$F$733),"")</f>
        <v/>
      </c>
      <c r="H735" s="37" t="str">
        <f>IFERROR(LOOKUP(2,1/((HISTORIAL!$O$3:$O$733=D735&amp;"|"&amp;E735)*(HISTORIAL!$F$3:$F$733&lt;&gt;"")),HISTORIAL!$G$3:$G$733),"")</f>
        <v/>
      </c>
      <c r="I735" s="37" t="str">
        <f>IFERROR(LOOKUP(2,1/((HISTORIAL!$O$3:$O$733=D735&amp;"|"&amp;E735)*(HISTORIAL!$F$3:$F$733&lt;&gt;"")),HISTORIAL!$H$3:$H$733),"")</f>
        <v/>
      </c>
      <c r="J735" s="37" t="str">
        <f>IFERROR(LOOKUP(2,1/((HISTORIAL!$O$3:$O$733=D735&amp;"|"&amp;E735)*(HISTORIAL!$F$3:$F$733&lt;&gt;"")),HISTORIAL!$I$3:$I$733),"")</f>
        <v/>
      </c>
      <c r="K735" s="58" t="str">
        <f>IFERROR(IF(OR(G735="",N735="SIN"),"--",IF(N735="SUBIR_F",IF(F735="polea",IFERROR(INDEX(CONFIG!$B$25:$B$40,MATCH(G735,CONFIG!$B$25:$B$40,0)+2),IFERROR(INDEX(CONFIG!$B$25:$B$40,MATCH(G735,CONFIG!$B$25:$B$40,0)+1),G735)),G735+5),IF(OR(N735="SUBIR",N735="SUBIR_E"),IF(F735="polea",IFERROR(INDEX(CONFIG!$B$25:$B$40,MATCH(G735,CONFIG!$B$25:$B$40,0)+1),G735),G735+2.5),IF(N735="BAJAR",IF(F735="polea",IFERROR(INDEX(CONFIG!$B$25:$B$40,MAX(1,MATCH(G735,CONFIG!$B$25:$B$40,0)-1)),G735),MAX(0,G735-2.5)),G735)))),"--")</f>
        <v>--</v>
      </c>
      <c r="L735" s="59" t="str">
        <f>IFERROR(IF(N735="SIN","--",IF(N735="MANT",IF(H735="","--",H735+1),IFERROR(VLOOKUP(CONFIG!$E$2,CONFIG!$A$6:$E$8,2,0),"--"))),"--")</f>
        <v>--</v>
      </c>
      <c r="M735" s="59" t="str">
        <f>IFERROR(IF(N735="SIN","--",IF(CONFIG!$E$2="HIP",2,IF(CONFIG!$E$2="FUE",1,2))),"--")</f>
        <v>--</v>
      </c>
      <c r="N735" s="53" t="str">
        <f>IFERROR(IF(G735="","SIN",IF(O735=1,"SUBIR_E",IF(H735&lt;IFERROR(VLOOKUP(CONFIG!$E$2,CONFIG!$A$6:$E$8,2,0),6),"BAJAR",IF(H735+I735&gt;=IFERROR(VLOOKUP(CONFIG!$E$2,CONFIG!$A$6:$E$8,3,0),12),"SUBIR_F",IF(AND(H735&gt;=IFERROR(VLOOKUP(CONFIG!$E$2,CONFIG!$A$6:$E$8,2,0),6)+2,I735&gt;=2),"SUBIR",IF(I735&gt;IFERROR(VLOOKUP(CONFIG!$E$2,CONFIG!$A$6:$E$8,5,0),3),"SUBIR","MANT")))))),"SIN")</f>
        <v>SIN</v>
      </c>
      <c r="O735" s="55">
        <f>IF(COUNTIFS(HISTORIAL!$O$3:$O$733,D735&amp;"|"&amp;E735,HISTORIAL!$F$3:$F$733,"&gt;0")&lt;2,0,IF(COUNTIFS(HISTORIAL!$O$3:$O$733,D735&amp;"|"&amp;E735,HISTORIAL!$F$3:$F$733,IFERROR(LOOKUP(2,1/((HISTORIAL!$O$3:$O$733=D735&amp;"|"&amp;E735)*(HISTORIAL!$F$3:$F$733&gt;0)),HISTORIAL!$F$3:$F$733),0))&gt;=2,IF(IFERROR(LOOKUP(2,1/((HISTORIAL!$O$3:$O$733=D735&amp;"|"&amp;E735)*(HISTORIAL!$F$3:$F$733&gt;0)),HISTORIAL!$G$3:$G$733),0)&gt;0,IF(F735&gt;0,IF(G735&lt;=IFERROR(LOOKUP(2,1/((HISTORIAL!$O$3:$O$733=D735&amp;"|"&amp;E735)*(HISTORIAL!$F$3:$F$733&gt;0)),HISTORIAL!$G$3:$G$733),0),1,0),0),0),0))</f>
        <v>0</v>
      </c>
    </row>
    <row r="736" spans="1:15" ht="14.1" customHeight="1">
      <c r="A736" s="37">
        <v>12</v>
      </c>
      <c r="B736" s="37" t="s">
        <v>280</v>
      </c>
      <c r="C736" s="37">
        <v>3</v>
      </c>
      <c r="D736" s="56" t="str">
        <f>JUEVES!$A$290</f>
        <v>Pajaro</v>
      </c>
      <c r="E736" s="57" t="str">
        <f>JUEVES!$B$290</f>
        <v>Elevacion Posterior</v>
      </c>
      <c r="F736" s="37" t="str">
        <f>JUEVES!$C$290</f>
        <v>mancuerna</v>
      </c>
      <c r="G736" s="37" t="str">
        <f>IFERROR(LOOKUP(2,1/((HISTORIAL!$O$3:$O$734=D736&amp;"|"&amp;E736)*(HISTORIAL!$F$3:$F$734&lt;&gt;"")),HISTORIAL!$F$3:$F$734),"")</f>
        <v/>
      </c>
      <c r="H736" s="37" t="str">
        <f>IFERROR(LOOKUP(2,1/((HISTORIAL!$O$3:$O$734=D736&amp;"|"&amp;E736)*(HISTORIAL!$F$3:$F$734&lt;&gt;"")),HISTORIAL!$G$3:$G$734),"")</f>
        <v/>
      </c>
      <c r="I736" s="37" t="str">
        <f>IFERROR(LOOKUP(2,1/((HISTORIAL!$O$3:$O$734=D736&amp;"|"&amp;E736)*(HISTORIAL!$F$3:$F$734&lt;&gt;"")),HISTORIAL!$H$3:$H$734),"")</f>
        <v/>
      </c>
      <c r="J736" s="37" t="str">
        <f>IFERROR(LOOKUP(2,1/((HISTORIAL!$O$3:$O$734=D736&amp;"|"&amp;E736)*(HISTORIAL!$F$3:$F$734&lt;&gt;"")),HISTORIAL!$I$3:$I$734),"")</f>
        <v/>
      </c>
      <c r="K736" s="58" t="str">
        <f>IFERROR(IF(OR(G736="",N736="SIN"),"--",IF(N736="SUBIR_F",IF(F736="polea",IFERROR(INDEX(CONFIG!$B$25:$B$40,MATCH(G736,CONFIG!$B$25:$B$40,0)+2),IFERROR(INDEX(CONFIG!$B$25:$B$40,MATCH(G736,CONFIG!$B$25:$B$40,0)+1),G736)),G736+5),IF(OR(N736="SUBIR",N736="SUBIR_E"),IF(F736="polea",IFERROR(INDEX(CONFIG!$B$25:$B$40,MATCH(G736,CONFIG!$B$25:$B$40,0)+1),G736),G736+2.5),IF(N736="BAJAR",IF(F736="polea",IFERROR(INDEX(CONFIG!$B$25:$B$40,MAX(1,MATCH(G736,CONFIG!$B$25:$B$40,0)-1)),G736),MAX(0,G736-2.5)),G736)))),"--")</f>
        <v>--</v>
      </c>
      <c r="L736" s="59" t="str">
        <f>IFERROR(IF(N736="SIN","--",IF(N736="MANT",IF(H736="","--",H736+1),IFERROR(VLOOKUP(CONFIG!$E$2,CONFIG!$A$6:$E$8,2,0),"--"))),"--")</f>
        <v>--</v>
      </c>
      <c r="M736" s="59" t="str">
        <f>IFERROR(IF(N736="SIN","--",IF(CONFIG!$E$2="HIP",2,IF(CONFIG!$E$2="FUE",1,2))),"--")</f>
        <v>--</v>
      </c>
      <c r="N736" s="53" t="str">
        <f>IFERROR(IF(G736="","SIN",IF(O736=1,"SUBIR_E",IF(H736&lt;IFERROR(VLOOKUP(CONFIG!$E$2,CONFIG!$A$6:$E$8,2,0),6),"BAJAR",IF(H736+I736&gt;=IFERROR(VLOOKUP(CONFIG!$E$2,CONFIG!$A$6:$E$8,3,0),12),"SUBIR_F",IF(AND(H736&gt;=IFERROR(VLOOKUP(CONFIG!$E$2,CONFIG!$A$6:$E$8,2,0),6)+2,I736&gt;=2),"SUBIR",IF(I736&gt;IFERROR(VLOOKUP(CONFIG!$E$2,CONFIG!$A$6:$E$8,5,0),3),"SUBIR","MANT")))))),"SIN")</f>
        <v>SIN</v>
      </c>
      <c r="O736" s="55">
        <f>IF(COUNTIFS(HISTORIAL!$O$3:$O$734,D736&amp;"|"&amp;E736,HISTORIAL!$F$3:$F$734,"&gt;0")&lt;2,0,IF(COUNTIFS(HISTORIAL!$O$3:$O$734,D736&amp;"|"&amp;E736,HISTORIAL!$F$3:$F$734,IFERROR(LOOKUP(2,1/((HISTORIAL!$O$3:$O$734=D736&amp;"|"&amp;E736)*(HISTORIAL!$F$3:$F$734&gt;0)),HISTORIAL!$F$3:$F$734),0))&gt;=2,IF(IFERROR(LOOKUP(2,1/((HISTORIAL!$O$3:$O$734=D736&amp;"|"&amp;E736)*(HISTORIAL!$F$3:$F$734&gt;0)),HISTORIAL!$G$3:$G$734),0)&gt;0,IF(F736&gt;0,IF(G736&lt;=IFERROR(LOOKUP(2,1/((HISTORIAL!$O$3:$O$734=D736&amp;"|"&amp;E736)*(HISTORIAL!$F$3:$F$734&gt;0)),HISTORIAL!$G$3:$G$734),0),1,0),0),0),0))</f>
        <v>0</v>
      </c>
    </row>
    <row r="737" spans="1:15" ht="14.1" customHeight="1">
      <c r="A737" s="37">
        <v>12</v>
      </c>
      <c r="B737" s="37" t="s">
        <v>280</v>
      </c>
      <c r="C737" s="37">
        <v>4</v>
      </c>
      <c r="D737" s="56" t="str">
        <f>JUEVES!$A$291</f>
        <v>Peck Deck Invertida</v>
      </c>
      <c r="E737" s="57" t="str">
        <f>JUEVES!$B$291</f>
        <v>Maquina</v>
      </c>
      <c r="F737" s="37" t="str">
        <f>JUEVES!$C$291</f>
        <v>polea</v>
      </c>
      <c r="G737" s="37" t="str">
        <f>IFERROR(LOOKUP(2,1/((HISTORIAL!$O$3:$O$735=D737&amp;"|"&amp;E737)*(HISTORIAL!$F$3:$F$735&lt;&gt;"")),HISTORIAL!$F$3:$F$735),"")</f>
        <v/>
      </c>
      <c r="H737" s="37" t="str">
        <f>IFERROR(LOOKUP(2,1/((HISTORIAL!$O$3:$O$735=D737&amp;"|"&amp;E737)*(HISTORIAL!$F$3:$F$735&lt;&gt;"")),HISTORIAL!$G$3:$G$735),"")</f>
        <v/>
      </c>
      <c r="I737" s="37" t="str">
        <f>IFERROR(LOOKUP(2,1/((HISTORIAL!$O$3:$O$735=D737&amp;"|"&amp;E737)*(HISTORIAL!$F$3:$F$735&lt;&gt;"")),HISTORIAL!$H$3:$H$735),"")</f>
        <v/>
      </c>
      <c r="J737" s="37" t="str">
        <f>IFERROR(LOOKUP(2,1/((HISTORIAL!$O$3:$O$735=D737&amp;"|"&amp;E737)*(HISTORIAL!$F$3:$F$735&lt;&gt;"")),HISTORIAL!$I$3:$I$735),"")</f>
        <v/>
      </c>
      <c r="K737" s="58" t="str">
        <f>IFERROR(IF(OR(G737="",N737="SIN"),"--",IF(N737="SUBIR_F",IF(F737="polea",IFERROR(INDEX(CONFIG!$B$25:$B$40,MATCH(G737,CONFIG!$B$25:$B$40,0)+2),IFERROR(INDEX(CONFIG!$B$25:$B$40,MATCH(G737,CONFIG!$B$25:$B$40,0)+1),G737)),G737+5),IF(OR(N737="SUBIR",N737="SUBIR_E"),IF(F737="polea",IFERROR(INDEX(CONFIG!$B$25:$B$40,MATCH(G737,CONFIG!$B$25:$B$40,0)+1),G737),G737+2.5),IF(N737="BAJAR",IF(F737="polea",IFERROR(INDEX(CONFIG!$B$25:$B$40,MAX(1,MATCH(G737,CONFIG!$B$25:$B$40,0)-1)),G737),MAX(0,G737-2.5)),G737)))),"--")</f>
        <v>--</v>
      </c>
      <c r="L737" s="59" t="str">
        <f>IFERROR(IF(N737="SIN","--",IF(N737="MANT",IF(H737="","--",H737+1),IFERROR(VLOOKUP(CONFIG!$E$2,CONFIG!$A$6:$E$8,2,0),"--"))),"--")</f>
        <v>--</v>
      </c>
      <c r="M737" s="59" t="str">
        <f>IFERROR(IF(N737="SIN","--",IF(CONFIG!$E$2="HIP",2,IF(CONFIG!$E$2="FUE",1,2))),"--")</f>
        <v>--</v>
      </c>
      <c r="N737" s="53" t="str">
        <f>IFERROR(IF(G737="","SIN",IF(O737=1,"SUBIR_E",IF(H737&lt;IFERROR(VLOOKUP(CONFIG!$E$2,CONFIG!$A$6:$E$8,2,0),6),"BAJAR",IF(H737+I737&gt;=IFERROR(VLOOKUP(CONFIG!$E$2,CONFIG!$A$6:$E$8,3,0),12),"SUBIR_F",IF(AND(H737&gt;=IFERROR(VLOOKUP(CONFIG!$E$2,CONFIG!$A$6:$E$8,2,0),6)+2,I737&gt;=2),"SUBIR",IF(I737&gt;IFERROR(VLOOKUP(CONFIG!$E$2,CONFIG!$A$6:$E$8,5,0),3),"SUBIR","MANT")))))),"SIN")</f>
        <v>SIN</v>
      </c>
      <c r="O737" s="55">
        <f>IF(COUNTIFS(HISTORIAL!$O$3:$O$735,D737&amp;"|"&amp;E737,HISTORIAL!$F$3:$F$735,"&gt;0")&lt;2,0,IF(COUNTIFS(HISTORIAL!$O$3:$O$735,D737&amp;"|"&amp;E737,HISTORIAL!$F$3:$F$735,IFERROR(LOOKUP(2,1/((HISTORIAL!$O$3:$O$735=D737&amp;"|"&amp;E737)*(HISTORIAL!$F$3:$F$735&gt;0)),HISTORIAL!$F$3:$F$735),0))&gt;=2,IF(IFERROR(LOOKUP(2,1/((HISTORIAL!$O$3:$O$735=D737&amp;"|"&amp;E737)*(HISTORIAL!$F$3:$F$735&gt;0)),HISTORIAL!$G$3:$G$735),0)&gt;0,IF(F737&gt;0,IF(G737&lt;=IFERROR(LOOKUP(2,1/((HISTORIAL!$O$3:$O$735=D737&amp;"|"&amp;E737)*(HISTORIAL!$F$3:$F$735&gt;0)),HISTORIAL!$G$3:$G$735),0),1,0),0),0),0))</f>
        <v>0</v>
      </c>
    </row>
    <row r="738" spans="1:15" ht="14.1" customHeight="1">
      <c r="A738" s="37">
        <v>12</v>
      </c>
      <c r="B738" s="37" t="s">
        <v>280</v>
      </c>
      <c r="C738" s="37">
        <v>5</v>
      </c>
      <c r="D738" s="56" t="str">
        <f>JUEVES!$A$292</f>
        <v>Elevaciones Posteriores</v>
      </c>
      <c r="E738" s="57" t="str">
        <f>JUEVES!$B$292</f>
        <v>Polea Individual</v>
      </c>
      <c r="F738" s="37" t="str">
        <f>JUEVES!$C$292</f>
        <v>polea</v>
      </c>
      <c r="G738" s="37" t="str">
        <f>IFERROR(LOOKUP(2,1/((HISTORIAL!$O$3:$O$736=D738&amp;"|"&amp;E738)*(HISTORIAL!$F$3:$F$736&lt;&gt;"")),HISTORIAL!$F$3:$F$736),"")</f>
        <v/>
      </c>
      <c r="H738" s="37" t="str">
        <f>IFERROR(LOOKUP(2,1/((HISTORIAL!$O$3:$O$736=D738&amp;"|"&amp;E738)*(HISTORIAL!$F$3:$F$736&lt;&gt;"")),HISTORIAL!$G$3:$G$736),"")</f>
        <v/>
      </c>
      <c r="I738" s="37" t="str">
        <f>IFERROR(LOOKUP(2,1/((HISTORIAL!$O$3:$O$736=D738&amp;"|"&amp;E738)*(HISTORIAL!$F$3:$F$736&lt;&gt;"")),HISTORIAL!$H$3:$H$736),"")</f>
        <v/>
      </c>
      <c r="J738" s="37" t="str">
        <f>IFERROR(LOOKUP(2,1/((HISTORIAL!$O$3:$O$736=D738&amp;"|"&amp;E738)*(HISTORIAL!$F$3:$F$736&lt;&gt;"")),HISTORIAL!$I$3:$I$736),"")</f>
        <v/>
      </c>
      <c r="K738" s="58" t="str">
        <f>IFERROR(IF(OR(G738="",N738="SIN"),"--",IF(N738="SUBIR_F",IF(F738="polea",IFERROR(INDEX(CONFIG!$B$25:$B$40,MATCH(G738,CONFIG!$B$25:$B$40,0)+2),IFERROR(INDEX(CONFIG!$B$25:$B$40,MATCH(G738,CONFIG!$B$25:$B$40,0)+1),G738)),G738+5),IF(OR(N738="SUBIR",N738="SUBIR_E"),IF(F738="polea",IFERROR(INDEX(CONFIG!$B$25:$B$40,MATCH(G738,CONFIG!$B$25:$B$40,0)+1),G738),G738+2.5),IF(N738="BAJAR",IF(F738="polea",IFERROR(INDEX(CONFIG!$B$25:$B$40,MAX(1,MATCH(G738,CONFIG!$B$25:$B$40,0)-1)),G738),MAX(0,G738-2.5)),G738)))),"--")</f>
        <v>--</v>
      </c>
      <c r="L738" s="59" t="str">
        <f>IFERROR(IF(N738="SIN","--",IF(N738="MANT",IF(H738="","--",H738+1),IFERROR(VLOOKUP(CONFIG!$E$2,CONFIG!$A$6:$E$8,2,0),"--"))),"--")</f>
        <v>--</v>
      </c>
      <c r="M738" s="59" t="str">
        <f>IFERROR(IF(N738="SIN","--",IF(CONFIG!$E$2="HIP",2,IF(CONFIG!$E$2="FUE",1,2))),"--")</f>
        <v>--</v>
      </c>
      <c r="N738" s="53" t="str">
        <f>IFERROR(IF(G738="","SIN",IF(O738=1,"SUBIR_E",IF(H738&lt;IFERROR(VLOOKUP(CONFIG!$E$2,CONFIG!$A$6:$E$8,2,0),6),"BAJAR",IF(H738+I738&gt;=IFERROR(VLOOKUP(CONFIG!$E$2,CONFIG!$A$6:$E$8,3,0),12),"SUBIR_F",IF(AND(H738&gt;=IFERROR(VLOOKUP(CONFIG!$E$2,CONFIG!$A$6:$E$8,2,0),6)+2,I738&gt;=2),"SUBIR",IF(I738&gt;IFERROR(VLOOKUP(CONFIG!$E$2,CONFIG!$A$6:$E$8,5,0),3),"SUBIR","MANT")))))),"SIN")</f>
        <v>SIN</v>
      </c>
      <c r="O738" s="55">
        <f>IF(COUNTIFS(HISTORIAL!$O$3:$O$736,D738&amp;"|"&amp;E738,HISTORIAL!$F$3:$F$736,"&gt;0")&lt;2,0,IF(COUNTIFS(HISTORIAL!$O$3:$O$736,D738&amp;"|"&amp;E738,HISTORIAL!$F$3:$F$736,IFERROR(LOOKUP(2,1/((HISTORIAL!$O$3:$O$736=D738&amp;"|"&amp;E738)*(HISTORIAL!$F$3:$F$736&gt;0)),HISTORIAL!$F$3:$F$736),0))&gt;=2,IF(IFERROR(LOOKUP(2,1/((HISTORIAL!$O$3:$O$736=D738&amp;"|"&amp;E738)*(HISTORIAL!$F$3:$F$736&gt;0)),HISTORIAL!$G$3:$G$736),0)&gt;0,IF(F738&gt;0,IF(G738&lt;=IFERROR(LOOKUP(2,1/((HISTORIAL!$O$3:$O$736=D738&amp;"|"&amp;E738)*(HISTORIAL!$F$3:$F$736&gt;0)),HISTORIAL!$G$3:$G$736),0),1,0),0),0),0))</f>
        <v>0</v>
      </c>
    </row>
    <row r="739" spans="1:15" ht="14.1" customHeight="1">
      <c r="A739" s="37">
        <v>12</v>
      </c>
      <c r="B739" s="37" t="s">
        <v>280</v>
      </c>
      <c r="C739" s="37">
        <v>6</v>
      </c>
      <c r="D739" s="56" t="str">
        <f>JUEVES!$A$295</f>
        <v>Press Plano</v>
      </c>
      <c r="E739" s="57" t="str">
        <f>JUEVES!$B$295</f>
        <v>Mancuernas</v>
      </c>
      <c r="F739" s="37" t="str">
        <f>JUEVES!$C$295</f>
        <v>mancuerna</v>
      </c>
      <c r="G739" s="37" t="str">
        <f>IFERROR(LOOKUP(2,1/((HISTORIAL!$O$3:$O$737=D739&amp;"|"&amp;E739)*(HISTORIAL!$F$3:$F$737&lt;&gt;"")),HISTORIAL!$F$3:$F$737),"")</f>
        <v/>
      </c>
      <c r="H739" s="37" t="str">
        <f>IFERROR(LOOKUP(2,1/((HISTORIAL!$O$3:$O$737=D739&amp;"|"&amp;E739)*(HISTORIAL!$F$3:$F$737&lt;&gt;"")),HISTORIAL!$G$3:$G$737),"")</f>
        <v/>
      </c>
      <c r="I739" s="37" t="str">
        <f>IFERROR(LOOKUP(2,1/((HISTORIAL!$O$3:$O$737=D739&amp;"|"&amp;E739)*(HISTORIAL!$F$3:$F$737&lt;&gt;"")),HISTORIAL!$H$3:$H$737),"")</f>
        <v/>
      </c>
      <c r="J739" s="37" t="str">
        <f>IFERROR(LOOKUP(2,1/((HISTORIAL!$O$3:$O$737=D739&amp;"|"&amp;E739)*(HISTORIAL!$F$3:$F$737&lt;&gt;"")),HISTORIAL!$I$3:$I$737),"")</f>
        <v/>
      </c>
      <c r="K739" s="58" t="str">
        <f>IFERROR(IF(OR(G739="",N739="SIN"),"--",IF(N739="SUBIR_F",IF(F739="polea",IFERROR(INDEX(CONFIG!$B$25:$B$40,MATCH(G739,CONFIG!$B$25:$B$40,0)+2),IFERROR(INDEX(CONFIG!$B$25:$B$40,MATCH(G739,CONFIG!$B$25:$B$40,0)+1),G739)),G739+5),IF(OR(N739="SUBIR",N739="SUBIR_E"),IF(F739="polea",IFERROR(INDEX(CONFIG!$B$25:$B$40,MATCH(G739,CONFIG!$B$25:$B$40,0)+1),G739),G739+2.5),IF(N739="BAJAR",IF(F739="polea",IFERROR(INDEX(CONFIG!$B$25:$B$40,MAX(1,MATCH(G739,CONFIG!$B$25:$B$40,0)-1)),G739),MAX(0,G739-2.5)),G739)))),"--")</f>
        <v>--</v>
      </c>
      <c r="L739" s="59" t="str">
        <f>IFERROR(IF(N739="SIN","--",IF(N739="MANT",IF(H739="","--",H739+1),IFERROR(VLOOKUP(CONFIG!$E$2,CONFIG!$A$6:$E$8,2,0),"--"))),"--")</f>
        <v>--</v>
      </c>
      <c r="M739" s="59" t="str">
        <f>IFERROR(IF(N739="SIN","--",IF(CONFIG!$E$2="HIP",2,IF(CONFIG!$E$2="FUE",1,2))),"--")</f>
        <v>--</v>
      </c>
      <c r="N739" s="53" t="str">
        <f>IFERROR(IF(G739="","SIN",IF(O739=1,"SUBIR_E",IF(H739&lt;IFERROR(VLOOKUP(CONFIG!$E$2,CONFIG!$A$6:$E$8,2,0),6),"BAJAR",IF(H739+I739&gt;=IFERROR(VLOOKUP(CONFIG!$E$2,CONFIG!$A$6:$E$8,3,0),12),"SUBIR_F",IF(AND(H739&gt;=IFERROR(VLOOKUP(CONFIG!$E$2,CONFIG!$A$6:$E$8,2,0),6)+2,I739&gt;=2),"SUBIR",IF(I739&gt;IFERROR(VLOOKUP(CONFIG!$E$2,CONFIG!$A$6:$E$8,5,0),3),"SUBIR","MANT")))))),"SIN")</f>
        <v>SIN</v>
      </c>
      <c r="O739" s="55">
        <f>IF(COUNTIFS(HISTORIAL!$O$3:$O$737,D739&amp;"|"&amp;E739,HISTORIAL!$F$3:$F$737,"&gt;0")&lt;2,0,IF(COUNTIFS(HISTORIAL!$O$3:$O$737,D739&amp;"|"&amp;E739,HISTORIAL!$F$3:$F$737,IFERROR(LOOKUP(2,1/((HISTORIAL!$O$3:$O$737=D739&amp;"|"&amp;E739)*(HISTORIAL!$F$3:$F$737&gt;0)),HISTORIAL!$F$3:$F$737),0))&gt;=2,IF(IFERROR(LOOKUP(2,1/((HISTORIAL!$O$3:$O$737=D739&amp;"|"&amp;E739)*(HISTORIAL!$F$3:$F$737&gt;0)),HISTORIAL!$G$3:$G$737),0)&gt;0,IF(F739&gt;0,IF(G739&lt;=IFERROR(LOOKUP(2,1/((HISTORIAL!$O$3:$O$737=D739&amp;"|"&amp;E739)*(HISTORIAL!$F$3:$F$737&gt;0)),HISTORIAL!$G$3:$G$737),0),1,0),0),0),0))</f>
        <v>0</v>
      </c>
    </row>
    <row r="740" spans="1:15" ht="14.1" customHeight="1">
      <c r="A740" s="37">
        <v>12</v>
      </c>
      <c r="B740" s="37" t="s">
        <v>280</v>
      </c>
      <c r="C740" s="37">
        <v>7</v>
      </c>
      <c r="D740" s="56" t="str">
        <f>JUEVES!$A$297</f>
        <v>Press Inclinado</v>
      </c>
      <c r="E740" s="57" t="str">
        <f>JUEVES!$B$297</f>
        <v>Multipower</v>
      </c>
      <c r="F740" s="37" t="str">
        <f>JUEVES!$C$297</f>
        <v>disco</v>
      </c>
      <c r="G740" s="37" t="str">
        <f>IFERROR(LOOKUP(2,1/((HISTORIAL!$O$3:$O$738=D740&amp;"|"&amp;E740)*(HISTORIAL!$F$3:$F$738&lt;&gt;"")),HISTORIAL!$F$3:$F$738),"")</f>
        <v/>
      </c>
      <c r="H740" s="37" t="str">
        <f>IFERROR(LOOKUP(2,1/((HISTORIAL!$O$3:$O$738=D740&amp;"|"&amp;E740)*(HISTORIAL!$F$3:$F$738&lt;&gt;"")),HISTORIAL!$G$3:$G$738),"")</f>
        <v/>
      </c>
      <c r="I740" s="37" t="str">
        <f>IFERROR(LOOKUP(2,1/((HISTORIAL!$O$3:$O$738=D740&amp;"|"&amp;E740)*(HISTORIAL!$F$3:$F$738&lt;&gt;"")),HISTORIAL!$H$3:$H$738),"")</f>
        <v/>
      </c>
      <c r="J740" s="37" t="str">
        <f>IFERROR(LOOKUP(2,1/((HISTORIAL!$O$3:$O$738=D740&amp;"|"&amp;E740)*(HISTORIAL!$F$3:$F$738&lt;&gt;"")),HISTORIAL!$I$3:$I$738),"")</f>
        <v/>
      </c>
      <c r="K740" s="58" t="str">
        <f>IFERROR(IF(OR(G740="",N740="SIN"),"--",IF(N740="SUBIR_F",IF(F740="polea",IFERROR(INDEX(CONFIG!$B$25:$B$40,MATCH(G740,CONFIG!$B$25:$B$40,0)+2),IFERROR(INDEX(CONFIG!$B$25:$B$40,MATCH(G740,CONFIG!$B$25:$B$40,0)+1),G740)),G740+5),IF(OR(N740="SUBIR",N740="SUBIR_E"),IF(F740="polea",IFERROR(INDEX(CONFIG!$B$25:$B$40,MATCH(G740,CONFIG!$B$25:$B$40,0)+1),G740),G740+2.5),IF(N740="BAJAR",IF(F740="polea",IFERROR(INDEX(CONFIG!$B$25:$B$40,MAX(1,MATCH(G740,CONFIG!$B$25:$B$40,0)-1)),G740),MAX(0,G740-2.5)),G740)))),"--")</f>
        <v>--</v>
      </c>
      <c r="L740" s="59" t="str">
        <f>IFERROR(IF(N740="SIN","--",IF(N740="MANT",IF(H740="","--",H740+1),IFERROR(VLOOKUP(CONFIG!$E$2,CONFIG!$A$6:$E$8,2,0),"--"))),"--")</f>
        <v>--</v>
      </c>
      <c r="M740" s="59" t="str">
        <f>IFERROR(IF(N740="SIN","--",IF(CONFIG!$E$2="HIP",2,IF(CONFIG!$E$2="FUE",1,2))),"--")</f>
        <v>--</v>
      </c>
      <c r="N740" s="53" t="str">
        <f>IFERROR(IF(G740="","SIN",IF(O740=1,"SUBIR_E",IF(H740&lt;IFERROR(VLOOKUP(CONFIG!$E$2,CONFIG!$A$6:$E$8,2,0),6),"BAJAR",IF(H740+I740&gt;=IFERROR(VLOOKUP(CONFIG!$E$2,CONFIG!$A$6:$E$8,3,0),12),"SUBIR_F",IF(AND(H740&gt;=IFERROR(VLOOKUP(CONFIG!$E$2,CONFIG!$A$6:$E$8,2,0),6)+2,I740&gt;=2),"SUBIR",IF(I740&gt;IFERROR(VLOOKUP(CONFIG!$E$2,CONFIG!$A$6:$E$8,5,0),3),"SUBIR","MANT")))))),"SIN")</f>
        <v>SIN</v>
      </c>
      <c r="O740" s="55">
        <f>IF(COUNTIFS(HISTORIAL!$O$3:$O$738,D740&amp;"|"&amp;E740,HISTORIAL!$F$3:$F$738,"&gt;0")&lt;2,0,IF(COUNTIFS(HISTORIAL!$O$3:$O$738,D740&amp;"|"&amp;E740,HISTORIAL!$F$3:$F$738,IFERROR(LOOKUP(2,1/((HISTORIAL!$O$3:$O$738=D740&amp;"|"&amp;E740)*(HISTORIAL!$F$3:$F$738&gt;0)),HISTORIAL!$F$3:$F$738),0))&gt;=2,IF(IFERROR(LOOKUP(2,1/((HISTORIAL!$O$3:$O$738=D740&amp;"|"&amp;E740)*(HISTORIAL!$F$3:$F$738&gt;0)),HISTORIAL!$G$3:$G$738),0)&gt;0,IF(F740&gt;0,IF(G740&lt;=IFERROR(LOOKUP(2,1/((HISTORIAL!$O$3:$O$738=D740&amp;"|"&amp;E740)*(HISTORIAL!$F$3:$F$738&gt;0)),HISTORIAL!$G$3:$G$738),0),1,0),0),0),0))</f>
        <v>0</v>
      </c>
    </row>
    <row r="741" spans="1:15" ht="14.1" customHeight="1">
      <c r="A741" s="37">
        <v>12</v>
      </c>
      <c r="B741" s="37" t="s">
        <v>280</v>
      </c>
      <c r="C741" s="37">
        <v>8</v>
      </c>
      <c r="D741" s="56" t="str">
        <f>JUEVES!$A$299</f>
        <v>Aperturas</v>
      </c>
      <c r="E741" s="57" t="str">
        <f>JUEVES!$B$299</f>
        <v>Pec Deck Maquina</v>
      </c>
      <c r="F741" s="37" t="str">
        <f>JUEVES!$C$299</f>
        <v>--</v>
      </c>
      <c r="G741" s="37" t="str">
        <f>IFERROR(LOOKUP(2,1/((HISTORIAL!$O$3:$O$739=D741&amp;"|"&amp;E741)*(HISTORIAL!$F$3:$F$739&lt;&gt;"")),HISTORIAL!$F$3:$F$739),"")</f>
        <v/>
      </c>
      <c r="H741" s="37" t="str">
        <f>IFERROR(LOOKUP(2,1/((HISTORIAL!$O$3:$O$739=D741&amp;"|"&amp;E741)*(HISTORIAL!$F$3:$F$739&lt;&gt;"")),HISTORIAL!$G$3:$G$739),"")</f>
        <v/>
      </c>
      <c r="I741" s="37" t="str">
        <f>IFERROR(LOOKUP(2,1/((HISTORIAL!$O$3:$O$739=D741&amp;"|"&amp;E741)*(HISTORIAL!$F$3:$F$739&lt;&gt;"")),HISTORIAL!$H$3:$H$739),"")</f>
        <v/>
      </c>
      <c r="J741" s="37" t="str">
        <f>IFERROR(LOOKUP(2,1/((HISTORIAL!$O$3:$O$739=D741&amp;"|"&amp;E741)*(HISTORIAL!$F$3:$F$739&lt;&gt;"")),HISTORIAL!$I$3:$I$739),"")</f>
        <v/>
      </c>
      <c r="K741" s="58" t="str">
        <f>IFERROR(IF(OR(G741="",N741="SIN"),"--",IF(N741="SUBIR_F",IF(F741="polea",IFERROR(INDEX(CONFIG!$B$25:$B$40,MATCH(G741,CONFIG!$B$25:$B$40,0)+2),IFERROR(INDEX(CONFIG!$B$25:$B$40,MATCH(G741,CONFIG!$B$25:$B$40,0)+1),G741)),G741+5),IF(OR(N741="SUBIR",N741="SUBIR_E"),IF(F741="polea",IFERROR(INDEX(CONFIG!$B$25:$B$40,MATCH(G741,CONFIG!$B$25:$B$40,0)+1),G741),G741+2.5),IF(N741="BAJAR",IF(F741="polea",IFERROR(INDEX(CONFIG!$B$25:$B$40,MAX(1,MATCH(G741,CONFIG!$B$25:$B$40,0)-1)),G741),MAX(0,G741-2.5)),G741)))),"--")</f>
        <v>--</v>
      </c>
      <c r="L741" s="59" t="str">
        <f>IFERROR(IF(N741="SIN","--",IF(N741="MANT",IF(H741="","--",H741+1),IFERROR(VLOOKUP(CONFIG!$E$2,CONFIG!$A$6:$E$8,2,0),"--"))),"--")</f>
        <v>--</v>
      </c>
      <c r="M741" s="59" t="str">
        <f>IFERROR(IF(N741="SIN","--",IF(CONFIG!$E$2="HIP",2,IF(CONFIG!$E$2="FUE",1,2))),"--")</f>
        <v>--</v>
      </c>
      <c r="N741" s="53" t="str">
        <f>IFERROR(IF(G741="","SIN",IF(O741=1,"SUBIR_E",IF(H741&lt;IFERROR(VLOOKUP(CONFIG!$E$2,CONFIG!$A$6:$E$8,2,0),6),"BAJAR",IF(H741+I741&gt;=IFERROR(VLOOKUP(CONFIG!$E$2,CONFIG!$A$6:$E$8,3,0),12),"SUBIR_F",IF(AND(H741&gt;=IFERROR(VLOOKUP(CONFIG!$E$2,CONFIG!$A$6:$E$8,2,0),6)+2,I741&gt;=2),"SUBIR",IF(I741&gt;IFERROR(VLOOKUP(CONFIG!$E$2,CONFIG!$A$6:$E$8,5,0),3),"SUBIR","MANT")))))),"SIN")</f>
        <v>SIN</v>
      </c>
      <c r="O741" s="55">
        <f>IF(COUNTIFS(HISTORIAL!$O$3:$O$739,D741&amp;"|"&amp;E741,HISTORIAL!$F$3:$F$739,"&gt;0")&lt;2,0,IF(COUNTIFS(HISTORIAL!$O$3:$O$739,D741&amp;"|"&amp;E741,HISTORIAL!$F$3:$F$739,IFERROR(LOOKUP(2,1/((HISTORIAL!$O$3:$O$739=D741&amp;"|"&amp;E741)*(HISTORIAL!$F$3:$F$739&gt;0)),HISTORIAL!$F$3:$F$739),0))&gt;=2,IF(IFERROR(LOOKUP(2,1/((HISTORIAL!$O$3:$O$739=D741&amp;"|"&amp;E741)*(HISTORIAL!$F$3:$F$739&gt;0)),HISTORIAL!$G$3:$G$739),0)&gt;0,IF(F741&gt;0,IF(G741&lt;=IFERROR(LOOKUP(2,1/((HISTORIAL!$O$3:$O$739=D741&amp;"|"&amp;E741)*(HISTORIAL!$F$3:$F$739&gt;0)),HISTORIAL!$G$3:$G$739),0),1,0),0),0),0))</f>
        <v>0</v>
      </c>
    </row>
    <row r="742" spans="1:15" ht="14.1" customHeight="1">
      <c r="A742" s="37">
        <v>12</v>
      </c>
      <c r="B742" s="37" t="s">
        <v>280</v>
      </c>
      <c r="C742" s="37">
        <v>9</v>
      </c>
      <c r="D742" s="56" t="str">
        <f>JUEVES!$A$301</f>
        <v>Press Polea</v>
      </c>
      <c r="E742" s="57" t="str">
        <f>JUEVES!$B$301</f>
        <v>Barra Recta Diagonal Arriba</v>
      </c>
      <c r="F742" s="37" t="str">
        <f>JUEVES!$C$301</f>
        <v>polea</v>
      </c>
      <c r="G742" s="37" t="str">
        <f>IFERROR(LOOKUP(2,1/((HISTORIAL!$O$3:$O$740=D742&amp;"|"&amp;E742)*(HISTORIAL!$F$3:$F$740&lt;&gt;"")),HISTORIAL!$F$3:$F$740),"")</f>
        <v/>
      </c>
      <c r="H742" s="37" t="str">
        <f>IFERROR(LOOKUP(2,1/((HISTORIAL!$O$3:$O$740=D742&amp;"|"&amp;E742)*(HISTORIAL!$F$3:$F$740&lt;&gt;"")),HISTORIAL!$G$3:$G$740),"")</f>
        <v/>
      </c>
      <c r="I742" s="37" t="str">
        <f>IFERROR(LOOKUP(2,1/((HISTORIAL!$O$3:$O$740=D742&amp;"|"&amp;E742)*(HISTORIAL!$F$3:$F$740&lt;&gt;"")),HISTORIAL!$H$3:$H$740),"")</f>
        <v/>
      </c>
      <c r="J742" s="37" t="str">
        <f>IFERROR(LOOKUP(2,1/((HISTORIAL!$O$3:$O$740=D742&amp;"|"&amp;E742)*(HISTORIAL!$F$3:$F$740&lt;&gt;"")),HISTORIAL!$I$3:$I$740),"")</f>
        <v/>
      </c>
      <c r="K742" s="58" t="str">
        <f>IFERROR(IF(OR(G742="",N742="SIN"),"--",IF(N742="SUBIR_F",IF(F742="polea",IFERROR(INDEX(CONFIG!$B$25:$B$40,MATCH(G742,CONFIG!$B$25:$B$40,0)+2),IFERROR(INDEX(CONFIG!$B$25:$B$40,MATCH(G742,CONFIG!$B$25:$B$40,0)+1),G742)),G742+5),IF(OR(N742="SUBIR",N742="SUBIR_E"),IF(F742="polea",IFERROR(INDEX(CONFIG!$B$25:$B$40,MATCH(G742,CONFIG!$B$25:$B$40,0)+1),G742),G742+2.5),IF(N742="BAJAR",IF(F742="polea",IFERROR(INDEX(CONFIG!$B$25:$B$40,MAX(1,MATCH(G742,CONFIG!$B$25:$B$40,0)-1)),G742),MAX(0,G742-2.5)),G742)))),"--")</f>
        <v>--</v>
      </c>
      <c r="L742" s="59" t="str">
        <f>IFERROR(IF(N742="SIN","--",IF(N742="MANT",IF(H742="","--",H742+1),IFERROR(VLOOKUP(CONFIG!$E$2,CONFIG!$A$6:$E$8,2,0),"--"))),"--")</f>
        <v>--</v>
      </c>
      <c r="M742" s="59" t="str">
        <f>IFERROR(IF(N742="SIN","--",IF(CONFIG!$E$2="HIP",2,IF(CONFIG!$E$2="FUE",1,2))),"--")</f>
        <v>--</v>
      </c>
      <c r="N742" s="53" t="str">
        <f>IFERROR(IF(G742="","SIN",IF(O742=1,"SUBIR_E",IF(H742&lt;IFERROR(VLOOKUP(CONFIG!$E$2,CONFIG!$A$6:$E$8,2,0),6),"BAJAR",IF(H742+I742&gt;=IFERROR(VLOOKUP(CONFIG!$E$2,CONFIG!$A$6:$E$8,3,0),12),"SUBIR_F",IF(AND(H742&gt;=IFERROR(VLOOKUP(CONFIG!$E$2,CONFIG!$A$6:$E$8,2,0),6)+2,I742&gt;=2),"SUBIR",IF(I742&gt;IFERROR(VLOOKUP(CONFIG!$E$2,CONFIG!$A$6:$E$8,5,0),3),"SUBIR","MANT")))))),"SIN")</f>
        <v>SIN</v>
      </c>
      <c r="O742" s="55">
        <f>IF(COUNTIFS(HISTORIAL!$O$3:$O$740,D742&amp;"|"&amp;E742,HISTORIAL!$F$3:$F$740,"&gt;0")&lt;2,0,IF(COUNTIFS(HISTORIAL!$O$3:$O$740,D742&amp;"|"&amp;E742,HISTORIAL!$F$3:$F$740,IFERROR(LOOKUP(2,1/((HISTORIAL!$O$3:$O$740=D742&amp;"|"&amp;E742)*(HISTORIAL!$F$3:$F$740&gt;0)),HISTORIAL!$F$3:$F$740),0))&gt;=2,IF(IFERROR(LOOKUP(2,1/((HISTORIAL!$O$3:$O$740=D742&amp;"|"&amp;E742)*(HISTORIAL!$F$3:$F$740&gt;0)),HISTORIAL!$G$3:$G$740),0)&gt;0,IF(F742&gt;0,IF(G742&lt;=IFERROR(LOOKUP(2,1/((HISTORIAL!$O$3:$O$740=D742&amp;"|"&amp;E742)*(HISTORIAL!$F$3:$F$740&gt;0)),HISTORIAL!$G$3:$G$740),0),1,0),0),0),0))</f>
        <v>0</v>
      </c>
    </row>
    <row r="743" spans="1:15" ht="14.1" customHeight="1">
      <c r="A743" s="37">
        <v>12</v>
      </c>
      <c r="B743" s="37" t="s">
        <v>280</v>
      </c>
      <c r="C743" s="37">
        <v>10</v>
      </c>
      <c r="D743" s="56" t="str">
        <f>JUEVES!$A$302</f>
        <v>Extension Triceps</v>
      </c>
      <c r="E743" s="57" t="str">
        <f>JUEVES!$B$302</f>
        <v>Polea Sobre Cabeza</v>
      </c>
      <c r="F743" s="37" t="str">
        <f>JUEVES!$C$302</f>
        <v>--</v>
      </c>
      <c r="G743" s="37" t="str">
        <f>IFERROR(LOOKUP(2,1/((HISTORIAL!$O$3:$O$741=D743&amp;"|"&amp;E743)*(HISTORIAL!$F$3:$F$741&lt;&gt;"")),HISTORIAL!$F$3:$F$741),"")</f>
        <v/>
      </c>
      <c r="H743" s="37" t="str">
        <f>IFERROR(LOOKUP(2,1/((HISTORIAL!$O$3:$O$741=D743&amp;"|"&amp;E743)*(HISTORIAL!$F$3:$F$741&lt;&gt;"")),HISTORIAL!$G$3:$G$741),"")</f>
        <v/>
      </c>
      <c r="I743" s="37" t="str">
        <f>IFERROR(LOOKUP(2,1/((HISTORIAL!$O$3:$O$741=D743&amp;"|"&amp;E743)*(HISTORIAL!$F$3:$F$741&lt;&gt;"")),HISTORIAL!$H$3:$H$741),"")</f>
        <v/>
      </c>
      <c r="J743" s="37" t="str">
        <f>IFERROR(LOOKUP(2,1/((HISTORIAL!$O$3:$O$741=D743&amp;"|"&amp;E743)*(HISTORIAL!$F$3:$F$741&lt;&gt;"")),HISTORIAL!$I$3:$I$741),"")</f>
        <v/>
      </c>
      <c r="K743" s="58" t="str">
        <f>IFERROR(IF(OR(G743="",N743="SIN"),"--",IF(N743="SUBIR_F",IF(F743="polea",IFERROR(INDEX(CONFIG!$B$25:$B$40,MATCH(G743,CONFIG!$B$25:$B$40,0)+2),IFERROR(INDEX(CONFIG!$B$25:$B$40,MATCH(G743,CONFIG!$B$25:$B$40,0)+1),G743)),G743+5),IF(OR(N743="SUBIR",N743="SUBIR_E"),IF(F743="polea",IFERROR(INDEX(CONFIG!$B$25:$B$40,MATCH(G743,CONFIG!$B$25:$B$40,0)+1),G743),G743+2.5),IF(N743="BAJAR",IF(F743="polea",IFERROR(INDEX(CONFIG!$B$25:$B$40,MAX(1,MATCH(G743,CONFIG!$B$25:$B$40,0)-1)),G743),MAX(0,G743-2.5)),G743)))),"--")</f>
        <v>--</v>
      </c>
      <c r="L743" s="59" t="str">
        <f>IFERROR(IF(N743="SIN","--",IF(N743="MANT",IF(H743="","--",H743+1),IFERROR(VLOOKUP(CONFIG!$E$2,CONFIG!$A$6:$E$8,2,0),"--"))),"--")</f>
        <v>--</v>
      </c>
      <c r="M743" s="59" t="str">
        <f>IFERROR(IF(N743="SIN","--",IF(CONFIG!$E$2="HIP",2,IF(CONFIG!$E$2="FUE",1,2))),"--")</f>
        <v>--</v>
      </c>
      <c r="N743" s="53" t="str">
        <f>IFERROR(IF(G743="","SIN",IF(O743=1,"SUBIR_E",IF(H743&lt;IFERROR(VLOOKUP(CONFIG!$E$2,CONFIG!$A$6:$E$8,2,0),6),"BAJAR",IF(H743+I743&gt;=IFERROR(VLOOKUP(CONFIG!$E$2,CONFIG!$A$6:$E$8,3,0),12),"SUBIR_F",IF(AND(H743&gt;=IFERROR(VLOOKUP(CONFIG!$E$2,CONFIG!$A$6:$E$8,2,0),6)+2,I743&gt;=2),"SUBIR",IF(I743&gt;IFERROR(VLOOKUP(CONFIG!$E$2,CONFIG!$A$6:$E$8,5,0),3),"SUBIR","MANT")))))),"SIN")</f>
        <v>SIN</v>
      </c>
      <c r="O743" s="55">
        <f>IF(COUNTIFS(HISTORIAL!$O$3:$O$741,D743&amp;"|"&amp;E743,HISTORIAL!$F$3:$F$741,"&gt;0")&lt;2,0,IF(COUNTIFS(HISTORIAL!$O$3:$O$741,D743&amp;"|"&amp;E743,HISTORIAL!$F$3:$F$741,IFERROR(LOOKUP(2,1/((HISTORIAL!$O$3:$O$741=D743&amp;"|"&amp;E743)*(HISTORIAL!$F$3:$F$741&gt;0)),HISTORIAL!$F$3:$F$741),0))&gt;=2,IF(IFERROR(LOOKUP(2,1/((HISTORIAL!$O$3:$O$741=D743&amp;"|"&amp;E743)*(HISTORIAL!$F$3:$F$741&gt;0)),HISTORIAL!$G$3:$G$741),0)&gt;0,IF(F743&gt;0,IF(G743&lt;=IFERROR(LOOKUP(2,1/((HISTORIAL!$O$3:$O$741=D743&amp;"|"&amp;E743)*(HISTORIAL!$F$3:$F$741&gt;0)),HISTORIAL!$G$3:$G$741),0),1,0),0),0),0))</f>
        <v>0</v>
      </c>
    </row>
    <row r="744" spans="1:15" ht="14.1" customHeight="1">
      <c r="A744" s="37">
        <v>12</v>
      </c>
      <c r="B744" s="37" t="s">
        <v>280</v>
      </c>
      <c r="C744" s="37">
        <v>11</v>
      </c>
      <c r="D744" s="56" t="str">
        <f>JUEVES!$A$304</f>
        <v>Extension Cuadriceps</v>
      </c>
      <c r="E744" s="57" t="str">
        <f>JUEVES!$B$304</f>
        <v>Vasto Interno</v>
      </c>
      <c r="F744" s="37" t="str">
        <f>JUEVES!$C$304</f>
        <v>--</v>
      </c>
      <c r="G744" s="37" t="str">
        <f>IFERROR(LOOKUP(2,1/((HISTORIAL!$O$3:$O$742=D744&amp;"|"&amp;E744)*(HISTORIAL!$F$3:$F$742&lt;&gt;"")),HISTORIAL!$F$3:$F$742),"")</f>
        <v/>
      </c>
      <c r="H744" s="37" t="str">
        <f>IFERROR(LOOKUP(2,1/((HISTORIAL!$O$3:$O$742=D744&amp;"|"&amp;E744)*(HISTORIAL!$F$3:$F$742&lt;&gt;"")),HISTORIAL!$G$3:$G$742),"")</f>
        <v/>
      </c>
      <c r="I744" s="37" t="str">
        <f>IFERROR(LOOKUP(2,1/((HISTORIAL!$O$3:$O$742=D744&amp;"|"&amp;E744)*(HISTORIAL!$F$3:$F$742&lt;&gt;"")),HISTORIAL!$H$3:$H$742),"")</f>
        <v/>
      </c>
      <c r="J744" s="37" t="str">
        <f>IFERROR(LOOKUP(2,1/((HISTORIAL!$O$3:$O$742=D744&amp;"|"&amp;E744)*(HISTORIAL!$F$3:$F$742&lt;&gt;"")),HISTORIAL!$I$3:$I$742),"")</f>
        <v/>
      </c>
      <c r="K744" s="58" t="str">
        <f>IFERROR(IF(OR(G744="",N744="SIN"),"--",IF(N744="SUBIR_F",IF(F744="polea",IFERROR(INDEX(CONFIG!$B$25:$B$40,MATCH(G744,CONFIG!$B$25:$B$40,0)+2),IFERROR(INDEX(CONFIG!$B$25:$B$40,MATCH(G744,CONFIG!$B$25:$B$40,0)+1),G744)),G744+5),IF(OR(N744="SUBIR",N744="SUBIR_E"),IF(F744="polea",IFERROR(INDEX(CONFIG!$B$25:$B$40,MATCH(G744,CONFIG!$B$25:$B$40,0)+1),G744),G744+2.5),IF(N744="BAJAR",IF(F744="polea",IFERROR(INDEX(CONFIG!$B$25:$B$40,MAX(1,MATCH(G744,CONFIG!$B$25:$B$40,0)-1)),G744),MAX(0,G744-2.5)),G744)))),"--")</f>
        <v>--</v>
      </c>
      <c r="L744" s="59" t="str">
        <f>IFERROR(IF(N744="SIN","--",IF(N744="MANT",IF(H744="","--",H744+1),IFERROR(VLOOKUP(CONFIG!$E$2,CONFIG!$A$6:$E$8,2,0),"--"))),"--")</f>
        <v>--</v>
      </c>
      <c r="M744" s="59" t="str">
        <f>IFERROR(IF(N744="SIN","--",IF(CONFIG!$E$2="HIP",2,IF(CONFIG!$E$2="FUE",1,2))),"--")</f>
        <v>--</v>
      </c>
      <c r="N744" s="53" t="str">
        <f>IFERROR(IF(G744="","SIN",IF(O744=1,"SUBIR_E",IF(H744&lt;IFERROR(VLOOKUP(CONFIG!$E$2,CONFIG!$A$6:$E$8,2,0),6),"BAJAR",IF(H744+I744&gt;=IFERROR(VLOOKUP(CONFIG!$E$2,CONFIG!$A$6:$E$8,3,0),12),"SUBIR_F",IF(AND(H744&gt;=IFERROR(VLOOKUP(CONFIG!$E$2,CONFIG!$A$6:$E$8,2,0),6)+2,I744&gt;=2),"SUBIR",IF(I744&gt;IFERROR(VLOOKUP(CONFIG!$E$2,CONFIG!$A$6:$E$8,5,0),3),"SUBIR","MANT")))))),"SIN")</f>
        <v>SIN</v>
      </c>
      <c r="O744" s="55">
        <f>IF(COUNTIFS(HISTORIAL!$O$3:$O$742,D744&amp;"|"&amp;E744,HISTORIAL!$F$3:$F$742,"&gt;0")&lt;2,0,IF(COUNTIFS(HISTORIAL!$O$3:$O$742,D744&amp;"|"&amp;E744,HISTORIAL!$F$3:$F$742,IFERROR(LOOKUP(2,1/((HISTORIAL!$O$3:$O$742=D744&amp;"|"&amp;E744)*(HISTORIAL!$F$3:$F$742&gt;0)),HISTORIAL!$F$3:$F$742),0))&gt;=2,IF(IFERROR(LOOKUP(2,1/((HISTORIAL!$O$3:$O$742=D744&amp;"|"&amp;E744)*(HISTORIAL!$F$3:$F$742&gt;0)),HISTORIAL!$G$3:$G$742),0)&gt;0,IF(F744&gt;0,IF(G744&lt;=IFERROR(LOOKUP(2,1/((HISTORIAL!$O$3:$O$742=D744&amp;"|"&amp;E744)*(HISTORIAL!$F$3:$F$742&gt;0)),HISTORIAL!$G$3:$G$742),0),1,0),0),0),0))</f>
        <v>0</v>
      </c>
    </row>
    <row r="745" spans="1:15" ht="14.1" customHeight="1">
      <c r="A745" s="37">
        <v>12</v>
      </c>
      <c r="B745" s="37" t="s">
        <v>280</v>
      </c>
      <c r="C745" s="37">
        <v>12</v>
      </c>
      <c r="D745" s="56" t="str">
        <f>JUEVES!$A$306</f>
        <v>Curl Biceps</v>
      </c>
      <c r="E745" s="57" t="str">
        <f>JUEVES!$B$306</f>
        <v>Concentrado Maquina</v>
      </c>
      <c r="F745" s="37" t="str">
        <f>JUEVES!$C$306</f>
        <v>polea</v>
      </c>
      <c r="G745" s="37">
        <f>IFERROR(LOOKUP(2,1/((HISTORIAL!$O$3:$O$743=D745&amp;"|"&amp;E745)*(HISTORIAL!$F$3:$F$743&lt;&gt;"")),HISTORIAL!$F$3:$F$743),"")</f>
        <v>40</v>
      </c>
      <c r="H745" s="37">
        <f>IFERROR(LOOKUP(2,1/((HISTORIAL!$O$3:$O$743=D745&amp;"|"&amp;E745)*(HISTORIAL!$F$3:$F$743&lt;&gt;"")),HISTORIAL!$G$3:$G$743),"")</f>
        <v>6</v>
      </c>
      <c r="I745" s="37">
        <f>IFERROR(LOOKUP(2,1/((HISTORIAL!$O$3:$O$743=D745&amp;"|"&amp;E745)*(HISTORIAL!$F$3:$F$743&lt;&gt;"")),HISTORIAL!$H$3:$H$743),"")</f>
        <v>0</v>
      </c>
      <c r="J745" s="37" t="str">
        <f>IFERROR(LOOKUP(2,1/((HISTORIAL!$O$3:$O$743=D745&amp;"|"&amp;E745)*(HISTORIAL!$F$3:$F$743&lt;&gt;"")),HISTORIAL!$I$3:$I$743),"")</f>
        <v>B</v>
      </c>
      <c r="K745" s="58">
        <f>IFERROR(IF(OR(G745="",N745="SIN"),"--",IF(N745="SUBIR_F",IF(F745="polea",IFERROR(INDEX(CONFIG!$B$25:$B$40,MATCH(G745,CONFIG!$B$25:$B$40,0)+2),IFERROR(INDEX(CONFIG!$B$25:$B$40,MATCH(G745,CONFIG!$B$25:$B$40,0)+1),G745)),G745+5),IF(OR(N745="SUBIR",N745="SUBIR_E"),IF(F745="polea",IFERROR(INDEX(CONFIG!$B$25:$B$40,MATCH(G745,CONFIG!$B$25:$B$40,0)+1),G745),G745+2.5),IF(N745="BAJAR",IF(F745="polea",IFERROR(INDEX(CONFIG!$B$25:$B$40,MAX(1,MATCH(G745,CONFIG!$B$25:$B$40,0)-1)),G745),MAX(0,G745-2.5)),G745)))),"--")</f>
        <v>40</v>
      </c>
      <c r="L745" s="59">
        <f>IFERROR(IF(N745="SIN","--",IF(N745="MANT",IF(H745="","--",H745+1),IFERROR(VLOOKUP(CONFIG!$E$2,CONFIG!$A$6:$E$8,2,0),"--"))),"--")</f>
        <v>7</v>
      </c>
      <c r="M745" s="59">
        <f>IFERROR(IF(N745="SIN","--",IF(CONFIG!$E$2="HIP",2,IF(CONFIG!$E$2="FUE",1,2))),"--")</f>
        <v>2</v>
      </c>
      <c r="N745" s="53" t="str">
        <f>IFERROR(IF(G745="","SIN",IF(O745=1,"SUBIR_E",IF(H745&lt;IFERROR(VLOOKUP(CONFIG!$E$2,CONFIG!$A$6:$E$8,2,0),6),"BAJAR",IF(H745+I745&gt;=IFERROR(VLOOKUP(CONFIG!$E$2,CONFIG!$A$6:$E$8,3,0),12),"SUBIR_F",IF(AND(H745&gt;=IFERROR(VLOOKUP(CONFIG!$E$2,CONFIG!$A$6:$E$8,2,0),6)+2,I745&gt;=2),"SUBIR",IF(I745&gt;IFERROR(VLOOKUP(CONFIG!$E$2,CONFIG!$A$6:$E$8,5,0),3),"SUBIR","MANT")))))),"SIN")</f>
        <v>MANT</v>
      </c>
      <c r="O745" s="55">
        <f>IF(COUNTIFS(HISTORIAL!$O$3:$O$743,D745&amp;"|"&amp;E745,HISTORIAL!$F$3:$F$743,"&gt;0")&lt;2,0,IF(COUNTIFS(HISTORIAL!$O$3:$O$743,D745&amp;"|"&amp;E745,HISTORIAL!$F$3:$F$743,IFERROR(LOOKUP(2,1/((HISTORIAL!$O$3:$O$743=D745&amp;"|"&amp;E745)*(HISTORIAL!$F$3:$F$743&gt;0)),HISTORIAL!$F$3:$F$743),0))&gt;=2,IF(IFERROR(LOOKUP(2,1/((HISTORIAL!$O$3:$O$743=D745&amp;"|"&amp;E745)*(HISTORIAL!$F$3:$F$743&gt;0)),HISTORIAL!$G$3:$G$743),0)&gt;0,IF(F745&gt;0,IF(G745&lt;=IFERROR(LOOKUP(2,1/((HISTORIAL!$O$3:$O$743=D745&amp;"|"&amp;E745)*(HISTORIAL!$F$3:$F$743&gt;0)),HISTORIAL!$G$3:$G$743),0),1,0),0),0),0))</f>
        <v>0</v>
      </c>
    </row>
    <row r="746" spans="1:15" ht="14.1" customHeight="1">
      <c r="A746" s="37">
        <v>12</v>
      </c>
      <c r="B746" s="37" t="s">
        <v>280</v>
      </c>
      <c r="C746" s="37">
        <v>13</v>
      </c>
      <c r="D746" s="56" t="str">
        <f>JUEVES!$A$308</f>
        <v>Crunch</v>
      </c>
      <c r="E746" s="57" t="str">
        <f>JUEVES!$B$308</f>
        <v>Polea</v>
      </c>
      <c r="F746" s="37" t="str">
        <f>JUEVES!$C$308</f>
        <v>polea</v>
      </c>
      <c r="G746" s="37" t="str">
        <f>IFERROR(LOOKUP(2,1/((HISTORIAL!$O$3:$O$744=D746&amp;"|"&amp;E746)*(HISTORIAL!$F$3:$F$744&lt;&gt;"")),HISTORIAL!$F$3:$F$744),"")</f>
        <v/>
      </c>
      <c r="H746" s="37" t="str">
        <f>IFERROR(LOOKUP(2,1/((HISTORIAL!$O$3:$O$744=D746&amp;"|"&amp;E746)*(HISTORIAL!$F$3:$F$744&lt;&gt;"")),HISTORIAL!$G$3:$G$744),"")</f>
        <v/>
      </c>
      <c r="I746" s="37" t="str">
        <f>IFERROR(LOOKUP(2,1/((HISTORIAL!$O$3:$O$744=D746&amp;"|"&amp;E746)*(HISTORIAL!$F$3:$F$744&lt;&gt;"")),HISTORIAL!$H$3:$H$744),"")</f>
        <v/>
      </c>
      <c r="J746" s="37" t="str">
        <f>IFERROR(LOOKUP(2,1/((HISTORIAL!$O$3:$O$744=D746&amp;"|"&amp;E746)*(HISTORIAL!$F$3:$F$744&lt;&gt;"")),HISTORIAL!$I$3:$I$744),"")</f>
        <v/>
      </c>
      <c r="K746" s="58" t="str">
        <f>IFERROR(IF(OR(G746="",N746="SIN"),"--",IF(N746="SUBIR_F",IF(F746="polea",IFERROR(INDEX(CONFIG!$B$25:$B$40,MATCH(G746,CONFIG!$B$25:$B$40,0)+2),IFERROR(INDEX(CONFIG!$B$25:$B$40,MATCH(G746,CONFIG!$B$25:$B$40,0)+1),G746)),G746+5),IF(OR(N746="SUBIR",N746="SUBIR_E"),IF(F746="polea",IFERROR(INDEX(CONFIG!$B$25:$B$40,MATCH(G746,CONFIG!$B$25:$B$40,0)+1),G746),G746+2.5),IF(N746="BAJAR",IF(F746="polea",IFERROR(INDEX(CONFIG!$B$25:$B$40,MAX(1,MATCH(G746,CONFIG!$B$25:$B$40,0)-1)),G746),MAX(0,G746-2.5)),G746)))),"--")</f>
        <v>--</v>
      </c>
      <c r="L746" s="59" t="str">
        <f>IFERROR(IF(N746="SIN","--",IF(N746="MANT",IF(H746="","--",H746+1),IFERROR(VLOOKUP(CONFIG!$E$2,CONFIG!$A$6:$E$8,2,0),"--"))),"--")</f>
        <v>--</v>
      </c>
      <c r="M746" s="59" t="str">
        <f>IFERROR(IF(N746="SIN","--",IF(CONFIG!$E$2="HIP",2,IF(CONFIG!$E$2="FUE",1,2))),"--")</f>
        <v>--</v>
      </c>
      <c r="N746" s="53" t="str">
        <f>IFERROR(IF(G746="","SIN",IF(O746=1,"SUBIR_E",IF(H746&lt;IFERROR(VLOOKUP(CONFIG!$E$2,CONFIG!$A$6:$E$8,2,0),6),"BAJAR",IF(H746+I746&gt;=IFERROR(VLOOKUP(CONFIG!$E$2,CONFIG!$A$6:$E$8,3,0),12),"SUBIR_F",IF(AND(H746&gt;=IFERROR(VLOOKUP(CONFIG!$E$2,CONFIG!$A$6:$E$8,2,0),6)+2,I746&gt;=2),"SUBIR",IF(I746&gt;IFERROR(VLOOKUP(CONFIG!$E$2,CONFIG!$A$6:$E$8,5,0),3),"SUBIR","MANT")))))),"SIN")</f>
        <v>SIN</v>
      </c>
      <c r="O746" s="55">
        <f>IF(COUNTIFS(HISTORIAL!$O$3:$O$744,D746&amp;"|"&amp;E746,HISTORIAL!$F$3:$F$744,"&gt;0")&lt;2,0,IF(COUNTIFS(HISTORIAL!$O$3:$O$744,D746&amp;"|"&amp;E746,HISTORIAL!$F$3:$F$744,IFERROR(LOOKUP(2,1/((HISTORIAL!$O$3:$O$744=D746&amp;"|"&amp;E746)*(HISTORIAL!$F$3:$F$744&gt;0)),HISTORIAL!$F$3:$F$744),0))&gt;=2,IF(IFERROR(LOOKUP(2,1/((HISTORIAL!$O$3:$O$744=D746&amp;"|"&amp;E746)*(HISTORIAL!$F$3:$F$744&gt;0)),HISTORIAL!$G$3:$G$744),0)&gt;0,IF(F746&gt;0,IF(G746&lt;=IFERROR(LOOKUP(2,1/((HISTORIAL!$O$3:$O$744=D746&amp;"|"&amp;E746)*(HISTORIAL!$F$3:$F$744&gt;0)),HISTORIAL!$G$3:$G$744),0),1,0),0),0),0))</f>
        <v>0</v>
      </c>
    </row>
    <row r="747" spans="1:15" ht="14.1" customHeight="1">
      <c r="A747" s="37">
        <v>12</v>
      </c>
      <c r="B747" s="37" t="s">
        <v>281</v>
      </c>
      <c r="C747" s="37">
        <v>1</v>
      </c>
      <c r="D747" s="56" t="str">
        <f>SABADO!$A$277</f>
        <v>Pulldown</v>
      </c>
      <c r="E747" s="57" t="str">
        <f>SABADO!$B$277</f>
        <v>Polea Alta Brazos Rectos Prono</v>
      </c>
      <c r="F747" s="37" t="str">
        <f>SABADO!$C$277</f>
        <v>polea</v>
      </c>
      <c r="G747" s="37" t="str">
        <f>IFERROR(LOOKUP(2,1/((HISTORIAL!$O$3:$O$745=D747&amp;"|"&amp;E747)*(HISTORIAL!$F$3:$F$745&lt;&gt;"")),HISTORIAL!$F$3:$F$745),"")</f>
        <v/>
      </c>
      <c r="H747" s="37" t="str">
        <f>IFERROR(LOOKUP(2,1/((HISTORIAL!$O$3:$O$745=D747&amp;"|"&amp;E747)*(HISTORIAL!$F$3:$F$745&lt;&gt;"")),HISTORIAL!$G$3:$G$745),"")</f>
        <v/>
      </c>
      <c r="I747" s="37" t="str">
        <f>IFERROR(LOOKUP(2,1/((HISTORIAL!$O$3:$O$745=D747&amp;"|"&amp;E747)*(HISTORIAL!$F$3:$F$745&lt;&gt;"")),HISTORIAL!$H$3:$H$745),"")</f>
        <v/>
      </c>
      <c r="J747" s="37" t="str">
        <f>IFERROR(LOOKUP(2,1/((HISTORIAL!$O$3:$O$745=D747&amp;"|"&amp;E747)*(HISTORIAL!$F$3:$F$745&lt;&gt;"")),HISTORIAL!$I$3:$I$745),"")</f>
        <v/>
      </c>
      <c r="K747" s="58" t="str">
        <f>IFERROR(IF(OR(G747="",N747="SIN"),"--",IF(N747="SUBIR_F",IF(F747="polea",IFERROR(INDEX(CONFIG!$B$25:$B$40,MATCH(G747,CONFIG!$B$25:$B$40,0)+2),IFERROR(INDEX(CONFIG!$B$25:$B$40,MATCH(G747,CONFIG!$B$25:$B$40,0)+1),G747)),G747+5),IF(OR(N747="SUBIR",N747="SUBIR_E"),IF(F747="polea",IFERROR(INDEX(CONFIG!$B$25:$B$40,MATCH(G747,CONFIG!$B$25:$B$40,0)+1),G747),G747+2.5),IF(N747="BAJAR",IF(F747="polea",IFERROR(INDEX(CONFIG!$B$25:$B$40,MAX(1,MATCH(G747,CONFIG!$B$25:$B$40,0)-1)),G747),MAX(0,G747-2.5)),G747)))),"--")</f>
        <v>--</v>
      </c>
      <c r="L747" s="59" t="str">
        <f>IFERROR(IF(N747="SIN","--",IF(N747="MANT",IF(H747="","--",H747+1),IFERROR(VLOOKUP(CONFIG!$E$2,CONFIG!$A$6:$E$8,2,0),"--"))),"--")</f>
        <v>--</v>
      </c>
      <c r="M747" s="59" t="str">
        <f>IFERROR(IF(N747="SIN","--",IF(CONFIG!$E$2="HIP",2,IF(CONFIG!$E$2="FUE",1,2))),"--")</f>
        <v>--</v>
      </c>
      <c r="N747" s="53" t="str">
        <f>IFERROR(IF(G747="","SIN",IF(O747=1,"SUBIR_E",IF(H747&lt;IFERROR(VLOOKUP(CONFIG!$E$2,CONFIG!$A$6:$E$8,2,0),6),"BAJAR",IF(H747+I747&gt;=IFERROR(VLOOKUP(CONFIG!$E$2,CONFIG!$A$6:$E$8,3,0),12),"SUBIR_F",IF(AND(H747&gt;=IFERROR(VLOOKUP(CONFIG!$E$2,CONFIG!$A$6:$E$8,2,0),6)+2,I747&gt;=2),"SUBIR",IF(I747&gt;IFERROR(VLOOKUP(CONFIG!$E$2,CONFIG!$A$6:$E$8,5,0),3),"SUBIR","MANT")))))),"SIN")</f>
        <v>SIN</v>
      </c>
      <c r="O747" s="55">
        <f>IF(COUNTIFS(HISTORIAL!$O$3:$O$745,D747&amp;"|"&amp;E747,HISTORIAL!$F$3:$F$745,"&gt;0")&lt;2,0,IF(COUNTIFS(HISTORIAL!$O$3:$O$745,D747&amp;"|"&amp;E747,HISTORIAL!$F$3:$F$745,IFERROR(LOOKUP(2,1/((HISTORIAL!$O$3:$O$745=D747&amp;"|"&amp;E747)*(HISTORIAL!$F$3:$F$745&gt;0)),HISTORIAL!$F$3:$F$745),0))&gt;=2,IF(IFERROR(LOOKUP(2,1/((HISTORIAL!$O$3:$O$745=D747&amp;"|"&amp;E747)*(HISTORIAL!$F$3:$F$745&gt;0)),HISTORIAL!$G$3:$G$745),0)&gt;0,IF(F747&gt;0,IF(G747&lt;=IFERROR(LOOKUP(2,1/((HISTORIAL!$O$3:$O$745=D747&amp;"|"&amp;E747)*(HISTORIAL!$F$3:$F$745&gt;0)),HISTORIAL!$G$3:$G$745),0),1,0),0),0),0))</f>
        <v>0</v>
      </c>
    </row>
    <row r="748" spans="1:15" ht="14.1" customHeight="1">
      <c r="A748" s="37">
        <v>12</v>
      </c>
      <c r="B748" s="37" t="s">
        <v>281</v>
      </c>
      <c r="C748" s="37">
        <v>2</v>
      </c>
      <c r="D748" s="56" t="str">
        <f>SABADO!$A$279</f>
        <v>Remo</v>
      </c>
      <c r="E748" s="57" t="str">
        <f>SABADO!$B$279</f>
        <v>Maquina Neutro Estrecho</v>
      </c>
      <c r="F748" s="37" t="str">
        <f>SABADO!$C$279</f>
        <v>polea</v>
      </c>
      <c r="G748" s="37" t="str">
        <f>IFERROR(LOOKUP(2,1/((HISTORIAL!$O$3:$O$746=D748&amp;"|"&amp;E748)*(HISTORIAL!$F$3:$F$746&lt;&gt;"")),HISTORIAL!$F$3:$F$746),"")</f>
        <v/>
      </c>
      <c r="H748" s="37" t="str">
        <f>IFERROR(LOOKUP(2,1/((HISTORIAL!$O$3:$O$746=D748&amp;"|"&amp;E748)*(HISTORIAL!$F$3:$F$746&lt;&gt;"")),HISTORIAL!$G$3:$G$746),"")</f>
        <v/>
      </c>
      <c r="I748" s="37" t="str">
        <f>IFERROR(LOOKUP(2,1/((HISTORIAL!$O$3:$O$746=D748&amp;"|"&amp;E748)*(HISTORIAL!$F$3:$F$746&lt;&gt;"")),HISTORIAL!$H$3:$H$746),"")</f>
        <v/>
      </c>
      <c r="J748" s="37" t="str">
        <f>IFERROR(LOOKUP(2,1/((HISTORIAL!$O$3:$O$746=D748&amp;"|"&amp;E748)*(HISTORIAL!$F$3:$F$746&lt;&gt;"")),HISTORIAL!$I$3:$I$746),"")</f>
        <v/>
      </c>
      <c r="K748" s="58" t="str">
        <f>IFERROR(IF(OR(G748="",N748="SIN"),"--",IF(N748="SUBIR_F",IF(F748="polea",IFERROR(INDEX(CONFIG!$B$25:$B$40,MATCH(G748,CONFIG!$B$25:$B$40,0)+2),IFERROR(INDEX(CONFIG!$B$25:$B$40,MATCH(G748,CONFIG!$B$25:$B$40,0)+1),G748)),G748+5),IF(OR(N748="SUBIR",N748="SUBIR_E"),IF(F748="polea",IFERROR(INDEX(CONFIG!$B$25:$B$40,MATCH(G748,CONFIG!$B$25:$B$40,0)+1),G748),G748+2.5),IF(N748="BAJAR",IF(F748="polea",IFERROR(INDEX(CONFIG!$B$25:$B$40,MAX(1,MATCH(G748,CONFIG!$B$25:$B$40,0)-1)),G748),MAX(0,G748-2.5)),G748)))),"--")</f>
        <v>--</v>
      </c>
      <c r="L748" s="59" t="str">
        <f>IFERROR(IF(N748="SIN","--",IF(N748="MANT",IF(H748="","--",H748+1),IFERROR(VLOOKUP(CONFIG!$E$2,CONFIG!$A$6:$E$8,2,0),"--"))),"--")</f>
        <v>--</v>
      </c>
      <c r="M748" s="59" t="str">
        <f>IFERROR(IF(N748="SIN","--",IF(CONFIG!$E$2="HIP",2,IF(CONFIG!$E$2="FUE",1,2))),"--")</f>
        <v>--</v>
      </c>
      <c r="N748" s="53" t="str">
        <f>IFERROR(IF(G748="","SIN",IF(O748=1,"SUBIR_E",IF(H748&lt;IFERROR(VLOOKUP(CONFIG!$E$2,CONFIG!$A$6:$E$8,2,0),6),"BAJAR",IF(H748+I748&gt;=IFERROR(VLOOKUP(CONFIG!$E$2,CONFIG!$A$6:$E$8,3,0),12),"SUBIR_F",IF(AND(H748&gt;=IFERROR(VLOOKUP(CONFIG!$E$2,CONFIG!$A$6:$E$8,2,0),6)+2,I748&gt;=2),"SUBIR",IF(I748&gt;IFERROR(VLOOKUP(CONFIG!$E$2,CONFIG!$A$6:$E$8,5,0),3),"SUBIR","MANT")))))),"SIN")</f>
        <v>SIN</v>
      </c>
      <c r="O748" s="55">
        <f>IF(COUNTIFS(HISTORIAL!$O$3:$O$746,D748&amp;"|"&amp;E748,HISTORIAL!$F$3:$F$746,"&gt;0")&lt;2,0,IF(COUNTIFS(HISTORIAL!$O$3:$O$746,D748&amp;"|"&amp;E748,HISTORIAL!$F$3:$F$746,IFERROR(LOOKUP(2,1/((HISTORIAL!$O$3:$O$746=D748&amp;"|"&amp;E748)*(HISTORIAL!$F$3:$F$746&gt;0)),HISTORIAL!$F$3:$F$746),0))&gt;=2,IF(IFERROR(LOOKUP(2,1/((HISTORIAL!$O$3:$O$746=D748&amp;"|"&amp;E748)*(HISTORIAL!$F$3:$F$746&gt;0)),HISTORIAL!$G$3:$G$746),0)&gt;0,IF(F748&gt;0,IF(G748&lt;=IFERROR(LOOKUP(2,1/((HISTORIAL!$O$3:$O$746=D748&amp;"|"&amp;E748)*(HISTORIAL!$F$3:$F$746&gt;0)),HISTORIAL!$G$3:$G$746),0),1,0),0),0),0))</f>
        <v>0</v>
      </c>
    </row>
    <row r="749" spans="1:15" ht="14.1" customHeight="1">
      <c r="A749" s="37">
        <v>12</v>
      </c>
      <c r="B749" s="37" t="s">
        <v>281</v>
      </c>
      <c r="C749" s="37">
        <v>3</v>
      </c>
      <c r="D749" s="56" t="str">
        <f>SABADO!$A$280</f>
        <v>Remo</v>
      </c>
      <c r="E749" s="57" t="str">
        <f>SABADO!$B$280</f>
        <v>Maquina Neutro Ancho</v>
      </c>
      <c r="F749" s="37" t="str">
        <f>SABADO!$C$280</f>
        <v>polea</v>
      </c>
      <c r="G749" s="37" t="str">
        <f>IFERROR(LOOKUP(2,1/((HISTORIAL!$O$3:$O$747=D749&amp;"|"&amp;E749)*(HISTORIAL!$F$3:$F$747&lt;&gt;"")),HISTORIAL!$F$3:$F$747),"")</f>
        <v/>
      </c>
      <c r="H749" s="37" t="str">
        <f>IFERROR(LOOKUP(2,1/((HISTORIAL!$O$3:$O$747=D749&amp;"|"&amp;E749)*(HISTORIAL!$F$3:$F$747&lt;&gt;"")),HISTORIAL!$G$3:$G$747),"")</f>
        <v/>
      </c>
      <c r="I749" s="37" t="str">
        <f>IFERROR(LOOKUP(2,1/((HISTORIAL!$O$3:$O$747=D749&amp;"|"&amp;E749)*(HISTORIAL!$F$3:$F$747&lt;&gt;"")),HISTORIAL!$H$3:$H$747),"")</f>
        <v/>
      </c>
      <c r="J749" s="37" t="str">
        <f>IFERROR(LOOKUP(2,1/((HISTORIAL!$O$3:$O$747=D749&amp;"|"&amp;E749)*(HISTORIAL!$F$3:$F$747&lt;&gt;"")),HISTORIAL!$I$3:$I$747),"")</f>
        <v/>
      </c>
      <c r="K749" s="58" t="str">
        <f>IFERROR(IF(OR(G749="",N749="SIN"),"--",IF(N749="SUBIR_F",IF(F749="polea",IFERROR(INDEX(CONFIG!$B$25:$B$40,MATCH(G749,CONFIG!$B$25:$B$40,0)+2),IFERROR(INDEX(CONFIG!$B$25:$B$40,MATCH(G749,CONFIG!$B$25:$B$40,0)+1),G749)),G749+5),IF(OR(N749="SUBIR",N749="SUBIR_E"),IF(F749="polea",IFERROR(INDEX(CONFIG!$B$25:$B$40,MATCH(G749,CONFIG!$B$25:$B$40,0)+1),G749),G749+2.5),IF(N749="BAJAR",IF(F749="polea",IFERROR(INDEX(CONFIG!$B$25:$B$40,MAX(1,MATCH(G749,CONFIG!$B$25:$B$40,0)-1)),G749),MAX(0,G749-2.5)),G749)))),"--")</f>
        <v>--</v>
      </c>
      <c r="L749" s="59" t="str">
        <f>IFERROR(IF(N749="SIN","--",IF(N749="MANT",IF(H749="","--",H749+1),IFERROR(VLOOKUP(CONFIG!$E$2,CONFIG!$A$6:$E$8,2,0),"--"))),"--")</f>
        <v>--</v>
      </c>
      <c r="M749" s="59" t="str">
        <f>IFERROR(IF(N749="SIN","--",IF(CONFIG!$E$2="HIP",2,IF(CONFIG!$E$2="FUE",1,2))),"--")</f>
        <v>--</v>
      </c>
      <c r="N749" s="53" t="str">
        <f>IFERROR(IF(G749="","SIN",IF(O749=1,"SUBIR_E",IF(H749&lt;IFERROR(VLOOKUP(CONFIG!$E$2,CONFIG!$A$6:$E$8,2,0),6),"BAJAR",IF(H749+I749&gt;=IFERROR(VLOOKUP(CONFIG!$E$2,CONFIG!$A$6:$E$8,3,0),12),"SUBIR_F",IF(AND(H749&gt;=IFERROR(VLOOKUP(CONFIG!$E$2,CONFIG!$A$6:$E$8,2,0),6)+2,I749&gt;=2),"SUBIR",IF(I749&gt;IFERROR(VLOOKUP(CONFIG!$E$2,CONFIG!$A$6:$E$8,5,0),3),"SUBIR","MANT")))))),"SIN")</f>
        <v>SIN</v>
      </c>
      <c r="O749" s="55">
        <f>IF(COUNTIFS(HISTORIAL!$O$3:$O$747,D749&amp;"|"&amp;E749,HISTORIAL!$F$3:$F$747,"&gt;0")&lt;2,0,IF(COUNTIFS(HISTORIAL!$O$3:$O$747,D749&amp;"|"&amp;E749,HISTORIAL!$F$3:$F$747,IFERROR(LOOKUP(2,1/((HISTORIAL!$O$3:$O$747=D749&amp;"|"&amp;E749)*(HISTORIAL!$F$3:$F$747&gt;0)),HISTORIAL!$F$3:$F$747),0))&gt;=2,IF(IFERROR(LOOKUP(2,1/((HISTORIAL!$O$3:$O$747=D749&amp;"|"&amp;E749)*(HISTORIAL!$F$3:$F$747&gt;0)),HISTORIAL!$G$3:$G$747),0)&gt;0,IF(F749&gt;0,IF(G749&lt;=IFERROR(LOOKUP(2,1/((HISTORIAL!$O$3:$O$747=D749&amp;"|"&amp;E749)*(HISTORIAL!$F$3:$F$747&gt;0)),HISTORIAL!$G$3:$G$747),0),1,0),0),0),0))</f>
        <v>0</v>
      </c>
    </row>
    <row r="750" spans="1:15" ht="14.1" customHeight="1">
      <c r="A750" s="37">
        <v>12</v>
      </c>
      <c r="B750" s="37" t="s">
        <v>281</v>
      </c>
      <c r="C750" s="37">
        <v>4</v>
      </c>
      <c r="D750" s="56" t="str">
        <f>SABADO!$A$281</f>
        <v>Peck Deck Invertida</v>
      </c>
      <c r="E750" s="57" t="str">
        <f>SABADO!$B$281</f>
        <v>Maquina</v>
      </c>
      <c r="F750" s="37" t="str">
        <f>SABADO!$C$281</f>
        <v>polea</v>
      </c>
      <c r="G750" s="37" t="str">
        <f>IFERROR(LOOKUP(2,1/((HISTORIAL!$O$3:$O$748=D750&amp;"|"&amp;E750)*(HISTORIAL!$F$3:$F$748&lt;&gt;"")),HISTORIAL!$F$3:$F$748),"")</f>
        <v/>
      </c>
      <c r="H750" s="37" t="str">
        <f>IFERROR(LOOKUP(2,1/((HISTORIAL!$O$3:$O$748=D750&amp;"|"&amp;E750)*(HISTORIAL!$F$3:$F$748&lt;&gt;"")),HISTORIAL!$G$3:$G$748),"")</f>
        <v/>
      </c>
      <c r="I750" s="37" t="str">
        <f>IFERROR(LOOKUP(2,1/((HISTORIAL!$O$3:$O$748=D750&amp;"|"&amp;E750)*(HISTORIAL!$F$3:$F$748&lt;&gt;"")),HISTORIAL!$H$3:$H$748),"")</f>
        <v/>
      </c>
      <c r="J750" s="37" t="str">
        <f>IFERROR(LOOKUP(2,1/((HISTORIAL!$O$3:$O$748=D750&amp;"|"&amp;E750)*(HISTORIAL!$F$3:$F$748&lt;&gt;"")),HISTORIAL!$I$3:$I$748),"")</f>
        <v/>
      </c>
      <c r="K750" s="58" t="str">
        <f>IFERROR(IF(OR(G750="",N750="SIN"),"--",IF(N750="SUBIR_F",IF(F750="polea",IFERROR(INDEX(CONFIG!$B$25:$B$40,MATCH(G750,CONFIG!$B$25:$B$40,0)+2),IFERROR(INDEX(CONFIG!$B$25:$B$40,MATCH(G750,CONFIG!$B$25:$B$40,0)+1),G750)),G750+5),IF(OR(N750="SUBIR",N750="SUBIR_E"),IF(F750="polea",IFERROR(INDEX(CONFIG!$B$25:$B$40,MATCH(G750,CONFIG!$B$25:$B$40,0)+1),G750),G750+2.5),IF(N750="BAJAR",IF(F750="polea",IFERROR(INDEX(CONFIG!$B$25:$B$40,MAX(1,MATCH(G750,CONFIG!$B$25:$B$40,0)-1)),G750),MAX(0,G750-2.5)),G750)))),"--")</f>
        <v>--</v>
      </c>
      <c r="L750" s="59" t="str">
        <f>IFERROR(IF(N750="SIN","--",IF(N750="MANT",IF(H750="","--",H750+1),IFERROR(VLOOKUP(CONFIG!$E$2,CONFIG!$A$6:$E$8,2,0),"--"))),"--")</f>
        <v>--</v>
      </c>
      <c r="M750" s="59" t="str">
        <f>IFERROR(IF(N750="SIN","--",IF(CONFIG!$E$2="HIP",2,IF(CONFIG!$E$2="FUE",1,2))),"--")</f>
        <v>--</v>
      </c>
      <c r="N750" s="53" t="str">
        <f>IFERROR(IF(G750="","SIN",IF(O750=1,"SUBIR_E",IF(H750&lt;IFERROR(VLOOKUP(CONFIG!$E$2,CONFIG!$A$6:$E$8,2,0),6),"BAJAR",IF(H750+I750&gt;=IFERROR(VLOOKUP(CONFIG!$E$2,CONFIG!$A$6:$E$8,3,0),12),"SUBIR_F",IF(AND(H750&gt;=IFERROR(VLOOKUP(CONFIG!$E$2,CONFIG!$A$6:$E$8,2,0),6)+2,I750&gt;=2),"SUBIR",IF(I750&gt;IFERROR(VLOOKUP(CONFIG!$E$2,CONFIG!$A$6:$E$8,5,0),3),"SUBIR","MANT")))))),"SIN")</f>
        <v>SIN</v>
      </c>
      <c r="O750" s="55">
        <f>IF(COUNTIFS(HISTORIAL!$O$3:$O$748,D750&amp;"|"&amp;E750,HISTORIAL!$F$3:$F$748,"&gt;0")&lt;2,0,IF(COUNTIFS(HISTORIAL!$O$3:$O$748,D750&amp;"|"&amp;E750,HISTORIAL!$F$3:$F$748,IFERROR(LOOKUP(2,1/((HISTORIAL!$O$3:$O$748=D750&amp;"|"&amp;E750)*(HISTORIAL!$F$3:$F$748&gt;0)),HISTORIAL!$F$3:$F$748),0))&gt;=2,IF(IFERROR(LOOKUP(2,1/((HISTORIAL!$O$3:$O$748=D750&amp;"|"&amp;E750)*(HISTORIAL!$F$3:$F$748&gt;0)),HISTORIAL!$G$3:$G$748),0)&gt;0,IF(F750&gt;0,IF(G750&lt;=IFERROR(LOOKUP(2,1/((HISTORIAL!$O$3:$O$748=D750&amp;"|"&amp;E750)*(HISTORIAL!$F$3:$F$748&gt;0)),HISTORIAL!$G$3:$G$748),0),1,0),0),0),0))</f>
        <v>0</v>
      </c>
    </row>
    <row r="751" spans="1:15" ht="14.1" customHeight="1">
      <c r="A751" s="37">
        <v>12</v>
      </c>
      <c r="B751" s="37" t="s">
        <v>281</v>
      </c>
      <c r="C751" s="37">
        <v>5</v>
      </c>
      <c r="D751" s="56" t="str">
        <f>SABADO!$A$283</f>
        <v>Curl Biceps</v>
      </c>
      <c r="E751" s="57" t="str">
        <f>SABADO!$B$283</f>
        <v>Concentrado Maquina</v>
      </c>
      <c r="F751" s="37" t="str">
        <f>SABADO!$C$283</f>
        <v>polea</v>
      </c>
      <c r="G751" s="37">
        <f>IFERROR(LOOKUP(2,1/((HISTORIAL!$O$3:$O$749=D751&amp;"|"&amp;E751)*(HISTORIAL!$F$3:$F$749&lt;&gt;"")),HISTORIAL!$F$3:$F$749),"")</f>
        <v>40</v>
      </c>
      <c r="H751" s="37">
        <f>IFERROR(LOOKUP(2,1/((HISTORIAL!$O$3:$O$749=D751&amp;"|"&amp;E751)*(HISTORIAL!$F$3:$F$749&lt;&gt;"")),HISTORIAL!$G$3:$G$749),"")</f>
        <v>6</v>
      </c>
      <c r="I751" s="37">
        <f>IFERROR(LOOKUP(2,1/((HISTORIAL!$O$3:$O$749=D751&amp;"|"&amp;E751)*(HISTORIAL!$F$3:$F$749&lt;&gt;"")),HISTORIAL!$H$3:$H$749),"")</f>
        <v>0</v>
      </c>
      <c r="J751" s="37" t="str">
        <f>IFERROR(LOOKUP(2,1/((HISTORIAL!$O$3:$O$749=D751&amp;"|"&amp;E751)*(HISTORIAL!$F$3:$F$749&lt;&gt;"")),HISTORIAL!$I$3:$I$749),"")</f>
        <v>B</v>
      </c>
      <c r="K751" s="58">
        <f>IFERROR(IF(OR(G751="",N751="SIN"),"--",IF(N751="SUBIR_F",IF(F751="polea",IFERROR(INDEX(CONFIG!$B$25:$B$40,MATCH(G751,CONFIG!$B$25:$B$40,0)+2),IFERROR(INDEX(CONFIG!$B$25:$B$40,MATCH(G751,CONFIG!$B$25:$B$40,0)+1),G751)),G751+5),IF(OR(N751="SUBIR",N751="SUBIR_E"),IF(F751="polea",IFERROR(INDEX(CONFIG!$B$25:$B$40,MATCH(G751,CONFIG!$B$25:$B$40,0)+1),G751),G751+2.5),IF(N751="BAJAR",IF(F751="polea",IFERROR(INDEX(CONFIG!$B$25:$B$40,MAX(1,MATCH(G751,CONFIG!$B$25:$B$40,0)-1)),G751),MAX(0,G751-2.5)),G751)))),"--")</f>
        <v>40</v>
      </c>
      <c r="L751" s="59">
        <f>IFERROR(IF(N751="SIN","--",IF(N751="MANT",IF(H751="","--",H751+1),IFERROR(VLOOKUP(CONFIG!$E$2,CONFIG!$A$6:$E$8,2,0),"--"))),"--")</f>
        <v>7</v>
      </c>
      <c r="M751" s="59">
        <f>IFERROR(IF(N751="SIN","--",IF(CONFIG!$E$2="HIP",2,IF(CONFIG!$E$2="FUE",1,2))),"--")</f>
        <v>2</v>
      </c>
      <c r="N751" s="53" t="str">
        <f>IFERROR(IF(G751="","SIN",IF(O751=1,"SUBIR_E",IF(H751&lt;IFERROR(VLOOKUP(CONFIG!$E$2,CONFIG!$A$6:$E$8,2,0),6),"BAJAR",IF(H751+I751&gt;=IFERROR(VLOOKUP(CONFIG!$E$2,CONFIG!$A$6:$E$8,3,0),12),"SUBIR_F",IF(AND(H751&gt;=IFERROR(VLOOKUP(CONFIG!$E$2,CONFIG!$A$6:$E$8,2,0),6)+2,I751&gt;=2),"SUBIR",IF(I751&gt;IFERROR(VLOOKUP(CONFIG!$E$2,CONFIG!$A$6:$E$8,5,0),3),"SUBIR","MANT")))))),"SIN")</f>
        <v>MANT</v>
      </c>
      <c r="O751" s="55">
        <f>IF(COUNTIFS(HISTORIAL!$O$3:$O$749,D751&amp;"|"&amp;E751,HISTORIAL!$F$3:$F$749,"&gt;0")&lt;2,0,IF(COUNTIFS(HISTORIAL!$O$3:$O$749,D751&amp;"|"&amp;E751,HISTORIAL!$F$3:$F$749,IFERROR(LOOKUP(2,1/((HISTORIAL!$O$3:$O$749=D751&amp;"|"&amp;E751)*(HISTORIAL!$F$3:$F$749&gt;0)),HISTORIAL!$F$3:$F$749),0))&gt;=2,IF(IFERROR(LOOKUP(2,1/((HISTORIAL!$O$3:$O$749=D751&amp;"|"&amp;E751)*(HISTORIAL!$F$3:$F$749&gt;0)),HISTORIAL!$G$3:$G$749),0)&gt;0,IF(F751&gt;0,IF(G751&lt;=IFERROR(LOOKUP(2,1/((HISTORIAL!$O$3:$O$749=D751&amp;"|"&amp;E751)*(HISTORIAL!$F$3:$F$749&gt;0)),HISTORIAL!$G$3:$G$749),0),1,0),0),0),0))</f>
        <v>0</v>
      </c>
    </row>
    <row r="752" spans="1:15" ht="14.1" customHeight="1">
      <c r="A752" s="37">
        <v>12</v>
      </c>
      <c r="B752" s="37" t="s">
        <v>281</v>
      </c>
      <c r="C752" s="37">
        <v>6</v>
      </c>
      <c r="D752" s="56" t="str">
        <f>SABADO!$A$284</f>
        <v>Curl Martillo</v>
      </c>
      <c r="E752" s="57" t="str">
        <f>SABADO!$B$284</f>
        <v>Polea Individual</v>
      </c>
      <c r="F752" s="37" t="str">
        <f>SABADO!$C$284</f>
        <v>polea</v>
      </c>
      <c r="G752" s="37">
        <f>IFERROR(LOOKUP(2,1/((HISTORIAL!$O$3:$O$750=D752&amp;"|"&amp;E752)*(HISTORIAL!$F$3:$F$750&lt;&gt;"")),HISTORIAL!$F$3:$F$750),"")</f>
        <v>20</v>
      </c>
      <c r="H752" s="37">
        <f>IFERROR(LOOKUP(2,1/((HISTORIAL!$O$3:$O$750=D752&amp;"|"&amp;E752)*(HISTORIAL!$F$3:$F$750&lt;&gt;"")),HISTORIAL!$G$3:$G$750),"")</f>
        <v>8</v>
      </c>
      <c r="I752" s="37">
        <f>IFERROR(LOOKUP(2,1/((HISTORIAL!$O$3:$O$750=D752&amp;"|"&amp;E752)*(HISTORIAL!$F$3:$F$750&lt;&gt;"")),HISTORIAL!$H$3:$H$750),"")</f>
        <v>3</v>
      </c>
      <c r="J752" s="37" t="str">
        <f>IFERROR(LOOKUP(2,1/((HISTORIAL!$O$3:$O$750=D752&amp;"|"&amp;E752)*(HISTORIAL!$F$3:$F$750&lt;&gt;"")),HISTORIAL!$I$3:$I$750),"")</f>
        <v>A</v>
      </c>
      <c r="K752" s="58">
        <f>IFERROR(IF(OR(G752="",N752="SIN"),"--",IF(N752="SUBIR_F",IF(F752="polea",IFERROR(INDEX(CONFIG!$B$25:$B$40,MATCH(G752,CONFIG!$B$25:$B$40,0)+2),IFERROR(INDEX(CONFIG!$B$25:$B$40,MATCH(G752,CONFIG!$B$25:$B$40,0)+1),G752)),G752+5),IF(OR(N752="SUBIR",N752="SUBIR_E"),IF(F752="polea",IFERROR(INDEX(CONFIG!$B$25:$B$40,MATCH(G752,CONFIG!$B$25:$B$40,0)+1),G752),G752+2.5),IF(N752="BAJAR",IF(F752="polea",IFERROR(INDEX(CONFIG!$B$25:$B$40,MAX(1,MATCH(G752,CONFIG!$B$25:$B$40,0)-1)),G752),MAX(0,G752-2.5)),G752)))),"--")</f>
        <v>20</v>
      </c>
      <c r="L752" s="59">
        <f>IFERROR(IF(N752="SIN","--",IF(N752="MANT",IF(H752="","--",H752+1),IFERROR(VLOOKUP(CONFIG!$E$2,CONFIG!$A$6:$E$8,2,0),"--"))),"--")</f>
        <v>6</v>
      </c>
      <c r="M752" s="59">
        <f>IFERROR(IF(N752="SIN","--",IF(CONFIG!$E$2="HIP",2,IF(CONFIG!$E$2="FUE",1,2))),"--")</f>
        <v>2</v>
      </c>
      <c r="N752" s="53" t="str">
        <f>IFERROR(IF(G752="","SIN",IF(O752=1,"SUBIR_E",IF(H752&lt;IFERROR(VLOOKUP(CONFIG!$E$2,CONFIG!$A$6:$E$8,2,0),6),"BAJAR",IF(H752+I752&gt;=IFERROR(VLOOKUP(CONFIG!$E$2,CONFIG!$A$6:$E$8,3,0),12),"SUBIR_F",IF(AND(H752&gt;=IFERROR(VLOOKUP(CONFIG!$E$2,CONFIG!$A$6:$E$8,2,0),6)+2,I752&gt;=2),"SUBIR",IF(I752&gt;IFERROR(VLOOKUP(CONFIG!$E$2,CONFIG!$A$6:$E$8,5,0),3),"SUBIR","MANT")))))),"SIN")</f>
        <v>SUBIR</v>
      </c>
      <c r="O752" s="55">
        <f>IF(COUNTIFS(HISTORIAL!$O$3:$O$750,D752&amp;"|"&amp;E752,HISTORIAL!$F$3:$F$750,"&gt;0")&lt;2,0,IF(COUNTIFS(HISTORIAL!$O$3:$O$750,D752&amp;"|"&amp;E752,HISTORIAL!$F$3:$F$750,IFERROR(LOOKUP(2,1/((HISTORIAL!$O$3:$O$750=D752&amp;"|"&amp;E752)*(HISTORIAL!$F$3:$F$750&gt;0)),HISTORIAL!$F$3:$F$750),0))&gt;=2,IF(IFERROR(LOOKUP(2,1/((HISTORIAL!$O$3:$O$750=D752&amp;"|"&amp;E752)*(HISTORIAL!$F$3:$F$750&gt;0)),HISTORIAL!$G$3:$G$750),0)&gt;0,IF(F752&gt;0,IF(G752&lt;=IFERROR(LOOKUP(2,1/((HISTORIAL!$O$3:$O$750=D752&amp;"|"&amp;E752)*(HISTORIAL!$F$3:$F$750&gt;0)),HISTORIAL!$G$3:$G$750),0),1,0),0),0),0))</f>
        <v>0</v>
      </c>
    </row>
    <row r="753" spans="1:15" ht="14.1" customHeight="1">
      <c r="A753" s="37">
        <v>12</v>
      </c>
      <c r="B753" s="37" t="s">
        <v>281</v>
      </c>
      <c r="C753" s="37">
        <v>7</v>
      </c>
      <c r="D753" s="56" t="str">
        <f>SABADO!$A$286</f>
        <v>Curl Muneca</v>
      </c>
      <c r="E753" s="57" t="str">
        <f>SABADO!$B$286</f>
        <v>Supinado</v>
      </c>
      <c r="F753" s="37" t="str">
        <f>SABADO!$C$286</f>
        <v>mancuerna</v>
      </c>
      <c r="G753" s="37" t="str">
        <f>IFERROR(LOOKUP(2,1/((HISTORIAL!$O$3:$O$751=D753&amp;"|"&amp;E753)*(HISTORIAL!$F$3:$F$751&lt;&gt;"")),HISTORIAL!$F$3:$F$751),"")</f>
        <v/>
      </c>
      <c r="H753" s="37" t="str">
        <f>IFERROR(LOOKUP(2,1/((HISTORIAL!$O$3:$O$751=D753&amp;"|"&amp;E753)*(HISTORIAL!$F$3:$F$751&lt;&gt;"")),HISTORIAL!$G$3:$G$751),"")</f>
        <v/>
      </c>
      <c r="I753" s="37" t="str">
        <f>IFERROR(LOOKUP(2,1/((HISTORIAL!$O$3:$O$751=D753&amp;"|"&amp;E753)*(HISTORIAL!$F$3:$F$751&lt;&gt;"")),HISTORIAL!$H$3:$H$751),"")</f>
        <v/>
      </c>
      <c r="J753" s="37" t="str">
        <f>IFERROR(LOOKUP(2,1/((HISTORIAL!$O$3:$O$751=D753&amp;"|"&amp;E753)*(HISTORIAL!$F$3:$F$751&lt;&gt;"")),HISTORIAL!$I$3:$I$751),"")</f>
        <v/>
      </c>
      <c r="K753" s="58" t="str">
        <f>IFERROR(IF(OR(G753="",N753="SIN"),"--",IF(N753="SUBIR_F",IF(F753="polea",IFERROR(INDEX(CONFIG!$B$25:$B$40,MATCH(G753,CONFIG!$B$25:$B$40,0)+2),IFERROR(INDEX(CONFIG!$B$25:$B$40,MATCH(G753,CONFIG!$B$25:$B$40,0)+1),G753)),G753+5),IF(OR(N753="SUBIR",N753="SUBIR_E"),IF(F753="polea",IFERROR(INDEX(CONFIG!$B$25:$B$40,MATCH(G753,CONFIG!$B$25:$B$40,0)+1),G753),G753+2.5),IF(N753="BAJAR",IF(F753="polea",IFERROR(INDEX(CONFIG!$B$25:$B$40,MAX(1,MATCH(G753,CONFIG!$B$25:$B$40,0)-1)),G753),MAX(0,G753-2.5)),G753)))),"--")</f>
        <v>--</v>
      </c>
      <c r="L753" s="59" t="str">
        <f>IFERROR(IF(N753="SIN","--",IF(N753="MANT",IF(H753="","--",H753+1),IFERROR(VLOOKUP(CONFIG!$E$2,CONFIG!$A$6:$E$8,2,0),"--"))),"--")</f>
        <v>--</v>
      </c>
      <c r="M753" s="59" t="str">
        <f>IFERROR(IF(N753="SIN","--",IF(CONFIG!$E$2="HIP",2,IF(CONFIG!$E$2="FUE",1,2))),"--")</f>
        <v>--</v>
      </c>
      <c r="N753" s="53" t="str">
        <f>IFERROR(IF(G753="","SIN",IF(O753=1,"SUBIR_E",IF(H753&lt;IFERROR(VLOOKUP(CONFIG!$E$2,CONFIG!$A$6:$E$8,2,0),6),"BAJAR",IF(H753+I753&gt;=IFERROR(VLOOKUP(CONFIG!$E$2,CONFIG!$A$6:$E$8,3,0),12),"SUBIR_F",IF(AND(H753&gt;=IFERROR(VLOOKUP(CONFIG!$E$2,CONFIG!$A$6:$E$8,2,0),6)+2,I753&gt;=2),"SUBIR",IF(I753&gt;IFERROR(VLOOKUP(CONFIG!$E$2,CONFIG!$A$6:$E$8,5,0),3),"SUBIR","MANT")))))),"SIN")</f>
        <v>SIN</v>
      </c>
      <c r="O753" s="55">
        <f>IF(COUNTIFS(HISTORIAL!$O$3:$O$751,D753&amp;"|"&amp;E753,HISTORIAL!$F$3:$F$751,"&gt;0")&lt;2,0,IF(COUNTIFS(HISTORIAL!$O$3:$O$751,D753&amp;"|"&amp;E753,HISTORIAL!$F$3:$F$751,IFERROR(LOOKUP(2,1/((HISTORIAL!$O$3:$O$751=D753&amp;"|"&amp;E753)*(HISTORIAL!$F$3:$F$751&gt;0)),HISTORIAL!$F$3:$F$751),0))&gt;=2,IF(IFERROR(LOOKUP(2,1/((HISTORIAL!$O$3:$O$751=D753&amp;"|"&amp;E753)*(HISTORIAL!$F$3:$F$751&gt;0)),HISTORIAL!$G$3:$G$751),0)&gt;0,IF(F753&gt;0,IF(G753&lt;=IFERROR(LOOKUP(2,1/((HISTORIAL!$O$3:$O$751=D753&amp;"|"&amp;E753)*(HISTORIAL!$F$3:$F$751&gt;0)),HISTORIAL!$G$3:$G$751),0),1,0),0),0),0))</f>
        <v>0</v>
      </c>
    </row>
    <row r="754" spans="1:15" ht="14.1" customHeight="1">
      <c r="A754" s="37">
        <v>12</v>
      </c>
      <c r="B754" s="37" t="s">
        <v>281</v>
      </c>
      <c r="C754" s="37">
        <v>8</v>
      </c>
      <c r="D754" s="56" t="str">
        <f>SABADO!$A$287</f>
        <v>Curl Muneca</v>
      </c>
      <c r="E754" s="57" t="str">
        <f>SABADO!$B$287</f>
        <v>Pronado</v>
      </c>
      <c r="F754" s="37" t="str">
        <f>SABADO!$C$287</f>
        <v>mancuerna</v>
      </c>
      <c r="G754" s="37" t="str">
        <f>IFERROR(LOOKUP(2,1/((HISTORIAL!$O$3:$O$752=D754&amp;"|"&amp;E754)*(HISTORIAL!$F$3:$F$752&lt;&gt;"")),HISTORIAL!$F$3:$F$752),"")</f>
        <v/>
      </c>
      <c r="H754" s="37" t="str">
        <f>IFERROR(LOOKUP(2,1/((HISTORIAL!$O$3:$O$752=D754&amp;"|"&amp;E754)*(HISTORIAL!$F$3:$F$752&lt;&gt;"")),HISTORIAL!$G$3:$G$752),"")</f>
        <v/>
      </c>
      <c r="I754" s="37" t="str">
        <f>IFERROR(LOOKUP(2,1/((HISTORIAL!$O$3:$O$752=D754&amp;"|"&amp;E754)*(HISTORIAL!$F$3:$F$752&lt;&gt;"")),HISTORIAL!$H$3:$H$752),"")</f>
        <v/>
      </c>
      <c r="J754" s="37" t="str">
        <f>IFERROR(LOOKUP(2,1/((HISTORIAL!$O$3:$O$752=D754&amp;"|"&amp;E754)*(HISTORIAL!$F$3:$F$752&lt;&gt;"")),HISTORIAL!$I$3:$I$752),"")</f>
        <v/>
      </c>
      <c r="K754" s="58" t="str">
        <f>IFERROR(IF(OR(G754="",N754="SIN"),"--",IF(N754="SUBIR_F",IF(F754="polea",IFERROR(INDEX(CONFIG!$B$25:$B$40,MATCH(G754,CONFIG!$B$25:$B$40,0)+2),IFERROR(INDEX(CONFIG!$B$25:$B$40,MATCH(G754,CONFIG!$B$25:$B$40,0)+1),G754)),G754+5),IF(OR(N754="SUBIR",N754="SUBIR_E"),IF(F754="polea",IFERROR(INDEX(CONFIG!$B$25:$B$40,MATCH(G754,CONFIG!$B$25:$B$40,0)+1),G754),G754+2.5),IF(N754="BAJAR",IF(F754="polea",IFERROR(INDEX(CONFIG!$B$25:$B$40,MAX(1,MATCH(G754,CONFIG!$B$25:$B$40,0)-1)),G754),MAX(0,G754-2.5)),G754)))),"--")</f>
        <v>--</v>
      </c>
      <c r="L754" s="59" t="str">
        <f>IFERROR(IF(N754="SIN","--",IF(N754="MANT",IF(H754="","--",H754+1),IFERROR(VLOOKUP(CONFIG!$E$2,CONFIG!$A$6:$E$8,2,0),"--"))),"--")</f>
        <v>--</v>
      </c>
      <c r="M754" s="59" t="str">
        <f>IFERROR(IF(N754="SIN","--",IF(CONFIG!$E$2="HIP",2,IF(CONFIG!$E$2="FUE",1,2))),"--")</f>
        <v>--</v>
      </c>
      <c r="N754" s="53" t="str">
        <f>IFERROR(IF(G754="","SIN",IF(O754=1,"SUBIR_E",IF(H754&lt;IFERROR(VLOOKUP(CONFIG!$E$2,CONFIG!$A$6:$E$8,2,0),6),"BAJAR",IF(H754+I754&gt;=IFERROR(VLOOKUP(CONFIG!$E$2,CONFIG!$A$6:$E$8,3,0),12),"SUBIR_F",IF(AND(H754&gt;=IFERROR(VLOOKUP(CONFIG!$E$2,CONFIG!$A$6:$E$8,2,0),6)+2,I754&gt;=2),"SUBIR",IF(I754&gt;IFERROR(VLOOKUP(CONFIG!$E$2,CONFIG!$A$6:$E$8,5,0),3),"SUBIR","MANT")))))),"SIN")</f>
        <v>SIN</v>
      </c>
      <c r="O754" s="55">
        <f>IF(COUNTIFS(HISTORIAL!$O$3:$O$752,D754&amp;"|"&amp;E754,HISTORIAL!$F$3:$F$752,"&gt;0")&lt;2,0,IF(COUNTIFS(HISTORIAL!$O$3:$O$752,D754&amp;"|"&amp;E754,HISTORIAL!$F$3:$F$752,IFERROR(LOOKUP(2,1/((HISTORIAL!$O$3:$O$752=D754&amp;"|"&amp;E754)*(HISTORIAL!$F$3:$F$752&gt;0)),HISTORIAL!$F$3:$F$752),0))&gt;=2,IF(IFERROR(LOOKUP(2,1/((HISTORIAL!$O$3:$O$752=D754&amp;"|"&amp;E754)*(HISTORIAL!$F$3:$F$752&gt;0)),HISTORIAL!$G$3:$G$752),0)&gt;0,IF(F754&gt;0,IF(G754&lt;=IFERROR(LOOKUP(2,1/((HISTORIAL!$O$3:$O$752=D754&amp;"|"&amp;E754)*(HISTORIAL!$F$3:$F$752&gt;0)),HISTORIAL!$G$3:$G$752),0),1,0),0),0),0))</f>
        <v>0</v>
      </c>
    </row>
    <row r="755" spans="1:15" ht="14.1" customHeight="1">
      <c r="A755" s="37">
        <v>12</v>
      </c>
      <c r="B755" s="37" t="s">
        <v>281</v>
      </c>
      <c r="C755" s="37">
        <v>9</v>
      </c>
      <c r="D755" s="56" t="str">
        <f>SABADO!$A$289</f>
        <v>Elevaciones Laterales</v>
      </c>
      <c r="E755" s="57" t="str">
        <f>SABADO!$B$289</f>
        <v>Cable Polea Individual</v>
      </c>
      <c r="F755" s="37" t="str">
        <f>SABADO!$C$289</f>
        <v>polea</v>
      </c>
      <c r="G755" s="37" t="str">
        <f>IFERROR(LOOKUP(2,1/((HISTORIAL!$O$3:$O$753=D755&amp;"|"&amp;E755)*(HISTORIAL!$F$3:$F$753&lt;&gt;"")),HISTORIAL!$F$3:$F$753),"")</f>
        <v/>
      </c>
      <c r="H755" s="37" t="str">
        <f>IFERROR(LOOKUP(2,1/((HISTORIAL!$O$3:$O$753=D755&amp;"|"&amp;E755)*(HISTORIAL!$F$3:$F$753&lt;&gt;"")),HISTORIAL!$G$3:$G$753),"")</f>
        <v/>
      </c>
      <c r="I755" s="37" t="str">
        <f>IFERROR(LOOKUP(2,1/((HISTORIAL!$O$3:$O$753=D755&amp;"|"&amp;E755)*(HISTORIAL!$F$3:$F$753&lt;&gt;"")),HISTORIAL!$H$3:$H$753),"")</f>
        <v/>
      </c>
      <c r="J755" s="37" t="str">
        <f>IFERROR(LOOKUP(2,1/((HISTORIAL!$O$3:$O$753=D755&amp;"|"&amp;E755)*(HISTORIAL!$F$3:$F$753&lt;&gt;"")),HISTORIAL!$I$3:$I$753),"")</f>
        <v/>
      </c>
      <c r="K755" s="58" t="str">
        <f>IFERROR(IF(OR(G755="",N755="SIN"),"--",IF(N755="SUBIR_F",IF(F755="polea",IFERROR(INDEX(CONFIG!$B$25:$B$40,MATCH(G755,CONFIG!$B$25:$B$40,0)+2),IFERROR(INDEX(CONFIG!$B$25:$B$40,MATCH(G755,CONFIG!$B$25:$B$40,0)+1),G755)),G755+5),IF(OR(N755="SUBIR",N755="SUBIR_E"),IF(F755="polea",IFERROR(INDEX(CONFIG!$B$25:$B$40,MATCH(G755,CONFIG!$B$25:$B$40,0)+1),G755),G755+2.5),IF(N755="BAJAR",IF(F755="polea",IFERROR(INDEX(CONFIG!$B$25:$B$40,MAX(1,MATCH(G755,CONFIG!$B$25:$B$40,0)-1)),G755),MAX(0,G755-2.5)),G755)))),"--")</f>
        <v>--</v>
      </c>
      <c r="L755" s="59" t="str">
        <f>IFERROR(IF(N755="SIN","--",IF(N755="MANT",IF(H755="","--",H755+1),IFERROR(VLOOKUP(CONFIG!$E$2,CONFIG!$A$6:$E$8,2,0),"--"))),"--")</f>
        <v>--</v>
      </c>
      <c r="M755" s="59" t="str">
        <f>IFERROR(IF(N755="SIN","--",IF(CONFIG!$E$2="HIP",2,IF(CONFIG!$E$2="FUE",1,2))),"--")</f>
        <v>--</v>
      </c>
      <c r="N755" s="53" t="str">
        <f>IFERROR(IF(G755="","SIN",IF(O755=1,"SUBIR_E",IF(H755&lt;IFERROR(VLOOKUP(CONFIG!$E$2,CONFIG!$A$6:$E$8,2,0),6),"BAJAR",IF(H755+I755&gt;=IFERROR(VLOOKUP(CONFIG!$E$2,CONFIG!$A$6:$E$8,3,0),12),"SUBIR_F",IF(AND(H755&gt;=IFERROR(VLOOKUP(CONFIG!$E$2,CONFIG!$A$6:$E$8,2,0),6)+2,I755&gt;=2),"SUBIR",IF(I755&gt;IFERROR(VLOOKUP(CONFIG!$E$2,CONFIG!$A$6:$E$8,5,0),3),"SUBIR","MANT")))))),"SIN")</f>
        <v>SIN</v>
      </c>
      <c r="O755" s="55">
        <f>IF(COUNTIFS(HISTORIAL!$O$3:$O$753,D755&amp;"|"&amp;E755,HISTORIAL!$F$3:$F$753,"&gt;0")&lt;2,0,IF(COUNTIFS(HISTORIAL!$O$3:$O$753,D755&amp;"|"&amp;E755,HISTORIAL!$F$3:$F$753,IFERROR(LOOKUP(2,1/((HISTORIAL!$O$3:$O$753=D755&amp;"|"&amp;E755)*(HISTORIAL!$F$3:$F$753&gt;0)),HISTORIAL!$F$3:$F$753),0))&gt;=2,IF(IFERROR(LOOKUP(2,1/((HISTORIAL!$O$3:$O$753=D755&amp;"|"&amp;E755)*(HISTORIAL!$F$3:$F$753&gt;0)),HISTORIAL!$G$3:$G$753),0)&gt;0,IF(F755&gt;0,IF(G755&lt;=IFERROR(LOOKUP(2,1/((HISTORIAL!$O$3:$O$753=D755&amp;"|"&amp;E755)*(HISTORIAL!$F$3:$F$753&gt;0)),HISTORIAL!$G$3:$G$753),0),1,0),0),0),0))</f>
        <v>0</v>
      </c>
    </row>
    <row r="756" spans="1:15" ht="14.1" customHeight="1">
      <c r="A756" s="37">
        <v>12</v>
      </c>
      <c r="B756" s="37" t="s">
        <v>281</v>
      </c>
      <c r="C756" s="37">
        <v>10</v>
      </c>
      <c r="D756" s="56" t="str">
        <f>SABADO!$A$291</f>
        <v>Encogimientos</v>
      </c>
      <c r="E756" s="57" t="str">
        <f>SABADO!$B$291</f>
        <v>Mancuernas Trapecio</v>
      </c>
      <c r="F756" s="37" t="str">
        <f>SABADO!$C$291</f>
        <v>mancuerna</v>
      </c>
      <c r="G756" s="37" t="str">
        <f>IFERROR(LOOKUP(2,1/((HISTORIAL!$O$3:$O$754=D756&amp;"|"&amp;E756)*(HISTORIAL!$F$3:$F$754&lt;&gt;"")),HISTORIAL!$F$3:$F$754),"")</f>
        <v/>
      </c>
      <c r="H756" s="37" t="str">
        <f>IFERROR(LOOKUP(2,1/((HISTORIAL!$O$3:$O$754=D756&amp;"|"&amp;E756)*(HISTORIAL!$F$3:$F$754&lt;&gt;"")),HISTORIAL!$G$3:$G$754),"")</f>
        <v/>
      </c>
      <c r="I756" s="37" t="str">
        <f>IFERROR(LOOKUP(2,1/((HISTORIAL!$O$3:$O$754=D756&amp;"|"&amp;E756)*(HISTORIAL!$F$3:$F$754&lt;&gt;"")),HISTORIAL!$H$3:$H$754),"")</f>
        <v/>
      </c>
      <c r="J756" s="37" t="str">
        <f>IFERROR(LOOKUP(2,1/((HISTORIAL!$O$3:$O$754=D756&amp;"|"&amp;E756)*(HISTORIAL!$F$3:$F$754&lt;&gt;"")),HISTORIAL!$I$3:$I$754),"")</f>
        <v/>
      </c>
      <c r="K756" s="58" t="str">
        <f>IFERROR(IF(OR(G756="",N756="SIN"),"--",IF(N756="SUBIR_F",IF(F756="polea",IFERROR(INDEX(CONFIG!$B$25:$B$40,MATCH(G756,CONFIG!$B$25:$B$40,0)+2),IFERROR(INDEX(CONFIG!$B$25:$B$40,MATCH(G756,CONFIG!$B$25:$B$40,0)+1),G756)),G756+5),IF(OR(N756="SUBIR",N756="SUBIR_E"),IF(F756="polea",IFERROR(INDEX(CONFIG!$B$25:$B$40,MATCH(G756,CONFIG!$B$25:$B$40,0)+1),G756),G756+2.5),IF(N756="BAJAR",IF(F756="polea",IFERROR(INDEX(CONFIG!$B$25:$B$40,MAX(1,MATCH(G756,CONFIG!$B$25:$B$40,0)-1)),G756),MAX(0,G756-2.5)),G756)))),"--")</f>
        <v>--</v>
      </c>
      <c r="L756" s="59" t="str">
        <f>IFERROR(IF(N756="SIN","--",IF(N756="MANT",IF(H756="","--",H756+1),IFERROR(VLOOKUP(CONFIG!$E$2,CONFIG!$A$6:$E$8,2,0),"--"))),"--")</f>
        <v>--</v>
      </c>
      <c r="M756" s="59" t="str">
        <f>IFERROR(IF(N756="SIN","--",IF(CONFIG!$E$2="HIP",2,IF(CONFIG!$E$2="FUE",1,2))),"--")</f>
        <v>--</v>
      </c>
      <c r="N756" s="53" t="str">
        <f>IFERROR(IF(G756="","SIN",IF(O756=1,"SUBIR_E",IF(H756&lt;IFERROR(VLOOKUP(CONFIG!$E$2,CONFIG!$A$6:$E$8,2,0),6),"BAJAR",IF(H756+I756&gt;=IFERROR(VLOOKUP(CONFIG!$E$2,CONFIG!$A$6:$E$8,3,0),12),"SUBIR_F",IF(AND(H756&gt;=IFERROR(VLOOKUP(CONFIG!$E$2,CONFIG!$A$6:$E$8,2,0),6)+2,I756&gt;=2),"SUBIR",IF(I756&gt;IFERROR(VLOOKUP(CONFIG!$E$2,CONFIG!$A$6:$E$8,5,0),3),"SUBIR","MANT")))))),"SIN")</f>
        <v>SIN</v>
      </c>
      <c r="O756" s="55">
        <f>IF(COUNTIFS(HISTORIAL!$O$3:$O$754,D756&amp;"|"&amp;E756,HISTORIAL!$F$3:$F$754,"&gt;0")&lt;2,0,IF(COUNTIFS(HISTORIAL!$O$3:$O$754,D756&amp;"|"&amp;E756,HISTORIAL!$F$3:$F$754,IFERROR(LOOKUP(2,1/((HISTORIAL!$O$3:$O$754=D756&amp;"|"&amp;E756)*(HISTORIAL!$F$3:$F$754&gt;0)),HISTORIAL!$F$3:$F$754),0))&gt;=2,IF(IFERROR(LOOKUP(2,1/((HISTORIAL!$O$3:$O$754=D756&amp;"|"&amp;E756)*(HISTORIAL!$F$3:$F$754&gt;0)),HISTORIAL!$G$3:$G$754),0)&gt;0,IF(F756&gt;0,IF(G756&lt;=IFERROR(LOOKUP(2,1/((HISTORIAL!$O$3:$O$754=D756&amp;"|"&amp;E756)*(HISTORIAL!$F$3:$F$754&gt;0)),HISTORIAL!$G$3:$G$754),0),1,0),0),0),0))</f>
        <v>0</v>
      </c>
    </row>
    <row r="757" spans="1:15" ht="14.1" customHeight="1">
      <c r="A757" s="37">
        <v>12</v>
      </c>
      <c r="B757" s="37" t="s">
        <v>281</v>
      </c>
      <c r="C757" s="37">
        <v>11</v>
      </c>
      <c r="D757" s="56" t="str">
        <f>SABADO!$A$292</f>
        <v>Face Pull</v>
      </c>
      <c r="E757" s="57" t="str">
        <f>SABADO!$B$292</f>
        <v>Polea Alta Cuerda</v>
      </c>
      <c r="F757" s="37" t="str">
        <f>SABADO!$C$292</f>
        <v>polea</v>
      </c>
      <c r="G757" s="37" t="str">
        <f>IFERROR(LOOKUP(2,1/((HISTORIAL!$O$3:$O$755=D757&amp;"|"&amp;E757)*(HISTORIAL!$F$3:$F$755&lt;&gt;"")),HISTORIAL!$F$3:$F$755),"")</f>
        <v/>
      </c>
      <c r="H757" s="37" t="str">
        <f>IFERROR(LOOKUP(2,1/((HISTORIAL!$O$3:$O$755=D757&amp;"|"&amp;E757)*(HISTORIAL!$F$3:$F$755&lt;&gt;"")),HISTORIAL!$G$3:$G$755),"")</f>
        <v/>
      </c>
      <c r="I757" s="37" t="str">
        <f>IFERROR(LOOKUP(2,1/((HISTORIAL!$O$3:$O$755=D757&amp;"|"&amp;E757)*(HISTORIAL!$F$3:$F$755&lt;&gt;"")),HISTORIAL!$H$3:$H$755),"")</f>
        <v/>
      </c>
      <c r="J757" s="37" t="str">
        <f>IFERROR(LOOKUP(2,1/((HISTORIAL!$O$3:$O$755=D757&amp;"|"&amp;E757)*(HISTORIAL!$F$3:$F$755&lt;&gt;"")),HISTORIAL!$I$3:$I$755),"")</f>
        <v/>
      </c>
      <c r="K757" s="58" t="str">
        <f>IFERROR(IF(OR(G757="",N757="SIN"),"--",IF(N757="SUBIR_F",IF(F757="polea",IFERROR(INDEX(CONFIG!$B$25:$B$40,MATCH(G757,CONFIG!$B$25:$B$40,0)+2),IFERROR(INDEX(CONFIG!$B$25:$B$40,MATCH(G757,CONFIG!$B$25:$B$40,0)+1),G757)),G757+5),IF(OR(N757="SUBIR",N757="SUBIR_E"),IF(F757="polea",IFERROR(INDEX(CONFIG!$B$25:$B$40,MATCH(G757,CONFIG!$B$25:$B$40,0)+1),G757),G757+2.5),IF(N757="BAJAR",IF(F757="polea",IFERROR(INDEX(CONFIG!$B$25:$B$40,MAX(1,MATCH(G757,CONFIG!$B$25:$B$40,0)-1)),G757),MAX(0,G757-2.5)),G757)))),"--")</f>
        <v>--</v>
      </c>
      <c r="L757" s="59" t="str">
        <f>IFERROR(IF(N757="SIN","--",IF(N757="MANT",IF(H757="","--",H757+1),IFERROR(VLOOKUP(CONFIG!$E$2,CONFIG!$A$6:$E$8,2,0),"--"))),"--")</f>
        <v>--</v>
      </c>
      <c r="M757" s="59" t="str">
        <f>IFERROR(IF(N757="SIN","--",IF(CONFIG!$E$2="HIP",2,IF(CONFIG!$E$2="FUE",1,2))),"--")</f>
        <v>--</v>
      </c>
      <c r="N757" s="53" t="str">
        <f>IFERROR(IF(G757="","SIN",IF(O757=1,"SUBIR_E",IF(H757&lt;IFERROR(VLOOKUP(CONFIG!$E$2,CONFIG!$A$6:$E$8,2,0),6),"BAJAR",IF(H757+I757&gt;=IFERROR(VLOOKUP(CONFIG!$E$2,CONFIG!$A$6:$E$8,3,0),12),"SUBIR_F",IF(AND(H757&gt;=IFERROR(VLOOKUP(CONFIG!$E$2,CONFIG!$A$6:$E$8,2,0),6)+2,I757&gt;=2),"SUBIR",IF(I757&gt;IFERROR(VLOOKUP(CONFIG!$E$2,CONFIG!$A$6:$E$8,5,0),3),"SUBIR","MANT")))))),"SIN")</f>
        <v>SIN</v>
      </c>
      <c r="O757" s="55">
        <f>IF(COUNTIFS(HISTORIAL!$O$3:$O$755,D757&amp;"|"&amp;E757,HISTORIAL!$F$3:$F$755,"&gt;0")&lt;2,0,IF(COUNTIFS(HISTORIAL!$O$3:$O$755,D757&amp;"|"&amp;E757,HISTORIAL!$F$3:$F$755,IFERROR(LOOKUP(2,1/((HISTORIAL!$O$3:$O$755=D757&amp;"|"&amp;E757)*(HISTORIAL!$F$3:$F$755&gt;0)),HISTORIAL!$F$3:$F$755),0))&gt;=2,IF(IFERROR(LOOKUP(2,1/((HISTORIAL!$O$3:$O$755=D757&amp;"|"&amp;E757)*(HISTORIAL!$F$3:$F$755&gt;0)),HISTORIAL!$G$3:$G$755),0)&gt;0,IF(F757&gt;0,IF(G757&lt;=IFERROR(LOOKUP(2,1/((HISTORIAL!$O$3:$O$755=D757&amp;"|"&amp;E757)*(HISTORIAL!$F$3:$F$755&gt;0)),HISTORIAL!$G$3:$G$755),0),1,0),0),0),0))</f>
        <v>0</v>
      </c>
    </row>
    <row r="758" spans="1:15" ht="14.1" customHeight="1">
      <c r="A758" s="37">
        <v>12</v>
      </c>
      <c r="B758" s="37" t="s">
        <v>281</v>
      </c>
      <c r="C758" s="37">
        <v>12</v>
      </c>
      <c r="D758" s="56" t="str">
        <f>SABADO!$A$294</f>
        <v>Hiperextension</v>
      </c>
      <c r="E758" s="57" t="str">
        <f>SABADO!$B$294</f>
        <v>Banco Romano</v>
      </c>
      <c r="F758" s="37" t="str">
        <f>SABADO!$C$294</f>
        <v>peso_corporal</v>
      </c>
      <c r="G758" s="37" t="str">
        <f>IFERROR(LOOKUP(2,1/((HISTORIAL!$O$3:$O$756=D758&amp;"|"&amp;E758)*(HISTORIAL!$F$3:$F$756&lt;&gt;"")),HISTORIAL!$F$3:$F$756),"")</f>
        <v/>
      </c>
      <c r="H758" s="37" t="str">
        <f>IFERROR(LOOKUP(2,1/((HISTORIAL!$O$3:$O$756=D758&amp;"|"&amp;E758)*(HISTORIAL!$F$3:$F$756&lt;&gt;"")),HISTORIAL!$G$3:$G$756),"")</f>
        <v/>
      </c>
      <c r="I758" s="37" t="str">
        <f>IFERROR(LOOKUP(2,1/((HISTORIAL!$O$3:$O$756=D758&amp;"|"&amp;E758)*(HISTORIAL!$F$3:$F$756&lt;&gt;"")),HISTORIAL!$H$3:$H$756),"")</f>
        <v/>
      </c>
      <c r="J758" s="37" t="str">
        <f>IFERROR(LOOKUP(2,1/((HISTORIAL!$O$3:$O$756=D758&amp;"|"&amp;E758)*(HISTORIAL!$F$3:$F$756&lt;&gt;"")),HISTORIAL!$I$3:$I$756),"")</f>
        <v/>
      </c>
      <c r="K758" s="58" t="str">
        <f>IFERROR(IF(OR(G758="",N758="SIN"),"--",IF(N758="SUBIR_F",IF(F758="polea",IFERROR(INDEX(CONFIG!$B$25:$B$40,MATCH(G758,CONFIG!$B$25:$B$40,0)+2),IFERROR(INDEX(CONFIG!$B$25:$B$40,MATCH(G758,CONFIG!$B$25:$B$40,0)+1),G758)),G758+5),IF(OR(N758="SUBIR",N758="SUBIR_E"),IF(F758="polea",IFERROR(INDEX(CONFIG!$B$25:$B$40,MATCH(G758,CONFIG!$B$25:$B$40,0)+1),G758),G758+2.5),IF(N758="BAJAR",IF(F758="polea",IFERROR(INDEX(CONFIG!$B$25:$B$40,MAX(1,MATCH(G758,CONFIG!$B$25:$B$40,0)-1)),G758),MAX(0,G758-2.5)),G758)))),"--")</f>
        <v>--</v>
      </c>
      <c r="L758" s="59" t="str">
        <f>IFERROR(IF(N758="SIN","--",IF(N758="MANT",IF(H758="","--",H758+1),IFERROR(VLOOKUP(CONFIG!$E$2,CONFIG!$A$6:$E$8,2,0),"--"))),"--")</f>
        <v>--</v>
      </c>
      <c r="M758" s="59" t="str">
        <f>IFERROR(IF(N758="SIN","--",IF(CONFIG!$E$2="HIP",2,IF(CONFIG!$E$2="FUE",1,2))),"--")</f>
        <v>--</v>
      </c>
      <c r="N758" s="53" t="str">
        <f>IFERROR(IF(G758="","SIN",IF(O758=1,"SUBIR_E",IF(H758&lt;IFERROR(VLOOKUP(CONFIG!$E$2,CONFIG!$A$6:$E$8,2,0),6),"BAJAR",IF(H758+I758&gt;=IFERROR(VLOOKUP(CONFIG!$E$2,CONFIG!$A$6:$E$8,3,0),12),"SUBIR_F",IF(AND(H758&gt;=IFERROR(VLOOKUP(CONFIG!$E$2,CONFIG!$A$6:$E$8,2,0),6)+2,I758&gt;=2),"SUBIR",IF(I758&gt;IFERROR(VLOOKUP(CONFIG!$E$2,CONFIG!$A$6:$E$8,5,0),3),"SUBIR","MANT")))))),"SIN")</f>
        <v>SIN</v>
      </c>
      <c r="O758" s="55">
        <f>IF(COUNTIFS(HISTORIAL!$O$3:$O$756,D758&amp;"|"&amp;E758,HISTORIAL!$F$3:$F$756,"&gt;0")&lt;2,0,IF(COUNTIFS(HISTORIAL!$O$3:$O$756,D758&amp;"|"&amp;E758,HISTORIAL!$F$3:$F$756,IFERROR(LOOKUP(2,1/((HISTORIAL!$O$3:$O$756=D758&amp;"|"&amp;E758)*(HISTORIAL!$F$3:$F$756&gt;0)),HISTORIAL!$F$3:$F$756),0))&gt;=2,IF(IFERROR(LOOKUP(2,1/((HISTORIAL!$O$3:$O$756=D758&amp;"|"&amp;E758)*(HISTORIAL!$F$3:$F$756&gt;0)),HISTORIAL!$G$3:$G$756),0)&gt;0,IF(F758&gt;0,IF(G758&lt;=IFERROR(LOOKUP(2,1/((HISTORIAL!$O$3:$O$756=D758&amp;"|"&amp;E758)*(HISTORIAL!$F$3:$F$756&gt;0)),HISTORIAL!$G$3:$G$756),0),1,0),0),0),0))</f>
        <v>0</v>
      </c>
    </row>
    <row r="759" spans="1:15" ht="14.1" customHeight="1">
      <c r="A759" s="37">
        <v>12</v>
      </c>
      <c r="B759" s="37" t="s">
        <v>281</v>
      </c>
      <c r="C759" s="37">
        <v>13</v>
      </c>
      <c r="D759" s="56" t="str">
        <f>SABADO!$A$296</f>
        <v>Crunch</v>
      </c>
      <c r="E759" s="57" t="str">
        <f>SABADO!$B$296</f>
        <v>Polea</v>
      </c>
      <c r="F759" s="37" t="str">
        <f>SABADO!$C$296</f>
        <v>polea</v>
      </c>
      <c r="G759" s="37" t="str">
        <f>IFERROR(LOOKUP(2,1/((HISTORIAL!$O$3:$O$757=D759&amp;"|"&amp;E759)*(HISTORIAL!$F$3:$F$757&lt;&gt;"")),HISTORIAL!$F$3:$F$757),"")</f>
        <v/>
      </c>
      <c r="H759" s="37" t="str">
        <f>IFERROR(LOOKUP(2,1/((HISTORIAL!$O$3:$O$757=D759&amp;"|"&amp;E759)*(HISTORIAL!$F$3:$F$757&lt;&gt;"")),HISTORIAL!$G$3:$G$757),"")</f>
        <v/>
      </c>
      <c r="I759" s="37" t="str">
        <f>IFERROR(LOOKUP(2,1/((HISTORIAL!$O$3:$O$757=D759&amp;"|"&amp;E759)*(HISTORIAL!$F$3:$F$757&lt;&gt;"")),HISTORIAL!$H$3:$H$757),"")</f>
        <v/>
      </c>
      <c r="J759" s="37" t="str">
        <f>IFERROR(LOOKUP(2,1/((HISTORIAL!$O$3:$O$757=D759&amp;"|"&amp;E759)*(HISTORIAL!$F$3:$F$757&lt;&gt;"")),HISTORIAL!$I$3:$I$757),"")</f>
        <v/>
      </c>
      <c r="K759" s="58" t="str">
        <f>IFERROR(IF(OR(G759="",N759="SIN"),"--",IF(N759="SUBIR_F",IF(F759="polea",IFERROR(INDEX(CONFIG!$B$25:$B$40,MATCH(G759,CONFIG!$B$25:$B$40,0)+2),IFERROR(INDEX(CONFIG!$B$25:$B$40,MATCH(G759,CONFIG!$B$25:$B$40,0)+1),G759)),G759+5),IF(OR(N759="SUBIR",N759="SUBIR_E"),IF(F759="polea",IFERROR(INDEX(CONFIG!$B$25:$B$40,MATCH(G759,CONFIG!$B$25:$B$40,0)+1),G759),G759+2.5),IF(N759="BAJAR",IF(F759="polea",IFERROR(INDEX(CONFIG!$B$25:$B$40,MAX(1,MATCH(G759,CONFIG!$B$25:$B$40,0)-1)),G759),MAX(0,G759-2.5)),G759)))),"--")</f>
        <v>--</v>
      </c>
      <c r="L759" s="59" t="str">
        <f>IFERROR(IF(N759="SIN","--",IF(N759="MANT",IF(H759="","--",H759+1),IFERROR(VLOOKUP(CONFIG!$E$2,CONFIG!$A$6:$E$8,2,0),"--"))),"--")</f>
        <v>--</v>
      </c>
      <c r="M759" s="59" t="str">
        <f>IFERROR(IF(N759="SIN","--",IF(CONFIG!$E$2="HIP",2,IF(CONFIG!$E$2="FUE",1,2))),"--")</f>
        <v>--</v>
      </c>
      <c r="N759" s="53" t="str">
        <f>IFERROR(IF(G759="","SIN",IF(O759=1,"SUBIR_E",IF(H759&lt;IFERROR(VLOOKUP(CONFIG!$E$2,CONFIG!$A$6:$E$8,2,0),6),"BAJAR",IF(H759+I759&gt;=IFERROR(VLOOKUP(CONFIG!$E$2,CONFIG!$A$6:$E$8,3,0),12),"SUBIR_F",IF(AND(H759&gt;=IFERROR(VLOOKUP(CONFIG!$E$2,CONFIG!$A$6:$E$8,2,0),6)+2,I759&gt;=2),"SUBIR",IF(I759&gt;IFERROR(VLOOKUP(CONFIG!$E$2,CONFIG!$A$6:$E$8,5,0),3),"SUBIR","MANT")))))),"SIN")</f>
        <v>SIN</v>
      </c>
      <c r="O759" s="55">
        <f>IF(COUNTIFS(HISTORIAL!$O$3:$O$757,D759&amp;"|"&amp;E759,HISTORIAL!$F$3:$F$757,"&gt;0")&lt;2,0,IF(COUNTIFS(HISTORIAL!$O$3:$O$757,D759&amp;"|"&amp;E759,HISTORIAL!$F$3:$F$757,IFERROR(LOOKUP(2,1/((HISTORIAL!$O$3:$O$757=D759&amp;"|"&amp;E759)*(HISTORIAL!$F$3:$F$757&gt;0)),HISTORIAL!$F$3:$F$757),0))&gt;=2,IF(IFERROR(LOOKUP(2,1/((HISTORIAL!$O$3:$O$757=D759&amp;"|"&amp;E759)*(HISTORIAL!$F$3:$F$757&gt;0)),HISTORIAL!$G$3:$G$757),0)&gt;0,IF(F759&gt;0,IF(G759&lt;=IFERROR(LOOKUP(2,1/((HISTORIAL!$O$3:$O$757=D759&amp;"|"&amp;E759)*(HISTORIAL!$F$3:$F$757&gt;0)),HISTORIAL!$G$3:$G$757),0),1,0),0),0),0))</f>
        <v>0</v>
      </c>
    </row>
  </sheetData>
  <mergeCells count="2">
    <mergeCell ref="A2:M2"/>
    <mergeCell ref="A1:M1"/>
  </mergeCells>
  <conditionalFormatting sqref="N4:N759">
    <cfRule type="expression" dxfId="725" priority="1">
      <formula>LEFT(N4,1)="S"</formula>
    </cfRule>
    <cfRule type="expression" dxfId="724" priority="2">
      <formula>LEFT(N4,1)="M"</formula>
    </cfRule>
    <cfRule type="expression" dxfId="723" priority="3">
      <formula>LEFT(N4,1)="B"</formula>
    </cfRule>
  </conditionalFormatting>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2D050"/>
  </sheetPr>
  <dimension ref="A1:P35"/>
  <sheetViews>
    <sheetView showGridLines="0" workbookViewId="0">
      <pane xSplit="2" ySplit="3" topLeftCell="C4" activePane="bottomRight" state="frozen"/>
      <selection pane="bottomRight" activeCell="G20" sqref="G20"/>
      <selection pane="bottomLeft"/>
      <selection pane="topRight"/>
    </sheetView>
  </sheetViews>
  <sheetFormatPr defaultColWidth="8.85546875" defaultRowHeight="15"/>
  <cols>
    <col min="1" max="1" width="22" style="68" customWidth="1"/>
    <col min="2" max="2" width="4" style="68" customWidth="1"/>
    <col min="3" max="16" width="6" style="68" customWidth="1"/>
  </cols>
  <sheetData>
    <row r="1" spans="1:16" ht="30" customHeight="1">
      <c r="A1" s="93" t="s">
        <v>295</v>
      </c>
      <c r="B1" s="78"/>
      <c r="C1" s="78"/>
      <c r="D1" s="78"/>
      <c r="E1" s="78"/>
      <c r="F1" s="78"/>
      <c r="G1" s="78"/>
      <c r="H1" s="78"/>
      <c r="I1" s="78"/>
      <c r="J1" s="78"/>
      <c r="K1" s="78"/>
      <c r="L1" s="78"/>
      <c r="M1" s="78"/>
      <c r="N1" s="78"/>
      <c r="O1" s="78"/>
      <c r="P1" s="79"/>
    </row>
    <row r="2" spans="1:16">
      <c r="A2" s="97" t="s">
        <v>296</v>
      </c>
      <c r="B2" s="73"/>
      <c r="C2" s="73"/>
      <c r="D2" s="73"/>
      <c r="E2" s="73"/>
      <c r="F2" s="73"/>
      <c r="G2" s="73"/>
      <c r="H2" s="73"/>
      <c r="I2" s="73"/>
      <c r="J2" s="73"/>
      <c r="K2" s="73"/>
      <c r="L2" s="73"/>
      <c r="M2" s="73"/>
      <c r="N2" s="73"/>
      <c r="O2" s="73"/>
      <c r="P2" s="73"/>
    </row>
    <row r="3" spans="1:16">
      <c r="A3" s="60" t="s">
        <v>297</v>
      </c>
      <c r="B3" s="1"/>
      <c r="C3" s="1" t="s">
        <v>298</v>
      </c>
      <c r="D3" s="1" t="s">
        <v>299</v>
      </c>
      <c r="E3" s="1" t="s">
        <v>300</v>
      </c>
      <c r="F3" s="1" t="s">
        <v>301</v>
      </c>
      <c r="G3" s="1" t="s">
        <v>302</v>
      </c>
      <c r="H3" s="1" t="s">
        <v>303</v>
      </c>
      <c r="I3" s="1" t="s">
        <v>304</v>
      </c>
      <c r="J3" s="1" t="s">
        <v>305</v>
      </c>
      <c r="K3" s="1" t="s">
        <v>306</v>
      </c>
      <c r="L3" s="1" t="s">
        <v>307</v>
      </c>
      <c r="M3" s="1" t="s">
        <v>308</v>
      </c>
      <c r="N3" s="1" t="s">
        <v>309</v>
      </c>
      <c r="O3" s="1" t="s">
        <v>310</v>
      </c>
      <c r="P3" s="1" t="s">
        <v>311</v>
      </c>
    </row>
    <row r="4" spans="1:16" ht="20.100000000000001" customHeight="1">
      <c r="A4" s="96" t="s">
        <v>312</v>
      </c>
      <c r="B4" s="79"/>
      <c r="C4" s="31">
        <f>LUNES!D13+LUNES!D18+LUNES!D19+JUEVES!D20+JUEVES!D24+LUNES!D15+JUEVES!D22+LUNES!D17</f>
        <v>24</v>
      </c>
      <c r="D4" s="31">
        <f>LUNES!D35+LUNES!D40+LUNES!D41+JUEVES!D45+JUEVES!D49+LUNES!D37+JUEVES!D47+LUNES!D39</f>
        <v>24</v>
      </c>
      <c r="E4" s="31">
        <f>LUNES!D57+LUNES!D62+LUNES!D63+JUEVES!D70+JUEVES!D74+LUNES!D59+JUEVES!D72+LUNES!D61</f>
        <v>24</v>
      </c>
      <c r="F4" s="31">
        <f>LUNES!D79+LUNES!D84+LUNES!D85+JUEVES!D95+JUEVES!D99+LUNES!D81+JUEVES!D97+LUNES!D83</f>
        <v>24</v>
      </c>
      <c r="G4" s="31">
        <f>LUNES!D101+LUNES!D106+LUNES!D107+JUEVES!D120+JUEVES!D124+LUNES!D103+JUEVES!D122+LUNES!D105</f>
        <v>24</v>
      </c>
      <c r="H4" s="31">
        <f>LUNES!D123+LUNES!D128+LUNES!D129+JUEVES!D145+JUEVES!D149+LUNES!D125+JUEVES!D147+LUNES!D127</f>
        <v>24</v>
      </c>
      <c r="I4" s="31">
        <f>LUNES!D145+LUNES!D150+LUNES!D151+JUEVES!D170+JUEVES!D174+LUNES!D147+JUEVES!D172+LUNES!D149</f>
        <v>24</v>
      </c>
      <c r="J4" s="31">
        <f>LUNES!D167+LUNES!D172+LUNES!D173+JUEVES!D195+JUEVES!D199+LUNES!D169+JUEVES!D197+LUNES!D171</f>
        <v>24</v>
      </c>
      <c r="K4" s="31">
        <f>LUNES!D189+LUNES!D194+LUNES!D195+JUEVES!D220+JUEVES!D224+LUNES!D191+JUEVES!D222+LUNES!D193</f>
        <v>24</v>
      </c>
      <c r="L4" s="31">
        <f>LUNES!D211+LUNES!D216+LUNES!D217+JUEVES!D245+JUEVES!D249+LUNES!D213+JUEVES!D247+LUNES!D215</f>
        <v>24</v>
      </c>
      <c r="M4" s="31">
        <f>LUNES!D233+LUNES!D238+LUNES!D239+JUEVES!D270+JUEVES!D274+LUNES!D235+JUEVES!D272+LUNES!D237</f>
        <v>24</v>
      </c>
      <c r="N4" s="31">
        <f>LUNES!D255+LUNES!D260+LUNES!D261+JUEVES!D295+JUEVES!D299+LUNES!D257+JUEVES!D297+LUNES!D259</f>
        <v>24</v>
      </c>
      <c r="O4" s="1">
        <v>10</v>
      </c>
      <c r="P4" s="1">
        <v>16</v>
      </c>
    </row>
    <row r="5" spans="1:16" ht="17.100000000000001" customHeight="1">
      <c r="A5" s="61" t="s">
        <v>313</v>
      </c>
      <c r="B5" s="62"/>
      <c r="C5" s="63">
        <f>LUNES!D15+JUEVES!D22</f>
        <v>6</v>
      </c>
      <c r="D5" s="63">
        <f>LUNES!D37+JUEVES!D47</f>
        <v>6</v>
      </c>
      <c r="E5" s="63">
        <f>LUNES!D59+JUEVES!D72</f>
        <v>6</v>
      </c>
      <c r="F5" s="63">
        <f>LUNES!D81+JUEVES!D97</f>
        <v>6</v>
      </c>
      <c r="G5" s="63">
        <f>LUNES!D103+JUEVES!D122</f>
        <v>6</v>
      </c>
      <c r="H5" s="63">
        <f>LUNES!D125+JUEVES!D147</f>
        <v>6</v>
      </c>
      <c r="I5" s="63">
        <f>LUNES!D147+JUEVES!D172</f>
        <v>6</v>
      </c>
      <c r="J5" s="63">
        <f>LUNES!D169+JUEVES!D197</f>
        <v>6</v>
      </c>
      <c r="K5" s="63">
        <f>LUNES!D191+JUEVES!D222</f>
        <v>6</v>
      </c>
      <c r="L5" s="63">
        <f>LUNES!D213+JUEVES!D247</f>
        <v>6</v>
      </c>
      <c r="M5" s="63">
        <f>LUNES!D235+JUEVES!D272</f>
        <v>6</v>
      </c>
      <c r="N5" s="63">
        <f>LUNES!D257+JUEVES!D297</f>
        <v>6</v>
      </c>
      <c r="O5" s="64">
        <v>3</v>
      </c>
      <c r="P5" s="64">
        <v>6</v>
      </c>
    </row>
    <row r="6" spans="1:16" ht="17.100000000000001" customHeight="1">
      <c r="A6" s="61" t="s">
        <v>314</v>
      </c>
      <c r="B6" s="62"/>
      <c r="C6" s="63">
        <f>LUNES!D13+LUNES!D18+LUNES!D19+JUEVES!D20+JUEVES!D24</f>
        <v>15</v>
      </c>
      <c r="D6" s="63">
        <f>LUNES!D35+LUNES!D40+LUNES!D41+JUEVES!D45+JUEVES!D49</f>
        <v>15</v>
      </c>
      <c r="E6" s="63">
        <f>LUNES!D57+LUNES!D62+LUNES!D63+JUEVES!D70+JUEVES!D74</f>
        <v>15</v>
      </c>
      <c r="F6" s="63">
        <f>LUNES!D79+LUNES!D84+LUNES!D85+JUEVES!D95+JUEVES!D99</f>
        <v>15</v>
      </c>
      <c r="G6" s="63">
        <f>LUNES!D101+LUNES!D106+LUNES!D107+JUEVES!D120+JUEVES!D124</f>
        <v>15</v>
      </c>
      <c r="H6" s="63">
        <f>LUNES!D123+LUNES!D128+LUNES!D129+JUEVES!D145+JUEVES!D149</f>
        <v>15</v>
      </c>
      <c r="I6" s="63">
        <f>LUNES!D145+LUNES!D150+LUNES!D151+JUEVES!D170+JUEVES!D174</f>
        <v>15</v>
      </c>
      <c r="J6" s="63">
        <f>LUNES!D167+LUNES!D172+LUNES!D173+JUEVES!D195+JUEVES!D199</f>
        <v>15</v>
      </c>
      <c r="K6" s="63">
        <f>LUNES!D189+LUNES!D194+LUNES!D195+JUEVES!D220+JUEVES!D224</f>
        <v>15</v>
      </c>
      <c r="L6" s="63">
        <f>LUNES!D211+LUNES!D216+LUNES!D217+JUEVES!D245+JUEVES!D249</f>
        <v>15</v>
      </c>
      <c r="M6" s="63">
        <f>LUNES!D233+LUNES!D238+LUNES!D239+JUEVES!D270+JUEVES!D274</f>
        <v>15</v>
      </c>
      <c r="N6" s="63">
        <f>LUNES!D255+LUNES!D260+LUNES!D261+JUEVES!D295+JUEVES!D299</f>
        <v>15</v>
      </c>
      <c r="O6" s="64">
        <v>4</v>
      </c>
      <c r="P6" s="64">
        <v>8</v>
      </c>
    </row>
    <row r="7" spans="1:16" ht="17.100000000000001" customHeight="1">
      <c r="A7" s="61" t="s">
        <v>315</v>
      </c>
      <c r="B7" s="62"/>
      <c r="C7" s="63">
        <f>LUNES!D17</f>
        <v>3</v>
      </c>
      <c r="D7" s="63">
        <f>LUNES!D39</f>
        <v>3</v>
      </c>
      <c r="E7" s="63">
        <f>LUNES!D61</f>
        <v>3</v>
      </c>
      <c r="F7" s="63">
        <f>LUNES!D83</f>
        <v>3</v>
      </c>
      <c r="G7" s="63">
        <f>LUNES!D105</f>
        <v>3</v>
      </c>
      <c r="H7" s="63">
        <f>LUNES!D127</f>
        <v>3</v>
      </c>
      <c r="I7" s="63">
        <f>LUNES!D149</f>
        <v>3</v>
      </c>
      <c r="J7" s="63">
        <f>LUNES!D171</f>
        <v>3</v>
      </c>
      <c r="K7" s="63">
        <f>LUNES!D193</f>
        <v>3</v>
      </c>
      <c r="L7" s="63">
        <f>LUNES!D215</f>
        <v>3</v>
      </c>
      <c r="M7" s="63">
        <f>LUNES!D237</f>
        <v>3</v>
      </c>
      <c r="N7" s="63">
        <f>LUNES!D259</f>
        <v>3</v>
      </c>
      <c r="O7" s="64">
        <v>3</v>
      </c>
      <c r="P7" s="64">
        <v>6</v>
      </c>
    </row>
    <row r="8" spans="1:16" ht="5.0999999999999996" customHeight="1">
      <c r="A8" s="13"/>
      <c r="B8" s="13"/>
      <c r="C8" s="13"/>
      <c r="D8" s="13"/>
      <c r="E8" s="13"/>
      <c r="F8" s="13"/>
      <c r="G8" s="13"/>
      <c r="H8" s="13"/>
      <c r="I8" s="13"/>
      <c r="J8" s="13"/>
      <c r="K8" s="13"/>
      <c r="L8" s="13"/>
      <c r="M8" s="13"/>
      <c r="N8" s="13"/>
      <c r="O8" s="13"/>
      <c r="P8" s="13"/>
    </row>
    <row r="9" spans="1:16" ht="20.100000000000001" customHeight="1">
      <c r="A9" s="96" t="s">
        <v>316</v>
      </c>
      <c r="B9" s="79"/>
      <c r="C9" s="31">
        <f>MARTES!D13+MARTES!D14+SABADO!D13+MARTES!D16+MARTES!D17+SABADO!D15+SABADO!D16+ROUND(SABADO!D17*0.5,0)</f>
        <v>23</v>
      </c>
      <c r="D9" s="31">
        <f>MARTES!D34+MARTES!D35+SABADO!D37+MARTES!D37+MARTES!D38+SABADO!D39+SABADO!D40+ROUND(SABADO!D41*0.5,0)</f>
        <v>23</v>
      </c>
      <c r="E9" s="31">
        <f>MARTES!D55+MARTES!D56+SABADO!D61+MARTES!D58+MARTES!D59+SABADO!D63+SABADO!D64+ROUND(SABADO!D65*0.5,0)</f>
        <v>23</v>
      </c>
      <c r="F9" s="31">
        <f>MARTES!D76+MARTES!D77+SABADO!D85+MARTES!D79+MARTES!D80+SABADO!D87+SABADO!D88+ROUND(SABADO!D89*0.5,0)</f>
        <v>25</v>
      </c>
      <c r="G9" s="31">
        <f>MARTES!D97+MARTES!D98+SABADO!D109+MARTES!D100+MARTES!D101+SABADO!D111+SABADO!D112+ROUND(SABADO!D113*0.5,0)</f>
        <v>23</v>
      </c>
      <c r="H9" s="31">
        <f>MARTES!D118+MARTES!D119+SABADO!D133+MARTES!D121+MARTES!D122+SABADO!D135+SABADO!D136+ROUND(SABADO!D137*0.5,0)</f>
        <v>23</v>
      </c>
      <c r="I9" s="31">
        <f>MARTES!D139+MARTES!D140+SABADO!D157+MARTES!D142+MARTES!D143+SABADO!D159+SABADO!D160+ROUND(SABADO!D161*0.5,0)</f>
        <v>23</v>
      </c>
      <c r="J9" s="31">
        <f>MARTES!D160+MARTES!D161+SABADO!D181+MARTES!D163+MARTES!D164+SABADO!D183+SABADO!D184+ROUND(SABADO!D185*0.5,0)</f>
        <v>23</v>
      </c>
      <c r="K9" s="31">
        <f>MARTES!D181+MARTES!D182+SABADO!D205+MARTES!D184+MARTES!D185+SABADO!D207+SABADO!D208+ROUND(SABADO!D209*0.5,0)</f>
        <v>23</v>
      </c>
      <c r="L9" s="31">
        <f>MARTES!D202+MARTES!D203+SABADO!D229+MARTES!D205+MARTES!D206+SABADO!D231+SABADO!D232+ROUND(SABADO!D233*0.5,0)</f>
        <v>23</v>
      </c>
      <c r="M9" s="31">
        <f>MARTES!D223+MARTES!D224+SABADO!D253+MARTES!D226+MARTES!D227+SABADO!D255+SABADO!D256+ROUND(SABADO!D257*0.5,0)</f>
        <v>23</v>
      </c>
      <c r="N9" s="31">
        <f>MARTES!D244+MARTES!D245+SABADO!D277+MARTES!D247+MARTES!D248+SABADO!D279+SABADO!D280+ROUND(SABADO!D281*0.5,0)</f>
        <v>23</v>
      </c>
      <c r="O9" s="1">
        <v>12</v>
      </c>
      <c r="P9" s="1">
        <v>22</v>
      </c>
    </row>
    <row r="10" spans="1:16" ht="17.100000000000001" customHeight="1">
      <c r="A10" s="61" t="s">
        <v>317</v>
      </c>
      <c r="B10" s="62"/>
      <c r="C10" s="63">
        <f>MARTES!D13+MARTES!D14+SABADO!D13</f>
        <v>9</v>
      </c>
      <c r="D10" s="63">
        <f>MARTES!D34+MARTES!D35+SABADO!D37</f>
        <v>9</v>
      </c>
      <c r="E10" s="63">
        <f>MARTES!D55+MARTES!D56+SABADO!D61</f>
        <v>9</v>
      </c>
      <c r="F10" s="63">
        <f>MARTES!D76+MARTES!D77+SABADO!D85</f>
        <v>10</v>
      </c>
      <c r="G10" s="63">
        <f>MARTES!D97+MARTES!D98+SABADO!D109</f>
        <v>9</v>
      </c>
      <c r="H10" s="63">
        <f>MARTES!D118+MARTES!D119+SABADO!D133</f>
        <v>9</v>
      </c>
      <c r="I10" s="63">
        <f>MARTES!D139+MARTES!D140+SABADO!D157</f>
        <v>9</v>
      </c>
      <c r="J10" s="63">
        <f>MARTES!D160+MARTES!D161+SABADO!D181</f>
        <v>9</v>
      </c>
      <c r="K10" s="63">
        <f>MARTES!D181+MARTES!D182+SABADO!D205</f>
        <v>9</v>
      </c>
      <c r="L10" s="63">
        <f>MARTES!D202+MARTES!D203+SABADO!D229</f>
        <v>9</v>
      </c>
      <c r="M10" s="63">
        <f>MARTES!D223+MARTES!D224+SABADO!D253</f>
        <v>9</v>
      </c>
      <c r="N10" s="63">
        <f>MARTES!D244+MARTES!D245+SABADO!D277</f>
        <v>9</v>
      </c>
      <c r="O10" s="64">
        <v>5</v>
      </c>
      <c r="P10" s="64">
        <v>12</v>
      </c>
    </row>
    <row r="11" spans="1:16" ht="17.100000000000001" customHeight="1">
      <c r="A11" s="61" t="s">
        <v>318</v>
      </c>
      <c r="B11" s="62"/>
      <c r="C11" s="63">
        <f>MARTES!D16+MARTES!D17+SABADO!D15+SABADO!D16+ROUND(SABADO!D17*0.5,0)</f>
        <v>14</v>
      </c>
      <c r="D11" s="63">
        <f>MARTES!D37+MARTES!D38+SABADO!D39+SABADO!D40+ROUND(SABADO!D41*0.5,0)</f>
        <v>14</v>
      </c>
      <c r="E11" s="63">
        <f>MARTES!D58+MARTES!D59+SABADO!D63+SABADO!D64+ROUND(SABADO!D65*0.5,0)</f>
        <v>14</v>
      </c>
      <c r="F11" s="63">
        <f>MARTES!D79+MARTES!D80+SABADO!D87+SABADO!D88+ROUND(SABADO!D89*0.5,0)</f>
        <v>15</v>
      </c>
      <c r="G11" s="63">
        <f>MARTES!D100+MARTES!D101+SABADO!D111+SABADO!D112+ROUND(SABADO!D113*0.5,0)</f>
        <v>14</v>
      </c>
      <c r="H11" s="63">
        <f>MARTES!D121+MARTES!D122+SABADO!D135+SABADO!D136+ROUND(SABADO!D137*0.5,0)</f>
        <v>14</v>
      </c>
      <c r="I11" s="63">
        <f>MARTES!D142+MARTES!D143+SABADO!D159+SABADO!D160+ROUND(SABADO!D161*0.5,0)</f>
        <v>14</v>
      </c>
      <c r="J11" s="63">
        <f>MARTES!D163+MARTES!D164+SABADO!D183+SABADO!D184+ROUND(SABADO!D185*0.5,0)</f>
        <v>14</v>
      </c>
      <c r="K11" s="63">
        <f>MARTES!D184+MARTES!D185+SABADO!D207+SABADO!D208+ROUND(SABADO!D209*0.5,0)</f>
        <v>14</v>
      </c>
      <c r="L11" s="63">
        <f>MARTES!D205+MARTES!D206+SABADO!D231+SABADO!D232+ROUND(SABADO!D233*0.5,0)</f>
        <v>14</v>
      </c>
      <c r="M11" s="63">
        <f>MARTES!D226+MARTES!D227+SABADO!D255+SABADO!D256+ROUND(SABADO!D257*0.5,0)</f>
        <v>14</v>
      </c>
      <c r="N11" s="63">
        <f>MARTES!D247+MARTES!D248+SABADO!D279+SABADO!D280+ROUND(SABADO!D281*0.5,0)</f>
        <v>14</v>
      </c>
      <c r="O11" s="64">
        <v>5</v>
      </c>
      <c r="P11" s="64">
        <v>12</v>
      </c>
    </row>
    <row r="12" spans="1:16" ht="5.0999999999999996" customHeight="1">
      <c r="A12" s="13"/>
      <c r="B12" s="13"/>
      <c r="C12" s="13"/>
      <c r="D12" s="13"/>
      <c r="E12" s="13"/>
      <c r="F12" s="13"/>
      <c r="G12" s="13"/>
      <c r="H12" s="13"/>
      <c r="I12" s="13"/>
      <c r="J12" s="13"/>
      <c r="K12" s="13"/>
      <c r="L12" s="13"/>
      <c r="M12" s="13"/>
      <c r="N12" s="13"/>
      <c r="O12" s="13"/>
      <c r="P12" s="13"/>
    </row>
    <row r="13" spans="1:16" ht="20.100000000000001" customHeight="1">
      <c r="A13" s="96" t="s">
        <v>319</v>
      </c>
      <c r="B13" s="79"/>
      <c r="C13" s="31">
        <f>LUNES!D21+JUEVES!D13+SABADO!D25+LUNES!D22+JUEVES!D12+JUEVES!D15+JUEVES!D16+JUEVES!D17+ROUND(SABADO!D17*0.5,0)+ROUND(SABADO!D28*0.6,0)</f>
        <v>28</v>
      </c>
      <c r="D13" s="31">
        <f>LUNES!D43+JUEVES!D38+SABADO!D49+LUNES!D44+JUEVES!D37+JUEVES!D40+JUEVES!D41+JUEVES!D42+ROUND(SABADO!D41*0.5,0)+ROUND(SABADO!D52*0.6,0)</f>
        <v>28</v>
      </c>
      <c r="E13" s="31">
        <f>LUNES!D65+JUEVES!D63+SABADO!D73+LUNES!D66+JUEVES!D62+JUEVES!D65+JUEVES!D66+JUEVES!D67+ROUND(SABADO!D65*0.5,0)+ROUND(SABADO!D76*0.6,0)</f>
        <v>28</v>
      </c>
      <c r="F13" s="31">
        <f>LUNES!D87+JUEVES!D88+SABADO!D97+LUNES!D88+JUEVES!D87+JUEVES!D90+JUEVES!D91+JUEVES!D92+ROUND(SABADO!D89*0.5,0)+ROUND(SABADO!D100*0.6,0)</f>
        <v>28</v>
      </c>
      <c r="G13" s="31">
        <f>LUNES!D109+JUEVES!D113+SABADO!D121+LUNES!D110+JUEVES!D112+JUEVES!D115+JUEVES!D116+JUEVES!D117+ROUND(SABADO!D113*0.5,0)+ROUND(SABADO!D124*0.6,0)</f>
        <v>28</v>
      </c>
      <c r="H13" s="31">
        <f>LUNES!D131+JUEVES!D138+SABADO!D145+LUNES!D132+JUEVES!D137+JUEVES!D140+JUEVES!D141+JUEVES!D142+ROUND(SABADO!D137*0.5,0)+ROUND(SABADO!D148*0.6,0)</f>
        <v>28</v>
      </c>
      <c r="I13" s="31">
        <f>LUNES!D153+JUEVES!D163+SABADO!D169+LUNES!D154+JUEVES!D162+JUEVES!D165+JUEVES!D166+JUEVES!D167+ROUND(SABADO!D161*0.5,0)+ROUND(SABADO!D172*0.6,0)</f>
        <v>28</v>
      </c>
      <c r="J13" s="31">
        <f>LUNES!D175+JUEVES!D188+SABADO!D193+LUNES!D176+JUEVES!D187+JUEVES!D190+JUEVES!D191+JUEVES!D192+ROUND(SABADO!D185*0.5,0)+ROUND(SABADO!D196*0.6,0)</f>
        <v>28</v>
      </c>
      <c r="K13" s="31">
        <f>LUNES!D197+JUEVES!D213+SABADO!D217+LUNES!D198+JUEVES!D212+JUEVES!D215+JUEVES!D216+JUEVES!D217+ROUND(SABADO!D209*0.5,0)+ROUND(SABADO!D220*0.6,0)</f>
        <v>28</v>
      </c>
      <c r="L13" s="31">
        <f>LUNES!D219+JUEVES!D238+SABADO!D241+LUNES!D220+JUEVES!D237+JUEVES!D240+JUEVES!D241+JUEVES!D242+ROUND(SABADO!D233*0.5,0)+ROUND(SABADO!D244*0.6,0)</f>
        <v>28</v>
      </c>
      <c r="M13" s="31">
        <f>LUNES!D241+JUEVES!D263+SABADO!D265+LUNES!D242+JUEVES!D262+JUEVES!D265+JUEVES!D266+JUEVES!D267+ROUND(SABADO!D257*0.5,0)+ROUND(SABADO!D268*0.6,0)</f>
        <v>28</v>
      </c>
      <c r="N13" s="31">
        <f>LUNES!D263+JUEVES!D288+SABADO!D289+LUNES!D264+JUEVES!D287+JUEVES!D290+JUEVES!D291+JUEVES!D292+ROUND(SABADO!D281*0.5,0)+ROUND(SABADO!D292*0.6,0)</f>
        <v>28</v>
      </c>
      <c r="O13" s="1">
        <v>12</v>
      </c>
      <c r="P13" s="1">
        <v>24</v>
      </c>
    </row>
    <row r="14" spans="1:16" ht="17.100000000000001" customHeight="1">
      <c r="A14" s="61" t="s">
        <v>320</v>
      </c>
      <c r="B14" s="62"/>
      <c r="C14" s="63">
        <f>LUNES!D22+JUEVES!D12</f>
        <v>6</v>
      </c>
      <c r="D14" s="63">
        <f>LUNES!D44+JUEVES!D37</f>
        <v>6</v>
      </c>
      <c r="E14" s="63">
        <f>LUNES!D66+JUEVES!D62</f>
        <v>6</v>
      </c>
      <c r="F14" s="63">
        <f>LUNES!D88+JUEVES!D87</f>
        <v>6</v>
      </c>
      <c r="G14" s="63">
        <f>LUNES!D110+JUEVES!D112</f>
        <v>6</v>
      </c>
      <c r="H14" s="63">
        <f>LUNES!D132+JUEVES!D137</f>
        <v>6</v>
      </c>
      <c r="I14" s="63">
        <f>LUNES!D154+JUEVES!D162</f>
        <v>6</v>
      </c>
      <c r="J14" s="63">
        <f>LUNES!D176+JUEVES!D187</f>
        <v>6</v>
      </c>
      <c r="K14" s="63">
        <f>LUNES!D198+JUEVES!D212</f>
        <v>6</v>
      </c>
      <c r="L14" s="63">
        <f>LUNES!D220+JUEVES!D237</f>
        <v>6</v>
      </c>
      <c r="M14" s="63">
        <f>LUNES!D242+JUEVES!D262</f>
        <v>6</v>
      </c>
      <c r="N14" s="63">
        <f>LUNES!D264+JUEVES!D287</f>
        <v>6</v>
      </c>
      <c r="O14" s="64">
        <v>2</v>
      </c>
      <c r="P14" s="64">
        <v>6</v>
      </c>
    </row>
    <row r="15" spans="1:16" ht="17.100000000000001" customHeight="1">
      <c r="A15" s="61" t="s">
        <v>321</v>
      </c>
      <c r="B15" s="62"/>
      <c r="C15" s="63">
        <f>LUNES!D21+JUEVES!D13+SABADO!D25</f>
        <v>9</v>
      </c>
      <c r="D15" s="63">
        <f>LUNES!D43+JUEVES!D38+SABADO!D49</f>
        <v>9</v>
      </c>
      <c r="E15" s="63">
        <f>LUNES!D65+JUEVES!D63+SABADO!D73</f>
        <v>9</v>
      </c>
      <c r="F15" s="63">
        <f>LUNES!D87+JUEVES!D88+SABADO!D97</f>
        <v>9</v>
      </c>
      <c r="G15" s="63">
        <f>LUNES!D109+JUEVES!D113+SABADO!D121</f>
        <v>9</v>
      </c>
      <c r="H15" s="63">
        <f>LUNES!D131+JUEVES!D138+SABADO!D145</f>
        <v>9</v>
      </c>
      <c r="I15" s="63">
        <f>LUNES!D153+JUEVES!D163+SABADO!D169</f>
        <v>9</v>
      </c>
      <c r="J15" s="63">
        <f>LUNES!D175+JUEVES!D188+SABADO!D193</f>
        <v>9</v>
      </c>
      <c r="K15" s="63">
        <f>LUNES!D197+JUEVES!D213+SABADO!D217</f>
        <v>9</v>
      </c>
      <c r="L15" s="63">
        <f>LUNES!D219+JUEVES!D238+SABADO!D241</f>
        <v>9</v>
      </c>
      <c r="M15" s="63">
        <f>LUNES!D241+JUEVES!D263+SABADO!D265</f>
        <v>9</v>
      </c>
      <c r="N15" s="63">
        <f>LUNES!D263+JUEVES!D288+SABADO!D289</f>
        <v>9</v>
      </c>
      <c r="O15" s="64">
        <v>6</v>
      </c>
      <c r="P15" s="64">
        <v>14</v>
      </c>
    </row>
    <row r="16" spans="1:16" ht="17.100000000000001" customHeight="1">
      <c r="A16" s="61" t="s">
        <v>322</v>
      </c>
      <c r="B16" s="62"/>
      <c r="C16" s="63">
        <f>JUEVES!D15+JUEVES!D16+JUEVES!D17+ROUND(SABADO!D17*0.5,0)+ROUND(SABADO!D28*0.6,0)</f>
        <v>13</v>
      </c>
      <c r="D16" s="63">
        <f>JUEVES!D40+JUEVES!D41+JUEVES!D42+ROUND(SABADO!D41*0.5,0)+ROUND(SABADO!D52*0.6,0)</f>
        <v>13</v>
      </c>
      <c r="E16" s="63">
        <f>JUEVES!D65+JUEVES!D66+JUEVES!D67+ROUND(SABADO!D65*0.5,0)+ROUND(SABADO!D76*0.6,0)</f>
        <v>13</v>
      </c>
      <c r="F16" s="63">
        <f>JUEVES!D90+JUEVES!D91+JUEVES!D92+ROUND(SABADO!D89*0.5,0)+ROUND(SABADO!D100*0.6,0)</f>
        <v>13</v>
      </c>
      <c r="G16" s="63">
        <f>JUEVES!D115+JUEVES!D116+JUEVES!D117+ROUND(SABADO!D113*0.5,0)+ROUND(SABADO!D124*0.6,0)</f>
        <v>13</v>
      </c>
      <c r="H16" s="63">
        <f>JUEVES!D140+JUEVES!D141+JUEVES!D142+ROUND(SABADO!D137*0.5,0)+ROUND(SABADO!D148*0.6,0)</f>
        <v>13</v>
      </c>
      <c r="I16" s="63">
        <f>JUEVES!D165+JUEVES!D166+JUEVES!D167+ROUND(SABADO!D161*0.5,0)+ROUND(SABADO!D172*0.6,0)</f>
        <v>13</v>
      </c>
      <c r="J16" s="63">
        <f>JUEVES!D190+JUEVES!D191+JUEVES!D192+ROUND(SABADO!D185*0.5,0)+ROUND(SABADO!D196*0.6,0)</f>
        <v>13</v>
      </c>
      <c r="K16" s="63">
        <f>JUEVES!D215+JUEVES!D216+JUEVES!D217+ROUND(SABADO!D209*0.5,0)+ROUND(SABADO!D220*0.6,0)</f>
        <v>13</v>
      </c>
      <c r="L16" s="63">
        <f>JUEVES!D240+JUEVES!D241+JUEVES!D242+ROUND(SABADO!D233*0.5,0)+ROUND(SABADO!D244*0.6,0)</f>
        <v>13</v>
      </c>
      <c r="M16" s="63">
        <f>JUEVES!D265+JUEVES!D266+JUEVES!D267+ROUND(SABADO!D257*0.5,0)+ROUND(SABADO!D268*0.6,0)</f>
        <v>13</v>
      </c>
      <c r="N16" s="63">
        <f>JUEVES!D290+JUEVES!D291+JUEVES!D292+ROUND(SABADO!D281*0.5,0)+ROUND(SABADO!D292*0.6,0)</f>
        <v>13</v>
      </c>
      <c r="O16" s="64">
        <v>4</v>
      </c>
      <c r="P16" s="64">
        <v>10</v>
      </c>
    </row>
    <row r="17" spans="1:16" ht="5.0999999999999996" customHeight="1">
      <c r="A17" s="13"/>
      <c r="B17" s="13"/>
      <c r="C17" s="13"/>
      <c r="D17" s="13"/>
      <c r="E17" s="13"/>
      <c r="F17" s="13"/>
      <c r="G17" s="13"/>
      <c r="H17" s="13"/>
      <c r="I17" s="13"/>
      <c r="J17" s="13"/>
      <c r="K17" s="13"/>
      <c r="L17" s="13"/>
      <c r="M17" s="13"/>
      <c r="N17" s="13"/>
      <c r="O17" s="13"/>
      <c r="P17" s="13"/>
    </row>
    <row r="18" spans="1:16" ht="20.100000000000001" customHeight="1">
      <c r="A18" s="96" t="s">
        <v>323</v>
      </c>
      <c r="B18" s="79"/>
      <c r="C18" s="31">
        <f>ROUND(LUNES!D13*0.3,0)+ROUND(LUNES!D15*0.3,0)+ROUND(LUNES!D17*0.5,0)+ROUND(LUNES!D22*0.3,0)+LUNES!D24+MARTES!D27+ROUND(JUEVES!D12*0.3,0)+JUEVES!D26+JUEVES!D27</f>
        <v>18</v>
      </c>
      <c r="D18" s="31">
        <f>ROUND(LUNES!D35*0.3,0)+ROUND(LUNES!D37*0.3,0)+ROUND(LUNES!D39*0.5,0)+ROUND(LUNES!D44*0.3,0)+LUNES!D46+MARTES!D48+ROUND(JUEVES!D37*0.3,0)+JUEVES!D51+JUEVES!D52</f>
        <v>18</v>
      </c>
      <c r="E18" s="31">
        <f>ROUND(LUNES!D57*0.3,0)+ROUND(LUNES!D59*0.3,0)+ROUND(LUNES!D61*0.5,0)+ROUND(LUNES!D66*0.3,0)+LUNES!D68+MARTES!D69+ROUND(JUEVES!D62*0.3,0)+JUEVES!D76+JUEVES!D77</f>
        <v>18</v>
      </c>
      <c r="F18" s="31">
        <f>ROUND(LUNES!D79*0.3,0)+ROUND(LUNES!D81*0.3,0)+ROUND(LUNES!D83*0.5,0)+ROUND(LUNES!D88*0.3,0)+LUNES!D90+MARTES!D90+ROUND(JUEVES!D87*0.3,0)+JUEVES!D101+JUEVES!D102</f>
        <v>18</v>
      </c>
      <c r="G18" s="31">
        <f>ROUND(LUNES!D101*0.3,0)+ROUND(LUNES!D103*0.3,0)+ROUND(LUNES!D105*0.5,0)+ROUND(LUNES!D110*0.3,0)+LUNES!D112+MARTES!D111+ROUND(JUEVES!D112*0.3,0)+JUEVES!D126+JUEVES!D127</f>
        <v>18</v>
      </c>
      <c r="H18" s="31">
        <f>ROUND(LUNES!D123*0.3,0)+ROUND(LUNES!D125*0.3,0)+ROUND(LUNES!D127*0.5,0)+ROUND(LUNES!D132*0.3,0)+LUNES!D134+MARTES!D132+ROUND(JUEVES!D137*0.3,0)+JUEVES!D151+JUEVES!D152</f>
        <v>18</v>
      </c>
      <c r="I18" s="31">
        <f>ROUND(LUNES!D145*0.3,0)+ROUND(LUNES!D147*0.3,0)+ROUND(LUNES!D149*0.5,0)+ROUND(LUNES!D154*0.3,0)+LUNES!D156+MARTES!D153+ROUND(JUEVES!D162*0.3,0)+JUEVES!D176+JUEVES!D177</f>
        <v>18</v>
      </c>
      <c r="J18" s="31">
        <f>ROUND(LUNES!D167*0.3,0)+ROUND(LUNES!D169*0.3,0)+ROUND(LUNES!D171*0.5,0)+ROUND(LUNES!D176*0.3,0)+LUNES!D178+MARTES!D174+ROUND(JUEVES!D187*0.3,0)+JUEVES!D201+JUEVES!D202</f>
        <v>18</v>
      </c>
      <c r="K18" s="31">
        <f>ROUND(LUNES!D189*0.3,0)+ROUND(LUNES!D191*0.3,0)+ROUND(LUNES!D193*0.5,0)+ROUND(LUNES!D198*0.3,0)+LUNES!D200+MARTES!D195+ROUND(JUEVES!D212*0.3,0)+JUEVES!D226+JUEVES!D227</f>
        <v>18</v>
      </c>
      <c r="L18" s="31">
        <f>ROUND(LUNES!D211*0.3,0)+ROUND(LUNES!D213*0.3,0)+ROUND(LUNES!D215*0.5,0)+ROUND(LUNES!D220*0.3,0)+LUNES!D222+MARTES!D216+ROUND(JUEVES!D237*0.3,0)+JUEVES!D251+JUEVES!D252</f>
        <v>18</v>
      </c>
      <c r="M18" s="31">
        <f>ROUND(LUNES!D233*0.3,0)+ROUND(LUNES!D235*0.3,0)+ROUND(LUNES!D237*0.5,0)+ROUND(LUNES!D242*0.3,0)+LUNES!D244+MARTES!D237+ROUND(JUEVES!D262*0.3,0)+JUEVES!D276+JUEVES!D277</f>
        <v>18</v>
      </c>
      <c r="N18" s="31">
        <f>ROUND(LUNES!D255*0.3,0)+ROUND(LUNES!D257*0.3,0)+ROUND(LUNES!D259*0.5,0)+ROUND(LUNES!D264*0.3,0)+LUNES!D266+MARTES!D258+ROUND(JUEVES!D287*0.3,0)+JUEVES!D301+JUEVES!D302</f>
        <v>18</v>
      </c>
      <c r="O18" s="1">
        <v>10</v>
      </c>
      <c r="P18" s="1">
        <v>18</v>
      </c>
    </row>
    <row r="19" spans="1:16" ht="5.0999999999999996" customHeight="1">
      <c r="A19" s="13"/>
      <c r="B19" s="13"/>
      <c r="C19" s="13"/>
      <c r="D19" s="13"/>
      <c r="E19" s="13"/>
      <c r="F19" s="13"/>
      <c r="G19" s="13"/>
      <c r="H19" s="13"/>
      <c r="I19" s="13"/>
      <c r="J19" s="13"/>
      <c r="K19" s="13"/>
      <c r="L19" s="13"/>
      <c r="M19" s="13"/>
      <c r="N19" s="13"/>
      <c r="O19" s="13"/>
      <c r="P19" s="13"/>
    </row>
    <row r="20" spans="1:16" ht="20.100000000000001" customHeight="1">
      <c r="A20" s="96" t="s">
        <v>324</v>
      </c>
      <c r="B20" s="79"/>
      <c r="C20" s="31">
        <f>LUNES!D28+ROUND(MARTES!D13*0.5,0)+MARTES!D19+MARTES!D20+JUEVES!D31+SABADO!D19+SABADO!D20</f>
        <v>20</v>
      </c>
      <c r="D20" s="31">
        <f>LUNES!D50+ROUND(MARTES!D34*0.5,0)+MARTES!D40+MARTES!D41+JUEVES!D56+SABADO!D43+SABADO!D44</f>
        <v>20</v>
      </c>
      <c r="E20" s="31">
        <f>LUNES!D72+ROUND(MARTES!D55*0.5,0)+MARTES!D61+MARTES!D62+JUEVES!D81+SABADO!D67+SABADO!D68</f>
        <v>20</v>
      </c>
      <c r="F20" s="31">
        <f>LUNES!D94+ROUND(MARTES!D76*0.5,0)+MARTES!D82+MARTES!D83+JUEVES!D106+SABADO!D91+SABADO!D92</f>
        <v>21</v>
      </c>
      <c r="G20" s="31">
        <f>LUNES!D116+ROUND(MARTES!D97*0.5,0)+MARTES!D103+MARTES!D104+JUEVES!D131+SABADO!D115+SABADO!D116</f>
        <v>20</v>
      </c>
      <c r="H20" s="31">
        <f>LUNES!D138+ROUND(MARTES!D118*0.5,0)+MARTES!D124+MARTES!D125+JUEVES!D156+SABADO!D139+SABADO!D140</f>
        <v>20</v>
      </c>
      <c r="I20" s="31">
        <f>LUNES!D160+ROUND(MARTES!D139*0.5,0)+MARTES!D145+MARTES!D146+JUEVES!D181+SABADO!D163+SABADO!D164</f>
        <v>20</v>
      </c>
      <c r="J20" s="31">
        <f>LUNES!D182+ROUND(MARTES!D160*0.5,0)+MARTES!D166+MARTES!D167+JUEVES!D206+SABADO!D187+SABADO!D188</f>
        <v>20</v>
      </c>
      <c r="K20" s="31">
        <f>LUNES!D204+ROUND(MARTES!D181*0.5,0)+MARTES!D187+MARTES!D188+JUEVES!D231+SABADO!D211+SABADO!D212</f>
        <v>20</v>
      </c>
      <c r="L20" s="31">
        <f>LUNES!D226+ROUND(MARTES!D202*0.5,0)+MARTES!D208+MARTES!D209+JUEVES!D256+SABADO!D235+SABADO!D236</f>
        <v>20</v>
      </c>
      <c r="M20" s="31">
        <f>LUNES!D248+ROUND(MARTES!D223*0.5,0)+MARTES!D229+MARTES!D230+JUEVES!D281+SABADO!D259+SABADO!D260</f>
        <v>20</v>
      </c>
      <c r="N20" s="31">
        <f>LUNES!D270+ROUND(MARTES!D244*0.5,0)+MARTES!D250+MARTES!D251+JUEVES!D306+SABADO!D283+SABADO!D284</f>
        <v>20</v>
      </c>
      <c r="O20" s="1">
        <v>10</v>
      </c>
      <c r="P20" s="1">
        <v>18</v>
      </c>
    </row>
    <row r="21" spans="1:16" ht="5.0999999999999996" customHeight="1">
      <c r="A21" s="13"/>
      <c r="B21" s="13"/>
      <c r="C21" s="13"/>
      <c r="D21" s="13"/>
      <c r="E21" s="13"/>
      <c r="F21" s="13"/>
      <c r="G21" s="13"/>
      <c r="H21" s="13"/>
      <c r="I21" s="13"/>
      <c r="J21" s="13"/>
      <c r="K21" s="13"/>
      <c r="L21" s="13"/>
      <c r="M21" s="13"/>
      <c r="N21" s="13"/>
      <c r="O21" s="13"/>
      <c r="P21" s="13"/>
    </row>
    <row r="22" spans="1:16" ht="20.100000000000001" customHeight="1">
      <c r="A22" s="96" t="s">
        <v>325</v>
      </c>
      <c r="B22" s="79"/>
      <c r="C22" s="31">
        <f>LUNES!D26+MIERCOLES!D16+MIERCOLES!D17+MIERCOLES!D18+MIERCOLES!D19+JUEVES!D29</f>
        <v>18</v>
      </c>
      <c r="D22" s="31">
        <f>LUNES!D48+MIERCOLES!D38+MIERCOLES!D39+MIERCOLES!D40+MIERCOLES!D41+JUEVES!D54</f>
        <v>18</v>
      </c>
      <c r="E22" s="31">
        <f>LUNES!D70+MIERCOLES!D60+MIERCOLES!D61+MIERCOLES!D62+MIERCOLES!D63+JUEVES!D79</f>
        <v>18</v>
      </c>
      <c r="F22" s="31">
        <f>LUNES!D92+MIERCOLES!D82+MIERCOLES!D83+MIERCOLES!D84+MIERCOLES!D85+JUEVES!D104</f>
        <v>18</v>
      </c>
      <c r="G22" s="31">
        <f>LUNES!D114+MIERCOLES!D104+MIERCOLES!D105+MIERCOLES!D106+MIERCOLES!D107+JUEVES!D129</f>
        <v>18</v>
      </c>
      <c r="H22" s="31">
        <f>LUNES!D136+MIERCOLES!D126+MIERCOLES!D127+MIERCOLES!D128+MIERCOLES!D129+JUEVES!D154</f>
        <v>18</v>
      </c>
      <c r="I22" s="31">
        <f>LUNES!D158+MIERCOLES!D148+MIERCOLES!D149+MIERCOLES!D150+MIERCOLES!D151+JUEVES!D179</f>
        <v>18</v>
      </c>
      <c r="J22" s="31">
        <f>LUNES!D180+MIERCOLES!D170+MIERCOLES!D171+MIERCOLES!D172+MIERCOLES!D173+JUEVES!D204</f>
        <v>18</v>
      </c>
      <c r="K22" s="31">
        <f>LUNES!D202+MIERCOLES!D192+MIERCOLES!D193+MIERCOLES!D194+MIERCOLES!D195+JUEVES!D229</f>
        <v>18</v>
      </c>
      <c r="L22" s="31">
        <f>LUNES!D224+MIERCOLES!D214+MIERCOLES!D215+MIERCOLES!D216+MIERCOLES!D217+JUEVES!D254</f>
        <v>18</v>
      </c>
      <c r="M22" s="31">
        <f>LUNES!D246+MIERCOLES!D236+MIERCOLES!D237+MIERCOLES!D238+MIERCOLES!D239+JUEVES!D279</f>
        <v>18</v>
      </c>
      <c r="N22" s="31">
        <f>LUNES!D268+MIERCOLES!D258+MIERCOLES!D259+MIERCOLES!D260+MIERCOLES!D261+JUEVES!D304</f>
        <v>18</v>
      </c>
      <c r="O22" s="1">
        <v>10</v>
      </c>
      <c r="P22" s="1">
        <v>18</v>
      </c>
    </row>
    <row r="23" spans="1:16" ht="5.0999999999999996" customHeight="1">
      <c r="A23" s="13"/>
      <c r="B23" s="13"/>
      <c r="C23" s="13"/>
      <c r="D23" s="13"/>
      <c r="E23" s="13"/>
      <c r="F23" s="13"/>
      <c r="G23" s="13"/>
      <c r="H23" s="13"/>
      <c r="I23" s="13"/>
      <c r="J23" s="13"/>
      <c r="K23" s="13"/>
      <c r="L23" s="13"/>
      <c r="M23" s="13"/>
      <c r="N23" s="13"/>
      <c r="O23" s="13"/>
      <c r="P23" s="13"/>
    </row>
    <row r="24" spans="1:16" ht="20.100000000000001" customHeight="1">
      <c r="A24" s="96" t="s">
        <v>326</v>
      </c>
      <c r="B24" s="79"/>
      <c r="C24" s="31">
        <f>MIERCOLES!D12+MIERCOLES!D13+MIERCOLES!D14</f>
        <v>9</v>
      </c>
      <c r="D24" s="31">
        <f>MIERCOLES!D34+MIERCOLES!D35+MIERCOLES!D36</f>
        <v>9</v>
      </c>
      <c r="E24" s="31">
        <f>MIERCOLES!D56+MIERCOLES!D57+MIERCOLES!D58</f>
        <v>9</v>
      </c>
      <c r="F24" s="31">
        <f>MIERCOLES!D78+MIERCOLES!D79+MIERCOLES!D80</f>
        <v>9</v>
      </c>
      <c r="G24" s="31">
        <f>MIERCOLES!D100+MIERCOLES!D101+MIERCOLES!D102</f>
        <v>9</v>
      </c>
      <c r="H24" s="31">
        <f>MIERCOLES!D122+MIERCOLES!D123+MIERCOLES!D124</f>
        <v>9</v>
      </c>
      <c r="I24" s="31">
        <f>MIERCOLES!D144+MIERCOLES!D145+MIERCOLES!D146</f>
        <v>9</v>
      </c>
      <c r="J24" s="31">
        <f>MIERCOLES!D166+MIERCOLES!D167+MIERCOLES!D168</f>
        <v>9</v>
      </c>
      <c r="K24" s="31">
        <f>MIERCOLES!D188+MIERCOLES!D189+MIERCOLES!D190</f>
        <v>9</v>
      </c>
      <c r="L24" s="31">
        <f>MIERCOLES!D210+MIERCOLES!D211+MIERCOLES!D212</f>
        <v>9</v>
      </c>
      <c r="M24" s="31">
        <f>MIERCOLES!D232+MIERCOLES!D233+MIERCOLES!D234</f>
        <v>9</v>
      </c>
      <c r="N24" s="31">
        <f>MIERCOLES!D254+MIERCOLES!D255+MIERCOLES!D256</f>
        <v>9</v>
      </c>
      <c r="O24" s="1">
        <v>8</v>
      </c>
      <c r="P24" s="1">
        <v>16</v>
      </c>
    </row>
    <row r="25" spans="1:16" ht="5.0999999999999996" customHeight="1">
      <c r="A25" s="13"/>
      <c r="B25" s="13"/>
      <c r="C25" s="13"/>
      <c r="D25" s="13"/>
      <c r="E25" s="13"/>
      <c r="F25" s="13"/>
      <c r="G25" s="13"/>
      <c r="H25" s="13"/>
      <c r="I25" s="13"/>
      <c r="J25" s="13"/>
      <c r="K25" s="13"/>
      <c r="L25" s="13"/>
      <c r="M25" s="13"/>
      <c r="N25" s="13"/>
      <c r="O25" s="13"/>
      <c r="P25" s="13"/>
    </row>
    <row r="26" spans="1:16" ht="20.100000000000001" customHeight="1">
      <c r="A26" s="96" t="s">
        <v>327</v>
      </c>
      <c r="B26" s="79"/>
      <c r="C26" s="31">
        <f>MIERCOLES!D21+MIERCOLES!D22</f>
        <v>6</v>
      </c>
      <c r="D26" s="31">
        <f>MIERCOLES!D43+MIERCOLES!D44</f>
        <v>6</v>
      </c>
      <c r="E26" s="31">
        <f>MIERCOLES!D65+MIERCOLES!D66</f>
        <v>6</v>
      </c>
      <c r="F26" s="31">
        <f>MIERCOLES!D87+MIERCOLES!D88</f>
        <v>6</v>
      </c>
      <c r="G26" s="31">
        <f>MIERCOLES!D109+MIERCOLES!D110</f>
        <v>6</v>
      </c>
      <c r="H26" s="31">
        <f>MIERCOLES!D131+MIERCOLES!D132</f>
        <v>6</v>
      </c>
      <c r="I26" s="31">
        <f>MIERCOLES!D153+MIERCOLES!D154</f>
        <v>6</v>
      </c>
      <c r="J26" s="31">
        <f>MIERCOLES!D175+MIERCOLES!D176</f>
        <v>6</v>
      </c>
      <c r="K26" s="31">
        <f>MIERCOLES!D197+MIERCOLES!D198</f>
        <v>6</v>
      </c>
      <c r="L26" s="31">
        <f>MIERCOLES!D219+MIERCOLES!D220</f>
        <v>6</v>
      </c>
      <c r="M26" s="31">
        <f>MIERCOLES!D241+MIERCOLES!D242</f>
        <v>6</v>
      </c>
      <c r="N26" s="31">
        <f>MIERCOLES!D263+MIERCOLES!D264</f>
        <v>6</v>
      </c>
      <c r="O26" s="1">
        <v>8</v>
      </c>
      <c r="P26" s="1">
        <v>14</v>
      </c>
    </row>
    <row r="27" spans="1:16" ht="5.0999999999999996" customHeight="1">
      <c r="A27" s="13"/>
      <c r="B27" s="13"/>
      <c r="C27" s="13"/>
      <c r="D27" s="13"/>
      <c r="E27" s="13"/>
      <c r="F27" s="13"/>
      <c r="G27" s="13"/>
      <c r="H27" s="13"/>
      <c r="I27" s="13"/>
      <c r="J27" s="13"/>
      <c r="K27" s="13"/>
      <c r="L27" s="13"/>
      <c r="M27" s="13"/>
      <c r="N27" s="13"/>
      <c r="O27" s="13"/>
      <c r="P27" s="13"/>
    </row>
    <row r="28" spans="1:16" ht="20.100000000000001" customHeight="1">
      <c r="A28" s="96" t="s">
        <v>328</v>
      </c>
      <c r="B28" s="79"/>
      <c r="C28" s="31">
        <f>MARTES!D22+MARTES!D23+MARTES!D25+SABADO!D22+SABADO!D23</f>
        <v>15</v>
      </c>
      <c r="D28" s="31">
        <f>MARTES!D43+MARTES!D44+MARTES!D46+SABADO!D46+SABADO!D47</f>
        <v>15</v>
      </c>
      <c r="E28" s="31">
        <f>MARTES!D64+MARTES!D65+MARTES!D67+SABADO!D70+SABADO!D71</f>
        <v>15</v>
      </c>
      <c r="F28" s="31">
        <f>MARTES!D85+MARTES!D86+MARTES!D88+SABADO!D94+SABADO!D95</f>
        <v>16</v>
      </c>
      <c r="G28" s="31">
        <f>MARTES!D106+MARTES!D107+MARTES!D109+SABADO!D118+SABADO!D119</f>
        <v>15</v>
      </c>
      <c r="H28" s="31">
        <f>MARTES!D127+MARTES!D128+MARTES!D130+SABADO!D142+SABADO!D143</f>
        <v>15</v>
      </c>
      <c r="I28" s="31">
        <f>MARTES!D148+MARTES!D149+MARTES!D151+SABADO!D166+SABADO!D167</f>
        <v>15</v>
      </c>
      <c r="J28" s="31">
        <f>MARTES!D169+MARTES!D170+MARTES!D172+SABADO!D190+SABADO!D191</f>
        <v>15</v>
      </c>
      <c r="K28" s="31">
        <f>MARTES!D190+MARTES!D191+MARTES!D193+SABADO!D214+SABADO!D215</f>
        <v>15</v>
      </c>
      <c r="L28" s="31">
        <f>MARTES!D211+MARTES!D212+MARTES!D214+SABADO!D238+SABADO!D239</f>
        <v>15</v>
      </c>
      <c r="M28" s="31">
        <f>MARTES!D232+MARTES!D233+MARTES!D235+SABADO!D262+SABADO!D263</f>
        <v>15</v>
      </c>
      <c r="N28" s="31">
        <f>MARTES!D253+MARTES!D254+MARTES!D256+SABADO!D286+SABADO!D287</f>
        <v>15</v>
      </c>
      <c r="O28" s="1">
        <v>6</v>
      </c>
      <c r="P28" s="1">
        <v>12</v>
      </c>
    </row>
    <row r="29" spans="1:16" ht="5.0999999999999996" customHeight="1">
      <c r="A29" s="13"/>
      <c r="B29" s="13"/>
      <c r="C29" s="13"/>
      <c r="D29" s="13"/>
      <c r="E29" s="13"/>
      <c r="F29" s="13"/>
      <c r="G29" s="13"/>
      <c r="H29" s="13"/>
      <c r="I29" s="13"/>
      <c r="J29" s="13"/>
      <c r="K29" s="13"/>
      <c r="L29" s="13"/>
      <c r="M29" s="13"/>
      <c r="N29" s="13"/>
      <c r="O29" s="13"/>
      <c r="P29" s="13"/>
    </row>
    <row r="30" spans="1:16" ht="20.100000000000001" customHeight="1">
      <c r="A30" s="96" t="s">
        <v>329</v>
      </c>
      <c r="B30" s="79"/>
      <c r="C30" s="31">
        <f>LUNES!D30+MARTES!D29+MIERCOLES!D27+MIERCOLES!D28+MIERCOLES!D29+MIERCOLES!D30+JUEVES!D33+SABADO!D32</f>
        <v>24</v>
      </c>
      <c r="D30" s="31">
        <f>LUNES!D52+MARTES!D50+MIERCOLES!D49+MIERCOLES!D50+MIERCOLES!D51+MIERCOLES!D52+JUEVES!D58+SABADO!D56</f>
        <v>24</v>
      </c>
      <c r="E30" s="31">
        <f>LUNES!D74+MARTES!D71+MIERCOLES!D71+MIERCOLES!D72+MIERCOLES!D73+MIERCOLES!D74+JUEVES!D83+SABADO!D80</f>
        <v>24</v>
      </c>
      <c r="F30" s="31">
        <f>LUNES!D96+MARTES!D92+MIERCOLES!D93+MIERCOLES!D94+MIERCOLES!D95+MIERCOLES!D96+JUEVES!D108+SABADO!D104</f>
        <v>24</v>
      </c>
      <c r="G30" s="31">
        <f>LUNES!D118+MARTES!D113+MIERCOLES!D115+MIERCOLES!D116+MIERCOLES!D117+MIERCOLES!D118+JUEVES!D133+SABADO!D128</f>
        <v>24</v>
      </c>
      <c r="H30" s="31">
        <f>LUNES!D140+MARTES!D134+MIERCOLES!D137+MIERCOLES!D138+MIERCOLES!D139+MIERCOLES!D140+JUEVES!D158+SABADO!D152</f>
        <v>24</v>
      </c>
      <c r="I30" s="31">
        <f>LUNES!D162+MARTES!D155+MIERCOLES!D159+MIERCOLES!D160+MIERCOLES!D161+MIERCOLES!D162+JUEVES!D183+SABADO!D176</f>
        <v>24</v>
      </c>
      <c r="J30" s="31">
        <f>LUNES!D184+MARTES!D176+MIERCOLES!D181+MIERCOLES!D182+MIERCOLES!D183+MIERCOLES!D184+JUEVES!D208+SABADO!D200</f>
        <v>24</v>
      </c>
      <c r="K30" s="31">
        <f>LUNES!D206+MARTES!D197+MIERCOLES!D203+MIERCOLES!D204+MIERCOLES!D205+MIERCOLES!D206+JUEVES!D233+SABADO!D224</f>
        <v>24</v>
      </c>
      <c r="L30" s="31">
        <f>LUNES!D228+MARTES!D218+MIERCOLES!D225+MIERCOLES!D226+MIERCOLES!D227+MIERCOLES!D228+JUEVES!D258+SABADO!D248</f>
        <v>24</v>
      </c>
      <c r="M30" s="31">
        <f>LUNES!D250+MARTES!D239+MIERCOLES!D247+MIERCOLES!D248+MIERCOLES!D249+MIERCOLES!D250+JUEVES!D283+SABADO!D272</f>
        <v>24</v>
      </c>
      <c r="N30" s="31">
        <f>LUNES!D272+MARTES!D260+MIERCOLES!D269+MIERCOLES!D270+MIERCOLES!D271+MIERCOLES!D272+JUEVES!D308+SABADO!D296</f>
        <v>24</v>
      </c>
      <c r="O30" s="1">
        <v>6</v>
      </c>
      <c r="P30" s="1">
        <v>12</v>
      </c>
    </row>
    <row r="31" spans="1:16" ht="5.0999999999999996" customHeight="1">
      <c r="A31" s="13"/>
      <c r="B31" s="13"/>
      <c r="C31" s="13"/>
      <c r="D31" s="13"/>
      <c r="E31" s="13"/>
      <c r="F31" s="13"/>
      <c r="G31" s="13"/>
      <c r="H31" s="13"/>
      <c r="I31" s="13"/>
      <c r="J31" s="13"/>
      <c r="K31" s="13"/>
      <c r="L31" s="13"/>
      <c r="M31" s="13"/>
      <c r="N31" s="13"/>
      <c r="O31" s="13"/>
      <c r="P31" s="13"/>
    </row>
    <row r="32" spans="1:16" ht="20.100000000000001" customHeight="1">
      <c r="A32" s="96" t="s">
        <v>330</v>
      </c>
      <c r="B32" s="79"/>
      <c r="C32" s="31">
        <f>SABADO!D27+ROUND(SABADO!D28*0.4,0)</f>
        <v>4</v>
      </c>
      <c r="D32" s="31">
        <f>SABADO!D51+ROUND(SABADO!D52*0.4,0)</f>
        <v>4</v>
      </c>
      <c r="E32" s="31">
        <f>SABADO!D75+ROUND(SABADO!D76*0.4,0)</f>
        <v>4</v>
      </c>
      <c r="F32" s="31">
        <f>SABADO!D99+ROUND(SABADO!D100*0.4,0)</f>
        <v>4</v>
      </c>
      <c r="G32" s="31">
        <f>SABADO!D123+ROUND(SABADO!D124*0.4,0)</f>
        <v>4</v>
      </c>
      <c r="H32" s="31">
        <f>SABADO!D147+ROUND(SABADO!D148*0.4,0)</f>
        <v>4</v>
      </c>
      <c r="I32" s="31">
        <f>SABADO!D171+ROUND(SABADO!D172*0.4,0)</f>
        <v>4</v>
      </c>
      <c r="J32" s="31">
        <f>SABADO!D195+ROUND(SABADO!D196*0.4,0)</f>
        <v>4</v>
      </c>
      <c r="K32" s="31">
        <f>SABADO!D219+ROUND(SABADO!D220*0.4,0)</f>
        <v>4</v>
      </c>
      <c r="L32" s="31">
        <f>SABADO!D243+ROUND(SABADO!D244*0.4,0)</f>
        <v>4</v>
      </c>
      <c r="M32" s="31">
        <f>SABADO!D267+ROUND(SABADO!D268*0.4,0)</f>
        <v>4</v>
      </c>
      <c r="N32" s="31">
        <f>SABADO!D291+ROUND(SABADO!D292*0.4,0)</f>
        <v>4</v>
      </c>
      <c r="O32" s="1">
        <v>4</v>
      </c>
      <c r="P32" s="1">
        <v>8</v>
      </c>
    </row>
    <row r="33" spans="1:16" ht="6.6" customHeight="1">
      <c r="A33" s="13"/>
      <c r="B33" s="13"/>
      <c r="C33" s="13"/>
      <c r="D33" s="13"/>
      <c r="E33" s="13"/>
      <c r="F33" s="13"/>
      <c r="G33" s="13"/>
      <c r="H33" s="13"/>
      <c r="I33" s="13"/>
      <c r="J33" s="13"/>
      <c r="K33" s="13"/>
      <c r="L33" s="13"/>
      <c r="M33" s="13"/>
      <c r="N33" s="13"/>
      <c r="O33" s="13"/>
      <c r="P33" s="13"/>
    </row>
    <row r="34" spans="1:16" ht="20.100000000000001" customHeight="1">
      <c r="A34" s="96" t="s">
        <v>331</v>
      </c>
      <c r="B34" s="79"/>
      <c r="C34" s="31">
        <f>MIERCOLES!D24+MIERCOLES!D25+SABADO!D30</f>
        <v>9</v>
      </c>
      <c r="D34" s="31">
        <f>MIERCOLES!D46+MIERCOLES!D47+SABADO!D54</f>
        <v>9</v>
      </c>
      <c r="E34" s="31">
        <f>MIERCOLES!D68+MIERCOLES!D69+SABADO!D78</f>
        <v>9</v>
      </c>
      <c r="F34" s="31">
        <f>MIERCOLES!D90+MIERCOLES!D91+SABADO!D102</f>
        <v>9</v>
      </c>
      <c r="G34" s="31">
        <f>MIERCOLES!D112+MIERCOLES!D113+SABADO!D126</f>
        <v>9</v>
      </c>
      <c r="H34" s="31">
        <f>MIERCOLES!D134+MIERCOLES!D135+SABADO!D150</f>
        <v>9</v>
      </c>
      <c r="I34" s="31">
        <f>MIERCOLES!D156+MIERCOLES!D157+SABADO!D174</f>
        <v>9</v>
      </c>
      <c r="J34" s="31">
        <f>MIERCOLES!D178+MIERCOLES!D179+SABADO!D198</f>
        <v>9</v>
      </c>
      <c r="K34" s="31">
        <f>MIERCOLES!D200+MIERCOLES!D201+SABADO!D222</f>
        <v>9</v>
      </c>
      <c r="L34" s="31">
        <f>MIERCOLES!D222+MIERCOLES!D223+SABADO!D246</f>
        <v>9</v>
      </c>
      <c r="M34" s="31">
        <f>MIERCOLES!D244+MIERCOLES!D245+SABADO!D270</f>
        <v>9</v>
      </c>
      <c r="N34" s="31">
        <f>MIERCOLES!D266+MIERCOLES!D267+SABADO!D294</f>
        <v>9</v>
      </c>
      <c r="O34" s="1">
        <v>6</v>
      </c>
      <c r="P34" s="1">
        <v>12</v>
      </c>
    </row>
    <row r="35" spans="1:16" ht="5.45" customHeight="1">
      <c r="A35" s="13"/>
      <c r="B35" s="13"/>
      <c r="C35" s="13"/>
      <c r="D35" s="13"/>
      <c r="E35" s="13"/>
      <c r="F35" s="13"/>
      <c r="G35" s="13"/>
      <c r="H35" s="13"/>
      <c r="I35" s="13"/>
      <c r="J35" s="13"/>
      <c r="K35" s="13"/>
      <c r="L35" s="13"/>
      <c r="M35" s="13"/>
      <c r="N35" s="13"/>
      <c r="O35" s="13"/>
      <c r="P35" s="13"/>
    </row>
  </sheetData>
  <mergeCells count="14">
    <mergeCell ref="A34:B34"/>
    <mergeCell ref="A2:P2"/>
    <mergeCell ref="A1:P1"/>
    <mergeCell ref="A28:B28"/>
    <mergeCell ref="A32:B32"/>
    <mergeCell ref="A13:B13"/>
    <mergeCell ref="A18:B18"/>
    <mergeCell ref="A9:B9"/>
    <mergeCell ref="A22:B22"/>
    <mergeCell ref="A4:B4"/>
    <mergeCell ref="A26:B26"/>
    <mergeCell ref="A24:B24"/>
    <mergeCell ref="A20:B20"/>
    <mergeCell ref="A30:B30"/>
  </mergeCells>
  <conditionalFormatting sqref="C4">
    <cfRule type="expression" dxfId="722" priority="1">
      <formula>AND(C4&gt;10,C4&lt;=16)</formula>
    </cfRule>
    <cfRule type="expression" dxfId="721" priority="2">
      <formula>C4&gt;16</formula>
    </cfRule>
    <cfRule type="expression" dxfId="720" priority="3">
      <formula>AND(C4&gt;0,C4&lt;10)</formula>
    </cfRule>
  </conditionalFormatting>
  <conditionalFormatting sqref="D4">
    <cfRule type="expression" dxfId="719" priority="4">
      <formula>AND(D4&gt;10,D4&lt;=16)</formula>
    </cfRule>
    <cfRule type="expression" dxfId="718" priority="5">
      <formula>D4&gt;16</formula>
    </cfRule>
    <cfRule type="expression" dxfId="717" priority="6">
      <formula>AND(D4&gt;0,D4&lt;10)</formula>
    </cfRule>
  </conditionalFormatting>
  <conditionalFormatting sqref="E4">
    <cfRule type="expression" dxfId="716" priority="7">
      <formula>AND(E4&gt;10,E4&lt;=16)</formula>
    </cfRule>
    <cfRule type="expression" dxfId="715" priority="8">
      <formula>E4&gt;16</formula>
    </cfRule>
    <cfRule type="expression" dxfId="714" priority="9">
      <formula>AND(E4&gt;0,E4&lt;10)</formula>
    </cfRule>
  </conditionalFormatting>
  <conditionalFormatting sqref="F4">
    <cfRule type="expression" dxfId="713" priority="10">
      <formula>AND(F4&gt;10,F4&lt;=16)</formula>
    </cfRule>
    <cfRule type="expression" dxfId="712" priority="11">
      <formula>F4&gt;16</formula>
    </cfRule>
    <cfRule type="expression" dxfId="711" priority="12">
      <formula>AND(F4&gt;0,F4&lt;10)</formula>
    </cfRule>
  </conditionalFormatting>
  <conditionalFormatting sqref="G4">
    <cfRule type="expression" dxfId="710" priority="13">
      <formula>AND(G4&gt;10,G4&lt;=16)</formula>
    </cfRule>
    <cfRule type="expression" dxfId="709" priority="14">
      <formula>G4&gt;16</formula>
    </cfRule>
    <cfRule type="expression" dxfId="708" priority="15">
      <formula>AND(G4&gt;0,G4&lt;10)</formula>
    </cfRule>
  </conditionalFormatting>
  <conditionalFormatting sqref="H4">
    <cfRule type="expression" dxfId="707" priority="16">
      <formula>AND(H4&gt;10,H4&lt;=16)</formula>
    </cfRule>
    <cfRule type="expression" dxfId="706" priority="17">
      <formula>H4&gt;16</formula>
    </cfRule>
    <cfRule type="expression" dxfId="705" priority="18">
      <formula>AND(H4&gt;0,H4&lt;10)</formula>
    </cfRule>
  </conditionalFormatting>
  <conditionalFormatting sqref="I4">
    <cfRule type="expression" dxfId="704" priority="19">
      <formula>AND(I4&gt;10,I4&lt;=16)</formula>
    </cfRule>
    <cfRule type="expression" dxfId="703" priority="20">
      <formula>I4&gt;16</formula>
    </cfRule>
    <cfRule type="expression" dxfId="702" priority="21">
      <formula>AND(I4&gt;0,I4&lt;10)</formula>
    </cfRule>
  </conditionalFormatting>
  <conditionalFormatting sqref="J4">
    <cfRule type="expression" dxfId="701" priority="22">
      <formula>AND(J4&gt;10,J4&lt;=16)</formula>
    </cfRule>
    <cfRule type="expression" dxfId="700" priority="23">
      <formula>J4&gt;16</formula>
    </cfRule>
    <cfRule type="expression" dxfId="699" priority="24">
      <formula>AND(J4&gt;0,J4&lt;10)</formula>
    </cfRule>
  </conditionalFormatting>
  <conditionalFormatting sqref="K4">
    <cfRule type="expression" dxfId="698" priority="25">
      <formula>AND(K4&gt;10,K4&lt;=16)</formula>
    </cfRule>
    <cfRule type="expression" dxfId="697" priority="26">
      <formula>K4&gt;16</formula>
    </cfRule>
    <cfRule type="expression" dxfId="696" priority="27">
      <formula>AND(K4&gt;0,K4&lt;10)</formula>
    </cfRule>
  </conditionalFormatting>
  <conditionalFormatting sqref="L4">
    <cfRule type="expression" dxfId="695" priority="28">
      <formula>AND(L4&gt;10,L4&lt;=16)</formula>
    </cfRule>
    <cfRule type="expression" dxfId="694" priority="29">
      <formula>L4&gt;16</formula>
    </cfRule>
    <cfRule type="expression" dxfId="693" priority="30">
      <formula>AND(L4&gt;0,L4&lt;10)</formula>
    </cfRule>
  </conditionalFormatting>
  <conditionalFormatting sqref="M4">
    <cfRule type="expression" dxfId="692" priority="31">
      <formula>AND(M4&gt;10,M4&lt;=16)</formula>
    </cfRule>
    <cfRule type="expression" dxfId="691" priority="32">
      <formula>M4&gt;16</formula>
    </cfRule>
    <cfRule type="expression" dxfId="690" priority="33">
      <formula>AND(M4&gt;0,M4&lt;10)</formula>
    </cfRule>
  </conditionalFormatting>
  <conditionalFormatting sqref="N4">
    <cfRule type="expression" dxfId="689" priority="34">
      <formula>AND(N4&gt;10,N4&lt;=16)</formula>
    </cfRule>
    <cfRule type="expression" dxfId="688" priority="35">
      <formula>N4&gt;16</formula>
    </cfRule>
    <cfRule type="expression" dxfId="687" priority="36">
      <formula>AND(N4&gt;0,N4&lt;10)</formula>
    </cfRule>
  </conditionalFormatting>
  <conditionalFormatting sqref="C5">
    <cfRule type="expression" dxfId="686" priority="37">
      <formula>AND(C5&gt;3,C5&lt;=6)</formula>
    </cfRule>
    <cfRule type="expression" dxfId="685" priority="38">
      <formula>C5&gt;6</formula>
    </cfRule>
    <cfRule type="expression" dxfId="684" priority="39">
      <formula>AND(C5&gt;0,C5&lt;3)</formula>
    </cfRule>
  </conditionalFormatting>
  <conditionalFormatting sqref="D5">
    <cfRule type="expression" dxfId="683" priority="40">
      <formula>AND(D5&gt;3,D5&lt;=6)</formula>
    </cfRule>
    <cfRule type="expression" dxfId="682" priority="41">
      <formula>D5&gt;6</formula>
    </cfRule>
    <cfRule type="expression" dxfId="681" priority="42">
      <formula>AND(D5&gt;0,D5&lt;3)</formula>
    </cfRule>
  </conditionalFormatting>
  <conditionalFormatting sqref="E5">
    <cfRule type="expression" dxfId="680" priority="43">
      <formula>AND(E5&gt;3,E5&lt;=6)</formula>
    </cfRule>
    <cfRule type="expression" dxfId="679" priority="44">
      <formula>E5&gt;6</formula>
    </cfRule>
    <cfRule type="expression" dxfId="678" priority="45">
      <formula>AND(E5&gt;0,E5&lt;3)</formula>
    </cfRule>
  </conditionalFormatting>
  <conditionalFormatting sqref="F5">
    <cfRule type="expression" dxfId="677" priority="46">
      <formula>AND(F5&gt;3,F5&lt;=6)</formula>
    </cfRule>
    <cfRule type="expression" dxfId="676" priority="47">
      <formula>F5&gt;6</formula>
    </cfRule>
    <cfRule type="expression" dxfId="675" priority="48">
      <formula>AND(F5&gt;0,F5&lt;3)</formula>
    </cfRule>
  </conditionalFormatting>
  <conditionalFormatting sqref="G5">
    <cfRule type="expression" dxfId="674" priority="49">
      <formula>AND(G5&gt;3,G5&lt;=6)</formula>
    </cfRule>
    <cfRule type="expression" dxfId="673" priority="50">
      <formula>G5&gt;6</formula>
    </cfRule>
    <cfRule type="expression" dxfId="672" priority="51">
      <formula>AND(G5&gt;0,G5&lt;3)</formula>
    </cfRule>
  </conditionalFormatting>
  <conditionalFormatting sqref="H5">
    <cfRule type="expression" dxfId="671" priority="52">
      <formula>AND(H5&gt;3,H5&lt;=6)</formula>
    </cfRule>
    <cfRule type="expression" dxfId="670" priority="53">
      <formula>H5&gt;6</formula>
    </cfRule>
    <cfRule type="expression" dxfId="669" priority="54">
      <formula>AND(H5&gt;0,H5&lt;3)</formula>
    </cfRule>
  </conditionalFormatting>
  <conditionalFormatting sqref="I5">
    <cfRule type="expression" dxfId="668" priority="55">
      <formula>AND(I5&gt;3,I5&lt;=6)</formula>
    </cfRule>
    <cfRule type="expression" dxfId="667" priority="56">
      <formula>I5&gt;6</formula>
    </cfRule>
    <cfRule type="expression" dxfId="666" priority="57">
      <formula>AND(I5&gt;0,I5&lt;3)</formula>
    </cfRule>
  </conditionalFormatting>
  <conditionalFormatting sqref="J5">
    <cfRule type="expression" dxfId="665" priority="58">
      <formula>AND(J5&gt;3,J5&lt;=6)</formula>
    </cfRule>
    <cfRule type="expression" dxfId="664" priority="59">
      <formula>J5&gt;6</formula>
    </cfRule>
    <cfRule type="expression" dxfId="663" priority="60">
      <formula>AND(J5&gt;0,J5&lt;3)</formula>
    </cfRule>
  </conditionalFormatting>
  <conditionalFormatting sqref="K5">
    <cfRule type="expression" dxfId="662" priority="61">
      <formula>AND(K5&gt;3,K5&lt;=6)</formula>
    </cfRule>
    <cfRule type="expression" dxfId="661" priority="62">
      <formula>K5&gt;6</formula>
    </cfRule>
    <cfRule type="expression" dxfId="660" priority="63">
      <formula>AND(K5&gt;0,K5&lt;3)</formula>
    </cfRule>
  </conditionalFormatting>
  <conditionalFormatting sqref="L5">
    <cfRule type="expression" dxfId="659" priority="64">
      <formula>AND(L5&gt;3,L5&lt;=6)</formula>
    </cfRule>
    <cfRule type="expression" dxfId="658" priority="65">
      <formula>L5&gt;6</formula>
    </cfRule>
    <cfRule type="expression" dxfId="657" priority="66">
      <formula>AND(L5&gt;0,L5&lt;3)</formula>
    </cfRule>
  </conditionalFormatting>
  <conditionalFormatting sqref="M5">
    <cfRule type="expression" dxfId="656" priority="67">
      <formula>AND(M5&gt;3,M5&lt;=6)</formula>
    </cfRule>
    <cfRule type="expression" dxfId="655" priority="68">
      <formula>M5&gt;6</formula>
    </cfRule>
    <cfRule type="expression" dxfId="654" priority="69">
      <formula>AND(M5&gt;0,M5&lt;3)</formula>
    </cfRule>
  </conditionalFormatting>
  <conditionalFormatting sqref="N5">
    <cfRule type="expression" dxfId="653" priority="70">
      <formula>AND(N5&gt;3,N5&lt;=6)</formula>
    </cfRule>
    <cfRule type="expression" dxfId="652" priority="71">
      <formula>N5&gt;6</formula>
    </cfRule>
    <cfRule type="expression" dxfId="651" priority="72">
      <formula>AND(N5&gt;0,N5&lt;3)</formula>
    </cfRule>
  </conditionalFormatting>
  <conditionalFormatting sqref="C6">
    <cfRule type="expression" dxfId="650" priority="73">
      <formula>AND(C6&gt;4,C6&lt;=8)</formula>
    </cfRule>
    <cfRule type="expression" dxfId="649" priority="74">
      <formula>C6&gt;8</formula>
    </cfRule>
    <cfRule type="expression" dxfId="648" priority="75">
      <formula>AND(C6&gt;0,C6&lt;4)</formula>
    </cfRule>
  </conditionalFormatting>
  <conditionalFormatting sqref="D6">
    <cfRule type="expression" dxfId="647" priority="76">
      <formula>AND(D6&gt;4,D6&lt;=8)</formula>
    </cfRule>
    <cfRule type="expression" dxfId="646" priority="77">
      <formula>D6&gt;8</formula>
    </cfRule>
    <cfRule type="expression" dxfId="645" priority="78">
      <formula>AND(D6&gt;0,D6&lt;4)</formula>
    </cfRule>
  </conditionalFormatting>
  <conditionalFormatting sqref="E6">
    <cfRule type="expression" dxfId="644" priority="79">
      <formula>AND(E6&gt;4,E6&lt;=8)</formula>
    </cfRule>
    <cfRule type="expression" dxfId="643" priority="80">
      <formula>E6&gt;8</formula>
    </cfRule>
    <cfRule type="expression" dxfId="642" priority="81">
      <formula>AND(E6&gt;0,E6&lt;4)</formula>
    </cfRule>
  </conditionalFormatting>
  <conditionalFormatting sqref="F6">
    <cfRule type="expression" dxfId="641" priority="82">
      <formula>AND(F6&gt;4,F6&lt;=8)</formula>
    </cfRule>
    <cfRule type="expression" dxfId="640" priority="83">
      <formula>F6&gt;8</formula>
    </cfRule>
    <cfRule type="expression" dxfId="639" priority="84">
      <formula>AND(F6&gt;0,F6&lt;4)</formula>
    </cfRule>
  </conditionalFormatting>
  <conditionalFormatting sqref="G6">
    <cfRule type="expression" dxfId="638" priority="85">
      <formula>AND(G6&gt;4,G6&lt;=8)</formula>
    </cfRule>
    <cfRule type="expression" dxfId="637" priority="86">
      <formula>G6&gt;8</formula>
    </cfRule>
    <cfRule type="expression" dxfId="636" priority="87">
      <formula>AND(G6&gt;0,G6&lt;4)</formula>
    </cfRule>
  </conditionalFormatting>
  <conditionalFormatting sqref="H6">
    <cfRule type="expression" dxfId="635" priority="88">
      <formula>AND(H6&gt;4,H6&lt;=8)</formula>
    </cfRule>
    <cfRule type="expression" dxfId="634" priority="89">
      <formula>H6&gt;8</formula>
    </cfRule>
    <cfRule type="expression" dxfId="633" priority="90">
      <formula>AND(H6&gt;0,H6&lt;4)</formula>
    </cfRule>
  </conditionalFormatting>
  <conditionalFormatting sqref="I6">
    <cfRule type="expression" dxfId="632" priority="91">
      <formula>AND(I6&gt;4,I6&lt;=8)</formula>
    </cfRule>
    <cfRule type="expression" dxfId="631" priority="92">
      <formula>I6&gt;8</formula>
    </cfRule>
    <cfRule type="expression" dxfId="630" priority="93">
      <formula>AND(I6&gt;0,I6&lt;4)</formula>
    </cfRule>
  </conditionalFormatting>
  <conditionalFormatting sqref="J6">
    <cfRule type="expression" dxfId="629" priority="94">
      <formula>AND(J6&gt;4,J6&lt;=8)</formula>
    </cfRule>
    <cfRule type="expression" dxfId="628" priority="95">
      <formula>J6&gt;8</formula>
    </cfRule>
    <cfRule type="expression" dxfId="627" priority="96">
      <formula>AND(J6&gt;0,J6&lt;4)</formula>
    </cfRule>
  </conditionalFormatting>
  <conditionalFormatting sqref="K6">
    <cfRule type="expression" dxfId="626" priority="97">
      <formula>AND(K6&gt;4,K6&lt;=8)</formula>
    </cfRule>
    <cfRule type="expression" dxfId="625" priority="98">
      <formula>K6&gt;8</formula>
    </cfRule>
    <cfRule type="expression" dxfId="624" priority="99">
      <formula>AND(K6&gt;0,K6&lt;4)</formula>
    </cfRule>
  </conditionalFormatting>
  <conditionalFormatting sqref="L6">
    <cfRule type="expression" dxfId="623" priority="100">
      <formula>AND(L6&gt;4,L6&lt;=8)</formula>
    </cfRule>
    <cfRule type="expression" dxfId="622" priority="101">
      <formula>L6&gt;8</formula>
    </cfRule>
    <cfRule type="expression" dxfId="621" priority="102">
      <formula>AND(L6&gt;0,L6&lt;4)</formula>
    </cfRule>
  </conditionalFormatting>
  <conditionalFormatting sqref="M6">
    <cfRule type="expression" dxfId="620" priority="103">
      <formula>AND(M6&gt;4,M6&lt;=8)</formula>
    </cfRule>
    <cfRule type="expression" dxfId="619" priority="104">
      <formula>M6&gt;8</formula>
    </cfRule>
    <cfRule type="expression" dxfId="618" priority="105">
      <formula>AND(M6&gt;0,M6&lt;4)</formula>
    </cfRule>
  </conditionalFormatting>
  <conditionalFormatting sqref="N6">
    <cfRule type="expression" dxfId="617" priority="106">
      <formula>AND(N6&gt;4,N6&lt;=8)</formula>
    </cfRule>
    <cfRule type="expression" dxfId="616" priority="107">
      <formula>N6&gt;8</formula>
    </cfRule>
    <cfRule type="expression" dxfId="615" priority="108">
      <formula>AND(N6&gt;0,N6&lt;4)</formula>
    </cfRule>
  </conditionalFormatting>
  <conditionalFormatting sqref="C7">
    <cfRule type="expression" dxfId="614" priority="109">
      <formula>AND(C7&gt;3,C7&lt;=6)</formula>
    </cfRule>
    <cfRule type="expression" dxfId="613" priority="110">
      <formula>C7&gt;6</formula>
    </cfRule>
    <cfRule type="expression" dxfId="612" priority="111">
      <formula>AND(C7&gt;0,C7&lt;3)</formula>
    </cfRule>
  </conditionalFormatting>
  <conditionalFormatting sqref="D7">
    <cfRule type="expression" dxfId="611" priority="112">
      <formula>AND(D7&gt;3,D7&lt;=6)</formula>
    </cfRule>
    <cfRule type="expression" dxfId="610" priority="113">
      <formula>D7&gt;6</formula>
    </cfRule>
    <cfRule type="expression" dxfId="609" priority="114">
      <formula>AND(D7&gt;0,D7&lt;3)</formula>
    </cfRule>
  </conditionalFormatting>
  <conditionalFormatting sqref="E7">
    <cfRule type="expression" dxfId="608" priority="115">
      <formula>AND(E7&gt;3,E7&lt;=6)</formula>
    </cfRule>
    <cfRule type="expression" dxfId="607" priority="116">
      <formula>E7&gt;6</formula>
    </cfRule>
    <cfRule type="expression" dxfId="606" priority="117">
      <formula>AND(E7&gt;0,E7&lt;3)</formula>
    </cfRule>
  </conditionalFormatting>
  <conditionalFormatting sqref="F7">
    <cfRule type="expression" dxfId="605" priority="118">
      <formula>AND(F7&gt;3,F7&lt;=6)</formula>
    </cfRule>
    <cfRule type="expression" dxfId="604" priority="119">
      <formula>F7&gt;6</formula>
    </cfRule>
    <cfRule type="expression" dxfId="603" priority="120">
      <formula>AND(F7&gt;0,F7&lt;3)</formula>
    </cfRule>
  </conditionalFormatting>
  <conditionalFormatting sqref="G7">
    <cfRule type="expression" dxfId="602" priority="121">
      <formula>AND(G7&gt;3,G7&lt;=6)</formula>
    </cfRule>
    <cfRule type="expression" dxfId="601" priority="122">
      <formula>G7&gt;6</formula>
    </cfRule>
    <cfRule type="expression" dxfId="600" priority="123">
      <formula>AND(G7&gt;0,G7&lt;3)</formula>
    </cfRule>
  </conditionalFormatting>
  <conditionalFormatting sqref="H7">
    <cfRule type="expression" dxfId="599" priority="124">
      <formula>AND(H7&gt;3,H7&lt;=6)</formula>
    </cfRule>
    <cfRule type="expression" dxfId="598" priority="125">
      <formula>H7&gt;6</formula>
    </cfRule>
    <cfRule type="expression" dxfId="597" priority="126">
      <formula>AND(H7&gt;0,H7&lt;3)</formula>
    </cfRule>
  </conditionalFormatting>
  <conditionalFormatting sqref="I7">
    <cfRule type="expression" dxfId="596" priority="127">
      <formula>AND(I7&gt;3,I7&lt;=6)</formula>
    </cfRule>
    <cfRule type="expression" dxfId="595" priority="128">
      <formula>I7&gt;6</formula>
    </cfRule>
    <cfRule type="expression" dxfId="594" priority="129">
      <formula>AND(I7&gt;0,I7&lt;3)</formula>
    </cfRule>
  </conditionalFormatting>
  <conditionalFormatting sqref="J7">
    <cfRule type="expression" dxfId="593" priority="130">
      <formula>AND(J7&gt;3,J7&lt;=6)</formula>
    </cfRule>
    <cfRule type="expression" dxfId="592" priority="131">
      <formula>J7&gt;6</formula>
    </cfRule>
    <cfRule type="expression" dxfId="591" priority="132">
      <formula>AND(J7&gt;0,J7&lt;3)</formula>
    </cfRule>
  </conditionalFormatting>
  <conditionalFormatting sqref="K7">
    <cfRule type="expression" dxfId="590" priority="133">
      <formula>AND(K7&gt;3,K7&lt;=6)</formula>
    </cfRule>
    <cfRule type="expression" dxfId="589" priority="134">
      <formula>K7&gt;6</formula>
    </cfRule>
    <cfRule type="expression" dxfId="588" priority="135">
      <formula>AND(K7&gt;0,K7&lt;3)</formula>
    </cfRule>
  </conditionalFormatting>
  <conditionalFormatting sqref="L7">
    <cfRule type="expression" dxfId="587" priority="136">
      <formula>AND(L7&gt;3,L7&lt;=6)</formula>
    </cfRule>
    <cfRule type="expression" dxfId="586" priority="137">
      <formula>L7&gt;6</formula>
    </cfRule>
    <cfRule type="expression" dxfId="585" priority="138">
      <formula>AND(L7&gt;0,L7&lt;3)</formula>
    </cfRule>
  </conditionalFormatting>
  <conditionalFormatting sqref="M7">
    <cfRule type="expression" dxfId="584" priority="139">
      <formula>AND(M7&gt;3,M7&lt;=6)</formula>
    </cfRule>
    <cfRule type="expression" dxfId="583" priority="140">
      <formula>M7&gt;6</formula>
    </cfRule>
    <cfRule type="expression" dxfId="582" priority="141">
      <formula>AND(M7&gt;0,M7&lt;3)</formula>
    </cfRule>
  </conditionalFormatting>
  <conditionalFormatting sqref="N7">
    <cfRule type="expression" dxfId="581" priority="142">
      <formula>AND(N7&gt;3,N7&lt;=6)</formula>
    </cfRule>
    <cfRule type="expression" dxfId="580" priority="143">
      <formula>N7&gt;6</formula>
    </cfRule>
    <cfRule type="expression" dxfId="579" priority="144">
      <formula>AND(N7&gt;0,N7&lt;3)</formula>
    </cfRule>
  </conditionalFormatting>
  <conditionalFormatting sqref="C9">
    <cfRule type="expression" dxfId="578" priority="145">
      <formula>AND(C9&gt;12,C9&lt;=22)</formula>
    </cfRule>
    <cfRule type="expression" dxfId="577" priority="146">
      <formula>C9&gt;22</formula>
    </cfRule>
    <cfRule type="expression" dxfId="576" priority="147">
      <formula>AND(C9&gt;0,C9&lt;12)</formula>
    </cfRule>
  </conditionalFormatting>
  <conditionalFormatting sqref="D9">
    <cfRule type="expression" dxfId="575" priority="148">
      <formula>AND(D9&gt;12,D9&lt;=22)</formula>
    </cfRule>
    <cfRule type="expression" dxfId="574" priority="149">
      <formula>D9&gt;22</formula>
    </cfRule>
    <cfRule type="expression" dxfId="573" priority="150">
      <formula>AND(D9&gt;0,D9&lt;12)</formula>
    </cfRule>
  </conditionalFormatting>
  <conditionalFormatting sqref="E9">
    <cfRule type="expression" dxfId="572" priority="151">
      <formula>AND(E9&gt;12,E9&lt;=22)</formula>
    </cfRule>
    <cfRule type="expression" dxfId="571" priority="152">
      <formula>E9&gt;22</formula>
    </cfRule>
    <cfRule type="expression" dxfId="570" priority="153">
      <formula>AND(E9&gt;0,E9&lt;12)</formula>
    </cfRule>
  </conditionalFormatting>
  <conditionalFormatting sqref="F9">
    <cfRule type="expression" dxfId="569" priority="154">
      <formula>AND(F9&gt;12,F9&lt;=22)</formula>
    </cfRule>
    <cfRule type="expression" dxfId="568" priority="155">
      <formula>F9&gt;22</formula>
    </cfRule>
    <cfRule type="expression" dxfId="567" priority="156">
      <formula>AND(F9&gt;0,F9&lt;12)</formula>
    </cfRule>
  </conditionalFormatting>
  <conditionalFormatting sqref="G9">
    <cfRule type="expression" dxfId="566" priority="157">
      <formula>AND(G9&gt;12,G9&lt;=22)</formula>
    </cfRule>
    <cfRule type="expression" dxfId="565" priority="158">
      <formula>G9&gt;22</formula>
    </cfRule>
    <cfRule type="expression" dxfId="564" priority="159">
      <formula>AND(G9&gt;0,G9&lt;12)</formula>
    </cfRule>
  </conditionalFormatting>
  <conditionalFormatting sqref="H9">
    <cfRule type="expression" dxfId="563" priority="160">
      <formula>AND(H9&gt;12,H9&lt;=22)</formula>
    </cfRule>
    <cfRule type="expression" dxfId="562" priority="161">
      <formula>H9&gt;22</formula>
    </cfRule>
    <cfRule type="expression" dxfId="561" priority="162">
      <formula>AND(H9&gt;0,H9&lt;12)</formula>
    </cfRule>
  </conditionalFormatting>
  <conditionalFormatting sqref="I9">
    <cfRule type="expression" dxfId="560" priority="163">
      <formula>AND(I9&gt;12,I9&lt;=22)</formula>
    </cfRule>
    <cfRule type="expression" dxfId="559" priority="164">
      <formula>I9&gt;22</formula>
    </cfRule>
    <cfRule type="expression" dxfId="558" priority="165">
      <formula>AND(I9&gt;0,I9&lt;12)</formula>
    </cfRule>
  </conditionalFormatting>
  <conditionalFormatting sqref="J9">
    <cfRule type="expression" dxfId="557" priority="166">
      <formula>AND(J9&gt;12,J9&lt;=22)</formula>
    </cfRule>
    <cfRule type="expression" dxfId="556" priority="167">
      <formula>J9&gt;22</formula>
    </cfRule>
    <cfRule type="expression" dxfId="555" priority="168">
      <formula>AND(J9&gt;0,J9&lt;12)</formula>
    </cfRule>
  </conditionalFormatting>
  <conditionalFormatting sqref="K9">
    <cfRule type="expression" dxfId="554" priority="169">
      <formula>AND(K9&gt;12,K9&lt;=22)</formula>
    </cfRule>
    <cfRule type="expression" dxfId="553" priority="170">
      <formula>K9&gt;22</formula>
    </cfRule>
    <cfRule type="expression" dxfId="552" priority="171">
      <formula>AND(K9&gt;0,K9&lt;12)</formula>
    </cfRule>
  </conditionalFormatting>
  <conditionalFormatting sqref="L9">
    <cfRule type="expression" dxfId="551" priority="172">
      <formula>AND(L9&gt;12,L9&lt;=22)</formula>
    </cfRule>
    <cfRule type="expression" dxfId="550" priority="173">
      <formula>L9&gt;22</formula>
    </cfRule>
    <cfRule type="expression" dxfId="549" priority="174">
      <formula>AND(L9&gt;0,L9&lt;12)</formula>
    </cfRule>
  </conditionalFormatting>
  <conditionalFormatting sqref="M9">
    <cfRule type="expression" dxfId="548" priority="175">
      <formula>AND(M9&gt;12,M9&lt;=22)</formula>
    </cfRule>
    <cfRule type="expression" dxfId="547" priority="176">
      <formula>M9&gt;22</formula>
    </cfRule>
    <cfRule type="expression" dxfId="546" priority="177">
      <formula>AND(M9&gt;0,M9&lt;12)</formula>
    </cfRule>
  </conditionalFormatting>
  <conditionalFormatting sqref="N9">
    <cfRule type="expression" dxfId="545" priority="178">
      <formula>AND(N9&gt;12,N9&lt;=22)</formula>
    </cfRule>
    <cfRule type="expression" dxfId="544" priority="179">
      <formula>N9&gt;22</formula>
    </cfRule>
    <cfRule type="expression" dxfId="543" priority="180">
      <formula>AND(N9&gt;0,N9&lt;12)</formula>
    </cfRule>
  </conditionalFormatting>
  <conditionalFormatting sqref="C10">
    <cfRule type="expression" dxfId="542" priority="181">
      <formula>AND(C10&gt;5,C10&lt;=12)</formula>
    </cfRule>
    <cfRule type="expression" dxfId="541" priority="182">
      <formula>C10&gt;12</formula>
    </cfRule>
    <cfRule type="expression" dxfId="540" priority="183">
      <formula>AND(C10&gt;0,C10&lt;5)</formula>
    </cfRule>
  </conditionalFormatting>
  <conditionalFormatting sqref="D10">
    <cfRule type="expression" dxfId="539" priority="184">
      <formula>AND(D10&gt;5,D10&lt;=12)</formula>
    </cfRule>
    <cfRule type="expression" dxfId="538" priority="185">
      <formula>D10&gt;12</formula>
    </cfRule>
    <cfRule type="expression" dxfId="537" priority="186">
      <formula>AND(D10&gt;0,D10&lt;5)</formula>
    </cfRule>
  </conditionalFormatting>
  <conditionalFormatting sqref="E10">
    <cfRule type="expression" dxfId="536" priority="187">
      <formula>AND(E10&gt;5,E10&lt;=12)</formula>
    </cfRule>
    <cfRule type="expression" dxfId="535" priority="188">
      <formula>E10&gt;12</formula>
    </cfRule>
    <cfRule type="expression" dxfId="534" priority="189">
      <formula>AND(E10&gt;0,E10&lt;5)</formula>
    </cfRule>
  </conditionalFormatting>
  <conditionalFormatting sqref="F10">
    <cfRule type="expression" dxfId="533" priority="190">
      <formula>AND(F10&gt;5,F10&lt;=12)</formula>
    </cfRule>
    <cfRule type="expression" dxfId="532" priority="191">
      <formula>F10&gt;12</formula>
    </cfRule>
    <cfRule type="expression" dxfId="531" priority="192">
      <formula>AND(F10&gt;0,F10&lt;5)</formula>
    </cfRule>
  </conditionalFormatting>
  <conditionalFormatting sqref="G10">
    <cfRule type="expression" dxfId="530" priority="193">
      <formula>AND(G10&gt;5,G10&lt;=12)</formula>
    </cfRule>
    <cfRule type="expression" dxfId="529" priority="194">
      <formula>G10&gt;12</formula>
    </cfRule>
    <cfRule type="expression" dxfId="528" priority="195">
      <formula>AND(G10&gt;0,G10&lt;5)</formula>
    </cfRule>
  </conditionalFormatting>
  <conditionalFormatting sqref="H10">
    <cfRule type="expression" dxfId="527" priority="196">
      <formula>AND(H10&gt;5,H10&lt;=12)</formula>
    </cfRule>
    <cfRule type="expression" dxfId="526" priority="197">
      <formula>H10&gt;12</formula>
    </cfRule>
    <cfRule type="expression" dxfId="525" priority="198">
      <formula>AND(H10&gt;0,H10&lt;5)</formula>
    </cfRule>
  </conditionalFormatting>
  <conditionalFormatting sqref="I10">
    <cfRule type="expression" dxfId="524" priority="199">
      <formula>AND(I10&gt;5,I10&lt;=12)</formula>
    </cfRule>
    <cfRule type="expression" dxfId="523" priority="200">
      <formula>I10&gt;12</formula>
    </cfRule>
    <cfRule type="expression" dxfId="522" priority="201">
      <formula>AND(I10&gt;0,I10&lt;5)</formula>
    </cfRule>
  </conditionalFormatting>
  <conditionalFormatting sqref="J10">
    <cfRule type="expression" dxfId="521" priority="202">
      <formula>AND(J10&gt;5,J10&lt;=12)</formula>
    </cfRule>
    <cfRule type="expression" dxfId="520" priority="203">
      <formula>J10&gt;12</formula>
    </cfRule>
    <cfRule type="expression" dxfId="519" priority="204">
      <formula>AND(J10&gt;0,J10&lt;5)</formula>
    </cfRule>
  </conditionalFormatting>
  <conditionalFormatting sqref="K10">
    <cfRule type="expression" dxfId="518" priority="205">
      <formula>AND(K10&gt;5,K10&lt;=12)</formula>
    </cfRule>
    <cfRule type="expression" dxfId="517" priority="206">
      <formula>K10&gt;12</formula>
    </cfRule>
    <cfRule type="expression" dxfId="516" priority="207">
      <formula>AND(K10&gt;0,K10&lt;5)</formula>
    </cfRule>
  </conditionalFormatting>
  <conditionalFormatting sqref="L10">
    <cfRule type="expression" dxfId="515" priority="208">
      <formula>AND(L10&gt;5,L10&lt;=12)</formula>
    </cfRule>
    <cfRule type="expression" dxfId="514" priority="209">
      <formula>L10&gt;12</formula>
    </cfRule>
    <cfRule type="expression" dxfId="513" priority="210">
      <formula>AND(L10&gt;0,L10&lt;5)</formula>
    </cfRule>
  </conditionalFormatting>
  <conditionalFormatting sqref="M10">
    <cfRule type="expression" dxfId="512" priority="211">
      <formula>AND(M10&gt;5,M10&lt;=12)</formula>
    </cfRule>
    <cfRule type="expression" dxfId="511" priority="212">
      <formula>M10&gt;12</formula>
    </cfRule>
    <cfRule type="expression" dxfId="510" priority="213">
      <formula>AND(M10&gt;0,M10&lt;5)</formula>
    </cfRule>
  </conditionalFormatting>
  <conditionalFormatting sqref="N10">
    <cfRule type="expression" dxfId="509" priority="214">
      <formula>AND(N10&gt;5,N10&lt;=12)</formula>
    </cfRule>
    <cfRule type="expression" dxfId="508" priority="215">
      <formula>N10&gt;12</formula>
    </cfRule>
    <cfRule type="expression" dxfId="507" priority="216">
      <formula>AND(N10&gt;0,N10&lt;5)</formula>
    </cfRule>
  </conditionalFormatting>
  <conditionalFormatting sqref="C11">
    <cfRule type="expression" dxfId="506" priority="217">
      <formula>AND(C11&gt;5,C11&lt;=12)</formula>
    </cfRule>
    <cfRule type="expression" dxfId="505" priority="218">
      <formula>C11&gt;12</formula>
    </cfRule>
    <cfRule type="expression" dxfId="504" priority="219">
      <formula>AND(C11&gt;0,C11&lt;5)</formula>
    </cfRule>
  </conditionalFormatting>
  <conditionalFormatting sqref="D11">
    <cfRule type="expression" dxfId="503" priority="220">
      <formula>AND(D11&gt;5,D11&lt;=12)</formula>
    </cfRule>
    <cfRule type="expression" dxfId="502" priority="221">
      <formula>D11&gt;12</formula>
    </cfRule>
    <cfRule type="expression" dxfId="501" priority="222">
      <formula>AND(D11&gt;0,D11&lt;5)</formula>
    </cfRule>
  </conditionalFormatting>
  <conditionalFormatting sqref="E11">
    <cfRule type="expression" dxfId="500" priority="223">
      <formula>AND(E11&gt;5,E11&lt;=12)</formula>
    </cfRule>
    <cfRule type="expression" dxfId="499" priority="224">
      <formula>E11&gt;12</formula>
    </cfRule>
    <cfRule type="expression" dxfId="498" priority="225">
      <formula>AND(E11&gt;0,E11&lt;5)</formula>
    </cfRule>
  </conditionalFormatting>
  <conditionalFormatting sqref="F11">
    <cfRule type="expression" dxfId="497" priority="226">
      <formula>AND(F11&gt;5,F11&lt;=12)</formula>
    </cfRule>
    <cfRule type="expression" dxfId="496" priority="227">
      <formula>F11&gt;12</formula>
    </cfRule>
    <cfRule type="expression" dxfId="495" priority="228">
      <formula>AND(F11&gt;0,F11&lt;5)</formula>
    </cfRule>
  </conditionalFormatting>
  <conditionalFormatting sqref="G11">
    <cfRule type="expression" dxfId="494" priority="229">
      <formula>AND(G11&gt;5,G11&lt;=12)</formula>
    </cfRule>
    <cfRule type="expression" dxfId="493" priority="230">
      <formula>G11&gt;12</formula>
    </cfRule>
    <cfRule type="expression" dxfId="492" priority="231">
      <formula>AND(G11&gt;0,G11&lt;5)</formula>
    </cfRule>
  </conditionalFormatting>
  <conditionalFormatting sqref="H11">
    <cfRule type="expression" dxfId="491" priority="232">
      <formula>AND(H11&gt;5,H11&lt;=12)</formula>
    </cfRule>
    <cfRule type="expression" dxfId="490" priority="233">
      <formula>H11&gt;12</formula>
    </cfRule>
    <cfRule type="expression" dxfId="489" priority="234">
      <formula>AND(H11&gt;0,H11&lt;5)</formula>
    </cfRule>
  </conditionalFormatting>
  <conditionalFormatting sqref="I11">
    <cfRule type="expression" dxfId="488" priority="235">
      <formula>AND(I11&gt;5,I11&lt;=12)</formula>
    </cfRule>
    <cfRule type="expression" dxfId="487" priority="236">
      <formula>I11&gt;12</formula>
    </cfRule>
    <cfRule type="expression" dxfId="486" priority="237">
      <formula>AND(I11&gt;0,I11&lt;5)</formula>
    </cfRule>
  </conditionalFormatting>
  <conditionalFormatting sqref="J11">
    <cfRule type="expression" dxfId="485" priority="238">
      <formula>AND(J11&gt;5,J11&lt;=12)</formula>
    </cfRule>
    <cfRule type="expression" dxfId="484" priority="239">
      <formula>J11&gt;12</formula>
    </cfRule>
    <cfRule type="expression" dxfId="483" priority="240">
      <formula>AND(J11&gt;0,J11&lt;5)</formula>
    </cfRule>
  </conditionalFormatting>
  <conditionalFormatting sqref="K11">
    <cfRule type="expression" dxfId="482" priority="241">
      <formula>AND(K11&gt;5,K11&lt;=12)</formula>
    </cfRule>
    <cfRule type="expression" dxfId="481" priority="242">
      <formula>K11&gt;12</formula>
    </cfRule>
    <cfRule type="expression" dxfId="480" priority="243">
      <formula>AND(K11&gt;0,K11&lt;5)</formula>
    </cfRule>
  </conditionalFormatting>
  <conditionalFormatting sqref="L11">
    <cfRule type="expression" dxfId="479" priority="244">
      <formula>AND(L11&gt;5,L11&lt;=12)</formula>
    </cfRule>
    <cfRule type="expression" dxfId="478" priority="245">
      <formula>L11&gt;12</formula>
    </cfRule>
    <cfRule type="expression" dxfId="477" priority="246">
      <formula>AND(L11&gt;0,L11&lt;5)</formula>
    </cfRule>
  </conditionalFormatting>
  <conditionalFormatting sqref="M11">
    <cfRule type="expression" dxfId="476" priority="247">
      <formula>AND(M11&gt;5,M11&lt;=12)</formula>
    </cfRule>
    <cfRule type="expression" dxfId="475" priority="248">
      <formula>M11&gt;12</formula>
    </cfRule>
    <cfRule type="expression" dxfId="474" priority="249">
      <formula>AND(M11&gt;0,M11&lt;5)</formula>
    </cfRule>
  </conditionalFormatting>
  <conditionalFormatting sqref="N11">
    <cfRule type="expression" dxfId="473" priority="250">
      <formula>AND(N11&gt;5,N11&lt;=12)</formula>
    </cfRule>
    <cfRule type="expression" dxfId="472" priority="251">
      <formula>N11&gt;12</formula>
    </cfRule>
    <cfRule type="expression" dxfId="471" priority="252">
      <formula>AND(N11&gt;0,N11&lt;5)</formula>
    </cfRule>
  </conditionalFormatting>
  <conditionalFormatting sqref="C13">
    <cfRule type="expression" dxfId="470" priority="253">
      <formula>AND(C13&gt;12,C13&lt;=24)</formula>
    </cfRule>
    <cfRule type="expression" dxfId="469" priority="254">
      <formula>C13&gt;24</formula>
    </cfRule>
    <cfRule type="expression" dxfId="468" priority="255">
      <formula>AND(C13&gt;0,C13&lt;12)</formula>
    </cfRule>
  </conditionalFormatting>
  <conditionalFormatting sqref="D13">
    <cfRule type="expression" dxfId="467" priority="256">
      <formula>AND(D13&gt;12,D13&lt;=24)</formula>
    </cfRule>
    <cfRule type="expression" dxfId="466" priority="257">
      <formula>D13&gt;24</formula>
    </cfRule>
    <cfRule type="expression" dxfId="465" priority="258">
      <formula>AND(D13&gt;0,D13&lt;12)</formula>
    </cfRule>
  </conditionalFormatting>
  <conditionalFormatting sqref="E13">
    <cfRule type="expression" dxfId="464" priority="259">
      <formula>AND(E13&gt;12,E13&lt;=24)</formula>
    </cfRule>
    <cfRule type="expression" dxfId="463" priority="260">
      <formula>E13&gt;24</formula>
    </cfRule>
    <cfRule type="expression" dxfId="462" priority="261">
      <formula>AND(E13&gt;0,E13&lt;12)</formula>
    </cfRule>
  </conditionalFormatting>
  <conditionalFormatting sqref="F13">
    <cfRule type="expression" dxfId="461" priority="262">
      <formula>AND(F13&gt;12,F13&lt;=24)</formula>
    </cfRule>
    <cfRule type="expression" dxfId="460" priority="263">
      <formula>F13&gt;24</formula>
    </cfRule>
    <cfRule type="expression" dxfId="459" priority="264">
      <formula>AND(F13&gt;0,F13&lt;12)</formula>
    </cfRule>
  </conditionalFormatting>
  <conditionalFormatting sqref="G13">
    <cfRule type="expression" dxfId="458" priority="265">
      <formula>AND(G13&gt;12,G13&lt;=24)</formula>
    </cfRule>
    <cfRule type="expression" dxfId="457" priority="266">
      <formula>G13&gt;24</formula>
    </cfRule>
    <cfRule type="expression" dxfId="456" priority="267">
      <formula>AND(G13&gt;0,G13&lt;12)</formula>
    </cfRule>
  </conditionalFormatting>
  <conditionalFormatting sqref="H13">
    <cfRule type="expression" dxfId="455" priority="268">
      <formula>AND(H13&gt;12,H13&lt;=24)</formula>
    </cfRule>
    <cfRule type="expression" dxfId="454" priority="269">
      <formula>H13&gt;24</formula>
    </cfRule>
    <cfRule type="expression" dxfId="453" priority="270">
      <formula>AND(H13&gt;0,H13&lt;12)</formula>
    </cfRule>
  </conditionalFormatting>
  <conditionalFormatting sqref="I13">
    <cfRule type="expression" dxfId="452" priority="271">
      <formula>AND(I13&gt;12,I13&lt;=24)</formula>
    </cfRule>
    <cfRule type="expression" dxfId="451" priority="272">
      <formula>I13&gt;24</formula>
    </cfRule>
    <cfRule type="expression" dxfId="450" priority="273">
      <formula>AND(I13&gt;0,I13&lt;12)</formula>
    </cfRule>
  </conditionalFormatting>
  <conditionalFormatting sqref="J13">
    <cfRule type="expression" dxfId="449" priority="274">
      <formula>AND(J13&gt;12,J13&lt;=24)</formula>
    </cfRule>
    <cfRule type="expression" dxfId="448" priority="275">
      <formula>J13&gt;24</formula>
    </cfRule>
    <cfRule type="expression" dxfId="447" priority="276">
      <formula>AND(J13&gt;0,J13&lt;12)</formula>
    </cfRule>
  </conditionalFormatting>
  <conditionalFormatting sqref="K13">
    <cfRule type="expression" dxfId="446" priority="277">
      <formula>AND(K13&gt;12,K13&lt;=24)</formula>
    </cfRule>
    <cfRule type="expression" dxfId="445" priority="278">
      <formula>K13&gt;24</formula>
    </cfRule>
    <cfRule type="expression" dxfId="444" priority="279">
      <formula>AND(K13&gt;0,K13&lt;12)</formula>
    </cfRule>
  </conditionalFormatting>
  <conditionalFormatting sqref="L13">
    <cfRule type="expression" dxfId="443" priority="280">
      <formula>AND(L13&gt;12,L13&lt;=24)</formula>
    </cfRule>
    <cfRule type="expression" dxfId="442" priority="281">
      <formula>L13&gt;24</formula>
    </cfRule>
    <cfRule type="expression" dxfId="441" priority="282">
      <formula>AND(L13&gt;0,L13&lt;12)</formula>
    </cfRule>
  </conditionalFormatting>
  <conditionalFormatting sqref="M13">
    <cfRule type="expression" dxfId="440" priority="283">
      <formula>AND(M13&gt;12,M13&lt;=24)</formula>
    </cfRule>
    <cfRule type="expression" dxfId="439" priority="284">
      <formula>M13&gt;24</formula>
    </cfRule>
    <cfRule type="expression" dxfId="438" priority="285">
      <formula>AND(M13&gt;0,M13&lt;12)</formula>
    </cfRule>
  </conditionalFormatting>
  <conditionalFormatting sqref="N13">
    <cfRule type="expression" dxfId="437" priority="286">
      <formula>AND(N13&gt;12,N13&lt;=24)</formula>
    </cfRule>
    <cfRule type="expression" dxfId="436" priority="287">
      <formula>N13&gt;24</formula>
    </cfRule>
    <cfRule type="expression" dxfId="435" priority="288">
      <formula>AND(N13&gt;0,N13&lt;12)</formula>
    </cfRule>
  </conditionalFormatting>
  <conditionalFormatting sqref="C14">
    <cfRule type="expression" dxfId="434" priority="289">
      <formula>AND(C14&gt;2,C14&lt;=6)</formula>
    </cfRule>
    <cfRule type="expression" dxfId="433" priority="290">
      <formula>C14&gt;6</formula>
    </cfRule>
    <cfRule type="expression" dxfId="432" priority="291">
      <formula>AND(C14&gt;0,C14&lt;2)</formula>
    </cfRule>
  </conditionalFormatting>
  <conditionalFormatting sqref="D14">
    <cfRule type="expression" dxfId="431" priority="292">
      <formula>AND(D14&gt;2,D14&lt;=6)</formula>
    </cfRule>
    <cfRule type="expression" dxfId="430" priority="293">
      <formula>D14&gt;6</formula>
    </cfRule>
    <cfRule type="expression" dxfId="429" priority="294">
      <formula>AND(D14&gt;0,D14&lt;2)</formula>
    </cfRule>
  </conditionalFormatting>
  <conditionalFormatting sqref="E14">
    <cfRule type="expression" dxfId="428" priority="295">
      <formula>AND(E14&gt;2,E14&lt;=6)</formula>
    </cfRule>
    <cfRule type="expression" dxfId="427" priority="296">
      <formula>E14&gt;6</formula>
    </cfRule>
    <cfRule type="expression" dxfId="426" priority="297">
      <formula>AND(E14&gt;0,E14&lt;2)</formula>
    </cfRule>
  </conditionalFormatting>
  <conditionalFormatting sqref="F14">
    <cfRule type="expression" dxfId="425" priority="298">
      <formula>AND(F14&gt;2,F14&lt;=6)</formula>
    </cfRule>
    <cfRule type="expression" dxfId="424" priority="299">
      <formula>F14&gt;6</formula>
    </cfRule>
    <cfRule type="expression" dxfId="423" priority="300">
      <formula>AND(F14&gt;0,F14&lt;2)</formula>
    </cfRule>
  </conditionalFormatting>
  <conditionalFormatting sqref="G14">
    <cfRule type="expression" dxfId="422" priority="301">
      <formula>AND(G14&gt;2,G14&lt;=6)</formula>
    </cfRule>
    <cfRule type="expression" dxfId="421" priority="302">
      <formula>G14&gt;6</formula>
    </cfRule>
    <cfRule type="expression" dxfId="420" priority="303">
      <formula>AND(G14&gt;0,G14&lt;2)</formula>
    </cfRule>
  </conditionalFormatting>
  <conditionalFormatting sqref="H14">
    <cfRule type="expression" dxfId="419" priority="304">
      <formula>AND(H14&gt;2,H14&lt;=6)</formula>
    </cfRule>
    <cfRule type="expression" dxfId="418" priority="305">
      <formula>H14&gt;6</formula>
    </cfRule>
    <cfRule type="expression" dxfId="417" priority="306">
      <formula>AND(H14&gt;0,H14&lt;2)</formula>
    </cfRule>
  </conditionalFormatting>
  <conditionalFormatting sqref="I14">
    <cfRule type="expression" dxfId="416" priority="307">
      <formula>AND(I14&gt;2,I14&lt;=6)</formula>
    </cfRule>
    <cfRule type="expression" dxfId="415" priority="308">
      <formula>I14&gt;6</formula>
    </cfRule>
    <cfRule type="expression" dxfId="414" priority="309">
      <formula>AND(I14&gt;0,I14&lt;2)</formula>
    </cfRule>
  </conditionalFormatting>
  <conditionalFormatting sqref="J14">
    <cfRule type="expression" dxfId="413" priority="310">
      <formula>AND(J14&gt;2,J14&lt;=6)</formula>
    </cfRule>
    <cfRule type="expression" dxfId="412" priority="311">
      <formula>J14&gt;6</formula>
    </cfRule>
    <cfRule type="expression" dxfId="411" priority="312">
      <formula>AND(J14&gt;0,J14&lt;2)</formula>
    </cfRule>
  </conditionalFormatting>
  <conditionalFormatting sqref="K14">
    <cfRule type="expression" dxfId="410" priority="313">
      <formula>AND(K14&gt;2,K14&lt;=6)</formula>
    </cfRule>
    <cfRule type="expression" dxfId="409" priority="314">
      <formula>K14&gt;6</formula>
    </cfRule>
    <cfRule type="expression" dxfId="408" priority="315">
      <formula>AND(K14&gt;0,K14&lt;2)</formula>
    </cfRule>
  </conditionalFormatting>
  <conditionalFormatting sqref="L14">
    <cfRule type="expression" dxfId="407" priority="316">
      <formula>AND(L14&gt;2,L14&lt;=6)</formula>
    </cfRule>
    <cfRule type="expression" dxfId="406" priority="317">
      <formula>L14&gt;6</formula>
    </cfRule>
    <cfRule type="expression" dxfId="405" priority="318">
      <formula>AND(L14&gt;0,L14&lt;2)</formula>
    </cfRule>
  </conditionalFormatting>
  <conditionalFormatting sqref="M14">
    <cfRule type="expression" dxfId="404" priority="319">
      <formula>AND(M14&gt;2,M14&lt;=6)</formula>
    </cfRule>
    <cfRule type="expression" dxfId="403" priority="320">
      <formula>M14&gt;6</formula>
    </cfRule>
    <cfRule type="expression" dxfId="402" priority="321">
      <formula>AND(M14&gt;0,M14&lt;2)</formula>
    </cfRule>
  </conditionalFormatting>
  <conditionalFormatting sqref="N14">
    <cfRule type="expression" dxfId="401" priority="322">
      <formula>AND(N14&gt;2,N14&lt;=6)</formula>
    </cfRule>
    <cfRule type="expression" dxfId="400" priority="323">
      <formula>N14&gt;6</formula>
    </cfRule>
    <cfRule type="expression" dxfId="399" priority="324">
      <formula>AND(N14&gt;0,N14&lt;2)</formula>
    </cfRule>
  </conditionalFormatting>
  <conditionalFormatting sqref="C15">
    <cfRule type="expression" dxfId="398" priority="325">
      <formula>AND(C15&gt;6,C15&lt;=14)</formula>
    </cfRule>
    <cfRule type="expression" dxfId="397" priority="326">
      <formula>C15&gt;14</formula>
    </cfRule>
    <cfRule type="expression" dxfId="396" priority="327">
      <formula>AND(C15&gt;0,C15&lt;6)</formula>
    </cfRule>
  </conditionalFormatting>
  <conditionalFormatting sqref="D15">
    <cfRule type="expression" dxfId="395" priority="328">
      <formula>AND(D15&gt;6,D15&lt;=14)</formula>
    </cfRule>
    <cfRule type="expression" dxfId="394" priority="329">
      <formula>D15&gt;14</formula>
    </cfRule>
    <cfRule type="expression" dxfId="393" priority="330">
      <formula>AND(D15&gt;0,D15&lt;6)</formula>
    </cfRule>
  </conditionalFormatting>
  <conditionalFormatting sqref="E15">
    <cfRule type="expression" dxfId="392" priority="331">
      <formula>AND(E15&gt;6,E15&lt;=14)</formula>
    </cfRule>
    <cfRule type="expression" dxfId="391" priority="332">
      <formula>E15&gt;14</formula>
    </cfRule>
    <cfRule type="expression" dxfId="390" priority="333">
      <formula>AND(E15&gt;0,E15&lt;6)</formula>
    </cfRule>
  </conditionalFormatting>
  <conditionalFormatting sqref="F15">
    <cfRule type="expression" dxfId="389" priority="334">
      <formula>AND(F15&gt;6,F15&lt;=14)</formula>
    </cfRule>
    <cfRule type="expression" dxfId="388" priority="335">
      <formula>F15&gt;14</formula>
    </cfRule>
    <cfRule type="expression" dxfId="387" priority="336">
      <formula>AND(F15&gt;0,F15&lt;6)</formula>
    </cfRule>
  </conditionalFormatting>
  <conditionalFormatting sqref="G15">
    <cfRule type="expression" dxfId="386" priority="337">
      <formula>AND(G15&gt;6,G15&lt;=14)</formula>
    </cfRule>
    <cfRule type="expression" dxfId="385" priority="338">
      <formula>G15&gt;14</formula>
    </cfRule>
    <cfRule type="expression" dxfId="384" priority="339">
      <formula>AND(G15&gt;0,G15&lt;6)</formula>
    </cfRule>
  </conditionalFormatting>
  <conditionalFormatting sqref="H15">
    <cfRule type="expression" dxfId="383" priority="340">
      <formula>AND(H15&gt;6,H15&lt;=14)</formula>
    </cfRule>
    <cfRule type="expression" dxfId="382" priority="341">
      <formula>H15&gt;14</formula>
    </cfRule>
    <cfRule type="expression" dxfId="381" priority="342">
      <formula>AND(H15&gt;0,H15&lt;6)</formula>
    </cfRule>
  </conditionalFormatting>
  <conditionalFormatting sqref="I15">
    <cfRule type="expression" dxfId="380" priority="343">
      <formula>AND(I15&gt;6,I15&lt;=14)</formula>
    </cfRule>
    <cfRule type="expression" dxfId="379" priority="344">
      <formula>I15&gt;14</formula>
    </cfRule>
    <cfRule type="expression" dxfId="378" priority="345">
      <formula>AND(I15&gt;0,I15&lt;6)</formula>
    </cfRule>
  </conditionalFormatting>
  <conditionalFormatting sqref="J15">
    <cfRule type="expression" dxfId="377" priority="346">
      <formula>AND(J15&gt;6,J15&lt;=14)</formula>
    </cfRule>
    <cfRule type="expression" dxfId="376" priority="347">
      <formula>J15&gt;14</formula>
    </cfRule>
    <cfRule type="expression" dxfId="375" priority="348">
      <formula>AND(J15&gt;0,J15&lt;6)</formula>
    </cfRule>
  </conditionalFormatting>
  <conditionalFormatting sqref="K15">
    <cfRule type="expression" dxfId="374" priority="349">
      <formula>AND(K15&gt;6,K15&lt;=14)</formula>
    </cfRule>
    <cfRule type="expression" dxfId="373" priority="350">
      <formula>K15&gt;14</formula>
    </cfRule>
    <cfRule type="expression" dxfId="372" priority="351">
      <formula>AND(K15&gt;0,K15&lt;6)</formula>
    </cfRule>
  </conditionalFormatting>
  <conditionalFormatting sqref="L15">
    <cfRule type="expression" dxfId="371" priority="352">
      <formula>AND(L15&gt;6,L15&lt;=14)</formula>
    </cfRule>
    <cfRule type="expression" dxfId="370" priority="353">
      <formula>L15&gt;14</formula>
    </cfRule>
    <cfRule type="expression" dxfId="369" priority="354">
      <formula>AND(L15&gt;0,L15&lt;6)</formula>
    </cfRule>
  </conditionalFormatting>
  <conditionalFormatting sqref="M15">
    <cfRule type="expression" dxfId="368" priority="355">
      <formula>AND(M15&gt;6,M15&lt;=14)</formula>
    </cfRule>
    <cfRule type="expression" dxfId="367" priority="356">
      <formula>M15&gt;14</formula>
    </cfRule>
    <cfRule type="expression" dxfId="366" priority="357">
      <formula>AND(M15&gt;0,M15&lt;6)</formula>
    </cfRule>
  </conditionalFormatting>
  <conditionalFormatting sqref="N15">
    <cfRule type="expression" dxfId="365" priority="358">
      <formula>AND(N15&gt;6,N15&lt;=14)</formula>
    </cfRule>
    <cfRule type="expression" dxfId="364" priority="359">
      <formula>N15&gt;14</formula>
    </cfRule>
    <cfRule type="expression" dxfId="363" priority="360">
      <formula>AND(N15&gt;0,N15&lt;6)</formula>
    </cfRule>
  </conditionalFormatting>
  <conditionalFormatting sqref="C16">
    <cfRule type="expression" dxfId="362" priority="361">
      <formula>AND(C16&gt;4,C16&lt;=10)</formula>
    </cfRule>
    <cfRule type="expression" dxfId="361" priority="362">
      <formula>C16&gt;10</formula>
    </cfRule>
    <cfRule type="expression" dxfId="360" priority="363">
      <formula>AND(C16&gt;0,C16&lt;4)</formula>
    </cfRule>
  </conditionalFormatting>
  <conditionalFormatting sqref="D16">
    <cfRule type="expression" dxfId="359" priority="364">
      <formula>AND(D16&gt;4,D16&lt;=10)</formula>
    </cfRule>
    <cfRule type="expression" dxfId="358" priority="365">
      <formula>D16&gt;10</formula>
    </cfRule>
    <cfRule type="expression" dxfId="357" priority="366">
      <formula>AND(D16&gt;0,D16&lt;4)</formula>
    </cfRule>
  </conditionalFormatting>
  <conditionalFormatting sqref="E16">
    <cfRule type="expression" dxfId="356" priority="367">
      <formula>AND(E16&gt;4,E16&lt;=10)</formula>
    </cfRule>
    <cfRule type="expression" dxfId="355" priority="368">
      <formula>E16&gt;10</formula>
    </cfRule>
    <cfRule type="expression" dxfId="354" priority="369">
      <formula>AND(E16&gt;0,E16&lt;4)</formula>
    </cfRule>
  </conditionalFormatting>
  <conditionalFormatting sqref="F16">
    <cfRule type="expression" dxfId="353" priority="370">
      <formula>AND(F16&gt;4,F16&lt;=10)</formula>
    </cfRule>
    <cfRule type="expression" dxfId="352" priority="371">
      <formula>F16&gt;10</formula>
    </cfRule>
    <cfRule type="expression" dxfId="351" priority="372">
      <formula>AND(F16&gt;0,F16&lt;4)</formula>
    </cfRule>
  </conditionalFormatting>
  <conditionalFormatting sqref="G16">
    <cfRule type="expression" dxfId="350" priority="373">
      <formula>AND(G16&gt;4,G16&lt;=10)</formula>
    </cfRule>
    <cfRule type="expression" dxfId="349" priority="374">
      <formula>G16&gt;10</formula>
    </cfRule>
    <cfRule type="expression" dxfId="348" priority="375">
      <formula>AND(G16&gt;0,G16&lt;4)</formula>
    </cfRule>
  </conditionalFormatting>
  <conditionalFormatting sqref="H16">
    <cfRule type="expression" dxfId="347" priority="376">
      <formula>AND(H16&gt;4,H16&lt;=10)</formula>
    </cfRule>
    <cfRule type="expression" dxfId="346" priority="377">
      <formula>H16&gt;10</formula>
    </cfRule>
    <cfRule type="expression" dxfId="345" priority="378">
      <formula>AND(H16&gt;0,H16&lt;4)</formula>
    </cfRule>
  </conditionalFormatting>
  <conditionalFormatting sqref="I16">
    <cfRule type="expression" dxfId="344" priority="379">
      <formula>AND(I16&gt;4,I16&lt;=10)</formula>
    </cfRule>
    <cfRule type="expression" dxfId="343" priority="380">
      <formula>I16&gt;10</formula>
    </cfRule>
    <cfRule type="expression" dxfId="342" priority="381">
      <formula>AND(I16&gt;0,I16&lt;4)</formula>
    </cfRule>
  </conditionalFormatting>
  <conditionalFormatting sqref="J16">
    <cfRule type="expression" dxfId="341" priority="382">
      <formula>AND(J16&gt;4,J16&lt;=10)</formula>
    </cfRule>
    <cfRule type="expression" dxfId="340" priority="383">
      <formula>J16&gt;10</formula>
    </cfRule>
    <cfRule type="expression" dxfId="339" priority="384">
      <formula>AND(J16&gt;0,J16&lt;4)</formula>
    </cfRule>
  </conditionalFormatting>
  <conditionalFormatting sqref="K16">
    <cfRule type="expression" dxfId="338" priority="385">
      <formula>AND(K16&gt;4,K16&lt;=10)</formula>
    </cfRule>
    <cfRule type="expression" dxfId="337" priority="386">
      <formula>K16&gt;10</formula>
    </cfRule>
    <cfRule type="expression" dxfId="336" priority="387">
      <formula>AND(K16&gt;0,K16&lt;4)</formula>
    </cfRule>
  </conditionalFormatting>
  <conditionalFormatting sqref="L16">
    <cfRule type="expression" dxfId="335" priority="388">
      <formula>AND(L16&gt;4,L16&lt;=10)</formula>
    </cfRule>
    <cfRule type="expression" dxfId="334" priority="389">
      <formula>L16&gt;10</formula>
    </cfRule>
    <cfRule type="expression" dxfId="333" priority="390">
      <formula>AND(L16&gt;0,L16&lt;4)</formula>
    </cfRule>
  </conditionalFormatting>
  <conditionalFormatting sqref="M16">
    <cfRule type="expression" dxfId="332" priority="391">
      <formula>AND(M16&gt;4,M16&lt;=10)</formula>
    </cfRule>
    <cfRule type="expression" dxfId="331" priority="392">
      <formula>M16&gt;10</formula>
    </cfRule>
    <cfRule type="expression" dxfId="330" priority="393">
      <formula>AND(M16&gt;0,M16&lt;4)</formula>
    </cfRule>
  </conditionalFormatting>
  <conditionalFormatting sqref="N16">
    <cfRule type="expression" dxfId="329" priority="394">
      <formula>AND(N16&gt;4,N16&lt;=10)</formula>
    </cfRule>
    <cfRule type="expression" dxfId="328" priority="395">
      <formula>N16&gt;10</formula>
    </cfRule>
    <cfRule type="expression" dxfId="327" priority="396">
      <formula>AND(N16&gt;0,N16&lt;4)</formula>
    </cfRule>
  </conditionalFormatting>
  <conditionalFormatting sqref="C18">
    <cfRule type="expression" dxfId="326" priority="397">
      <formula>AND(C18&gt;10,C18&lt;=18)</formula>
    </cfRule>
    <cfRule type="expression" dxfId="325" priority="398">
      <formula>C18&gt;18</formula>
    </cfRule>
    <cfRule type="expression" dxfId="324" priority="399">
      <formula>AND(C18&gt;0,C18&lt;10)</formula>
    </cfRule>
  </conditionalFormatting>
  <conditionalFormatting sqref="D18">
    <cfRule type="expression" dxfId="323" priority="400">
      <formula>AND(D18&gt;10,D18&lt;=18)</formula>
    </cfRule>
    <cfRule type="expression" dxfId="322" priority="401">
      <formula>D18&gt;18</formula>
    </cfRule>
    <cfRule type="expression" dxfId="321" priority="402">
      <formula>AND(D18&gt;0,D18&lt;10)</formula>
    </cfRule>
  </conditionalFormatting>
  <conditionalFormatting sqref="E18">
    <cfRule type="expression" dxfId="320" priority="403">
      <formula>AND(E18&gt;10,E18&lt;=18)</formula>
    </cfRule>
    <cfRule type="expression" dxfId="319" priority="404">
      <formula>E18&gt;18</formula>
    </cfRule>
    <cfRule type="expression" dxfId="318" priority="405">
      <formula>AND(E18&gt;0,E18&lt;10)</formula>
    </cfRule>
  </conditionalFormatting>
  <conditionalFormatting sqref="F18">
    <cfRule type="expression" dxfId="317" priority="406">
      <formula>AND(F18&gt;10,F18&lt;=18)</formula>
    </cfRule>
    <cfRule type="expression" dxfId="316" priority="407">
      <formula>F18&gt;18</formula>
    </cfRule>
    <cfRule type="expression" dxfId="315" priority="408">
      <formula>AND(F18&gt;0,F18&lt;10)</formula>
    </cfRule>
  </conditionalFormatting>
  <conditionalFormatting sqref="G18">
    <cfRule type="expression" dxfId="314" priority="409">
      <formula>AND(G18&gt;10,G18&lt;=18)</formula>
    </cfRule>
    <cfRule type="expression" dxfId="313" priority="410">
      <formula>G18&gt;18</formula>
    </cfRule>
    <cfRule type="expression" dxfId="312" priority="411">
      <formula>AND(G18&gt;0,G18&lt;10)</formula>
    </cfRule>
  </conditionalFormatting>
  <conditionalFormatting sqref="H18">
    <cfRule type="expression" dxfId="311" priority="412">
      <formula>AND(H18&gt;10,H18&lt;=18)</formula>
    </cfRule>
    <cfRule type="expression" dxfId="310" priority="413">
      <formula>H18&gt;18</formula>
    </cfRule>
    <cfRule type="expression" dxfId="309" priority="414">
      <formula>AND(H18&gt;0,H18&lt;10)</formula>
    </cfRule>
  </conditionalFormatting>
  <conditionalFormatting sqref="I18">
    <cfRule type="expression" dxfId="308" priority="415">
      <formula>AND(I18&gt;10,I18&lt;=18)</formula>
    </cfRule>
    <cfRule type="expression" dxfId="307" priority="416">
      <formula>I18&gt;18</formula>
    </cfRule>
    <cfRule type="expression" dxfId="306" priority="417">
      <formula>AND(I18&gt;0,I18&lt;10)</formula>
    </cfRule>
  </conditionalFormatting>
  <conditionalFormatting sqref="J18">
    <cfRule type="expression" dxfId="305" priority="418">
      <formula>AND(J18&gt;10,J18&lt;=18)</formula>
    </cfRule>
    <cfRule type="expression" dxfId="304" priority="419">
      <formula>J18&gt;18</formula>
    </cfRule>
    <cfRule type="expression" dxfId="303" priority="420">
      <formula>AND(J18&gt;0,J18&lt;10)</formula>
    </cfRule>
  </conditionalFormatting>
  <conditionalFormatting sqref="K18">
    <cfRule type="expression" dxfId="302" priority="421">
      <formula>AND(K18&gt;10,K18&lt;=18)</formula>
    </cfRule>
    <cfRule type="expression" dxfId="301" priority="422">
      <formula>K18&gt;18</formula>
    </cfRule>
    <cfRule type="expression" dxfId="300" priority="423">
      <formula>AND(K18&gt;0,K18&lt;10)</formula>
    </cfRule>
  </conditionalFormatting>
  <conditionalFormatting sqref="L18">
    <cfRule type="expression" dxfId="299" priority="424">
      <formula>AND(L18&gt;10,L18&lt;=18)</formula>
    </cfRule>
    <cfRule type="expression" dxfId="298" priority="425">
      <formula>L18&gt;18</formula>
    </cfRule>
    <cfRule type="expression" dxfId="297" priority="426">
      <formula>AND(L18&gt;0,L18&lt;10)</formula>
    </cfRule>
  </conditionalFormatting>
  <conditionalFormatting sqref="M18">
    <cfRule type="expression" dxfId="296" priority="427">
      <formula>AND(M18&gt;10,M18&lt;=18)</formula>
    </cfRule>
    <cfRule type="expression" dxfId="295" priority="428">
      <formula>M18&gt;18</formula>
    </cfRule>
    <cfRule type="expression" dxfId="294" priority="429">
      <formula>AND(M18&gt;0,M18&lt;10)</formula>
    </cfRule>
  </conditionalFormatting>
  <conditionalFormatting sqref="N18">
    <cfRule type="expression" dxfId="293" priority="430">
      <formula>AND(N18&gt;10,N18&lt;=18)</formula>
    </cfRule>
    <cfRule type="expression" dxfId="292" priority="431">
      <formula>N18&gt;18</formula>
    </cfRule>
    <cfRule type="expression" dxfId="291" priority="432">
      <formula>AND(N18&gt;0,N18&lt;10)</formula>
    </cfRule>
  </conditionalFormatting>
  <conditionalFormatting sqref="C20">
    <cfRule type="expression" dxfId="290" priority="433">
      <formula>AND(C20&gt;10,C20&lt;=18)</formula>
    </cfRule>
    <cfRule type="expression" dxfId="289" priority="434">
      <formula>C20&gt;18</formula>
    </cfRule>
    <cfRule type="expression" dxfId="288" priority="435">
      <formula>AND(C20&gt;0,C20&lt;10)</formula>
    </cfRule>
  </conditionalFormatting>
  <conditionalFormatting sqref="D20">
    <cfRule type="expression" dxfId="287" priority="436">
      <formula>AND(D20&gt;10,D20&lt;=18)</formula>
    </cfRule>
    <cfRule type="expression" dxfId="286" priority="437">
      <formula>D20&gt;18</formula>
    </cfRule>
    <cfRule type="expression" dxfId="285" priority="438">
      <formula>AND(D20&gt;0,D20&lt;10)</formula>
    </cfRule>
  </conditionalFormatting>
  <conditionalFormatting sqref="E20">
    <cfRule type="expression" dxfId="284" priority="439">
      <formula>AND(E20&gt;10,E20&lt;=18)</formula>
    </cfRule>
    <cfRule type="expression" dxfId="283" priority="440">
      <formula>E20&gt;18</formula>
    </cfRule>
    <cfRule type="expression" dxfId="282" priority="441">
      <formula>AND(E20&gt;0,E20&lt;10)</formula>
    </cfRule>
  </conditionalFormatting>
  <conditionalFormatting sqref="F20">
    <cfRule type="expression" dxfId="281" priority="442">
      <formula>AND(F20&gt;10,F20&lt;=18)</formula>
    </cfRule>
    <cfRule type="expression" dxfId="280" priority="443">
      <formula>F20&gt;18</formula>
    </cfRule>
    <cfRule type="expression" dxfId="279" priority="444">
      <formula>AND(F20&gt;0,F20&lt;10)</formula>
    </cfRule>
  </conditionalFormatting>
  <conditionalFormatting sqref="G20">
    <cfRule type="expression" dxfId="278" priority="445">
      <formula>AND(G20&gt;10,G20&lt;=18)</formula>
    </cfRule>
    <cfRule type="expression" dxfId="277" priority="446">
      <formula>G20&gt;18</formula>
    </cfRule>
    <cfRule type="expression" dxfId="276" priority="447">
      <formula>AND(G20&gt;0,G20&lt;10)</formula>
    </cfRule>
  </conditionalFormatting>
  <conditionalFormatting sqref="H20">
    <cfRule type="expression" dxfId="275" priority="448">
      <formula>AND(H20&gt;10,H20&lt;=18)</formula>
    </cfRule>
    <cfRule type="expression" dxfId="274" priority="449">
      <formula>H20&gt;18</formula>
    </cfRule>
    <cfRule type="expression" dxfId="273" priority="450">
      <formula>AND(H20&gt;0,H20&lt;10)</formula>
    </cfRule>
  </conditionalFormatting>
  <conditionalFormatting sqref="I20">
    <cfRule type="expression" dxfId="272" priority="451">
      <formula>AND(I20&gt;10,I20&lt;=18)</formula>
    </cfRule>
    <cfRule type="expression" dxfId="271" priority="452">
      <formula>I20&gt;18</formula>
    </cfRule>
    <cfRule type="expression" dxfId="270" priority="453">
      <formula>AND(I20&gt;0,I20&lt;10)</formula>
    </cfRule>
  </conditionalFormatting>
  <conditionalFormatting sqref="J20">
    <cfRule type="expression" dxfId="269" priority="454">
      <formula>AND(J20&gt;10,J20&lt;=18)</formula>
    </cfRule>
    <cfRule type="expression" dxfId="268" priority="455">
      <formula>J20&gt;18</formula>
    </cfRule>
    <cfRule type="expression" dxfId="267" priority="456">
      <formula>AND(J20&gt;0,J20&lt;10)</formula>
    </cfRule>
  </conditionalFormatting>
  <conditionalFormatting sqref="K20">
    <cfRule type="expression" dxfId="266" priority="457">
      <formula>AND(K20&gt;10,K20&lt;=18)</formula>
    </cfRule>
    <cfRule type="expression" dxfId="265" priority="458">
      <formula>K20&gt;18</formula>
    </cfRule>
    <cfRule type="expression" dxfId="264" priority="459">
      <formula>AND(K20&gt;0,K20&lt;10)</formula>
    </cfRule>
  </conditionalFormatting>
  <conditionalFormatting sqref="L20">
    <cfRule type="expression" dxfId="263" priority="460">
      <formula>AND(L20&gt;10,L20&lt;=18)</formula>
    </cfRule>
    <cfRule type="expression" dxfId="262" priority="461">
      <formula>L20&gt;18</formula>
    </cfRule>
    <cfRule type="expression" dxfId="261" priority="462">
      <formula>AND(L20&gt;0,L20&lt;10)</formula>
    </cfRule>
  </conditionalFormatting>
  <conditionalFormatting sqref="M20">
    <cfRule type="expression" dxfId="260" priority="463">
      <formula>AND(M20&gt;10,M20&lt;=18)</formula>
    </cfRule>
    <cfRule type="expression" dxfId="259" priority="464">
      <formula>M20&gt;18</formula>
    </cfRule>
    <cfRule type="expression" dxfId="258" priority="465">
      <formula>AND(M20&gt;0,M20&lt;10)</formula>
    </cfRule>
  </conditionalFormatting>
  <conditionalFormatting sqref="N20">
    <cfRule type="expression" dxfId="257" priority="466">
      <formula>AND(N20&gt;10,N20&lt;=18)</formula>
    </cfRule>
    <cfRule type="expression" dxfId="256" priority="467">
      <formula>N20&gt;18</formula>
    </cfRule>
    <cfRule type="expression" dxfId="255" priority="468">
      <formula>AND(N20&gt;0,N20&lt;10)</formula>
    </cfRule>
  </conditionalFormatting>
  <conditionalFormatting sqref="C22">
    <cfRule type="expression" dxfId="254" priority="469">
      <formula>AND(C22&gt;10,C22&lt;=18)</formula>
    </cfRule>
    <cfRule type="expression" dxfId="253" priority="470">
      <formula>C22&gt;18</formula>
    </cfRule>
    <cfRule type="expression" dxfId="252" priority="471">
      <formula>AND(C22&gt;0,C22&lt;10)</formula>
    </cfRule>
  </conditionalFormatting>
  <conditionalFormatting sqref="D22">
    <cfRule type="expression" dxfId="251" priority="472">
      <formula>AND(D22&gt;10,D22&lt;=18)</formula>
    </cfRule>
    <cfRule type="expression" dxfId="250" priority="473">
      <formula>D22&gt;18</formula>
    </cfRule>
    <cfRule type="expression" dxfId="249" priority="474">
      <formula>AND(D22&gt;0,D22&lt;10)</formula>
    </cfRule>
  </conditionalFormatting>
  <conditionalFormatting sqref="E22">
    <cfRule type="expression" dxfId="248" priority="475">
      <formula>AND(E22&gt;10,E22&lt;=18)</formula>
    </cfRule>
    <cfRule type="expression" dxfId="247" priority="476">
      <formula>E22&gt;18</formula>
    </cfRule>
    <cfRule type="expression" dxfId="246" priority="477">
      <formula>AND(E22&gt;0,E22&lt;10)</formula>
    </cfRule>
  </conditionalFormatting>
  <conditionalFormatting sqref="F22">
    <cfRule type="expression" dxfId="245" priority="478">
      <formula>AND(F22&gt;10,F22&lt;=18)</formula>
    </cfRule>
    <cfRule type="expression" dxfId="244" priority="479">
      <formula>F22&gt;18</formula>
    </cfRule>
    <cfRule type="expression" dxfId="243" priority="480">
      <formula>AND(F22&gt;0,F22&lt;10)</formula>
    </cfRule>
  </conditionalFormatting>
  <conditionalFormatting sqref="G22">
    <cfRule type="expression" dxfId="242" priority="481">
      <formula>AND(G22&gt;10,G22&lt;=18)</formula>
    </cfRule>
    <cfRule type="expression" dxfId="241" priority="482">
      <formula>G22&gt;18</formula>
    </cfRule>
    <cfRule type="expression" dxfId="240" priority="483">
      <formula>AND(G22&gt;0,G22&lt;10)</formula>
    </cfRule>
  </conditionalFormatting>
  <conditionalFormatting sqref="H22">
    <cfRule type="expression" dxfId="239" priority="484">
      <formula>AND(H22&gt;10,H22&lt;=18)</formula>
    </cfRule>
    <cfRule type="expression" dxfId="238" priority="485">
      <formula>H22&gt;18</formula>
    </cfRule>
    <cfRule type="expression" dxfId="237" priority="486">
      <formula>AND(H22&gt;0,H22&lt;10)</formula>
    </cfRule>
  </conditionalFormatting>
  <conditionalFormatting sqref="I22">
    <cfRule type="expression" dxfId="236" priority="487">
      <formula>AND(I22&gt;10,I22&lt;=18)</formula>
    </cfRule>
    <cfRule type="expression" dxfId="235" priority="488">
      <formula>I22&gt;18</formula>
    </cfRule>
    <cfRule type="expression" dxfId="234" priority="489">
      <formula>AND(I22&gt;0,I22&lt;10)</formula>
    </cfRule>
  </conditionalFormatting>
  <conditionalFormatting sqref="J22">
    <cfRule type="expression" dxfId="233" priority="490">
      <formula>AND(J22&gt;10,J22&lt;=18)</formula>
    </cfRule>
    <cfRule type="expression" dxfId="232" priority="491">
      <formula>J22&gt;18</formula>
    </cfRule>
    <cfRule type="expression" dxfId="231" priority="492">
      <formula>AND(J22&gt;0,J22&lt;10)</formula>
    </cfRule>
  </conditionalFormatting>
  <conditionalFormatting sqref="K22">
    <cfRule type="expression" dxfId="230" priority="493">
      <formula>AND(K22&gt;10,K22&lt;=18)</formula>
    </cfRule>
    <cfRule type="expression" dxfId="229" priority="494">
      <formula>K22&gt;18</formula>
    </cfRule>
    <cfRule type="expression" dxfId="228" priority="495">
      <formula>AND(K22&gt;0,K22&lt;10)</formula>
    </cfRule>
  </conditionalFormatting>
  <conditionalFormatting sqref="L22">
    <cfRule type="expression" dxfId="227" priority="496">
      <formula>AND(L22&gt;10,L22&lt;=18)</formula>
    </cfRule>
    <cfRule type="expression" dxfId="226" priority="497">
      <formula>L22&gt;18</formula>
    </cfRule>
    <cfRule type="expression" dxfId="225" priority="498">
      <formula>AND(L22&gt;0,L22&lt;10)</formula>
    </cfRule>
  </conditionalFormatting>
  <conditionalFormatting sqref="M22">
    <cfRule type="expression" dxfId="224" priority="499">
      <formula>AND(M22&gt;10,M22&lt;=18)</formula>
    </cfRule>
    <cfRule type="expression" dxfId="223" priority="500">
      <formula>M22&gt;18</formula>
    </cfRule>
    <cfRule type="expression" dxfId="222" priority="501">
      <formula>AND(M22&gt;0,M22&lt;10)</formula>
    </cfRule>
  </conditionalFormatting>
  <conditionalFormatting sqref="N22">
    <cfRule type="expression" dxfId="221" priority="502">
      <formula>AND(N22&gt;10,N22&lt;=18)</formula>
    </cfRule>
    <cfRule type="expression" dxfId="220" priority="503">
      <formula>N22&gt;18</formula>
    </cfRule>
    <cfRule type="expression" dxfId="219" priority="504">
      <formula>AND(N22&gt;0,N22&lt;10)</formula>
    </cfRule>
  </conditionalFormatting>
  <conditionalFormatting sqref="C24">
    <cfRule type="expression" dxfId="218" priority="505">
      <formula>AND(C24&gt;8,C24&lt;=16)</formula>
    </cfRule>
    <cfRule type="expression" dxfId="217" priority="506">
      <formula>C24&gt;16</formula>
    </cfRule>
    <cfRule type="expression" dxfId="216" priority="507">
      <formula>AND(C24&gt;0,C24&lt;8)</formula>
    </cfRule>
  </conditionalFormatting>
  <conditionalFormatting sqref="D24">
    <cfRule type="expression" dxfId="215" priority="508">
      <formula>AND(D24&gt;8,D24&lt;=16)</formula>
    </cfRule>
    <cfRule type="expression" dxfId="214" priority="509">
      <formula>D24&gt;16</formula>
    </cfRule>
    <cfRule type="expression" dxfId="213" priority="510">
      <formula>AND(D24&gt;0,D24&lt;8)</formula>
    </cfRule>
  </conditionalFormatting>
  <conditionalFormatting sqref="E24">
    <cfRule type="expression" dxfId="212" priority="511">
      <formula>AND(E24&gt;8,E24&lt;=16)</formula>
    </cfRule>
    <cfRule type="expression" dxfId="211" priority="512">
      <formula>E24&gt;16</formula>
    </cfRule>
    <cfRule type="expression" dxfId="210" priority="513">
      <formula>AND(E24&gt;0,E24&lt;8)</formula>
    </cfRule>
  </conditionalFormatting>
  <conditionalFormatting sqref="F24">
    <cfRule type="expression" dxfId="209" priority="514">
      <formula>AND(F24&gt;8,F24&lt;=16)</formula>
    </cfRule>
    <cfRule type="expression" dxfId="208" priority="515">
      <formula>F24&gt;16</formula>
    </cfRule>
    <cfRule type="expression" dxfId="207" priority="516">
      <formula>AND(F24&gt;0,F24&lt;8)</formula>
    </cfRule>
  </conditionalFormatting>
  <conditionalFormatting sqref="G24">
    <cfRule type="expression" dxfId="206" priority="517">
      <formula>AND(G24&gt;8,G24&lt;=16)</formula>
    </cfRule>
    <cfRule type="expression" dxfId="205" priority="518">
      <formula>G24&gt;16</formula>
    </cfRule>
    <cfRule type="expression" dxfId="204" priority="519">
      <formula>AND(G24&gt;0,G24&lt;8)</formula>
    </cfRule>
  </conditionalFormatting>
  <conditionalFormatting sqref="H24">
    <cfRule type="expression" dxfId="203" priority="520">
      <formula>AND(H24&gt;8,H24&lt;=16)</formula>
    </cfRule>
    <cfRule type="expression" dxfId="202" priority="521">
      <formula>H24&gt;16</formula>
    </cfRule>
    <cfRule type="expression" dxfId="201" priority="522">
      <formula>AND(H24&gt;0,H24&lt;8)</formula>
    </cfRule>
  </conditionalFormatting>
  <conditionalFormatting sqref="I24">
    <cfRule type="expression" dxfId="200" priority="523">
      <formula>AND(I24&gt;8,I24&lt;=16)</formula>
    </cfRule>
    <cfRule type="expression" dxfId="199" priority="524">
      <formula>I24&gt;16</formula>
    </cfRule>
    <cfRule type="expression" dxfId="198" priority="525">
      <formula>AND(I24&gt;0,I24&lt;8)</formula>
    </cfRule>
  </conditionalFormatting>
  <conditionalFormatting sqref="J24">
    <cfRule type="expression" dxfId="197" priority="526">
      <formula>AND(J24&gt;8,J24&lt;=16)</formula>
    </cfRule>
    <cfRule type="expression" dxfId="196" priority="527">
      <formula>J24&gt;16</formula>
    </cfRule>
    <cfRule type="expression" dxfId="195" priority="528">
      <formula>AND(J24&gt;0,J24&lt;8)</formula>
    </cfRule>
  </conditionalFormatting>
  <conditionalFormatting sqref="K24">
    <cfRule type="expression" dxfId="194" priority="529">
      <formula>AND(K24&gt;8,K24&lt;=16)</formula>
    </cfRule>
    <cfRule type="expression" dxfId="193" priority="530">
      <formula>K24&gt;16</formula>
    </cfRule>
    <cfRule type="expression" dxfId="192" priority="531">
      <formula>AND(K24&gt;0,K24&lt;8)</formula>
    </cfRule>
  </conditionalFormatting>
  <conditionalFormatting sqref="L24">
    <cfRule type="expression" dxfId="191" priority="532">
      <formula>AND(L24&gt;8,L24&lt;=16)</formula>
    </cfRule>
    <cfRule type="expression" dxfId="190" priority="533">
      <formula>L24&gt;16</formula>
    </cfRule>
    <cfRule type="expression" dxfId="189" priority="534">
      <formula>AND(L24&gt;0,L24&lt;8)</formula>
    </cfRule>
  </conditionalFormatting>
  <conditionalFormatting sqref="M24">
    <cfRule type="expression" dxfId="188" priority="535">
      <formula>AND(M24&gt;8,M24&lt;=16)</formula>
    </cfRule>
    <cfRule type="expression" dxfId="187" priority="536">
      <formula>M24&gt;16</formula>
    </cfRule>
    <cfRule type="expression" dxfId="186" priority="537">
      <formula>AND(M24&gt;0,M24&lt;8)</formula>
    </cfRule>
  </conditionalFormatting>
  <conditionalFormatting sqref="N24">
    <cfRule type="expression" dxfId="185" priority="538">
      <formula>AND(N24&gt;8,N24&lt;=16)</formula>
    </cfRule>
    <cfRule type="expression" dxfId="184" priority="539">
      <formula>N24&gt;16</formula>
    </cfRule>
    <cfRule type="expression" dxfId="183" priority="540">
      <formula>AND(N24&gt;0,N24&lt;8)</formula>
    </cfRule>
  </conditionalFormatting>
  <conditionalFormatting sqref="C26">
    <cfRule type="expression" dxfId="182" priority="541">
      <formula>AND(C26&gt;8,C26&lt;=14)</formula>
    </cfRule>
    <cfRule type="expression" dxfId="181" priority="542">
      <formula>C26&gt;14</formula>
    </cfRule>
    <cfRule type="expression" dxfId="180" priority="543">
      <formula>AND(C26&gt;0,C26&lt;8)</formula>
    </cfRule>
  </conditionalFormatting>
  <conditionalFormatting sqref="D26">
    <cfRule type="expression" dxfId="179" priority="544">
      <formula>AND(D26&gt;8,D26&lt;=14)</formula>
    </cfRule>
    <cfRule type="expression" dxfId="178" priority="545">
      <formula>D26&gt;14</formula>
    </cfRule>
    <cfRule type="expression" dxfId="177" priority="546">
      <formula>AND(D26&gt;0,D26&lt;8)</formula>
    </cfRule>
  </conditionalFormatting>
  <conditionalFormatting sqref="E26">
    <cfRule type="expression" dxfId="176" priority="547">
      <formula>AND(E26&gt;8,E26&lt;=14)</formula>
    </cfRule>
    <cfRule type="expression" dxfId="175" priority="548">
      <formula>E26&gt;14</formula>
    </cfRule>
    <cfRule type="expression" dxfId="174" priority="549">
      <formula>AND(E26&gt;0,E26&lt;8)</formula>
    </cfRule>
  </conditionalFormatting>
  <conditionalFormatting sqref="F26">
    <cfRule type="expression" dxfId="173" priority="550">
      <formula>AND(F26&gt;8,F26&lt;=14)</formula>
    </cfRule>
    <cfRule type="expression" dxfId="172" priority="551">
      <formula>F26&gt;14</formula>
    </cfRule>
    <cfRule type="expression" dxfId="171" priority="552">
      <formula>AND(F26&gt;0,F26&lt;8)</formula>
    </cfRule>
  </conditionalFormatting>
  <conditionalFormatting sqref="G26">
    <cfRule type="expression" dxfId="170" priority="553">
      <formula>AND(G26&gt;8,G26&lt;=14)</formula>
    </cfRule>
    <cfRule type="expression" dxfId="169" priority="554">
      <formula>G26&gt;14</formula>
    </cfRule>
    <cfRule type="expression" dxfId="168" priority="555">
      <formula>AND(G26&gt;0,G26&lt;8)</formula>
    </cfRule>
  </conditionalFormatting>
  <conditionalFormatting sqref="H26">
    <cfRule type="expression" dxfId="167" priority="556">
      <formula>AND(H26&gt;8,H26&lt;=14)</formula>
    </cfRule>
    <cfRule type="expression" dxfId="166" priority="557">
      <formula>H26&gt;14</formula>
    </cfRule>
    <cfRule type="expression" dxfId="165" priority="558">
      <formula>AND(H26&gt;0,H26&lt;8)</formula>
    </cfRule>
  </conditionalFormatting>
  <conditionalFormatting sqref="I26">
    <cfRule type="expression" dxfId="164" priority="559">
      <formula>AND(I26&gt;8,I26&lt;=14)</formula>
    </cfRule>
    <cfRule type="expression" dxfId="163" priority="560">
      <formula>I26&gt;14</formula>
    </cfRule>
    <cfRule type="expression" dxfId="162" priority="561">
      <formula>AND(I26&gt;0,I26&lt;8)</formula>
    </cfRule>
  </conditionalFormatting>
  <conditionalFormatting sqref="J26">
    <cfRule type="expression" dxfId="161" priority="562">
      <formula>AND(J26&gt;8,J26&lt;=14)</formula>
    </cfRule>
    <cfRule type="expression" dxfId="160" priority="563">
      <formula>J26&gt;14</formula>
    </cfRule>
    <cfRule type="expression" dxfId="159" priority="564">
      <formula>AND(J26&gt;0,J26&lt;8)</formula>
    </cfRule>
  </conditionalFormatting>
  <conditionalFormatting sqref="K26">
    <cfRule type="expression" dxfId="158" priority="565">
      <formula>AND(K26&gt;8,K26&lt;=14)</formula>
    </cfRule>
    <cfRule type="expression" dxfId="157" priority="566">
      <formula>K26&gt;14</formula>
    </cfRule>
    <cfRule type="expression" dxfId="156" priority="567">
      <formula>AND(K26&gt;0,K26&lt;8)</formula>
    </cfRule>
  </conditionalFormatting>
  <conditionalFormatting sqref="L26">
    <cfRule type="expression" dxfId="155" priority="568">
      <formula>AND(L26&gt;8,L26&lt;=14)</formula>
    </cfRule>
    <cfRule type="expression" dxfId="154" priority="569">
      <formula>L26&gt;14</formula>
    </cfRule>
    <cfRule type="expression" dxfId="153" priority="570">
      <formula>AND(L26&gt;0,L26&lt;8)</formula>
    </cfRule>
  </conditionalFormatting>
  <conditionalFormatting sqref="M26">
    <cfRule type="expression" dxfId="152" priority="571">
      <formula>AND(M26&gt;8,M26&lt;=14)</formula>
    </cfRule>
    <cfRule type="expression" dxfId="151" priority="572">
      <formula>M26&gt;14</formula>
    </cfRule>
    <cfRule type="expression" dxfId="150" priority="573">
      <formula>AND(M26&gt;0,M26&lt;8)</formula>
    </cfRule>
  </conditionalFormatting>
  <conditionalFormatting sqref="N26">
    <cfRule type="expression" dxfId="149" priority="574">
      <formula>AND(N26&gt;8,N26&lt;=14)</formula>
    </cfRule>
    <cfRule type="expression" dxfId="148" priority="575">
      <formula>N26&gt;14</formula>
    </cfRule>
    <cfRule type="expression" dxfId="147" priority="576">
      <formula>AND(N26&gt;0,N26&lt;8)</formula>
    </cfRule>
  </conditionalFormatting>
  <conditionalFormatting sqref="C28">
    <cfRule type="expression" dxfId="146" priority="577">
      <formula>AND(C28&gt;6,C28&lt;=12)</formula>
    </cfRule>
    <cfRule type="expression" dxfId="145" priority="578">
      <formula>C28&gt;12</formula>
    </cfRule>
    <cfRule type="expression" dxfId="144" priority="579">
      <formula>AND(C28&gt;0,C28&lt;6)</formula>
    </cfRule>
  </conditionalFormatting>
  <conditionalFormatting sqref="D28">
    <cfRule type="expression" dxfId="143" priority="580">
      <formula>AND(D28&gt;6,D28&lt;=12)</formula>
    </cfRule>
    <cfRule type="expression" dxfId="142" priority="581">
      <formula>D28&gt;12</formula>
    </cfRule>
    <cfRule type="expression" dxfId="141" priority="582">
      <formula>AND(D28&gt;0,D28&lt;6)</formula>
    </cfRule>
  </conditionalFormatting>
  <conditionalFormatting sqref="E28">
    <cfRule type="expression" dxfId="140" priority="583">
      <formula>AND(E28&gt;6,E28&lt;=12)</formula>
    </cfRule>
    <cfRule type="expression" dxfId="139" priority="584">
      <formula>E28&gt;12</formula>
    </cfRule>
    <cfRule type="expression" dxfId="138" priority="585">
      <formula>AND(E28&gt;0,E28&lt;6)</formula>
    </cfRule>
  </conditionalFormatting>
  <conditionalFormatting sqref="F28">
    <cfRule type="expression" dxfId="137" priority="586">
      <formula>AND(F28&gt;6,F28&lt;=12)</formula>
    </cfRule>
    <cfRule type="expression" dxfId="136" priority="587">
      <formula>F28&gt;12</formula>
    </cfRule>
    <cfRule type="expression" dxfId="135" priority="588">
      <formula>AND(F28&gt;0,F28&lt;6)</formula>
    </cfRule>
  </conditionalFormatting>
  <conditionalFormatting sqref="G28">
    <cfRule type="expression" dxfId="134" priority="589">
      <formula>AND(G28&gt;6,G28&lt;=12)</formula>
    </cfRule>
    <cfRule type="expression" dxfId="133" priority="590">
      <formula>G28&gt;12</formula>
    </cfRule>
    <cfRule type="expression" dxfId="132" priority="591">
      <formula>AND(G28&gt;0,G28&lt;6)</formula>
    </cfRule>
  </conditionalFormatting>
  <conditionalFormatting sqref="H28">
    <cfRule type="expression" dxfId="131" priority="592">
      <formula>AND(H28&gt;6,H28&lt;=12)</formula>
    </cfRule>
    <cfRule type="expression" dxfId="130" priority="593">
      <formula>H28&gt;12</formula>
    </cfRule>
    <cfRule type="expression" dxfId="129" priority="594">
      <formula>AND(H28&gt;0,H28&lt;6)</formula>
    </cfRule>
  </conditionalFormatting>
  <conditionalFormatting sqref="I28">
    <cfRule type="expression" dxfId="128" priority="595">
      <formula>AND(I28&gt;6,I28&lt;=12)</formula>
    </cfRule>
    <cfRule type="expression" dxfId="127" priority="596">
      <formula>I28&gt;12</formula>
    </cfRule>
    <cfRule type="expression" dxfId="126" priority="597">
      <formula>AND(I28&gt;0,I28&lt;6)</formula>
    </cfRule>
  </conditionalFormatting>
  <conditionalFormatting sqref="J28">
    <cfRule type="expression" dxfId="125" priority="598">
      <formula>AND(J28&gt;6,J28&lt;=12)</formula>
    </cfRule>
    <cfRule type="expression" dxfId="124" priority="599">
      <formula>J28&gt;12</formula>
    </cfRule>
    <cfRule type="expression" dxfId="123" priority="600">
      <formula>AND(J28&gt;0,J28&lt;6)</formula>
    </cfRule>
  </conditionalFormatting>
  <conditionalFormatting sqref="K28">
    <cfRule type="expression" dxfId="122" priority="601">
      <formula>AND(K28&gt;6,K28&lt;=12)</formula>
    </cfRule>
    <cfRule type="expression" dxfId="121" priority="602">
      <formula>K28&gt;12</formula>
    </cfRule>
    <cfRule type="expression" dxfId="120" priority="603">
      <formula>AND(K28&gt;0,K28&lt;6)</formula>
    </cfRule>
  </conditionalFormatting>
  <conditionalFormatting sqref="L28">
    <cfRule type="expression" dxfId="119" priority="604">
      <formula>AND(L28&gt;6,L28&lt;=12)</formula>
    </cfRule>
    <cfRule type="expression" dxfId="118" priority="605">
      <formula>L28&gt;12</formula>
    </cfRule>
    <cfRule type="expression" dxfId="117" priority="606">
      <formula>AND(L28&gt;0,L28&lt;6)</formula>
    </cfRule>
  </conditionalFormatting>
  <conditionalFormatting sqref="M28">
    <cfRule type="expression" dxfId="116" priority="607">
      <formula>AND(M28&gt;6,M28&lt;=12)</formula>
    </cfRule>
    <cfRule type="expression" dxfId="115" priority="608">
      <formula>M28&gt;12</formula>
    </cfRule>
    <cfRule type="expression" dxfId="114" priority="609">
      <formula>AND(M28&gt;0,M28&lt;6)</formula>
    </cfRule>
  </conditionalFormatting>
  <conditionalFormatting sqref="N28">
    <cfRule type="expression" dxfId="113" priority="610">
      <formula>AND(N28&gt;6,N28&lt;=12)</formula>
    </cfRule>
    <cfRule type="expression" dxfId="112" priority="611">
      <formula>N28&gt;12</formula>
    </cfRule>
    <cfRule type="expression" dxfId="111" priority="612">
      <formula>AND(N28&gt;0,N28&lt;6)</formula>
    </cfRule>
  </conditionalFormatting>
  <conditionalFormatting sqref="C30">
    <cfRule type="expression" dxfId="110" priority="613">
      <formula>AND(C30&gt;6,C30&lt;=12)</formula>
    </cfRule>
    <cfRule type="expression" dxfId="109" priority="614">
      <formula>C30&gt;12</formula>
    </cfRule>
    <cfRule type="expression" dxfId="108" priority="615">
      <formula>AND(C30&gt;0,C30&lt;6)</formula>
    </cfRule>
  </conditionalFormatting>
  <conditionalFormatting sqref="D30">
    <cfRule type="expression" dxfId="107" priority="616">
      <formula>AND(D30&gt;6,D30&lt;=12)</formula>
    </cfRule>
    <cfRule type="expression" dxfId="106" priority="617">
      <formula>D30&gt;12</formula>
    </cfRule>
    <cfRule type="expression" dxfId="105" priority="618">
      <formula>AND(D30&gt;0,D30&lt;6)</formula>
    </cfRule>
  </conditionalFormatting>
  <conditionalFormatting sqref="E30">
    <cfRule type="expression" dxfId="104" priority="619">
      <formula>AND(E30&gt;6,E30&lt;=12)</formula>
    </cfRule>
    <cfRule type="expression" dxfId="103" priority="620">
      <formula>E30&gt;12</formula>
    </cfRule>
    <cfRule type="expression" dxfId="102" priority="621">
      <formula>AND(E30&gt;0,E30&lt;6)</formula>
    </cfRule>
  </conditionalFormatting>
  <conditionalFormatting sqref="F30">
    <cfRule type="expression" dxfId="101" priority="622">
      <formula>AND(F30&gt;6,F30&lt;=12)</formula>
    </cfRule>
    <cfRule type="expression" dxfId="100" priority="623">
      <formula>F30&gt;12</formula>
    </cfRule>
    <cfRule type="expression" dxfId="99" priority="624">
      <formula>AND(F30&gt;0,F30&lt;6)</formula>
    </cfRule>
  </conditionalFormatting>
  <conditionalFormatting sqref="G30">
    <cfRule type="expression" dxfId="98" priority="625">
      <formula>AND(G30&gt;6,G30&lt;=12)</formula>
    </cfRule>
    <cfRule type="expression" dxfId="97" priority="626">
      <formula>G30&gt;12</formula>
    </cfRule>
    <cfRule type="expression" dxfId="96" priority="627">
      <formula>AND(G30&gt;0,G30&lt;6)</formula>
    </cfRule>
  </conditionalFormatting>
  <conditionalFormatting sqref="H30">
    <cfRule type="expression" dxfId="95" priority="628">
      <formula>AND(H30&gt;6,H30&lt;=12)</formula>
    </cfRule>
    <cfRule type="expression" dxfId="94" priority="629">
      <formula>H30&gt;12</formula>
    </cfRule>
    <cfRule type="expression" dxfId="93" priority="630">
      <formula>AND(H30&gt;0,H30&lt;6)</formula>
    </cfRule>
  </conditionalFormatting>
  <conditionalFormatting sqref="I30">
    <cfRule type="expression" dxfId="92" priority="631">
      <formula>AND(I30&gt;6,I30&lt;=12)</formula>
    </cfRule>
    <cfRule type="expression" dxfId="91" priority="632">
      <formula>I30&gt;12</formula>
    </cfRule>
    <cfRule type="expression" dxfId="90" priority="633">
      <formula>AND(I30&gt;0,I30&lt;6)</formula>
    </cfRule>
  </conditionalFormatting>
  <conditionalFormatting sqref="J30">
    <cfRule type="expression" dxfId="89" priority="634">
      <formula>AND(J30&gt;6,J30&lt;=12)</formula>
    </cfRule>
    <cfRule type="expression" dxfId="88" priority="635">
      <formula>J30&gt;12</formula>
    </cfRule>
    <cfRule type="expression" dxfId="87" priority="636">
      <formula>AND(J30&gt;0,J30&lt;6)</formula>
    </cfRule>
  </conditionalFormatting>
  <conditionalFormatting sqref="K30">
    <cfRule type="expression" dxfId="86" priority="637">
      <formula>AND(K30&gt;6,K30&lt;=12)</formula>
    </cfRule>
    <cfRule type="expression" dxfId="85" priority="638">
      <formula>K30&gt;12</formula>
    </cfRule>
    <cfRule type="expression" dxfId="84" priority="639">
      <formula>AND(K30&gt;0,K30&lt;6)</formula>
    </cfRule>
  </conditionalFormatting>
  <conditionalFormatting sqref="L30">
    <cfRule type="expression" dxfId="83" priority="640">
      <formula>AND(L30&gt;6,L30&lt;=12)</formula>
    </cfRule>
    <cfRule type="expression" dxfId="82" priority="641">
      <formula>L30&gt;12</formula>
    </cfRule>
    <cfRule type="expression" dxfId="81" priority="642">
      <formula>AND(L30&gt;0,L30&lt;6)</formula>
    </cfRule>
  </conditionalFormatting>
  <conditionalFormatting sqref="M30">
    <cfRule type="expression" dxfId="80" priority="643">
      <formula>AND(M30&gt;6,M30&lt;=12)</formula>
    </cfRule>
    <cfRule type="expression" dxfId="79" priority="644">
      <formula>M30&gt;12</formula>
    </cfRule>
    <cfRule type="expression" dxfId="78" priority="645">
      <formula>AND(M30&gt;0,M30&lt;6)</formula>
    </cfRule>
  </conditionalFormatting>
  <conditionalFormatting sqref="N30">
    <cfRule type="expression" dxfId="77" priority="646">
      <formula>AND(N30&gt;6,N30&lt;=12)</formula>
    </cfRule>
    <cfRule type="expression" dxfId="76" priority="647">
      <formula>N30&gt;12</formula>
    </cfRule>
    <cfRule type="expression" dxfId="75" priority="648">
      <formula>AND(N30&gt;0,N30&lt;6)</formula>
    </cfRule>
  </conditionalFormatting>
  <conditionalFormatting sqref="C32">
    <cfRule type="expression" dxfId="74" priority="649">
      <formula>AND(C32&gt;4,C32&lt;=8)</formula>
    </cfRule>
    <cfRule type="expression" dxfId="73" priority="650">
      <formula>C32&gt;8</formula>
    </cfRule>
    <cfRule type="expression" dxfId="72" priority="651">
      <formula>AND(C32&gt;0,C32&lt;4)</formula>
    </cfRule>
  </conditionalFormatting>
  <conditionalFormatting sqref="D32">
    <cfRule type="expression" dxfId="71" priority="652">
      <formula>AND(D32&gt;4,D32&lt;=8)</formula>
    </cfRule>
    <cfRule type="expression" dxfId="70" priority="653">
      <formula>D32&gt;8</formula>
    </cfRule>
    <cfRule type="expression" dxfId="69" priority="654">
      <formula>AND(D32&gt;0,D32&lt;4)</formula>
    </cfRule>
  </conditionalFormatting>
  <conditionalFormatting sqref="E32">
    <cfRule type="expression" dxfId="68" priority="655">
      <formula>AND(E32&gt;4,E32&lt;=8)</formula>
    </cfRule>
    <cfRule type="expression" dxfId="67" priority="656">
      <formula>E32&gt;8</formula>
    </cfRule>
    <cfRule type="expression" dxfId="66" priority="657">
      <formula>AND(E32&gt;0,E32&lt;4)</formula>
    </cfRule>
  </conditionalFormatting>
  <conditionalFormatting sqref="F32">
    <cfRule type="expression" dxfId="65" priority="658">
      <formula>AND(F32&gt;4,F32&lt;=8)</formula>
    </cfRule>
    <cfRule type="expression" dxfId="64" priority="659">
      <formula>F32&gt;8</formula>
    </cfRule>
    <cfRule type="expression" dxfId="63" priority="660">
      <formula>AND(F32&gt;0,F32&lt;4)</formula>
    </cfRule>
  </conditionalFormatting>
  <conditionalFormatting sqref="G32">
    <cfRule type="expression" dxfId="62" priority="661">
      <formula>AND(G32&gt;4,G32&lt;=8)</formula>
    </cfRule>
    <cfRule type="expression" dxfId="61" priority="662">
      <formula>G32&gt;8</formula>
    </cfRule>
    <cfRule type="expression" dxfId="60" priority="663">
      <formula>AND(G32&gt;0,G32&lt;4)</formula>
    </cfRule>
  </conditionalFormatting>
  <conditionalFormatting sqref="H32">
    <cfRule type="expression" dxfId="59" priority="664">
      <formula>AND(H32&gt;4,H32&lt;=8)</formula>
    </cfRule>
    <cfRule type="expression" dxfId="58" priority="665">
      <formula>H32&gt;8</formula>
    </cfRule>
    <cfRule type="expression" dxfId="57" priority="666">
      <formula>AND(H32&gt;0,H32&lt;4)</formula>
    </cfRule>
  </conditionalFormatting>
  <conditionalFormatting sqref="I32">
    <cfRule type="expression" dxfId="56" priority="667">
      <formula>AND(I32&gt;4,I32&lt;=8)</formula>
    </cfRule>
    <cfRule type="expression" dxfId="55" priority="668">
      <formula>I32&gt;8</formula>
    </cfRule>
    <cfRule type="expression" dxfId="54" priority="669">
      <formula>AND(I32&gt;0,I32&lt;4)</formula>
    </cfRule>
  </conditionalFormatting>
  <conditionalFormatting sqref="J32">
    <cfRule type="expression" dxfId="53" priority="670">
      <formula>AND(J32&gt;4,J32&lt;=8)</formula>
    </cfRule>
    <cfRule type="expression" dxfId="52" priority="671">
      <formula>J32&gt;8</formula>
    </cfRule>
    <cfRule type="expression" dxfId="51" priority="672">
      <formula>AND(J32&gt;0,J32&lt;4)</formula>
    </cfRule>
  </conditionalFormatting>
  <conditionalFormatting sqref="K32">
    <cfRule type="expression" dxfId="50" priority="673">
      <formula>AND(K32&gt;4,K32&lt;=8)</formula>
    </cfRule>
    <cfRule type="expression" dxfId="49" priority="674">
      <formula>K32&gt;8</formula>
    </cfRule>
    <cfRule type="expression" dxfId="48" priority="675">
      <formula>AND(K32&gt;0,K32&lt;4)</formula>
    </cfRule>
  </conditionalFormatting>
  <conditionalFormatting sqref="L32">
    <cfRule type="expression" dxfId="47" priority="676">
      <formula>AND(L32&gt;4,L32&lt;=8)</formula>
    </cfRule>
    <cfRule type="expression" dxfId="46" priority="677">
      <formula>L32&gt;8</formula>
    </cfRule>
    <cfRule type="expression" dxfId="45" priority="678">
      <formula>AND(L32&gt;0,L32&lt;4)</formula>
    </cfRule>
  </conditionalFormatting>
  <conditionalFormatting sqref="M32">
    <cfRule type="expression" dxfId="44" priority="679">
      <formula>AND(M32&gt;4,M32&lt;=8)</formula>
    </cfRule>
    <cfRule type="expression" dxfId="43" priority="680">
      <formula>M32&gt;8</formula>
    </cfRule>
    <cfRule type="expression" dxfId="42" priority="681">
      <formula>AND(M32&gt;0,M32&lt;4)</formula>
    </cfRule>
  </conditionalFormatting>
  <conditionalFormatting sqref="N32">
    <cfRule type="expression" dxfId="41" priority="682">
      <formula>AND(N32&gt;4,N32&lt;=8)</formula>
    </cfRule>
    <cfRule type="expression" dxfId="40" priority="683">
      <formula>N32&gt;8</formula>
    </cfRule>
    <cfRule type="expression" dxfId="39" priority="684">
      <formula>AND(N32&gt;0,N32&lt;4)</formula>
    </cfRule>
  </conditionalFormatting>
  <conditionalFormatting sqref="C34">
    <cfRule type="expression" dxfId="38" priority="685">
      <formula>AND(C34&gt;6,C34&lt;=12)</formula>
    </cfRule>
    <cfRule type="expression" dxfId="37" priority="686">
      <formula>C34&gt;12</formula>
    </cfRule>
    <cfRule type="expression" dxfId="36" priority="687">
      <formula>AND(C34&gt;0,C34&lt;6)</formula>
    </cfRule>
  </conditionalFormatting>
  <conditionalFormatting sqref="D34">
    <cfRule type="expression" dxfId="35" priority="688">
      <formula>AND(D34&gt;6,D34&lt;=12)</formula>
    </cfRule>
    <cfRule type="expression" dxfId="34" priority="689">
      <formula>D34&gt;12</formula>
    </cfRule>
    <cfRule type="expression" dxfId="33" priority="690">
      <formula>AND(D34&gt;0,D34&lt;6)</formula>
    </cfRule>
  </conditionalFormatting>
  <conditionalFormatting sqref="E34">
    <cfRule type="expression" dxfId="32" priority="691">
      <formula>AND(E34&gt;6,E34&lt;=12)</formula>
    </cfRule>
    <cfRule type="expression" dxfId="31" priority="692">
      <formula>E34&gt;12</formula>
    </cfRule>
    <cfRule type="expression" dxfId="30" priority="693">
      <formula>AND(E34&gt;0,E34&lt;6)</formula>
    </cfRule>
  </conditionalFormatting>
  <conditionalFormatting sqref="F34">
    <cfRule type="expression" dxfId="29" priority="694">
      <formula>AND(F34&gt;6,F34&lt;=12)</formula>
    </cfRule>
    <cfRule type="expression" dxfId="28" priority="695">
      <formula>F34&gt;12</formula>
    </cfRule>
    <cfRule type="expression" dxfId="27" priority="696">
      <formula>AND(F34&gt;0,F34&lt;6)</formula>
    </cfRule>
  </conditionalFormatting>
  <conditionalFormatting sqref="G34">
    <cfRule type="expression" dxfId="26" priority="697">
      <formula>AND(G34&gt;6,G34&lt;=12)</formula>
    </cfRule>
    <cfRule type="expression" dxfId="25" priority="698">
      <formula>G34&gt;12</formula>
    </cfRule>
    <cfRule type="expression" dxfId="24" priority="699">
      <formula>AND(G34&gt;0,G34&lt;6)</formula>
    </cfRule>
  </conditionalFormatting>
  <conditionalFormatting sqref="H34">
    <cfRule type="expression" dxfId="23" priority="700">
      <formula>AND(H34&gt;6,H34&lt;=12)</formula>
    </cfRule>
    <cfRule type="expression" dxfId="22" priority="701">
      <formula>H34&gt;12</formula>
    </cfRule>
    <cfRule type="expression" dxfId="21" priority="702">
      <formula>AND(H34&gt;0,H34&lt;6)</formula>
    </cfRule>
  </conditionalFormatting>
  <conditionalFormatting sqref="I34">
    <cfRule type="expression" dxfId="20" priority="703">
      <formula>AND(I34&gt;6,I34&lt;=12)</formula>
    </cfRule>
    <cfRule type="expression" dxfId="19" priority="704">
      <formula>I34&gt;12</formula>
    </cfRule>
    <cfRule type="expression" dxfId="18" priority="705">
      <formula>AND(I34&gt;0,I34&lt;6)</formula>
    </cfRule>
  </conditionalFormatting>
  <conditionalFormatting sqref="J34">
    <cfRule type="expression" dxfId="17" priority="706">
      <formula>AND(J34&gt;6,J34&lt;=12)</formula>
    </cfRule>
    <cfRule type="expression" dxfId="16" priority="707">
      <formula>J34&gt;12</formula>
    </cfRule>
    <cfRule type="expression" dxfId="15" priority="708">
      <formula>AND(J34&gt;0,J34&lt;6)</formula>
    </cfRule>
  </conditionalFormatting>
  <conditionalFormatting sqref="K34">
    <cfRule type="expression" dxfId="14" priority="709">
      <formula>AND(K34&gt;6,K34&lt;=12)</formula>
    </cfRule>
    <cfRule type="expression" dxfId="13" priority="710">
      <formula>K34&gt;12</formula>
    </cfRule>
    <cfRule type="expression" dxfId="12" priority="711">
      <formula>AND(K34&gt;0,K34&lt;6)</formula>
    </cfRule>
  </conditionalFormatting>
  <conditionalFormatting sqref="L34">
    <cfRule type="expression" dxfId="11" priority="712">
      <formula>AND(L34&gt;6,L34&lt;=12)</formula>
    </cfRule>
    <cfRule type="expression" dxfId="10" priority="713">
      <formula>L34&gt;12</formula>
    </cfRule>
    <cfRule type="expression" dxfId="9" priority="714">
      <formula>AND(L34&gt;0,L34&lt;6)</formula>
    </cfRule>
  </conditionalFormatting>
  <conditionalFormatting sqref="M34">
    <cfRule type="expression" dxfId="8" priority="715">
      <formula>AND(M34&gt;6,M34&lt;=12)</formula>
    </cfRule>
    <cfRule type="expression" dxfId="7" priority="716">
      <formula>M34&gt;12</formula>
    </cfRule>
    <cfRule type="expression" dxfId="6" priority="717">
      <formula>AND(M34&gt;0,M34&lt;6)</formula>
    </cfRule>
  </conditionalFormatting>
  <conditionalFormatting sqref="N34">
    <cfRule type="expression" dxfId="5" priority="718">
      <formula>AND(N34&gt;6,N34&lt;=12)</formula>
    </cfRule>
    <cfRule type="expression" dxfId="4" priority="719">
      <formula>N34&gt;12</formula>
    </cfRule>
    <cfRule type="expression" dxfId="3" priority="720">
      <formula>AND(N34&gt;0,N34&lt;6)</formula>
    </cfRule>
  </conditionalFormatting>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6B6B"/>
  </sheetPr>
  <dimension ref="A1:M779"/>
  <sheetViews>
    <sheetView showGridLines="0" workbookViewId="0">
      <selection activeCell="I16" sqref="I16"/>
    </sheetView>
  </sheetViews>
  <sheetFormatPr defaultColWidth="8.85546875" defaultRowHeight="15"/>
  <cols>
    <col min="1" max="1" width="26" style="68" customWidth="1"/>
    <col min="2" max="2" width="14" style="68" customWidth="1"/>
    <col min="3" max="4" width="10" style="68" customWidth="1"/>
    <col min="5" max="5" width="12" style="68" customWidth="1"/>
    <col min="6" max="6" width="14" style="68" customWidth="1"/>
    <col min="7" max="7" width="10" style="68" customWidth="1"/>
    <col min="8" max="8" width="12" style="68" customWidth="1"/>
    <col min="9" max="9" width="14" style="68" customWidth="1"/>
    <col min="10" max="13" width="12" style="68" customWidth="1"/>
  </cols>
  <sheetData>
    <row r="1" spans="1:13" ht="36" customHeight="1">
      <c r="A1" s="98" t="s">
        <v>332</v>
      </c>
      <c r="B1" s="78"/>
      <c r="C1" s="78"/>
      <c r="D1" s="78"/>
      <c r="E1" s="78"/>
      <c r="F1" s="78"/>
      <c r="G1" s="78"/>
      <c r="H1" s="78"/>
      <c r="I1" s="78"/>
      <c r="J1" s="78"/>
      <c r="K1" s="78"/>
      <c r="L1" s="78"/>
      <c r="M1" s="79"/>
    </row>
    <row r="2" spans="1:13">
      <c r="A2" s="94" t="s">
        <v>333</v>
      </c>
      <c r="B2" s="78"/>
      <c r="C2" s="78"/>
      <c r="D2" s="78"/>
      <c r="E2" s="78"/>
      <c r="F2" s="78"/>
      <c r="G2" s="79"/>
      <c r="H2" s="69"/>
      <c r="I2" s="69"/>
      <c r="J2" s="69"/>
      <c r="K2" s="69"/>
      <c r="L2" s="69"/>
      <c r="M2" s="69"/>
    </row>
    <row r="22" spans="1:6">
      <c r="A22" s="94" t="s">
        <v>334</v>
      </c>
      <c r="B22" s="78"/>
      <c r="C22" s="78"/>
      <c r="D22" s="78"/>
      <c r="E22" s="78"/>
      <c r="F22" s="79"/>
    </row>
    <row r="23" spans="1:6">
      <c r="A23" s="31" t="s">
        <v>267</v>
      </c>
      <c r="B23" s="31" t="s">
        <v>2</v>
      </c>
      <c r="C23" s="31" t="s">
        <v>3</v>
      </c>
      <c r="D23" s="31" t="s">
        <v>287</v>
      </c>
      <c r="E23" s="31" t="s">
        <v>292</v>
      </c>
      <c r="F23" s="31" t="s">
        <v>294</v>
      </c>
    </row>
    <row r="24" spans="1:6" ht="15" customHeight="1">
      <c r="A24" s="37" t="str">
        <f>SUGERENCIAS!B4</f>
        <v>LUNES</v>
      </c>
      <c r="B24" s="44" t="str">
        <f>SUGERENCIAS!G4</f>
        <v/>
      </c>
      <c r="C24" s="37" t="str">
        <f>SUGERENCIAS!G4</f>
        <v/>
      </c>
      <c r="D24" s="65" t="str">
        <f>SUGERENCIAS!G4</f>
        <v/>
      </c>
      <c r="E24" s="66" t="str">
        <f>SUGERENCIAS!L4</f>
        <v>--</v>
      </c>
      <c r="F24" s="67" t="str">
        <f>SUGERENCIAS!N4</f>
        <v>SIN</v>
      </c>
    </row>
    <row r="25" spans="1:6" ht="15" customHeight="1">
      <c r="A25" s="37" t="str">
        <f>SUGERENCIAS!B5</f>
        <v>LUNES</v>
      </c>
      <c r="B25" s="44" t="str">
        <f>SUGERENCIAS!G5</f>
        <v/>
      </c>
      <c r="C25" s="37" t="str">
        <f>SUGERENCIAS!G5</f>
        <v/>
      </c>
      <c r="D25" s="65" t="str">
        <f>SUGERENCIAS!G5</f>
        <v/>
      </c>
      <c r="E25" s="66" t="str">
        <f>SUGERENCIAS!L5</f>
        <v>--</v>
      </c>
      <c r="F25" s="67" t="str">
        <f>SUGERENCIAS!N5</f>
        <v>SIN</v>
      </c>
    </row>
    <row r="26" spans="1:6" ht="15" customHeight="1">
      <c r="A26" s="37" t="str">
        <f>SUGERENCIAS!B6</f>
        <v>LUNES</v>
      </c>
      <c r="B26" s="44" t="str">
        <f>SUGERENCIAS!G6</f>
        <v/>
      </c>
      <c r="C26" s="37" t="str">
        <f>SUGERENCIAS!G6</f>
        <v/>
      </c>
      <c r="D26" s="65" t="str">
        <f>SUGERENCIAS!G6</f>
        <v/>
      </c>
      <c r="E26" s="66" t="str">
        <f>SUGERENCIAS!L6</f>
        <v>--</v>
      </c>
      <c r="F26" s="67" t="str">
        <f>SUGERENCIAS!N6</f>
        <v>SIN</v>
      </c>
    </row>
    <row r="27" spans="1:6" ht="15" customHeight="1">
      <c r="A27" s="37" t="str">
        <f>SUGERENCIAS!B7</f>
        <v>LUNES</v>
      </c>
      <c r="B27" s="44" t="str">
        <f>SUGERENCIAS!G7</f>
        <v/>
      </c>
      <c r="C27" s="37" t="str">
        <f>SUGERENCIAS!G7</f>
        <v/>
      </c>
      <c r="D27" s="65" t="str">
        <f>SUGERENCIAS!G7</f>
        <v/>
      </c>
      <c r="E27" s="66" t="str">
        <f>SUGERENCIAS!L7</f>
        <v>--</v>
      </c>
      <c r="F27" s="67" t="str">
        <f>SUGERENCIAS!N7</f>
        <v>SIN</v>
      </c>
    </row>
    <row r="28" spans="1:6" ht="15" customHeight="1">
      <c r="A28" s="37" t="str">
        <f>SUGERENCIAS!B8</f>
        <v>LUNES</v>
      </c>
      <c r="B28" s="44" t="str">
        <f>SUGERENCIAS!G8</f>
        <v/>
      </c>
      <c r="C28" s="37" t="str">
        <f>SUGERENCIAS!G8</f>
        <v/>
      </c>
      <c r="D28" s="65" t="str">
        <f>SUGERENCIAS!G8</f>
        <v/>
      </c>
      <c r="E28" s="66" t="str">
        <f>SUGERENCIAS!L8</f>
        <v>--</v>
      </c>
      <c r="F28" s="67" t="str">
        <f>SUGERENCIAS!N8</f>
        <v>SIN</v>
      </c>
    </row>
    <row r="29" spans="1:6" ht="15" customHeight="1">
      <c r="A29" s="37" t="str">
        <f>SUGERENCIAS!B9</f>
        <v>LUNES</v>
      </c>
      <c r="B29" s="44" t="str">
        <f>SUGERENCIAS!G9</f>
        <v/>
      </c>
      <c r="C29" s="37" t="str">
        <f>SUGERENCIAS!G9</f>
        <v/>
      </c>
      <c r="D29" s="65" t="str">
        <f>SUGERENCIAS!G9</f>
        <v/>
      </c>
      <c r="E29" s="66" t="str">
        <f>SUGERENCIAS!L9</f>
        <v>--</v>
      </c>
      <c r="F29" s="67" t="str">
        <f>SUGERENCIAS!N9</f>
        <v>SIN</v>
      </c>
    </row>
    <row r="30" spans="1:6" ht="15" customHeight="1">
      <c r="A30" s="37" t="str">
        <f>SUGERENCIAS!B10</f>
        <v>LUNES</v>
      </c>
      <c r="B30" s="44" t="str">
        <f>SUGERENCIAS!G10</f>
        <v/>
      </c>
      <c r="C30" s="37" t="str">
        <f>SUGERENCIAS!G10</f>
        <v/>
      </c>
      <c r="D30" s="65" t="str">
        <f>SUGERENCIAS!G10</f>
        <v/>
      </c>
      <c r="E30" s="66" t="str">
        <f>SUGERENCIAS!L10</f>
        <v>--</v>
      </c>
      <c r="F30" s="67" t="str">
        <f>SUGERENCIAS!N10</f>
        <v>SIN</v>
      </c>
    </row>
    <row r="31" spans="1:6" ht="15" customHeight="1">
      <c r="A31" s="37" t="str">
        <f>SUGERENCIAS!B11</f>
        <v>LUNES</v>
      </c>
      <c r="B31" s="44" t="str">
        <f>SUGERENCIAS!G11</f>
        <v/>
      </c>
      <c r="C31" s="37" t="str">
        <f>SUGERENCIAS!G11</f>
        <v/>
      </c>
      <c r="D31" s="65" t="str">
        <f>SUGERENCIAS!G11</f>
        <v/>
      </c>
      <c r="E31" s="66" t="str">
        <f>SUGERENCIAS!L11</f>
        <v>--</v>
      </c>
      <c r="F31" s="67" t="str">
        <f>SUGERENCIAS!N11</f>
        <v>SIN</v>
      </c>
    </row>
    <row r="32" spans="1:6" ht="15" customHeight="1">
      <c r="A32" s="37" t="str">
        <f>SUGERENCIAS!B12</f>
        <v>LUNES</v>
      </c>
      <c r="B32" s="44" t="str">
        <f>SUGERENCIAS!G12</f>
        <v/>
      </c>
      <c r="C32" s="37" t="str">
        <f>SUGERENCIAS!G12</f>
        <v/>
      </c>
      <c r="D32" s="65" t="str">
        <f>SUGERENCIAS!G12</f>
        <v/>
      </c>
      <c r="E32" s="66" t="str">
        <f>SUGERENCIAS!L12</f>
        <v>--</v>
      </c>
      <c r="F32" s="67" t="str">
        <f>SUGERENCIAS!N12</f>
        <v>SIN</v>
      </c>
    </row>
    <row r="33" spans="1:6" ht="15" customHeight="1">
      <c r="A33" s="37" t="str">
        <f>SUGERENCIAS!B13</f>
        <v>LUNES</v>
      </c>
      <c r="B33" s="44" t="str">
        <f>SUGERENCIAS!G13</f>
        <v/>
      </c>
      <c r="C33" s="37" t="str">
        <f>SUGERENCIAS!G13</f>
        <v/>
      </c>
      <c r="D33" s="65" t="str">
        <f>SUGERENCIAS!G13</f>
        <v/>
      </c>
      <c r="E33" s="66" t="str">
        <f>SUGERENCIAS!L13</f>
        <v>--</v>
      </c>
      <c r="F33" s="67" t="str">
        <f>SUGERENCIAS!N13</f>
        <v>SIN</v>
      </c>
    </row>
    <row r="34" spans="1:6" ht="15" customHeight="1">
      <c r="A34" s="37" t="str">
        <f>SUGERENCIAS!B14</f>
        <v>LUNES</v>
      </c>
      <c r="B34" s="44" t="str">
        <f>SUGERENCIAS!G14</f>
        <v/>
      </c>
      <c r="C34" s="37" t="str">
        <f>SUGERENCIAS!G14</f>
        <v/>
      </c>
      <c r="D34" s="65" t="str">
        <f>SUGERENCIAS!G14</f>
        <v/>
      </c>
      <c r="E34" s="66" t="str">
        <f>SUGERENCIAS!L14</f>
        <v>--</v>
      </c>
      <c r="F34" s="67" t="str">
        <f>SUGERENCIAS!N14</f>
        <v>SIN</v>
      </c>
    </row>
    <row r="35" spans="1:6" ht="15" customHeight="1">
      <c r="A35" s="37" t="str">
        <f>SUGERENCIAS!B15</f>
        <v>MARTES</v>
      </c>
      <c r="B35" s="44" t="str">
        <f>SUGERENCIAS!G15</f>
        <v/>
      </c>
      <c r="C35" s="37" t="str">
        <f>SUGERENCIAS!G15</f>
        <v/>
      </c>
      <c r="D35" s="65" t="str">
        <f>SUGERENCIAS!G15</f>
        <v/>
      </c>
      <c r="E35" s="66" t="str">
        <f>SUGERENCIAS!L15</f>
        <v>--</v>
      </c>
      <c r="F35" s="67" t="str">
        <f>SUGERENCIAS!N15</f>
        <v>SIN</v>
      </c>
    </row>
    <row r="36" spans="1:6" ht="15" customHeight="1">
      <c r="A36" s="37" t="str">
        <f>SUGERENCIAS!B16</f>
        <v>MARTES</v>
      </c>
      <c r="B36" s="44" t="str">
        <f>SUGERENCIAS!G16</f>
        <v/>
      </c>
      <c r="C36" s="37" t="str">
        <f>SUGERENCIAS!G16</f>
        <v/>
      </c>
      <c r="D36" s="65" t="str">
        <f>SUGERENCIAS!G16</f>
        <v/>
      </c>
      <c r="E36" s="66" t="str">
        <f>SUGERENCIAS!L16</f>
        <v>--</v>
      </c>
      <c r="F36" s="67" t="str">
        <f>SUGERENCIAS!N16</f>
        <v>SIN</v>
      </c>
    </row>
    <row r="37" spans="1:6" ht="15" customHeight="1">
      <c r="A37" s="37" t="str">
        <f>SUGERENCIAS!B17</f>
        <v>MARTES</v>
      </c>
      <c r="B37" s="44" t="str">
        <f>SUGERENCIAS!G17</f>
        <v/>
      </c>
      <c r="C37" s="37" t="str">
        <f>SUGERENCIAS!G17</f>
        <v/>
      </c>
      <c r="D37" s="65" t="str">
        <f>SUGERENCIAS!G17</f>
        <v/>
      </c>
      <c r="E37" s="66" t="str">
        <f>SUGERENCIAS!L17</f>
        <v>--</v>
      </c>
      <c r="F37" s="67" t="str">
        <f>SUGERENCIAS!N17</f>
        <v>SIN</v>
      </c>
    </row>
    <row r="38" spans="1:6" ht="15" customHeight="1">
      <c r="A38" s="37" t="str">
        <f>SUGERENCIAS!B18</f>
        <v>MARTES</v>
      </c>
      <c r="B38" s="44" t="str">
        <f>SUGERENCIAS!G18</f>
        <v/>
      </c>
      <c r="C38" s="37" t="str">
        <f>SUGERENCIAS!G18</f>
        <v/>
      </c>
      <c r="D38" s="65" t="str">
        <f>SUGERENCIAS!G18</f>
        <v/>
      </c>
      <c r="E38" s="66" t="str">
        <f>SUGERENCIAS!L18</f>
        <v>--</v>
      </c>
      <c r="F38" s="67" t="str">
        <f>SUGERENCIAS!N18</f>
        <v>SIN</v>
      </c>
    </row>
    <row r="39" spans="1:6" ht="15" customHeight="1">
      <c r="A39" s="37" t="str">
        <f>SUGERENCIAS!B19</f>
        <v>MARTES</v>
      </c>
      <c r="B39" s="44" t="str">
        <f>SUGERENCIAS!G19</f>
        <v/>
      </c>
      <c r="C39" s="37" t="str">
        <f>SUGERENCIAS!G19</f>
        <v/>
      </c>
      <c r="D39" s="65" t="str">
        <f>SUGERENCIAS!G19</f>
        <v/>
      </c>
      <c r="E39" s="66" t="str">
        <f>SUGERENCIAS!L19</f>
        <v>--</v>
      </c>
      <c r="F39" s="67" t="str">
        <f>SUGERENCIAS!N19</f>
        <v>SIN</v>
      </c>
    </row>
    <row r="40" spans="1:6" ht="15" customHeight="1">
      <c r="A40" s="37" t="str">
        <f>SUGERENCIAS!B20</f>
        <v>MARTES</v>
      </c>
      <c r="B40" s="44" t="str">
        <f>SUGERENCIAS!G20</f>
        <v/>
      </c>
      <c r="C40" s="37" t="str">
        <f>SUGERENCIAS!G20</f>
        <v/>
      </c>
      <c r="D40" s="65" t="str">
        <f>SUGERENCIAS!G20</f>
        <v/>
      </c>
      <c r="E40" s="66" t="str">
        <f>SUGERENCIAS!L20</f>
        <v>--</v>
      </c>
      <c r="F40" s="67" t="str">
        <f>SUGERENCIAS!N20</f>
        <v>SIN</v>
      </c>
    </row>
    <row r="41" spans="1:6" ht="15" customHeight="1">
      <c r="A41" s="37" t="str">
        <f>SUGERENCIAS!B21</f>
        <v>MARTES</v>
      </c>
      <c r="B41" s="44" t="str">
        <f>SUGERENCIAS!G21</f>
        <v/>
      </c>
      <c r="C41" s="37" t="str">
        <f>SUGERENCIAS!G21</f>
        <v/>
      </c>
      <c r="D41" s="65" t="str">
        <f>SUGERENCIAS!G21</f>
        <v/>
      </c>
      <c r="E41" s="66" t="str">
        <f>SUGERENCIAS!L21</f>
        <v>--</v>
      </c>
      <c r="F41" s="67" t="str">
        <f>SUGERENCIAS!N21</f>
        <v>SIN</v>
      </c>
    </row>
    <row r="42" spans="1:6" ht="15" customHeight="1">
      <c r="A42" s="37" t="str">
        <f>SUGERENCIAS!B22</f>
        <v>MARTES</v>
      </c>
      <c r="B42" s="44" t="str">
        <f>SUGERENCIAS!G22</f>
        <v/>
      </c>
      <c r="C42" s="37" t="str">
        <f>SUGERENCIAS!G22</f>
        <v/>
      </c>
      <c r="D42" s="65" t="str">
        <f>SUGERENCIAS!G22</f>
        <v/>
      </c>
      <c r="E42" s="66" t="str">
        <f>SUGERENCIAS!L22</f>
        <v>--</v>
      </c>
      <c r="F42" s="67" t="str">
        <f>SUGERENCIAS!N22</f>
        <v>SIN</v>
      </c>
    </row>
    <row r="43" spans="1:6" ht="15" customHeight="1">
      <c r="A43" s="37" t="str">
        <f>SUGERENCIAS!B23</f>
        <v>MARTES</v>
      </c>
      <c r="B43" s="44" t="str">
        <f>SUGERENCIAS!G23</f>
        <v/>
      </c>
      <c r="C43" s="37" t="str">
        <f>SUGERENCIAS!G23</f>
        <v/>
      </c>
      <c r="D43" s="65" t="str">
        <f>SUGERENCIAS!G23</f>
        <v/>
      </c>
      <c r="E43" s="66" t="str">
        <f>SUGERENCIAS!L23</f>
        <v>--</v>
      </c>
      <c r="F43" s="67" t="str">
        <f>SUGERENCIAS!N23</f>
        <v>SIN</v>
      </c>
    </row>
    <row r="44" spans="1:6" ht="15" customHeight="1">
      <c r="A44" s="37" t="str">
        <f>SUGERENCIAS!B24</f>
        <v>MARTES</v>
      </c>
      <c r="B44" s="44" t="str">
        <f>SUGERENCIAS!G24</f>
        <v/>
      </c>
      <c r="C44" s="37" t="str">
        <f>SUGERENCIAS!G24</f>
        <v/>
      </c>
      <c r="D44" s="65" t="str">
        <f>SUGERENCIAS!G24</f>
        <v/>
      </c>
      <c r="E44" s="66" t="str">
        <f>SUGERENCIAS!L24</f>
        <v>--</v>
      </c>
      <c r="F44" s="67" t="str">
        <f>SUGERENCIAS!N24</f>
        <v>SIN</v>
      </c>
    </row>
    <row r="45" spans="1:6" ht="15" customHeight="1">
      <c r="A45" s="37" t="str">
        <f>SUGERENCIAS!B25</f>
        <v>MARTES</v>
      </c>
      <c r="B45" s="44" t="str">
        <f>SUGERENCIAS!G25</f>
        <v/>
      </c>
      <c r="C45" s="37" t="str">
        <f>SUGERENCIAS!G25</f>
        <v/>
      </c>
      <c r="D45" s="65" t="str">
        <f>SUGERENCIAS!G25</f>
        <v/>
      </c>
      <c r="E45" s="66" t="str">
        <f>SUGERENCIAS!L25</f>
        <v>--</v>
      </c>
      <c r="F45" s="67" t="str">
        <f>SUGERENCIAS!N25</f>
        <v>SIN</v>
      </c>
    </row>
    <row r="46" spans="1:6" ht="15" customHeight="1">
      <c r="A46" s="37" t="str">
        <f>SUGERENCIAS!B26</f>
        <v>MIERCOLES</v>
      </c>
      <c r="B46" s="44" t="str">
        <f>SUGERENCIAS!G26</f>
        <v/>
      </c>
      <c r="C46" s="37" t="str">
        <f>SUGERENCIAS!G26</f>
        <v/>
      </c>
      <c r="D46" s="65" t="str">
        <f>SUGERENCIAS!G26</f>
        <v/>
      </c>
      <c r="E46" s="66" t="str">
        <f>SUGERENCIAS!L26</f>
        <v>--</v>
      </c>
      <c r="F46" s="67" t="str">
        <f>SUGERENCIAS!N26</f>
        <v>SIN</v>
      </c>
    </row>
    <row r="47" spans="1:6" ht="15" customHeight="1">
      <c r="A47" s="37" t="str">
        <f>SUGERENCIAS!B27</f>
        <v>MIERCOLES</v>
      </c>
      <c r="B47" s="44" t="str">
        <f>SUGERENCIAS!G27</f>
        <v/>
      </c>
      <c r="C47" s="37" t="str">
        <f>SUGERENCIAS!G27</f>
        <v/>
      </c>
      <c r="D47" s="65" t="str">
        <f>SUGERENCIAS!G27</f>
        <v/>
      </c>
      <c r="E47" s="66" t="str">
        <f>SUGERENCIAS!L27</f>
        <v>--</v>
      </c>
      <c r="F47" s="67" t="str">
        <f>SUGERENCIAS!N27</f>
        <v>SIN</v>
      </c>
    </row>
    <row r="48" spans="1:6" ht="15" customHeight="1">
      <c r="A48" s="37" t="str">
        <f>SUGERENCIAS!B28</f>
        <v>MIERCOLES</v>
      </c>
      <c r="B48" s="44" t="str">
        <f>SUGERENCIAS!G28</f>
        <v/>
      </c>
      <c r="C48" s="37" t="str">
        <f>SUGERENCIAS!G28</f>
        <v/>
      </c>
      <c r="D48" s="65" t="str">
        <f>SUGERENCIAS!G28</f>
        <v/>
      </c>
      <c r="E48" s="66" t="str">
        <f>SUGERENCIAS!L28</f>
        <v>--</v>
      </c>
      <c r="F48" s="67" t="str">
        <f>SUGERENCIAS!N28</f>
        <v>SIN</v>
      </c>
    </row>
    <row r="49" spans="1:6" ht="15" customHeight="1">
      <c r="A49" s="37" t="str">
        <f>SUGERENCIAS!B29</f>
        <v>MIERCOLES</v>
      </c>
      <c r="B49" s="44" t="str">
        <f>SUGERENCIAS!G29</f>
        <v/>
      </c>
      <c r="C49" s="37" t="str">
        <f>SUGERENCIAS!G29</f>
        <v/>
      </c>
      <c r="D49" s="65" t="str">
        <f>SUGERENCIAS!G29</f>
        <v/>
      </c>
      <c r="E49" s="66" t="str">
        <f>SUGERENCIAS!L29</f>
        <v>--</v>
      </c>
      <c r="F49" s="67" t="str">
        <f>SUGERENCIAS!N29</f>
        <v>SIN</v>
      </c>
    </row>
    <row r="50" spans="1:6" ht="15" customHeight="1">
      <c r="A50" s="37" t="str">
        <f>SUGERENCIAS!B30</f>
        <v>MIERCOLES</v>
      </c>
      <c r="B50" s="44" t="str">
        <f>SUGERENCIAS!G30</f>
        <v/>
      </c>
      <c r="C50" s="37" t="str">
        <f>SUGERENCIAS!G30</f>
        <v/>
      </c>
      <c r="D50" s="65" t="str">
        <f>SUGERENCIAS!G30</f>
        <v/>
      </c>
      <c r="E50" s="66" t="str">
        <f>SUGERENCIAS!L30</f>
        <v>--</v>
      </c>
      <c r="F50" s="67" t="str">
        <f>SUGERENCIAS!N30</f>
        <v>SIN</v>
      </c>
    </row>
    <row r="51" spans="1:6" ht="15" customHeight="1">
      <c r="A51" s="37" t="str">
        <f>SUGERENCIAS!B31</f>
        <v>MIERCOLES</v>
      </c>
      <c r="B51" s="44" t="str">
        <f>SUGERENCIAS!G31</f>
        <v/>
      </c>
      <c r="C51" s="37" t="str">
        <f>SUGERENCIAS!G31</f>
        <v/>
      </c>
      <c r="D51" s="65" t="str">
        <f>SUGERENCIAS!G31</f>
        <v/>
      </c>
      <c r="E51" s="66" t="str">
        <f>SUGERENCIAS!L31</f>
        <v>--</v>
      </c>
      <c r="F51" s="67" t="str">
        <f>SUGERENCIAS!N31</f>
        <v>SIN</v>
      </c>
    </row>
    <row r="52" spans="1:6" ht="15" customHeight="1">
      <c r="A52" s="37" t="str">
        <f>SUGERENCIAS!B32</f>
        <v>MIERCOLES</v>
      </c>
      <c r="B52" s="44" t="str">
        <f>SUGERENCIAS!G32</f>
        <v/>
      </c>
      <c r="C52" s="37" t="str">
        <f>SUGERENCIAS!G32</f>
        <v/>
      </c>
      <c r="D52" s="65" t="str">
        <f>SUGERENCIAS!G32</f>
        <v/>
      </c>
      <c r="E52" s="66" t="str">
        <f>SUGERENCIAS!L32</f>
        <v>--</v>
      </c>
      <c r="F52" s="67" t="str">
        <f>SUGERENCIAS!N32</f>
        <v>SIN</v>
      </c>
    </row>
    <row r="53" spans="1:6" ht="15" customHeight="1">
      <c r="A53" s="37" t="str">
        <f>SUGERENCIAS!B33</f>
        <v>MIERCOLES</v>
      </c>
      <c r="B53" s="44" t="str">
        <f>SUGERENCIAS!G33</f>
        <v/>
      </c>
      <c r="C53" s="37" t="str">
        <f>SUGERENCIAS!G33</f>
        <v/>
      </c>
      <c r="D53" s="65" t="str">
        <f>SUGERENCIAS!G33</f>
        <v/>
      </c>
      <c r="E53" s="66" t="str">
        <f>SUGERENCIAS!L33</f>
        <v>--</v>
      </c>
      <c r="F53" s="67" t="str">
        <f>SUGERENCIAS!N33</f>
        <v>SIN</v>
      </c>
    </row>
    <row r="54" spans="1:6" ht="15" customHeight="1">
      <c r="A54" s="37" t="str">
        <f>SUGERENCIAS!B34</f>
        <v>MIERCOLES</v>
      </c>
      <c r="B54" s="44" t="str">
        <f>SUGERENCIAS!G34</f>
        <v/>
      </c>
      <c r="C54" s="37" t="str">
        <f>SUGERENCIAS!G34</f>
        <v/>
      </c>
      <c r="D54" s="65" t="str">
        <f>SUGERENCIAS!G34</f>
        <v/>
      </c>
      <c r="E54" s="66" t="str">
        <f>SUGERENCIAS!L34</f>
        <v>--</v>
      </c>
      <c r="F54" s="67" t="str">
        <f>SUGERENCIAS!N34</f>
        <v>SIN</v>
      </c>
    </row>
    <row r="55" spans="1:6" ht="15" customHeight="1">
      <c r="A55" s="37" t="str">
        <f>SUGERENCIAS!B35</f>
        <v>MIERCOLES</v>
      </c>
      <c r="B55" s="44" t="str">
        <f>SUGERENCIAS!G35</f>
        <v/>
      </c>
      <c r="C55" s="37" t="str">
        <f>SUGERENCIAS!G35</f>
        <v/>
      </c>
      <c r="D55" s="65" t="str">
        <f>SUGERENCIAS!G35</f>
        <v/>
      </c>
      <c r="E55" s="66" t="str">
        <f>SUGERENCIAS!L35</f>
        <v>--</v>
      </c>
      <c r="F55" s="67" t="str">
        <f>SUGERENCIAS!N35</f>
        <v>SIN</v>
      </c>
    </row>
    <row r="56" spans="1:6" ht="15" customHeight="1">
      <c r="A56" s="37" t="str">
        <f>SUGERENCIAS!B36</f>
        <v>MIERCOLES</v>
      </c>
      <c r="B56" s="44" t="str">
        <f>SUGERENCIAS!G36</f>
        <v/>
      </c>
      <c r="C56" s="37" t="str">
        <f>SUGERENCIAS!G36</f>
        <v/>
      </c>
      <c r="D56" s="65" t="str">
        <f>SUGERENCIAS!G36</f>
        <v/>
      </c>
      <c r="E56" s="66" t="str">
        <f>SUGERENCIAS!L36</f>
        <v>--</v>
      </c>
      <c r="F56" s="67" t="str">
        <f>SUGERENCIAS!N36</f>
        <v>SIN</v>
      </c>
    </row>
    <row r="57" spans="1:6" ht="15" customHeight="1">
      <c r="A57" s="37" t="str">
        <f>SUGERENCIAS!B37</f>
        <v>MIERCOLES</v>
      </c>
      <c r="B57" s="44" t="str">
        <f>SUGERENCIAS!G37</f>
        <v/>
      </c>
      <c r="C57" s="37" t="str">
        <f>SUGERENCIAS!G37</f>
        <v/>
      </c>
      <c r="D57" s="65" t="str">
        <f>SUGERENCIAS!G37</f>
        <v/>
      </c>
      <c r="E57" s="66" t="str">
        <f>SUGERENCIAS!L37</f>
        <v>--</v>
      </c>
      <c r="F57" s="67" t="str">
        <f>SUGERENCIAS!N37</f>
        <v>SIN</v>
      </c>
    </row>
    <row r="58" spans="1:6" ht="15" customHeight="1">
      <c r="A58" s="37" t="str">
        <f>SUGERENCIAS!B38</f>
        <v>MIERCOLES</v>
      </c>
      <c r="B58" s="44" t="str">
        <f>SUGERENCIAS!G38</f>
        <v/>
      </c>
      <c r="C58" s="37" t="str">
        <f>SUGERENCIAS!G38</f>
        <v/>
      </c>
      <c r="D58" s="65" t="str">
        <f>SUGERENCIAS!G38</f>
        <v/>
      </c>
      <c r="E58" s="66" t="str">
        <f>SUGERENCIAS!L38</f>
        <v>--</v>
      </c>
      <c r="F58" s="67" t="str">
        <f>SUGERENCIAS!N38</f>
        <v>SIN</v>
      </c>
    </row>
    <row r="59" spans="1:6" ht="15" customHeight="1">
      <c r="A59" s="37" t="str">
        <f>SUGERENCIAS!B39</f>
        <v>MIERCOLES</v>
      </c>
      <c r="B59" s="44" t="str">
        <f>SUGERENCIAS!G39</f>
        <v/>
      </c>
      <c r="C59" s="37" t="str">
        <f>SUGERENCIAS!G39</f>
        <v/>
      </c>
      <c r="D59" s="65" t="str">
        <f>SUGERENCIAS!G39</f>
        <v/>
      </c>
      <c r="E59" s="66" t="str">
        <f>SUGERENCIAS!L39</f>
        <v>--</v>
      </c>
      <c r="F59" s="67" t="str">
        <f>SUGERENCIAS!N39</f>
        <v>SIN</v>
      </c>
    </row>
    <row r="60" spans="1:6" ht="15" customHeight="1">
      <c r="A60" s="37" t="str">
        <f>SUGERENCIAS!B40</f>
        <v>MIERCOLES</v>
      </c>
      <c r="B60" s="44" t="str">
        <f>SUGERENCIAS!G40</f>
        <v/>
      </c>
      <c r="C60" s="37" t="str">
        <f>SUGERENCIAS!G40</f>
        <v/>
      </c>
      <c r="D60" s="65" t="str">
        <f>SUGERENCIAS!G40</f>
        <v/>
      </c>
      <c r="E60" s="66" t="str">
        <f>SUGERENCIAS!L40</f>
        <v>--</v>
      </c>
      <c r="F60" s="67" t="str">
        <f>SUGERENCIAS!N40</f>
        <v>SIN</v>
      </c>
    </row>
    <row r="61" spans="1:6" ht="15" customHeight="1">
      <c r="A61" s="37" t="str">
        <f>SUGERENCIAS!B41</f>
        <v>JUEVES</v>
      </c>
      <c r="B61" s="44" t="str">
        <f>SUGERENCIAS!G41</f>
        <v/>
      </c>
      <c r="C61" s="37" t="str">
        <f>SUGERENCIAS!G41</f>
        <v/>
      </c>
      <c r="D61" s="65" t="str">
        <f>SUGERENCIAS!G41</f>
        <v/>
      </c>
      <c r="E61" s="66" t="str">
        <f>SUGERENCIAS!L41</f>
        <v>--</v>
      </c>
      <c r="F61" s="67" t="str">
        <f>SUGERENCIAS!N41</f>
        <v>SIN</v>
      </c>
    </row>
    <row r="62" spans="1:6" ht="15" customHeight="1">
      <c r="A62" s="37" t="str">
        <f>SUGERENCIAS!B42</f>
        <v>JUEVES</v>
      </c>
      <c r="B62" s="44" t="str">
        <f>SUGERENCIAS!G42</f>
        <v/>
      </c>
      <c r="C62" s="37" t="str">
        <f>SUGERENCIAS!G42</f>
        <v/>
      </c>
      <c r="D62" s="65" t="str">
        <f>SUGERENCIAS!G42</f>
        <v/>
      </c>
      <c r="E62" s="66" t="str">
        <f>SUGERENCIAS!L42</f>
        <v>--</v>
      </c>
      <c r="F62" s="67" t="str">
        <f>SUGERENCIAS!N42</f>
        <v>SIN</v>
      </c>
    </row>
    <row r="63" spans="1:6" ht="15" customHeight="1">
      <c r="A63" s="37" t="str">
        <f>SUGERENCIAS!B43</f>
        <v>JUEVES</v>
      </c>
      <c r="B63" s="44" t="str">
        <f>SUGERENCIAS!G43</f>
        <v/>
      </c>
      <c r="C63" s="37" t="str">
        <f>SUGERENCIAS!G43</f>
        <v/>
      </c>
      <c r="D63" s="65" t="str">
        <f>SUGERENCIAS!G43</f>
        <v/>
      </c>
      <c r="E63" s="66" t="str">
        <f>SUGERENCIAS!L43</f>
        <v>--</v>
      </c>
      <c r="F63" s="67" t="str">
        <f>SUGERENCIAS!N43</f>
        <v>SIN</v>
      </c>
    </row>
    <row r="64" spans="1:6" ht="15" customHeight="1">
      <c r="A64" s="37" t="str">
        <f>SUGERENCIAS!B44</f>
        <v>JUEVES</v>
      </c>
      <c r="B64" s="44" t="str">
        <f>SUGERENCIAS!G44</f>
        <v/>
      </c>
      <c r="C64" s="37" t="str">
        <f>SUGERENCIAS!G44</f>
        <v/>
      </c>
      <c r="D64" s="65" t="str">
        <f>SUGERENCIAS!G44</f>
        <v/>
      </c>
      <c r="E64" s="66" t="str">
        <f>SUGERENCIAS!L44</f>
        <v>--</v>
      </c>
      <c r="F64" s="67" t="str">
        <f>SUGERENCIAS!N44</f>
        <v>SIN</v>
      </c>
    </row>
    <row r="65" spans="1:6" ht="15" customHeight="1">
      <c r="A65" s="37" t="str">
        <f>SUGERENCIAS!B45</f>
        <v>JUEVES</v>
      </c>
      <c r="B65" s="44" t="str">
        <f>SUGERENCIAS!G45</f>
        <v/>
      </c>
      <c r="C65" s="37" t="str">
        <f>SUGERENCIAS!G45</f>
        <v/>
      </c>
      <c r="D65" s="65" t="str">
        <f>SUGERENCIAS!G45</f>
        <v/>
      </c>
      <c r="E65" s="66" t="str">
        <f>SUGERENCIAS!L45</f>
        <v>--</v>
      </c>
      <c r="F65" s="67" t="str">
        <f>SUGERENCIAS!N45</f>
        <v>SIN</v>
      </c>
    </row>
    <row r="66" spans="1:6" ht="15" customHeight="1">
      <c r="A66" s="37" t="str">
        <f>SUGERENCIAS!B46</f>
        <v>JUEVES</v>
      </c>
      <c r="B66" s="44" t="str">
        <f>SUGERENCIAS!G46</f>
        <v/>
      </c>
      <c r="C66" s="37" t="str">
        <f>SUGERENCIAS!G46</f>
        <v/>
      </c>
      <c r="D66" s="65" t="str">
        <f>SUGERENCIAS!G46</f>
        <v/>
      </c>
      <c r="E66" s="66" t="str">
        <f>SUGERENCIAS!L46</f>
        <v>--</v>
      </c>
      <c r="F66" s="67" t="str">
        <f>SUGERENCIAS!N46</f>
        <v>SIN</v>
      </c>
    </row>
    <row r="67" spans="1:6" ht="15" customHeight="1">
      <c r="A67" s="37" t="str">
        <f>SUGERENCIAS!B47</f>
        <v>JUEVES</v>
      </c>
      <c r="B67" s="44" t="str">
        <f>SUGERENCIAS!G47</f>
        <v/>
      </c>
      <c r="C67" s="37" t="str">
        <f>SUGERENCIAS!G47</f>
        <v/>
      </c>
      <c r="D67" s="65" t="str">
        <f>SUGERENCIAS!G47</f>
        <v/>
      </c>
      <c r="E67" s="66" t="str">
        <f>SUGERENCIAS!L47</f>
        <v>--</v>
      </c>
      <c r="F67" s="67" t="str">
        <f>SUGERENCIAS!N47</f>
        <v>SIN</v>
      </c>
    </row>
    <row r="68" spans="1:6" ht="15" customHeight="1">
      <c r="A68" s="37" t="str">
        <f>SUGERENCIAS!B48</f>
        <v>JUEVES</v>
      </c>
      <c r="B68" s="44" t="str">
        <f>SUGERENCIAS!G48</f>
        <v/>
      </c>
      <c r="C68" s="37" t="str">
        <f>SUGERENCIAS!G48</f>
        <v/>
      </c>
      <c r="D68" s="65" t="str">
        <f>SUGERENCIAS!G48</f>
        <v/>
      </c>
      <c r="E68" s="66" t="str">
        <f>SUGERENCIAS!L48</f>
        <v>--</v>
      </c>
      <c r="F68" s="67" t="str">
        <f>SUGERENCIAS!N48</f>
        <v>SIN</v>
      </c>
    </row>
    <row r="69" spans="1:6" ht="15" customHeight="1">
      <c r="A69" s="37" t="str">
        <f>SUGERENCIAS!B49</f>
        <v>JUEVES</v>
      </c>
      <c r="B69" s="44" t="str">
        <f>SUGERENCIAS!G49</f>
        <v/>
      </c>
      <c r="C69" s="37" t="str">
        <f>SUGERENCIAS!G49</f>
        <v/>
      </c>
      <c r="D69" s="65" t="str">
        <f>SUGERENCIAS!G49</f>
        <v/>
      </c>
      <c r="E69" s="66" t="str">
        <f>SUGERENCIAS!L49</f>
        <v>--</v>
      </c>
      <c r="F69" s="67" t="str">
        <f>SUGERENCIAS!N49</f>
        <v>SIN</v>
      </c>
    </row>
    <row r="70" spans="1:6" ht="15" customHeight="1">
      <c r="A70" s="37" t="str">
        <f>SUGERENCIAS!B50</f>
        <v>JUEVES</v>
      </c>
      <c r="B70" s="44" t="str">
        <f>SUGERENCIAS!G50</f>
        <v/>
      </c>
      <c r="C70" s="37" t="str">
        <f>SUGERENCIAS!G50</f>
        <v/>
      </c>
      <c r="D70" s="65" t="str">
        <f>SUGERENCIAS!G50</f>
        <v/>
      </c>
      <c r="E70" s="66" t="str">
        <f>SUGERENCIAS!L50</f>
        <v>--</v>
      </c>
      <c r="F70" s="67" t="str">
        <f>SUGERENCIAS!N50</f>
        <v>SIN</v>
      </c>
    </row>
    <row r="71" spans="1:6" ht="15" customHeight="1">
      <c r="A71" s="37" t="str">
        <f>SUGERENCIAS!B51</f>
        <v>JUEVES</v>
      </c>
      <c r="B71" s="44" t="str">
        <f>SUGERENCIAS!G51</f>
        <v/>
      </c>
      <c r="C71" s="37" t="str">
        <f>SUGERENCIAS!G51</f>
        <v/>
      </c>
      <c r="D71" s="65" t="str">
        <f>SUGERENCIAS!G51</f>
        <v/>
      </c>
      <c r="E71" s="66" t="str">
        <f>SUGERENCIAS!L51</f>
        <v>--</v>
      </c>
      <c r="F71" s="67" t="str">
        <f>SUGERENCIAS!N51</f>
        <v>SIN</v>
      </c>
    </row>
    <row r="72" spans="1:6" ht="15" customHeight="1">
      <c r="A72" s="37" t="str">
        <f>SUGERENCIAS!B52</f>
        <v>JUEVES</v>
      </c>
      <c r="B72" s="44" t="str">
        <f>SUGERENCIAS!G52</f>
        <v/>
      </c>
      <c r="C72" s="37" t="str">
        <f>SUGERENCIAS!G52</f>
        <v/>
      </c>
      <c r="D72" s="65" t="str">
        <f>SUGERENCIAS!G52</f>
        <v/>
      </c>
      <c r="E72" s="66" t="str">
        <f>SUGERENCIAS!L52</f>
        <v>--</v>
      </c>
      <c r="F72" s="67" t="str">
        <f>SUGERENCIAS!N52</f>
        <v>SIN</v>
      </c>
    </row>
    <row r="73" spans="1:6" ht="15" customHeight="1">
      <c r="A73" s="37" t="str">
        <f>SUGERENCIAS!B53</f>
        <v>JUEVES</v>
      </c>
      <c r="B73" s="44" t="str">
        <f>SUGERENCIAS!G53</f>
        <v/>
      </c>
      <c r="C73" s="37" t="str">
        <f>SUGERENCIAS!G53</f>
        <v/>
      </c>
      <c r="D73" s="65" t="str">
        <f>SUGERENCIAS!G53</f>
        <v/>
      </c>
      <c r="E73" s="66" t="str">
        <f>SUGERENCIAS!L53</f>
        <v>--</v>
      </c>
      <c r="F73" s="67" t="str">
        <f>SUGERENCIAS!N53</f>
        <v>SIN</v>
      </c>
    </row>
    <row r="74" spans="1:6" ht="15" customHeight="1">
      <c r="A74" s="37" t="str">
        <f>SUGERENCIAS!B54</f>
        <v>SABADO</v>
      </c>
      <c r="B74" s="44" t="str">
        <f>SUGERENCIAS!G54</f>
        <v/>
      </c>
      <c r="C74" s="37" t="str">
        <f>SUGERENCIAS!G54</f>
        <v/>
      </c>
      <c r="D74" s="65" t="str">
        <f>SUGERENCIAS!G54</f>
        <v/>
      </c>
      <c r="E74" s="66" t="str">
        <f>SUGERENCIAS!L54</f>
        <v>--</v>
      </c>
      <c r="F74" s="67" t="str">
        <f>SUGERENCIAS!N54</f>
        <v>SIN</v>
      </c>
    </row>
    <row r="75" spans="1:6" ht="15" customHeight="1">
      <c r="A75" s="37" t="str">
        <f>SUGERENCIAS!B55</f>
        <v>SABADO</v>
      </c>
      <c r="B75" s="44" t="str">
        <f>SUGERENCIAS!G55</f>
        <v/>
      </c>
      <c r="C75" s="37" t="str">
        <f>SUGERENCIAS!G55</f>
        <v/>
      </c>
      <c r="D75" s="65" t="str">
        <f>SUGERENCIAS!G55</f>
        <v/>
      </c>
      <c r="E75" s="66" t="str">
        <f>SUGERENCIAS!L55</f>
        <v>--</v>
      </c>
      <c r="F75" s="67" t="str">
        <f>SUGERENCIAS!N55</f>
        <v>SIN</v>
      </c>
    </row>
    <row r="76" spans="1:6" ht="15" customHeight="1">
      <c r="A76" s="37" t="str">
        <f>SUGERENCIAS!B56</f>
        <v>SABADO</v>
      </c>
      <c r="B76" s="44" t="str">
        <f>SUGERENCIAS!G56</f>
        <v/>
      </c>
      <c r="C76" s="37" t="str">
        <f>SUGERENCIAS!G56</f>
        <v/>
      </c>
      <c r="D76" s="65" t="str">
        <f>SUGERENCIAS!G56</f>
        <v/>
      </c>
      <c r="E76" s="66" t="str">
        <f>SUGERENCIAS!L56</f>
        <v>--</v>
      </c>
      <c r="F76" s="67" t="str">
        <f>SUGERENCIAS!N56</f>
        <v>SIN</v>
      </c>
    </row>
    <row r="77" spans="1:6" ht="15" customHeight="1">
      <c r="A77" s="37" t="str">
        <f>SUGERENCIAS!B57</f>
        <v>SABADO</v>
      </c>
      <c r="B77" s="44" t="str">
        <f>SUGERENCIAS!G57</f>
        <v/>
      </c>
      <c r="C77" s="37" t="str">
        <f>SUGERENCIAS!G57</f>
        <v/>
      </c>
      <c r="D77" s="65" t="str">
        <f>SUGERENCIAS!G57</f>
        <v/>
      </c>
      <c r="E77" s="66" t="str">
        <f>SUGERENCIAS!L57</f>
        <v>--</v>
      </c>
      <c r="F77" s="67" t="str">
        <f>SUGERENCIAS!N57</f>
        <v>SIN</v>
      </c>
    </row>
    <row r="78" spans="1:6" ht="15" customHeight="1">
      <c r="A78" s="37" t="str">
        <f>SUGERENCIAS!B58</f>
        <v>SABADO</v>
      </c>
      <c r="B78" s="44" t="str">
        <f>SUGERENCIAS!G58</f>
        <v/>
      </c>
      <c r="C78" s="37" t="str">
        <f>SUGERENCIAS!G58</f>
        <v/>
      </c>
      <c r="D78" s="65" t="str">
        <f>SUGERENCIAS!G58</f>
        <v/>
      </c>
      <c r="E78" s="66" t="str">
        <f>SUGERENCIAS!L58</f>
        <v>--</v>
      </c>
      <c r="F78" s="67" t="str">
        <f>SUGERENCIAS!N58</f>
        <v>SIN</v>
      </c>
    </row>
    <row r="79" spans="1:6" ht="15" customHeight="1">
      <c r="A79" s="37" t="str">
        <f>SUGERENCIAS!B59</f>
        <v>SABADO</v>
      </c>
      <c r="B79" s="44" t="str">
        <f>SUGERENCIAS!G59</f>
        <v/>
      </c>
      <c r="C79" s="37" t="str">
        <f>SUGERENCIAS!G59</f>
        <v/>
      </c>
      <c r="D79" s="65" t="str">
        <f>SUGERENCIAS!G59</f>
        <v/>
      </c>
      <c r="E79" s="66" t="str">
        <f>SUGERENCIAS!L59</f>
        <v>--</v>
      </c>
      <c r="F79" s="67" t="str">
        <f>SUGERENCIAS!N59</f>
        <v>SIN</v>
      </c>
    </row>
    <row r="80" spans="1:6" ht="15" customHeight="1">
      <c r="A80" s="37" t="str">
        <f>SUGERENCIAS!B60</f>
        <v>SABADO</v>
      </c>
      <c r="B80" s="44" t="str">
        <f>SUGERENCIAS!G60</f>
        <v/>
      </c>
      <c r="C80" s="37" t="str">
        <f>SUGERENCIAS!G60</f>
        <v/>
      </c>
      <c r="D80" s="65" t="str">
        <f>SUGERENCIAS!G60</f>
        <v/>
      </c>
      <c r="E80" s="66" t="str">
        <f>SUGERENCIAS!L60</f>
        <v>--</v>
      </c>
      <c r="F80" s="67" t="str">
        <f>SUGERENCIAS!N60</f>
        <v>SIN</v>
      </c>
    </row>
    <row r="81" spans="1:6" ht="15" customHeight="1">
      <c r="A81" s="37" t="str">
        <f>SUGERENCIAS!B61</f>
        <v>SABADO</v>
      </c>
      <c r="B81" s="44" t="str">
        <f>SUGERENCIAS!G61</f>
        <v/>
      </c>
      <c r="C81" s="37" t="str">
        <f>SUGERENCIAS!G61</f>
        <v/>
      </c>
      <c r="D81" s="65" t="str">
        <f>SUGERENCIAS!G61</f>
        <v/>
      </c>
      <c r="E81" s="66" t="str">
        <f>SUGERENCIAS!L61</f>
        <v>--</v>
      </c>
      <c r="F81" s="67" t="str">
        <f>SUGERENCIAS!N61</f>
        <v>SIN</v>
      </c>
    </row>
    <row r="82" spans="1:6" ht="15" customHeight="1">
      <c r="A82" s="37" t="str">
        <f>SUGERENCIAS!B62</f>
        <v>SABADO</v>
      </c>
      <c r="B82" s="44" t="str">
        <f>SUGERENCIAS!G62</f>
        <v/>
      </c>
      <c r="C82" s="37" t="str">
        <f>SUGERENCIAS!G62</f>
        <v/>
      </c>
      <c r="D82" s="65" t="str">
        <f>SUGERENCIAS!G62</f>
        <v/>
      </c>
      <c r="E82" s="66" t="str">
        <f>SUGERENCIAS!L62</f>
        <v>--</v>
      </c>
      <c r="F82" s="67" t="str">
        <f>SUGERENCIAS!N62</f>
        <v>SIN</v>
      </c>
    </row>
    <row r="83" spans="1:6" ht="15" customHeight="1">
      <c r="A83" s="37" t="str">
        <f>SUGERENCIAS!B63</f>
        <v>SABADO</v>
      </c>
      <c r="B83" s="44" t="str">
        <f>SUGERENCIAS!G63</f>
        <v/>
      </c>
      <c r="C83" s="37" t="str">
        <f>SUGERENCIAS!G63</f>
        <v/>
      </c>
      <c r="D83" s="65" t="str">
        <f>SUGERENCIAS!G63</f>
        <v/>
      </c>
      <c r="E83" s="66" t="str">
        <f>SUGERENCIAS!L63</f>
        <v>--</v>
      </c>
      <c r="F83" s="67" t="str">
        <f>SUGERENCIAS!N63</f>
        <v>SIN</v>
      </c>
    </row>
    <row r="84" spans="1:6" ht="15" customHeight="1">
      <c r="A84" s="37" t="str">
        <f>SUGERENCIAS!B64</f>
        <v>SABADO</v>
      </c>
      <c r="B84" s="44" t="str">
        <f>SUGERENCIAS!G64</f>
        <v/>
      </c>
      <c r="C84" s="37" t="str">
        <f>SUGERENCIAS!G64</f>
        <v/>
      </c>
      <c r="D84" s="65" t="str">
        <f>SUGERENCIAS!G64</f>
        <v/>
      </c>
      <c r="E84" s="66" t="str">
        <f>SUGERENCIAS!L64</f>
        <v>--</v>
      </c>
      <c r="F84" s="67" t="str">
        <f>SUGERENCIAS!N64</f>
        <v>SIN</v>
      </c>
    </row>
    <row r="85" spans="1:6" ht="15" customHeight="1">
      <c r="A85" s="37" t="str">
        <f>SUGERENCIAS!B65</f>
        <v>SABADO</v>
      </c>
      <c r="B85" s="44" t="str">
        <f>SUGERENCIAS!G65</f>
        <v/>
      </c>
      <c r="C85" s="37" t="str">
        <f>SUGERENCIAS!G65</f>
        <v/>
      </c>
      <c r="D85" s="65" t="str">
        <f>SUGERENCIAS!G65</f>
        <v/>
      </c>
      <c r="E85" s="66" t="str">
        <f>SUGERENCIAS!L65</f>
        <v>--</v>
      </c>
      <c r="F85" s="67" t="str">
        <f>SUGERENCIAS!N65</f>
        <v>SIN</v>
      </c>
    </row>
    <row r="86" spans="1:6" ht="15" customHeight="1">
      <c r="A86" s="37" t="str">
        <f>SUGERENCIAS!B66</f>
        <v>SABADO</v>
      </c>
      <c r="B86" s="44" t="str">
        <f>SUGERENCIAS!G66</f>
        <v/>
      </c>
      <c r="C86" s="37" t="str">
        <f>SUGERENCIAS!G66</f>
        <v/>
      </c>
      <c r="D86" s="65" t="str">
        <f>SUGERENCIAS!G66</f>
        <v/>
      </c>
      <c r="E86" s="66" t="str">
        <f>SUGERENCIAS!L66</f>
        <v>--</v>
      </c>
      <c r="F86" s="67" t="str">
        <f>SUGERENCIAS!N66</f>
        <v>SIN</v>
      </c>
    </row>
    <row r="87" spans="1:6" ht="15" customHeight="1">
      <c r="A87" s="37" t="str">
        <f>SUGERENCIAS!B67</f>
        <v>LUNES</v>
      </c>
      <c r="B87" s="44" t="str">
        <f>SUGERENCIAS!G67</f>
        <v/>
      </c>
      <c r="C87" s="37" t="str">
        <f>SUGERENCIAS!G67</f>
        <v/>
      </c>
      <c r="D87" s="65" t="str">
        <f>SUGERENCIAS!G67</f>
        <v/>
      </c>
      <c r="E87" s="66" t="str">
        <f>SUGERENCIAS!L67</f>
        <v>--</v>
      </c>
      <c r="F87" s="67" t="str">
        <f>SUGERENCIAS!N67</f>
        <v>SIN</v>
      </c>
    </row>
    <row r="88" spans="1:6" ht="15" customHeight="1">
      <c r="A88" s="37" t="str">
        <f>SUGERENCIAS!B68</f>
        <v>LUNES</v>
      </c>
      <c r="B88" s="44" t="str">
        <f>SUGERENCIAS!G68</f>
        <v/>
      </c>
      <c r="C88" s="37" t="str">
        <f>SUGERENCIAS!G68</f>
        <v/>
      </c>
      <c r="D88" s="65" t="str">
        <f>SUGERENCIAS!G68</f>
        <v/>
      </c>
      <c r="E88" s="66" t="str">
        <f>SUGERENCIAS!L68</f>
        <v>--</v>
      </c>
      <c r="F88" s="67" t="str">
        <f>SUGERENCIAS!N68</f>
        <v>SIN</v>
      </c>
    </row>
    <row r="89" spans="1:6" ht="15" customHeight="1">
      <c r="A89" s="37" t="str">
        <f>SUGERENCIAS!B69</f>
        <v>LUNES</v>
      </c>
      <c r="B89" s="44">
        <f>SUGERENCIAS!G69</f>
        <v>0</v>
      </c>
      <c r="C89" s="37">
        <f>SUGERENCIAS!G69</f>
        <v>0</v>
      </c>
      <c r="D89" s="65">
        <f>SUGERENCIAS!G69</f>
        <v>0</v>
      </c>
      <c r="E89" s="66">
        <f>SUGERENCIAS!L69</f>
        <v>6</v>
      </c>
      <c r="F89" s="67" t="str">
        <f>SUGERENCIAS!N69</f>
        <v>SUBIR_F</v>
      </c>
    </row>
    <row r="90" spans="1:6" ht="15" customHeight="1">
      <c r="A90" s="37" t="str">
        <f>SUGERENCIAS!B70</f>
        <v>LUNES</v>
      </c>
      <c r="B90" s="44" t="str">
        <f>SUGERENCIAS!G70</f>
        <v/>
      </c>
      <c r="C90" s="37" t="str">
        <f>SUGERENCIAS!G70</f>
        <v/>
      </c>
      <c r="D90" s="65" t="str">
        <f>SUGERENCIAS!G70</f>
        <v/>
      </c>
      <c r="E90" s="66" t="str">
        <f>SUGERENCIAS!L70</f>
        <v>--</v>
      </c>
      <c r="F90" s="67" t="str">
        <f>SUGERENCIAS!N70</f>
        <v>SIN</v>
      </c>
    </row>
    <row r="91" spans="1:6" ht="15" customHeight="1">
      <c r="A91" s="37" t="str">
        <f>SUGERENCIAS!B71</f>
        <v>LUNES</v>
      </c>
      <c r="B91" s="44" t="str">
        <f>SUGERENCIAS!G71</f>
        <v/>
      </c>
      <c r="C91" s="37" t="str">
        <f>SUGERENCIAS!G71</f>
        <v/>
      </c>
      <c r="D91" s="65" t="str">
        <f>SUGERENCIAS!G71</f>
        <v/>
      </c>
      <c r="E91" s="66" t="str">
        <f>SUGERENCIAS!L71</f>
        <v>--</v>
      </c>
      <c r="F91" s="67" t="str">
        <f>SUGERENCIAS!N71</f>
        <v>SIN</v>
      </c>
    </row>
    <row r="92" spans="1:6" ht="15" customHeight="1">
      <c r="A92" s="37" t="str">
        <f>SUGERENCIAS!B72</f>
        <v>LUNES</v>
      </c>
      <c r="B92" s="44" t="str">
        <f>SUGERENCIAS!G72</f>
        <v/>
      </c>
      <c r="C92" s="37" t="str">
        <f>SUGERENCIAS!G72</f>
        <v/>
      </c>
      <c r="D92" s="65" t="str">
        <f>SUGERENCIAS!G72</f>
        <v/>
      </c>
      <c r="E92" s="66" t="str">
        <f>SUGERENCIAS!L72</f>
        <v>--</v>
      </c>
      <c r="F92" s="67" t="str">
        <f>SUGERENCIAS!N72</f>
        <v>SIN</v>
      </c>
    </row>
    <row r="93" spans="1:6" ht="15" customHeight="1">
      <c r="A93" s="37" t="str">
        <f>SUGERENCIAS!B73</f>
        <v>LUNES</v>
      </c>
      <c r="B93" s="44" t="str">
        <f>SUGERENCIAS!G73</f>
        <v/>
      </c>
      <c r="C93" s="37" t="str">
        <f>SUGERENCIAS!G73</f>
        <v/>
      </c>
      <c r="D93" s="65" t="str">
        <f>SUGERENCIAS!G73</f>
        <v/>
      </c>
      <c r="E93" s="66" t="str">
        <f>SUGERENCIAS!L73</f>
        <v>--</v>
      </c>
      <c r="F93" s="67" t="str">
        <f>SUGERENCIAS!N73</f>
        <v>SIN</v>
      </c>
    </row>
    <row r="94" spans="1:6" ht="15" customHeight="1">
      <c r="A94" s="37" t="str">
        <f>SUGERENCIAS!B74</f>
        <v>LUNES</v>
      </c>
      <c r="B94" s="44" t="str">
        <f>SUGERENCIAS!G74</f>
        <v/>
      </c>
      <c r="C94" s="37" t="str">
        <f>SUGERENCIAS!G74</f>
        <v/>
      </c>
      <c r="D94" s="65" t="str">
        <f>SUGERENCIAS!G74</f>
        <v/>
      </c>
      <c r="E94" s="66" t="str">
        <f>SUGERENCIAS!L74</f>
        <v>--</v>
      </c>
      <c r="F94" s="67" t="str">
        <f>SUGERENCIAS!N74</f>
        <v>SIN</v>
      </c>
    </row>
    <row r="95" spans="1:6" ht="15" customHeight="1">
      <c r="A95" s="37" t="str">
        <f>SUGERENCIAS!B75</f>
        <v>LUNES</v>
      </c>
      <c r="B95" s="44" t="str">
        <f>SUGERENCIAS!G75</f>
        <v/>
      </c>
      <c r="C95" s="37" t="str">
        <f>SUGERENCIAS!G75</f>
        <v/>
      </c>
      <c r="D95" s="65" t="str">
        <f>SUGERENCIAS!G75</f>
        <v/>
      </c>
      <c r="E95" s="66" t="str">
        <f>SUGERENCIAS!L75</f>
        <v>--</v>
      </c>
      <c r="F95" s="67" t="str">
        <f>SUGERENCIAS!N75</f>
        <v>SIN</v>
      </c>
    </row>
    <row r="96" spans="1:6" ht="15" customHeight="1">
      <c r="A96" s="37" t="str">
        <f>SUGERENCIAS!B76</f>
        <v>LUNES</v>
      </c>
      <c r="B96" s="44" t="str">
        <f>SUGERENCIAS!G76</f>
        <v/>
      </c>
      <c r="C96" s="37" t="str">
        <f>SUGERENCIAS!G76</f>
        <v/>
      </c>
      <c r="D96" s="65" t="str">
        <f>SUGERENCIAS!G76</f>
        <v/>
      </c>
      <c r="E96" s="66" t="str">
        <f>SUGERENCIAS!L76</f>
        <v>--</v>
      </c>
      <c r="F96" s="67" t="str">
        <f>SUGERENCIAS!N76</f>
        <v>SIN</v>
      </c>
    </row>
    <row r="97" spans="1:6" ht="15" customHeight="1">
      <c r="A97" s="37" t="str">
        <f>SUGERENCIAS!B77</f>
        <v>LUNES</v>
      </c>
      <c r="B97" s="44" t="str">
        <f>SUGERENCIAS!G77</f>
        <v/>
      </c>
      <c r="C97" s="37" t="str">
        <f>SUGERENCIAS!G77</f>
        <v/>
      </c>
      <c r="D97" s="65" t="str">
        <f>SUGERENCIAS!G77</f>
        <v/>
      </c>
      <c r="E97" s="66" t="str">
        <f>SUGERENCIAS!L77</f>
        <v>--</v>
      </c>
      <c r="F97" s="67" t="str">
        <f>SUGERENCIAS!N77</f>
        <v>SIN</v>
      </c>
    </row>
    <row r="98" spans="1:6" ht="15" customHeight="1">
      <c r="A98" s="37" t="str">
        <f>SUGERENCIAS!B78</f>
        <v>MARTES</v>
      </c>
      <c r="B98" s="44" t="str">
        <f>SUGERENCIAS!G78</f>
        <v/>
      </c>
      <c r="C98" s="37" t="str">
        <f>SUGERENCIAS!G78</f>
        <v/>
      </c>
      <c r="D98" s="65" t="str">
        <f>SUGERENCIAS!G78</f>
        <v/>
      </c>
      <c r="E98" s="66" t="str">
        <f>SUGERENCIAS!L78</f>
        <v>--</v>
      </c>
      <c r="F98" s="67" t="str">
        <f>SUGERENCIAS!N78</f>
        <v>SIN</v>
      </c>
    </row>
    <row r="99" spans="1:6" ht="15" customHeight="1">
      <c r="A99" s="37" t="str">
        <f>SUGERENCIAS!B79</f>
        <v>MARTES</v>
      </c>
      <c r="B99" s="44" t="str">
        <f>SUGERENCIAS!G79</f>
        <v/>
      </c>
      <c r="C99" s="37" t="str">
        <f>SUGERENCIAS!G79</f>
        <v/>
      </c>
      <c r="D99" s="65" t="str">
        <f>SUGERENCIAS!G79</f>
        <v/>
      </c>
      <c r="E99" s="66" t="str">
        <f>SUGERENCIAS!L79</f>
        <v>--</v>
      </c>
      <c r="F99" s="67" t="str">
        <f>SUGERENCIAS!N79</f>
        <v>SIN</v>
      </c>
    </row>
    <row r="100" spans="1:6" ht="15" customHeight="1">
      <c r="A100" s="37" t="str">
        <f>SUGERENCIAS!B80</f>
        <v>MARTES</v>
      </c>
      <c r="B100" s="44" t="str">
        <f>SUGERENCIAS!G80</f>
        <v/>
      </c>
      <c r="C100" s="37" t="str">
        <f>SUGERENCIAS!G80</f>
        <v/>
      </c>
      <c r="D100" s="65" t="str">
        <f>SUGERENCIAS!G80</f>
        <v/>
      </c>
      <c r="E100" s="66" t="str">
        <f>SUGERENCIAS!L80</f>
        <v>--</v>
      </c>
      <c r="F100" s="67" t="str">
        <f>SUGERENCIAS!N80</f>
        <v>SIN</v>
      </c>
    </row>
    <row r="101" spans="1:6" ht="15" customHeight="1">
      <c r="A101" s="37" t="str">
        <f>SUGERENCIAS!B81</f>
        <v>MARTES</v>
      </c>
      <c r="B101" s="44" t="str">
        <f>SUGERENCIAS!G81</f>
        <v/>
      </c>
      <c r="C101" s="37" t="str">
        <f>SUGERENCIAS!G81</f>
        <v/>
      </c>
      <c r="D101" s="65" t="str">
        <f>SUGERENCIAS!G81</f>
        <v/>
      </c>
      <c r="E101" s="66" t="str">
        <f>SUGERENCIAS!L81</f>
        <v>--</v>
      </c>
      <c r="F101" s="67" t="str">
        <f>SUGERENCIAS!N81</f>
        <v>SIN</v>
      </c>
    </row>
    <row r="102" spans="1:6" ht="15" customHeight="1">
      <c r="A102" s="37" t="str">
        <f>SUGERENCIAS!B82</f>
        <v>MARTES</v>
      </c>
      <c r="B102" s="44" t="str">
        <f>SUGERENCIAS!G82</f>
        <v/>
      </c>
      <c r="C102" s="37" t="str">
        <f>SUGERENCIAS!G82</f>
        <v/>
      </c>
      <c r="D102" s="65" t="str">
        <f>SUGERENCIAS!G82</f>
        <v/>
      </c>
      <c r="E102" s="66" t="str">
        <f>SUGERENCIAS!L82</f>
        <v>--</v>
      </c>
      <c r="F102" s="67" t="str">
        <f>SUGERENCIAS!N82</f>
        <v>SIN</v>
      </c>
    </row>
    <row r="103" spans="1:6" ht="15" customHeight="1">
      <c r="A103" s="37" t="str">
        <f>SUGERENCIAS!B83</f>
        <v>MARTES</v>
      </c>
      <c r="B103" s="44" t="str">
        <f>SUGERENCIAS!G83</f>
        <v/>
      </c>
      <c r="C103" s="37" t="str">
        <f>SUGERENCIAS!G83</f>
        <v/>
      </c>
      <c r="D103" s="65" t="str">
        <f>SUGERENCIAS!G83</f>
        <v/>
      </c>
      <c r="E103" s="66" t="str">
        <f>SUGERENCIAS!L83</f>
        <v>--</v>
      </c>
      <c r="F103" s="67" t="str">
        <f>SUGERENCIAS!N83</f>
        <v>SIN</v>
      </c>
    </row>
    <row r="104" spans="1:6" ht="15" customHeight="1">
      <c r="A104" s="37" t="str">
        <f>SUGERENCIAS!B84</f>
        <v>MARTES</v>
      </c>
      <c r="B104" s="44" t="str">
        <f>SUGERENCIAS!G84</f>
        <v/>
      </c>
      <c r="C104" s="37" t="str">
        <f>SUGERENCIAS!G84</f>
        <v/>
      </c>
      <c r="D104" s="65" t="str">
        <f>SUGERENCIAS!G84</f>
        <v/>
      </c>
      <c r="E104" s="66" t="str">
        <f>SUGERENCIAS!L84</f>
        <v>--</v>
      </c>
      <c r="F104" s="67" t="str">
        <f>SUGERENCIAS!N84</f>
        <v>SIN</v>
      </c>
    </row>
    <row r="105" spans="1:6" ht="15" customHeight="1">
      <c r="A105" s="37" t="str">
        <f>SUGERENCIAS!B85</f>
        <v>MARTES</v>
      </c>
      <c r="B105" s="44" t="str">
        <f>SUGERENCIAS!G85</f>
        <v/>
      </c>
      <c r="C105" s="37" t="str">
        <f>SUGERENCIAS!G85</f>
        <v/>
      </c>
      <c r="D105" s="65" t="str">
        <f>SUGERENCIAS!G85</f>
        <v/>
      </c>
      <c r="E105" s="66" t="str">
        <f>SUGERENCIAS!L85</f>
        <v>--</v>
      </c>
      <c r="F105" s="67" t="str">
        <f>SUGERENCIAS!N85</f>
        <v>SIN</v>
      </c>
    </row>
    <row r="106" spans="1:6" ht="15" customHeight="1">
      <c r="A106" s="37" t="str">
        <f>SUGERENCIAS!B86</f>
        <v>MARTES</v>
      </c>
      <c r="B106" s="44" t="str">
        <f>SUGERENCIAS!G86</f>
        <v/>
      </c>
      <c r="C106" s="37" t="str">
        <f>SUGERENCIAS!G86</f>
        <v/>
      </c>
      <c r="D106" s="65" t="str">
        <f>SUGERENCIAS!G86</f>
        <v/>
      </c>
      <c r="E106" s="66" t="str">
        <f>SUGERENCIAS!L86</f>
        <v>--</v>
      </c>
      <c r="F106" s="67" t="str">
        <f>SUGERENCIAS!N86</f>
        <v>SIN</v>
      </c>
    </row>
    <row r="107" spans="1:6" ht="15" customHeight="1">
      <c r="A107" s="37" t="str">
        <f>SUGERENCIAS!B87</f>
        <v>MARTES</v>
      </c>
      <c r="B107" s="44" t="str">
        <f>SUGERENCIAS!G87</f>
        <v/>
      </c>
      <c r="C107" s="37" t="str">
        <f>SUGERENCIAS!G87</f>
        <v/>
      </c>
      <c r="D107" s="65" t="str">
        <f>SUGERENCIAS!G87</f>
        <v/>
      </c>
      <c r="E107" s="66" t="str">
        <f>SUGERENCIAS!L87</f>
        <v>--</v>
      </c>
      <c r="F107" s="67" t="str">
        <f>SUGERENCIAS!N87</f>
        <v>SIN</v>
      </c>
    </row>
    <row r="108" spans="1:6" ht="15" customHeight="1">
      <c r="A108" s="37" t="str">
        <f>SUGERENCIAS!B88</f>
        <v>MARTES</v>
      </c>
      <c r="B108" s="44" t="str">
        <f>SUGERENCIAS!G88</f>
        <v/>
      </c>
      <c r="C108" s="37" t="str">
        <f>SUGERENCIAS!G88</f>
        <v/>
      </c>
      <c r="D108" s="65" t="str">
        <f>SUGERENCIAS!G88</f>
        <v/>
      </c>
      <c r="E108" s="66" t="str">
        <f>SUGERENCIAS!L88</f>
        <v>--</v>
      </c>
      <c r="F108" s="67" t="str">
        <f>SUGERENCIAS!N88</f>
        <v>SIN</v>
      </c>
    </row>
    <row r="109" spans="1:6" ht="15" customHeight="1">
      <c r="A109" s="37" t="str">
        <f>SUGERENCIAS!B89</f>
        <v>MIERCOLES</v>
      </c>
      <c r="B109" s="44" t="str">
        <f>SUGERENCIAS!G89</f>
        <v/>
      </c>
      <c r="C109" s="37" t="str">
        <f>SUGERENCIAS!G89</f>
        <v/>
      </c>
      <c r="D109" s="65" t="str">
        <f>SUGERENCIAS!G89</f>
        <v/>
      </c>
      <c r="E109" s="66" t="str">
        <f>SUGERENCIAS!L89</f>
        <v>--</v>
      </c>
      <c r="F109" s="67" t="str">
        <f>SUGERENCIAS!N89</f>
        <v>SIN</v>
      </c>
    </row>
    <row r="110" spans="1:6" ht="15" customHeight="1">
      <c r="A110" s="37" t="str">
        <f>SUGERENCIAS!B90</f>
        <v>MIERCOLES</v>
      </c>
      <c r="B110" s="44" t="str">
        <f>SUGERENCIAS!G90</f>
        <v/>
      </c>
      <c r="C110" s="37" t="str">
        <f>SUGERENCIAS!G90</f>
        <v/>
      </c>
      <c r="D110" s="65" t="str">
        <f>SUGERENCIAS!G90</f>
        <v/>
      </c>
      <c r="E110" s="66" t="str">
        <f>SUGERENCIAS!L90</f>
        <v>--</v>
      </c>
      <c r="F110" s="67" t="str">
        <f>SUGERENCIAS!N90</f>
        <v>SIN</v>
      </c>
    </row>
    <row r="111" spans="1:6" ht="15" customHeight="1">
      <c r="A111" s="37" t="str">
        <f>SUGERENCIAS!B91</f>
        <v>MIERCOLES</v>
      </c>
      <c r="B111" s="44" t="str">
        <f>SUGERENCIAS!G91</f>
        <v/>
      </c>
      <c r="C111" s="37" t="str">
        <f>SUGERENCIAS!G91</f>
        <v/>
      </c>
      <c r="D111" s="65" t="str">
        <f>SUGERENCIAS!G91</f>
        <v/>
      </c>
      <c r="E111" s="66" t="str">
        <f>SUGERENCIAS!L91</f>
        <v>--</v>
      </c>
      <c r="F111" s="67" t="str">
        <f>SUGERENCIAS!N91</f>
        <v>SIN</v>
      </c>
    </row>
    <row r="112" spans="1:6" ht="15" customHeight="1">
      <c r="A112" s="37" t="str">
        <f>SUGERENCIAS!B92</f>
        <v>MIERCOLES</v>
      </c>
      <c r="B112" s="44" t="str">
        <f>SUGERENCIAS!G92</f>
        <v/>
      </c>
      <c r="C112" s="37" t="str">
        <f>SUGERENCIAS!G92</f>
        <v/>
      </c>
      <c r="D112" s="65" t="str">
        <f>SUGERENCIAS!G92</f>
        <v/>
      </c>
      <c r="E112" s="66" t="str">
        <f>SUGERENCIAS!L92</f>
        <v>--</v>
      </c>
      <c r="F112" s="67" t="str">
        <f>SUGERENCIAS!N92</f>
        <v>SIN</v>
      </c>
    </row>
    <row r="113" spans="1:6" ht="15" customHeight="1">
      <c r="A113" s="37" t="str">
        <f>SUGERENCIAS!B93</f>
        <v>MIERCOLES</v>
      </c>
      <c r="B113" s="44" t="str">
        <f>SUGERENCIAS!G93</f>
        <v/>
      </c>
      <c r="C113" s="37" t="str">
        <f>SUGERENCIAS!G93</f>
        <v/>
      </c>
      <c r="D113" s="65" t="str">
        <f>SUGERENCIAS!G93</f>
        <v/>
      </c>
      <c r="E113" s="66" t="str">
        <f>SUGERENCIAS!L93</f>
        <v>--</v>
      </c>
      <c r="F113" s="67" t="str">
        <f>SUGERENCIAS!N93</f>
        <v>SIN</v>
      </c>
    </row>
    <row r="114" spans="1:6" ht="15" customHeight="1">
      <c r="A114" s="37" t="str">
        <f>SUGERENCIAS!B94</f>
        <v>MIERCOLES</v>
      </c>
      <c r="B114" s="44" t="str">
        <f>SUGERENCIAS!G94</f>
        <v/>
      </c>
      <c r="C114" s="37" t="str">
        <f>SUGERENCIAS!G94</f>
        <v/>
      </c>
      <c r="D114" s="65" t="str">
        <f>SUGERENCIAS!G94</f>
        <v/>
      </c>
      <c r="E114" s="66" t="str">
        <f>SUGERENCIAS!L94</f>
        <v>--</v>
      </c>
      <c r="F114" s="67" t="str">
        <f>SUGERENCIAS!N94</f>
        <v>SIN</v>
      </c>
    </row>
    <row r="115" spans="1:6" ht="15" customHeight="1">
      <c r="A115" s="37" t="str">
        <f>SUGERENCIAS!B95</f>
        <v>MIERCOLES</v>
      </c>
      <c r="B115" s="44" t="str">
        <f>SUGERENCIAS!G95</f>
        <v/>
      </c>
      <c r="C115" s="37" t="str">
        <f>SUGERENCIAS!G95</f>
        <v/>
      </c>
      <c r="D115" s="65" t="str">
        <f>SUGERENCIAS!G95</f>
        <v/>
      </c>
      <c r="E115" s="66" t="str">
        <f>SUGERENCIAS!L95</f>
        <v>--</v>
      </c>
      <c r="F115" s="67" t="str">
        <f>SUGERENCIAS!N95</f>
        <v>SIN</v>
      </c>
    </row>
    <row r="116" spans="1:6" ht="15" customHeight="1">
      <c r="A116" s="37" t="str">
        <f>SUGERENCIAS!B96</f>
        <v>MIERCOLES</v>
      </c>
      <c r="B116" s="44" t="str">
        <f>SUGERENCIAS!G96</f>
        <v/>
      </c>
      <c r="C116" s="37" t="str">
        <f>SUGERENCIAS!G96</f>
        <v/>
      </c>
      <c r="D116" s="65" t="str">
        <f>SUGERENCIAS!G96</f>
        <v/>
      </c>
      <c r="E116" s="66" t="str">
        <f>SUGERENCIAS!L96</f>
        <v>--</v>
      </c>
      <c r="F116" s="67" t="str">
        <f>SUGERENCIAS!N96</f>
        <v>SIN</v>
      </c>
    </row>
    <row r="117" spans="1:6" ht="15" customHeight="1">
      <c r="A117" s="37" t="str">
        <f>SUGERENCIAS!B97</f>
        <v>MIERCOLES</v>
      </c>
      <c r="B117" s="44" t="str">
        <f>SUGERENCIAS!G97</f>
        <v/>
      </c>
      <c r="C117" s="37" t="str">
        <f>SUGERENCIAS!G97</f>
        <v/>
      </c>
      <c r="D117" s="65" t="str">
        <f>SUGERENCIAS!G97</f>
        <v/>
      </c>
      <c r="E117" s="66" t="str">
        <f>SUGERENCIAS!L97</f>
        <v>--</v>
      </c>
      <c r="F117" s="67" t="str">
        <f>SUGERENCIAS!N97</f>
        <v>SIN</v>
      </c>
    </row>
    <row r="118" spans="1:6" ht="15" customHeight="1">
      <c r="A118" s="37" t="str">
        <f>SUGERENCIAS!B98</f>
        <v>MIERCOLES</v>
      </c>
      <c r="B118" s="44" t="str">
        <f>SUGERENCIAS!G98</f>
        <v/>
      </c>
      <c r="C118" s="37" t="str">
        <f>SUGERENCIAS!G98</f>
        <v/>
      </c>
      <c r="D118" s="65" t="str">
        <f>SUGERENCIAS!G98</f>
        <v/>
      </c>
      <c r="E118" s="66" t="str">
        <f>SUGERENCIAS!L98</f>
        <v>--</v>
      </c>
      <c r="F118" s="67" t="str">
        <f>SUGERENCIAS!N98</f>
        <v>SIN</v>
      </c>
    </row>
    <row r="119" spans="1:6" ht="15" customHeight="1">
      <c r="A119" s="37" t="str">
        <f>SUGERENCIAS!B99</f>
        <v>MIERCOLES</v>
      </c>
      <c r="B119" s="44" t="str">
        <f>SUGERENCIAS!G99</f>
        <v/>
      </c>
      <c r="C119" s="37" t="str">
        <f>SUGERENCIAS!G99</f>
        <v/>
      </c>
      <c r="D119" s="65" t="str">
        <f>SUGERENCIAS!G99</f>
        <v/>
      </c>
      <c r="E119" s="66" t="str">
        <f>SUGERENCIAS!L99</f>
        <v>--</v>
      </c>
      <c r="F119" s="67" t="str">
        <f>SUGERENCIAS!N99</f>
        <v>SIN</v>
      </c>
    </row>
    <row r="120" spans="1:6" ht="15" customHeight="1">
      <c r="A120" s="37" t="str">
        <f>SUGERENCIAS!B100</f>
        <v>MIERCOLES</v>
      </c>
      <c r="B120" s="44" t="str">
        <f>SUGERENCIAS!G100</f>
        <v/>
      </c>
      <c r="C120" s="37" t="str">
        <f>SUGERENCIAS!G100</f>
        <v/>
      </c>
      <c r="D120" s="65" t="str">
        <f>SUGERENCIAS!G100</f>
        <v/>
      </c>
      <c r="E120" s="66" t="str">
        <f>SUGERENCIAS!L100</f>
        <v>--</v>
      </c>
      <c r="F120" s="67" t="str">
        <f>SUGERENCIAS!N100</f>
        <v>SIN</v>
      </c>
    </row>
    <row r="121" spans="1:6" ht="15" customHeight="1">
      <c r="A121" s="37" t="str">
        <f>SUGERENCIAS!B101</f>
        <v>MIERCOLES</v>
      </c>
      <c r="B121" s="44" t="str">
        <f>SUGERENCIAS!G101</f>
        <v/>
      </c>
      <c r="C121" s="37" t="str">
        <f>SUGERENCIAS!G101</f>
        <v/>
      </c>
      <c r="D121" s="65" t="str">
        <f>SUGERENCIAS!G101</f>
        <v/>
      </c>
      <c r="E121" s="66" t="str">
        <f>SUGERENCIAS!L101</f>
        <v>--</v>
      </c>
      <c r="F121" s="67" t="str">
        <f>SUGERENCIAS!N101</f>
        <v>SIN</v>
      </c>
    </row>
    <row r="122" spans="1:6" ht="15" customHeight="1">
      <c r="A122" s="37" t="str">
        <f>SUGERENCIAS!B102</f>
        <v>MIERCOLES</v>
      </c>
      <c r="B122" s="44" t="str">
        <f>SUGERENCIAS!G102</f>
        <v/>
      </c>
      <c r="C122" s="37" t="str">
        <f>SUGERENCIAS!G102</f>
        <v/>
      </c>
      <c r="D122" s="65" t="str">
        <f>SUGERENCIAS!G102</f>
        <v/>
      </c>
      <c r="E122" s="66" t="str">
        <f>SUGERENCIAS!L102</f>
        <v>--</v>
      </c>
      <c r="F122" s="67" t="str">
        <f>SUGERENCIAS!N102</f>
        <v>SIN</v>
      </c>
    </row>
    <row r="123" spans="1:6" ht="15" customHeight="1">
      <c r="A123" s="37" t="str">
        <f>SUGERENCIAS!B103</f>
        <v>MIERCOLES</v>
      </c>
      <c r="B123" s="44" t="str">
        <f>SUGERENCIAS!G103</f>
        <v/>
      </c>
      <c r="C123" s="37" t="str">
        <f>SUGERENCIAS!G103</f>
        <v/>
      </c>
      <c r="D123" s="65" t="str">
        <f>SUGERENCIAS!G103</f>
        <v/>
      </c>
      <c r="E123" s="66" t="str">
        <f>SUGERENCIAS!L103</f>
        <v>--</v>
      </c>
      <c r="F123" s="67" t="str">
        <f>SUGERENCIAS!N103</f>
        <v>SIN</v>
      </c>
    </row>
    <row r="124" spans="1:6" ht="15" customHeight="1">
      <c r="A124" s="37" t="str">
        <f>SUGERENCIAS!B104</f>
        <v>JUEVES</v>
      </c>
      <c r="B124" s="44" t="str">
        <f>SUGERENCIAS!G104</f>
        <v/>
      </c>
      <c r="C124" s="37" t="str">
        <f>SUGERENCIAS!G104</f>
        <v/>
      </c>
      <c r="D124" s="65" t="str">
        <f>SUGERENCIAS!G104</f>
        <v/>
      </c>
      <c r="E124" s="66" t="str">
        <f>SUGERENCIAS!L104</f>
        <v>--</v>
      </c>
      <c r="F124" s="67" t="str">
        <f>SUGERENCIAS!N104</f>
        <v>SIN</v>
      </c>
    </row>
    <row r="125" spans="1:6" ht="15" customHeight="1">
      <c r="A125" s="37" t="str">
        <f>SUGERENCIAS!B105</f>
        <v>JUEVES</v>
      </c>
      <c r="B125" s="44" t="str">
        <f>SUGERENCIAS!G105</f>
        <v/>
      </c>
      <c r="C125" s="37" t="str">
        <f>SUGERENCIAS!G105</f>
        <v/>
      </c>
      <c r="D125" s="65" t="str">
        <f>SUGERENCIAS!G105</f>
        <v/>
      </c>
      <c r="E125" s="66" t="str">
        <f>SUGERENCIAS!L105</f>
        <v>--</v>
      </c>
      <c r="F125" s="67" t="str">
        <f>SUGERENCIAS!N105</f>
        <v>SIN</v>
      </c>
    </row>
    <row r="126" spans="1:6" ht="15" customHeight="1">
      <c r="A126" s="37" t="str">
        <f>SUGERENCIAS!B106</f>
        <v>JUEVES</v>
      </c>
      <c r="B126" s="44" t="str">
        <f>SUGERENCIAS!G106</f>
        <v/>
      </c>
      <c r="C126" s="37" t="str">
        <f>SUGERENCIAS!G106</f>
        <v/>
      </c>
      <c r="D126" s="65" t="str">
        <f>SUGERENCIAS!G106</f>
        <v/>
      </c>
      <c r="E126" s="66" t="str">
        <f>SUGERENCIAS!L106</f>
        <v>--</v>
      </c>
      <c r="F126" s="67" t="str">
        <f>SUGERENCIAS!N106</f>
        <v>SIN</v>
      </c>
    </row>
    <row r="127" spans="1:6" ht="15" customHeight="1">
      <c r="A127" s="37" t="str">
        <f>SUGERENCIAS!B107</f>
        <v>JUEVES</v>
      </c>
      <c r="B127" s="44" t="str">
        <f>SUGERENCIAS!G107</f>
        <v/>
      </c>
      <c r="C127" s="37" t="str">
        <f>SUGERENCIAS!G107</f>
        <v/>
      </c>
      <c r="D127" s="65" t="str">
        <f>SUGERENCIAS!G107</f>
        <v/>
      </c>
      <c r="E127" s="66" t="str">
        <f>SUGERENCIAS!L107</f>
        <v>--</v>
      </c>
      <c r="F127" s="67" t="str">
        <f>SUGERENCIAS!N107</f>
        <v>SIN</v>
      </c>
    </row>
    <row r="128" spans="1:6" ht="15" customHeight="1">
      <c r="A128" s="37" t="str">
        <f>SUGERENCIAS!B108</f>
        <v>JUEVES</v>
      </c>
      <c r="B128" s="44" t="str">
        <f>SUGERENCIAS!G108</f>
        <v/>
      </c>
      <c r="C128" s="37" t="str">
        <f>SUGERENCIAS!G108</f>
        <v/>
      </c>
      <c r="D128" s="65" t="str">
        <f>SUGERENCIAS!G108</f>
        <v/>
      </c>
      <c r="E128" s="66" t="str">
        <f>SUGERENCIAS!L108</f>
        <v>--</v>
      </c>
      <c r="F128" s="67" t="str">
        <f>SUGERENCIAS!N108</f>
        <v>SIN</v>
      </c>
    </row>
    <row r="129" spans="1:6" ht="15" customHeight="1">
      <c r="A129" s="37" t="str">
        <f>SUGERENCIAS!B109</f>
        <v>JUEVES</v>
      </c>
      <c r="B129" s="44" t="str">
        <f>SUGERENCIAS!G109</f>
        <v/>
      </c>
      <c r="C129" s="37" t="str">
        <f>SUGERENCIAS!G109</f>
        <v/>
      </c>
      <c r="D129" s="65" t="str">
        <f>SUGERENCIAS!G109</f>
        <v/>
      </c>
      <c r="E129" s="66" t="str">
        <f>SUGERENCIAS!L109</f>
        <v>--</v>
      </c>
      <c r="F129" s="67" t="str">
        <f>SUGERENCIAS!N109</f>
        <v>SIN</v>
      </c>
    </row>
    <row r="130" spans="1:6" ht="15" customHeight="1">
      <c r="A130" s="37" t="str">
        <f>SUGERENCIAS!B110</f>
        <v>JUEVES</v>
      </c>
      <c r="B130" s="44" t="str">
        <f>SUGERENCIAS!G110</f>
        <v/>
      </c>
      <c r="C130" s="37" t="str">
        <f>SUGERENCIAS!G110</f>
        <v/>
      </c>
      <c r="D130" s="65" t="str">
        <f>SUGERENCIAS!G110</f>
        <v/>
      </c>
      <c r="E130" s="66" t="str">
        <f>SUGERENCIAS!L110</f>
        <v>--</v>
      </c>
      <c r="F130" s="67" t="str">
        <f>SUGERENCIAS!N110</f>
        <v>SIN</v>
      </c>
    </row>
    <row r="131" spans="1:6" ht="15" customHeight="1">
      <c r="A131" s="37" t="str">
        <f>SUGERENCIAS!B111</f>
        <v>JUEVES</v>
      </c>
      <c r="B131" s="44" t="str">
        <f>SUGERENCIAS!G111</f>
        <v/>
      </c>
      <c r="C131" s="37" t="str">
        <f>SUGERENCIAS!G111</f>
        <v/>
      </c>
      <c r="D131" s="65" t="str">
        <f>SUGERENCIAS!G111</f>
        <v/>
      </c>
      <c r="E131" s="66" t="str">
        <f>SUGERENCIAS!L111</f>
        <v>--</v>
      </c>
      <c r="F131" s="67" t="str">
        <f>SUGERENCIAS!N111</f>
        <v>SIN</v>
      </c>
    </row>
    <row r="132" spans="1:6" ht="15" customHeight="1">
      <c r="A132" s="37" t="str">
        <f>SUGERENCIAS!B112</f>
        <v>JUEVES</v>
      </c>
      <c r="B132" s="44" t="str">
        <f>SUGERENCIAS!G112</f>
        <v/>
      </c>
      <c r="C132" s="37" t="str">
        <f>SUGERENCIAS!G112</f>
        <v/>
      </c>
      <c r="D132" s="65" t="str">
        <f>SUGERENCIAS!G112</f>
        <v/>
      </c>
      <c r="E132" s="66" t="str">
        <f>SUGERENCIAS!L112</f>
        <v>--</v>
      </c>
      <c r="F132" s="67" t="str">
        <f>SUGERENCIAS!N112</f>
        <v>SIN</v>
      </c>
    </row>
    <row r="133" spans="1:6" ht="15" customHeight="1">
      <c r="A133" s="37" t="str">
        <f>SUGERENCIAS!B113</f>
        <v>JUEVES</v>
      </c>
      <c r="B133" s="44" t="str">
        <f>SUGERENCIAS!G113</f>
        <v/>
      </c>
      <c r="C133" s="37" t="str">
        <f>SUGERENCIAS!G113</f>
        <v/>
      </c>
      <c r="D133" s="65" t="str">
        <f>SUGERENCIAS!G113</f>
        <v/>
      </c>
      <c r="E133" s="66" t="str">
        <f>SUGERENCIAS!L113</f>
        <v>--</v>
      </c>
      <c r="F133" s="67" t="str">
        <f>SUGERENCIAS!N113</f>
        <v>SIN</v>
      </c>
    </row>
    <row r="134" spans="1:6" ht="15" customHeight="1">
      <c r="A134" s="37" t="str">
        <f>SUGERENCIAS!B114</f>
        <v>JUEVES</v>
      </c>
      <c r="B134" s="44" t="str">
        <f>SUGERENCIAS!G114</f>
        <v/>
      </c>
      <c r="C134" s="37" t="str">
        <f>SUGERENCIAS!G114</f>
        <v/>
      </c>
      <c r="D134" s="65" t="str">
        <f>SUGERENCIAS!G114</f>
        <v/>
      </c>
      <c r="E134" s="66" t="str">
        <f>SUGERENCIAS!L114</f>
        <v>--</v>
      </c>
      <c r="F134" s="67" t="str">
        <f>SUGERENCIAS!N114</f>
        <v>SIN</v>
      </c>
    </row>
    <row r="135" spans="1:6" ht="15" customHeight="1">
      <c r="A135" s="37" t="str">
        <f>SUGERENCIAS!B115</f>
        <v>JUEVES</v>
      </c>
      <c r="B135" s="44" t="str">
        <f>SUGERENCIAS!G115</f>
        <v/>
      </c>
      <c r="C135" s="37" t="str">
        <f>SUGERENCIAS!G115</f>
        <v/>
      </c>
      <c r="D135" s="65" t="str">
        <f>SUGERENCIAS!G115</f>
        <v/>
      </c>
      <c r="E135" s="66" t="str">
        <f>SUGERENCIAS!L115</f>
        <v>--</v>
      </c>
      <c r="F135" s="67" t="str">
        <f>SUGERENCIAS!N115</f>
        <v>SIN</v>
      </c>
    </row>
    <row r="136" spans="1:6" ht="15" customHeight="1">
      <c r="A136" s="37" t="str">
        <f>SUGERENCIAS!B116</f>
        <v>JUEVES</v>
      </c>
      <c r="B136" s="44" t="str">
        <f>SUGERENCIAS!G116</f>
        <v/>
      </c>
      <c r="C136" s="37" t="str">
        <f>SUGERENCIAS!G116</f>
        <v/>
      </c>
      <c r="D136" s="65" t="str">
        <f>SUGERENCIAS!G116</f>
        <v/>
      </c>
      <c r="E136" s="66" t="str">
        <f>SUGERENCIAS!L116</f>
        <v>--</v>
      </c>
      <c r="F136" s="67" t="str">
        <f>SUGERENCIAS!N116</f>
        <v>SIN</v>
      </c>
    </row>
    <row r="137" spans="1:6" ht="15" customHeight="1">
      <c r="A137" s="37" t="str">
        <f>SUGERENCIAS!B117</f>
        <v>SABADO</v>
      </c>
      <c r="B137" s="44" t="str">
        <f>SUGERENCIAS!G117</f>
        <v/>
      </c>
      <c r="C137" s="37" t="str">
        <f>SUGERENCIAS!G117</f>
        <v/>
      </c>
      <c r="D137" s="65" t="str">
        <f>SUGERENCIAS!G117</f>
        <v/>
      </c>
      <c r="E137" s="66" t="str">
        <f>SUGERENCIAS!L117</f>
        <v>--</v>
      </c>
      <c r="F137" s="67" t="str">
        <f>SUGERENCIAS!N117</f>
        <v>SIN</v>
      </c>
    </row>
    <row r="138" spans="1:6" ht="15" customHeight="1">
      <c r="A138" s="37" t="str">
        <f>SUGERENCIAS!B118</f>
        <v>SABADO</v>
      </c>
      <c r="B138" s="44" t="str">
        <f>SUGERENCIAS!G118</f>
        <v/>
      </c>
      <c r="C138" s="37" t="str">
        <f>SUGERENCIAS!G118</f>
        <v/>
      </c>
      <c r="D138" s="65" t="str">
        <f>SUGERENCIAS!G118</f>
        <v/>
      </c>
      <c r="E138" s="66" t="str">
        <f>SUGERENCIAS!L118</f>
        <v>--</v>
      </c>
      <c r="F138" s="67" t="str">
        <f>SUGERENCIAS!N118</f>
        <v>SIN</v>
      </c>
    </row>
    <row r="139" spans="1:6" ht="15" customHeight="1">
      <c r="A139" s="37" t="str">
        <f>SUGERENCIAS!B119</f>
        <v>SABADO</v>
      </c>
      <c r="B139" s="44" t="str">
        <f>SUGERENCIAS!G119</f>
        <v/>
      </c>
      <c r="C139" s="37" t="str">
        <f>SUGERENCIAS!G119</f>
        <v/>
      </c>
      <c r="D139" s="65" t="str">
        <f>SUGERENCIAS!G119</f>
        <v/>
      </c>
      <c r="E139" s="66" t="str">
        <f>SUGERENCIAS!L119</f>
        <v>--</v>
      </c>
      <c r="F139" s="67" t="str">
        <f>SUGERENCIAS!N119</f>
        <v>SIN</v>
      </c>
    </row>
    <row r="140" spans="1:6" ht="15" customHeight="1">
      <c r="A140" s="37" t="str">
        <f>SUGERENCIAS!B120</f>
        <v>SABADO</v>
      </c>
      <c r="B140" s="44" t="str">
        <f>SUGERENCIAS!G120</f>
        <v/>
      </c>
      <c r="C140" s="37" t="str">
        <f>SUGERENCIAS!G120</f>
        <v/>
      </c>
      <c r="D140" s="65" t="str">
        <f>SUGERENCIAS!G120</f>
        <v/>
      </c>
      <c r="E140" s="66" t="str">
        <f>SUGERENCIAS!L120</f>
        <v>--</v>
      </c>
      <c r="F140" s="67" t="str">
        <f>SUGERENCIAS!N120</f>
        <v>SIN</v>
      </c>
    </row>
    <row r="141" spans="1:6" ht="15" customHeight="1">
      <c r="A141" s="37" t="str">
        <f>SUGERENCIAS!B121</f>
        <v>SABADO</v>
      </c>
      <c r="B141" s="44" t="str">
        <f>SUGERENCIAS!G121</f>
        <v/>
      </c>
      <c r="C141" s="37" t="str">
        <f>SUGERENCIAS!G121</f>
        <v/>
      </c>
      <c r="D141" s="65" t="str">
        <f>SUGERENCIAS!G121</f>
        <v/>
      </c>
      <c r="E141" s="66" t="str">
        <f>SUGERENCIAS!L121</f>
        <v>--</v>
      </c>
      <c r="F141" s="67" t="str">
        <f>SUGERENCIAS!N121</f>
        <v>SIN</v>
      </c>
    </row>
    <row r="142" spans="1:6" ht="15" customHeight="1">
      <c r="A142" s="37" t="str">
        <f>SUGERENCIAS!B122</f>
        <v>SABADO</v>
      </c>
      <c r="B142" s="44" t="str">
        <f>SUGERENCIAS!G122</f>
        <v/>
      </c>
      <c r="C142" s="37" t="str">
        <f>SUGERENCIAS!G122</f>
        <v/>
      </c>
      <c r="D142" s="65" t="str">
        <f>SUGERENCIAS!G122</f>
        <v/>
      </c>
      <c r="E142" s="66" t="str">
        <f>SUGERENCIAS!L122</f>
        <v>--</v>
      </c>
      <c r="F142" s="67" t="str">
        <f>SUGERENCIAS!N122</f>
        <v>SIN</v>
      </c>
    </row>
    <row r="143" spans="1:6" ht="15" customHeight="1">
      <c r="A143" s="37" t="str">
        <f>SUGERENCIAS!B123</f>
        <v>SABADO</v>
      </c>
      <c r="B143" s="44" t="str">
        <f>SUGERENCIAS!G123</f>
        <v/>
      </c>
      <c r="C143" s="37" t="str">
        <f>SUGERENCIAS!G123</f>
        <v/>
      </c>
      <c r="D143" s="65" t="str">
        <f>SUGERENCIAS!G123</f>
        <v/>
      </c>
      <c r="E143" s="66" t="str">
        <f>SUGERENCIAS!L123</f>
        <v>--</v>
      </c>
      <c r="F143" s="67" t="str">
        <f>SUGERENCIAS!N123</f>
        <v>SIN</v>
      </c>
    </row>
    <row r="144" spans="1:6" ht="15" customHeight="1">
      <c r="A144" s="37" t="str">
        <f>SUGERENCIAS!B124</f>
        <v>SABADO</v>
      </c>
      <c r="B144" s="44" t="str">
        <f>SUGERENCIAS!G124</f>
        <v/>
      </c>
      <c r="C144" s="37" t="str">
        <f>SUGERENCIAS!G124</f>
        <v/>
      </c>
      <c r="D144" s="65" t="str">
        <f>SUGERENCIAS!G124</f>
        <v/>
      </c>
      <c r="E144" s="66" t="str">
        <f>SUGERENCIAS!L124</f>
        <v>--</v>
      </c>
      <c r="F144" s="67" t="str">
        <f>SUGERENCIAS!N124</f>
        <v>SIN</v>
      </c>
    </row>
    <row r="145" spans="1:6" ht="15" customHeight="1">
      <c r="A145" s="37" t="str">
        <f>SUGERENCIAS!B125</f>
        <v>SABADO</v>
      </c>
      <c r="B145" s="44" t="str">
        <f>SUGERENCIAS!G125</f>
        <v/>
      </c>
      <c r="C145" s="37" t="str">
        <f>SUGERENCIAS!G125</f>
        <v/>
      </c>
      <c r="D145" s="65" t="str">
        <f>SUGERENCIAS!G125</f>
        <v/>
      </c>
      <c r="E145" s="66" t="str">
        <f>SUGERENCIAS!L125</f>
        <v>--</v>
      </c>
      <c r="F145" s="67" t="str">
        <f>SUGERENCIAS!N125</f>
        <v>SIN</v>
      </c>
    </row>
    <row r="146" spans="1:6" ht="15" customHeight="1">
      <c r="A146" s="37" t="str">
        <f>SUGERENCIAS!B126</f>
        <v>SABADO</v>
      </c>
      <c r="B146" s="44" t="str">
        <f>SUGERENCIAS!G126</f>
        <v/>
      </c>
      <c r="C146" s="37" t="str">
        <f>SUGERENCIAS!G126</f>
        <v/>
      </c>
      <c r="D146" s="65" t="str">
        <f>SUGERENCIAS!G126</f>
        <v/>
      </c>
      <c r="E146" s="66" t="str">
        <f>SUGERENCIAS!L126</f>
        <v>--</v>
      </c>
      <c r="F146" s="67" t="str">
        <f>SUGERENCIAS!N126</f>
        <v>SIN</v>
      </c>
    </row>
    <row r="147" spans="1:6" ht="15" customHeight="1">
      <c r="A147" s="37" t="str">
        <f>SUGERENCIAS!B127</f>
        <v>SABADO</v>
      </c>
      <c r="B147" s="44" t="str">
        <f>SUGERENCIAS!G127</f>
        <v/>
      </c>
      <c r="C147" s="37" t="str">
        <f>SUGERENCIAS!G127</f>
        <v/>
      </c>
      <c r="D147" s="65" t="str">
        <f>SUGERENCIAS!G127</f>
        <v/>
      </c>
      <c r="E147" s="66" t="str">
        <f>SUGERENCIAS!L127</f>
        <v>--</v>
      </c>
      <c r="F147" s="67" t="str">
        <f>SUGERENCIAS!N127</f>
        <v>SIN</v>
      </c>
    </row>
    <row r="148" spans="1:6" ht="15" customHeight="1">
      <c r="A148" s="37" t="str">
        <f>SUGERENCIAS!B128</f>
        <v>SABADO</v>
      </c>
      <c r="B148" s="44" t="str">
        <f>SUGERENCIAS!G128</f>
        <v/>
      </c>
      <c r="C148" s="37" t="str">
        <f>SUGERENCIAS!G128</f>
        <v/>
      </c>
      <c r="D148" s="65" t="str">
        <f>SUGERENCIAS!G128</f>
        <v/>
      </c>
      <c r="E148" s="66" t="str">
        <f>SUGERENCIAS!L128</f>
        <v>--</v>
      </c>
      <c r="F148" s="67" t="str">
        <f>SUGERENCIAS!N128</f>
        <v>SIN</v>
      </c>
    </row>
    <row r="149" spans="1:6" ht="15" customHeight="1">
      <c r="A149" s="37" t="str">
        <f>SUGERENCIAS!B129</f>
        <v>SABADO</v>
      </c>
      <c r="B149" s="44" t="str">
        <f>SUGERENCIAS!G129</f>
        <v/>
      </c>
      <c r="C149" s="37" t="str">
        <f>SUGERENCIAS!G129</f>
        <v/>
      </c>
      <c r="D149" s="65" t="str">
        <f>SUGERENCIAS!G129</f>
        <v/>
      </c>
      <c r="E149" s="66" t="str">
        <f>SUGERENCIAS!L129</f>
        <v>--</v>
      </c>
      <c r="F149" s="67" t="str">
        <f>SUGERENCIAS!N129</f>
        <v>SIN</v>
      </c>
    </row>
    <row r="150" spans="1:6" ht="15" customHeight="1">
      <c r="A150" s="37" t="str">
        <f>SUGERENCIAS!B130</f>
        <v>LUNES</v>
      </c>
      <c r="B150" s="44" t="str">
        <f>SUGERENCIAS!G130</f>
        <v/>
      </c>
      <c r="C150" s="37" t="str">
        <f>SUGERENCIAS!G130</f>
        <v/>
      </c>
      <c r="D150" s="65" t="str">
        <f>SUGERENCIAS!G130</f>
        <v/>
      </c>
      <c r="E150" s="66" t="str">
        <f>SUGERENCIAS!L130</f>
        <v>--</v>
      </c>
      <c r="F150" s="67" t="str">
        <f>SUGERENCIAS!N130</f>
        <v>SIN</v>
      </c>
    </row>
    <row r="151" spans="1:6" ht="15" customHeight="1">
      <c r="A151" s="37" t="str">
        <f>SUGERENCIAS!B131</f>
        <v>LUNES</v>
      </c>
      <c r="B151" s="44" t="str">
        <f>SUGERENCIAS!G131</f>
        <v/>
      </c>
      <c r="C151" s="37" t="str">
        <f>SUGERENCIAS!G131</f>
        <v/>
      </c>
      <c r="D151" s="65" t="str">
        <f>SUGERENCIAS!G131</f>
        <v/>
      </c>
      <c r="E151" s="66" t="str">
        <f>SUGERENCIAS!L131</f>
        <v>--</v>
      </c>
      <c r="F151" s="67" t="str">
        <f>SUGERENCIAS!N131</f>
        <v>SIN</v>
      </c>
    </row>
    <row r="152" spans="1:6" ht="15" customHeight="1">
      <c r="A152" s="37" t="str">
        <f>SUGERENCIAS!B132</f>
        <v>LUNES</v>
      </c>
      <c r="B152" s="44">
        <f>SUGERENCIAS!G132</f>
        <v>0</v>
      </c>
      <c r="C152" s="37">
        <f>SUGERENCIAS!G132</f>
        <v>0</v>
      </c>
      <c r="D152" s="65">
        <f>SUGERENCIAS!G132</f>
        <v>0</v>
      </c>
      <c r="E152" s="66">
        <f>SUGERENCIAS!L132</f>
        <v>6</v>
      </c>
      <c r="F152" s="67" t="str">
        <f>SUGERENCIAS!N132</f>
        <v>SUBIR_F</v>
      </c>
    </row>
    <row r="153" spans="1:6" ht="15" customHeight="1">
      <c r="A153" s="37" t="str">
        <f>SUGERENCIAS!B133</f>
        <v>LUNES</v>
      </c>
      <c r="B153" s="44" t="str">
        <f>SUGERENCIAS!G133</f>
        <v/>
      </c>
      <c r="C153" s="37" t="str">
        <f>SUGERENCIAS!G133</f>
        <v/>
      </c>
      <c r="D153" s="65" t="str">
        <f>SUGERENCIAS!G133</f>
        <v/>
      </c>
      <c r="E153" s="66" t="str">
        <f>SUGERENCIAS!L133</f>
        <v>--</v>
      </c>
      <c r="F153" s="67" t="str">
        <f>SUGERENCIAS!N133</f>
        <v>SIN</v>
      </c>
    </row>
    <row r="154" spans="1:6" ht="15" customHeight="1">
      <c r="A154" s="37" t="str">
        <f>SUGERENCIAS!B134</f>
        <v>LUNES</v>
      </c>
      <c r="B154" s="44" t="str">
        <f>SUGERENCIAS!G134</f>
        <v/>
      </c>
      <c r="C154" s="37" t="str">
        <f>SUGERENCIAS!G134</f>
        <v/>
      </c>
      <c r="D154" s="65" t="str">
        <f>SUGERENCIAS!G134</f>
        <v/>
      </c>
      <c r="E154" s="66" t="str">
        <f>SUGERENCIAS!L134</f>
        <v>--</v>
      </c>
      <c r="F154" s="67" t="str">
        <f>SUGERENCIAS!N134</f>
        <v>SIN</v>
      </c>
    </row>
    <row r="155" spans="1:6" ht="15" customHeight="1">
      <c r="A155" s="37" t="str">
        <f>SUGERENCIAS!B135</f>
        <v>LUNES</v>
      </c>
      <c r="B155" s="44" t="str">
        <f>SUGERENCIAS!G135</f>
        <v/>
      </c>
      <c r="C155" s="37" t="str">
        <f>SUGERENCIAS!G135</f>
        <v/>
      </c>
      <c r="D155" s="65" t="str">
        <f>SUGERENCIAS!G135</f>
        <v/>
      </c>
      <c r="E155" s="66" t="str">
        <f>SUGERENCIAS!L135</f>
        <v>--</v>
      </c>
      <c r="F155" s="67" t="str">
        <f>SUGERENCIAS!N135</f>
        <v>SIN</v>
      </c>
    </row>
    <row r="156" spans="1:6" ht="15" customHeight="1">
      <c r="A156" s="37" t="str">
        <f>SUGERENCIAS!B136</f>
        <v>LUNES</v>
      </c>
      <c r="B156" s="44" t="str">
        <f>SUGERENCIAS!G136</f>
        <v/>
      </c>
      <c r="C156" s="37" t="str">
        <f>SUGERENCIAS!G136</f>
        <v/>
      </c>
      <c r="D156" s="65" t="str">
        <f>SUGERENCIAS!G136</f>
        <v/>
      </c>
      <c r="E156" s="66" t="str">
        <f>SUGERENCIAS!L136</f>
        <v>--</v>
      </c>
      <c r="F156" s="67" t="str">
        <f>SUGERENCIAS!N136</f>
        <v>SIN</v>
      </c>
    </row>
    <row r="157" spans="1:6" ht="15" customHeight="1">
      <c r="A157" s="37" t="str">
        <f>SUGERENCIAS!B137</f>
        <v>LUNES</v>
      </c>
      <c r="B157" s="44" t="str">
        <f>SUGERENCIAS!G137</f>
        <v/>
      </c>
      <c r="C157" s="37" t="str">
        <f>SUGERENCIAS!G137</f>
        <v/>
      </c>
      <c r="D157" s="65" t="str">
        <f>SUGERENCIAS!G137</f>
        <v/>
      </c>
      <c r="E157" s="66" t="str">
        <f>SUGERENCIAS!L137</f>
        <v>--</v>
      </c>
      <c r="F157" s="67" t="str">
        <f>SUGERENCIAS!N137</f>
        <v>SIN</v>
      </c>
    </row>
    <row r="158" spans="1:6" ht="15" customHeight="1">
      <c r="A158" s="37" t="str">
        <f>SUGERENCIAS!B138</f>
        <v>LUNES</v>
      </c>
      <c r="B158" s="44" t="str">
        <f>SUGERENCIAS!G138</f>
        <v/>
      </c>
      <c r="C158" s="37" t="str">
        <f>SUGERENCIAS!G138</f>
        <v/>
      </c>
      <c r="D158" s="65" t="str">
        <f>SUGERENCIAS!G138</f>
        <v/>
      </c>
      <c r="E158" s="66" t="str">
        <f>SUGERENCIAS!L138</f>
        <v>--</v>
      </c>
      <c r="F158" s="67" t="str">
        <f>SUGERENCIAS!N138</f>
        <v>SIN</v>
      </c>
    </row>
    <row r="159" spans="1:6" ht="15" customHeight="1">
      <c r="A159" s="37" t="str">
        <f>SUGERENCIAS!B139</f>
        <v>LUNES</v>
      </c>
      <c r="B159" s="44" t="str">
        <f>SUGERENCIAS!G139</f>
        <v/>
      </c>
      <c r="C159" s="37" t="str">
        <f>SUGERENCIAS!G139</f>
        <v/>
      </c>
      <c r="D159" s="65" t="str">
        <f>SUGERENCIAS!G139</f>
        <v/>
      </c>
      <c r="E159" s="66" t="str">
        <f>SUGERENCIAS!L139</f>
        <v>--</v>
      </c>
      <c r="F159" s="67" t="str">
        <f>SUGERENCIAS!N139</f>
        <v>SIN</v>
      </c>
    </row>
    <row r="160" spans="1:6" ht="15" customHeight="1">
      <c r="A160" s="37" t="str">
        <f>SUGERENCIAS!B140</f>
        <v>LUNES</v>
      </c>
      <c r="B160" s="44" t="str">
        <f>SUGERENCIAS!G140</f>
        <v/>
      </c>
      <c r="C160" s="37" t="str">
        <f>SUGERENCIAS!G140</f>
        <v/>
      </c>
      <c r="D160" s="65" t="str">
        <f>SUGERENCIAS!G140</f>
        <v/>
      </c>
      <c r="E160" s="66" t="str">
        <f>SUGERENCIAS!L140</f>
        <v>--</v>
      </c>
      <c r="F160" s="67" t="str">
        <f>SUGERENCIAS!N140</f>
        <v>SIN</v>
      </c>
    </row>
    <row r="161" spans="1:6" ht="15" customHeight="1">
      <c r="A161" s="37" t="str">
        <f>SUGERENCIAS!B141</f>
        <v>MARTES</v>
      </c>
      <c r="B161" s="44" t="str">
        <f>SUGERENCIAS!G141</f>
        <v/>
      </c>
      <c r="C161" s="37" t="str">
        <f>SUGERENCIAS!G141</f>
        <v/>
      </c>
      <c r="D161" s="65" t="str">
        <f>SUGERENCIAS!G141</f>
        <v/>
      </c>
      <c r="E161" s="66" t="str">
        <f>SUGERENCIAS!L141</f>
        <v>--</v>
      </c>
      <c r="F161" s="67" t="str">
        <f>SUGERENCIAS!N141</f>
        <v>SIN</v>
      </c>
    </row>
    <row r="162" spans="1:6" ht="15" customHeight="1">
      <c r="A162" s="37" t="str">
        <f>SUGERENCIAS!B142</f>
        <v>MARTES</v>
      </c>
      <c r="B162" s="44" t="str">
        <f>SUGERENCIAS!G142</f>
        <v/>
      </c>
      <c r="C162" s="37" t="str">
        <f>SUGERENCIAS!G142</f>
        <v/>
      </c>
      <c r="D162" s="65" t="str">
        <f>SUGERENCIAS!G142</f>
        <v/>
      </c>
      <c r="E162" s="66" t="str">
        <f>SUGERENCIAS!L142</f>
        <v>--</v>
      </c>
      <c r="F162" s="67" t="str">
        <f>SUGERENCIAS!N142</f>
        <v>SIN</v>
      </c>
    </row>
    <row r="163" spans="1:6" ht="15" customHeight="1">
      <c r="A163" s="37" t="str">
        <f>SUGERENCIAS!B143</f>
        <v>MARTES</v>
      </c>
      <c r="B163" s="44" t="str">
        <f>SUGERENCIAS!G143</f>
        <v/>
      </c>
      <c r="C163" s="37" t="str">
        <f>SUGERENCIAS!G143</f>
        <v/>
      </c>
      <c r="D163" s="65" t="str">
        <f>SUGERENCIAS!G143</f>
        <v/>
      </c>
      <c r="E163" s="66" t="str">
        <f>SUGERENCIAS!L143</f>
        <v>--</v>
      </c>
      <c r="F163" s="67" t="str">
        <f>SUGERENCIAS!N143</f>
        <v>SIN</v>
      </c>
    </row>
    <row r="164" spans="1:6" ht="15" customHeight="1">
      <c r="A164" s="37" t="str">
        <f>SUGERENCIAS!B144</f>
        <v>MARTES</v>
      </c>
      <c r="B164" s="44" t="str">
        <f>SUGERENCIAS!G144</f>
        <v/>
      </c>
      <c r="C164" s="37" t="str">
        <f>SUGERENCIAS!G144</f>
        <v/>
      </c>
      <c r="D164" s="65" t="str">
        <f>SUGERENCIAS!G144</f>
        <v/>
      </c>
      <c r="E164" s="66" t="str">
        <f>SUGERENCIAS!L144</f>
        <v>--</v>
      </c>
      <c r="F164" s="67" t="str">
        <f>SUGERENCIAS!N144</f>
        <v>SIN</v>
      </c>
    </row>
    <row r="165" spans="1:6" ht="15" customHeight="1">
      <c r="A165" s="37" t="str">
        <f>SUGERENCIAS!B145</f>
        <v>MARTES</v>
      </c>
      <c r="B165" s="44" t="str">
        <f>SUGERENCIAS!G145</f>
        <v/>
      </c>
      <c r="C165" s="37" t="str">
        <f>SUGERENCIAS!G145</f>
        <v/>
      </c>
      <c r="D165" s="65" t="str">
        <f>SUGERENCIAS!G145</f>
        <v/>
      </c>
      <c r="E165" s="66" t="str">
        <f>SUGERENCIAS!L145</f>
        <v>--</v>
      </c>
      <c r="F165" s="67" t="str">
        <f>SUGERENCIAS!N145</f>
        <v>SIN</v>
      </c>
    </row>
    <row r="166" spans="1:6" ht="15" customHeight="1">
      <c r="A166" s="37" t="str">
        <f>SUGERENCIAS!B146</f>
        <v>MARTES</v>
      </c>
      <c r="B166" s="44" t="str">
        <f>SUGERENCIAS!G146</f>
        <v/>
      </c>
      <c r="C166" s="37" t="str">
        <f>SUGERENCIAS!G146</f>
        <v/>
      </c>
      <c r="D166" s="65" t="str">
        <f>SUGERENCIAS!G146</f>
        <v/>
      </c>
      <c r="E166" s="66" t="str">
        <f>SUGERENCIAS!L146</f>
        <v>--</v>
      </c>
      <c r="F166" s="67" t="str">
        <f>SUGERENCIAS!N146</f>
        <v>SIN</v>
      </c>
    </row>
    <row r="167" spans="1:6" ht="15" customHeight="1">
      <c r="A167" s="37" t="str">
        <f>SUGERENCIAS!B147</f>
        <v>MARTES</v>
      </c>
      <c r="B167" s="44" t="str">
        <f>SUGERENCIAS!G147</f>
        <v/>
      </c>
      <c r="C167" s="37" t="str">
        <f>SUGERENCIAS!G147</f>
        <v/>
      </c>
      <c r="D167" s="65" t="str">
        <f>SUGERENCIAS!G147</f>
        <v/>
      </c>
      <c r="E167" s="66" t="str">
        <f>SUGERENCIAS!L147</f>
        <v>--</v>
      </c>
      <c r="F167" s="67" t="str">
        <f>SUGERENCIAS!N147</f>
        <v>SIN</v>
      </c>
    </row>
    <row r="168" spans="1:6" ht="15" customHeight="1">
      <c r="A168" s="37" t="str">
        <f>SUGERENCIAS!B148</f>
        <v>MARTES</v>
      </c>
      <c r="B168" s="44" t="str">
        <f>SUGERENCIAS!G148</f>
        <v/>
      </c>
      <c r="C168" s="37" t="str">
        <f>SUGERENCIAS!G148</f>
        <v/>
      </c>
      <c r="D168" s="65" t="str">
        <f>SUGERENCIAS!G148</f>
        <v/>
      </c>
      <c r="E168" s="66" t="str">
        <f>SUGERENCIAS!L148</f>
        <v>--</v>
      </c>
      <c r="F168" s="67" t="str">
        <f>SUGERENCIAS!N148</f>
        <v>SIN</v>
      </c>
    </row>
    <row r="169" spans="1:6" ht="15" customHeight="1">
      <c r="A169" s="37" t="str">
        <f>SUGERENCIAS!B149</f>
        <v>MARTES</v>
      </c>
      <c r="B169" s="44" t="str">
        <f>SUGERENCIAS!G149</f>
        <v/>
      </c>
      <c r="C169" s="37" t="str">
        <f>SUGERENCIAS!G149</f>
        <v/>
      </c>
      <c r="D169" s="65" t="str">
        <f>SUGERENCIAS!G149</f>
        <v/>
      </c>
      <c r="E169" s="66" t="str">
        <f>SUGERENCIAS!L149</f>
        <v>--</v>
      </c>
      <c r="F169" s="67" t="str">
        <f>SUGERENCIAS!N149</f>
        <v>SIN</v>
      </c>
    </row>
    <row r="170" spans="1:6" ht="15" customHeight="1">
      <c r="A170" s="37" t="str">
        <f>SUGERENCIAS!B150</f>
        <v>MARTES</v>
      </c>
      <c r="B170" s="44" t="str">
        <f>SUGERENCIAS!G150</f>
        <v/>
      </c>
      <c r="C170" s="37" t="str">
        <f>SUGERENCIAS!G150</f>
        <v/>
      </c>
      <c r="D170" s="65" t="str">
        <f>SUGERENCIAS!G150</f>
        <v/>
      </c>
      <c r="E170" s="66" t="str">
        <f>SUGERENCIAS!L150</f>
        <v>--</v>
      </c>
      <c r="F170" s="67" t="str">
        <f>SUGERENCIAS!N150</f>
        <v>SIN</v>
      </c>
    </row>
    <row r="171" spans="1:6" ht="15" customHeight="1">
      <c r="A171" s="37" t="str">
        <f>SUGERENCIAS!B151</f>
        <v>MARTES</v>
      </c>
      <c r="B171" s="44" t="str">
        <f>SUGERENCIAS!G151</f>
        <v/>
      </c>
      <c r="C171" s="37" t="str">
        <f>SUGERENCIAS!G151</f>
        <v/>
      </c>
      <c r="D171" s="65" t="str">
        <f>SUGERENCIAS!G151</f>
        <v/>
      </c>
      <c r="E171" s="66" t="str">
        <f>SUGERENCIAS!L151</f>
        <v>--</v>
      </c>
      <c r="F171" s="67" t="str">
        <f>SUGERENCIAS!N151</f>
        <v>SIN</v>
      </c>
    </row>
    <row r="172" spans="1:6" ht="15" customHeight="1">
      <c r="A172" s="37" t="str">
        <f>SUGERENCIAS!B152</f>
        <v>MIERCOLES</v>
      </c>
      <c r="B172" s="44" t="str">
        <f>SUGERENCIAS!G152</f>
        <v/>
      </c>
      <c r="C172" s="37" t="str">
        <f>SUGERENCIAS!G152</f>
        <v/>
      </c>
      <c r="D172" s="65" t="str">
        <f>SUGERENCIAS!G152</f>
        <v/>
      </c>
      <c r="E172" s="66" t="str">
        <f>SUGERENCIAS!L152</f>
        <v>--</v>
      </c>
      <c r="F172" s="67" t="str">
        <f>SUGERENCIAS!N152</f>
        <v>SIN</v>
      </c>
    </row>
    <row r="173" spans="1:6" ht="15" customHeight="1">
      <c r="A173" s="37" t="str">
        <f>SUGERENCIAS!B153</f>
        <v>MIERCOLES</v>
      </c>
      <c r="B173" s="44" t="str">
        <f>SUGERENCIAS!G153</f>
        <v/>
      </c>
      <c r="C173" s="37" t="str">
        <f>SUGERENCIAS!G153</f>
        <v/>
      </c>
      <c r="D173" s="65" t="str">
        <f>SUGERENCIAS!G153</f>
        <v/>
      </c>
      <c r="E173" s="66" t="str">
        <f>SUGERENCIAS!L153</f>
        <v>--</v>
      </c>
      <c r="F173" s="67" t="str">
        <f>SUGERENCIAS!N153</f>
        <v>SIN</v>
      </c>
    </row>
    <row r="174" spans="1:6" ht="15" customHeight="1">
      <c r="A174" s="37" t="str">
        <f>SUGERENCIAS!B154</f>
        <v>MIERCOLES</v>
      </c>
      <c r="B174" s="44" t="str">
        <f>SUGERENCIAS!G154</f>
        <v/>
      </c>
      <c r="C174" s="37" t="str">
        <f>SUGERENCIAS!G154</f>
        <v/>
      </c>
      <c r="D174" s="65" t="str">
        <f>SUGERENCIAS!G154</f>
        <v/>
      </c>
      <c r="E174" s="66" t="str">
        <f>SUGERENCIAS!L154</f>
        <v>--</v>
      </c>
      <c r="F174" s="67" t="str">
        <f>SUGERENCIAS!N154</f>
        <v>SIN</v>
      </c>
    </row>
    <row r="175" spans="1:6" ht="15" customHeight="1">
      <c r="A175" s="37" t="str">
        <f>SUGERENCIAS!B155</f>
        <v>MIERCOLES</v>
      </c>
      <c r="B175" s="44" t="str">
        <f>SUGERENCIAS!G155</f>
        <v/>
      </c>
      <c r="C175" s="37" t="str">
        <f>SUGERENCIAS!G155</f>
        <v/>
      </c>
      <c r="D175" s="65" t="str">
        <f>SUGERENCIAS!G155</f>
        <v/>
      </c>
      <c r="E175" s="66" t="str">
        <f>SUGERENCIAS!L155</f>
        <v>--</v>
      </c>
      <c r="F175" s="67" t="str">
        <f>SUGERENCIAS!N155</f>
        <v>SIN</v>
      </c>
    </row>
    <row r="176" spans="1:6" ht="15" customHeight="1">
      <c r="A176" s="37" t="str">
        <f>SUGERENCIAS!B156</f>
        <v>MIERCOLES</v>
      </c>
      <c r="B176" s="44" t="str">
        <f>SUGERENCIAS!G156</f>
        <v/>
      </c>
      <c r="C176" s="37" t="str">
        <f>SUGERENCIAS!G156</f>
        <v/>
      </c>
      <c r="D176" s="65" t="str">
        <f>SUGERENCIAS!G156</f>
        <v/>
      </c>
      <c r="E176" s="66" t="str">
        <f>SUGERENCIAS!L156</f>
        <v>--</v>
      </c>
      <c r="F176" s="67" t="str">
        <f>SUGERENCIAS!N156</f>
        <v>SIN</v>
      </c>
    </row>
    <row r="177" spans="1:6" ht="15" customHeight="1">
      <c r="A177" s="37" t="str">
        <f>SUGERENCIAS!B157</f>
        <v>MIERCOLES</v>
      </c>
      <c r="B177" s="44" t="str">
        <f>SUGERENCIAS!G157</f>
        <v/>
      </c>
      <c r="C177" s="37" t="str">
        <f>SUGERENCIAS!G157</f>
        <v/>
      </c>
      <c r="D177" s="65" t="str">
        <f>SUGERENCIAS!G157</f>
        <v/>
      </c>
      <c r="E177" s="66" t="str">
        <f>SUGERENCIAS!L157</f>
        <v>--</v>
      </c>
      <c r="F177" s="67" t="str">
        <f>SUGERENCIAS!N157</f>
        <v>SIN</v>
      </c>
    </row>
    <row r="178" spans="1:6" ht="15" customHeight="1">
      <c r="A178" s="37" t="str">
        <f>SUGERENCIAS!B158</f>
        <v>MIERCOLES</v>
      </c>
      <c r="B178" s="44" t="str">
        <f>SUGERENCIAS!G158</f>
        <v/>
      </c>
      <c r="C178" s="37" t="str">
        <f>SUGERENCIAS!G158</f>
        <v/>
      </c>
      <c r="D178" s="65" t="str">
        <f>SUGERENCIAS!G158</f>
        <v/>
      </c>
      <c r="E178" s="66" t="str">
        <f>SUGERENCIAS!L158</f>
        <v>--</v>
      </c>
      <c r="F178" s="67" t="str">
        <f>SUGERENCIAS!N158</f>
        <v>SIN</v>
      </c>
    </row>
    <row r="179" spans="1:6" ht="15" customHeight="1">
      <c r="A179" s="37" t="str">
        <f>SUGERENCIAS!B159</f>
        <v>MIERCOLES</v>
      </c>
      <c r="B179" s="44" t="str">
        <f>SUGERENCIAS!G159</f>
        <v/>
      </c>
      <c r="C179" s="37" t="str">
        <f>SUGERENCIAS!G159</f>
        <v/>
      </c>
      <c r="D179" s="65" t="str">
        <f>SUGERENCIAS!G159</f>
        <v/>
      </c>
      <c r="E179" s="66" t="str">
        <f>SUGERENCIAS!L159</f>
        <v>--</v>
      </c>
      <c r="F179" s="67" t="str">
        <f>SUGERENCIAS!N159</f>
        <v>SIN</v>
      </c>
    </row>
    <row r="180" spans="1:6" ht="15" customHeight="1">
      <c r="A180" s="37" t="str">
        <f>SUGERENCIAS!B160</f>
        <v>MIERCOLES</v>
      </c>
      <c r="B180" s="44" t="str">
        <f>SUGERENCIAS!G160</f>
        <v/>
      </c>
      <c r="C180" s="37" t="str">
        <f>SUGERENCIAS!G160</f>
        <v/>
      </c>
      <c r="D180" s="65" t="str">
        <f>SUGERENCIAS!G160</f>
        <v/>
      </c>
      <c r="E180" s="66" t="str">
        <f>SUGERENCIAS!L160</f>
        <v>--</v>
      </c>
      <c r="F180" s="67" t="str">
        <f>SUGERENCIAS!N160</f>
        <v>SIN</v>
      </c>
    </row>
    <row r="181" spans="1:6" ht="15" customHeight="1">
      <c r="A181" s="37" t="str">
        <f>SUGERENCIAS!B161</f>
        <v>MIERCOLES</v>
      </c>
      <c r="B181" s="44" t="str">
        <f>SUGERENCIAS!G161</f>
        <v/>
      </c>
      <c r="C181" s="37" t="str">
        <f>SUGERENCIAS!G161</f>
        <v/>
      </c>
      <c r="D181" s="65" t="str">
        <f>SUGERENCIAS!G161</f>
        <v/>
      </c>
      <c r="E181" s="66" t="str">
        <f>SUGERENCIAS!L161</f>
        <v>--</v>
      </c>
      <c r="F181" s="67" t="str">
        <f>SUGERENCIAS!N161</f>
        <v>SIN</v>
      </c>
    </row>
    <row r="182" spans="1:6" ht="15" customHeight="1">
      <c r="A182" s="37" t="str">
        <f>SUGERENCIAS!B162</f>
        <v>MIERCOLES</v>
      </c>
      <c r="B182" s="44" t="str">
        <f>SUGERENCIAS!G162</f>
        <v/>
      </c>
      <c r="C182" s="37" t="str">
        <f>SUGERENCIAS!G162</f>
        <v/>
      </c>
      <c r="D182" s="65" t="str">
        <f>SUGERENCIAS!G162</f>
        <v/>
      </c>
      <c r="E182" s="66" t="str">
        <f>SUGERENCIAS!L162</f>
        <v>--</v>
      </c>
      <c r="F182" s="67" t="str">
        <f>SUGERENCIAS!N162</f>
        <v>SIN</v>
      </c>
    </row>
    <row r="183" spans="1:6" ht="15" customHeight="1">
      <c r="A183" s="37" t="str">
        <f>SUGERENCIAS!B163</f>
        <v>MIERCOLES</v>
      </c>
      <c r="B183" s="44" t="str">
        <f>SUGERENCIAS!G163</f>
        <v/>
      </c>
      <c r="C183" s="37" t="str">
        <f>SUGERENCIAS!G163</f>
        <v/>
      </c>
      <c r="D183" s="65" t="str">
        <f>SUGERENCIAS!G163</f>
        <v/>
      </c>
      <c r="E183" s="66" t="str">
        <f>SUGERENCIAS!L163</f>
        <v>--</v>
      </c>
      <c r="F183" s="67" t="str">
        <f>SUGERENCIAS!N163</f>
        <v>SIN</v>
      </c>
    </row>
    <row r="184" spans="1:6" ht="15" customHeight="1">
      <c r="A184" s="37" t="str">
        <f>SUGERENCIAS!B164</f>
        <v>MIERCOLES</v>
      </c>
      <c r="B184" s="44" t="str">
        <f>SUGERENCIAS!G164</f>
        <v/>
      </c>
      <c r="C184" s="37" t="str">
        <f>SUGERENCIAS!G164</f>
        <v/>
      </c>
      <c r="D184" s="65" t="str">
        <f>SUGERENCIAS!G164</f>
        <v/>
      </c>
      <c r="E184" s="66" t="str">
        <f>SUGERENCIAS!L164</f>
        <v>--</v>
      </c>
      <c r="F184" s="67" t="str">
        <f>SUGERENCIAS!N164</f>
        <v>SIN</v>
      </c>
    </row>
    <row r="185" spans="1:6" ht="15" customHeight="1">
      <c r="A185" s="37" t="str">
        <f>SUGERENCIAS!B165</f>
        <v>MIERCOLES</v>
      </c>
      <c r="B185" s="44" t="str">
        <f>SUGERENCIAS!G165</f>
        <v/>
      </c>
      <c r="C185" s="37" t="str">
        <f>SUGERENCIAS!G165</f>
        <v/>
      </c>
      <c r="D185" s="65" t="str">
        <f>SUGERENCIAS!G165</f>
        <v/>
      </c>
      <c r="E185" s="66" t="str">
        <f>SUGERENCIAS!L165</f>
        <v>--</v>
      </c>
      <c r="F185" s="67" t="str">
        <f>SUGERENCIAS!N165</f>
        <v>SIN</v>
      </c>
    </row>
    <row r="186" spans="1:6" ht="15" customHeight="1">
      <c r="A186" s="37" t="str">
        <f>SUGERENCIAS!B166</f>
        <v>MIERCOLES</v>
      </c>
      <c r="B186" s="44" t="str">
        <f>SUGERENCIAS!G166</f>
        <v/>
      </c>
      <c r="C186" s="37" t="str">
        <f>SUGERENCIAS!G166</f>
        <v/>
      </c>
      <c r="D186" s="65" t="str">
        <f>SUGERENCIAS!G166</f>
        <v/>
      </c>
      <c r="E186" s="66" t="str">
        <f>SUGERENCIAS!L166</f>
        <v>--</v>
      </c>
      <c r="F186" s="67" t="str">
        <f>SUGERENCIAS!N166</f>
        <v>SIN</v>
      </c>
    </row>
    <row r="187" spans="1:6" ht="15" customHeight="1">
      <c r="A187" s="37" t="str">
        <f>SUGERENCIAS!B167</f>
        <v>JUEVES</v>
      </c>
      <c r="B187" s="44" t="str">
        <f>SUGERENCIAS!G167</f>
        <v/>
      </c>
      <c r="C187" s="37" t="str">
        <f>SUGERENCIAS!G167</f>
        <v/>
      </c>
      <c r="D187" s="65" t="str">
        <f>SUGERENCIAS!G167</f>
        <v/>
      </c>
      <c r="E187" s="66" t="str">
        <f>SUGERENCIAS!L167</f>
        <v>--</v>
      </c>
      <c r="F187" s="67" t="str">
        <f>SUGERENCIAS!N167</f>
        <v>SIN</v>
      </c>
    </row>
    <row r="188" spans="1:6" ht="15" customHeight="1">
      <c r="A188" s="37" t="str">
        <f>SUGERENCIAS!B168</f>
        <v>JUEVES</v>
      </c>
      <c r="B188" s="44" t="str">
        <f>SUGERENCIAS!G168</f>
        <v/>
      </c>
      <c r="C188" s="37" t="str">
        <f>SUGERENCIAS!G168</f>
        <v/>
      </c>
      <c r="D188" s="65" t="str">
        <f>SUGERENCIAS!G168</f>
        <v/>
      </c>
      <c r="E188" s="66" t="str">
        <f>SUGERENCIAS!L168</f>
        <v>--</v>
      </c>
      <c r="F188" s="67" t="str">
        <f>SUGERENCIAS!N168</f>
        <v>SIN</v>
      </c>
    </row>
    <row r="189" spans="1:6" ht="15" customHeight="1">
      <c r="A189" s="37" t="str">
        <f>SUGERENCIAS!B169</f>
        <v>JUEVES</v>
      </c>
      <c r="B189" s="44" t="str">
        <f>SUGERENCIAS!G169</f>
        <v/>
      </c>
      <c r="C189" s="37" t="str">
        <f>SUGERENCIAS!G169</f>
        <v/>
      </c>
      <c r="D189" s="65" t="str">
        <f>SUGERENCIAS!G169</f>
        <v/>
      </c>
      <c r="E189" s="66" t="str">
        <f>SUGERENCIAS!L169</f>
        <v>--</v>
      </c>
      <c r="F189" s="67" t="str">
        <f>SUGERENCIAS!N169</f>
        <v>SIN</v>
      </c>
    </row>
    <row r="190" spans="1:6" ht="15" customHeight="1">
      <c r="A190" s="37" t="str">
        <f>SUGERENCIAS!B170</f>
        <v>JUEVES</v>
      </c>
      <c r="B190" s="44" t="str">
        <f>SUGERENCIAS!G170</f>
        <v/>
      </c>
      <c r="C190" s="37" t="str">
        <f>SUGERENCIAS!G170</f>
        <v/>
      </c>
      <c r="D190" s="65" t="str">
        <f>SUGERENCIAS!G170</f>
        <v/>
      </c>
      <c r="E190" s="66" t="str">
        <f>SUGERENCIAS!L170</f>
        <v>--</v>
      </c>
      <c r="F190" s="67" t="str">
        <f>SUGERENCIAS!N170</f>
        <v>SIN</v>
      </c>
    </row>
    <row r="191" spans="1:6" ht="15" customHeight="1">
      <c r="A191" s="37" t="str">
        <f>SUGERENCIAS!B171</f>
        <v>JUEVES</v>
      </c>
      <c r="B191" s="44" t="str">
        <f>SUGERENCIAS!G171</f>
        <v/>
      </c>
      <c r="C191" s="37" t="str">
        <f>SUGERENCIAS!G171</f>
        <v/>
      </c>
      <c r="D191" s="65" t="str">
        <f>SUGERENCIAS!G171</f>
        <v/>
      </c>
      <c r="E191" s="66" t="str">
        <f>SUGERENCIAS!L171</f>
        <v>--</v>
      </c>
      <c r="F191" s="67" t="str">
        <f>SUGERENCIAS!N171</f>
        <v>SIN</v>
      </c>
    </row>
    <row r="192" spans="1:6" ht="15" customHeight="1">
      <c r="A192" s="37" t="str">
        <f>SUGERENCIAS!B172</f>
        <v>JUEVES</v>
      </c>
      <c r="B192" s="44" t="str">
        <f>SUGERENCIAS!G172</f>
        <v/>
      </c>
      <c r="C192" s="37" t="str">
        <f>SUGERENCIAS!G172</f>
        <v/>
      </c>
      <c r="D192" s="65" t="str">
        <f>SUGERENCIAS!G172</f>
        <v/>
      </c>
      <c r="E192" s="66" t="str">
        <f>SUGERENCIAS!L172</f>
        <v>--</v>
      </c>
      <c r="F192" s="67" t="str">
        <f>SUGERENCIAS!N172</f>
        <v>SIN</v>
      </c>
    </row>
    <row r="193" spans="1:6" ht="15" customHeight="1">
      <c r="A193" s="37" t="str">
        <f>SUGERENCIAS!B173</f>
        <v>JUEVES</v>
      </c>
      <c r="B193" s="44" t="str">
        <f>SUGERENCIAS!G173</f>
        <v/>
      </c>
      <c r="C193" s="37" t="str">
        <f>SUGERENCIAS!G173</f>
        <v/>
      </c>
      <c r="D193" s="65" t="str">
        <f>SUGERENCIAS!G173</f>
        <v/>
      </c>
      <c r="E193" s="66" t="str">
        <f>SUGERENCIAS!L173</f>
        <v>--</v>
      </c>
      <c r="F193" s="67" t="str">
        <f>SUGERENCIAS!N173</f>
        <v>SIN</v>
      </c>
    </row>
    <row r="194" spans="1:6" ht="15" customHeight="1">
      <c r="A194" s="37" t="str">
        <f>SUGERENCIAS!B174</f>
        <v>JUEVES</v>
      </c>
      <c r="B194" s="44" t="str">
        <f>SUGERENCIAS!G174</f>
        <v/>
      </c>
      <c r="C194" s="37" t="str">
        <f>SUGERENCIAS!G174</f>
        <v/>
      </c>
      <c r="D194" s="65" t="str">
        <f>SUGERENCIAS!G174</f>
        <v/>
      </c>
      <c r="E194" s="66" t="str">
        <f>SUGERENCIAS!L174</f>
        <v>--</v>
      </c>
      <c r="F194" s="67" t="str">
        <f>SUGERENCIAS!N174</f>
        <v>SIN</v>
      </c>
    </row>
    <row r="195" spans="1:6" ht="15" customHeight="1">
      <c r="A195" s="37" t="str">
        <f>SUGERENCIAS!B175</f>
        <v>JUEVES</v>
      </c>
      <c r="B195" s="44" t="str">
        <f>SUGERENCIAS!G175</f>
        <v/>
      </c>
      <c r="C195" s="37" t="str">
        <f>SUGERENCIAS!G175</f>
        <v/>
      </c>
      <c r="D195" s="65" t="str">
        <f>SUGERENCIAS!G175</f>
        <v/>
      </c>
      <c r="E195" s="66" t="str">
        <f>SUGERENCIAS!L175</f>
        <v>--</v>
      </c>
      <c r="F195" s="67" t="str">
        <f>SUGERENCIAS!N175</f>
        <v>SIN</v>
      </c>
    </row>
    <row r="196" spans="1:6" ht="15" customHeight="1">
      <c r="A196" s="37" t="str">
        <f>SUGERENCIAS!B176</f>
        <v>JUEVES</v>
      </c>
      <c r="B196" s="44" t="str">
        <f>SUGERENCIAS!G176</f>
        <v/>
      </c>
      <c r="C196" s="37" t="str">
        <f>SUGERENCIAS!G176</f>
        <v/>
      </c>
      <c r="D196" s="65" t="str">
        <f>SUGERENCIAS!G176</f>
        <v/>
      </c>
      <c r="E196" s="66" t="str">
        <f>SUGERENCIAS!L176</f>
        <v>--</v>
      </c>
      <c r="F196" s="67" t="str">
        <f>SUGERENCIAS!N176</f>
        <v>SIN</v>
      </c>
    </row>
    <row r="197" spans="1:6" ht="15" customHeight="1">
      <c r="A197" s="37" t="str">
        <f>SUGERENCIAS!B177</f>
        <v>JUEVES</v>
      </c>
      <c r="B197" s="44" t="str">
        <f>SUGERENCIAS!G177</f>
        <v/>
      </c>
      <c r="C197" s="37" t="str">
        <f>SUGERENCIAS!G177</f>
        <v/>
      </c>
      <c r="D197" s="65" t="str">
        <f>SUGERENCIAS!G177</f>
        <v/>
      </c>
      <c r="E197" s="66" t="str">
        <f>SUGERENCIAS!L177</f>
        <v>--</v>
      </c>
      <c r="F197" s="67" t="str">
        <f>SUGERENCIAS!N177</f>
        <v>SIN</v>
      </c>
    </row>
    <row r="198" spans="1:6" ht="15" customHeight="1">
      <c r="A198" s="37" t="str">
        <f>SUGERENCIAS!B178</f>
        <v>JUEVES</v>
      </c>
      <c r="B198" s="44" t="str">
        <f>SUGERENCIAS!G178</f>
        <v/>
      </c>
      <c r="C198" s="37" t="str">
        <f>SUGERENCIAS!G178</f>
        <v/>
      </c>
      <c r="D198" s="65" t="str">
        <f>SUGERENCIAS!G178</f>
        <v/>
      </c>
      <c r="E198" s="66" t="str">
        <f>SUGERENCIAS!L178</f>
        <v>--</v>
      </c>
      <c r="F198" s="67" t="str">
        <f>SUGERENCIAS!N178</f>
        <v>SIN</v>
      </c>
    </row>
    <row r="199" spans="1:6" ht="15" customHeight="1">
      <c r="A199" s="37" t="str">
        <f>SUGERENCIAS!B179</f>
        <v>JUEVES</v>
      </c>
      <c r="B199" s="44" t="str">
        <f>SUGERENCIAS!G179</f>
        <v/>
      </c>
      <c r="C199" s="37" t="str">
        <f>SUGERENCIAS!G179</f>
        <v/>
      </c>
      <c r="D199" s="65" t="str">
        <f>SUGERENCIAS!G179</f>
        <v/>
      </c>
      <c r="E199" s="66" t="str">
        <f>SUGERENCIAS!L179</f>
        <v>--</v>
      </c>
      <c r="F199" s="67" t="str">
        <f>SUGERENCIAS!N179</f>
        <v>SIN</v>
      </c>
    </row>
    <row r="200" spans="1:6" ht="15" customHeight="1">
      <c r="A200" s="37" t="str">
        <f>SUGERENCIAS!B180</f>
        <v>SABADO</v>
      </c>
      <c r="B200" s="44" t="str">
        <f>SUGERENCIAS!G180</f>
        <v/>
      </c>
      <c r="C200" s="37" t="str">
        <f>SUGERENCIAS!G180</f>
        <v/>
      </c>
      <c r="D200" s="65" t="str">
        <f>SUGERENCIAS!G180</f>
        <v/>
      </c>
      <c r="E200" s="66" t="str">
        <f>SUGERENCIAS!L180</f>
        <v>--</v>
      </c>
      <c r="F200" s="67" t="str">
        <f>SUGERENCIAS!N180</f>
        <v>SIN</v>
      </c>
    </row>
    <row r="201" spans="1:6" ht="15" customHeight="1">
      <c r="A201" s="37" t="str">
        <f>SUGERENCIAS!B181</f>
        <v>SABADO</v>
      </c>
      <c r="B201" s="44" t="str">
        <f>SUGERENCIAS!G181</f>
        <v/>
      </c>
      <c r="C201" s="37" t="str">
        <f>SUGERENCIAS!G181</f>
        <v/>
      </c>
      <c r="D201" s="65" t="str">
        <f>SUGERENCIAS!G181</f>
        <v/>
      </c>
      <c r="E201" s="66" t="str">
        <f>SUGERENCIAS!L181</f>
        <v>--</v>
      </c>
      <c r="F201" s="67" t="str">
        <f>SUGERENCIAS!N181</f>
        <v>SIN</v>
      </c>
    </row>
    <row r="202" spans="1:6" ht="15" customHeight="1">
      <c r="A202" s="37" t="str">
        <f>SUGERENCIAS!B182</f>
        <v>SABADO</v>
      </c>
      <c r="B202" s="44" t="str">
        <f>SUGERENCIAS!G182</f>
        <v/>
      </c>
      <c r="C202" s="37" t="str">
        <f>SUGERENCIAS!G182</f>
        <v/>
      </c>
      <c r="D202" s="65" t="str">
        <f>SUGERENCIAS!G182</f>
        <v/>
      </c>
      <c r="E202" s="66" t="str">
        <f>SUGERENCIAS!L182</f>
        <v>--</v>
      </c>
      <c r="F202" s="67" t="str">
        <f>SUGERENCIAS!N182</f>
        <v>SIN</v>
      </c>
    </row>
    <row r="203" spans="1:6" ht="15" customHeight="1">
      <c r="A203" s="37" t="str">
        <f>SUGERENCIAS!B183</f>
        <v>SABADO</v>
      </c>
      <c r="B203" s="44" t="str">
        <f>SUGERENCIAS!G183</f>
        <v/>
      </c>
      <c r="C203" s="37" t="str">
        <f>SUGERENCIAS!G183</f>
        <v/>
      </c>
      <c r="D203" s="65" t="str">
        <f>SUGERENCIAS!G183</f>
        <v/>
      </c>
      <c r="E203" s="66" t="str">
        <f>SUGERENCIAS!L183</f>
        <v>--</v>
      </c>
      <c r="F203" s="67" t="str">
        <f>SUGERENCIAS!N183</f>
        <v>SIN</v>
      </c>
    </row>
    <row r="204" spans="1:6" ht="15" customHeight="1">
      <c r="A204" s="37" t="str">
        <f>SUGERENCIAS!B184</f>
        <v>SABADO</v>
      </c>
      <c r="B204" s="44" t="str">
        <f>SUGERENCIAS!G184</f>
        <v/>
      </c>
      <c r="C204" s="37" t="str">
        <f>SUGERENCIAS!G184</f>
        <v/>
      </c>
      <c r="D204" s="65" t="str">
        <f>SUGERENCIAS!G184</f>
        <v/>
      </c>
      <c r="E204" s="66" t="str">
        <f>SUGERENCIAS!L184</f>
        <v>--</v>
      </c>
      <c r="F204" s="67" t="str">
        <f>SUGERENCIAS!N184</f>
        <v>SIN</v>
      </c>
    </row>
    <row r="205" spans="1:6" ht="15" customHeight="1">
      <c r="A205" s="37" t="str">
        <f>SUGERENCIAS!B185</f>
        <v>SABADO</v>
      </c>
      <c r="B205" s="44" t="str">
        <f>SUGERENCIAS!G185</f>
        <v/>
      </c>
      <c r="C205" s="37" t="str">
        <f>SUGERENCIAS!G185</f>
        <v/>
      </c>
      <c r="D205" s="65" t="str">
        <f>SUGERENCIAS!G185</f>
        <v/>
      </c>
      <c r="E205" s="66" t="str">
        <f>SUGERENCIAS!L185</f>
        <v>--</v>
      </c>
      <c r="F205" s="67" t="str">
        <f>SUGERENCIAS!N185</f>
        <v>SIN</v>
      </c>
    </row>
    <row r="206" spans="1:6" ht="15" customHeight="1">
      <c r="A206" s="37" t="str">
        <f>SUGERENCIAS!B186</f>
        <v>SABADO</v>
      </c>
      <c r="B206" s="44" t="str">
        <f>SUGERENCIAS!G186</f>
        <v/>
      </c>
      <c r="C206" s="37" t="str">
        <f>SUGERENCIAS!G186</f>
        <v/>
      </c>
      <c r="D206" s="65" t="str">
        <f>SUGERENCIAS!G186</f>
        <v/>
      </c>
      <c r="E206" s="66" t="str">
        <f>SUGERENCIAS!L186</f>
        <v>--</v>
      </c>
      <c r="F206" s="67" t="str">
        <f>SUGERENCIAS!N186</f>
        <v>SIN</v>
      </c>
    </row>
    <row r="207" spans="1:6" ht="15" customHeight="1">
      <c r="A207" s="37" t="str">
        <f>SUGERENCIAS!B187</f>
        <v>SABADO</v>
      </c>
      <c r="B207" s="44" t="str">
        <f>SUGERENCIAS!G187</f>
        <v/>
      </c>
      <c r="C207" s="37" t="str">
        <f>SUGERENCIAS!G187</f>
        <v/>
      </c>
      <c r="D207" s="65" t="str">
        <f>SUGERENCIAS!G187</f>
        <v/>
      </c>
      <c r="E207" s="66" t="str">
        <f>SUGERENCIAS!L187</f>
        <v>--</v>
      </c>
      <c r="F207" s="67" t="str">
        <f>SUGERENCIAS!N187</f>
        <v>SIN</v>
      </c>
    </row>
    <row r="208" spans="1:6" ht="15" customHeight="1">
      <c r="A208" s="37" t="str">
        <f>SUGERENCIAS!B188</f>
        <v>SABADO</v>
      </c>
      <c r="B208" s="44" t="str">
        <f>SUGERENCIAS!G188</f>
        <v/>
      </c>
      <c r="C208" s="37" t="str">
        <f>SUGERENCIAS!G188</f>
        <v/>
      </c>
      <c r="D208" s="65" t="str">
        <f>SUGERENCIAS!G188</f>
        <v/>
      </c>
      <c r="E208" s="66" t="str">
        <f>SUGERENCIAS!L188</f>
        <v>--</v>
      </c>
      <c r="F208" s="67" t="str">
        <f>SUGERENCIAS!N188</f>
        <v>SIN</v>
      </c>
    </row>
    <row r="209" spans="1:6" ht="15" customHeight="1">
      <c r="A209" s="37" t="str">
        <f>SUGERENCIAS!B189</f>
        <v>SABADO</v>
      </c>
      <c r="B209" s="44" t="str">
        <f>SUGERENCIAS!G189</f>
        <v/>
      </c>
      <c r="C209" s="37" t="str">
        <f>SUGERENCIAS!G189</f>
        <v/>
      </c>
      <c r="D209" s="65" t="str">
        <f>SUGERENCIAS!G189</f>
        <v/>
      </c>
      <c r="E209" s="66" t="str">
        <f>SUGERENCIAS!L189</f>
        <v>--</v>
      </c>
      <c r="F209" s="67" t="str">
        <f>SUGERENCIAS!N189</f>
        <v>SIN</v>
      </c>
    </row>
    <row r="210" spans="1:6" ht="15" customHeight="1">
      <c r="A210" s="37" t="str">
        <f>SUGERENCIAS!B190</f>
        <v>SABADO</v>
      </c>
      <c r="B210" s="44" t="str">
        <f>SUGERENCIAS!G190</f>
        <v/>
      </c>
      <c r="C210" s="37" t="str">
        <f>SUGERENCIAS!G190</f>
        <v/>
      </c>
      <c r="D210" s="65" t="str">
        <f>SUGERENCIAS!G190</f>
        <v/>
      </c>
      <c r="E210" s="66" t="str">
        <f>SUGERENCIAS!L190</f>
        <v>--</v>
      </c>
      <c r="F210" s="67" t="str">
        <f>SUGERENCIAS!N190</f>
        <v>SIN</v>
      </c>
    </row>
    <row r="211" spans="1:6" ht="15" customHeight="1">
      <c r="A211" s="37" t="str">
        <f>SUGERENCIAS!B191</f>
        <v>SABADO</v>
      </c>
      <c r="B211" s="44" t="str">
        <f>SUGERENCIAS!G191</f>
        <v/>
      </c>
      <c r="C211" s="37" t="str">
        <f>SUGERENCIAS!G191</f>
        <v/>
      </c>
      <c r="D211" s="65" t="str">
        <f>SUGERENCIAS!G191</f>
        <v/>
      </c>
      <c r="E211" s="66" t="str">
        <f>SUGERENCIAS!L191</f>
        <v>--</v>
      </c>
      <c r="F211" s="67" t="str">
        <f>SUGERENCIAS!N191</f>
        <v>SIN</v>
      </c>
    </row>
    <row r="212" spans="1:6" ht="15" customHeight="1">
      <c r="A212" s="37" t="str">
        <f>SUGERENCIAS!B192</f>
        <v>SABADO</v>
      </c>
      <c r="B212" s="44" t="str">
        <f>SUGERENCIAS!G192</f>
        <v/>
      </c>
      <c r="C212" s="37" t="str">
        <f>SUGERENCIAS!G192</f>
        <v/>
      </c>
      <c r="D212" s="65" t="str">
        <f>SUGERENCIAS!G192</f>
        <v/>
      </c>
      <c r="E212" s="66" t="str">
        <f>SUGERENCIAS!L192</f>
        <v>--</v>
      </c>
      <c r="F212" s="67" t="str">
        <f>SUGERENCIAS!N192</f>
        <v>SIN</v>
      </c>
    </row>
    <row r="213" spans="1:6" ht="15" customHeight="1">
      <c r="A213" s="37" t="str">
        <f>SUGERENCIAS!B193</f>
        <v>LUNES</v>
      </c>
      <c r="B213" s="44" t="str">
        <f>SUGERENCIAS!G193</f>
        <v/>
      </c>
      <c r="C213" s="37" t="str">
        <f>SUGERENCIAS!G193</f>
        <v/>
      </c>
      <c r="D213" s="65" t="str">
        <f>SUGERENCIAS!G193</f>
        <v/>
      </c>
      <c r="E213" s="66" t="str">
        <f>SUGERENCIAS!L193</f>
        <v>--</v>
      </c>
      <c r="F213" s="67" t="str">
        <f>SUGERENCIAS!N193</f>
        <v>SIN</v>
      </c>
    </row>
    <row r="214" spans="1:6" ht="15" customHeight="1">
      <c r="A214" s="37" t="str">
        <f>SUGERENCIAS!B194</f>
        <v>LUNES</v>
      </c>
      <c r="B214" s="44" t="str">
        <f>SUGERENCIAS!G194</f>
        <v/>
      </c>
      <c r="C214" s="37" t="str">
        <f>SUGERENCIAS!G194</f>
        <v/>
      </c>
      <c r="D214" s="65" t="str">
        <f>SUGERENCIAS!G194</f>
        <v/>
      </c>
      <c r="E214" s="66" t="str">
        <f>SUGERENCIAS!L194</f>
        <v>--</v>
      </c>
      <c r="F214" s="67" t="str">
        <f>SUGERENCIAS!N194</f>
        <v>SIN</v>
      </c>
    </row>
    <row r="215" spans="1:6" ht="15" customHeight="1">
      <c r="A215" s="37" t="str">
        <f>SUGERENCIAS!B195</f>
        <v>LUNES</v>
      </c>
      <c r="B215" s="44">
        <f>SUGERENCIAS!G195</f>
        <v>0</v>
      </c>
      <c r="C215" s="37">
        <f>SUGERENCIAS!G195</f>
        <v>0</v>
      </c>
      <c r="D215" s="65">
        <f>SUGERENCIAS!G195</f>
        <v>0</v>
      </c>
      <c r="E215" s="66">
        <f>SUGERENCIAS!L195</f>
        <v>6</v>
      </c>
      <c r="F215" s="67" t="str">
        <f>SUGERENCIAS!N195</f>
        <v>SUBIR_F</v>
      </c>
    </row>
    <row r="216" spans="1:6" ht="15" customHeight="1">
      <c r="A216" s="37" t="str">
        <f>SUGERENCIAS!B196</f>
        <v>LUNES</v>
      </c>
      <c r="B216" s="44" t="str">
        <f>SUGERENCIAS!G196</f>
        <v/>
      </c>
      <c r="C216" s="37" t="str">
        <f>SUGERENCIAS!G196</f>
        <v/>
      </c>
      <c r="D216" s="65" t="str">
        <f>SUGERENCIAS!G196</f>
        <v/>
      </c>
      <c r="E216" s="66" t="str">
        <f>SUGERENCIAS!L196</f>
        <v>--</v>
      </c>
      <c r="F216" s="67" t="str">
        <f>SUGERENCIAS!N196</f>
        <v>SIN</v>
      </c>
    </row>
    <row r="217" spans="1:6" ht="15" customHeight="1">
      <c r="A217" s="37" t="str">
        <f>SUGERENCIAS!B197</f>
        <v>LUNES</v>
      </c>
      <c r="B217" s="44" t="str">
        <f>SUGERENCIAS!G197</f>
        <v/>
      </c>
      <c r="C217" s="37" t="str">
        <f>SUGERENCIAS!G197</f>
        <v/>
      </c>
      <c r="D217" s="65" t="str">
        <f>SUGERENCIAS!G197</f>
        <v/>
      </c>
      <c r="E217" s="66" t="str">
        <f>SUGERENCIAS!L197</f>
        <v>--</v>
      </c>
      <c r="F217" s="67" t="str">
        <f>SUGERENCIAS!N197</f>
        <v>SIN</v>
      </c>
    </row>
    <row r="218" spans="1:6" ht="15" customHeight="1">
      <c r="A218" s="37" t="str">
        <f>SUGERENCIAS!B198</f>
        <v>LUNES</v>
      </c>
      <c r="B218" s="44" t="str">
        <f>SUGERENCIAS!G198</f>
        <v/>
      </c>
      <c r="C218" s="37" t="str">
        <f>SUGERENCIAS!G198</f>
        <v/>
      </c>
      <c r="D218" s="65" t="str">
        <f>SUGERENCIAS!G198</f>
        <v/>
      </c>
      <c r="E218" s="66" t="str">
        <f>SUGERENCIAS!L198</f>
        <v>--</v>
      </c>
      <c r="F218" s="67" t="str">
        <f>SUGERENCIAS!N198</f>
        <v>SIN</v>
      </c>
    </row>
    <row r="219" spans="1:6" ht="15" customHeight="1">
      <c r="A219" s="37" t="str">
        <f>SUGERENCIAS!B199</f>
        <v>LUNES</v>
      </c>
      <c r="B219" s="44" t="str">
        <f>SUGERENCIAS!G199</f>
        <v/>
      </c>
      <c r="C219" s="37" t="str">
        <f>SUGERENCIAS!G199</f>
        <v/>
      </c>
      <c r="D219" s="65" t="str">
        <f>SUGERENCIAS!G199</f>
        <v/>
      </c>
      <c r="E219" s="66" t="str">
        <f>SUGERENCIAS!L199</f>
        <v>--</v>
      </c>
      <c r="F219" s="67" t="str">
        <f>SUGERENCIAS!N199</f>
        <v>SIN</v>
      </c>
    </row>
    <row r="220" spans="1:6" ht="15" customHeight="1">
      <c r="A220" s="37" t="str">
        <f>SUGERENCIAS!B200</f>
        <v>LUNES</v>
      </c>
      <c r="B220" s="44" t="str">
        <f>SUGERENCIAS!G200</f>
        <v/>
      </c>
      <c r="C220" s="37" t="str">
        <f>SUGERENCIAS!G200</f>
        <v/>
      </c>
      <c r="D220" s="65" t="str">
        <f>SUGERENCIAS!G200</f>
        <v/>
      </c>
      <c r="E220" s="66" t="str">
        <f>SUGERENCIAS!L200</f>
        <v>--</v>
      </c>
      <c r="F220" s="67" t="str">
        <f>SUGERENCIAS!N200</f>
        <v>SIN</v>
      </c>
    </row>
    <row r="221" spans="1:6" ht="15" customHeight="1">
      <c r="A221" s="37" t="str">
        <f>SUGERENCIAS!B201</f>
        <v>LUNES</v>
      </c>
      <c r="B221" s="44" t="str">
        <f>SUGERENCIAS!G201</f>
        <v/>
      </c>
      <c r="C221" s="37" t="str">
        <f>SUGERENCIAS!G201</f>
        <v/>
      </c>
      <c r="D221" s="65" t="str">
        <f>SUGERENCIAS!G201</f>
        <v/>
      </c>
      <c r="E221" s="66" t="str">
        <f>SUGERENCIAS!L201</f>
        <v>--</v>
      </c>
      <c r="F221" s="67" t="str">
        <f>SUGERENCIAS!N201</f>
        <v>SIN</v>
      </c>
    </row>
    <row r="222" spans="1:6" ht="15" customHeight="1">
      <c r="A222" s="37" t="str">
        <f>SUGERENCIAS!B202</f>
        <v>LUNES</v>
      </c>
      <c r="B222" s="44" t="str">
        <f>SUGERENCIAS!G202</f>
        <v/>
      </c>
      <c r="C222" s="37" t="str">
        <f>SUGERENCIAS!G202</f>
        <v/>
      </c>
      <c r="D222" s="65" t="str">
        <f>SUGERENCIAS!G202</f>
        <v/>
      </c>
      <c r="E222" s="66" t="str">
        <f>SUGERENCIAS!L202</f>
        <v>--</v>
      </c>
      <c r="F222" s="67" t="str">
        <f>SUGERENCIAS!N202</f>
        <v>SIN</v>
      </c>
    </row>
    <row r="223" spans="1:6" ht="15" customHeight="1">
      <c r="A223" s="37" t="str">
        <f>SUGERENCIAS!B203</f>
        <v>LUNES</v>
      </c>
      <c r="B223" s="44" t="str">
        <f>SUGERENCIAS!G203</f>
        <v/>
      </c>
      <c r="C223" s="37" t="str">
        <f>SUGERENCIAS!G203</f>
        <v/>
      </c>
      <c r="D223" s="65" t="str">
        <f>SUGERENCIAS!G203</f>
        <v/>
      </c>
      <c r="E223" s="66" t="str">
        <f>SUGERENCIAS!L203</f>
        <v>--</v>
      </c>
      <c r="F223" s="67" t="str">
        <f>SUGERENCIAS!N203</f>
        <v>SIN</v>
      </c>
    </row>
    <row r="224" spans="1:6" ht="15" customHeight="1">
      <c r="A224" s="37" t="str">
        <f>SUGERENCIAS!B204</f>
        <v>MARTES</v>
      </c>
      <c r="B224" s="44" t="str">
        <f>SUGERENCIAS!G204</f>
        <v/>
      </c>
      <c r="C224" s="37" t="str">
        <f>SUGERENCIAS!G204</f>
        <v/>
      </c>
      <c r="D224" s="65" t="str">
        <f>SUGERENCIAS!G204</f>
        <v/>
      </c>
      <c r="E224" s="66" t="str">
        <f>SUGERENCIAS!L204</f>
        <v>--</v>
      </c>
      <c r="F224" s="67" t="str">
        <f>SUGERENCIAS!N204</f>
        <v>SIN</v>
      </c>
    </row>
    <row r="225" spans="1:6" ht="15" customHeight="1">
      <c r="A225" s="37" t="str">
        <f>SUGERENCIAS!B205</f>
        <v>MARTES</v>
      </c>
      <c r="B225" s="44" t="str">
        <f>SUGERENCIAS!G205</f>
        <v/>
      </c>
      <c r="C225" s="37" t="str">
        <f>SUGERENCIAS!G205</f>
        <v/>
      </c>
      <c r="D225" s="65" t="str">
        <f>SUGERENCIAS!G205</f>
        <v/>
      </c>
      <c r="E225" s="66" t="str">
        <f>SUGERENCIAS!L205</f>
        <v>--</v>
      </c>
      <c r="F225" s="67" t="str">
        <f>SUGERENCIAS!N205</f>
        <v>SIN</v>
      </c>
    </row>
    <row r="226" spans="1:6" ht="15" customHeight="1">
      <c r="A226" s="37" t="str">
        <f>SUGERENCIAS!B206</f>
        <v>MARTES</v>
      </c>
      <c r="B226" s="44" t="str">
        <f>SUGERENCIAS!G206</f>
        <v/>
      </c>
      <c r="C226" s="37" t="str">
        <f>SUGERENCIAS!G206</f>
        <v/>
      </c>
      <c r="D226" s="65" t="str">
        <f>SUGERENCIAS!G206</f>
        <v/>
      </c>
      <c r="E226" s="66" t="str">
        <f>SUGERENCIAS!L206</f>
        <v>--</v>
      </c>
      <c r="F226" s="67" t="str">
        <f>SUGERENCIAS!N206</f>
        <v>SIN</v>
      </c>
    </row>
    <row r="227" spans="1:6" ht="15" customHeight="1">
      <c r="A227" s="37" t="str">
        <f>SUGERENCIAS!B207</f>
        <v>MARTES</v>
      </c>
      <c r="B227" s="44" t="str">
        <f>SUGERENCIAS!G207</f>
        <v/>
      </c>
      <c r="C227" s="37" t="str">
        <f>SUGERENCIAS!G207</f>
        <v/>
      </c>
      <c r="D227" s="65" t="str">
        <f>SUGERENCIAS!G207</f>
        <v/>
      </c>
      <c r="E227" s="66" t="str">
        <f>SUGERENCIAS!L207</f>
        <v>--</v>
      </c>
      <c r="F227" s="67" t="str">
        <f>SUGERENCIAS!N207</f>
        <v>SIN</v>
      </c>
    </row>
    <row r="228" spans="1:6" ht="15" customHeight="1">
      <c r="A228" s="37" t="str">
        <f>SUGERENCIAS!B208</f>
        <v>MARTES</v>
      </c>
      <c r="B228" s="44" t="str">
        <f>SUGERENCIAS!G208</f>
        <v/>
      </c>
      <c r="C228" s="37" t="str">
        <f>SUGERENCIAS!G208</f>
        <v/>
      </c>
      <c r="D228" s="65" t="str">
        <f>SUGERENCIAS!G208</f>
        <v/>
      </c>
      <c r="E228" s="66" t="str">
        <f>SUGERENCIAS!L208</f>
        <v>--</v>
      </c>
      <c r="F228" s="67" t="str">
        <f>SUGERENCIAS!N208</f>
        <v>SIN</v>
      </c>
    </row>
    <row r="229" spans="1:6" ht="15" customHeight="1">
      <c r="A229" s="37" t="str">
        <f>SUGERENCIAS!B209</f>
        <v>MARTES</v>
      </c>
      <c r="B229" s="44" t="str">
        <f>SUGERENCIAS!G209</f>
        <v/>
      </c>
      <c r="C229" s="37" t="str">
        <f>SUGERENCIAS!G209</f>
        <v/>
      </c>
      <c r="D229" s="65" t="str">
        <f>SUGERENCIAS!G209</f>
        <v/>
      </c>
      <c r="E229" s="66" t="str">
        <f>SUGERENCIAS!L209</f>
        <v>--</v>
      </c>
      <c r="F229" s="67" t="str">
        <f>SUGERENCIAS!N209</f>
        <v>SIN</v>
      </c>
    </row>
    <row r="230" spans="1:6" ht="15" customHeight="1">
      <c r="A230" s="37" t="str">
        <f>SUGERENCIAS!B210</f>
        <v>MARTES</v>
      </c>
      <c r="B230" s="44" t="str">
        <f>SUGERENCIAS!G210</f>
        <v/>
      </c>
      <c r="C230" s="37" t="str">
        <f>SUGERENCIAS!G210</f>
        <v/>
      </c>
      <c r="D230" s="65" t="str">
        <f>SUGERENCIAS!G210</f>
        <v/>
      </c>
      <c r="E230" s="66" t="str">
        <f>SUGERENCIAS!L210</f>
        <v>--</v>
      </c>
      <c r="F230" s="67" t="str">
        <f>SUGERENCIAS!N210</f>
        <v>SIN</v>
      </c>
    </row>
    <row r="231" spans="1:6" ht="15" customHeight="1">
      <c r="A231" s="37" t="str">
        <f>SUGERENCIAS!B211</f>
        <v>MARTES</v>
      </c>
      <c r="B231" s="44" t="str">
        <f>SUGERENCIAS!G211</f>
        <v/>
      </c>
      <c r="C231" s="37" t="str">
        <f>SUGERENCIAS!G211</f>
        <v/>
      </c>
      <c r="D231" s="65" t="str">
        <f>SUGERENCIAS!G211</f>
        <v/>
      </c>
      <c r="E231" s="66" t="str">
        <f>SUGERENCIAS!L211</f>
        <v>--</v>
      </c>
      <c r="F231" s="67" t="str">
        <f>SUGERENCIAS!N211</f>
        <v>SIN</v>
      </c>
    </row>
    <row r="232" spans="1:6" ht="15" customHeight="1">
      <c r="A232" s="37" t="str">
        <f>SUGERENCIAS!B212</f>
        <v>MARTES</v>
      </c>
      <c r="B232" s="44" t="str">
        <f>SUGERENCIAS!G212</f>
        <v/>
      </c>
      <c r="C232" s="37" t="str">
        <f>SUGERENCIAS!G212</f>
        <v/>
      </c>
      <c r="D232" s="65" t="str">
        <f>SUGERENCIAS!G212</f>
        <v/>
      </c>
      <c r="E232" s="66" t="str">
        <f>SUGERENCIAS!L212</f>
        <v>--</v>
      </c>
      <c r="F232" s="67" t="str">
        <f>SUGERENCIAS!N212</f>
        <v>SIN</v>
      </c>
    </row>
    <row r="233" spans="1:6" ht="15" customHeight="1">
      <c r="A233" s="37" t="str">
        <f>SUGERENCIAS!B213</f>
        <v>MARTES</v>
      </c>
      <c r="B233" s="44" t="str">
        <f>SUGERENCIAS!G213</f>
        <v/>
      </c>
      <c r="C233" s="37" t="str">
        <f>SUGERENCIAS!G213</f>
        <v/>
      </c>
      <c r="D233" s="65" t="str">
        <f>SUGERENCIAS!G213</f>
        <v/>
      </c>
      <c r="E233" s="66" t="str">
        <f>SUGERENCIAS!L213</f>
        <v>--</v>
      </c>
      <c r="F233" s="67" t="str">
        <f>SUGERENCIAS!N213</f>
        <v>SIN</v>
      </c>
    </row>
    <row r="234" spans="1:6" ht="15" customHeight="1">
      <c r="A234" s="37" t="str">
        <f>SUGERENCIAS!B214</f>
        <v>MARTES</v>
      </c>
      <c r="B234" s="44" t="str">
        <f>SUGERENCIAS!G214</f>
        <v/>
      </c>
      <c r="C234" s="37" t="str">
        <f>SUGERENCIAS!G214</f>
        <v/>
      </c>
      <c r="D234" s="65" t="str">
        <f>SUGERENCIAS!G214</f>
        <v/>
      </c>
      <c r="E234" s="66" t="str">
        <f>SUGERENCIAS!L214</f>
        <v>--</v>
      </c>
      <c r="F234" s="67" t="str">
        <f>SUGERENCIAS!N214</f>
        <v>SIN</v>
      </c>
    </row>
    <row r="235" spans="1:6" ht="15" customHeight="1">
      <c r="A235" s="37" t="str">
        <f>SUGERENCIAS!B215</f>
        <v>MIERCOLES</v>
      </c>
      <c r="B235" s="44" t="str">
        <f>SUGERENCIAS!G215</f>
        <v/>
      </c>
      <c r="C235" s="37" t="str">
        <f>SUGERENCIAS!G215</f>
        <v/>
      </c>
      <c r="D235" s="65" t="str">
        <f>SUGERENCIAS!G215</f>
        <v/>
      </c>
      <c r="E235" s="66" t="str">
        <f>SUGERENCIAS!L215</f>
        <v>--</v>
      </c>
      <c r="F235" s="67" t="str">
        <f>SUGERENCIAS!N215</f>
        <v>SIN</v>
      </c>
    </row>
    <row r="236" spans="1:6" ht="15" customHeight="1">
      <c r="A236" s="37" t="str">
        <f>SUGERENCIAS!B216</f>
        <v>MIERCOLES</v>
      </c>
      <c r="B236" s="44" t="str">
        <f>SUGERENCIAS!G216</f>
        <v/>
      </c>
      <c r="C236" s="37" t="str">
        <f>SUGERENCIAS!G216</f>
        <v/>
      </c>
      <c r="D236" s="65" t="str">
        <f>SUGERENCIAS!G216</f>
        <v/>
      </c>
      <c r="E236" s="66" t="str">
        <f>SUGERENCIAS!L216</f>
        <v>--</v>
      </c>
      <c r="F236" s="67" t="str">
        <f>SUGERENCIAS!N216</f>
        <v>SIN</v>
      </c>
    </row>
    <row r="237" spans="1:6" ht="15" customHeight="1">
      <c r="A237" s="37" t="str">
        <f>SUGERENCIAS!B217</f>
        <v>MIERCOLES</v>
      </c>
      <c r="B237" s="44" t="str">
        <f>SUGERENCIAS!G217</f>
        <v/>
      </c>
      <c r="C237" s="37" t="str">
        <f>SUGERENCIAS!G217</f>
        <v/>
      </c>
      <c r="D237" s="65" t="str">
        <f>SUGERENCIAS!G217</f>
        <v/>
      </c>
      <c r="E237" s="66" t="str">
        <f>SUGERENCIAS!L217</f>
        <v>--</v>
      </c>
      <c r="F237" s="67" t="str">
        <f>SUGERENCIAS!N217</f>
        <v>SIN</v>
      </c>
    </row>
    <row r="238" spans="1:6" ht="15" customHeight="1">
      <c r="A238" s="37" t="str">
        <f>SUGERENCIAS!B218</f>
        <v>MIERCOLES</v>
      </c>
      <c r="B238" s="44" t="str">
        <f>SUGERENCIAS!G218</f>
        <v/>
      </c>
      <c r="C238" s="37" t="str">
        <f>SUGERENCIAS!G218</f>
        <v/>
      </c>
      <c r="D238" s="65" t="str">
        <f>SUGERENCIAS!G218</f>
        <v/>
      </c>
      <c r="E238" s="66" t="str">
        <f>SUGERENCIAS!L218</f>
        <v>--</v>
      </c>
      <c r="F238" s="67" t="str">
        <f>SUGERENCIAS!N218</f>
        <v>SIN</v>
      </c>
    </row>
    <row r="239" spans="1:6" ht="15" customHeight="1">
      <c r="A239" s="37" t="str">
        <f>SUGERENCIAS!B219</f>
        <v>MIERCOLES</v>
      </c>
      <c r="B239" s="44" t="str">
        <f>SUGERENCIAS!G219</f>
        <v/>
      </c>
      <c r="C239" s="37" t="str">
        <f>SUGERENCIAS!G219</f>
        <v/>
      </c>
      <c r="D239" s="65" t="str">
        <f>SUGERENCIAS!G219</f>
        <v/>
      </c>
      <c r="E239" s="66" t="str">
        <f>SUGERENCIAS!L219</f>
        <v>--</v>
      </c>
      <c r="F239" s="67" t="str">
        <f>SUGERENCIAS!N219</f>
        <v>SIN</v>
      </c>
    </row>
    <row r="240" spans="1:6" ht="15" customHeight="1">
      <c r="A240" s="37" t="str">
        <f>SUGERENCIAS!B220</f>
        <v>MIERCOLES</v>
      </c>
      <c r="B240" s="44" t="str">
        <f>SUGERENCIAS!G220</f>
        <v/>
      </c>
      <c r="C240" s="37" t="str">
        <f>SUGERENCIAS!G220</f>
        <v/>
      </c>
      <c r="D240" s="65" t="str">
        <f>SUGERENCIAS!G220</f>
        <v/>
      </c>
      <c r="E240" s="66" t="str">
        <f>SUGERENCIAS!L220</f>
        <v>--</v>
      </c>
      <c r="F240" s="67" t="str">
        <f>SUGERENCIAS!N220</f>
        <v>SIN</v>
      </c>
    </row>
    <row r="241" spans="1:6" ht="15" customHeight="1">
      <c r="A241" s="37" t="str">
        <f>SUGERENCIAS!B221</f>
        <v>MIERCOLES</v>
      </c>
      <c r="B241" s="44" t="str">
        <f>SUGERENCIAS!G221</f>
        <v/>
      </c>
      <c r="C241" s="37" t="str">
        <f>SUGERENCIAS!G221</f>
        <v/>
      </c>
      <c r="D241" s="65" t="str">
        <f>SUGERENCIAS!G221</f>
        <v/>
      </c>
      <c r="E241" s="66" t="str">
        <f>SUGERENCIAS!L221</f>
        <v>--</v>
      </c>
      <c r="F241" s="67" t="str">
        <f>SUGERENCIAS!N221</f>
        <v>SIN</v>
      </c>
    </row>
    <row r="242" spans="1:6" ht="15" customHeight="1">
      <c r="A242" s="37" t="str">
        <f>SUGERENCIAS!B222</f>
        <v>MIERCOLES</v>
      </c>
      <c r="B242" s="44" t="str">
        <f>SUGERENCIAS!G222</f>
        <v/>
      </c>
      <c r="C242" s="37" t="str">
        <f>SUGERENCIAS!G222</f>
        <v/>
      </c>
      <c r="D242" s="65" t="str">
        <f>SUGERENCIAS!G222</f>
        <v/>
      </c>
      <c r="E242" s="66" t="str">
        <f>SUGERENCIAS!L222</f>
        <v>--</v>
      </c>
      <c r="F242" s="67" t="str">
        <f>SUGERENCIAS!N222</f>
        <v>SIN</v>
      </c>
    </row>
    <row r="243" spans="1:6" ht="15" customHeight="1">
      <c r="A243" s="37" t="str">
        <f>SUGERENCIAS!B223</f>
        <v>MIERCOLES</v>
      </c>
      <c r="B243" s="44" t="str">
        <f>SUGERENCIAS!G223</f>
        <v/>
      </c>
      <c r="C243" s="37" t="str">
        <f>SUGERENCIAS!G223</f>
        <v/>
      </c>
      <c r="D243" s="65" t="str">
        <f>SUGERENCIAS!G223</f>
        <v/>
      </c>
      <c r="E243" s="66" t="str">
        <f>SUGERENCIAS!L223</f>
        <v>--</v>
      </c>
      <c r="F243" s="67" t="str">
        <f>SUGERENCIAS!N223</f>
        <v>SIN</v>
      </c>
    </row>
    <row r="244" spans="1:6" ht="15" customHeight="1">
      <c r="A244" s="37" t="str">
        <f>SUGERENCIAS!B224</f>
        <v>MIERCOLES</v>
      </c>
      <c r="B244" s="44" t="str">
        <f>SUGERENCIAS!G224</f>
        <v/>
      </c>
      <c r="C244" s="37" t="str">
        <f>SUGERENCIAS!G224</f>
        <v/>
      </c>
      <c r="D244" s="65" t="str">
        <f>SUGERENCIAS!G224</f>
        <v/>
      </c>
      <c r="E244" s="66" t="str">
        <f>SUGERENCIAS!L224</f>
        <v>--</v>
      </c>
      <c r="F244" s="67" t="str">
        <f>SUGERENCIAS!N224</f>
        <v>SIN</v>
      </c>
    </row>
    <row r="245" spans="1:6" ht="15" customHeight="1">
      <c r="A245" s="37" t="str">
        <f>SUGERENCIAS!B225</f>
        <v>MIERCOLES</v>
      </c>
      <c r="B245" s="44" t="str">
        <f>SUGERENCIAS!G225</f>
        <v/>
      </c>
      <c r="C245" s="37" t="str">
        <f>SUGERENCIAS!G225</f>
        <v/>
      </c>
      <c r="D245" s="65" t="str">
        <f>SUGERENCIAS!G225</f>
        <v/>
      </c>
      <c r="E245" s="66" t="str">
        <f>SUGERENCIAS!L225</f>
        <v>--</v>
      </c>
      <c r="F245" s="67" t="str">
        <f>SUGERENCIAS!N225</f>
        <v>SIN</v>
      </c>
    </row>
    <row r="246" spans="1:6" ht="15" customHeight="1">
      <c r="A246" s="37" t="str">
        <f>SUGERENCIAS!B226</f>
        <v>MIERCOLES</v>
      </c>
      <c r="B246" s="44" t="str">
        <f>SUGERENCIAS!G226</f>
        <v/>
      </c>
      <c r="C246" s="37" t="str">
        <f>SUGERENCIAS!G226</f>
        <v/>
      </c>
      <c r="D246" s="65" t="str">
        <f>SUGERENCIAS!G226</f>
        <v/>
      </c>
      <c r="E246" s="66" t="str">
        <f>SUGERENCIAS!L226</f>
        <v>--</v>
      </c>
      <c r="F246" s="67" t="str">
        <f>SUGERENCIAS!N226</f>
        <v>SIN</v>
      </c>
    </row>
    <row r="247" spans="1:6" ht="15" customHeight="1">
      <c r="A247" s="37" t="str">
        <f>SUGERENCIAS!B227</f>
        <v>MIERCOLES</v>
      </c>
      <c r="B247" s="44" t="str">
        <f>SUGERENCIAS!G227</f>
        <v/>
      </c>
      <c r="C247" s="37" t="str">
        <f>SUGERENCIAS!G227</f>
        <v/>
      </c>
      <c r="D247" s="65" t="str">
        <f>SUGERENCIAS!G227</f>
        <v/>
      </c>
      <c r="E247" s="66" t="str">
        <f>SUGERENCIAS!L227</f>
        <v>--</v>
      </c>
      <c r="F247" s="67" t="str">
        <f>SUGERENCIAS!N227</f>
        <v>SIN</v>
      </c>
    </row>
    <row r="248" spans="1:6" ht="15" customHeight="1">
      <c r="A248" s="37" t="str">
        <f>SUGERENCIAS!B228</f>
        <v>MIERCOLES</v>
      </c>
      <c r="B248" s="44" t="str">
        <f>SUGERENCIAS!G228</f>
        <v/>
      </c>
      <c r="C248" s="37" t="str">
        <f>SUGERENCIAS!G228</f>
        <v/>
      </c>
      <c r="D248" s="65" t="str">
        <f>SUGERENCIAS!G228</f>
        <v/>
      </c>
      <c r="E248" s="66" t="str">
        <f>SUGERENCIAS!L228</f>
        <v>--</v>
      </c>
      <c r="F248" s="67" t="str">
        <f>SUGERENCIAS!N228</f>
        <v>SIN</v>
      </c>
    </row>
    <row r="249" spans="1:6" ht="15" customHeight="1">
      <c r="A249" s="37" t="str">
        <f>SUGERENCIAS!B229</f>
        <v>MIERCOLES</v>
      </c>
      <c r="B249" s="44" t="str">
        <f>SUGERENCIAS!G229</f>
        <v/>
      </c>
      <c r="C249" s="37" t="str">
        <f>SUGERENCIAS!G229</f>
        <v/>
      </c>
      <c r="D249" s="65" t="str">
        <f>SUGERENCIAS!G229</f>
        <v/>
      </c>
      <c r="E249" s="66" t="str">
        <f>SUGERENCIAS!L229</f>
        <v>--</v>
      </c>
      <c r="F249" s="67" t="str">
        <f>SUGERENCIAS!N229</f>
        <v>SIN</v>
      </c>
    </row>
    <row r="250" spans="1:6" ht="15" customHeight="1">
      <c r="A250" s="37" t="str">
        <f>SUGERENCIAS!B230</f>
        <v>JUEVES</v>
      </c>
      <c r="B250" s="44" t="str">
        <f>SUGERENCIAS!G230</f>
        <v/>
      </c>
      <c r="C250" s="37" t="str">
        <f>SUGERENCIAS!G230</f>
        <v/>
      </c>
      <c r="D250" s="65" t="str">
        <f>SUGERENCIAS!G230</f>
        <v/>
      </c>
      <c r="E250" s="66" t="str">
        <f>SUGERENCIAS!L230</f>
        <v>--</v>
      </c>
      <c r="F250" s="67" t="str">
        <f>SUGERENCIAS!N230</f>
        <v>SIN</v>
      </c>
    </row>
    <row r="251" spans="1:6" ht="15" customHeight="1">
      <c r="A251" s="37" t="str">
        <f>SUGERENCIAS!B231</f>
        <v>JUEVES</v>
      </c>
      <c r="B251" s="44" t="str">
        <f>SUGERENCIAS!G231</f>
        <v/>
      </c>
      <c r="C251" s="37" t="str">
        <f>SUGERENCIAS!G231</f>
        <v/>
      </c>
      <c r="D251" s="65" t="str">
        <f>SUGERENCIAS!G231</f>
        <v/>
      </c>
      <c r="E251" s="66" t="str">
        <f>SUGERENCIAS!L231</f>
        <v>--</v>
      </c>
      <c r="F251" s="67" t="str">
        <f>SUGERENCIAS!N231</f>
        <v>SIN</v>
      </c>
    </row>
    <row r="252" spans="1:6" ht="15" customHeight="1">
      <c r="A252" s="37" t="str">
        <f>SUGERENCIAS!B232</f>
        <v>JUEVES</v>
      </c>
      <c r="B252" s="44" t="str">
        <f>SUGERENCIAS!G232</f>
        <v/>
      </c>
      <c r="C252" s="37" t="str">
        <f>SUGERENCIAS!G232</f>
        <v/>
      </c>
      <c r="D252" s="65" t="str">
        <f>SUGERENCIAS!G232</f>
        <v/>
      </c>
      <c r="E252" s="66" t="str">
        <f>SUGERENCIAS!L232</f>
        <v>--</v>
      </c>
      <c r="F252" s="67" t="str">
        <f>SUGERENCIAS!N232</f>
        <v>SIN</v>
      </c>
    </row>
    <row r="253" spans="1:6" ht="15" customHeight="1">
      <c r="A253" s="37" t="str">
        <f>SUGERENCIAS!B233</f>
        <v>JUEVES</v>
      </c>
      <c r="B253" s="44" t="str">
        <f>SUGERENCIAS!G233</f>
        <v/>
      </c>
      <c r="C253" s="37" t="str">
        <f>SUGERENCIAS!G233</f>
        <v/>
      </c>
      <c r="D253" s="65" t="str">
        <f>SUGERENCIAS!G233</f>
        <v/>
      </c>
      <c r="E253" s="66" t="str">
        <f>SUGERENCIAS!L233</f>
        <v>--</v>
      </c>
      <c r="F253" s="67" t="str">
        <f>SUGERENCIAS!N233</f>
        <v>SIN</v>
      </c>
    </row>
    <row r="254" spans="1:6" ht="15" customHeight="1">
      <c r="A254" s="37" t="str">
        <f>SUGERENCIAS!B234</f>
        <v>JUEVES</v>
      </c>
      <c r="B254" s="44" t="str">
        <f>SUGERENCIAS!G234</f>
        <v/>
      </c>
      <c r="C254" s="37" t="str">
        <f>SUGERENCIAS!G234</f>
        <v/>
      </c>
      <c r="D254" s="65" t="str">
        <f>SUGERENCIAS!G234</f>
        <v/>
      </c>
      <c r="E254" s="66" t="str">
        <f>SUGERENCIAS!L234</f>
        <v>--</v>
      </c>
      <c r="F254" s="67" t="str">
        <f>SUGERENCIAS!N234</f>
        <v>SIN</v>
      </c>
    </row>
    <row r="255" spans="1:6" ht="15" customHeight="1">
      <c r="A255" s="37" t="str">
        <f>SUGERENCIAS!B235</f>
        <v>JUEVES</v>
      </c>
      <c r="B255" s="44" t="str">
        <f>SUGERENCIAS!G235</f>
        <v/>
      </c>
      <c r="C255" s="37" t="str">
        <f>SUGERENCIAS!G235</f>
        <v/>
      </c>
      <c r="D255" s="65" t="str">
        <f>SUGERENCIAS!G235</f>
        <v/>
      </c>
      <c r="E255" s="66" t="str">
        <f>SUGERENCIAS!L235</f>
        <v>--</v>
      </c>
      <c r="F255" s="67" t="str">
        <f>SUGERENCIAS!N235</f>
        <v>SIN</v>
      </c>
    </row>
    <row r="256" spans="1:6" ht="15" customHeight="1">
      <c r="A256" s="37" t="str">
        <f>SUGERENCIAS!B236</f>
        <v>JUEVES</v>
      </c>
      <c r="B256" s="44" t="str">
        <f>SUGERENCIAS!G236</f>
        <v/>
      </c>
      <c r="C256" s="37" t="str">
        <f>SUGERENCIAS!G236</f>
        <v/>
      </c>
      <c r="D256" s="65" t="str">
        <f>SUGERENCIAS!G236</f>
        <v/>
      </c>
      <c r="E256" s="66" t="str">
        <f>SUGERENCIAS!L236</f>
        <v>--</v>
      </c>
      <c r="F256" s="67" t="str">
        <f>SUGERENCIAS!N236</f>
        <v>SIN</v>
      </c>
    </row>
    <row r="257" spans="1:6" ht="15" customHeight="1">
      <c r="A257" s="37" t="str">
        <f>SUGERENCIAS!B237</f>
        <v>JUEVES</v>
      </c>
      <c r="B257" s="44" t="str">
        <f>SUGERENCIAS!G237</f>
        <v/>
      </c>
      <c r="C257" s="37" t="str">
        <f>SUGERENCIAS!G237</f>
        <v/>
      </c>
      <c r="D257" s="65" t="str">
        <f>SUGERENCIAS!G237</f>
        <v/>
      </c>
      <c r="E257" s="66" t="str">
        <f>SUGERENCIAS!L237</f>
        <v>--</v>
      </c>
      <c r="F257" s="67" t="str">
        <f>SUGERENCIAS!N237</f>
        <v>SIN</v>
      </c>
    </row>
    <row r="258" spans="1:6" ht="15" customHeight="1">
      <c r="A258" s="37" t="str">
        <f>SUGERENCIAS!B238</f>
        <v>JUEVES</v>
      </c>
      <c r="B258" s="44" t="str">
        <f>SUGERENCIAS!G238</f>
        <v/>
      </c>
      <c r="C258" s="37" t="str">
        <f>SUGERENCIAS!G238</f>
        <v/>
      </c>
      <c r="D258" s="65" t="str">
        <f>SUGERENCIAS!G238</f>
        <v/>
      </c>
      <c r="E258" s="66" t="str">
        <f>SUGERENCIAS!L238</f>
        <v>--</v>
      </c>
      <c r="F258" s="67" t="str">
        <f>SUGERENCIAS!N238</f>
        <v>SIN</v>
      </c>
    </row>
    <row r="259" spans="1:6" ht="15" customHeight="1">
      <c r="A259" s="37" t="str">
        <f>SUGERENCIAS!B239</f>
        <v>JUEVES</v>
      </c>
      <c r="B259" s="44" t="str">
        <f>SUGERENCIAS!G239</f>
        <v/>
      </c>
      <c r="C259" s="37" t="str">
        <f>SUGERENCIAS!G239</f>
        <v/>
      </c>
      <c r="D259" s="65" t="str">
        <f>SUGERENCIAS!G239</f>
        <v/>
      </c>
      <c r="E259" s="66" t="str">
        <f>SUGERENCIAS!L239</f>
        <v>--</v>
      </c>
      <c r="F259" s="67" t="str">
        <f>SUGERENCIAS!N239</f>
        <v>SIN</v>
      </c>
    </row>
    <row r="260" spans="1:6" ht="15" customHeight="1">
      <c r="A260" s="37" t="str">
        <f>SUGERENCIAS!B240</f>
        <v>JUEVES</v>
      </c>
      <c r="B260" s="44" t="str">
        <f>SUGERENCIAS!G240</f>
        <v/>
      </c>
      <c r="C260" s="37" t="str">
        <f>SUGERENCIAS!G240</f>
        <v/>
      </c>
      <c r="D260" s="65" t="str">
        <f>SUGERENCIAS!G240</f>
        <v/>
      </c>
      <c r="E260" s="66" t="str">
        <f>SUGERENCIAS!L240</f>
        <v>--</v>
      </c>
      <c r="F260" s="67" t="str">
        <f>SUGERENCIAS!N240</f>
        <v>SIN</v>
      </c>
    </row>
    <row r="261" spans="1:6" ht="15" customHeight="1">
      <c r="A261" s="37" t="str">
        <f>SUGERENCIAS!B241</f>
        <v>JUEVES</v>
      </c>
      <c r="B261" s="44">
        <f>SUGERENCIAS!G241</f>
        <v>40</v>
      </c>
      <c r="C261" s="37">
        <f>SUGERENCIAS!G241</f>
        <v>40</v>
      </c>
      <c r="D261" s="65">
        <f>SUGERENCIAS!G241</f>
        <v>40</v>
      </c>
      <c r="E261" s="66">
        <f>SUGERENCIAS!L241</f>
        <v>7</v>
      </c>
      <c r="F261" s="67" t="str">
        <f>SUGERENCIAS!N241</f>
        <v>MANT</v>
      </c>
    </row>
    <row r="262" spans="1:6" ht="15" customHeight="1">
      <c r="A262" s="37" t="str">
        <f>SUGERENCIAS!B242</f>
        <v>JUEVES</v>
      </c>
      <c r="B262" s="44" t="str">
        <f>SUGERENCIAS!G242</f>
        <v/>
      </c>
      <c r="C262" s="37" t="str">
        <f>SUGERENCIAS!G242</f>
        <v/>
      </c>
      <c r="D262" s="65" t="str">
        <f>SUGERENCIAS!G242</f>
        <v/>
      </c>
      <c r="E262" s="66" t="str">
        <f>SUGERENCIAS!L242</f>
        <v>--</v>
      </c>
      <c r="F262" s="67" t="str">
        <f>SUGERENCIAS!N242</f>
        <v>SIN</v>
      </c>
    </row>
    <row r="263" spans="1:6" ht="15" customHeight="1">
      <c r="A263" s="37" t="str">
        <f>SUGERENCIAS!B243</f>
        <v>SABADO</v>
      </c>
      <c r="B263" s="44" t="str">
        <f>SUGERENCIAS!G243</f>
        <v/>
      </c>
      <c r="C263" s="37" t="str">
        <f>SUGERENCIAS!G243</f>
        <v/>
      </c>
      <c r="D263" s="65" t="str">
        <f>SUGERENCIAS!G243</f>
        <v/>
      </c>
      <c r="E263" s="66" t="str">
        <f>SUGERENCIAS!L243</f>
        <v>--</v>
      </c>
      <c r="F263" s="67" t="str">
        <f>SUGERENCIAS!N243</f>
        <v>SIN</v>
      </c>
    </row>
    <row r="264" spans="1:6" ht="15" customHeight="1">
      <c r="A264" s="37" t="str">
        <f>SUGERENCIAS!B244</f>
        <v>SABADO</v>
      </c>
      <c r="B264" s="44" t="str">
        <f>SUGERENCIAS!G244</f>
        <v/>
      </c>
      <c r="C264" s="37" t="str">
        <f>SUGERENCIAS!G244</f>
        <v/>
      </c>
      <c r="D264" s="65" t="str">
        <f>SUGERENCIAS!G244</f>
        <v/>
      </c>
      <c r="E264" s="66" t="str">
        <f>SUGERENCIAS!L244</f>
        <v>--</v>
      </c>
      <c r="F264" s="67" t="str">
        <f>SUGERENCIAS!N244</f>
        <v>SIN</v>
      </c>
    </row>
    <row r="265" spans="1:6" ht="15" customHeight="1">
      <c r="A265" s="37" t="str">
        <f>SUGERENCIAS!B245</f>
        <v>SABADO</v>
      </c>
      <c r="B265" s="44" t="str">
        <f>SUGERENCIAS!G245</f>
        <v/>
      </c>
      <c r="C265" s="37" t="str">
        <f>SUGERENCIAS!G245</f>
        <v/>
      </c>
      <c r="D265" s="65" t="str">
        <f>SUGERENCIAS!G245</f>
        <v/>
      </c>
      <c r="E265" s="66" t="str">
        <f>SUGERENCIAS!L245</f>
        <v>--</v>
      </c>
      <c r="F265" s="67" t="str">
        <f>SUGERENCIAS!N245</f>
        <v>SIN</v>
      </c>
    </row>
    <row r="266" spans="1:6" ht="15" customHeight="1">
      <c r="A266" s="37" t="str">
        <f>SUGERENCIAS!B246</f>
        <v>SABADO</v>
      </c>
      <c r="B266" s="44" t="str">
        <f>SUGERENCIAS!G246</f>
        <v/>
      </c>
      <c r="C266" s="37" t="str">
        <f>SUGERENCIAS!G246</f>
        <v/>
      </c>
      <c r="D266" s="65" t="str">
        <f>SUGERENCIAS!G246</f>
        <v/>
      </c>
      <c r="E266" s="66" t="str">
        <f>SUGERENCIAS!L246</f>
        <v>--</v>
      </c>
      <c r="F266" s="67" t="str">
        <f>SUGERENCIAS!N246</f>
        <v>SIN</v>
      </c>
    </row>
    <row r="267" spans="1:6" ht="15" customHeight="1">
      <c r="A267" s="37" t="str">
        <f>SUGERENCIAS!B247</f>
        <v>SABADO</v>
      </c>
      <c r="B267" s="44">
        <f>SUGERENCIAS!G247</f>
        <v>40</v>
      </c>
      <c r="C267" s="37">
        <f>SUGERENCIAS!G247</f>
        <v>40</v>
      </c>
      <c r="D267" s="65">
        <f>SUGERENCIAS!G247</f>
        <v>40</v>
      </c>
      <c r="E267" s="66">
        <f>SUGERENCIAS!L247</f>
        <v>7</v>
      </c>
      <c r="F267" s="67" t="str">
        <f>SUGERENCIAS!N247</f>
        <v>MANT</v>
      </c>
    </row>
    <row r="268" spans="1:6" ht="15" customHeight="1">
      <c r="A268" s="37" t="str">
        <f>SUGERENCIAS!B248</f>
        <v>SABADO</v>
      </c>
      <c r="B268" s="44">
        <f>SUGERENCIAS!G248</f>
        <v>20</v>
      </c>
      <c r="C268" s="37">
        <f>SUGERENCIAS!G248</f>
        <v>20</v>
      </c>
      <c r="D268" s="65">
        <f>SUGERENCIAS!G248</f>
        <v>20</v>
      </c>
      <c r="E268" s="66">
        <f>SUGERENCIAS!L248</f>
        <v>6</v>
      </c>
      <c r="F268" s="67" t="str">
        <f>SUGERENCIAS!N248</f>
        <v>SUBIR</v>
      </c>
    </row>
    <row r="269" spans="1:6" ht="15" customHeight="1">
      <c r="A269" s="37" t="str">
        <f>SUGERENCIAS!B249</f>
        <v>SABADO</v>
      </c>
      <c r="B269" s="44" t="str">
        <f>SUGERENCIAS!G249</f>
        <v/>
      </c>
      <c r="C269" s="37" t="str">
        <f>SUGERENCIAS!G249</f>
        <v/>
      </c>
      <c r="D269" s="65" t="str">
        <f>SUGERENCIAS!G249</f>
        <v/>
      </c>
      <c r="E269" s="66" t="str">
        <f>SUGERENCIAS!L249</f>
        <v>--</v>
      </c>
      <c r="F269" s="67" t="str">
        <f>SUGERENCIAS!N249</f>
        <v>SIN</v>
      </c>
    </row>
    <row r="270" spans="1:6" ht="15" customHeight="1">
      <c r="A270" s="37" t="str">
        <f>SUGERENCIAS!B250</f>
        <v>SABADO</v>
      </c>
      <c r="B270" s="44" t="str">
        <f>SUGERENCIAS!G250</f>
        <v/>
      </c>
      <c r="C270" s="37" t="str">
        <f>SUGERENCIAS!G250</f>
        <v/>
      </c>
      <c r="D270" s="65" t="str">
        <f>SUGERENCIAS!G250</f>
        <v/>
      </c>
      <c r="E270" s="66" t="str">
        <f>SUGERENCIAS!L250</f>
        <v>--</v>
      </c>
      <c r="F270" s="67" t="str">
        <f>SUGERENCIAS!N250</f>
        <v>SIN</v>
      </c>
    </row>
    <row r="271" spans="1:6" ht="15" customHeight="1">
      <c r="A271" s="37" t="str">
        <f>SUGERENCIAS!B251</f>
        <v>SABADO</v>
      </c>
      <c r="B271" s="44" t="str">
        <f>SUGERENCIAS!G251</f>
        <v/>
      </c>
      <c r="C271" s="37" t="str">
        <f>SUGERENCIAS!G251</f>
        <v/>
      </c>
      <c r="D271" s="65" t="str">
        <f>SUGERENCIAS!G251</f>
        <v/>
      </c>
      <c r="E271" s="66" t="str">
        <f>SUGERENCIAS!L251</f>
        <v>--</v>
      </c>
      <c r="F271" s="67" t="str">
        <f>SUGERENCIAS!N251</f>
        <v>SIN</v>
      </c>
    </row>
    <row r="272" spans="1:6" ht="15" customHeight="1">
      <c r="A272" s="37" t="str">
        <f>SUGERENCIAS!B252</f>
        <v>SABADO</v>
      </c>
      <c r="B272" s="44" t="str">
        <f>SUGERENCIAS!G252</f>
        <v/>
      </c>
      <c r="C272" s="37" t="str">
        <f>SUGERENCIAS!G252</f>
        <v/>
      </c>
      <c r="D272" s="65" t="str">
        <f>SUGERENCIAS!G252</f>
        <v/>
      </c>
      <c r="E272" s="66" t="str">
        <f>SUGERENCIAS!L252</f>
        <v>--</v>
      </c>
      <c r="F272" s="67" t="str">
        <f>SUGERENCIAS!N252</f>
        <v>SIN</v>
      </c>
    </row>
    <row r="273" spans="1:6" ht="15" customHeight="1">
      <c r="A273" s="37" t="str">
        <f>SUGERENCIAS!B253</f>
        <v>SABADO</v>
      </c>
      <c r="B273" s="44" t="str">
        <f>SUGERENCIAS!G253</f>
        <v/>
      </c>
      <c r="C273" s="37" t="str">
        <f>SUGERENCIAS!G253</f>
        <v/>
      </c>
      <c r="D273" s="65" t="str">
        <f>SUGERENCIAS!G253</f>
        <v/>
      </c>
      <c r="E273" s="66" t="str">
        <f>SUGERENCIAS!L253</f>
        <v>--</v>
      </c>
      <c r="F273" s="67" t="str">
        <f>SUGERENCIAS!N253</f>
        <v>SIN</v>
      </c>
    </row>
    <row r="274" spans="1:6" ht="15" customHeight="1">
      <c r="A274" s="37" t="str">
        <f>SUGERENCIAS!B254</f>
        <v>SABADO</v>
      </c>
      <c r="B274" s="44" t="str">
        <f>SUGERENCIAS!G254</f>
        <v/>
      </c>
      <c r="C274" s="37" t="str">
        <f>SUGERENCIAS!G254</f>
        <v/>
      </c>
      <c r="D274" s="65" t="str">
        <f>SUGERENCIAS!G254</f>
        <v/>
      </c>
      <c r="E274" s="66" t="str">
        <f>SUGERENCIAS!L254</f>
        <v>--</v>
      </c>
      <c r="F274" s="67" t="str">
        <f>SUGERENCIAS!N254</f>
        <v>SIN</v>
      </c>
    </row>
    <row r="275" spans="1:6" ht="15" customHeight="1">
      <c r="A275" s="37" t="str">
        <f>SUGERENCIAS!B255</f>
        <v>SABADO</v>
      </c>
      <c r="B275" s="44" t="str">
        <f>SUGERENCIAS!G255</f>
        <v/>
      </c>
      <c r="C275" s="37" t="str">
        <f>SUGERENCIAS!G255</f>
        <v/>
      </c>
      <c r="D275" s="65" t="str">
        <f>SUGERENCIAS!G255</f>
        <v/>
      </c>
      <c r="E275" s="66" t="str">
        <f>SUGERENCIAS!L255</f>
        <v>--</v>
      </c>
      <c r="F275" s="67" t="str">
        <f>SUGERENCIAS!N255</f>
        <v>SIN</v>
      </c>
    </row>
    <row r="276" spans="1:6" ht="15" customHeight="1">
      <c r="A276" s="37" t="str">
        <f>SUGERENCIAS!B256</f>
        <v>LUNES</v>
      </c>
      <c r="B276" s="44" t="str">
        <f>SUGERENCIAS!G256</f>
        <v/>
      </c>
      <c r="C276" s="37" t="str">
        <f>SUGERENCIAS!G256</f>
        <v/>
      </c>
      <c r="D276" s="65" t="str">
        <f>SUGERENCIAS!G256</f>
        <v/>
      </c>
      <c r="E276" s="66" t="str">
        <f>SUGERENCIAS!L256</f>
        <v>--</v>
      </c>
      <c r="F276" s="67" t="str">
        <f>SUGERENCIAS!N256</f>
        <v>SIN</v>
      </c>
    </row>
    <row r="277" spans="1:6" ht="15" customHeight="1">
      <c r="A277" s="37" t="str">
        <f>SUGERENCIAS!B257</f>
        <v>LUNES</v>
      </c>
      <c r="B277" s="44" t="str">
        <f>SUGERENCIAS!G257</f>
        <v/>
      </c>
      <c r="C277" s="37" t="str">
        <f>SUGERENCIAS!G257</f>
        <v/>
      </c>
      <c r="D277" s="65" t="str">
        <f>SUGERENCIAS!G257</f>
        <v/>
      </c>
      <c r="E277" s="66" t="str">
        <f>SUGERENCIAS!L257</f>
        <v>--</v>
      </c>
      <c r="F277" s="67" t="str">
        <f>SUGERENCIAS!N257</f>
        <v>SIN</v>
      </c>
    </row>
    <row r="278" spans="1:6" ht="15" customHeight="1">
      <c r="A278" s="37" t="str">
        <f>SUGERENCIAS!B258</f>
        <v>LUNES</v>
      </c>
      <c r="B278" s="44">
        <f>SUGERENCIAS!G258</f>
        <v>0</v>
      </c>
      <c r="C278" s="37">
        <f>SUGERENCIAS!G258</f>
        <v>0</v>
      </c>
      <c r="D278" s="65">
        <f>SUGERENCIAS!G258</f>
        <v>0</v>
      </c>
      <c r="E278" s="66">
        <f>SUGERENCIAS!L258</f>
        <v>6</v>
      </c>
      <c r="F278" s="67" t="str">
        <f>SUGERENCIAS!N258</f>
        <v>SUBIR_F</v>
      </c>
    </row>
    <row r="279" spans="1:6" ht="15" customHeight="1">
      <c r="A279" s="37" t="str">
        <f>SUGERENCIAS!B259</f>
        <v>LUNES</v>
      </c>
      <c r="B279" s="44" t="str">
        <f>SUGERENCIAS!G259</f>
        <v/>
      </c>
      <c r="C279" s="37" t="str">
        <f>SUGERENCIAS!G259</f>
        <v/>
      </c>
      <c r="D279" s="65" t="str">
        <f>SUGERENCIAS!G259</f>
        <v/>
      </c>
      <c r="E279" s="66" t="str">
        <f>SUGERENCIAS!L259</f>
        <v>--</v>
      </c>
      <c r="F279" s="67" t="str">
        <f>SUGERENCIAS!N259</f>
        <v>SIN</v>
      </c>
    </row>
    <row r="280" spans="1:6" ht="15" customHeight="1">
      <c r="A280" s="37" t="str">
        <f>SUGERENCIAS!B260</f>
        <v>LUNES</v>
      </c>
      <c r="B280" s="44" t="str">
        <f>SUGERENCIAS!G260</f>
        <v/>
      </c>
      <c r="C280" s="37" t="str">
        <f>SUGERENCIAS!G260</f>
        <v/>
      </c>
      <c r="D280" s="65" t="str">
        <f>SUGERENCIAS!G260</f>
        <v/>
      </c>
      <c r="E280" s="66" t="str">
        <f>SUGERENCIAS!L260</f>
        <v>--</v>
      </c>
      <c r="F280" s="67" t="str">
        <f>SUGERENCIAS!N260</f>
        <v>SIN</v>
      </c>
    </row>
    <row r="281" spans="1:6" ht="15" customHeight="1">
      <c r="A281" s="37" t="str">
        <f>SUGERENCIAS!B261</f>
        <v>LUNES</v>
      </c>
      <c r="B281" s="44" t="str">
        <f>SUGERENCIAS!G261</f>
        <v/>
      </c>
      <c r="C281" s="37" t="str">
        <f>SUGERENCIAS!G261</f>
        <v/>
      </c>
      <c r="D281" s="65" t="str">
        <f>SUGERENCIAS!G261</f>
        <v/>
      </c>
      <c r="E281" s="66" t="str">
        <f>SUGERENCIAS!L261</f>
        <v>--</v>
      </c>
      <c r="F281" s="67" t="str">
        <f>SUGERENCIAS!N261</f>
        <v>SIN</v>
      </c>
    </row>
    <row r="282" spans="1:6" ht="15" customHeight="1">
      <c r="A282" s="37" t="str">
        <f>SUGERENCIAS!B262</f>
        <v>LUNES</v>
      </c>
      <c r="B282" s="44" t="str">
        <f>SUGERENCIAS!G262</f>
        <v/>
      </c>
      <c r="C282" s="37" t="str">
        <f>SUGERENCIAS!G262</f>
        <v/>
      </c>
      <c r="D282" s="65" t="str">
        <f>SUGERENCIAS!G262</f>
        <v/>
      </c>
      <c r="E282" s="66" t="str">
        <f>SUGERENCIAS!L262</f>
        <v>--</v>
      </c>
      <c r="F282" s="67" t="str">
        <f>SUGERENCIAS!N262</f>
        <v>SIN</v>
      </c>
    </row>
    <row r="283" spans="1:6" ht="15" customHeight="1">
      <c r="A283" s="37" t="str">
        <f>SUGERENCIAS!B263</f>
        <v>LUNES</v>
      </c>
      <c r="B283" s="44" t="str">
        <f>SUGERENCIAS!G263</f>
        <v/>
      </c>
      <c r="C283" s="37" t="str">
        <f>SUGERENCIAS!G263</f>
        <v/>
      </c>
      <c r="D283" s="65" t="str">
        <f>SUGERENCIAS!G263</f>
        <v/>
      </c>
      <c r="E283" s="66" t="str">
        <f>SUGERENCIAS!L263</f>
        <v>--</v>
      </c>
      <c r="F283" s="67" t="str">
        <f>SUGERENCIAS!N263</f>
        <v>SIN</v>
      </c>
    </row>
    <row r="284" spans="1:6" ht="15" customHeight="1">
      <c r="A284" s="37" t="str">
        <f>SUGERENCIAS!B264</f>
        <v>LUNES</v>
      </c>
      <c r="B284" s="44" t="str">
        <f>SUGERENCIAS!G264</f>
        <v/>
      </c>
      <c r="C284" s="37" t="str">
        <f>SUGERENCIAS!G264</f>
        <v/>
      </c>
      <c r="D284" s="65" t="str">
        <f>SUGERENCIAS!G264</f>
        <v/>
      </c>
      <c r="E284" s="66" t="str">
        <f>SUGERENCIAS!L264</f>
        <v>--</v>
      </c>
      <c r="F284" s="67" t="str">
        <f>SUGERENCIAS!N264</f>
        <v>SIN</v>
      </c>
    </row>
    <row r="285" spans="1:6" ht="15" customHeight="1">
      <c r="A285" s="37" t="str">
        <f>SUGERENCIAS!B265</f>
        <v>LUNES</v>
      </c>
      <c r="B285" s="44" t="str">
        <f>SUGERENCIAS!G265</f>
        <v/>
      </c>
      <c r="C285" s="37" t="str">
        <f>SUGERENCIAS!G265</f>
        <v/>
      </c>
      <c r="D285" s="65" t="str">
        <f>SUGERENCIAS!G265</f>
        <v/>
      </c>
      <c r="E285" s="66" t="str">
        <f>SUGERENCIAS!L265</f>
        <v>--</v>
      </c>
      <c r="F285" s="67" t="str">
        <f>SUGERENCIAS!N265</f>
        <v>SIN</v>
      </c>
    </row>
    <row r="286" spans="1:6" ht="15" customHeight="1">
      <c r="A286" s="37" t="str">
        <f>SUGERENCIAS!B266</f>
        <v>LUNES</v>
      </c>
      <c r="B286" s="44" t="str">
        <f>SUGERENCIAS!G266</f>
        <v/>
      </c>
      <c r="C286" s="37" t="str">
        <f>SUGERENCIAS!G266</f>
        <v/>
      </c>
      <c r="D286" s="65" t="str">
        <f>SUGERENCIAS!G266</f>
        <v/>
      </c>
      <c r="E286" s="66" t="str">
        <f>SUGERENCIAS!L266</f>
        <v>--</v>
      </c>
      <c r="F286" s="67" t="str">
        <f>SUGERENCIAS!N266</f>
        <v>SIN</v>
      </c>
    </row>
    <row r="287" spans="1:6" ht="15" customHeight="1">
      <c r="A287" s="37" t="str">
        <f>SUGERENCIAS!B267</f>
        <v>MARTES</v>
      </c>
      <c r="B287" s="44">
        <f>SUGERENCIAS!G267</f>
        <v>52.5</v>
      </c>
      <c r="C287" s="37">
        <f>SUGERENCIAS!G267</f>
        <v>52.5</v>
      </c>
      <c r="D287" s="65">
        <f>SUGERENCIAS!G267</f>
        <v>52.5</v>
      </c>
      <c r="E287" s="66">
        <f>SUGERENCIAS!L267</f>
        <v>8</v>
      </c>
      <c r="F287" s="67" t="str">
        <f>SUGERENCIAS!N267</f>
        <v>MANT</v>
      </c>
    </row>
    <row r="288" spans="1:6" ht="15" customHeight="1">
      <c r="A288" s="37" t="str">
        <f>SUGERENCIAS!B268</f>
        <v>MARTES</v>
      </c>
      <c r="B288" s="44">
        <f>SUGERENCIAS!G268</f>
        <v>60</v>
      </c>
      <c r="C288" s="37">
        <f>SUGERENCIAS!G268</f>
        <v>60</v>
      </c>
      <c r="D288" s="65">
        <f>SUGERENCIAS!G268</f>
        <v>60</v>
      </c>
      <c r="E288" s="66">
        <f>SUGERENCIAS!L268</f>
        <v>9</v>
      </c>
      <c r="F288" s="67" t="str">
        <f>SUGERENCIAS!N268</f>
        <v>MANT</v>
      </c>
    </row>
    <row r="289" spans="1:6" ht="15" customHeight="1">
      <c r="A289" s="37" t="str">
        <f>SUGERENCIAS!B269</f>
        <v>MARTES</v>
      </c>
      <c r="B289" s="44" t="str">
        <f>SUGERENCIAS!G269</f>
        <v/>
      </c>
      <c r="C289" s="37" t="str">
        <f>SUGERENCIAS!G269</f>
        <v/>
      </c>
      <c r="D289" s="65" t="str">
        <f>SUGERENCIAS!G269</f>
        <v/>
      </c>
      <c r="E289" s="66" t="str">
        <f>SUGERENCIAS!L269</f>
        <v>--</v>
      </c>
      <c r="F289" s="67" t="str">
        <f>SUGERENCIAS!N269</f>
        <v>SIN</v>
      </c>
    </row>
    <row r="290" spans="1:6" ht="15" customHeight="1">
      <c r="A290" s="37" t="str">
        <f>SUGERENCIAS!B270</f>
        <v>MARTES</v>
      </c>
      <c r="B290" s="44" t="str">
        <f>SUGERENCIAS!G270</f>
        <v/>
      </c>
      <c r="C290" s="37" t="str">
        <f>SUGERENCIAS!G270</f>
        <v/>
      </c>
      <c r="D290" s="65" t="str">
        <f>SUGERENCIAS!G270</f>
        <v/>
      </c>
      <c r="E290" s="66" t="str">
        <f>SUGERENCIAS!L270</f>
        <v>--</v>
      </c>
      <c r="F290" s="67" t="str">
        <f>SUGERENCIAS!N270</f>
        <v>SIN</v>
      </c>
    </row>
    <row r="291" spans="1:6" ht="15" customHeight="1">
      <c r="A291" s="37" t="str">
        <f>SUGERENCIAS!B271</f>
        <v>MARTES</v>
      </c>
      <c r="B291" s="44" t="str">
        <f>SUGERENCIAS!G271</f>
        <v/>
      </c>
      <c r="C291" s="37" t="str">
        <f>SUGERENCIAS!G271</f>
        <v/>
      </c>
      <c r="D291" s="65" t="str">
        <f>SUGERENCIAS!G271</f>
        <v/>
      </c>
      <c r="E291" s="66" t="str">
        <f>SUGERENCIAS!L271</f>
        <v>--</v>
      </c>
      <c r="F291" s="67" t="str">
        <f>SUGERENCIAS!N271</f>
        <v>SIN</v>
      </c>
    </row>
    <row r="292" spans="1:6" ht="15" customHeight="1">
      <c r="A292" s="37" t="str">
        <f>SUGERENCIAS!B272</f>
        <v>MARTES</v>
      </c>
      <c r="B292" s="44" t="str">
        <f>SUGERENCIAS!G272</f>
        <v/>
      </c>
      <c r="C292" s="37" t="str">
        <f>SUGERENCIAS!G272</f>
        <v/>
      </c>
      <c r="D292" s="65" t="str">
        <f>SUGERENCIAS!G272</f>
        <v/>
      </c>
      <c r="E292" s="66" t="str">
        <f>SUGERENCIAS!L272</f>
        <v>--</v>
      </c>
      <c r="F292" s="67" t="str">
        <f>SUGERENCIAS!N272</f>
        <v>SIN</v>
      </c>
    </row>
    <row r="293" spans="1:6" ht="15" customHeight="1">
      <c r="A293" s="37" t="str">
        <f>SUGERENCIAS!B273</f>
        <v>MARTES</v>
      </c>
      <c r="B293" s="44" t="str">
        <f>SUGERENCIAS!G273</f>
        <v/>
      </c>
      <c r="C293" s="37" t="str">
        <f>SUGERENCIAS!G273</f>
        <v/>
      </c>
      <c r="D293" s="65" t="str">
        <f>SUGERENCIAS!G273</f>
        <v/>
      </c>
      <c r="E293" s="66" t="str">
        <f>SUGERENCIAS!L273</f>
        <v>--</v>
      </c>
      <c r="F293" s="67" t="str">
        <f>SUGERENCIAS!N273</f>
        <v>SIN</v>
      </c>
    </row>
    <row r="294" spans="1:6" ht="15" customHeight="1">
      <c r="A294" s="37" t="str">
        <f>SUGERENCIAS!B274</f>
        <v>MARTES</v>
      </c>
      <c r="B294" s="44" t="str">
        <f>SUGERENCIAS!G274</f>
        <v/>
      </c>
      <c r="C294" s="37" t="str">
        <f>SUGERENCIAS!G274</f>
        <v/>
      </c>
      <c r="D294" s="65" t="str">
        <f>SUGERENCIAS!G274</f>
        <v/>
      </c>
      <c r="E294" s="66" t="str">
        <f>SUGERENCIAS!L274</f>
        <v>--</v>
      </c>
      <c r="F294" s="67" t="str">
        <f>SUGERENCIAS!N274</f>
        <v>SIN</v>
      </c>
    </row>
    <row r="295" spans="1:6" ht="15" customHeight="1">
      <c r="A295" s="37" t="str">
        <f>SUGERENCIAS!B275</f>
        <v>MARTES</v>
      </c>
      <c r="B295" s="44" t="str">
        <f>SUGERENCIAS!G275</f>
        <v/>
      </c>
      <c r="C295" s="37" t="str">
        <f>SUGERENCIAS!G275</f>
        <v/>
      </c>
      <c r="D295" s="65" t="str">
        <f>SUGERENCIAS!G275</f>
        <v/>
      </c>
      <c r="E295" s="66" t="str">
        <f>SUGERENCIAS!L275</f>
        <v>--</v>
      </c>
      <c r="F295" s="67" t="str">
        <f>SUGERENCIAS!N275</f>
        <v>SIN</v>
      </c>
    </row>
    <row r="296" spans="1:6" ht="15" customHeight="1">
      <c r="A296" s="37" t="str">
        <f>SUGERENCIAS!B276</f>
        <v>MARTES</v>
      </c>
      <c r="B296" s="44" t="str">
        <f>SUGERENCIAS!G276</f>
        <v/>
      </c>
      <c r="C296" s="37" t="str">
        <f>SUGERENCIAS!G276</f>
        <v/>
      </c>
      <c r="D296" s="65" t="str">
        <f>SUGERENCIAS!G276</f>
        <v/>
      </c>
      <c r="E296" s="66" t="str">
        <f>SUGERENCIAS!L276</f>
        <v>--</v>
      </c>
      <c r="F296" s="67" t="str">
        <f>SUGERENCIAS!N276</f>
        <v>SIN</v>
      </c>
    </row>
    <row r="297" spans="1:6" ht="15" customHeight="1">
      <c r="A297" s="37" t="str">
        <f>SUGERENCIAS!B277</f>
        <v>MARTES</v>
      </c>
      <c r="B297" s="44" t="str">
        <f>SUGERENCIAS!G277</f>
        <v/>
      </c>
      <c r="C297" s="37" t="str">
        <f>SUGERENCIAS!G277</f>
        <v/>
      </c>
      <c r="D297" s="65" t="str">
        <f>SUGERENCIAS!G277</f>
        <v/>
      </c>
      <c r="E297" s="66" t="str">
        <f>SUGERENCIAS!L277</f>
        <v>--</v>
      </c>
      <c r="F297" s="67" t="str">
        <f>SUGERENCIAS!N277</f>
        <v>SIN</v>
      </c>
    </row>
    <row r="298" spans="1:6" ht="15" customHeight="1">
      <c r="A298" s="37" t="str">
        <f>SUGERENCIAS!B278</f>
        <v>MIERCOLES</v>
      </c>
      <c r="B298" s="44" t="str">
        <f>SUGERENCIAS!G278</f>
        <v/>
      </c>
      <c r="C298" s="37" t="str">
        <f>SUGERENCIAS!G278</f>
        <v/>
      </c>
      <c r="D298" s="65" t="str">
        <f>SUGERENCIAS!G278</f>
        <v/>
      </c>
      <c r="E298" s="66" t="str">
        <f>SUGERENCIAS!L278</f>
        <v>--</v>
      </c>
      <c r="F298" s="67" t="str">
        <f>SUGERENCIAS!N278</f>
        <v>SIN</v>
      </c>
    </row>
    <row r="299" spans="1:6" ht="15" customHeight="1">
      <c r="A299" s="37" t="str">
        <f>SUGERENCIAS!B279</f>
        <v>MIERCOLES</v>
      </c>
      <c r="B299" s="44" t="str">
        <f>SUGERENCIAS!G279</f>
        <v/>
      </c>
      <c r="C299" s="37" t="str">
        <f>SUGERENCIAS!G279</f>
        <v/>
      </c>
      <c r="D299" s="65" t="str">
        <f>SUGERENCIAS!G279</f>
        <v/>
      </c>
      <c r="E299" s="66" t="str">
        <f>SUGERENCIAS!L279</f>
        <v>--</v>
      </c>
      <c r="F299" s="67" t="str">
        <f>SUGERENCIAS!N279</f>
        <v>SIN</v>
      </c>
    </row>
    <row r="300" spans="1:6" ht="15" customHeight="1">
      <c r="A300" s="37" t="str">
        <f>SUGERENCIAS!B280</f>
        <v>MIERCOLES</v>
      </c>
      <c r="B300" s="44" t="str">
        <f>SUGERENCIAS!G280</f>
        <v/>
      </c>
      <c r="C300" s="37" t="str">
        <f>SUGERENCIAS!G280</f>
        <v/>
      </c>
      <c r="D300" s="65" t="str">
        <f>SUGERENCIAS!G280</f>
        <v/>
      </c>
      <c r="E300" s="66" t="str">
        <f>SUGERENCIAS!L280</f>
        <v>--</v>
      </c>
      <c r="F300" s="67" t="str">
        <f>SUGERENCIAS!N280</f>
        <v>SIN</v>
      </c>
    </row>
    <row r="301" spans="1:6" ht="15" customHeight="1">
      <c r="A301" s="37" t="str">
        <f>SUGERENCIAS!B281</f>
        <v>MIERCOLES</v>
      </c>
      <c r="B301" s="44" t="str">
        <f>SUGERENCIAS!G281</f>
        <v/>
      </c>
      <c r="C301" s="37" t="str">
        <f>SUGERENCIAS!G281</f>
        <v/>
      </c>
      <c r="D301" s="65" t="str">
        <f>SUGERENCIAS!G281</f>
        <v/>
      </c>
      <c r="E301" s="66" t="str">
        <f>SUGERENCIAS!L281</f>
        <v>--</v>
      </c>
      <c r="F301" s="67" t="str">
        <f>SUGERENCIAS!N281</f>
        <v>SIN</v>
      </c>
    </row>
    <row r="302" spans="1:6" ht="15" customHeight="1">
      <c r="A302" s="37" t="str">
        <f>SUGERENCIAS!B282</f>
        <v>MIERCOLES</v>
      </c>
      <c r="B302" s="44" t="str">
        <f>SUGERENCIAS!G282</f>
        <v/>
      </c>
      <c r="C302" s="37" t="str">
        <f>SUGERENCIAS!G282</f>
        <v/>
      </c>
      <c r="D302" s="65" t="str">
        <f>SUGERENCIAS!G282</f>
        <v/>
      </c>
      <c r="E302" s="66" t="str">
        <f>SUGERENCIAS!L282</f>
        <v>--</v>
      </c>
      <c r="F302" s="67" t="str">
        <f>SUGERENCIAS!N282</f>
        <v>SIN</v>
      </c>
    </row>
    <row r="303" spans="1:6" ht="15" customHeight="1">
      <c r="A303" s="37" t="str">
        <f>SUGERENCIAS!B283</f>
        <v>MIERCOLES</v>
      </c>
      <c r="B303" s="44" t="str">
        <f>SUGERENCIAS!G283</f>
        <v/>
      </c>
      <c r="C303" s="37" t="str">
        <f>SUGERENCIAS!G283</f>
        <v/>
      </c>
      <c r="D303" s="65" t="str">
        <f>SUGERENCIAS!G283</f>
        <v/>
      </c>
      <c r="E303" s="66" t="str">
        <f>SUGERENCIAS!L283</f>
        <v>--</v>
      </c>
      <c r="F303" s="67" t="str">
        <f>SUGERENCIAS!N283</f>
        <v>SIN</v>
      </c>
    </row>
    <row r="304" spans="1:6" ht="15" customHeight="1">
      <c r="A304" s="37" t="str">
        <f>SUGERENCIAS!B284</f>
        <v>MIERCOLES</v>
      </c>
      <c r="B304" s="44" t="str">
        <f>SUGERENCIAS!G284</f>
        <v/>
      </c>
      <c r="C304" s="37" t="str">
        <f>SUGERENCIAS!G284</f>
        <v/>
      </c>
      <c r="D304" s="65" t="str">
        <f>SUGERENCIAS!G284</f>
        <v/>
      </c>
      <c r="E304" s="66" t="str">
        <f>SUGERENCIAS!L284</f>
        <v>--</v>
      </c>
      <c r="F304" s="67" t="str">
        <f>SUGERENCIAS!N284</f>
        <v>SIN</v>
      </c>
    </row>
    <row r="305" spans="1:6" ht="15" customHeight="1">
      <c r="A305" s="37" t="str">
        <f>SUGERENCIAS!B285</f>
        <v>MIERCOLES</v>
      </c>
      <c r="B305" s="44" t="str">
        <f>SUGERENCIAS!G285</f>
        <v/>
      </c>
      <c r="C305" s="37" t="str">
        <f>SUGERENCIAS!G285</f>
        <v/>
      </c>
      <c r="D305" s="65" t="str">
        <f>SUGERENCIAS!G285</f>
        <v/>
      </c>
      <c r="E305" s="66" t="str">
        <f>SUGERENCIAS!L285</f>
        <v>--</v>
      </c>
      <c r="F305" s="67" t="str">
        <f>SUGERENCIAS!N285</f>
        <v>SIN</v>
      </c>
    </row>
    <row r="306" spans="1:6" ht="15" customHeight="1">
      <c r="A306" s="37" t="str">
        <f>SUGERENCIAS!B286</f>
        <v>MIERCOLES</v>
      </c>
      <c r="B306" s="44" t="str">
        <f>SUGERENCIAS!G286</f>
        <v/>
      </c>
      <c r="C306" s="37" t="str">
        <f>SUGERENCIAS!G286</f>
        <v/>
      </c>
      <c r="D306" s="65" t="str">
        <f>SUGERENCIAS!G286</f>
        <v/>
      </c>
      <c r="E306" s="66" t="str">
        <f>SUGERENCIAS!L286</f>
        <v>--</v>
      </c>
      <c r="F306" s="67" t="str">
        <f>SUGERENCIAS!N286</f>
        <v>SIN</v>
      </c>
    </row>
    <row r="307" spans="1:6" ht="15" customHeight="1">
      <c r="A307" s="37" t="str">
        <f>SUGERENCIAS!B287</f>
        <v>MIERCOLES</v>
      </c>
      <c r="B307" s="44" t="str">
        <f>SUGERENCIAS!G287</f>
        <v/>
      </c>
      <c r="C307" s="37" t="str">
        <f>SUGERENCIAS!G287</f>
        <v/>
      </c>
      <c r="D307" s="65" t="str">
        <f>SUGERENCIAS!G287</f>
        <v/>
      </c>
      <c r="E307" s="66" t="str">
        <f>SUGERENCIAS!L287</f>
        <v>--</v>
      </c>
      <c r="F307" s="67" t="str">
        <f>SUGERENCIAS!N287</f>
        <v>SIN</v>
      </c>
    </row>
    <row r="308" spans="1:6" ht="15" customHeight="1">
      <c r="A308" s="37" t="str">
        <f>SUGERENCIAS!B288</f>
        <v>MIERCOLES</v>
      </c>
      <c r="B308" s="44" t="str">
        <f>SUGERENCIAS!G288</f>
        <v/>
      </c>
      <c r="C308" s="37" t="str">
        <f>SUGERENCIAS!G288</f>
        <v/>
      </c>
      <c r="D308" s="65" t="str">
        <f>SUGERENCIAS!G288</f>
        <v/>
      </c>
      <c r="E308" s="66" t="str">
        <f>SUGERENCIAS!L288</f>
        <v>--</v>
      </c>
      <c r="F308" s="67" t="str">
        <f>SUGERENCIAS!N288</f>
        <v>SIN</v>
      </c>
    </row>
    <row r="309" spans="1:6" ht="15" customHeight="1">
      <c r="A309" s="37" t="str">
        <f>SUGERENCIAS!B289</f>
        <v>MIERCOLES</v>
      </c>
      <c r="B309" s="44" t="str">
        <f>SUGERENCIAS!G289</f>
        <v/>
      </c>
      <c r="C309" s="37" t="str">
        <f>SUGERENCIAS!G289</f>
        <v/>
      </c>
      <c r="D309" s="65" t="str">
        <f>SUGERENCIAS!G289</f>
        <v/>
      </c>
      <c r="E309" s="66" t="str">
        <f>SUGERENCIAS!L289</f>
        <v>--</v>
      </c>
      <c r="F309" s="67" t="str">
        <f>SUGERENCIAS!N289</f>
        <v>SIN</v>
      </c>
    </row>
    <row r="310" spans="1:6" ht="15" customHeight="1">
      <c r="A310" s="37" t="str">
        <f>SUGERENCIAS!B290</f>
        <v>MIERCOLES</v>
      </c>
      <c r="B310" s="44" t="str">
        <f>SUGERENCIAS!G290</f>
        <v/>
      </c>
      <c r="C310" s="37" t="str">
        <f>SUGERENCIAS!G290</f>
        <v/>
      </c>
      <c r="D310" s="65" t="str">
        <f>SUGERENCIAS!G290</f>
        <v/>
      </c>
      <c r="E310" s="66" t="str">
        <f>SUGERENCIAS!L290</f>
        <v>--</v>
      </c>
      <c r="F310" s="67" t="str">
        <f>SUGERENCIAS!N290</f>
        <v>SIN</v>
      </c>
    </row>
    <row r="311" spans="1:6" ht="15" customHeight="1">
      <c r="A311" s="37" t="str">
        <f>SUGERENCIAS!B291</f>
        <v>MIERCOLES</v>
      </c>
      <c r="B311" s="44" t="str">
        <f>SUGERENCIAS!G291</f>
        <v/>
      </c>
      <c r="C311" s="37" t="str">
        <f>SUGERENCIAS!G291</f>
        <v/>
      </c>
      <c r="D311" s="65" t="str">
        <f>SUGERENCIAS!G291</f>
        <v/>
      </c>
      <c r="E311" s="66" t="str">
        <f>SUGERENCIAS!L291</f>
        <v>--</v>
      </c>
      <c r="F311" s="67" t="str">
        <f>SUGERENCIAS!N291</f>
        <v>SIN</v>
      </c>
    </row>
    <row r="312" spans="1:6" ht="15" customHeight="1">
      <c r="A312" s="37" t="str">
        <f>SUGERENCIAS!B292</f>
        <v>MIERCOLES</v>
      </c>
      <c r="B312" s="44" t="str">
        <f>SUGERENCIAS!G292</f>
        <v/>
      </c>
      <c r="C312" s="37" t="str">
        <f>SUGERENCIAS!G292</f>
        <v/>
      </c>
      <c r="D312" s="65" t="str">
        <f>SUGERENCIAS!G292</f>
        <v/>
      </c>
      <c r="E312" s="66" t="str">
        <f>SUGERENCIAS!L292</f>
        <v>--</v>
      </c>
      <c r="F312" s="67" t="str">
        <f>SUGERENCIAS!N292</f>
        <v>SIN</v>
      </c>
    </row>
    <row r="313" spans="1:6" ht="15" customHeight="1">
      <c r="A313" s="37" t="str">
        <f>SUGERENCIAS!B293</f>
        <v>JUEVES</v>
      </c>
      <c r="B313" s="44" t="str">
        <f>SUGERENCIAS!G293</f>
        <v/>
      </c>
      <c r="C313" s="37" t="str">
        <f>SUGERENCIAS!G293</f>
        <v/>
      </c>
      <c r="D313" s="65" t="str">
        <f>SUGERENCIAS!G293</f>
        <v/>
      </c>
      <c r="E313" s="66" t="str">
        <f>SUGERENCIAS!L293</f>
        <v>--</v>
      </c>
      <c r="F313" s="67" t="str">
        <f>SUGERENCIAS!N293</f>
        <v>SIN</v>
      </c>
    </row>
    <row r="314" spans="1:6" ht="15" customHeight="1">
      <c r="A314" s="37" t="str">
        <f>SUGERENCIAS!B294</f>
        <v>JUEVES</v>
      </c>
      <c r="B314" s="44" t="str">
        <f>SUGERENCIAS!G294</f>
        <v/>
      </c>
      <c r="C314" s="37" t="str">
        <f>SUGERENCIAS!G294</f>
        <v/>
      </c>
      <c r="D314" s="65" t="str">
        <f>SUGERENCIAS!G294</f>
        <v/>
      </c>
      <c r="E314" s="66" t="str">
        <f>SUGERENCIAS!L294</f>
        <v>--</v>
      </c>
      <c r="F314" s="67" t="str">
        <f>SUGERENCIAS!N294</f>
        <v>SIN</v>
      </c>
    </row>
    <row r="315" spans="1:6" ht="15" customHeight="1">
      <c r="A315" s="37" t="str">
        <f>SUGERENCIAS!B295</f>
        <v>JUEVES</v>
      </c>
      <c r="B315" s="44" t="str">
        <f>SUGERENCIAS!G295</f>
        <v/>
      </c>
      <c r="C315" s="37" t="str">
        <f>SUGERENCIAS!G295</f>
        <v/>
      </c>
      <c r="D315" s="65" t="str">
        <f>SUGERENCIAS!G295</f>
        <v/>
      </c>
      <c r="E315" s="66" t="str">
        <f>SUGERENCIAS!L295</f>
        <v>--</v>
      </c>
      <c r="F315" s="67" t="str">
        <f>SUGERENCIAS!N295</f>
        <v>SIN</v>
      </c>
    </row>
    <row r="316" spans="1:6" ht="15" customHeight="1">
      <c r="A316" s="37" t="str">
        <f>SUGERENCIAS!B296</f>
        <v>JUEVES</v>
      </c>
      <c r="B316" s="44" t="str">
        <f>SUGERENCIAS!G296</f>
        <v/>
      </c>
      <c r="C316" s="37" t="str">
        <f>SUGERENCIAS!G296</f>
        <v/>
      </c>
      <c r="D316" s="65" t="str">
        <f>SUGERENCIAS!G296</f>
        <v/>
      </c>
      <c r="E316" s="66" t="str">
        <f>SUGERENCIAS!L296</f>
        <v>--</v>
      </c>
      <c r="F316" s="67" t="str">
        <f>SUGERENCIAS!N296</f>
        <v>SIN</v>
      </c>
    </row>
    <row r="317" spans="1:6" ht="15" customHeight="1">
      <c r="A317" s="37" t="str">
        <f>SUGERENCIAS!B297</f>
        <v>JUEVES</v>
      </c>
      <c r="B317" s="44" t="str">
        <f>SUGERENCIAS!G297</f>
        <v/>
      </c>
      <c r="C317" s="37" t="str">
        <f>SUGERENCIAS!G297</f>
        <v/>
      </c>
      <c r="D317" s="65" t="str">
        <f>SUGERENCIAS!G297</f>
        <v/>
      </c>
      <c r="E317" s="66" t="str">
        <f>SUGERENCIAS!L297</f>
        <v>--</v>
      </c>
      <c r="F317" s="67" t="str">
        <f>SUGERENCIAS!N297</f>
        <v>SIN</v>
      </c>
    </row>
    <row r="318" spans="1:6" ht="15" customHeight="1">
      <c r="A318" s="37" t="str">
        <f>SUGERENCIAS!B298</f>
        <v>JUEVES</v>
      </c>
      <c r="B318" s="44" t="str">
        <f>SUGERENCIAS!G298</f>
        <v/>
      </c>
      <c r="C318" s="37" t="str">
        <f>SUGERENCIAS!G298</f>
        <v/>
      </c>
      <c r="D318" s="65" t="str">
        <f>SUGERENCIAS!G298</f>
        <v/>
      </c>
      <c r="E318" s="66" t="str">
        <f>SUGERENCIAS!L298</f>
        <v>--</v>
      </c>
      <c r="F318" s="67" t="str">
        <f>SUGERENCIAS!N298</f>
        <v>SIN</v>
      </c>
    </row>
    <row r="319" spans="1:6" ht="15" customHeight="1">
      <c r="A319" s="37" t="str">
        <f>SUGERENCIAS!B299</f>
        <v>JUEVES</v>
      </c>
      <c r="B319" s="44" t="str">
        <f>SUGERENCIAS!G299</f>
        <v/>
      </c>
      <c r="C319" s="37" t="str">
        <f>SUGERENCIAS!G299</f>
        <v/>
      </c>
      <c r="D319" s="65" t="str">
        <f>SUGERENCIAS!G299</f>
        <v/>
      </c>
      <c r="E319" s="66" t="str">
        <f>SUGERENCIAS!L299</f>
        <v>--</v>
      </c>
      <c r="F319" s="67" t="str">
        <f>SUGERENCIAS!N299</f>
        <v>SIN</v>
      </c>
    </row>
    <row r="320" spans="1:6" ht="15" customHeight="1">
      <c r="A320" s="37" t="str">
        <f>SUGERENCIAS!B300</f>
        <v>JUEVES</v>
      </c>
      <c r="B320" s="44" t="str">
        <f>SUGERENCIAS!G300</f>
        <v/>
      </c>
      <c r="C320" s="37" t="str">
        <f>SUGERENCIAS!G300</f>
        <v/>
      </c>
      <c r="D320" s="65" t="str">
        <f>SUGERENCIAS!G300</f>
        <v/>
      </c>
      <c r="E320" s="66" t="str">
        <f>SUGERENCIAS!L300</f>
        <v>--</v>
      </c>
      <c r="F320" s="67" t="str">
        <f>SUGERENCIAS!N300</f>
        <v>SIN</v>
      </c>
    </row>
    <row r="321" spans="1:6" ht="15" customHeight="1">
      <c r="A321" s="37" t="str">
        <f>SUGERENCIAS!B301</f>
        <v>JUEVES</v>
      </c>
      <c r="B321" s="44" t="str">
        <f>SUGERENCIAS!G301</f>
        <v/>
      </c>
      <c r="C321" s="37" t="str">
        <f>SUGERENCIAS!G301</f>
        <v/>
      </c>
      <c r="D321" s="65" t="str">
        <f>SUGERENCIAS!G301</f>
        <v/>
      </c>
      <c r="E321" s="66" t="str">
        <f>SUGERENCIAS!L301</f>
        <v>--</v>
      </c>
      <c r="F321" s="67" t="str">
        <f>SUGERENCIAS!N301</f>
        <v>SIN</v>
      </c>
    </row>
    <row r="322" spans="1:6" ht="15" customHeight="1">
      <c r="A322" s="37" t="str">
        <f>SUGERENCIAS!B302</f>
        <v>JUEVES</v>
      </c>
      <c r="B322" s="44" t="str">
        <f>SUGERENCIAS!G302</f>
        <v/>
      </c>
      <c r="C322" s="37" t="str">
        <f>SUGERENCIAS!G302</f>
        <v/>
      </c>
      <c r="D322" s="65" t="str">
        <f>SUGERENCIAS!G302</f>
        <v/>
      </c>
      <c r="E322" s="66" t="str">
        <f>SUGERENCIAS!L302</f>
        <v>--</v>
      </c>
      <c r="F322" s="67" t="str">
        <f>SUGERENCIAS!N302</f>
        <v>SIN</v>
      </c>
    </row>
    <row r="323" spans="1:6" ht="15" customHeight="1">
      <c r="A323" s="37" t="str">
        <f>SUGERENCIAS!B303</f>
        <v>JUEVES</v>
      </c>
      <c r="B323" s="44" t="str">
        <f>SUGERENCIAS!G303</f>
        <v/>
      </c>
      <c r="C323" s="37" t="str">
        <f>SUGERENCIAS!G303</f>
        <v/>
      </c>
      <c r="D323" s="65" t="str">
        <f>SUGERENCIAS!G303</f>
        <v/>
      </c>
      <c r="E323" s="66" t="str">
        <f>SUGERENCIAS!L303</f>
        <v>--</v>
      </c>
      <c r="F323" s="67" t="str">
        <f>SUGERENCIAS!N303</f>
        <v>SIN</v>
      </c>
    </row>
    <row r="324" spans="1:6" ht="15" customHeight="1">
      <c r="A324" s="37" t="str">
        <f>SUGERENCIAS!B304</f>
        <v>JUEVES</v>
      </c>
      <c r="B324" s="44">
        <f>SUGERENCIAS!G304</f>
        <v>40</v>
      </c>
      <c r="C324" s="37">
        <f>SUGERENCIAS!G304</f>
        <v>40</v>
      </c>
      <c r="D324" s="65">
        <f>SUGERENCIAS!G304</f>
        <v>40</v>
      </c>
      <c r="E324" s="66">
        <f>SUGERENCIAS!L304</f>
        <v>7</v>
      </c>
      <c r="F324" s="67" t="str">
        <f>SUGERENCIAS!N304</f>
        <v>MANT</v>
      </c>
    </row>
    <row r="325" spans="1:6" ht="15" customHeight="1">
      <c r="A325" s="37" t="str">
        <f>SUGERENCIAS!B305</f>
        <v>JUEVES</v>
      </c>
      <c r="B325" s="44" t="str">
        <f>SUGERENCIAS!G305</f>
        <v/>
      </c>
      <c r="C325" s="37" t="str">
        <f>SUGERENCIAS!G305</f>
        <v/>
      </c>
      <c r="D325" s="65" t="str">
        <f>SUGERENCIAS!G305</f>
        <v/>
      </c>
      <c r="E325" s="66" t="str">
        <f>SUGERENCIAS!L305</f>
        <v>--</v>
      </c>
      <c r="F325" s="67" t="str">
        <f>SUGERENCIAS!N305</f>
        <v>SIN</v>
      </c>
    </row>
    <row r="326" spans="1:6" ht="15" customHeight="1">
      <c r="A326" s="37" t="str">
        <f>SUGERENCIAS!B306</f>
        <v>SABADO</v>
      </c>
      <c r="B326" s="44" t="str">
        <f>SUGERENCIAS!G306</f>
        <v/>
      </c>
      <c r="C326" s="37" t="str">
        <f>SUGERENCIAS!G306</f>
        <v/>
      </c>
      <c r="D326" s="65" t="str">
        <f>SUGERENCIAS!G306</f>
        <v/>
      </c>
      <c r="E326" s="66" t="str">
        <f>SUGERENCIAS!L306</f>
        <v>--</v>
      </c>
      <c r="F326" s="67" t="str">
        <f>SUGERENCIAS!N306</f>
        <v>SIN</v>
      </c>
    </row>
    <row r="327" spans="1:6" ht="15" customHeight="1">
      <c r="A327" s="37" t="str">
        <f>SUGERENCIAS!B307</f>
        <v>SABADO</v>
      </c>
      <c r="B327" s="44" t="str">
        <f>SUGERENCIAS!G307</f>
        <v/>
      </c>
      <c r="C327" s="37" t="str">
        <f>SUGERENCIAS!G307</f>
        <v/>
      </c>
      <c r="D327" s="65" t="str">
        <f>SUGERENCIAS!G307</f>
        <v/>
      </c>
      <c r="E327" s="66" t="str">
        <f>SUGERENCIAS!L307</f>
        <v>--</v>
      </c>
      <c r="F327" s="67" t="str">
        <f>SUGERENCIAS!N307</f>
        <v>SIN</v>
      </c>
    </row>
    <row r="328" spans="1:6" ht="15" customHeight="1">
      <c r="A328" s="37" t="str">
        <f>SUGERENCIAS!B308</f>
        <v>SABADO</v>
      </c>
      <c r="B328" s="44" t="str">
        <f>SUGERENCIAS!G308</f>
        <v/>
      </c>
      <c r="C328" s="37" t="str">
        <f>SUGERENCIAS!G308</f>
        <v/>
      </c>
      <c r="D328" s="65" t="str">
        <f>SUGERENCIAS!G308</f>
        <v/>
      </c>
      <c r="E328" s="66" t="str">
        <f>SUGERENCIAS!L308</f>
        <v>--</v>
      </c>
      <c r="F328" s="67" t="str">
        <f>SUGERENCIAS!N308</f>
        <v>SIN</v>
      </c>
    </row>
    <row r="329" spans="1:6" ht="15" customHeight="1">
      <c r="A329" s="37" t="str">
        <f>SUGERENCIAS!B309</f>
        <v>SABADO</v>
      </c>
      <c r="B329" s="44" t="str">
        <f>SUGERENCIAS!G309</f>
        <v/>
      </c>
      <c r="C329" s="37" t="str">
        <f>SUGERENCIAS!G309</f>
        <v/>
      </c>
      <c r="D329" s="65" t="str">
        <f>SUGERENCIAS!G309</f>
        <v/>
      </c>
      <c r="E329" s="66" t="str">
        <f>SUGERENCIAS!L309</f>
        <v>--</v>
      </c>
      <c r="F329" s="67" t="str">
        <f>SUGERENCIAS!N309</f>
        <v>SIN</v>
      </c>
    </row>
    <row r="330" spans="1:6" ht="15" customHeight="1">
      <c r="A330" s="37" t="str">
        <f>SUGERENCIAS!B310</f>
        <v>SABADO</v>
      </c>
      <c r="B330" s="44">
        <f>SUGERENCIAS!G310</f>
        <v>40</v>
      </c>
      <c r="C330" s="37">
        <f>SUGERENCIAS!G310</f>
        <v>40</v>
      </c>
      <c r="D330" s="65">
        <f>SUGERENCIAS!G310</f>
        <v>40</v>
      </c>
      <c r="E330" s="66">
        <f>SUGERENCIAS!L310</f>
        <v>7</v>
      </c>
      <c r="F330" s="67" t="str">
        <f>SUGERENCIAS!N310</f>
        <v>MANT</v>
      </c>
    </row>
    <row r="331" spans="1:6" ht="15" customHeight="1">
      <c r="A331" s="37" t="str">
        <f>SUGERENCIAS!B311</f>
        <v>SABADO</v>
      </c>
      <c r="B331" s="44">
        <f>SUGERENCIAS!G311</f>
        <v>20</v>
      </c>
      <c r="C331" s="37">
        <f>SUGERENCIAS!G311</f>
        <v>20</v>
      </c>
      <c r="D331" s="65">
        <f>SUGERENCIAS!G311</f>
        <v>20</v>
      </c>
      <c r="E331" s="66">
        <f>SUGERENCIAS!L311</f>
        <v>6</v>
      </c>
      <c r="F331" s="67" t="str">
        <f>SUGERENCIAS!N311</f>
        <v>SUBIR</v>
      </c>
    </row>
    <row r="332" spans="1:6" ht="15" customHeight="1">
      <c r="A332" s="37" t="str">
        <f>SUGERENCIAS!B312</f>
        <v>SABADO</v>
      </c>
      <c r="B332" s="44" t="str">
        <f>SUGERENCIAS!G312</f>
        <v/>
      </c>
      <c r="C332" s="37" t="str">
        <f>SUGERENCIAS!G312</f>
        <v/>
      </c>
      <c r="D332" s="65" t="str">
        <f>SUGERENCIAS!G312</f>
        <v/>
      </c>
      <c r="E332" s="66" t="str">
        <f>SUGERENCIAS!L312</f>
        <v>--</v>
      </c>
      <c r="F332" s="67" t="str">
        <f>SUGERENCIAS!N312</f>
        <v>SIN</v>
      </c>
    </row>
    <row r="333" spans="1:6" ht="15" customHeight="1">
      <c r="A333" s="37" t="str">
        <f>SUGERENCIAS!B313</f>
        <v>SABADO</v>
      </c>
      <c r="B333" s="44" t="str">
        <f>SUGERENCIAS!G313</f>
        <v/>
      </c>
      <c r="C333" s="37" t="str">
        <f>SUGERENCIAS!G313</f>
        <v/>
      </c>
      <c r="D333" s="65" t="str">
        <f>SUGERENCIAS!G313</f>
        <v/>
      </c>
      <c r="E333" s="66" t="str">
        <f>SUGERENCIAS!L313</f>
        <v>--</v>
      </c>
      <c r="F333" s="67" t="str">
        <f>SUGERENCIAS!N313</f>
        <v>SIN</v>
      </c>
    </row>
    <row r="334" spans="1:6" ht="15" customHeight="1">
      <c r="A334" s="37" t="str">
        <f>SUGERENCIAS!B314</f>
        <v>SABADO</v>
      </c>
      <c r="B334" s="44" t="str">
        <f>SUGERENCIAS!G314</f>
        <v/>
      </c>
      <c r="C334" s="37" t="str">
        <f>SUGERENCIAS!G314</f>
        <v/>
      </c>
      <c r="D334" s="65" t="str">
        <f>SUGERENCIAS!G314</f>
        <v/>
      </c>
      <c r="E334" s="66" t="str">
        <f>SUGERENCIAS!L314</f>
        <v>--</v>
      </c>
      <c r="F334" s="67" t="str">
        <f>SUGERENCIAS!N314</f>
        <v>SIN</v>
      </c>
    </row>
    <row r="335" spans="1:6" ht="15" customHeight="1">
      <c r="A335" s="37" t="str">
        <f>SUGERENCIAS!B315</f>
        <v>SABADO</v>
      </c>
      <c r="B335" s="44" t="str">
        <f>SUGERENCIAS!G315</f>
        <v/>
      </c>
      <c r="C335" s="37" t="str">
        <f>SUGERENCIAS!G315</f>
        <v/>
      </c>
      <c r="D335" s="65" t="str">
        <f>SUGERENCIAS!G315</f>
        <v/>
      </c>
      <c r="E335" s="66" t="str">
        <f>SUGERENCIAS!L315</f>
        <v>--</v>
      </c>
      <c r="F335" s="67" t="str">
        <f>SUGERENCIAS!N315</f>
        <v>SIN</v>
      </c>
    </row>
    <row r="336" spans="1:6" ht="15" customHeight="1">
      <c r="A336" s="37" t="str">
        <f>SUGERENCIAS!B316</f>
        <v>SABADO</v>
      </c>
      <c r="B336" s="44" t="str">
        <f>SUGERENCIAS!G316</f>
        <v/>
      </c>
      <c r="C336" s="37" t="str">
        <f>SUGERENCIAS!G316</f>
        <v/>
      </c>
      <c r="D336" s="65" t="str">
        <f>SUGERENCIAS!G316</f>
        <v/>
      </c>
      <c r="E336" s="66" t="str">
        <f>SUGERENCIAS!L316</f>
        <v>--</v>
      </c>
      <c r="F336" s="67" t="str">
        <f>SUGERENCIAS!N316</f>
        <v>SIN</v>
      </c>
    </row>
    <row r="337" spans="1:6" ht="15" customHeight="1">
      <c r="A337" s="37" t="str">
        <f>SUGERENCIAS!B317</f>
        <v>SABADO</v>
      </c>
      <c r="B337" s="44" t="str">
        <f>SUGERENCIAS!G317</f>
        <v/>
      </c>
      <c r="C337" s="37" t="str">
        <f>SUGERENCIAS!G317</f>
        <v/>
      </c>
      <c r="D337" s="65" t="str">
        <f>SUGERENCIAS!G317</f>
        <v/>
      </c>
      <c r="E337" s="66" t="str">
        <f>SUGERENCIAS!L317</f>
        <v>--</v>
      </c>
      <c r="F337" s="67" t="str">
        <f>SUGERENCIAS!N317</f>
        <v>SIN</v>
      </c>
    </row>
    <row r="338" spans="1:6" ht="15" customHeight="1">
      <c r="A338" s="37" t="str">
        <f>SUGERENCIAS!B318</f>
        <v>SABADO</v>
      </c>
      <c r="B338" s="44" t="str">
        <f>SUGERENCIAS!G318</f>
        <v/>
      </c>
      <c r="C338" s="37" t="str">
        <f>SUGERENCIAS!G318</f>
        <v/>
      </c>
      <c r="D338" s="65" t="str">
        <f>SUGERENCIAS!G318</f>
        <v/>
      </c>
      <c r="E338" s="66" t="str">
        <f>SUGERENCIAS!L318</f>
        <v>--</v>
      </c>
      <c r="F338" s="67" t="str">
        <f>SUGERENCIAS!N318</f>
        <v>SIN</v>
      </c>
    </row>
    <row r="339" spans="1:6" ht="15" customHeight="1">
      <c r="A339" s="37" t="str">
        <f>SUGERENCIAS!B319</f>
        <v>LUNES</v>
      </c>
      <c r="B339" s="44" t="str">
        <f>SUGERENCIAS!G319</f>
        <v/>
      </c>
      <c r="C339" s="37" t="str">
        <f>SUGERENCIAS!G319</f>
        <v/>
      </c>
      <c r="D339" s="65" t="str">
        <f>SUGERENCIAS!G319</f>
        <v/>
      </c>
      <c r="E339" s="66" t="str">
        <f>SUGERENCIAS!L319</f>
        <v>--</v>
      </c>
      <c r="F339" s="67" t="str">
        <f>SUGERENCIAS!N319</f>
        <v>SIN</v>
      </c>
    </row>
    <row r="340" spans="1:6" ht="15" customHeight="1">
      <c r="A340" s="37" t="str">
        <f>SUGERENCIAS!B320</f>
        <v>LUNES</v>
      </c>
      <c r="B340" s="44" t="str">
        <f>SUGERENCIAS!G320</f>
        <v/>
      </c>
      <c r="C340" s="37" t="str">
        <f>SUGERENCIAS!G320</f>
        <v/>
      </c>
      <c r="D340" s="65" t="str">
        <f>SUGERENCIAS!G320</f>
        <v/>
      </c>
      <c r="E340" s="66" t="str">
        <f>SUGERENCIAS!L320</f>
        <v>--</v>
      </c>
      <c r="F340" s="67" t="str">
        <f>SUGERENCIAS!N320</f>
        <v>SIN</v>
      </c>
    </row>
    <row r="341" spans="1:6" ht="15" customHeight="1">
      <c r="A341" s="37" t="str">
        <f>SUGERENCIAS!B321</f>
        <v>LUNES</v>
      </c>
      <c r="B341" s="44">
        <f>SUGERENCIAS!G321</f>
        <v>0</v>
      </c>
      <c r="C341" s="37">
        <f>SUGERENCIAS!G321</f>
        <v>0</v>
      </c>
      <c r="D341" s="65">
        <f>SUGERENCIAS!G321</f>
        <v>0</v>
      </c>
      <c r="E341" s="66">
        <f>SUGERENCIAS!L321</f>
        <v>6</v>
      </c>
      <c r="F341" s="67" t="str">
        <f>SUGERENCIAS!N321</f>
        <v>SUBIR_F</v>
      </c>
    </row>
    <row r="342" spans="1:6" ht="15" customHeight="1">
      <c r="A342" s="37" t="str">
        <f>SUGERENCIAS!B322</f>
        <v>LUNES</v>
      </c>
      <c r="B342" s="44" t="str">
        <f>SUGERENCIAS!G322</f>
        <v/>
      </c>
      <c r="C342" s="37" t="str">
        <f>SUGERENCIAS!G322</f>
        <v/>
      </c>
      <c r="D342" s="65" t="str">
        <f>SUGERENCIAS!G322</f>
        <v/>
      </c>
      <c r="E342" s="66" t="str">
        <f>SUGERENCIAS!L322</f>
        <v>--</v>
      </c>
      <c r="F342" s="67" t="str">
        <f>SUGERENCIAS!N322</f>
        <v>SIN</v>
      </c>
    </row>
    <row r="343" spans="1:6" ht="15" customHeight="1">
      <c r="A343" s="37" t="str">
        <f>SUGERENCIAS!B323</f>
        <v>LUNES</v>
      </c>
      <c r="B343" s="44" t="str">
        <f>SUGERENCIAS!G323</f>
        <v/>
      </c>
      <c r="C343" s="37" t="str">
        <f>SUGERENCIAS!G323</f>
        <v/>
      </c>
      <c r="D343" s="65" t="str">
        <f>SUGERENCIAS!G323</f>
        <v/>
      </c>
      <c r="E343" s="66" t="str">
        <f>SUGERENCIAS!L323</f>
        <v>--</v>
      </c>
      <c r="F343" s="67" t="str">
        <f>SUGERENCIAS!N323</f>
        <v>SIN</v>
      </c>
    </row>
    <row r="344" spans="1:6" ht="15" customHeight="1">
      <c r="A344" s="37" t="str">
        <f>SUGERENCIAS!B324</f>
        <v>LUNES</v>
      </c>
      <c r="B344" s="44" t="str">
        <f>SUGERENCIAS!G324</f>
        <v/>
      </c>
      <c r="C344" s="37" t="str">
        <f>SUGERENCIAS!G324</f>
        <v/>
      </c>
      <c r="D344" s="65" t="str">
        <f>SUGERENCIAS!G324</f>
        <v/>
      </c>
      <c r="E344" s="66" t="str">
        <f>SUGERENCIAS!L324</f>
        <v>--</v>
      </c>
      <c r="F344" s="67" t="str">
        <f>SUGERENCIAS!N324</f>
        <v>SIN</v>
      </c>
    </row>
    <row r="345" spans="1:6" ht="15" customHeight="1">
      <c r="A345" s="37" t="str">
        <f>SUGERENCIAS!B325</f>
        <v>LUNES</v>
      </c>
      <c r="B345" s="44" t="str">
        <f>SUGERENCIAS!G325</f>
        <v/>
      </c>
      <c r="C345" s="37" t="str">
        <f>SUGERENCIAS!G325</f>
        <v/>
      </c>
      <c r="D345" s="65" t="str">
        <f>SUGERENCIAS!G325</f>
        <v/>
      </c>
      <c r="E345" s="66" t="str">
        <f>SUGERENCIAS!L325</f>
        <v>--</v>
      </c>
      <c r="F345" s="67" t="str">
        <f>SUGERENCIAS!N325</f>
        <v>SIN</v>
      </c>
    </row>
    <row r="346" spans="1:6" ht="15" customHeight="1">
      <c r="A346" s="37" t="str">
        <f>SUGERENCIAS!B326</f>
        <v>LUNES</v>
      </c>
      <c r="B346" s="44" t="str">
        <f>SUGERENCIAS!G326</f>
        <v/>
      </c>
      <c r="C346" s="37" t="str">
        <f>SUGERENCIAS!G326</f>
        <v/>
      </c>
      <c r="D346" s="65" t="str">
        <f>SUGERENCIAS!G326</f>
        <v/>
      </c>
      <c r="E346" s="66" t="str">
        <f>SUGERENCIAS!L326</f>
        <v>--</v>
      </c>
      <c r="F346" s="67" t="str">
        <f>SUGERENCIAS!N326</f>
        <v>SIN</v>
      </c>
    </row>
    <row r="347" spans="1:6" ht="15" customHeight="1">
      <c r="A347" s="37" t="str">
        <f>SUGERENCIAS!B327</f>
        <v>LUNES</v>
      </c>
      <c r="B347" s="44" t="str">
        <f>SUGERENCIAS!G327</f>
        <v/>
      </c>
      <c r="C347" s="37" t="str">
        <f>SUGERENCIAS!G327</f>
        <v/>
      </c>
      <c r="D347" s="65" t="str">
        <f>SUGERENCIAS!G327</f>
        <v/>
      </c>
      <c r="E347" s="66" t="str">
        <f>SUGERENCIAS!L327</f>
        <v>--</v>
      </c>
      <c r="F347" s="67" t="str">
        <f>SUGERENCIAS!N327</f>
        <v>SIN</v>
      </c>
    </row>
    <row r="348" spans="1:6" ht="15" customHeight="1">
      <c r="A348" s="37" t="str">
        <f>SUGERENCIAS!B328</f>
        <v>LUNES</v>
      </c>
      <c r="B348" s="44" t="str">
        <f>SUGERENCIAS!G328</f>
        <v/>
      </c>
      <c r="C348" s="37" t="str">
        <f>SUGERENCIAS!G328</f>
        <v/>
      </c>
      <c r="D348" s="65" t="str">
        <f>SUGERENCIAS!G328</f>
        <v/>
      </c>
      <c r="E348" s="66" t="str">
        <f>SUGERENCIAS!L328</f>
        <v>--</v>
      </c>
      <c r="F348" s="67" t="str">
        <f>SUGERENCIAS!N328</f>
        <v>SIN</v>
      </c>
    </row>
    <row r="349" spans="1:6" ht="15" customHeight="1">
      <c r="A349" s="37" t="str">
        <f>SUGERENCIAS!B329</f>
        <v>LUNES</v>
      </c>
      <c r="B349" s="44" t="str">
        <f>SUGERENCIAS!G329</f>
        <v/>
      </c>
      <c r="C349" s="37" t="str">
        <f>SUGERENCIAS!G329</f>
        <v/>
      </c>
      <c r="D349" s="65" t="str">
        <f>SUGERENCIAS!G329</f>
        <v/>
      </c>
      <c r="E349" s="66" t="str">
        <f>SUGERENCIAS!L329</f>
        <v>--</v>
      </c>
      <c r="F349" s="67" t="str">
        <f>SUGERENCIAS!N329</f>
        <v>SIN</v>
      </c>
    </row>
    <row r="350" spans="1:6" ht="15" customHeight="1">
      <c r="A350" s="37" t="str">
        <f>SUGERENCIAS!B330</f>
        <v>MARTES</v>
      </c>
      <c r="B350" s="44" t="str">
        <f>SUGERENCIAS!G330</f>
        <v/>
      </c>
      <c r="C350" s="37" t="str">
        <f>SUGERENCIAS!G330</f>
        <v/>
      </c>
      <c r="D350" s="65" t="str">
        <f>SUGERENCIAS!G330</f>
        <v/>
      </c>
      <c r="E350" s="66" t="str">
        <f>SUGERENCIAS!L330</f>
        <v>--</v>
      </c>
      <c r="F350" s="67" t="str">
        <f>SUGERENCIAS!N330</f>
        <v>SIN</v>
      </c>
    </row>
    <row r="351" spans="1:6" ht="15" customHeight="1">
      <c r="A351" s="37" t="str">
        <f>SUGERENCIAS!B331</f>
        <v>MARTES</v>
      </c>
      <c r="B351" s="44" t="str">
        <f>SUGERENCIAS!G331</f>
        <v/>
      </c>
      <c r="C351" s="37" t="str">
        <f>SUGERENCIAS!G331</f>
        <v/>
      </c>
      <c r="D351" s="65" t="str">
        <f>SUGERENCIAS!G331</f>
        <v/>
      </c>
      <c r="E351" s="66" t="str">
        <f>SUGERENCIAS!L331</f>
        <v>--</v>
      </c>
      <c r="F351" s="67" t="str">
        <f>SUGERENCIAS!N331</f>
        <v>SIN</v>
      </c>
    </row>
    <row r="352" spans="1:6" ht="15" customHeight="1">
      <c r="A352" s="37" t="str">
        <f>SUGERENCIAS!B332</f>
        <v>MARTES</v>
      </c>
      <c r="B352" s="44" t="str">
        <f>SUGERENCIAS!G332</f>
        <v/>
      </c>
      <c r="C352" s="37" t="str">
        <f>SUGERENCIAS!G332</f>
        <v/>
      </c>
      <c r="D352" s="65" t="str">
        <f>SUGERENCIAS!G332</f>
        <v/>
      </c>
      <c r="E352" s="66" t="str">
        <f>SUGERENCIAS!L332</f>
        <v>--</v>
      </c>
      <c r="F352" s="67" t="str">
        <f>SUGERENCIAS!N332</f>
        <v>SIN</v>
      </c>
    </row>
    <row r="353" spans="1:6" ht="15" customHeight="1">
      <c r="A353" s="37" t="str">
        <f>SUGERENCIAS!B333</f>
        <v>MARTES</v>
      </c>
      <c r="B353" s="44" t="str">
        <f>SUGERENCIAS!G333</f>
        <v/>
      </c>
      <c r="C353" s="37" t="str">
        <f>SUGERENCIAS!G333</f>
        <v/>
      </c>
      <c r="D353" s="65" t="str">
        <f>SUGERENCIAS!G333</f>
        <v/>
      </c>
      <c r="E353" s="66" t="str">
        <f>SUGERENCIAS!L333</f>
        <v>--</v>
      </c>
      <c r="F353" s="67" t="str">
        <f>SUGERENCIAS!N333</f>
        <v>SIN</v>
      </c>
    </row>
    <row r="354" spans="1:6" ht="15" customHeight="1">
      <c r="A354" s="37" t="str">
        <f>SUGERENCIAS!B334</f>
        <v>MARTES</v>
      </c>
      <c r="B354" s="44" t="str">
        <f>SUGERENCIAS!G334</f>
        <v/>
      </c>
      <c r="C354" s="37" t="str">
        <f>SUGERENCIAS!G334</f>
        <v/>
      </c>
      <c r="D354" s="65" t="str">
        <f>SUGERENCIAS!G334</f>
        <v/>
      </c>
      <c r="E354" s="66" t="str">
        <f>SUGERENCIAS!L334</f>
        <v>--</v>
      </c>
      <c r="F354" s="67" t="str">
        <f>SUGERENCIAS!N334</f>
        <v>SIN</v>
      </c>
    </row>
    <row r="355" spans="1:6" ht="15" customHeight="1">
      <c r="A355" s="37" t="str">
        <f>SUGERENCIAS!B335</f>
        <v>MARTES</v>
      </c>
      <c r="B355" s="44" t="str">
        <f>SUGERENCIAS!G335</f>
        <v/>
      </c>
      <c r="C355" s="37" t="str">
        <f>SUGERENCIAS!G335</f>
        <v/>
      </c>
      <c r="D355" s="65" t="str">
        <f>SUGERENCIAS!G335</f>
        <v/>
      </c>
      <c r="E355" s="66" t="str">
        <f>SUGERENCIAS!L335</f>
        <v>--</v>
      </c>
      <c r="F355" s="67" t="str">
        <f>SUGERENCIAS!N335</f>
        <v>SIN</v>
      </c>
    </row>
    <row r="356" spans="1:6" ht="15" customHeight="1">
      <c r="A356" s="37" t="str">
        <f>SUGERENCIAS!B336</f>
        <v>MARTES</v>
      </c>
      <c r="B356" s="44" t="str">
        <f>SUGERENCIAS!G336</f>
        <v/>
      </c>
      <c r="C356" s="37" t="str">
        <f>SUGERENCIAS!G336</f>
        <v/>
      </c>
      <c r="D356" s="65" t="str">
        <f>SUGERENCIAS!G336</f>
        <v/>
      </c>
      <c r="E356" s="66" t="str">
        <f>SUGERENCIAS!L336</f>
        <v>--</v>
      </c>
      <c r="F356" s="67" t="str">
        <f>SUGERENCIAS!N336</f>
        <v>SIN</v>
      </c>
    </row>
    <row r="357" spans="1:6" ht="15" customHeight="1">
      <c r="A357" s="37" t="str">
        <f>SUGERENCIAS!B337</f>
        <v>MARTES</v>
      </c>
      <c r="B357" s="44" t="str">
        <f>SUGERENCIAS!G337</f>
        <v/>
      </c>
      <c r="C357" s="37" t="str">
        <f>SUGERENCIAS!G337</f>
        <v/>
      </c>
      <c r="D357" s="65" t="str">
        <f>SUGERENCIAS!G337</f>
        <v/>
      </c>
      <c r="E357" s="66" t="str">
        <f>SUGERENCIAS!L337</f>
        <v>--</v>
      </c>
      <c r="F357" s="67" t="str">
        <f>SUGERENCIAS!N337</f>
        <v>SIN</v>
      </c>
    </row>
    <row r="358" spans="1:6" ht="15" customHeight="1">
      <c r="A358" s="37" t="str">
        <f>SUGERENCIAS!B338</f>
        <v>MARTES</v>
      </c>
      <c r="B358" s="44" t="str">
        <f>SUGERENCIAS!G338</f>
        <v/>
      </c>
      <c r="C358" s="37" t="str">
        <f>SUGERENCIAS!G338</f>
        <v/>
      </c>
      <c r="D358" s="65" t="str">
        <f>SUGERENCIAS!G338</f>
        <v/>
      </c>
      <c r="E358" s="66" t="str">
        <f>SUGERENCIAS!L338</f>
        <v>--</v>
      </c>
      <c r="F358" s="67" t="str">
        <f>SUGERENCIAS!N338</f>
        <v>SIN</v>
      </c>
    </row>
    <row r="359" spans="1:6" ht="15" customHeight="1">
      <c r="A359" s="37" t="str">
        <f>SUGERENCIAS!B339</f>
        <v>MARTES</v>
      </c>
      <c r="B359" s="44" t="str">
        <f>SUGERENCIAS!G339</f>
        <v/>
      </c>
      <c r="C359" s="37" t="str">
        <f>SUGERENCIAS!G339</f>
        <v/>
      </c>
      <c r="D359" s="65" t="str">
        <f>SUGERENCIAS!G339</f>
        <v/>
      </c>
      <c r="E359" s="66" t="str">
        <f>SUGERENCIAS!L339</f>
        <v>--</v>
      </c>
      <c r="F359" s="67" t="str">
        <f>SUGERENCIAS!N339</f>
        <v>SIN</v>
      </c>
    </row>
    <row r="360" spans="1:6" ht="15" customHeight="1">
      <c r="A360" s="37" t="str">
        <f>SUGERENCIAS!B340</f>
        <v>MARTES</v>
      </c>
      <c r="B360" s="44" t="str">
        <f>SUGERENCIAS!G340</f>
        <v/>
      </c>
      <c r="C360" s="37" t="str">
        <f>SUGERENCIAS!G340</f>
        <v/>
      </c>
      <c r="D360" s="65" t="str">
        <f>SUGERENCIAS!G340</f>
        <v/>
      </c>
      <c r="E360" s="66" t="str">
        <f>SUGERENCIAS!L340</f>
        <v>--</v>
      </c>
      <c r="F360" s="67" t="str">
        <f>SUGERENCIAS!N340</f>
        <v>SIN</v>
      </c>
    </row>
    <row r="361" spans="1:6" ht="15" customHeight="1">
      <c r="A361" s="37" t="str">
        <f>SUGERENCIAS!B341</f>
        <v>MIERCOLES</v>
      </c>
      <c r="B361" s="44" t="str">
        <f>SUGERENCIAS!G341</f>
        <v/>
      </c>
      <c r="C361" s="37" t="str">
        <f>SUGERENCIAS!G341</f>
        <v/>
      </c>
      <c r="D361" s="65" t="str">
        <f>SUGERENCIAS!G341</f>
        <v/>
      </c>
      <c r="E361" s="66" t="str">
        <f>SUGERENCIAS!L341</f>
        <v>--</v>
      </c>
      <c r="F361" s="67" t="str">
        <f>SUGERENCIAS!N341</f>
        <v>SIN</v>
      </c>
    </row>
    <row r="362" spans="1:6" ht="15" customHeight="1">
      <c r="A362" s="37" t="str">
        <f>SUGERENCIAS!B342</f>
        <v>MIERCOLES</v>
      </c>
      <c r="B362" s="44" t="str">
        <f>SUGERENCIAS!G342</f>
        <v/>
      </c>
      <c r="C362" s="37" t="str">
        <f>SUGERENCIAS!G342</f>
        <v/>
      </c>
      <c r="D362" s="65" t="str">
        <f>SUGERENCIAS!G342</f>
        <v/>
      </c>
      <c r="E362" s="66" t="str">
        <f>SUGERENCIAS!L342</f>
        <v>--</v>
      </c>
      <c r="F362" s="67" t="str">
        <f>SUGERENCIAS!N342</f>
        <v>SIN</v>
      </c>
    </row>
    <row r="363" spans="1:6" ht="15" customHeight="1">
      <c r="A363" s="37" t="str">
        <f>SUGERENCIAS!B343</f>
        <v>MIERCOLES</v>
      </c>
      <c r="B363" s="44" t="str">
        <f>SUGERENCIAS!G343</f>
        <v/>
      </c>
      <c r="C363" s="37" t="str">
        <f>SUGERENCIAS!G343</f>
        <v/>
      </c>
      <c r="D363" s="65" t="str">
        <f>SUGERENCIAS!G343</f>
        <v/>
      </c>
      <c r="E363" s="66" t="str">
        <f>SUGERENCIAS!L343</f>
        <v>--</v>
      </c>
      <c r="F363" s="67" t="str">
        <f>SUGERENCIAS!N343</f>
        <v>SIN</v>
      </c>
    </row>
    <row r="364" spans="1:6" ht="15" customHeight="1">
      <c r="A364" s="37" t="str">
        <f>SUGERENCIAS!B344</f>
        <v>MIERCOLES</v>
      </c>
      <c r="B364" s="44" t="str">
        <f>SUGERENCIAS!G344</f>
        <v/>
      </c>
      <c r="C364" s="37" t="str">
        <f>SUGERENCIAS!G344</f>
        <v/>
      </c>
      <c r="D364" s="65" t="str">
        <f>SUGERENCIAS!G344</f>
        <v/>
      </c>
      <c r="E364" s="66" t="str">
        <f>SUGERENCIAS!L344</f>
        <v>--</v>
      </c>
      <c r="F364" s="67" t="str">
        <f>SUGERENCIAS!N344</f>
        <v>SIN</v>
      </c>
    </row>
    <row r="365" spans="1:6" ht="15" customHeight="1">
      <c r="A365" s="37" t="str">
        <f>SUGERENCIAS!B345</f>
        <v>MIERCOLES</v>
      </c>
      <c r="B365" s="44" t="str">
        <f>SUGERENCIAS!G345</f>
        <v/>
      </c>
      <c r="C365" s="37" t="str">
        <f>SUGERENCIAS!G345</f>
        <v/>
      </c>
      <c r="D365" s="65" t="str">
        <f>SUGERENCIAS!G345</f>
        <v/>
      </c>
      <c r="E365" s="66" t="str">
        <f>SUGERENCIAS!L345</f>
        <v>--</v>
      </c>
      <c r="F365" s="67" t="str">
        <f>SUGERENCIAS!N345</f>
        <v>SIN</v>
      </c>
    </row>
    <row r="366" spans="1:6" ht="15" customHeight="1">
      <c r="A366" s="37" t="str">
        <f>SUGERENCIAS!B346</f>
        <v>MIERCOLES</v>
      </c>
      <c r="B366" s="44" t="str">
        <f>SUGERENCIAS!G346</f>
        <v/>
      </c>
      <c r="C366" s="37" t="str">
        <f>SUGERENCIAS!G346</f>
        <v/>
      </c>
      <c r="D366" s="65" t="str">
        <f>SUGERENCIAS!G346</f>
        <v/>
      </c>
      <c r="E366" s="66" t="str">
        <f>SUGERENCIAS!L346</f>
        <v>--</v>
      </c>
      <c r="F366" s="67" t="str">
        <f>SUGERENCIAS!N346</f>
        <v>SIN</v>
      </c>
    </row>
    <row r="367" spans="1:6" ht="15" customHeight="1">
      <c r="A367" s="37" t="str">
        <f>SUGERENCIAS!B347</f>
        <v>MIERCOLES</v>
      </c>
      <c r="B367" s="44" t="str">
        <f>SUGERENCIAS!G347</f>
        <v/>
      </c>
      <c r="C367" s="37" t="str">
        <f>SUGERENCIAS!G347</f>
        <v/>
      </c>
      <c r="D367" s="65" t="str">
        <f>SUGERENCIAS!G347</f>
        <v/>
      </c>
      <c r="E367" s="66" t="str">
        <f>SUGERENCIAS!L347</f>
        <v>--</v>
      </c>
      <c r="F367" s="67" t="str">
        <f>SUGERENCIAS!N347</f>
        <v>SIN</v>
      </c>
    </row>
    <row r="368" spans="1:6" ht="15" customHeight="1">
      <c r="A368" s="37" t="str">
        <f>SUGERENCIAS!B348</f>
        <v>MIERCOLES</v>
      </c>
      <c r="B368" s="44" t="str">
        <f>SUGERENCIAS!G348</f>
        <v/>
      </c>
      <c r="C368" s="37" t="str">
        <f>SUGERENCIAS!G348</f>
        <v/>
      </c>
      <c r="D368" s="65" t="str">
        <f>SUGERENCIAS!G348</f>
        <v/>
      </c>
      <c r="E368" s="66" t="str">
        <f>SUGERENCIAS!L348</f>
        <v>--</v>
      </c>
      <c r="F368" s="67" t="str">
        <f>SUGERENCIAS!N348</f>
        <v>SIN</v>
      </c>
    </row>
    <row r="369" spans="1:6" ht="15" customHeight="1">
      <c r="A369" s="37" t="str">
        <f>SUGERENCIAS!B349</f>
        <v>MIERCOLES</v>
      </c>
      <c r="B369" s="44" t="str">
        <f>SUGERENCIAS!G349</f>
        <v/>
      </c>
      <c r="C369" s="37" t="str">
        <f>SUGERENCIAS!G349</f>
        <v/>
      </c>
      <c r="D369" s="65" t="str">
        <f>SUGERENCIAS!G349</f>
        <v/>
      </c>
      <c r="E369" s="66" t="str">
        <f>SUGERENCIAS!L349</f>
        <v>--</v>
      </c>
      <c r="F369" s="67" t="str">
        <f>SUGERENCIAS!N349</f>
        <v>SIN</v>
      </c>
    </row>
    <row r="370" spans="1:6" ht="15" customHeight="1">
      <c r="A370" s="37" t="str">
        <f>SUGERENCIAS!B350</f>
        <v>MIERCOLES</v>
      </c>
      <c r="B370" s="44" t="str">
        <f>SUGERENCIAS!G350</f>
        <v/>
      </c>
      <c r="C370" s="37" t="str">
        <f>SUGERENCIAS!G350</f>
        <v/>
      </c>
      <c r="D370" s="65" t="str">
        <f>SUGERENCIAS!G350</f>
        <v/>
      </c>
      <c r="E370" s="66" t="str">
        <f>SUGERENCIAS!L350</f>
        <v>--</v>
      </c>
      <c r="F370" s="67" t="str">
        <f>SUGERENCIAS!N350</f>
        <v>SIN</v>
      </c>
    </row>
    <row r="371" spans="1:6" ht="15" customHeight="1">
      <c r="A371" s="37" t="str">
        <f>SUGERENCIAS!B351</f>
        <v>MIERCOLES</v>
      </c>
      <c r="B371" s="44" t="str">
        <f>SUGERENCIAS!G351</f>
        <v/>
      </c>
      <c r="C371" s="37" t="str">
        <f>SUGERENCIAS!G351</f>
        <v/>
      </c>
      <c r="D371" s="65" t="str">
        <f>SUGERENCIAS!G351</f>
        <v/>
      </c>
      <c r="E371" s="66" t="str">
        <f>SUGERENCIAS!L351</f>
        <v>--</v>
      </c>
      <c r="F371" s="67" t="str">
        <f>SUGERENCIAS!N351</f>
        <v>SIN</v>
      </c>
    </row>
    <row r="372" spans="1:6" ht="15" customHeight="1">
      <c r="A372" s="37" t="str">
        <f>SUGERENCIAS!B352</f>
        <v>MIERCOLES</v>
      </c>
      <c r="B372" s="44" t="str">
        <f>SUGERENCIAS!G352</f>
        <v/>
      </c>
      <c r="C372" s="37" t="str">
        <f>SUGERENCIAS!G352</f>
        <v/>
      </c>
      <c r="D372" s="65" t="str">
        <f>SUGERENCIAS!G352</f>
        <v/>
      </c>
      <c r="E372" s="66" t="str">
        <f>SUGERENCIAS!L352</f>
        <v>--</v>
      </c>
      <c r="F372" s="67" t="str">
        <f>SUGERENCIAS!N352</f>
        <v>SIN</v>
      </c>
    </row>
    <row r="373" spans="1:6" ht="15" customHeight="1">
      <c r="A373" s="37" t="str">
        <f>SUGERENCIAS!B353</f>
        <v>MIERCOLES</v>
      </c>
      <c r="B373" s="44" t="str">
        <f>SUGERENCIAS!G353</f>
        <v/>
      </c>
      <c r="C373" s="37" t="str">
        <f>SUGERENCIAS!G353</f>
        <v/>
      </c>
      <c r="D373" s="65" t="str">
        <f>SUGERENCIAS!G353</f>
        <v/>
      </c>
      <c r="E373" s="66" t="str">
        <f>SUGERENCIAS!L353</f>
        <v>--</v>
      </c>
      <c r="F373" s="67" t="str">
        <f>SUGERENCIAS!N353</f>
        <v>SIN</v>
      </c>
    </row>
    <row r="374" spans="1:6" ht="15" customHeight="1">
      <c r="A374" s="37" t="str">
        <f>SUGERENCIAS!B354</f>
        <v>MIERCOLES</v>
      </c>
      <c r="B374" s="44" t="str">
        <f>SUGERENCIAS!G354</f>
        <v/>
      </c>
      <c r="C374" s="37" t="str">
        <f>SUGERENCIAS!G354</f>
        <v/>
      </c>
      <c r="D374" s="65" t="str">
        <f>SUGERENCIAS!G354</f>
        <v/>
      </c>
      <c r="E374" s="66" t="str">
        <f>SUGERENCIAS!L354</f>
        <v>--</v>
      </c>
      <c r="F374" s="67" t="str">
        <f>SUGERENCIAS!N354</f>
        <v>SIN</v>
      </c>
    </row>
    <row r="375" spans="1:6" ht="15" customHeight="1">
      <c r="A375" s="37" t="str">
        <f>SUGERENCIAS!B355</f>
        <v>MIERCOLES</v>
      </c>
      <c r="B375" s="44" t="str">
        <f>SUGERENCIAS!G355</f>
        <v/>
      </c>
      <c r="C375" s="37" t="str">
        <f>SUGERENCIAS!G355</f>
        <v/>
      </c>
      <c r="D375" s="65" t="str">
        <f>SUGERENCIAS!G355</f>
        <v/>
      </c>
      <c r="E375" s="66" t="str">
        <f>SUGERENCIAS!L355</f>
        <v>--</v>
      </c>
      <c r="F375" s="67" t="str">
        <f>SUGERENCIAS!N355</f>
        <v>SIN</v>
      </c>
    </row>
    <row r="376" spans="1:6" ht="15" customHeight="1">
      <c r="A376" s="37" t="str">
        <f>SUGERENCIAS!B356</f>
        <v>JUEVES</v>
      </c>
      <c r="B376" s="44" t="str">
        <f>SUGERENCIAS!G356</f>
        <v/>
      </c>
      <c r="C376" s="37" t="str">
        <f>SUGERENCIAS!G356</f>
        <v/>
      </c>
      <c r="D376" s="65" t="str">
        <f>SUGERENCIAS!G356</f>
        <v/>
      </c>
      <c r="E376" s="66" t="str">
        <f>SUGERENCIAS!L356</f>
        <v>--</v>
      </c>
      <c r="F376" s="67" t="str">
        <f>SUGERENCIAS!N356</f>
        <v>SIN</v>
      </c>
    </row>
    <row r="377" spans="1:6" ht="15" customHeight="1">
      <c r="A377" s="37" t="str">
        <f>SUGERENCIAS!B357</f>
        <v>JUEVES</v>
      </c>
      <c r="B377" s="44" t="str">
        <f>SUGERENCIAS!G357</f>
        <v/>
      </c>
      <c r="C377" s="37" t="str">
        <f>SUGERENCIAS!G357</f>
        <v/>
      </c>
      <c r="D377" s="65" t="str">
        <f>SUGERENCIAS!G357</f>
        <v/>
      </c>
      <c r="E377" s="66" t="str">
        <f>SUGERENCIAS!L357</f>
        <v>--</v>
      </c>
      <c r="F377" s="67" t="str">
        <f>SUGERENCIAS!N357</f>
        <v>SIN</v>
      </c>
    </row>
    <row r="378" spans="1:6" ht="15" customHeight="1">
      <c r="A378" s="37" t="str">
        <f>SUGERENCIAS!B358</f>
        <v>JUEVES</v>
      </c>
      <c r="B378" s="44" t="str">
        <f>SUGERENCIAS!G358</f>
        <v/>
      </c>
      <c r="C378" s="37" t="str">
        <f>SUGERENCIAS!G358</f>
        <v/>
      </c>
      <c r="D378" s="65" t="str">
        <f>SUGERENCIAS!G358</f>
        <v/>
      </c>
      <c r="E378" s="66" t="str">
        <f>SUGERENCIAS!L358</f>
        <v>--</v>
      </c>
      <c r="F378" s="67" t="str">
        <f>SUGERENCIAS!N358</f>
        <v>SIN</v>
      </c>
    </row>
    <row r="379" spans="1:6" ht="15" customHeight="1">
      <c r="A379" s="37" t="str">
        <f>SUGERENCIAS!B359</f>
        <v>JUEVES</v>
      </c>
      <c r="B379" s="44" t="str">
        <f>SUGERENCIAS!G359</f>
        <v/>
      </c>
      <c r="C379" s="37" t="str">
        <f>SUGERENCIAS!G359</f>
        <v/>
      </c>
      <c r="D379" s="65" t="str">
        <f>SUGERENCIAS!G359</f>
        <v/>
      </c>
      <c r="E379" s="66" t="str">
        <f>SUGERENCIAS!L359</f>
        <v>--</v>
      </c>
      <c r="F379" s="67" t="str">
        <f>SUGERENCIAS!N359</f>
        <v>SIN</v>
      </c>
    </row>
    <row r="380" spans="1:6" ht="15" customHeight="1">
      <c r="A380" s="37" t="str">
        <f>SUGERENCIAS!B360</f>
        <v>JUEVES</v>
      </c>
      <c r="B380" s="44" t="str">
        <f>SUGERENCIAS!G360</f>
        <v/>
      </c>
      <c r="C380" s="37" t="str">
        <f>SUGERENCIAS!G360</f>
        <v/>
      </c>
      <c r="D380" s="65" t="str">
        <f>SUGERENCIAS!G360</f>
        <v/>
      </c>
      <c r="E380" s="66" t="str">
        <f>SUGERENCIAS!L360</f>
        <v>--</v>
      </c>
      <c r="F380" s="67" t="str">
        <f>SUGERENCIAS!N360</f>
        <v>SIN</v>
      </c>
    </row>
    <row r="381" spans="1:6" ht="15" customHeight="1">
      <c r="A381" s="37" t="str">
        <f>SUGERENCIAS!B361</f>
        <v>JUEVES</v>
      </c>
      <c r="B381" s="44" t="str">
        <f>SUGERENCIAS!G361</f>
        <v/>
      </c>
      <c r="C381" s="37" t="str">
        <f>SUGERENCIAS!G361</f>
        <v/>
      </c>
      <c r="D381" s="65" t="str">
        <f>SUGERENCIAS!G361</f>
        <v/>
      </c>
      <c r="E381" s="66" t="str">
        <f>SUGERENCIAS!L361</f>
        <v>--</v>
      </c>
      <c r="F381" s="67" t="str">
        <f>SUGERENCIAS!N361</f>
        <v>SIN</v>
      </c>
    </row>
    <row r="382" spans="1:6" ht="15" customHeight="1">
      <c r="A382" s="37" t="str">
        <f>SUGERENCIAS!B362</f>
        <v>JUEVES</v>
      </c>
      <c r="B382" s="44" t="str">
        <f>SUGERENCIAS!G362</f>
        <v/>
      </c>
      <c r="C382" s="37" t="str">
        <f>SUGERENCIAS!G362</f>
        <v/>
      </c>
      <c r="D382" s="65" t="str">
        <f>SUGERENCIAS!G362</f>
        <v/>
      </c>
      <c r="E382" s="66" t="str">
        <f>SUGERENCIAS!L362</f>
        <v>--</v>
      </c>
      <c r="F382" s="67" t="str">
        <f>SUGERENCIAS!N362</f>
        <v>SIN</v>
      </c>
    </row>
    <row r="383" spans="1:6" ht="15" customHeight="1">
      <c r="A383" s="37" t="str">
        <f>SUGERENCIAS!B363</f>
        <v>JUEVES</v>
      </c>
      <c r="B383" s="44" t="str">
        <f>SUGERENCIAS!G363</f>
        <v/>
      </c>
      <c r="C383" s="37" t="str">
        <f>SUGERENCIAS!G363</f>
        <v/>
      </c>
      <c r="D383" s="65" t="str">
        <f>SUGERENCIAS!G363</f>
        <v/>
      </c>
      <c r="E383" s="66" t="str">
        <f>SUGERENCIAS!L363</f>
        <v>--</v>
      </c>
      <c r="F383" s="67" t="str">
        <f>SUGERENCIAS!N363</f>
        <v>SIN</v>
      </c>
    </row>
    <row r="384" spans="1:6" ht="15" customHeight="1">
      <c r="A384" s="37" t="str">
        <f>SUGERENCIAS!B364</f>
        <v>JUEVES</v>
      </c>
      <c r="B384" s="44" t="str">
        <f>SUGERENCIAS!G364</f>
        <v/>
      </c>
      <c r="C384" s="37" t="str">
        <f>SUGERENCIAS!G364</f>
        <v/>
      </c>
      <c r="D384" s="65" t="str">
        <f>SUGERENCIAS!G364</f>
        <v/>
      </c>
      <c r="E384" s="66" t="str">
        <f>SUGERENCIAS!L364</f>
        <v>--</v>
      </c>
      <c r="F384" s="67" t="str">
        <f>SUGERENCIAS!N364</f>
        <v>SIN</v>
      </c>
    </row>
    <row r="385" spans="1:6" ht="15" customHeight="1">
      <c r="A385" s="37" t="str">
        <f>SUGERENCIAS!B365</f>
        <v>JUEVES</v>
      </c>
      <c r="B385" s="44" t="str">
        <f>SUGERENCIAS!G365</f>
        <v/>
      </c>
      <c r="C385" s="37" t="str">
        <f>SUGERENCIAS!G365</f>
        <v/>
      </c>
      <c r="D385" s="65" t="str">
        <f>SUGERENCIAS!G365</f>
        <v/>
      </c>
      <c r="E385" s="66" t="str">
        <f>SUGERENCIAS!L365</f>
        <v>--</v>
      </c>
      <c r="F385" s="67" t="str">
        <f>SUGERENCIAS!N365</f>
        <v>SIN</v>
      </c>
    </row>
    <row r="386" spans="1:6" ht="15" customHeight="1">
      <c r="A386" s="37" t="str">
        <f>SUGERENCIAS!B366</f>
        <v>JUEVES</v>
      </c>
      <c r="B386" s="44" t="str">
        <f>SUGERENCIAS!G366</f>
        <v/>
      </c>
      <c r="C386" s="37" t="str">
        <f>SUGERENCIAS!G366</f>
        <v/>
      </c>
      <c r="D386" s="65" t="str">
        <f>SUGERENCIAS!G366</f>
        <v/>
      </c>
      <c r="E386" s="66" t="str">
        <f>SUGERENCIAS!L366</f>
        <v>--</v>
      </c>
      <c r="F386" s="67" t="str">
        <f>SUGERENCIAS!N366</f>
        <v>SIN</v>
      </c>
    </row>
    <row r="387" spans="1:6" ht="15" customHeight="1">
      <c r="A387" s="37" t="str">
        <f>SUGERENCIAS!B367</f>
        <v>JUEVES</v>
      </c>
      <c r="B387" s="44">
        <f>SUGERENCIAS!G367</f>
        <v>40</v>
      </c>
      <c r="C387" s="37">
        <f>SUGERENCIAS!G367</f>
        <v>40</v>
      </c>
      <c r="D387" s="65">
        <f>SUGERENCIAS!G367</f>
        <v>40</v>
      </c>
      <c r="E387" s="66">
        <f>SUGERENCIAS!L367</f>
        <v>7</v>
      </c>
      <c r="F387" s="67" t="str">
        <f>SUGERENCIAS!N367</f>
        <v>MANT</v>
      </c>
    </row>
    <row r="388" spans="1:6" ht="15" customHeight="1">
      <c r="A388" s="37" t="str">
        <f>SUGERENCIAS!B368</f>
        <v>JUEVES</v>
      </c>
      <c r="B388" s="44" t="str">
        <f>SUGERENCIAS!G368</f>
        <v/>
      </c>
      <c r="C388" s="37" t="str">
        <f>SUGERENCIAS!G368</f>
        <v/>
      </c>
      <c r="D388" s="65" t="str">
        <f>SUGERENCIAS!G368</f>
        <v/>
      </c>
      <c r="E388" s="66" t="str">
        <f>SUGERENCIAS!L368</f>
        <v>--</v>
      </c>
      <c r="F388" s="67" t="str">
        <f>SUGERENCIAS!N368</f>
        <v>SIN</v>
      </c>
    </row>
    <row r="389" spans="1:6" ht="15" customHeight="1">
      <c r="A389" s="37" t="str">
        <f>SUGERENCIAS!B369</f>
        <v>SABADO</v>
      </c>
      <c r="B389" s="44" t="str">
        <f>SUGERENCIAS!G369</f>
        <v/>
      </c>
      <c r="C389" s="37" t="str">
        <f>SUGERENCIAS!G369</f>
        <v/>
      </c>
      <c r="D389" s="65" t="str">
        <f>SUGERENCIAS!G369</f>
        <v/>
      </c>
      <c r="E389" s="66" t="str">
        <f>SUGERENCIAS!L369</f>
        <v>--</v>
      </c>
      <c r="F389" s="67" t="str">
        <f>SUGERENCIAS!N369</f>
        <v>SIN</v>
      </c>
    </row>
    <row r="390" spans="1:6" ht="15" customHeight="1">
      <c r="A390" s="37" t="str">
        <f>SUGERENCIAS!B370</f>
        <v>SABADO</v>
      </c>
      <c r="B390" s="44" t="str">
        <f>SUGERENCIAS!G370</f>
        <v/>
      </c>
      <c r="C390" s="37" t="str">
        <f>SUGERENCIAS!G370</f>
        <v/>
      </c>
      <c r="D390" s="65" t="str">
        <f>SUGERENCIAS!G370</f>
        <v/>
      </c>
      <c r="E390" s="66" t="str">
        <f>SUGERENCIAS!L370</f>
        <v>--</v>
      </c>
      <c r="F390" s="67" t="str">
        <f>SUGERENCIAS!N370</f>
        <v>SIN</v>
      </c>
    </row>
    <row r="391" spans="1:6" ht="15" customHeight="1">
      <c r="A391" s="37" t="str">
        <f>SUGERENCIAS!B371</f>
        <v>SABADO</v>
      </c>
      <c r="B391" s="44" t="str">
        <f>SUGERENCIAS!G371</f>
        <v/>
      </c>
      <c r="C391" s="37" t="str">
        <f>SUGERENCIAS!G371</f>
        <v/>
      </c>
      <c r="D391" s="65" t="str">
        <f>SUGERENCIAS!G371</f>
        <v/>
      </c>
      <c r="E391" s="66" t="str">
        <f>SUGERENCIAS!L371</f>
        <v>--</v>
      </c>
      <c r="F391" s="67" t="str">
        <f>SUGERENCIAS!N371</f>
        <v>SIN</v>
      </c>
    </row>
    <row r="392" spans="1:6" ht="15" customHeight="1">
      <c r="A392" s="37" t="str">
        <f>SUGERENCIAS!B372</f>
        <v>SABADO</v>
      </c>
      <c r="B392" s="44" t="str">
        <f>SUGERENCIAS!G372</f>
        <v/>
      </c>
      <c r="C392" s="37" t="str">
        <f>SUGERENCIAS!G372</f>
        <v/>
      </c>
      <c r="D392" s="65" t="str">
        <f>SUGERENCIAS!G372</f>
        <v/>
      </c>
      <c r="E392" s="66" t="str">
        <f>SUGERENCIAS!L372</f>
        <v>--</v>
      </c>
      <c r="F392" s="67" t="str">
        <f>SUGERENCIAS!N372</f>
        <v>SIN</v>
      </c>
    </row>
    <row r="393" spans="1:6" ht="15" customHeight="1">
      <c r="A393" s="37" t="str">
        <f>SUGERENCIAS!B373</f>
        <v>SABADO</v>
      </c>
      <c r="B393" s="44">
        <f>SUGERENCIAS!G373</f>
        <v>40</v>
      </c>
      <c r="C393" s="37">
        <f>SUGERENCIAS!G373</f>
        <v>40</v>
      </c>
      <c r="D393" s="65">
        <f>SUGERENCIAS!G373</f>
        <v>40</v>
      </c>
      <c r="E393" s="66">
        <f>SUGERENCIAS!L373</f>
        <v>7</v>
      </c>
      <c r="F393" s="67" t="str">
        <f>SUGERENCIAS!N373</f>
        <v>MANT</v>
      </c>
    </row>
    <row r="394" spans="1:6" ht="15" customHeight="1">
      <c r="A394" s="37" t="str">
        <f>SUGERENCIAS!B374</f>
        <v>SABADO</v>
      </c>
      <c r="B394" s="44">
        <f>SUGERENCIAS!G374</f>
        <v>20</v>
      </c>
      <c r="C394" s="37">
        <f>SUGERENCIAS!G374</f>
        <v>20</v>
      </c>
      <c r="D394" s="65">
        <f>SUGERENCIAS!G374</f>
        <v>20</v>
      </c>
      <c r="E394" s="66">
        <f>SUGERENCIAS!L374</f>
        <v>6</v>
      </c>
      <c r="F394" s="67" t="str">
        <f>SUGERENCIAS!N374</f>
        <v>SUBIR</v>
      </c>
    </row>
    <row r="395" spans="1:6" ht="15" customHeight="1">
      <c r="A395" s="37" t="str">
        <f>SUGERENCIAS!B375</f>
        <v>SABADO</v>
      </c>
      <c r="B395" s="44" t="str">
        <f>SUGERENCIAS!G375</f>
        <v/>
      </c>
      <c r="C395" s="37" t="str">
        <f>SUGERENCIAS!G375</f>
        <v/>
      </c>
      <c r="D395" s="65" t="str">
        <f>SUGERENCIAS!G375</f>
        <v/>
      </c>
      <c r="E395" s="66" t="str">
        <f>SUGERENCIAS!L375</f>
        <v>--</v>
      </c>
      <c r="F395" s="67" t="str">
        <f>SUGERENCIAS!N375</f>
        <v>SIN</v>
      </c>
    </row>
    <row r="396" spans="1:6" ht="15" customHeight="1">
      <c r="A396" s="37" t="str">
        <f>SUGERENCIAS!B376</f>
        <v>SABADO</v>
      </c>
      <c r="B396" s="44" t="str">
        <f>SUGERENCIAS!G376</f>
        <v/>
      </c>
      <c r="C396" s="37" t="str">
        <f>SUGERENCIAS!G376</f>
        <v/>
      </c>
      <c r="D396" s="65" t="str">
        <f>SUGERENCIAS!G376</f>
        <v/>
      </c>
      <c r="E396" s="66" t="str">
        <f>SUGERENCIAS!L376</f>
        <v>--</v>
      </c>
      <c r="F396" s="67" t="str">
        <f>SUGERENCIAS!N376</f>
        <v>SIN</v>
      </c>
    </row>
    <row r="397" spans="1:6" ht="15" customHeight="1">
      <c r="A397" s="37" t="str">
        <f>SUGERENCIAS!B377</f>
        <v>SABADO</v>
      </c>
      <c r="B397" s="44" t="str">
        <f>SUGERENCIAS!G377</f>
        <v/>
      </c>
      <c r="C397" s="37" t="str">
        <f>SUGERENCIAS!G377</f>
        <v/>
      </c>
      <c r="D397" s="65" t="str">
        <f>SUGERENCIAS!G377</f>
        <v/>
      </c>
      <c r="E397" s="66" t="str">
        <f>SUGERENCIAS!L377</f>
        <v>--</v>
      </c>
      <c r="F397" s="67" t="str">
        <f>SUGERENCIAS!N377</f>
        <v>SIN</v>
      </c>
    </row>
    <row r="398" spans="1:6" ht="15" customHeight="1">
      <c r="A398" s="37" t="str">
        <f>SUGERENCIAS!B378</f>
        <v>SABADO</v>
      </c>
      <c r="B398" s="44" t="str">
        <f>SUGERENCIAS!G378</f>
        <v/>
      </c>
      <c r="C398" s="37" t="str">
        <f>SUGERENCIAS!G378</f>
        <v/>
      </c>
      <c r="D398" s="65" t="str">
        <f>SUGERENCIAS!G378</f>
        <v/>
      </c>
      <c r="E398" s="66" t="str">
        <f>SUGERENCIAS!L378</f>
        <v>--</v>
      </c>
      <c r="F398" s="67" t="str">
        <f>SUGERENCIAS!N378</f>
        <v>SIN</v>
      </c>
    </row>
    <row r="399" spans="1:6" ht="15" customHeight="1">
      <c r="A399" s="37" t="str">
        <f>SUGERENCIAS!B379</f>
        <v>SABADO</v>
      </c>
      <c r="B399" s="44" t="str">
        <f>SUGERENCIAS!G379</f>
        <v/>
      </c>
      <c r="C399" s="37" t="str">
        <f>SUGERENCIAS!G379</f>
        <v/>
      </c>
      <c r="D399" s="65" t="str">
        <f>SUGERENCIAS!G379</f>
        <v/>
      </c>
      <c r="E399" s="66" t="str">
        <f>SUGERENCIAS!L379</f>
        <v>--</v>
      </c>
      <c r="F399" s="67" t="str">
        <f>SUGERENCIAS!N379</f>
        <v>SIN</v>
      </c>
    </row>
    <row r="400" spans="1:6" ht="15" customHeight="1">
      <c r="A400" s="37" t="str">
        <f>SUGERENCIAS!B380</f>
        <v>SABADO</v>
      </c>
      <c r="B400" s="44" t="str">
        <f>SUGERENCIAS!G380</f>
        <v/>
      </c>
      <c r="C400" s="37" t="str">
        <f>SUGERENCIAS!G380</f>
        <v/>
      </c>
      <c r="D400" s="65" t="str">
        <f>SUGERENCIAS!G380</f>
        <v/>
      </c>
      <c r="E400" s="66" t="str">
        <f>SUGERENCIAS!L380</f>
        <v>--</v>
      </c>
      <c r="F400" s="67" t="str">
        <f>SUGERENCIAS!N380</f>
        <v>SIN</v>
      </c>
    </row>
    <row r="401" spans="1:6" ht="15" customHeight="1">
      <c r="A401" s="37" t="str">
        <f>SUGERENCIAS!B381</f>
        <v>SABADO</v>
      </c>
      <c r="B401" s="44" t="str">
        <f>SUGERENCIAS!G381</f>
        <v/>
      </c>
      <c r="C401" s="37" t="str">
        <f>SUGERENCIAS!G381</f>
        <v/>
      </c>
      <c r="D401" s="65" t="str">
        <f>SUGERENCIAS!G381</f>
        <v/>
      </c>
      <c r="E401" s="66" t="str">
        <f>SUGERENCIAS!L381</f>
        <v>--</v>
      </c>
      <c r="F401" s="67" t="str">
        <f>SUGERENCIAS!N381</f>
        <v>SIN</v>
      </c>
    </row>
    <row r="402" spans="1:6" ht="15" customHeight="1">
      <c r="A402" s="37" t="str">
        <f>SUGERENCIAS!B382</f>
        <v>LUNES</v>
      </c>
      <c r="B402" s="44" t="str">
        <f>SUGERENCIAS!G382</f>
        <v/>
      </c>
      <c r="C402" s="37" t="str">
        <f>SUGERENCIAS!G382</f>
        <v/>
      </c>
      <c r="D402" s="65" t="str">
        <f>SUGERENCIAS!G382</f>
        <v/>
      </c>
      <c r="E402" s="66" t="str">
        <f>SUGERENCIAS!L382</f>
        <v>--</v>
      </c>
      <c r="F402" s="67" t="str">
        <f>SUGERENCIAS!N382</f>
        <v>SIN</v>
      </c>
    </row>
    <row r="403" spans="1:6" ht="15" customHeight="1">
      <c r="A403" s="37" t="str">
        <f>SUGERENCIAS!B383</f>
        <v>LUNES</v>
      </c>
      <c r="B403" s="44" t="str">
        <f>SUGERENCIAS!G383</f>
        <v/>
      </c>
      <c r="C403" s="37" t="str">
        <f>SUGERENCIAS!G383</f>
        <v/>
      </c>
      <c r="D403" s="65" t="str">
        <f>SUGERENCIAS!G383</f>
        <v/>
      </c>
      <c r="E403" s="66" t="str">
        <f>SUGERENCIAS!L383</f>
        <v>--</v>
      </c>
      <c r="F403" s="67" t="str">
        <f>SUGERENCIAS!N383</f>
        <v>SIN</v>
      </c>
    </row>
    <row r="404" spans="1:6" ht="15" customHeight="1">
      <c r="A404" s="37" t="str">
        <f>SUGERENCIAS!B384</f>
        <v>LUNES</v>
      </c>
      <c r="B404" s="44">
        <f>SUGERENCIAS!G384</f>
        <v>0</v>
      </c>
      <c r="C404" s="37">
        <f>SUGERENCIAS!G384</f>
        <v>0</v>
      </c>
      <c r="D404" s="65">
        <f>SUGERENCIAS!G384</f>
        <v>0</v>
      </c>
      <c r="E404" s="66">
        <f>SUGERENCIAS!L384</f>
        <v>6</v>
      </c>
      <c r="F404" s="67" t="str">
        <f>SUGERENCIAS!N384</f>
        <v>SUBIR_F</v>
      </c>
    </row>
    <row r="405" spans="1:6" ht="15" customHeight="1">
      <c r="A405" s="37" t="str">
        <f>SUGERENCIAS!B385</f>
        <v>LUNES</v>
      </c>
      <c r="B405" s="44" t="str">
        <f>SUGERENCIAS!G385</f>
        <v/>
      </c>
      <c r="C405" s="37" t="str">
        <f>SUGERENCIAS!G385</f>
        <v/>
      </c>
      <c r="D405" s="65" t="str">
        <f>SUGERENCIAS!G385</f>
        <v/>
      </c>
      <c r="E405" s="66" t="str">
        <f>SUGERENCIAS!L385</f>
        <v>--</v>
      </c>
      <c r="F405" s="67" t="str">
        <f>SUGERENCIAS!N385</f>
        <v>SIN</v>
      </c>
    </row>
    <row r="406" spans="1:6" ht="15" customHeight="1">
      <c r="A406" s="37" t="str">
        <f>SUGERENCIAS!B386</f>
        <v>LUNES</v>
      </c>
      <c r="B406" s="44" t="str">
        <f>SUGERENCIAS!G386</f>
        <v/>
      </c>
      <c r="C406" s="37" t="str">
        <f>SUGERENCIAS!G386</f>
        <v/>
      </c>
      <c r="D406" s="65" t="str">
        <f>SUGERENCIAS!G386</f>
        <v/>
      </c>
      <c r="E406" s="66" t="str">
        <f>SUGERENCIAS!L386</f>
        <v>--</v>
      </c>
      <c r="F406" s="67" t="str">
        <f>SUGERENCIAS!N386</f>
        <v>SIN</v>
      </c>
    </row>
    <row r="407" spans="1:6" ht="15" customHeight="1">
      <c r="A407" s="37" t="str">
        <f>SUGERENCIAS!B387</f>
        <v>LUNES</v>
      </c>
      <c r="B407" s="44" t="str">
        <f>SUGERENCIAS!G387</f>
        <v/>
      </c>
      <c r="C407" s="37" t="str">
        <f>SUGERENCIAS!G387</f>
        <v/>
      </c>
      <c r="D407" s="65" t="str">
        <f>SUGERENCIAS!G387</f>
        <v/>
      </c>
      <c r="E407" s="66" t="str">
        <f>SUGERENCIAS!L387</f>
        <v>--</v>
      </c>
      <c r="F407" s="67" t="str">
        <f>SUGERENCIAS!N387</f>
        <v>SIN</v>
      </c>
    </row>
    <row r="408" spans="1:6" ht="15" customHeight="1">
      <c r="A408" s="37" t="str">
        <f>SUGERENCIAS!B388</f>
        <v>LUNES</v>
      </c>
      <c r="B408" s="44" t="str">
        <f>SUGERENCIAS!G388</f>
        <v/>
      </c>
      <c r="C408" s="37" t="str">
        <f>SUGERENCIAS!G388</f>
        <v/>
      </c>
      <c r="D408" s="65" t="str">
        <f>SUGERENCIAS!G388</f>
        <v/>
      </c>
      <c r="E408" s="66" t="str">
        <f>SUGERENCIAS!L388</f>
        <v>--</v>
      </c>
      <c r="F408" s="67" t="str">
        <f>SUGERENCIAS!N388</f>
        <v>SIN</v>
      </c>
    </row>
    <row r="409" spans="1:6" ht="15" customHeight="1">
      <c r="A409" s="37" t="str">
        <f>SUGERENCIAS!B389</f>
        <v>LUNES</v>
      </c>
      <c r="B409" s="44" t="str">
        <f>SUGERENCIAS!G389</f>
        <v/>
      </c>
      <c r="C409" s="37" t="str">
        <f>SUGERENCIAS!G389</f>
        <v/>
      </c>
      <c r="D409" s="65" t="str">
        <f>SUGERENCIAS!G389</f>
        <v/>
      </c>
      <c r="E409" s="66" t="str">
        <f>SUGERENCIAS!L389</f>
        <v>--</v>
      </c>
      <c r="F409" s="67" t="str">
        <f>SUGERENCIAS!N389</f>
        <v>SIN</v>
      </c>
    </row>
    <row r="410" spans="1:6" ht="15" customHeight="1">
      <c r="A410" s="37" t="str">
        <f>SUGERENCIAS!B390</f>
        <v>LUNES</v>
      </c>
      <c r="B410" s="44" t="str">
        <f>SUGERENCIAS!G390</f>
        <v/>
      </c>
      <c r="C410" s="37" t="str">
        <f>SUGERENCIAS!G390</f>
        <v/>
      </c>
      <c r="D410" s="65" t="str">
        <f>SUGERENCIAS!G390</f>
        <v/>
      </c>
      <c r="E410" s="66" t="str">
        <f>SUGERENCIAS!L390</f>
        <v>--</v>
      </c>
      <c r="F410" s="67" t="str">
        <f>SUGERENCIAS!N390</f>
        <v>SIN</v>
      </c>
    </row>
    <row r="411" spans="1:6" ht="15" customHeight="1">
      <c r="A411" s="37" t="str">
        <f>SUGERENCIAS!B391</f>
        <v>LUNES</v>
      </c>
      <c r="B411" s="44" t="str">
        <f>SUGERENCIAS!G391</f>
        <v/>
      </c>
      <c r="C411" s="37" t="str">
        <f>SUGERENCIAS!G391</f>
        <v/>
      </c>
      <c r="D411" s="65" t="str">
        <f>SUGERENCIAS!G391</f>
        <v/>
      </c>
      <c r="E411" s="66" t="str">
        <f>SUGERENCIAS!L391</f>
        <v>--</v>
      </c>
      <c r="F411" s="67" t="str">
        <f>SUGERENCIAS!N391</f>
        <v>SIN</v>
      </c>
    </row>
    <row r="412" spans="1:6" ht="15" customHeight="1">
      <c r="A412" s="37" t="str">
        <f>SUGERENCIAS!B392</f>
        <v>LUNES</v>
      </c>
      <c r="B412" s="44" t="str">
        <f>SUGERENCIAS!G392</f>
        <v/>
      </c>
      <c r="C412" s="37" t="str">
        <f>SUGERENCIAS!G392</f>
        <v/>
      </c>
      <c r="D412" s="65" t="str">
        <f>SUGERENCIAS!G392</f>
        <v/>
      </c>
      <c r="E412" s="66" t="str">
        <f>SUGERENCIAS!L392</f>
        <v>--</v>
      </c>
      <c r="F412" s="67" t="str">
        <f>SUGERENCIAS!N392</f>
        <v>SIN</v>
      </c>
    </row>
    <row r="413" spans="1:6" ht="15" customHeight="1">
      <c r="A413" s="37" t="str">
        <f>SUGERENCIAS!B393</f>
        <v>MARTES</v>
      </c>
      <c r="B413" s="44" t="str">
        <f>SUGERENCIAS!G393</f>
        <v/>
      </c>
      <c r="C413" s="37" t="str">
        <f>SUGERENCIAS!G393</f>
        <v/>
      </c>
      <c r="D413" s="65" t="str">
        <f>SUGERENCIAS!G393</f>
        <v/>
      </c>
      <c r="E413" s="66" t="str">
        <f>SUGERENCIAS!L393</f>
        <v>--</v>
      </c>
      <c r="F413" s="67" t="str">
        <f>SUGERENCIAS!N393</f>
        <v>SIN</v>
      </c>
    </row>
    <row r="414" spans="1:6" ht="15" customHeight="1">
      <c r="A414" s="37" t="str">
        <f>SUGERENCIAS!B394</f>
        <v>MARTES</v>
      </c>
      <c r="B414" s="44" t="str">
        <f>SUGERENCIAS!G394</f>
        <v/>
      </c>
      <c r="C414" s="37" t="str">
        <f>SUGERENCIAS!G394</f>
        <v/>
      </c>
      <c r="D414" s="65" t="str">
        <f>SUGERENCIAS!G394</f>
        <v/>
      </c>
      <c r="E414" s="66" t="str">
        <f>SUGERENCIAS!L394</f>
        <v>--</v>
      </c>
      <c r="F414" s="67" t="str">
        <f>SUGERENCIAS!N394</f>
        <v>SIN</v>
      </c>
    </row>
    <row r="415" spans="1:6" ht="15" customHeight="1">
      <c r="A415" s="37" t="str">
        <f>SUGERENCIAS!B395</f>
        <v>MARTES</v>
      </c>
      <c r="B415" s="44" t="str">
        <f>SUGERENCIAS!G395</f>
        <v/>
      </c>
      <c r="C415" s="37" t="str">
        <f>SUGERENCIAS!G395</f>
        <v/>
      </c>
      <c r="D415" s="65" t="str">
        <f>SUGERENCIAS!G395</f>
        <v/>
      </c>
      <c r="E415" s="66" t="str">
        <f>SUGERENCIAS!L395</f>
        <v>--</v>
      </c>
      <c r="F415" s="67" t="str">
        <f>SUGERENCIAS!N395</f>
        <v>SIN</v>
      </c>
    </row>
    <row r="416" spans="1:6" ht="15" customHeight="1">
      <c r="A416" s="37" t="str">
        <f>SUGERENCIAS!B396</f>
        <v>MARTES</v>
      </c>
      <c r="B416" s="44" t="str">
        <f>SUGERENCIAS!G396</f>
        <v/>
      </c>
      <c r="C416" s="37" t="str">
        <f>SUGERENCIAS!G396</f>
        <v/>
      </c>
      <c r="D416" s="65" t="str">
        <f>SUGERENCIAS!G396</f>
        <v/>
      </c>
      <c r="E416" s="66" t="str">
        <f>SUGERENCIAS!L396</f>
        <v>--</v>
      </c>
      <c r="F416" s="67" t="str">
        <f>SUGERENCIAS!N396</f>
        <v>SIN</v>
      </c>
    </row>
    <row r="417" spans="1:6" ht="15" customHeight="1">
      <c r="A417" s="37" t="str">
        <f>SUGERENCIAS!B397</f>
        <v>MARTES</v>
      </c>
      <c r="B417" s="44" t="str">
        <f>SUGERENCIAS!G397</f>
        <v/>
      </c>
      <c r="C417" s="37" t="str">
        <f>SUGERENCIAS!G397</f>
        <v/>
      </c>
      <c r="D417" s="65" t="str">
        <f>SUGERENCIAS!G397</f>
        <v/>
      </c>
      <c r="E417" s="66" t="str">
        <f>SUGERENCIAS!L397</f>
        <v>--</v>
      </c>
      <c r="F417" s="67" t="str">
        <f>SUGERENCIAS!N397</f>
        <v>SIN</v>
      </c>
    </row>
    <row r="418" spans="1:6" ht="15" customHeight="1">
      <c r="A418" s="37" t="str">
        <f>SUGERENCIAS!B398</f>
        <v>MARTES</v>
      </c>
      <c r="B418" s="44" t="str">
        <f>SUGERENCIAS!G398</f>
        <v/>
      </c>
      <c r="C418" s="37" t="str">
        <f>SUGERENCIAS!G398</f>
        <v/>
      </c>
      <c r="D418" s="65" t="str">
        <f>SUGERENCIAS!G398</f>
        <v/>
      </c>
      <c r="E418" s="66" t="str">
        <f>SUGERENCIAS!L398</f>
        <v>--</v>
      </c>
      <c r="F418" s="67" t="str">
        <f>SUGERENCIAS!N398</f>
        <v>SIN</v>
      </c>
    </row>
    <row r="419" spans="1:6" ht="15" customHeight="1">
      <c r="A419" s="37" t="str">
        <f>SUGERENCIAS!B399</f>
        <v>MARTES</v>
      </c>
      <c r="B419" s="44" t="str">
        <f>SUGERENCIAS!G399</f>
        <v/>
      </c>
      <c r="C419" s="37" t="str">
        <f>SUGERENCIAS!G399</f>
        <v/>
      </c>
      <c r="D419" s="65" t="str">
        <f>SUGERENCIAS!G399</f>
        <v/>
      </c>
      <c r="E419" s="66" t="str">
        <f>SUGERENCIAS!L399</f>
        <v>--</v>
      </c>
      <c r="F419" s="67" t="str">
        <f>SUGERENCIAS!N399</f>
        <v>SIN</v>
      </c>
    </row>
    <row r="420" spans="1:6" ht="15" customHeight="1">
      <c r="A420" s="37" t="str">
        <f>SUGERENCIAS!B400</f>
        <v>MARTES</v>
      </c>
      <c r="B420" s="44" t="str">
        <f>SUGERENCIAS!G400</f>
        <v/>
      </c>
      <c r="C420" s="37" t="str">
        <f>SUGERENCIAS!G400</f>
        <v/>
      </c>
      <c r="D420" s="65" t="str">
        <f>SUGERENCIAS!G400</f>
        <v/>
      </c>
      <c r="E420" s="66" t="str">
        <f>SUGERENCIAS!L400</f>
        <v>--</v>
      </c>
      <c r="F420" s="67" t="str">
        <f>SUGERENCIAS!N400</f>
        <v>SIN</v>
      </c>
    </row>
    <row r="421" spans="1:6" ht="15" customHeight="1">
      <c r="A421" s="37" t="str">
        <f>SUGERENCIAS!B401</f>
        <v>MARTES</v>
      </c>
      <c r="B421" s="44" t="str">
        <f>SUGERENCIAS!G401</f>
        <v/>
      </c>
      <c r="C421" s="37" t="str">
        <f>SUGERENCIAS!G401</f>
        <v/>
      </c>
      <c r="D421" s="65" t="str">
        <f>SUGERENCIAS!G401</f>
        <v/>
      </c>
      <c r="E421" s="66" t="str">
        <f>SUGERENCIAS!L401</f>
        <v>--</v>
      </c>
      <c r="F421" s="67" t="str">
        <f>SUGERENCIAS!N401</f>
        <v>SIN</v>
      </c>
    </row>
    <row r="422" spans="1:6" ht="15" customHeight="1">
      <c r="A422" s="37" t="str">
        <f>SUGERENCIAS!B402</f>
        <v>MARTES</v>
      </c>
      <c r="B422" s="44" t="str">
        <f>SUGERENCIAS!G402</f>
        <v/>
      </c>
      <c r="C422" s="37" t="str">
        <f>SUGERENCIAS!G402</f>
        <v/>
      </c>
      <c r="D422" s="65" t="str">
        <f>SUGERENCIAS!G402</f>
        <v/>
      </c>
      <c r="E422" s="66" t="str">
        <f>SUGERENCIAS!L402</f>
        <v>--</v>
      </c>
      <c r="F422" s="67" t="str">
        <f>SUGERENCIAS!N402</f>
        <v>SIN</v>
      </c>
    </row>
    <row r="423" spans="1:6" ht="15" customHeight="1">
      <c r="A423" s="37" t="str">
        <f>SUGERENCIAS!B403</f>
        <v>MARTES</v>
      </c>
      <c r="B423" s="44" t="str">
        <f>SUGERENCIAS!G403</f>
        <v/>
      </c>
      <c r="C423" s="37" t="str">
        <f>SUGERENCIAS!G403</f>
        <v/>
      </c>
      <c r="D423" s="65" t="str">
        <f>SUGERENCIAS!G403</f>
        <v/>
      </c>
      <c r="E423" s="66" t="str">
        <f>SUGERENCIAS!L403</f>
        <v>--</v>
      </c>
      <c r="F423" s="67" t="str">
        <f>SUGERENCIAS!N403</f>
        <v>SIN</v>
      </c>
    </row>
    <row r="424" spans="1:6" ht="15" customHeight="1">
      <c r="A424" s="37" t="str">
        <f>SUGERENCIAS!B404</f>
        <v>MIERCOLES</v>
      </c>
      <c r="B424" s="44" t="str">
        <f>SUGERENCIAS!G404</f>
        <v/>
      </c>
      <c r="C424" s="37" t="str">
        <f>SUGERENCIAS!G404</f>
        <v/>
      </c>
      <c r="D424" s="65" t="str">
        <f>SUGERENCIAS!G404</f>
        <v/>
      </c>
      <c r="E424" s="66" t="str">
        <f>SUGERENCIAS!L404</f>
        <v>--</v>
      </c>
      <c r="F424" s="67" t="str">
        <f>SUGERENCIAS!N404</f>
        <v>SIN</v>
      </c>
    </row>
    <row r="425" spans="1:6" ht="15" customHeight="1">
      <c r="A425" s="37" t="str">
        <f>SUGERENCIAS!B405</f>
        <v>MIERCOLES</v>
      </c>
      <c r="B425" s="44" t="str">
        <f>SUGERENCIAS!G405</f>
        <v/>
      </c>
      <c r="C425" s="37" t="str">
        <f>SUGERENCIAS!G405</f>
        <v/>
      </c>
      <c r="D425" s="65" t="str">
        <f>SUGERENCIAS!G405</f>
        <v/>
      </c>
      <c r="E425" s="66" t="str">
        <f>SUGERENCIAS!L405</f>
        <v>--</v>
      </c>
      <c r="F425" s="67" t="str">
        <f>SUGERENCIAS!N405</f>
        <v>SIN</v>
      </c>
    </row>
    <row r="426" spans="1:6" ht="15" customHeight="1">
      <c r="A426" s="37" t="str">
        <f>SUGERENCIAS!B406</f>
        <v>MIERCOLES</v>
      </c>
      <c r="B426" s="44" t="str">
        <f>SUGERENCIAS!G406</f>
        <v/>
      </c>
      <c r="C426" s="37" t="str">
        <f>SUGERENCIAS!G406</f>
        <v/>
      </c>
      <c r="D426" s="65" t="str">
        <f>SUGERENCIAS!G406</f>
        <v/>
      </c>
      <c r="E426" s="66" t="str">
        <f>SUGERENCIAS!L406</f>
        <v>--</v>
      </c>
      <c r="F426" s="67" t="str">
        <f>SUGERENCIAS!N406</f>
        <v>SIN</v>
      </c>
    </row>
    <row r="427" spans="1:6" ht="15" customHeight="1">
      <c r="A427" s="37" t="str">
        <f>SUGERENCIAS!B407</f>
        <v>MIERCOLES</v>
      </c>
      <c r="B427" s="44" t="str">
        <f>SUGERENCIAS!G407</f>
        <v/>
      </c>
      <c r="C427" s="37" t="str">
        <f>SUGERENCIAS!G407</f>
        <v/>
      </c>
      <c r="D427" s="65" t="str">
        <f>SUGERENCIAS!G407</f>
        <v/>
      </c>
      <c r="E427" s="66" t="str">
        <f>SUGERENCIAS!L407</f>
        <v>--</v>
      </c>
      <c r="F427" s="67" t="str">
        <f>SUGERENCIAS!N407</f>
        <v>SIN</v>
      </c>
    </row>
    <row r="428" spans="1:6" ht="15" customHeight="1">
      <c r="A428" s="37" t="str">
        <f>SUGERENCIAS!B408</f>
        <v>MIERCOLES</v>
      </c>
      <c r="B428" s="44" t="str">
        <f>SUGERENCIAS!G408</f>
        <v/>
      </c>
      <c r="C428" s="37" t="str">
        <f>SUGERENCIAS!G408</f>
        <v/>
      </c>
      <c r="D428" s="65" t="str">
        <f>SUGERENCIAS!G408</f>
        <v/>
      </c>
      <c r="E428" s="66" t="str">
        <f>SUGERENCIAS!L408</f>
        <v>--</v>
      </c>
      <c r="F428" s="67" t="str">
        <f>SUGERENCIAS!N408</f>
        <v>SIN</v>
      </c>
    </row>
    <row r="429" spans="1:6" ht="15" customHeight="1">
      <c r="A429" s="37" t="str">
        <f>SUGERENCIAS!B409</f>
        <v>MIERCOLES</v>
      </c>
      <c r="B429" s="44" t="str">
        <f>SUGERENCIAS!G409</f>
        <v/>
      </c>
      <c r="C429" s="37" t="str">
        <f>SUGERENCIAS!G409</f>
        <v/>
      </c>
      <c r="D429" s="65" t="str">
        <f>SUGERENCIAS!G409</f>
        <v/>
      </c>
      <c r="E429" s="66" t="str">
        <f>SUGERENCIAS!L409</f>
        <v>--</v>
      </c>
      <c r="F429" s="67" t="str">
        <f>SUGERENCIAS!N409</f>
        <v>SIN</v>
      </c>
    </row>
    <row r="430" spans="1:6" ht="15" customHeight="1">
      <c r="A430" s="37" t="str">
        <f>SUGERENCIAS!B410</f>
        <v>MIERCOLES</v>
      </c>
      <c r="B430" s="44" t="str">
        <f>SUGERENCIAS!G410</f>
        <v/>
      </c>
      <c r="C430" s="37" t="str">
        <f>SUGERENCIAS!G410</f>
        <v/>
      </c>
      <c r="D430" s="65" t="str">
        <f>SUGERENCIAS!G410</f>
        <v/>
      </c>
      <c r="E430" s="66" t="str">
        <f>SUGERENCIAS!L410</f>
        <v>--</v>
      </c>
      <c r="F430" s="67" t="str">
        <f>SUGERENCIAS!N410</f>
        <v>SIN</v>
      </c>
    </row>
    <row r="431" spans="1:6" ht="15" customHeight="1">
      <c r="A431" s="37" t="str">
        <f>SUGERENCIAS!B411</f>
        <v>MIERCOLES</v>
      </c>
      <c r="B431" s="44" t="str">
        <f>SUGERENCIAS!G411</f>
        <v/>
      </c>
      <c r="C431" s="37" t="str">
        <f>SUGERENCIAS!G411</f>
        <v/>
      </c>
      <c r="D431" s="65" t="str">
        <f>SUGERENCIAS!G411</f>
        <v/>
      </c>
      <c r="E431" s="66" t="str">
        <f>SUGERENCIAS!L411</f>
        <v>--</v>
      </c>
      <c r="F431" s="67" t="str">
        <f>SUGERENCIAS!N411</f>
        <v>SIN</v>
      </c>
    </row>
    <row r="432" spans="1:6" ht="15" customHeight="1">
      <c r="A432" s="37" t="str">
        <f>SUGERENCIAS!B412</f>
        <v>MIERCOLES</v>
      </c>
      <c r="B432" s="44" t="str">
        <f>SUGERENCIAS!G412</f>
        <v/>
      </c>
      <c r="C432" s="37" t="str">
        <f>SUGERENCIAS!G412</f>
        <v/>
      </c>
      <c r="D432" s="65" t="str">
        <f>SUGERENCIAS!G412</f>
        <v/>
      </c>
      <c r="E432" s="66" t="str">
        <f>SUGERENCIAS!L412</f>
        <v>--</v>
      </c>
      <c r="F432" s="67" t="str">
        <f>SUGERENCIAS!N412</f>
        <v>SIN</v>
      </c>
    </row>
    <row r="433" spans="1:6" ht="15" customHeight="1">
      <c r="A433" s="37" t="str">
        <f>SUGERENCIAS!B413</f>
        <v>MIERCOLES</v>
      </c>
      <c r="B433" s="44" t="str">
        <f>SUGERENCIAS!G413</f>
        <v/>
      </c>
      <c r="C433" s="37" t="str">
        <f>SUGERENCIAS!G413</f>
        <v/>
      </c>
      <c r="D433" s="65" t="str">
        <f>SUGERENCIAS!G413</f>
        <v/>
      </c>
      <c r="E433" s="66" t="str">
        <f>SUGERENCIAS!L413</f>
        <v>--</v>
      </c>
      <c r="F433" s="67" t="str">
        <f>SUGERENCIAS!N413</f>
        <v>SIN</v>
      </c>
    </row>
    <row r="434" spans="1:6" ht="15" customHeight="1">
      <c r="A434" s="37" t="str">
        <f>SUGERENCIAS!B414</f>
        <v>MIERCOLES</v>
      </c>
      <c r="B434" s="44" t="str">
        <f>SUGERENCIAS!G414</f>
        <v/>
      </c>
      <c r="C434" s="37" t="str">
        <f>SUGERENCIAS!G414</f>
        <v/>
      </c>
      <c r="D434" s="65" t="str">
        <f>SUGERENCIAS!G414</f>
        <v/>
      </c>
      <c r="E434" s="66" t="str">
        <f>SUGERENCIAS!L414</f>
        <v>--</v>
      </c>
      <c r="F434" s="67" t="str">
        <f>SUGERENCIAS!N414</f>
        <v>SIN</v>
      </c>
    </row>
    <row r="435" spans="1:6" ht="15" customHeight="1">
      <c r="A435" s="37" t="str">
        <f>SUGERENCIAS!B415</f>
        <v>MIERCOLES</v>
      </c>
      <c r="B435" s="44" t="str">
        <f>SUGERENCIAS!G415</f>
        <v/>
      </c>
      <c r="C435" s="37" t="str">
        <f>SUGERENCIAS!G415</f>
        <v/>
      </c>
      <c r="D435" s="65" t="str">
        <f>SUGERENCIAS!G415</f>
        <v/>
      </c>
      <c r="E435" s="66" t="str">
        <f>SUGERENCIAS!L415</f>
        <v>--</v>
      </c>
      <c r="F435" s="67" t="str">
        <f>SUGERENCIAS!N415</f>
        <v>SIN</v>
      </c>
    </row>
    <row r="436" spans="1:6" ht="15" customHeight="1">
      <c r="A436" s="37" t="str">
        <f>SUGERENCIAS!B416</f>
        <v>MIERCOLES</v>
      </c>
      <c r="B436" s="44" t="str">
        <f>SUGERENCIAS!G416</f>
        <v/>
      </c>
      <c r="C436" s="37" t="str">
        <f>SUGERENCIAS!G416</f>
        <v/>
      </c>
      <c r="D436" s="65" t="str">
        <f>SUGERENCIAS!G416</f>
        <v/>
      </c>
      <c r="E436" s="66" t="str">
        <f>SUGERENCIAS!L416</f>
        <v>--</v>
      </c>
      <c r="F436" s="67" t="str">
        <f>SUGERENCIAS!N416</f>
        <v>SIN</v>
      </c>
    </row>
    <row r="437" spans="1:6" ht="15" customHeight="1">
      <c r="A437" s="37" t="str">
        <f>SUGERENCIAS!B417</f>
        <v>MIERCOLES</v>
      </c>
      <c r="B437" s="44" t="str">
        <f>SUGERENCIAS!G417</f>
        <v/>
      </c>
      <c r="C437" s="37" t="str">
        <f>SUGERENCIAS!G417</f>
        <v/>
      </c>
      <c r="D437" s="65" t="str">
        <f>SUGERENCIAS!G417</f>
        <v/>
      </c>
      <c r="E437" s="66" t="str">
        <f>SUGERENCIAS!L417</f>
        <v>--</v>
      </c>
      <c r="F437" s="67" t="str">
        <f>SUGERENCIAS!N417</f>
        <v>SIN</v>
      </c>
    </row>
    <row r="438" spans="1:6" ht="15" customHeight="1">
      <c r="A438" s="37" t="str">
        <f>SUGERENCIAS!B418</f>
        <v>MIERCOLES</v>
      </c>
      <c r="B438" s="44" t="str">
        <f>SUGERENCIAS!G418</f>
        <v/>
      </c>
      <c r="C438" s="37" t="str">
        <f>SUGERENCIAS!G418</f>
        <v/>
      </c>
      <c r="D438" s="65" t="str">
        <f>SUGERENCIAS!G418</f>
        <v/>
      </c>
      <c r="E438" s="66" t="str">
        <f>SUGERENCIAS!L418</f>
        <v>--</v>
      </c>
      <c r="F438" s="67" t="str">
        <f>SUGERENCIAS!N418</f>
        <v>SIN</v>
      </c>
    </row>
    <row r="439" spans="1:6" ht="15" customHeight="1">
      <c r="A439" s="37" t="str">
        <f>SUGERENCIAS!B419</f>
        <v>JUEVES</v>
      </c>
      <c r="B439" s="44" t="str">
        <f>SUGERENCIAS!G419</f>
        <v/>
      </c>
      <c r="C439" s="37" t="str">
        <f>SUGERENCIAS!G419</f>
        <v/>
      </c>
      <c r="D439" s="65" t="str">
        <f>SUGERENCIAS!G419</f>
        <v/>
      </c>
      <c r="E439" s="66" t="str">
        <f>SUGERENCIAS!L419</f>
        <v>--</v>
      </c>
      <c r="F439" s="67" t="str">
        <f>SUGERENCIAS!N419</f>
        <v>SIN</v>
      </c>
    </row>
    <row r="440" spans="1:6" ht="15" customHeight="1">
      <c r="A440" s="37" t="str">
        <f>SUGERENCIAS!B420</f>
        <v>JUEVES</v>
      </c>
      <c r="B440" s="44" t="str">
        <f>SUGERENCIAS!G420</f>
        <v/>
      </c>
      <c r="C440" s="37" t="str">
        <f>SUGERENCIAS!G420</f>
        <v/>
      </c>
      <c r="D440" s="65" t="str">
        <f>SUGERENCIAS!G420</f>
        <v/>
      </c>
      <c r="E440" s="66" t="str">
        <f>SUGERENCIAS!L420</f>
        <v>--</v>
      </c>
      <c r="F440" s="67" t="str">
        <f>SUGERENCIAS!N420</f>
        <v>SIN</v>
      </c>
    </row>
    <row r="441" spans="1:6" ht="15" customHeight="1">
      <c r="A441" s="37" t="str">
        <f>SUGERENCIAS!B421</f>
        <v>JUEVES</v>
      </c>
      <c r="B441" s="44" t="str">
        <f>SUGERENCIAS!G421</f>
        <v/>
      </c>
      <c r="C441" s="37" t="str">
        <f>SUGERENCIAS!G421</f>
        <v/>
      </c>
      <c r="D441" s="65" t="str">
        <f>SUGERENCIAS!G421</f>
        <v/>
      </c>
      <c r="E441" s="66" t="str">
        <f>SUGERENCIAS!L421</f>
        <v>--</v>
      </c>
      <c r="F441" s="67" t="str">
        <f>SUGERENCIAS!N421</f>
        <v>SIN</v>
      </c>
    </row>
    <row r="442" spans="1:6" ht="15" customHeight="1">
      <c r="A442" s="37" t="str">
        <f>SUGERENCIAS!B422</f>
        <v>JUEVES</v>
      </c>
      <c r="B442" s="44" t="str">
        <f>SUGERENCIAS!G422</f>
        <v/>
      </c>
      <c r="C442" s="37" t="str">
        <f>SUGERENCIAS!G422</f>
        <v/>
      </c>
      <c r="D442" s="65" t="str">
        <f>SUGERENCIAS!G422</f>
        <v/>
      </c>
      <c r="E442" s="66" t="str">
        <f>SUGERENCIAS!L422</f>
        <v>--</v>
      </c>
      <c r="F442" s="67" t="str">
        <f>SUGERENCIAS!N422</f>
        <v>SIN</v>
      </c>
    </row>
    <row r="443" spans="1:6" ht="15" customHeight="1">
      <c r="A443" s="37" t="str">
        <f>SUGERENCIAS!B423</f>
        <v>JUEVES</v>
      </c>
      <c r="B443" s="44" t="str">
        <f>SUGERENCIAS!G423</f>
        <v/>
      </c>
      <c r="C443" s="37" t="str">
        <f>SUGERENCIAS!G423</f>
        <v/>
      </c>
      <c r="D443" s="65" t="str">
        <f>SUGERENCIAS!G423</f>
        <v/>
      </c>
      <c r="E443" s="66" t="str">
        <f>SUGERENCIAS!L423</f>
        <v>--</v>
      </c>
      <c r="F443" s="67" t="str">
        <f>SUGERENCIAS!N423</f>
        <v>SIN</v>
      </c>
    </row>
    <row r="444" spans="1:6" ht="15" customHeight="1">
      <c r="A444" s="37" t="str">
        <f>SUGERENCIAS!B424</f>
        <v>JUEVES</v>
      </c>
      <c r="B444" s="44" t="str">
        <f>SUGERENCIAS!G424</f>
        <v/>
      </c>
      <c r="C444" s="37" t="str">
        <f>SUGERENCIAS!G424</f>
        <v/>
      </c>
      <c r="D444" s="65" t="str">
        <f>SUGERENCIAS!G424</f>
        <v/>
      </c>
      <c r="E444" s="66" t="str">
        <f>SUGERENCIAS!L424</f>
        <v>--</v>
      </c>
      <c r="F444" s="67" t="str">
        <f>SUGERENCIAS!N424</f>
        <v>SIN</v>
      </c>
    </row>
    <row r="445" spans="1:6" ht="15" customHeight="1">
      <c r="A445" s="37" t="str">
        <f>SUGERENCIAS!B425</f>
        <v>JUEVES</v>
      </c>
      <c r="B445" s="44" t="str">
        <f>SUGERENCIAS!G425</f>
        <v/>
      </c>
      <c r="C445" s="37" t="str">
        <f>SUGERENCIAS!G425</f>
        <v/>
      </c>
      <c r="D445" s="65" t="str">
        <f>SUGERENCIAS!G425</f>
        <v/>
      </c>
      <c r="E445" s="66" t="str">
        <f>SUGERENCIAS!L425</f>
        <v>--</v>
      </c>
      <c r="F445" s="67" t="str">
        <f>SUGERENCIAS!N425</f>
        <v>SIN</v>
      </c>
    </row>
    <row r="446" spans="1:6" ht="15" customHeight="1">
      <c r="A446" s="37" t="str">
        <f>SUGERENCIAS!B426</f>
        <v>JUEVES</v>
      </c>
      <c r="B446" s="44" t="str">
        <f>SUGERENCIAS!G426</f>
        <v/>
      </c>
      <c r="C446" s="37" t="str">
        <f>SUGERENCIAS!G426</f>
        <v/>
      </c>
      <c r="D446" s="65" t="str">
        <f>SUGERENCIAS!G426</f>
        <v/>
      </c>
      <c r="E446" s="66" t="str">
        <f>SUGERENCIAS!L426</f>
        <v>--</v>
      </c>
      <c r="F446" s="67" t="str">
        <f>SUGERENCIAS!N426</f>
        <v>SIN</v>
      </c>
    </row>
    <row r="447" spans="1:6" ht="15" customHeight="1">
      <c r="A447" s="37" t="str">
        <f>SUGERENCIAS!B427</f>
        <v>JUEVES</v>
      </c>
      <c r="B447" s="44" t="str">
        <f>SUGERENCIAS!G427</f>
        <v/>
      </c>
      <c r="C447" s="37" t="str">
        <f>SUGERENCIAS!G427</f>
        <v/>
      </c>
      <c r="D447" s="65" t="str">
        <f>SUGERENCIAS!G427</f>
        <v/>
      </c>
      <c r="E447" s="66" t="str">
        <f>SUGERENCIAS!L427</f>
        <v>--</v>
      </c>
      <c r="F447" s="67" t="str">
        <f>SUGERENCIAS!N427</f>
        <v>SIN</v>
      </c>
    </row>
    <row r="448" spans="1:6" ht="15" customHeight="1">
      <c r="A448" s="37" t="str">
        <f>SUGERENCIAS!B428</f>
        <v>JUEVES</v>
      </c>
      <c r="B448" s="44" t="str">
        <f>SUGERENCIAS!G428</f>
        <v/>
      </c>
      <c r="C448" s="37" t="str">
        <f>SUGERENCIAS!G428</f>
        <v/>
      </c>
      <c r="D448" s="65" t="str">
        <f>SUGERENCIAS!G428</f>
        <v/>
      </c>
      <c r="E448" s="66" t="str">
        <f>SUGERENCIAS!L428</f>
        <v>--</v>
      </c>
      <c r="F448" s="67" t="str">
        <f>SUGERENCIAS!N428</f>
        <v>SIN</v>
      </c>
    </row>
    <row r="449" spans="1:6" ht="15" customHeight="1">
      <c r="A449" s="37" t="str">
        <f>SUGERENCIAS!B429</f>
        <v>JUEVES</v>
      </c>
      <c r="B449" s="44" t="str">
        <f>SUGERENCIAS!G429</f>
        <v/>
      </c>
      <c r="C449" s="37" t="str">
        <f>SUGERENCIAS!G429</f>
        <v/>
      </c>
      <c r="D449" s="65" t="str">
        <f>SUGERENCIAS!G429</f>
        <v/>
      </c>
      <c r="E449" s="66" t="str">
        <f>SUGERENCIAS!L429</f>
        <v>--</v>
      </c>
      <c r="F449" s="67" t="str">
        <f>SUGERENCIAS!N429</f>
        <v>SIN</v>
      </c>
    </row>
    <row r="450" spans="1:6" ht="15" customHeight="1">
      <c r="A450" s="37" t="str">
        <f>SUGERENCIAS!B430</f>
        <v>JUEVES</v>
      </c>
      <c r="B450" s="44">
        <f>SUGERENCIAS!G430</f>
        <v>40</v>
      </c>
      <c r="C450" s="37">
        <f>SUGERENCIAS!G430</f>
        <v>40</v>
      </c>
      <c r="D450" s="65">
        <f>SUGERENCIAS!G430</f>
        <v>40</v>
      </c>
      <c r="E450" s="66">
        <f>SUGERENCIAS!L430</f>
        <v>7</v>
      </c>
      <c r="F450" s="67" t="str">
        <f>SUGERENCIAS!N430</f>
        <v>MANT</v>
      </c>
    </row>
    <row r="451" spans="1:6" ht="15" customHeight="1">
      <c r="A451" s="37" t="str">
        <f>SUGERENCIAS!B431</f>
        <v>JUEVES</v>
      </c>
      <c r="B451" s="44" t="str">
        <f>SUGERENCIAS!G431</f>
        <v/>
      </c>
      <c r="C451" s="37" t="str">
        <f>SUGERENCIAS!G431</f>
        <v/>
      </c>
      <c r="D451" s="65" t="str">
        <f>SUGERENCIAS!G431</f>
        <v/>
      </c>
      <c r="E451" s="66" t="str">
        <f>SUGERENCIAS!L431</f>
        <v>--</v>
      </c>
      <c r="F451" s="67" t="str">
        <f>SUGERENCIAS!N431</f>
        <v>SIN</v>
      </c>
    </row>
    <row r="452" spans="1:6" ht="15" customHeight="1">
      <c r="A452" s="37" t="str">
        <f>SUGERENCIAS!B432</f>
        <v>SABADO</v>
      </c>
      <c r="B452" s="44" t="str">
        <f>SUGERENCIAS!G432</f>
        <v/>
      </c>
      <c r="C452" s="37" t="str">
        <f>SUGERENCIAS!G432</f>
        <v/>
      </c>
      <c r="D452" s="65" t="str">
        <f>SUGERENCIAS!G432</f>
        <v/>
      </c>
      <c r="E452" s="66" t="str">
        <f>SUGERENCIAS!L432</f>
        <v>--</v>
      </c>
      <c r="F452" s="67" t="str">
        <f>SUGERENCIAS!N432</f>
        <v>SIN</v>
      </c>
    </row>
    <row r="453" spans="1:6" ht="15" customHeight="1">
      <c r="A453" s="37" t="str">
        <f>SUGERENCIAS!B433</f>
        <v>SABADO</v>
      </c>
      <c r="B453" s="44" t="str">
        <f>SUGERENCIAS!G433</f>
        <v/>
      </c>
      <c r="C453" s="37" t="str">
        <f>SUGERENCIAS!G433</f>
        <v/>
      </c>
      <c r="D453" s="65" t="str">
        <f>SUGERENCIAS!G433</f>
        <v/>
      </c>
      <c r="E453" s="66" t="str">
        <f>SUGERENCIAS!L433</f>
        <v>--</v>
      </c>
      <c r="F453" s="67" t="str">
        <f>SUGERENCIAS!N433</f>
        <v>SIN</v>
      </c>
    </row>
    <row r="454" spans="1:6" ht="15" customHeight="1">
      <c r="A454" s="37" t="str">
        <f>SUGERENCIAS!B434</f>
        <v>SABADO</v>
      </c>
      <c r="B454" s="44" t="str">
        <f>SUGERENCIAS!G434</f>
        <v/>
      </c>
      <c r="C454" s="37" t="str">
        <f>SUGERENCIAS!G434</f>
        <v/>
      </c>
      <c r="D454" s="65" t="str">
        <f>SUGERENCIAS!G434</f>
        <v/>
      </c>
      <c r="E454" s="66" t="str">
        <f>SUGERENCIAS!L434</f>
        <v>--</v>
      </c>
      <c r="F454" s="67" t="str">
        <f>SUGERENCIAS!N434</f>
        <v>SIN</v>
      </c>
    </row>
    <row r="455" spans="1:6" ht="15" customHeight="1">
      <c r="A455" s="37" t="str">
        <f>SUGERENCIAS!B435</f>
        <v>SABADO</v>
      </c>
      <c r="B455" s="44" t="str">
        <f>SUGERENCIAS!G435</f>
        <v/>
      </c>
      <c r="C455" s="37" t="str">
        <f>SUGERENCIAS!G435</f>
        <v/>
      </c>
      <c r="D455" s="65" t="str">
        <f>SUGERENCIAS!G435</f>
        <v/>
      </c>
      <c r="E455" s="66" t="str">
        <f>SUGERENCIAS!L435</f>
        <v>--</v>
      </c>
      <c r="F455" s="67" t="str">
        <f>SUGERENCIAS!N435</f>
        <v>SIN</v>
      </c>
    </row>
    <row r="456" spans="1:6" ht="15" customHeight="1">
      <c r="A456" s="37" t="str">
        <f>SUGERENCIAS!B436</f>
        <v>SABADO</v>
      </c>
      <c r="B456" s="44">
        <f>SUGERENCIAS!G436</f>
        <v>40</v>
      </c>
      <c r="C456" s="37">
        <f>SUGERENCIAS!G436</f>
        <v>40</v>
      </c>
      <c r="D456" s="65">
        <f>SUGERENCIAS!G436</f>
        <v>40</v>
      </c>
      <c r="E456" s="66">
        <f>SUGERENCIAS!L436</f>
        <v>7</v>
      </c>
      <c r="F456" s="67" t="str">
        <f>SUGERENCIAS!N436</f>
        <v>MANT</v>
      </c>
    </row>
    <row r="457" spans="1:6" ht="15" customHeight="1">
      <c r="A457" s="37" t="str">
        <f>SUGERENCIAS!B437</f>
        <v>SABADO</v>
      </c>
      <c r="B457" s="44">
        <f>SUGERENCIAS!G437</f>
        <v>20</v>
      </c>
      <c r="C457" s="37">
        <f>SUGERENCIAS!G437</f>
        <v>20</v>
      </c>
      <c r="D457" s="65">
        <f>SUGERENCIAS!G437</f>
        <v>20</v>
      </c>
      <c r="E457" s="66">
        <f>SUGERENCIAS!L437</f>
        <v>6</v>
      </c>
      <c r="F457" s="67" t="str">
        <f>SUGERENCIAS!N437</f>
        <v>SUBIR</v>
      </c>
    </row>
    <row r="458" spans="1:6" ht="15" customHeight="1">
      <c r="A458" s="37" t="str">
        <f>SUGERENCIAS!B438</f>
        <v>SABADO</v>
      </c>
      <c r="B458" s="44" t="str">
        <f>SUGERENCIAS!G438</f>
        <v/>
      </c>
      <c r="C458" s="37" t="str">
        <f>SUGERENCIAS!G438</f>
        <v/>
      </c>
      <c r="D458" s="65" t="str">
        <f>SUGERENCIAS!G438</f>
        <v/>
      </c>
      <c r="E458" s="66" t="str">
        <f>SUGERENCIAS!L438</f>
        <v>--</v>
      </c>
      <c r="F458" s="67" t="str">
        <f>SUGERENCIAS!N438</f>
        <v>SIN</v>
      </c>
    </row>
    <row r="459" spans="1:6" ht="15" customHeight="1">
      <c r="A459" s="37" t="str">
        <f>SUGERENCIAS!B439</f>
        <v>SABADO</v>
      </c>
      <c r="B459" s="44" t="str">
        <f>SUGERENCIAS!G439</f>
        <v/>
      </c>
      <c r="C459" s="37" t="str">
        <f>SUGERENCIAS!G439</f>
        <v/>
      </c>
      <c r="D459" s="65" t="str">
        <f>SUGERENCIAS!G439</f>
        <v/>
      </c>
      <c r="E459" s="66" t="str">
        <f>SUGERENCIAS!L439</f>
        <v>--</v>
      </c>
      <c r="F459" s="67" t="str">
        <f>SUGERENCIAS!N439</f>
        <v>SIN</v>
      </c>
    </row>
    <row r="460" spans="1:6" ht="15" customHeight="1">
      <c r="A460" s="37" t="str">
        <f>SUGERENCIAS!B440</f>
        <v>SABADO</v>
      </c>
      <c r="B460" s="44" t="str">
        <f>SUGERENCIAS!G440</f>
        <v/>
      </c>
      <c r="C460" s="37" t="str">
        <f>SUGERENCIAS!G440</f>
        <v/>
      </c>
      <c r="D460" s="65" t="str">
        <f>SUGERENCIAS!G440</f>
        <v/>
      </c>
      <c r="E460" s="66" t="str">
        <f>SUGERENCIAS!L440</f>
        <v>--</v>
      </c>
      <c r="F460" s="67" t="str">
        <f>SUGERENCIAS!N440</f>
        <v>SIN</v>
      </c>
    </row>
    <row r="461" spans="1:6" ht="15" customHeight="1">
      <c r="A461" s="37" t="str">
        <f>SUGERENCIAS!B441</f>
        <v>SABADO</v>
      </c>
      <c r="B461" s="44" t="str">
        <f>SUGERENCIAS!G441</f>
        <v/>
      </c>
      <c r="C461" s="37" t="str">
        <f>SUGERENCIAS!G441</f>
        <v/>
      </c>
      <c r="D461" s="65" t="str">
        <f>SUGERENCIAS!G441</f>
        <v/>
      </c>
      <c r="E461" s="66" t="str">
        <f>SUGERENCIAS!L441</f>
        <v>--</v>
      </c>
      <c r="F461" s="67" t="str">
        <f>SUGERENCIAS!N441</f>
        <v>SIN</v>
      </c>
    </row>
    <row r="462" spans="1:6" ht="15" customHeight="1">
      <c r="A462" s="37" t="str">
        <f>SUGERENCIAS!B442</f>
        <v>SABADO</v>
      </c>
      <c r="B462" s="44" t="str">
        <f>SUGERENCIAS!G442</f>
        <v/>
      </c>
      <c r="C462" s="37" t="str">
        <f>SUGERENCIAS!G442</f>
        <v/>
      </c>
      <c r="D462" s="65" t="str">
        <f>SUGERENCIAS!G442</f>
        <v/>
      </c>
      <c r="E462" s="66" t="str">
        <f>SUGERENCIAS!L442</f>
        <v>--</v>
      </c>
      <c r="F462" s="67" t="str">
        <f>SUGERENCIAS!N442</f>
        <v>SIN</v>
      </c>
    </row>
    <row r="463" spans="1:6" ht="15" customHeight="1">
      <c r="A463" s="37" t="str">
        <f>SUGERENCIAS!B443</f>
        <v>SABADO</v>
      </c>
      <c r="B463" s="44" t="str">
        <f>SUGERENCIAS!G443</f>
        <v/>
      </c>
      <c r="C463" s="37" t="str">
        <f>SUGERENCIAS!G443</f>
        <v/>
      </c>
      <c r="D463" s="65" t="str">
        <f>SUGERENCIAS!G443</f>
        <v/>
      </c>
      <c r="E463" s="66" t="str">
        <f>SUGERENCIAS!L443</f>
        <v>--</v>
      </c>
      <c r="F463" s="67" t="str">
        <f>SUGERENCIAS!N443</f>
        <v>SIN</v>
      </c>
    </row>
    <row r="464" spans="1:6" ht="15" customHeight="1">
      <c r="A464" s="37" t="str">
        <f>SUGERENCIAS!B444</f>
        <v>SABADO</v>
      </c>
      <c r="B464" s="44" t="str">
        <f>SUGERENCIAS!G444</f>
        <v/>
      </c>
      <c r="C464" s="37" t="str">
        <f>SUGERENCIAS!G444</f>
        <v/>
      </c>
      <c r="D464" s="65" t="str">
        <f>SUGERENCIAS!G444</f>
        <v/>
      </c>
      <c r="E464" s="66" t="str">
        <f>SUGERENCIAS!L444</f>
        <v>--</v>
      </c>
      <c r="F464" s="67" t="str">
        <f>SUGERENCIAS!N444</f>
        <v>SIN</v>
      </c>
    </row>
    <row r="465" spans="1:6" ht="15" customHeight="1">
      <c r="A465" s="37" t="str">
        <f>SUGERENCIAS!B445</f>
        <v>LUNES</v>
      </c>
      <c r="B465" s="44" t="str">
        <f>SUGERENCIAS!G445</f>
        <v/>
      </c>
      <c r="C465" s="37" t="str">
        <f>SUGERENCIAS!G445</f>
        <v/>
      </c>
      <c r="D465" s="65" t="str">
        <f>SUGERENCIAS!G445</f>
        <v/>
      </c>
      <c r="E465" s="66" t="str">
        <f>SUGERENCIAS!L445</f>
        <v>--</v>
      </c>
      <c r="F465" s="67" t="str">
        <f>SUGERENCIAS!N445</f>
        <v>SIN</v>
      </c>
    </row>
    <row r="466" spans="1:6" ht="15" customHeight="1">
      <c r="A466" s="37" t="str">
        <f>SUGERENCIAS!B446</f>
        <v>LUNES</v>
      </c>
      <c r="B466" s="44" t="str">
        <f>SUGERENCIAS!G446</f>
        <v/>
      </c>
      <c r="C466" s="37" t="str">
        <f>SUGERENCIAS!G446</f>
        <v/>
      </c>
      <c r="D466" s="65" t="str">
        <f>SUGERENCIAS!G446</f>
        <v/>
      </c>
      <c r="E466" s="66" t="str">
        <f>SUGERENCIAS!L446</f>
        <v>--</v>
      </c>
      <c r="F466" s="67" t="str">
        <f>SUGERENCIAS!N446</f>
        <v>SIN</v>
      </c>
    </row>
    <row r="467" spans="1:6" ht="15" customHeight="1">
      <c r="A467" s="37" t="str">
        <f>SUGERENCIAS!B447</f>
        <v>LUNES</v>
      </c>
      <c r="B467" s="44">
        <f>SUGERENCIAS!G447</f>
        <v>0</v>
      </c>
      <c r="C467" s="37">
        <f>SUGERENCIAS!G447</f>
        <v>0</v>
      </c>
      <c r="D467" s="65">
        <f>SUGERENCIAS!G447</f>
        <v>0</v>
      </c>
      <c r="E467" s="66">
        <f>SUGERENCIAS!L447</f>
        <v>6</v>
      </c>
      <c r="F467" s="67" t="str">
        <f>SUGERENCIAS!N447</f>
        <v>SUBIR_F</v>
      </c>
    </row>
    <row r="468" spans="1:6" ht="15" customHeight="1">
      <c r="A468" s="37" t="str">
        <f>SUGERENCIAS!B448</f>
        <v>LUNES</v>
      </c>
      <c r="B468" s="44" t="str">
        <f>SUGERENCIAS!G448</f>
        <v/>
      </c>
      <c r="C468" s="37" t="str">
        <f>SUGERENCIAS!G448</f>
        <v/>
      </c>
      <c r="D468" s="65" t="str">
        <f>SUGERENCIAS!G448</f>
        <v/>
      </c>
      <c r="E468" s="66" t="str">
        <f>SUGERENCIAS!L448</f>
        <v>--</v>
      </c>
      <c r="F468" s="67" t="str">
        <f>SUGERENCIAS!N448</f>
        <v>SIN</v>
      </c>
    </row>
    <row r="469" spans="1:6" ht="15" customHeight="1">
      <c r="A469" s="37" t="str">
        <f>SUGERENCIAS!B449</f>
        <v>LUNES</v>
      </c>
      <c r="B469" s="44" t="str">
        <f>SUGERENCIAS!G449</f>
        <v/>
      </c>
      <c r="C469" s="37" t="str">
        <f>SUGERENCIAS!G449</f>
        <v/>
      </c>
      <c r="D469" s="65" t="str">
        <f>SUGERENCIAS!G449</f>
        <v/>
      </c>
      <c r="E469" s="66" t="str">
        <f>SUGERENCIAS!L449</f>
        <v>--</v>
      </c>
      <c r="F469" s="67" t="str">
        <f>SUGERENCIAS!N449</f>
        <v>SIN</v>
      </c>
    </row>
    <row r="470" spans="1:6" ht="15" customHeight="1">
      <c r="A470" s="37" t="str">
        <f>SUGERENCIAS!B450</f>
        <v>LUNES</v>
      </c>
      <c r="B470" s="44" t="str">
        <f>SUGERENCIAS!G450</f>
        <v/>
      </c>
      <c r="C470" s="37" t="str">
        <f>SUGERENCIAS!G450</f>
        <v/>
      </c>
      <c r="D470" s="65" t="str">
        <f>SUGERENCIAS!G450</f>
        <v/>
      </c>
      <c r="E470" s="66" t="str">
        <f>SUGERENCIAS!L450</f>
        <v>--</v>
      </c>
      <c r="F470" s="67" t="str">
        <f>SUGERENCIAS!N450</f>
        <v>SIN</v>
      </c>
    </row>
    <row r="471" spans="1:6" ht="15" customHeight="1">
      <c r="A471" s="37" t="str">
        <f>SUGERENCIAS!B451</f>
        <v>LUNES</v>
      </c>
      <c r="B471" s="44" t="str">
        <f>SUGERENCIAS!G451</f>
        <v/>
      </c>
      <c r="C471" s="37" t="str">
        <f>SUGERENCIAS!G451</f>
        <v/>
      </c>
      <c r="D471" s="65" t="str">
        <f>SUGERENCIAS!G451</f>
        <v/>
      </c>
      <c r="E471" s="66" t="str">
        <f>SUGERENCIAS!L451</f>
        <v>--</v>
      </c>
      <c r="F471" s="67" t="str">
        <f>SUGERENCIAS!N451</f>
        <v>SIN</v>
      </c>
    </row>
    <row r="472" spans="1:6" ht="15" customHeight="1">
      <c r="A472" s="37" t="str">
        <f>SUGERENCIAS!B452</f>
        <v>LUNES</v>
      </c>
      <c r="B472" s="44" t="str">
        <f>SUGERENCIAS!G452</f>
        <v/>
      </c>
      <c r="C472" s="37" t="str">
        <f>SUGERENCIAS!G452</f>
        <v/>
      </c>
      <c r="D472" s="65" t="str">
        <f>SUGERENCIAS!G452</f>
        <v/>
      </c>
      <c r="E472" s="66" t="str">
        <f>SUGERENCIAS!L452</f>
        <v>--</v>
      </c>
      <c r="F472" s="67" t="str">
        <f>SUGERENCIAS!N452</f>
        <v>SIN</v>
      </c>
    </row>
    <row r="473" spans="1:6" ht="15" customHeight="1">
      <c r="A473" s="37" t="str">
        <f>SUGERENCIAS!B453</f>
        <v>LUNES</v>
      </c>
      <c r="B473" s="44" t="str">
        <f>SUGERENCIAS!G453</f>
        <v/>
      </c>
      <c r="C473" s="37" t="str">
        <f>SUGERENCIAS!G453</f>
        <v/>
      </c>
      <c r="D473" s="65" t="str">
        <f>SUGERENCIAS!G453</f>
        <v/>
      </c>
      <c r="E473" s="66" t="str">
        <f>SUGERENCIAS!L453</f>
        <v>--</v>
      </c>
      <c r="F473" s="67" t="str">
        <f>SUGERENCIAS!N453</f>
        <v>SIN</v>
      </c>
    </row>
    <row r="474" spans="1:6" ht="15" customHeight="1">
      <c r="A474" s="37" t="str">
        <f>SUGERENCIAS!B454</f>
        <v>LUNES</v>
      </c>
      <c r="B474" s="44" t="str">
        <f>SUGERENCIAS!G454</f>
        <v/>
      </c>
      <c r="C474" s="37" t="str">
        <f>SUGERENCIAS!G454</f>
        <v/>
      </c>
      <c r="D474" s="65" t="str">
        <f>SUGERENCIAS!G454</f>
        <v/>
      </c>
      <c r="E474" s="66" t="str">
        <f>SUGERENCIAS!L454</f>
        <v>--</v>
      </c>
      <c r="F474" s="67" t="str">
        <f>SUGERENCIAS!N454</f>
        <v>SIN</v>
      </c>
    </row>
    <row r="475" spans="1:6" ht="15" customHeight="1">
      <c r="A475" s="37" t="str">
        <f>SUGERENCIAS!B455</f>
        <v>LUNES</v>
      </c>
      <c r="B475" s="44" t="str">
        <f>SUGERENCIAS!G455</f>
        <v/>
      </c>
      <c r="C475" s="37" t="str">
        <f>SUGERENCIAS!G455</f>
        <v/>
      </c>
      <c r="D475" s="65" t="str">
        <f>SUGERENCIAS!G455</f>
        <v/>
      </c>
      <c r="E475" s="66" t="str">
        <f>SUGERENCIAS!L455</f>
        <v>--</v>
      </c>
      <c r="F475" s="67" t="str">
        <f>SUGERENCIAS!N455</f>
        <v>SIN</v>
      </c>
    </row>
    <row r="476" spans="1:6" ht="15" customHeight="1">
      <c r="A476" s="37" t="str">
        <f>SUGERENCIAS!B456</f>
        <v>MARTES</v>
      </c>
      <c r="B476" s="44" t="str">
        <f>SUGERENCIAS!G456</f>
        <v/>
      </c>
      <c r="C476" s="37" t="str">
        <f>SUGERENCIAS!G456</f>
        <v/>
      </c>
      <c r="D476" s="65" t="str">
        <f>SUGERENCIAS!G456</f>
        <v/>
      </c>
      <c r="E476" s="66" t="str">
        <f>SUGERENCIAS!L456</f>
        <v>--</v>
      </c>
      <c r="F476" s="67" t="str">
        <f>SUGERENCIAS!N456</f>
        <v>SIN</v>
      </c>
    </row>
    <row r="477" spans="1:6" ht="15" customHeight="1">
      <c r="A477" s="37" t="str">
        <f>SUGERENCIAS!B457</f>
        <v>MARTES</v>
      </c>
      <c r="B477" s="44" t="str">
        <f>SUGERENCIAS!G457</f>
        <v/>
      </c>
      <c r="C477" s="37" t="str">
        <f>SUGERENCIAS!G457</f>
        <v/>
      </c>
      <c r="D477" s="65" t="str">
        <f>SUGERENCIAS!G457</f>
        <v/>
      </c>
      <c r="E477" s="66" t="str">
        <f>SUGERENCIAS!L457</f>
        <v>--</v>
      </c>
      <c r="F477" s="67" t="str">
        <f>SUGERENCIAS!N457</f>
        <v>SIN</v>
      </c>
    </row>
    <row r="478" spans="1:6" ht="15" customHeight="1">
      <c r="A478" s="37" t="str">
        <f>SUGERENCIAS!B458</f>
        <v>MARTES</v>
      </c>
      <c r="B478" s="44" t="str">
        <f>SUGERENCIAS!G458</f>
        <v/>
      </c>
      <c r="C478" s="37" t="str">
        <f>SUGERENCIAS!G458</f>
        <v/>
      </c>
      <c r="D478" s="65" t="str">
        <f>SUGERENCIAS!G458</f>
        <v/>
      </c>
      <c r="E478" s="66" t="str">
        <f>SUGERENCIAS!L458</f>
        <v>--</v>
      </c>
      <c r="F478" s="67" t="str">
        <f>SUGERENCIAS!N458</f>
        <v>SIN</v>
      </c>
    </row>
    <row r="479" spans="1:6" ht="15" customHeight="1">
      <c r="A479" s="37" t="str">
        <f>SUGERENCIAS!B459</f>
        <v>MARTES</v>
      </c>
      <c r="B479" s="44" t="str">
        <f>SUGERENCIAS!G459</f>
        <v/>
      </c>
      <c r="C479" s="37" t="str">
        <f>SUGERENCIAS!G459</f>
        <v/>
      </c>
      <c r="D479" s="65" t="str">
        <f>SUGERENCIAS!G459</f>
        <v/>
      </c>
      <c r="E479" s="66" t="str">
        <f>SUGERENCIAS!L459</f>
        <v>--</v>
      </c>
      <c r="F479" s="67" t="str">
        <f>SUGERENCIAS!N459</f>
        <v>SIN</v>
      </c>
    </row>
    <row r="480" spans="1:6" ht="15" customHeight="1">
      <c r="A480" s="37" t="str">
        <f>SUGERENCIAS!B460</f>
        <v>MARTES</v>
      </c>
      <c r="B480" s="44" t="str">
        <f>SUGERENCIAS!G460</f>
        <v/>
      </c>
      <c r="C480" s="37" t="str">
        <f>SUGERENCIAS!G460</f>
        <v/>
      </c>
      <c r="D480" s="65" t="str">
        <f>SUGERENCIAS!G460</f>
        <v/>
      </c>
      <c r="E480" s="66" t="str">
        <f>SUGERENCIAS!L460</f>
        <v>--</v>
      </c>
      <c r="F480" s="67" t="str">
        <f>SUGERENCIAS!N460</f>
        <v>SIN</v>
      </c>
    </row>
    <row r="481" spans="1:6" ht="15" customHeight="1">
      <c r="A481" s="37" t="str">
        <f>SUGERENCIAS!B461</f>
        <v>MARTES</v>
      </c>
      <c r="B481" s="44" t="str">
        <f>SUGERENCIAS!G461</f>
        <v/>
      </c>
      <c r="C481" s="37" t="str">
        <f>SUGERENCIAS!G461</f>
        <v/>
      </c>
      <c r="D481" s="65" t="str">
        <f>SUGERENCIAS!G461</f>
        <v/>
      </c>
      <c r="E481" s="66" t="str">
        <f>SUGERENCIAS!L461</f>
        <v>--</v>
      </c>
      <c r="F481" s="67" t="str">
        <f>SUGERENCIAS!N461</f>
        <v>SIN</v>
      </c>
    </row>
    <row r="482" spans="1:6" ht="15" customHeight="1">
      <c r="A482" s="37" t="str">
        <f>SUGERENCIAS!B462</f>
        <v>MARTES</v>
      </c>
      <c r="B482" s="44" t="str">
        <f>SUGERENCIAS!G462</f>
        <v/>
      </c>
      <c r="C482" s="37" t="str">
        <f>SUGERENCIAS!G462</f>
        <v/>
      </c>
      <c r="D482" s="65" t="str">
        <f>SUGERENCIAS!G462</f>
        <v/>
      </c>
      <c r="E482" s="66" t="str">
        <f>SUGERENCIAS!L462</f>
        <v>--</v>
      </c>
      <c r="F482" s="67" t="str">
        <f>SUGERENCIAS!N462</f>
        <v>SIN</v>
      </c>
    </row>
    <row r="483" spans="1:6" ht="15" customHeight="1">
      <c r="A483" s="37" t="str">
        <f>SUGERENCIAS!B463</f>
        <v>MARTES</v>
      </c>
      <c r="B483" s="44" t="str">
        <f>SUGERENCIAS!G463</f>
        <v/>
      </c>
      <c r="C483" s="37" t="str">
        <f>SUGERENCIAS!G463</f>
        <v/>
      </c>
      <c r="D483" s="65" t="str">
        <f>SUGERENCIAS!G463</f>
        <v/>
      </c>
      <c r="E483" s="66" t="str">
        <f>SUGERENCIAS!L463</f>
        <v>--</v>
      </c>
      <c r="F483" s="67" t="str">
        <f>SUGERENCIAS!N463</f>
        <v>SIN</v>
      </c>
    </row>
    <row r="484" spans="1:6" ht="15" customHeight="1">
      <c r="A484" s="37" t="str">
        <f>SUGERENCIAS!B464</f>
        <v>MARTES</v>
      </c>
      <c r="B484" s="44" t="str">
        <f>SUGERENCIAS!G464</f>
        <v/>
      </c>
      <c r="C484" s="37" t="str">
        <f>SUGERENCIAS!G464</f>
        <v/>
      </c>
      <c r="D484" s="65" t="str">
        <f>SUGERENCIAS!G464</f>
        <v/>
      </c>
      <c r="E484" s="66" t="str">
        <f>SUGERENCIAS!L464</f>
        <v>--</v>
      </c>
      <c r="F484" s="67" t="str">
        <f>SUGERENCIAS!N464</f>
        <v>SIN</v>
      </c>
    </row>
    <row r="485" spans="1:6" ht="15" customHeight="1">
      <c r="A485" s="37" t="str">
        <f>SUGERENCIAS!B465</f>
        <v>MARTES</v>
      </c>
      <c r="B485" s="44" t="str">
        <f>SUGERENCIAS!G465</f>
        <v/>
      </c>
      <c r="C485" s="37" t="str">
        <f>SUGERENCIAS!G465</f>
        <v/>
      </c>
      <c r="D485" s="65" t="str">
        <f>SUGERENCIAS!G465</f>
        <v/>
      </c>
      <c r="E485" s="66" t="str">
        <f>SUGERENCIAS!L465</f>
        <v>--</v>
      </c>
      <c r="F485" s="67" t="str">
        <f>SUGERENCIAS!N465</f>
        <v>SIN</v>
      </c>
    </row>
    <row r="486" spans="1:6" ht="15" customHeight="1">
      <c r="A486" s="37" t="str">
        <f>SUGERENCIAS!B466</f>
        <v>MARTES</v>
      </c>
      <c r="B486" s="44" t="str">
        <f>SUGERENCIAS!G466</f>
        <v/>
      </c>
      <c r="C486" s="37" t="str">
        <f>SUGERENCIAS!G466</f>
        <v/>
      </c>
      <c r="D486" s="65" t="str">
        <f>SUGERENCIAS!G466</f>
        <v/>
      </c>
      <c r="E486" s="66" t="str">
        <f>SUGERENCIAS!L466</f>
        <v>--</v>
      </c>
      <c r="F486" s="67" t="str">
        <f>SUGERENCIAS!N466</f>
        <v>SIN</v>
      </c>
    </row>
    <row r="487" spans="1:6" ht="15" customHeight="1">
      <c r="A487" s="37" t="str">
        <f>SUGERENCIAS!B467</f>
        <v>MIERCOLES</v>
      </c>
      <c r="B487" s="44" t="str">
        <f>SUGERENCIAS!G467</f>
        <v/>
      </c>
      <c r="C487" s="37" t="str">
        <f>SUGERENCIAS!G467</f>
        <v/>
      </c>
      <c r="D487" s="65" t="str">
        <f>SUGERENCIAS!G467</f>
        <v/>
      </c>
      <c r="E487" s="66" t="str">
        <f>SUGERENCIAS!L467</f>
        <v>--</v>
      </c>
      <c r="F487" s="67" t="str">
        <f>SUGERENCIAS!N467</f>
        <v>SIN</v>
      </c>
    </row>
    <row r="488" spans="1:6" ht="15" customHeight="1">
      <c r="A488" s="37" t="str">
        <f>SUGERENCIAS!B468</f>
        <v>MIERCOLES</v>
      </c>
      <c r="B488" s="44" t="str">
        <f>SUGERENCIAS!G468</f>
        <v/>
      </c>
      <c r="C488" s="37" t="str">
        <f>SUGERENCIAS!G468</f>
        <v/>
      </c>
      <c r="D488" s="65" t="str">
        <f>SUGERENCIAS!G468</f>
        <v/>
      </c>
      <c r="E488" s="66" t="str">
        <f>SUGERENCIAS!L468</f>
        <v>--</v>
      </c>
      <c r="F488" s="67" t="str">
        <f>SUGERENCIAS!N468</f>
        <v>SIN</v>
      </c>
    </row>
    <row r="489" spans="1:6" ht="15" customHeight="1">
      <c r="A489" s="37" t="str">
        <f>SUGERENCIAS!B469</f>
        <v>MIERCOLES</v>
      </c>
      <c r="B489" s="44" t="str">
        <f>SUGERENCIAS!G469</f>
        <v/>
      </c>
      <c r="C489" s="37" t="str">
        <f>SUGERENCIAS!G469</f>
        <v/>
      </c>
      <c r="D489" s="65" t="str">
        <f>SUGERENCIAS!G469</f>
        <v/>
      </c>
      <c r="E489" s="66" t="str">
        <f>SUGERENCIAS!L469</f>
        <v>--</v>
      </c>
      <c r="F489" s="67" t="str">
        <f>SUGERENCIAS!N469</f>
        <v>SIN</v>
      </c>
    </row>
    <row r="490" spans="1:6" ht="15" customHeight="1">
      <c r="A490" s="37" t="str">
        <f>SUGERENCIAS!B470</f>
        <v>MIERCOLES</v>
      </c>
      <c r="B490" s="44" t="str">
        <f>SUGERENCIAS!G470</f>
        <v/>
      </c>
      <c r="C490" s="37" t="str">
        <f>SUGERENCIAS!G470</f>
        <v/>
      </c>
      <c r="D490" s="65" t="str">
        <f>SUGERENCIAS!G470</f>
        <v/>
      </c>
      <c r="E490" s="66" t="str">
        <f>SUGERENCIAS!L470</f>
        <v>--</v>
      </c>
      <c r="F490" s="67" t="str">
        <f>SUGERENCIAS!N470</f>
        <v>SIN</v>
      </c>
    </row>
    <row r="491" spans="1:6" ht="15" customHeight="1">
      <c r="A491" s="37" t="str">
        <f>SUGERENCIAS!B471</f>
        <v>MIERCOLES</v>
      </c>
      <c r="B491" s="44" t="str">
        <f>SUGERENCIAS!G471</f>
        <v/>
      </c>
      <c r="C491" s="37" t="str">
        <f>SUGERENCIAS!G471</f>
        <v/>
      </c>
      <c r="D491" s="65" t="str">
        <f>SUGERENCIAS!G471</f>
        <v/>
      </c>
      <c r="E491" s="66" t="str">
        <f>SUGERENCIAS!L471</f>
        <v>--</v>
      </c>
      <c r="F491" s="67" t="str">
        <f>SUGERENCIAS!N471</f>
        <v>SIN</v>
      </c>
    </row>
    <row r="492" spans="1:6" ht="15" customHeight="1">
      <c r="A492" s="37" t="str">
        <f>SUGERENCIAS!B472</f>
        <v>MIERCOLES</v>
      </c>
      <c r="B492" s="44" t="str">
        <f>SUGERENCIAS!G472</f>
        <v/>
      </c>
      <c r="C492" s="37" t="str">
        <f>SUGERENCIAS!G472</f>
        <v/>
      </c>
      <c r="D492" s="65" t="str">
        <f>SUGERENCIAS!G472</f>
        <v/>
      </c>
      <c r="E492" s="66" t="str">
        <f>SUGERENCIAS!L472</f>
        <v>--</v>
      </c>
      <c r="F492" s="67" t="str">
        <f>SUGERENCIAS!N472</f>
        <v>SIN</v>
      </c>
    </row>
    <row r="493" spans="1:6" ht="15" customHeight="1">
      <c r="A493" s="37" t="str">
        <f>SUGERENCIAS!B473</f>
        <v>MIERCOLES</v>
      </c>
      <c r="B493" s="44" t="str">
        <f>SUGERENCIAS!G473</f>
        <v/>
      </c>
      <c r="C493" s="37" t="str">
        <f>SUGERENCIAS!G473</f>
        <v/>
      </c>
      <c r="D493" s="65" t="str">
        <f>SUGERENCIAS!G473</f>
        <v/>
      </c>
      <c r="E493" s="66" t="str">
        <f>SUGERENCIAS!L473</f>
        <v>--</v>
      </c>
      <c r="F493" s="67" t="str">
        <f>SUGERENCIAS!N473</f>
        <v>SIN</v>
      </c>
    </row>
    <row r="494" spans="1:6" ht="15" customHeight="1">
      <c r="A494" s="37" t="str">
        <f>SUGERENCIAS!B474</f>
        <v>MIERCOLES</v>
      </c>
      <c r="B494" s="44" t="str">
        <f>SUGERENCIAS!G474</f>
        <v/>
      </c>
      <c r="C494" s="37" t="str">
        <f>SUGERENCIAS!G474</f>
        <v/>
      </c>
      <c r="D494" s="65" t="str">
        <f>SUGERENCIAS!G474</f>
        <v/>
      </c>
      <c r="E494" s="66" t="str">
        <f>SUGERENCIAS!L474</f>
        <v>--</v>
      </c>
      <c r="F494" s="67" t="str">
        <f>SUGERENCIAS!N474</f>
        <v>SIN</v>
      </c>
    </row>
    <row r="495" spans="1:6" ht="15" customHeight="1">
      <c r="A495" s="37" t="str">
        <f>SUGERENCIAS!B475</f>
        <v>MIERCOLES</v>
      </c>
      <c r="B495" s="44" t="str">
        <f>SUGERENCIAS!G475</f>
        <v/>
      </c>
      <c r="C495" s="37" t="str">
        <f>SUGERENCIAS!G475</f>
        <v/>
      </c>
      <c r="D495" s="65" t="str">
        <f>SUGERENCIAS!G475</f>
        <v/>
      </c>
      <c r="E495" s="66" t="str">
        <f>SUGERENCIAS!L475</f>
        <v>--</v>
      </c>
      <c r="F495" s="67" t="str">
        <f>SUGERENCIAS!N475</f>
        <v>SIN</v>
      </c>
    </row>
    <row r="496" spans="1:6" ht="15" customHeight="1">
      <c r="A496" s="37" t="str">
        <f>SUGERENCIAS!B476</f>
        <v>MIERCOLES</v>
      </c>
      <c r="B496" s="44" t="str">
        <f>SUGERENCIAS!G476</f>
        <v/>
      </c>
      <c r="C496" s="37" t="str">
        <f>SUGERENCIAS!G476</f>
        <v/>
      </c>
      <c r="D496" s="65" t="str">
        <f>SUGERENCIAS!G476</f>
        <v/>
      </c>
      <c r="E496" s="66" t="str">
        <f>SUGERENCIAS!L476</f>
        <v>--</v>
      </c>
      <c r="F496" s="67" t="str">
        <f>SUGERENCIAS!N476</f>
        <v>SIN</v>
      </c>
    </row>
    <row r="497" spans="1:6" ht="15" customHeight="1">
      <c r="A497" s="37" t="str">
        <f>SUGERENCIAS!B477</f>
        <v>MIERCOLES</v>
      </c>
      <c r="B497" s="44" t="str">
        <f>SUGERENCIAS!G477</f>
        <v/>
      </c>
      <c r="C497" s="37" t="str">
        <f>SUGERENCIAS!G477</f>
        <v/>
      </c>
      <c r="D497" s="65" t="str">
        <f>SUGERENCIAS!G477</f>
        <v/>
      </c>
      <c r="E497" s="66" t="str">
        <f>SUGERENCIAS!L477</f>
        <v>--</v>
      </c>
      <c r="F497" s="67" t="str">
        <f>SUGERENCIAS!N477</f>
        <v>SIN</v>
      </c>
    </row>
    <row r="498" spans="1:6" ht="15" customHeight="1">
      <c r="A498" s="37" t="str">
        <f>SUGERENCIAS!B478</f>
        <v>MIERCOLES</v>
      </c>
      <c r="B498" s="44" t="str">
        <f>SUGERENCIAS!G478</f>
        <v/>
      </c>
      <c r="C498" s="37" t="str">
        <f>SUGERENCIAS!G478</f>
        <v/>
      </c>
      <c r="D498" s="65" t="str">
        <f>SUGERENCIAS!G478</f>
        <v/>
      </c>
      <c r="E498" s="66" t="str">
        <f>SUGERENCIAS!L478</f>
        <v>--</v>
      </c>
      <c r="F498" s="67" t="str">
        <f>SUGERENCIAS!N478</f>
        <v>SIN</v>
      </c>
    </row>
    <row r="499" spans="1:6" ht="15" customHeight="1">
      <c r="A499" s="37" t="str">
        <f>SUGERENCIAS!B479</f>
        <v>MIERCOLES</v>
      </c>
      <c r="B499" s="44" t="str">
        <f>SUGERENCIAS!G479</f>
        <v/>
      </c>
      <c r="C499" s="37" t="str">
        <f>SUGERENCIAS!G479</f>
        <v/>
      </c>
      <c r="D499" s="65" t="str">
        <f>SUGERENCIAS!G479</f>
        <v/>
      </c>
      <c r="E499" s="66" t="str">
        <f>SUGERENCIAS!L479</f>
        <v>--</v>
      </c>
      <c r="F499" s="67" t="str">
        <f>SUGERENCIAS!N479</f>
        <v>SIN</v>
      </c>
    </row>
    <row r="500" spans="1:6" ht="15" customHeight="1">
      <c r="A500" s="37" t="str">
        <f>SUGERENCIAS!B480</f>
        <v>MIERCOLES</v>
      </c>
      <c r="B500" s="44" t="str">
        <f>SUGERENCIAS!G480</f>
        <v/>
      </c>
      <c r="C500" s="37" t="str">
        <f>SUGERENCIAS!G480</f>
        <v/>
      </c>
      <c r="D500" s="65" t="str">
        <f>SUGERENCIAS!G480</f>
        <v/>
      </c>
      <c r="E500" s="66" t="str">
        <f>SUGERENCIAS!L480</f>
        <v>--</v>
      </c>
      <c r="F500" s="67" t="str">
        <f>SUGERENCIAS!N480</f>
        <v>SIN</v>
      </c>
    </row>
    <row r="501" spans="1:6" ht="15" customHeight="1">
      <c r="A501" s="37" t="str">
        <f>SUGERENCIAS!B481</f>
        <v>MIERCOLES</v>
      </c>
      <c r="B501" s="44" t="str">
        <f>SUGERENCIAS!G481</f>
        <v/>
      </c>
      <c r="C501" s="37" t="str">
        <f>SUGERENCIAS!G481</f>
        <v/>
      </c>
      <c r="D501" s="65" t="str">
        <f>SUGERENCIAS!G481</f>
        <v/>
      </c>
      <c r="E501" s="66" t="str">
        <f>SUGERENCIAS!L481</f>
        <v>--</v>
      </c>
      <c r="F501" s="67" t="str">
        <f>SUGERENCIAS!N481</f>
        <v>SIN</v>
      </c>
    </row>
    <row r="502" spans="1:6" ht="15" customHeight="1">
      <c r="A502" s="37" t="str">
        <f>SUGERENCIAS!B482</f>
        <v>JUEVES</v>
      </c>
      <c r="B502" s="44" t="str">
        <f>SUGERENCIAS!G482</f>
        <v/>
      </c>
      <c r="C502" s="37" t="str">
        <f>SUGERENCIAS!G482</f>
        <v/>
      </c>
      <c r="D502" s="65" t="str">
        <f>SUGERENCIAS!G482</f>
        <v/>
      </c>
      <c r="E502" s="66" t="str">
        <f>SUGERENCIAS!L482</f>
        <v>--</v>
      </c>
      <c r="F502" s="67" t="str">
        <f>SUGERENCIAS!N482</f>
        <v>SIN</v>
      </c>
    </row>
    <row r="503" spans="1:6" ht="15" customHeight="1">
      <c r="A503" s="37" t="str">
        <f>SUGERENCIAS!B483</f>
        <v>JUEVES</v>
      </c>
      <c r="B503" s="44" t="str">
        <f>SUGERENCIAS!G483</f>
        <v/>
      </c>
      <c r="C503" s="37" t="str">
        <f>SUGERENCIAS!G483</f>
        <v/>
      </c>
      <c r="D503" s="65" t="str">
        <f>SUGERENCIAS!G483</f>
        <v/>
      </c>
      <c r="E503" s="66" t="str">
        <f>SUGERENCIAS!L483</f>
        <v>--</v>
      </c>
      <c r="F503" s="67" t="str">
        <f>SUGERENCIAS!N483</f>
        <v>SIN</v>
      </c>
    </row>
    <row r="504" spans="1:6" ht="15" customHeight="1">
      <c r="A504" s="37" t="str">
        <f>SUGERENCIAS!B484</f>
        <v>JUEVES</v>
      </c>
      <c r="B504" s="44" t="str">
        <f>SUGERENCIAS!G484</f>
        <v/>
      </c>
      <c r="C504" s="37" t="str">
        <f>SUGERENCIAS!G484</f>
        <v/>
      </c>
      <c r="D504" s="65" t="str">
        <f>SUGERENCIAS!G484</f>
        <v/>
      </c>
      <c r="E504" s="66" t="str">
        <f>SUGERENCIAS!L484</f>
        <v>--</v>
      </c>
      <c r="F504" s="67" t="str">
        <f>SUGERENCIAS!N484</f>
        <v>SIN</v>
      </c>
    </row>
    <row r="505" spans="1:6" ht="15" customHeight="1">
      <c r="A505" s="37" t="str">
        <f>SUGERENCIAS!B485</f>
        <v>JUEVES</v>
      </c>
      <c r="B505" s="44" t="str">
        <f>SUGERENCIAS!G485</f>
        <v/>
      </c>
      <c r="C505" s="37" t="str">
        <f>SUGERENCIAS!G485</f>
        <v/>
      </c>
      <c r="D505" s="65" t="str">
        <f>SUGERENCIAS!G485</f>
        <v/>
      </c>
      <c r="E505" s="66" t="str">
        <f>SUGERENCIAS!L485</f>
        <v>--</v>
      </c>
      <c r="F505" s="67" t="str">
        <f>SUGERENCIAS!N485</f>
        <v>SIN</v>
      </c>
    </row>
    <row r="506" spans="1:6" ht="15" customHeight="1">
      <c r="A506" s="37" t="str">
        <f>SUGERENCIAS!B486</f>
        <v>JUEVES</v>
      </c>
      <c r="B506" s="44" t="str">
        <f>SUGERENCIAS!G486</f>
        <v/>
      </c>
      <c r="C506" s="37" t="str">
        <f>SUGERENCIAS!G486</f>
        <v/>
      </c>
      <c r="D506" s="65" t="str">
        <f>SUGERENCIAS!G486</f>
        <v/>
      </c>
      <c r="E506" s="66" t="str">
        <f>SUGERENCIAS!L486</f>
        <v>--</v>
      </c>
      <c r="F506" s="67" t="str">
        <f>SUGERENCIAS!N486</f>
        <v>SIN</v>
      </c>
    </row>
    <row r="507" spans="1:6" ht="15" customHeight="1">
      <c r="A507" s="37" t="str">
        <f>SUGERENCIAS!B487</f>
        <v>JUEVES</v>
      </c>
      <c r="B507" s="44" t="str">
        <f>SUGERENCIAS!G487</f>
        <v/>
      </c>
      <c r="C507" s="37" t="str">
        <f>SUGERENCIAS!G487</f>
        <v/>
      </c>
      <c r="D507" s="65" t="str">
        <f>SUGERENCIAS!G487</f>
        <v/>
      </c>
      <c r="E507" s="66" t="str">
        <f>SUGERENCIAS!L487</f>
        <v>--</v>
      </c>
      <c r="F507" s="67" t="str">
        <f>SUGERENCIAS!N487</f>
        <v>SIN</v>
      </c>
    </row>
    <row r="508" spans="1:6" ht="15" customHeight="1">
      <c r="A508" s="37" t="str">
        <f>SUGERENCIAS!B488</f>
        <v>JUEVES</v>
      </c>
      <c r="B508" s="44" t="str">
        <f>SUGERENCIAS!G488</f>
        <v/>
      </c>
      <c r="C508" s="37" t="str">
        <f>SUGERENCIAS!G488</f>
        <v/>
      </c>
      <c r="D508" s="65" t="str">
        <f>SUGERENCIAS!G488</f>
        <v/>
      </c>
      <c r="E508" s="66" t="str">
        <f>SUGERENCIAS!L488</f>
        <v>--</v>
      </c>
      <c r="F508" s="67" t="str">
        <f>SUGERENCIAS!N488</f>
        <v>SIN</v>
      </c>
    </row>
    <row r="509" spans="1:6" ht="15" customHeight="1">
      <c r="A509" s="37" t="str">
        <f>SUGERENCIAS!B489</f>
        <v>JUEVES</v>
      </c>
      <c r="B509" s="44" t="str">
        <f>SUGERENCIAS!G489</f>
        <v/>
      </c>
      <c r="C509" s="37" t="str">
        <f>SUGERENCIAS!G489</f>
        <v/>
      </c>
      <c r="D509" s="65" t="str">
        <f>SUGERENCIAS!G489</f>
        <v/>
      </c>
      <c r="E509" s="66" t="str">
        <f>SUGERENCIAS!L489</f>
        <v>--</v>
      </c>
      <c r="F509" s="67" t="str">
        <f>SUGERENCIAS!N489</f>
        <v>SIN</v>
      </c>
    </row>
    <row r="510" spans="1:6" ht="15" customHeight="1">
      <c r="A510" s="37" t="str">
        <f>SUGERENCIAS!B490</f>
        <v>JUEVES</v>
      </c>
      <c r="B510" s="44" t="str">
        <f>SUGERENCIAS!G490</f>
        <v/>
      </c>
      <c r="C510" s="37" t="str">
        <f>SUGERENCIAS!G490</f>
        <v/>
      </c>
      <c r="D510" s="65" t="str">
        <f>SUGERENCIAS!G490</f>
        <v/>
      </c>
      <c r="E510" s="66" t="str">
        <f>SUGERENCIAS!L490</f>
        <v>--</v>
      </c>
      <c r="F510" s="67" t="str">
        <f>SUGERENCIAS!N490</f>
        <v>SIN</v>
      </c>
    </row>
    <row r="511" spans="1:6" ht="15" customHeight="1">
      <c r="A511" s="37" t="str">
        <f>SUGERENCIAS!B491</f>
        <v>JUEVES</v>
      </c>
      <c r="B511" s="44" t="str">
        <f>SUGERENCIAS!G491</f>
        <v/>
      </c>
      <c r="C511" s="37" t="str">
        <f>SUGERENCIAS!G491</f>
        <v/>
      </c>
      <c r="D511" s="65" t="str">
        <f>SUGERENCIAS!G491</f>
        <v/>
      </c>
      <c r="E511" s="66" t="str">
        <f>SUGERENCIAS!L491</f>
        <v>--</v>
      </c>
      <c r="F511" s="67" t="str">
        <f>SUGERENCIAS!N491</f>
        <v>SIN</v>
      </c>
    </row>
    <row r="512" spans="1:6" ht="15" customHeight="1">
      <c r="A512" s="37" t="str">
        <f>SUGERENCIAS!B492</f>
        <v>JUEVES</v>
      </c>
      <c r="B512" s="44" t="str">
        <f>SUGERENCIAS!G492</f>
        <v/>
      </c>
      <c r="C512" s="37" t="str">
        <f>SUGERENCIAS!G492</f>
        <v/>
      </c>
      <c r="D512" s="65" t="str">
        <f>SUGERENCIAS!G492</f>
        <v/>
      </c>
      <c r="E512" s="66" t="str">
        <f>SUGERENCIAS!L492</f>
        <v>--</v>
      </c>
      <c r="F512" s="67" t="str">
        <f>SUGERENCIAS!N492</f>
        <v>SIN</v>
      </c>
    </row>
    <row r="513" spans="1:6" ht="15" customHeight="1">
      <c r="A513" s="37" t="str">
        <f>SUGERENCIAS!B493</f>
        <v>JUEVES</v>
      </c>
      <c r="B513" s="44">
        <f>SUGERENCIAS!G493</f>
        <v>40</v>
      </c>
      <c r="C513" s="37">
        <f>SUGERENCIAS!G493</f>
        <v>40</v>
      </c>
      <c r="D513" s="65">
        <f>SUGERENCIAS!G493</f>
        <v>40</v>
      </c>
      <c r="E513" s="66">
        <f>SUGERENCIAS!L493</f>
        <v>7</v>
      </c>
      <c r="F513" s="67" t="str">
        <f>SUGERENCIAS!N493</f>
        <v>MANT</v>
      </c>
    </row>
    <row r="514" spans="1:6" ht="15" customHeight="1">
      <c r="A514" s="37" t="str">
        <f>SUGERENCIAS!B494</f>
        <v>JUEVES</v>
      </c>
      <c r="B514" s="44" t="str">
        <f>SUGERENCIAS!G494</f>
        <v/>
      </c>
      <c r="C514" s="37" t="str">
        <f>SUGERENCIAS!G494</f>
        <v/>
      </c>
      <c r="D514" s="65" t="str">
        <f>SUGERENCIAS!G494</f>
        <v/>
      </c>
      <c r="E514" s="66" t="str">
        <f>SUGERENCIAS!L494</f>
        <v>--</v>
      </c>
      <c r="F514" s="67" t="str">
        <f>SUGERENCIAS!N494</f>
        <v>SIN</v>
      </c>
    </row>
    <row r="515" spans="1:6" ht="15" customHeight="1">
      <c r="A515" s="37" t="str">
        <f>SUGERENCIAS!B495</f>
        <v>SABADO</v>
      </c>
      <c r="B515" s="44" t="str">
        <f>SUGERENCIAS!G495</f>
        <v/>
      </c>
      <c r="C515" s="37" t="str">
        <f>SUGERENCIAS!G495</f>
        <v/>
      </c>
      <c r="D515" s="65" t="str">
        <f>SUGERENCIAS!G495</f>
        <v/>
      </c>
      <c r="E515" s="66" t="str">
        <f>SUGERENCIAS!L495</f>
        <v>--</v>
      </c>
      <c r="F515" s="67" t="str">
        <f>SUGERENCIAS!N495</f>
        <v>SIN</v>
      </c>
    </row>
    <row r="516" spans="1:6" ht="15" customHeight="1">
      <c r="A516" s="37" t="str">
        <f>SUGERENCIAS!B496</f>
        <v>SABADO</v>
      </c>
      <c r="B516" s="44" t="str">
        <f>SUGERENCIAS!G496</f>
        <v/>
      </c>
      <c r="C516" s="37" t="str">
        <f>SUGERENCIAS!G496</f>
        <v/>
      </c>
      <c r="D516" s="65" t="str">
        <f>SUGERENCIAS!G496</f>
        <v/>
      </c>
      <c r="E516" s="66" t="str">
        <f>SUGERENCIAS!L496</f>
        <v>--</v>
      </c>
      <c r="F516" s="67" t="str">
        <f>SUGERENCIAS!N496</f>
        <v>SIN</v>
      </c>
    </row>
    <row r="517" spans="1:6" ht="15" customHeight="1">
      <c r="A517" s="37" t="str">
        <f>SUGERENCIAS!B497</f>
        <v>SABADO</v>
      </c>
      <c r="B517" s="44" t="str">
        <f>SUGERENCIAS!G497</f>
        <v/>
      </c>
      <c r="C517" s="37" t="str">
        <f>SUGERENCIAS!G497</f>
        <v/>
      </c>
      <c r="D517" s="65" t="str">
        <f>SUGERENCIAS!G497</f>
        <v/>
      </c>
      <c r="E517" s="66" t="str">
        <f>SUGERENCIAS!L497</f>
        <v>--</v>
      </c>
      <c r="F517" s="67" t="str">
        <f>SUGERENCIAS!N497</f>
        <v>SIN</v>
      </c>
    </row>
    <row r="518" spans="1:6" ht="15" customHeight="1">
      <c r="A518" s="37" t="str">
        <f>SUGERENCIAS!B498</f>
        <v>SABADO</v>
      </c>
      <c r="B518" s="44" t="str">
        <f>SUGERENCIAS!G498</f>
        <v/>
      </c>
      <c r="C518" s="37" t="str">
        <f>SUGERENCIAS!G498</f>
        <v/>
      </c>
      <c r="D518" s="65" t="str">
        <f>SUGERENCIAS!G498</f>
        <v/>
      </c>
      <c r="E518" s="66" t="str">
        <f>SUGERENCIAS!L498</f>
        <v>--</v>
      </c>
      <c r="F518" s="67" t="str">
        <f>SUGERENCIAS!N498</f>
        <v>SIN</v>
      </c>
    </row>
    <row r="519" spans="1:6" ht="15" customHeight="1">
      <c r="A519" s="37" t="str">
        <f>SUGERENCIAS!B499</f>
        <v>SABADO</v>
      </c>
      <c r="B519" s="44">
        <f>SUGERENCIAS!G499</f>
        <v>40</v>
      </c>
      <c r="C519" s="37">
        <f>SUGERENCIAS!G499</f>
        <v>40</v>
      </c>
      <c r="D519" s="65">
        <f>SUGERENCIAS!G499</f>
        <v>40</v>
      </c>
      <c r="E519" s="66">
        <f>SUGERENCIAS!L499</f>
        <v>7</v>
      </c>
      <c r="F519" s="67" t="str">
        <f>SUGERENCIAS!N499</f>
        <v>MANT</v>
      </c>
    </row>
    <row r="520" spans="1:6" ht="15" customHeight="1">
      <c r="A520" s="37" t="str">
        <f>SUGERENCIAS!B500</f>
        <v>SABADO</v>
      </c>
      <c r="B520" s="44">
        <f>SUGERENCIAS!G500</f>
        <v>20</v>
      </c>
      <c r="C520" s="37">
        <f>SUGERENCIAS!G500</f>
        <v>20</v>
      </c>
      <c r="D520" s="65">
        <f>SUGERENCIAS!G500</f>
        <v>20</v>
      </c>
      <c r="E520" s="66">
        <f>SUGERENCIAS!L500</f>
        <v>6</v>
      </c>
      <c r="F520" s="67" t="str">
        <f>SUGERENCIAS!N500</f>
        <v>SUBIR</v>
      </c>
    </row>
    <row r="521" spans="1:6" ht="15" customHeight="1">
      <c r="A521" s="37" t="str">
        <f>SUGERENCIAS!B501</f>
        <v>SABADO</v>
      </c>
      <c r="B521" s="44" t="str">
        <f>SUGERENCIAS!G501</f>
        <v/>
      </c>
      <c r="C521" s="37" t="str">
        <f>SUGERENCIAS!G501</f>
        <v/>
      </c>
      <c r="D521" s="65" t="str">
        <f>SUGERENCIAS!G501</f>
        <v/>
      </c>
      <c r="E521" s="66" t="str">
        <f>SUGERENCIAS!L501</f>
        <v>--</v>
      </c>
      <c r="F521" s="67" t="str">
        <f>SUGERENCIAS!N501</f>
        <v>SIN</v>
      </c>
    </row>
    <row r="522" spans="1:6" ht="15" customHeight="1">
      <c r="A522" s="37" t="str">
        <f>SUGERENCIAS!B502</f>
        <v>SABADO</v>
      </c>
      <c r="B522" s="44" t="str">
        <f>SUGERENCIAS!G502</f>
        <v/>
      </c>
      <c r="C522" s="37" t="str">
        <f>SUGERENCIAS!G502</f>
        <v/>
      </c>
      <c r="D522" s="65" t="str">
        <f>SUGERENCIAS!G502</f>
        <v/>
      </c>
      <c r="E522" s="66" t="str">
        <f>SUGERENCIAS!L502</f>
        <v>--</v>
      </c>
      <c r="F522" s="67" t="str">
        <f>SUGERENCIAS!N502</f>
        <v>SIN</v>
      </c>
    </row>
    <row r="523" spans="1:6" ht="15" customHeight="1">
      <c r="A523" s="37" t="str">
        <f>SUGERENCIAS!B503</f>
        <v>SABADO</v>
      </c>
      <c r="B523" s="44" t="str">
        <f>SUGERENCIAS!G503</f>
        <v/>
      </c>
      <c r="C523" s="37" t="str">
        <f>SUGERENCIAS!G503</f>
        <v/>
      </c>
      <c r="D523" s="65" t="str">
        <f>SUGERENCIAS!G503</f>
        <v/>
      </c>
      <c r="E523" s="66" t="str">
        <f>SUGERENCIAS!L503</f>
        <v>--</v>
      </c>
      <c r="F523" s="67" t="str">
        <f>SUGERENCIAS!N503</f>
        <v>SIN</v>
      </c>
    </row>
    <row r="524" spans="1:6" ht="15" customHeight="1">
      <c r="A524" s="37" t="str">
        <f>SUGERENCIAS!B504</f>
        <v>SABADO</v>
      </c>
      <c r="B524" s="44" t="str">
        <f>SUGERENCIAS!G504</f>
        <v/>
      </c>
      <c r="C524" s="37" t="str">
        <f>SUGERENCIAS!G504</f>
        <v/>
      </c>
      <c r="D524" s="65" t="str">
        <f>SUGERENCIAS!G504</f>
        <v/>
      </c>
      <c r="E524" s="66" t="str">
        <f>SUGERENCIAS!L504</f>
        <v>--</v>
      </c>
      <c r="F524" s="67" t="str">
        <f>SUGERENCIAS!N504</f>
        <v>SIN</v>
      </c>
    </row>
    <row r="525" spans="1:6" ht="15" customHeight="1">
      <c r="A525" s="37" t="str">
        <f>SUGERENCIAS!B505</f>
        <v>SABADO</v>
      </c>
      <c r="B525" s="44" t="str">
        <f>SUGERENCIAS!G505</f>
        <v/>
      </c>
      <c r="C525" s="37" t="str">
        <f>SUGERENCIAS!G505</f>
        <v/>
      </c>
      <c r="D525" s="65" t="str">
        <f>SUGERENCIAS!G505</f>
        <v/>
      </c>
      <c r="E525" s="66" t="str">
        <f>SUGERENCIAS!L505</f>
        <v>--</v>
      </c>
      <c r="F525" s="67" t="str">
        <f>SUGERENCIAS!N505</f>
        <v>SIN</v>
      </c>
    </row>
    <row r="526" spans="1:6" ht="15" customHeight="1">
      <c r="A526" s="37" t="str">
        <f>SUGERENCIAS!B506</f>
        <v>SABADO</v>
      </c>
      <c r="B526" s="44" t="str">
        <f>SUGERENCIAS!G506</f>
        <v/>
      </c>
      <c r="C526" s="37" t="str">
        <f>SUGERENCIAS!G506</f>
        <v/>
      </c>
      <c r="D526" s="65" t="str">
        <f>SUGERENCIAS!G506</f>
        <v/>
      </c>
      <c r="E526" s="66" t="str">
        <f>SUGERENCIAS!L506</f>
        <v>--</v>
      </c>
      <c r="F526" s="67" t="str">
        <f>SUGERENCIAS!N506</f>
        <v>SIN</v>
      </c>
    </row>
    <row r="527" spans="1:6" ht="15" customHeight="1">
      <c r="A527" s="37" t="str">
        <f>SUGERENCIAS!B507</f>
        <v>SABADO</v>
      </c>
      <c r="B527" s="44" t="str">
        <f>SUGERENCIAS!G507</f>
        <v/>
      </c>
      <c r="C527" s="37" t="str">
        <f>SUGERENCIAS!G507</f>
        <v/>
      </c>
      <c r="D527" s="65" t="str">
        <f>SUGERENCIAS!G507</f>
        <v/>
      </c>
      <c r="E527" s="66" t="str">
        <f>SUGERENCIAS!L507</f>
        <v>--</v>
      </c>
      <c r="F527" s="67" t="str">
        <f>SUGERENCIAS!N507</f>
        <v>SIN</v>
      </c>
    </row>
    <row r="528" spans="1:6" ht="15" customHeight="1">
      <c r="A528" s="37" t="str">
        <f>SUGERENCIAS!B508</f>
        <v>LUNES</v>
      </c>
      <c r="B528" s="44" t="str">
        <f>SUGERENCIAS!G508</f>
        <v/>
      </c>
      <c r="C528" s="37" t="str">
        <f>SUGERENCIAS!G508</f>
        <v/>
      </c>
      <c r="D528" s="65" t="str">
        <f>SUGERENCIAS!G508</f>
        <v/>
      </c>
      <c r="E528" s="66" t="str">
        <f>SUGERENCIAS!L508</f>
        <v>--</v>
      </c>
      <c r="F528" s="67" t="str">
        <f>SUGERENCIAS!N508</f>
        <v>SIN</v>
      </c>
    </row>
    <row r="529" spans="1:6" ht="15" customHeight="1">
      <c r="A529" s="37" t="str">
        <f>SUGERENCIAS!B509</f>
        <v>LUNES</v>
      </c>
      <c r="B529" s="44" t="str">
        <f>SUGERENCIAS!G509</f>
        <v/>
      </c>
      <c r="C529" s="37" t="str">
        <f>SUGERENCIAS!G509</f>
        <v/>
      </c>
      <c r="D529" s="65" t="str">
        <f>SUGERENCIAS!G509</f>
        <v/>
      </c>
      <c r="E529" s="66" t="str">
        <f>SUGERENCIAS!L509</f>
        <v>--</v>
      </c>
      <c r="F529" s="67" t="str">
        <f>SUGERENCIAS!N509</f>
        <v>SIN</v>
      </c>
    </row>
    <row r="530" spans="1:6" ht="15" customHeight="1">
      <c r="A530" s="37" t="str">
        <f>SUGERENCIAS!B510</f>
        <v>LUNES</v>
      </c>
      <c r="B530" s="44">
        <f>SUGERENCIAS!G510</f>
        <v>0</v>
      </c>
      <c r="C530" s="37">
        <f>SUGERENCIAS!G510</f>
        <v>0</v>
      </c>
      <c r="D530" s="65">
        <f>SUGERENCIAS!G510</f>
        <v>0</v>
      </c>
      <c r="E530" s="66">
        <f>SUGERENCIAS!L510</f>
        <v>6</v>
      </c>
      <c r="F530" s="67" t="str">
        <f>SUGERENCIAS!N510</f>
        <v>SUBIR_F</v>
      </c>
    </row>
    <row r="531" spans="1:6" ht="15" customHeight="1">
      <c r="A531" s="37" t="str">
        <f>SUGERENCIAS!B511</f>
        <v>LUNES</v>
      </c>
      <c r="B531" s="44" t="str">
        <f>SUGERENCIAS!G511</f>
        <v/>
      </c>
      <c r="C531" s="37" t="str">
        <f>SUGERENCIAS!G511</f>
        <v/>
      </c>
      <c r="D531" s="65" t="str">
        <f>SUGERENCIAS!G511</f>
        <v/>
      </c>
      <c r="E531" s="66" t="str">
        <f>SUGERENCIAS!L511</f>
        <v>--</v>
      </c>
      <c r="F531" s="67" t="str">
        <f>SUGERENCIAS!N511</f>
        <v>SIN</v>
      </c>
    </row>
    <row r="532" spans="1:6" ht="15" customHeight="1">
      <c r="A532" s="37" t="str">
        <f>SUGERENCIAS!B512</f>
        <v>LUNES</v>
      </c>
      <c r="B532" s="44" t="str">
        <f>SUGERENCIAS!G512</f>
        <v/>
      </c>
      <c r="C532" s="37" t="str">
        <f>SUGERENCIAS!G512</f>
        <v/>
      </c>
      <c r="D532" s="65" t="str">
        <f>SUGERENCIAS!G512</f>
        <v/>
      </c>
      <c r="E532" s="66" t="str">
        <f>SUGERENCIAS!L512</f>
        <v>--</v>
      </c>
      <c r="F532" s="67" t="str">
        <f>SUGERENCIAS!N512</f>
        <v>SIN</v>
      </c>
    </row>
    <row r="533" spans="1:6" ht="15" customHeight="1">
      <c r="A533" s="37" t="str">
        <f>SUGERENCIAS!B513</f>
        <v>LUNES</v>
      </c>
      <c r="B533" s="44" t="str">
        <f>SUGERENCIAS!G513</f>
        <v/>
      </c>
      <c r="C533" s="37" t="str">
        <f>SUGERENCIAS!G513</f>
        <v/>
      </c>
      <c r="D533" s="65" t="str">
        <f>SUGERENCIAS!G513</f>
        <v/>
      </c>
      <c r="E533" s="66" t="str">
        <f>SUGERENCIAS!L513</f>
        <v>--</v>
      </c>
      <c r="F533" s="67" t="str">
        <f>SUGERENCIAS!N513</f>
        <v>SIN</v>
      </c>
    </row>
    <row r="534" spans="1:6" ht="15" customHeight="1">
      <c r="A534" s="37" t="str">
        <f>SUGERENCIAS!B514</f>
        <v>LUNES</v>
      </c>
      <c r="B534" s="44" t="str">
        <f>SUGERENCIAS!G514</f>
        <v/>
      </c>
      <c r="C534" s="37" t="str">
        <f>SUGERENCIAS!G514</f>
        <v/>
      </c>
      <c r="D534" s="65" t="str">
        <f>SUGERENCIAS!G514</f>
        <v/>
      </c>
      <c r="E534" s="66" t="str">
        <f>SUGERENCIAS!L514</f>
        <v>--</v>
      </c>
      <c r="F534" s="67" t="str">
        <f>SUGERENCIAS!N514</f>
        <v>SIN</v>
      </c>
    </row>
    <row r="535" spans="1:6" ht="15" customHeight="1">
      <c r="A535" s="37" t="str">
        <f>SUGERENCIAS!B515</f>
        <v>LUNES</v>
      </c>
      <c r="B535" s="44" t="str">
        <f>SUGERENCIAS!G515</f>
        <v/>
      </c>
      <c r="C535" s="37" t="str">
        <f>SUGERENCIAS!G515</f>
        <v/>
      </c>
      <c r="D535" s="65" t="str">
        <f>SUGERENCIAS!G515</f>
        <v/>
      </c>
      <c r="E535" s="66" t="str">
        <f>SUGERENCIAS!L515</f>
        <v>--</v>
      </c>
      <c r="F535" s="67" t="str">
        <f>SUGERENCIAS!N515</f>
        <v>SIN</v>
      </c>
    </row>
    <row r="536" spans="1:6" ht="15" customHeight="1">
      <c r="A536" s="37" t="str">
        <f>SUGERENCIAS!B516</f>
        <v>LUNES</v>
      </c>
      <c r="B536" s="44" t="str">
        <f>SUGERENCIAS!G516</f>
        <v/>
      </c>
      <c r="C536" s="37" t="str">
        <f>SUGERENCIAS!G516</f>
        <v/>
      </c>
      <c r="D536" s="65" t="str">
        <f>SUGERENCIAS!G516</f>
        <v/>
      </c>
      <c r="E536" s="66" t="str">
        <f>SUGERENCIAS!L516</f>
        <v>--</v>
      </c>
      <c r="F536" s="67" t="str">
        <f>SUGERENCIAS!N516</f>
        <v>SIN</v>
      </c>
    </row>
    <row r="537" spans="1:6" ht="15" customHeight="1">
      <c r="A537" s="37" t="str">
        <f>SUGERENCIAS!B517</f>
        <v>LUNES</v>
      </c>
      <c r="B537" s="44" t="str">
        <f>SUGERENCIAS!G517</f>
        <v/>
      </c>
      <c r="C537" s="37" t="str">
        <f>SUGERENCIAS!G517</f>
        <v/>
      </c>
      <c r="D537" s="65" t="str">
        <f>SUGERENCIAS!G517</f>
        <v/>
      </c>
      <c r="E537" s="66" t="str">
        <f>SUGERENCIAS!L517</f>
        <v>--</v>
      </c>
      <c r="F537" s="67" t="str">
        <f>SUGERENCIAS!N517</f>
        <v>SIN</v>
      </c>
    </row>
    <row r="538" spans="1:6" ht="15" customHeight="1">
      <c r="A538" s="37" t="str">
        <f>SUGERENCIAS!B518</f>
        <v>LUNES</v>
      </c>
      <c r="B538" s="44" t="str">
        <f>SUGERENCIAS!G518</f>
        <v/>
      </c>
      <c r="C538" s="37" t="str">
        <f>SUGERENCIAS!G518</f>
        <v/>
      </c>
      <c r="D538" s="65" t="str">
        <f>SUGERENCIAS!G518</f>
        <v/>
      </c>
      <c r="E538" s="66" t="str">
        <f>SUGERENCIAS!L518</f>
        <v>--</v>
      </c>
      <c r="F538" s="67" t="str">
        <f>SUGERENCIAS!N518</f>
        <v>SIN</v>
      </c>
    </row>
    <row r="539" spans="1:6" ht="15" customHeight="1">
      <c r="A539" s="37" t="str">
        <f>SUGERENCIAS!B519</f>
        <v>MARTES</v>
      </c>
      <c r="B539" s="44" t="str">
        <f>SUGERENCIAS!G519</f>
        <v/>
      </c>
      <c r="C539" s="37" t="str">
        <f>SUGERENCIAS!G519</f>
        <v/>
      </c>
      <c r="D539" s="65" t="str">
        <f>SUGERENCIAS!G519</f>
        <v/>
      </c>
      <c r="E539" s="66" t="str">
        <f>SUGERENCIAS!L519</f>
        <v>--</v>
      </c>
      <c r="F539" s="67" t="str">
        <f>SUGERENCIAS!N519</f>
        <v>SIN</v>
      </c>
    </row>
    <row r="540" spans="1:6" ht="15" customHeight="1">
      <c r="A540" s="37" t="str">
        <f>SUGERENCIAS!B520</f>
        <v>MARTES</v>
      </c>
      <c r="B540" s="44" t="str">
        <f>SUGERENCIAS!G520</f>
        <v/>
      </c>
      <c r="C540" s="37" t="str">
        <f>SUGERENCIAS!G520</f>
        <v/>
      </c>
      <c r="D540" s="65" t="str">
        <f>SUGERENCIAS!G520</f>
        <v/>
      </c>
      <c r="E540" s="66" t="str">
        <f>SUGERENCIAS!L520</f>
        <v>--</v>
      </c>
      <c r="F540" s="67" t="str">
        <f>SUGERENCIAS!N520</f>
        <v>SIN</v>
      </c>
    </row>
    <row r="541" spans="1:6" ht="15" customHeight="1">
      <c r="A541" s="37" t="str">
        <f>SUGERENCIAS!B521</f>
        <v>MARTES</v>
      </c>
      <c r="B541" s="44" t="str">
        <f>SUGERENCIAS!G521</f>
        <v/>
      </c>
      <c r="C541" s="37" t="str">
        <f>SUGERENCIAS!G521</f>
        <v/>
      </c>
      <c r="D541" s="65" t="str">
        <f>SUGERENCIAS!G521</f>
        <v/>
      </c>
      <c r="E541" s="66" t="str">
        <f>SUGERENCIAS!L521</f>
        <v>--</v>
      </c>
      <c r="F541" s="67" t="str">
        <f>SUGERENCIAS!N521</f>
        <v>SIN</v>
      </c>
    </row>
    <row r="542" spans="1:6" ht="15" customHeight="1">
      <c r="A542" s="37" t="str">
        <f>SUGERENCIAS!B522</f>
        <v>MARTES</v>
      </c>
      <c r="B542" s="44" t="str">
        <f>SUGERENCIAS!G522</f>
        <v/>
      </c>
      <c r="C542" s="37" t="str">
        <f>SUGERENCIAS!G522</f>
        <v/>
      </c>
      <c r="D542" s="65" t="str">
        <f>SUGERENCIAS!G522</f>
        <v/>
      </c>
      <c r="E542" s="66" t="str">
        <f>SUGERENCIAS!L522</f>
        <v>--</v>
      </c>
      <c r="F542" s="67" t="str">
        <f>SUGERENCIAS!N522</f>
        <v>SIN</v>
      </c>
    </row>
    <row r="543" spans="1:6" ht="15" customHeight="1">
      <c r="A543" s="37" t="str">
        <f>SUGERENCIAS!B523</f>
        <v>MARTES</v>
      </c>
      <c r="B543" s="44" t="str">
        <f>SUGERENCIAS!G523</f>
        <v/>
      </c>
      <c r="C543" s="37" t="str">
        <f>SUGERENCIAS!G523</f>
        <v/>
      </c>
      <c r="D543" s="65" t="str">
        <f>SUGERENCIAS!G523</f>
        <v/>
      </c>
      <c r="E543" s="66" t="str">
        <f>SUGERENCIAS!L523</f>
        <v>--</v>
      </c>
      <c r="F543" s="67" t="str">
        <f>SUGERENCIAS!N523</f>
        <v>SIN</v>
      </c>
    </row>
    <row r="544" spans="1:6" ht="15" customHeight="1">
      <c r="A544" s="37" t="str">
        <f>SUGERENCIAS!B524</f>
        <v>MARTES</v>
      </c>
      <c r="B544" s="44" t="str">
        <f>SUGERENCIAS!G524</f>
        <v/>
      </c>
      <c r="C544" s="37" t="str">
        <f>SUGERENCIAS!G524</f>
        <v/>
      </c>
      <c r="D544" s="65" t="str">
        <f>SUGERENCIAS!G524</f>
        <v/>
      </c>
      <c r="E544" s="66" t="str">
        <f>SUGERENCIAS!L524</f>
        <v>--</v>
      </c>
      <c r="F544" s="67" t="str">
        <f>SUGERENCIAS!N524</f>
        <v>SIN</v>
      </c>
    </row>
    <row r="545" spans="1:6" ht="15" customHeight="1">
      <c r="A545" s="37" t="str">
        <f>SUGERENCIAS!B525</f>
        <v>MARTES</v>
      </c>
      <c r="B545" s="44" t="str">
        <f>SUGERENCIAS!G525</f>
        <v/>
      </c>
      <c r="C545" s="37" t="str">
        <f>SUGERENCIAS!G525</f>
        <v/>
      </c>
      <c r="D545" s="65" t="str">
        <f>SUGERENCIAS!G525</f>
        <v/>
      </c>
      <c r="E545" s="66" t="str">
        <f>SUGERENCIAS!L525</f>
        <v>--</v>
      </c>
      <c r="F545" s="67" t="str">
        <f>SUGERENCIAS!N525</f>
        <v>SIN</v>
      </c>
    </row>
    <row r="546" spans="1:6" ht="15" customHeight="1">
      <c r="A546" s="37" t="str">
        <f>SUGERENCIAS!B526</f>
        <v>MARTES</v>
      </c>
      <c r="B546" s="44" t="str">
        <f>SUGERENCIAS!G526</f>
        <v/>
      </c>
      <c r="C546" s="37" t="str">
        <f>SUGERENCIAS!G526</f>
        <v/>
      </c>
      <c r="D546" s="65" t="str">
        <f>SUGERENCIAS!G526</f>
        <v/>
      </c>
      <c r="E546" s="66" t="str">
        <f>SUGERENCIAS!L526</f>
        <v>--</v>
      </c>
      <c r="F546" s="67" t="str">
        <f>SUGERENCIAS!N526</f>
        <v>SIN</v>
      </c>
    </row>
    <row r="547" spans="1:6" ht="15" customHeight="1">
      <c r="A547" s="37" t="str">
        <f>SUGERENCIAS!B527</f>
        <v>MARTES</v>
      </c>
      <c r="B547" s="44" t="str">
        <f>SUGERENCIAS!G527</f>
        <v/>
      </c>
      <c r="C547" s="37" t="str">
        <f>SUGERENCIAS!G527</f>
        <v/>
      </c>
      <c r="D547" s="65" t="str">
        <f>SUGERENCIAS!G527</f>
        <v/>
      </c>
      <c r="E547" s="66" t="str">
        <f>SUGERENCIAS!L527</f>
        <v>--</v>
      </c>
      <c r="F547" s="67" t="str">
        <f>SUGERENCIAS!N527</f>
        <v>SIN</v>
      </c>
    </row>
    <row r="548" spans="1:6" ht="15" customHeight="1">
      <c r="A548" s="37" t="str">
        <f>SUGERENCIAS!B528</f>
        <v>MARTES</v>
      </c>
      <c r="B548" s="44" t="str">
        <f>SUGERENCIAS!G528</f>
        <v/>
      </c>
      <c r="C548" s="37" t="str">
        <f>SUGERENCIAS!G528</f>
        <v/>
      </c>
      <c r="D548" s="65" t="str">
        <f>SUGERENCIAS!G528</f>
        <v/>
      </c>
      <c r="E548" s="66" t="str">
        <f>SUGERENCIAS!L528</f>
        <v>--</v>
      </c>
      <c r="F548" s="67" t="str">
        <f>SUGERENCIAS!N528</f>
        <v>SIN</v>
      </c>
    </row>
    <row r="549" spans="1:6" ht="15" customHeight="1">
      <c r="A549" s="37" t="str">
        <f>SUGERENCIAS!B529</f>
        <v>MARTES</v>
      </c>
      <c r="B549" s="44" t="str">
        <f>SUGERENCIAS!G529</f>
        <v/>
      </c>
      <c r="C549" s="37" t="str">
        <f>SUGERENCIAS!G529</f>
        <v/>
      </c>
      <c r="D549" s="65" t="str">
        <f>SUGERENCIAS!G529</f>
        <v/>
      </c>
      <c r="E549" s="66" t="str">
        <f>SUGERENCIAS!L529</f>
        <v>--</v>
      </c>
      <c r="F549" s="67" t="str">
        <f>SUGERENCIAS!N529</f>
        <v>SIN</v>
      </c>
    </row>
    <row r="550" spans="1:6" ht="15" customHeight="1">
      <c r="A550" s="37" t="str">
        <f>SUGERENCIAS!B530</f>
        <v>MIERCOLES</v>
      </c>
      <c r="B550" s="44" t="str">
        <f>SUGERENCIAS!G530</f>
        <v/>
      </c>
      <c r="C550" s="37" t="str">
        <f>SUGERENCIAS!G530</f>
        <v/>
      </c>
      <c r="D550" s="65" t="str">
        <f>SUGERENCIAS!G530</f>
        <v/>
      </c>
      <c r="E550" s="66" t="str">
        <f>SUGERENCIAS!L530</f>
        <v>--</v>
      </c>
      <c r="F550" s="67" t="str">
        <f>SUGERENCIAS!N530</f>
        <v>SIN</v>
      </c>
    </row>
    <row r="551" spans="1:6" ht="15" customHeight="1">
      <c r="A551" s="37" t="str">
        <f>SUGERENCIAS!B531</f>
        <v>MIERCOLES</v>
      </c>
      <c r="B551" s="44" t="str">
        <f>SUGERENCIAS!G531</f>
        <v/>
      </c>
      <c r="C551" s="37" t="str">
        <f>SUGERENCIAS!G531</f>
        <v/>
      </c>
      <c r="D551" s="65" t="str">
        <f>SUGERENCIAS!G531</f>
        <v/>
      </c>
      <c r="E551" s="66" t="str">
        <f>SUGERENCIAS!L531</f>
        <v>--</v>
      </c>
      <c r="F551" s="67" t="str">
        <f>SUGERENCIAS!N531</f>
        <v>SIN</v>
      </c>
    </row>
    <row r="552" spans="1:6" ht="15" customHeight="1">
      <c r="A552" s="37" t="str">
        <f>SUGERENCIAS!B532</f>
        <v>MIERCOLES</v>
      </c>
      <c r="B552" s="44" t="str">
        <f>SUGERENCIAS!G532</f>
        <v/>
      </c>
      <c r="C552" s="37" t="str">
        <f>SUGERENCIAS!G532</f>
        <v/>
      </c>
      <c r="D552" s="65" t="str">
        <f>SUGERENCIAS!G532</f>
        <v/>
      </c>
      <c r="E552" s="66" t="str">
        <f>SUGERENCIAS!L532</f>
        <v>--</v>
      </c>
      <c r="F552" s="67" t="str">
        <f>SUGERENCIAS!N532</f>
        <v>SIN</v>
      </c>
    </row>
    <row r="553" spans="1:6" ht="15" customHeight="1">
      <c r="A553" s="37" t="str">
        <f>SUGERENCIAS!B533</f>
        <v>MIERCOLES</v>
      </c>
      <c r="B553" s="44" t="str">
        <f>SUGERENCIAS!G533</f>
        <v/>
      </c>
      <c r="C553" s="37" t="str">
        <f>SUGERENCIAS!G533</f>
        <v/>
      </c>
      <c r="D553" s="65" t="str">
        <f>SUGERENCIAS!G533</f>
        <v/>
      </c>
      <c r="E553" s="66" t="str">
        <f>SUGERENCIAS!L533</f>
        <v>--</v>
      </c>
      <c r="F553" s="67" t="str">
        <f>SUGERENCIAS!N533</f>
        <v>SIN</v>
      </c>
    </row>
    <row r="554" spans="1:6" ht="15" customHeight="1">
      <c r="A554" s="37" t="str">
        <f>SUGERENCIAS!B534</f>
        <v>MIERCOLES</v>
      </c>
      <c r="B554" s="44" t="str">
        <f>SUGERENCIAS!G534</f>
        <v/>
      </c>
      <c r="C554" s="37" t="str">
        <f>SUGERENCIAS!G534</f>
        <v/>
      </c>
      <c r="D554" s="65" t="str">
        <f>SUGERENCIAS!G534</f>
        <v/>
      </c>
      <c r="E554" s="66" t="str">
        <f>SUGERENCIAS!L534</f>
        <v>--</v>
      </c>
      <c r="F554" s="67" t="str">
        <f>SUGERENCIAS!N534</f>
        <v>SIN</v>
      </c>
    </row>
    <row r="555" spans="1:6" ht="15" customHeight="1">
      <c r="A555" s="37" t="str">
        <f>SUGERENCIAS!B535</f>
        <v>MIERCOLES</v>
      </c>
      <c r="B555" s="44" t="str">
        <f>SUGERENCIAS!G535</f>
        <v/>
      </c>
      <c r="C555" s="37" t="str">
        <f>SUGERENCIAS!G535</f>
        <v/>
      </c>
      <c r="D555" s="65" t="str">
        <f>SUGERENCIAS!G535</f>
        <v/>
      </c>
      <c r="E555" s="66" t="str">
        <f>SUGERENCIAS!L535</f>
        <v>--</v>
      </c>
      <c r="F555" s="67" t="str">
        <f>SUGERENCIAS!N535</f>
        <v>SIN</v>
      </c>
    </row>
    <row r="556" spans="1:6" ht="15" customHeight="1">
      <c r="A556" s="37" t="str">
        <f>SUGERENCIAS!B536</f>
        <v>MIERCOLES</v>
      </c>
      <c r="B556" s="44" t="str">
        <f>SUGERENCIAS!G536</f>
        <v/>
      </c>
      <c r="C556" s="37" t="str">
        <f>SUGERENCIAS!G536</f>
        <v/>
      </c>
      <c r="D556" s="65" t="str">
        <f>SUGERENCIAS!G536</f>
        <v/>
      </c>
      <c r="E556" s="66" t="str">
        <f>SUGERENCIAS!L536</f>
        <v>--</v>
      </c>
      <c r="F556" s="67" t="str">
        <f>SUGERENCIAS!N536</f>
        <v>SIN</v>
      </c>
    </row>
    <row r="557" spans="1:6" ht="15" customHeight="1">
      <c r="A557" s="37" t="str">
        <f>SUGERENCIAS!B537</f>
        <v>MIERCOLES</v>
      </c>
      <c r="B557" s="44" t="str">
        <f>SUGERENCIAS!G537</f>
        <v/>
      </c>
      <c r="C557" s="37" t="str">
        <f>SUGERENCIAS!G537</f>
        <v/>
      </c>
      <c r="D557" s="65" t="str">
        <f>SUGERENCIAS!G537</f>
        <v/>
      </c>
      <c r="E557" s="66" t="str">
        <f>SUGERENCIAS!L537</f>
        <v>--</v>
      </c>
      <c r="F557" s="67" t="str">
        <f>SUGERENCIAS!N537</f>
        <v>SIN</v>
      </c>
    </row>
    <row r="558" spans="1:6" ht="15" customHeight="1">
      <c r="A558" s="37" t="str">
        <f>SUGERENCIAS!B538</f>
        <v>MIERCOLES</v>
      </c>
      <c r="B558" s="44" t="str">
        <f>SUGERENCIAS!G538</f>
        <v/>
      </c>
      <c r="C558" s="37" t="str">
        <f>SUGERENCIAS!G538</f>
        <v/>
      </c>
      <c r="D558" s="65" t="str">
        <f>SUGERENCIAS!G538</f>
        <v/>
      </c>
      <c r="E558" s="66" t="str">
        <f>SUGERENCIAS!L538</f>
        <v>--</v>
      </c>
      <c r="F558" s="67" t="str">
        <f>SUGERENCIAS!N538</f>
        <v>SIN</v>
      </c>
    </row>
    <row r="559" spans="1:6" ht="15" customHeight="1">
      <c r="A559" s="37" t="str">
        <f>SUGERENCIAS!B539</f>
        <v>MIERCOLES</v>
      </c>
      <c r="B559" s="44" t="str">
        <f>SUGERENCIAS!G539</f>
        <v/>
      </c>
      <c r="C559" s="37" t="str">
        <f>SUGERENCIAS!G539</f>
        <v/>
      </c>
      <c r="D559" s="65" t="str">
        <f>SUGERENCIAS!G539</f>
        <v/>
      </c>
      <c r="E559" s="66" t="str">
        <f>SUGERENCIAS!L539</f>
        <v>--</v>
      </c>
      <c r="F559" s="67" t="str">
        <f>SUGERENCIAS!N539</f>
        <v>SIN</v>
      </c>
    </row>
    <row r="560" spans="1:6" ht="15" customHeight="1">
      <c r="A560" s="37" t="str">
        <f>SUGERENCIAS!B540</f>
        <v>MIERCOLES</v>
      </c>
      <c r="B560" s="44" t="str">
        <f>SUGERENCIAS!G540</f>
        <v/>
      </c>
      <c r="C560" s="37" t="str">
        <f>SUGERENCIAS!G540</f>
        <v/>
      </c>
      <c r="D560" s="65" t="str">
        <f>SUGERENCIAS!G540</f>
        <v/>
      </c>
      <c r="E560" s="66" t="str">
        <f>SUGERENCIAS!L540</f>
        <v>--</v>
      </c>
      <c r="F560" s="67" t="str">
        <f>SUGERENCIAS!N540</f>
        <v>SIN</v>
      </c>
    </row>
    <row r="561" spans="1:6" ht="15" customHeight="1">
      <c r="A561" s="37" t="str">
        <f>SUGERENCIAS!B541</f>
        <v>MIERCOLES</v>
      </c>
      <c r="B561" s="44" t="str">
        <f>SUGERENCIAS!G541</f>
        <v/>
      </c>
      <c r="C561" s="37" t="str">
        <f>SUGERENCIAS!G541</f>
        <v/>
      </c>
      <c r="D561" s="65" t="str">
        <f>SUGERENCIAS!G541</f>
        <v/>
      </c>
      <c r="E561" s="66" t="str">
        <f>SUGERENCIAS!L541</f>
        <v>--</v>
      </c>
      <c r="F561" s="67" t="str">
        <f>SUGERENCIAS!N541</f>
        <v>SIN</v>
      </c>
    </row>
    <row r="562" spans="1:6" ht="15" customHeight="1">
      <c r="A562" s="37" t="str">
        <f>SUGERENCIAS!B542</f>
        <v>MIERCOLES</v>
      </c>
      <c r="B562" s="44" t="str">
        <f>SUGERENCIAS!G542</f>
        <v/>
      </c>
      <c r="C562" s="37" t="str">
        <f>SUGERENCIAS!G542</f>
        <v/>
      </c>
      <c r="D562" s="65" t="str">
        <f>SUGERENCIAS!G542</f>
        <v/>
      </c>
      <c r="E562" s="66" t="str">
        <f>SUGERENCIAS!L542</f>
        <v>--</v>
      </c>
      <c r="F562" s="67" t="str">
        <f>SUGERENCIAS!N542</f>
        <v>SIN</v>
      </c>
    </row>
    <row r="563" spans="1:6" ht="15" customHeight="1">
      <c r="A563" s="37" t="str">
        <f>SUGERENCIAS!B543</f>
        <v>MIERCOLES</v>
      </c>
      <c r="B563" s="44" t="str">
        <f>SUGERENCIAS!G543</f>
        <v/>
      </c>
      <c r="C563" s="37" t="str">
        <f>SUGERENCIAS!G543</f>
        <v/>
      </c>
      <c r="D563" s="65" t="str">
        <f>SUGERENCIAS!G543</f>
        <v/>
      </c>
      <c r="E563" s="66" t="str">
        <f>SUGERENCIAS!L543</f>
        <v>--</v>
      </c>
      <c r="F563" s="67" t="str">
        <f>SUGERENCIAS!N543</f>
        <v>SIN</v>
      </c>
    </row>
    <row r="564" spans="1:6" ht="15" customHeight="1">
      <c r="A564" s="37" t="str">
        <f>SUGERENCIAS!B544</f>
        <v>MIERCOLES</v>
      </c>
      <c r="B564" s="44" t="str">
        <f>SUGERENCIAS!G544</f>
        <v/>
      </c>
      <c r="C564" s="37" t="str">
        <f>SUGERENCIAS!G544</f>
        <v/>
      </c>
      <c r="D564" s="65" t="str">
        <f>SUGERENCIAS!G544</f>
        <v/>
      </c>
      <c r="E564" s="66" t="str">
        <f>SUGERENCIAS!L544</f>
        <v>--</v>
      </c>
      <c r="F564" s="67" t="str">
        <f>SUGERENCIAS!N544</f>
        <v>SIN</v>
      </c>
    </row>
    <row r="565" spans="1:6" ht="15" customHeight="1">
      <c r="A565" s="37" t="str">
        <f>SUGERENCIAS!B545</f>
        <v>JUEVES</v>
      </c>
      <c r="B565" s="44" t="str">
        <f>SUGERENCIAS!G545</f>
        <v/>
      </c>
      <c r="C565" s="37" t="str">
        <f>SUGERENCIAS!G545</f>
        <v/>
      </c>
      <c r="D565" s="65" t="str">
        <f>SUGERENCIAS!G545</f>
        <v/>
      </c>
      <c r="E565" s="66" t="str">
        <f>SUGERENCIAS!L545</f>
        <v>--</v>
      </c>
      <c r="F565" s="67" t="str">
        <f>SUGERENCIAS!N545</f>
        <v>SIN</v>
      </c>
    </row>
    <row r="566" spans="1:6" ht="15" customHeight="1">
      <c r="A566" s="37" t="str">
        <f>SUGERENCIAS!B546</f>
        <v>JUEVES</v>
      </c>
      <c r="B566" s="44" t="str">
        <f>SUGERENCIAS!G546</f>
        <v/>
      </c>
      <c r="C566" s="37" t="str">
        <f>SUGERENCIAS!G546</f>
        <v/>
      </c>
      <c r="D566" s="65" t="str">
        <f>SUGERENCIAS!G546</f>
        <v/>
      </c>
      <c r="E566" s="66" t="str">
        <f>SUGERENCIAS!L546</f>
        <v>--</v>
      </c>
      <c r="F566" s="67" t="str">
        <f>SUGERENCIAS!N546</f>
        <v>SIN</v>
      </c>
    </row>
    <row r="567" spans="1:6" ht="15" customHeight="1">
      <c r="A567" s="37" t="str">
        <f>SUGERENCIAS!B547</f>
        <v>JUEVES</v>
      </c>
      <c r="B567" s="44" t="str">
        <f>SUGERENCIAS!G547</f>
        <v/>
      </c>
      <c r="C567" s="37" t="str">
        <f>SUGERENCIAS!G547</f>
        <v/>
      </c>
      <c r="D567" s="65" t="str">
        <f>SUGERENCIAS!G547</f>
        <v/>
      </c>
      <c r="E567" s="66" t="str">
        <f>SUGERENCIAS!L547</f>
        <v>--</v>
      </c>
      <c r="F567" s="67" t="str">
        <f>SUGERENCIAS!N547</f>
        <v>SIN</v>
      </c>
    </row>
    <row r="568" spans="1:6" ht="15" customHeight="1">
      <c r="A568" s="37" t="str">
        <f>SUGERENCIAS!B548</f>
        <v>JUEVES</v>
      </c>
      <c r="B568" s="44" t="str">
        <f>SUGERENCIAS!G548</f>
        <v/>
      </c>
      <c r="C568" s="37" t="str">
        <f>SUGERENCIAS!G548</f>
        <v/>
      </c>
      <c r="D568" s="65" t="str">
        <f>SUGERENCIAS!G548</f>
        <v/>
      </c>
      <c r="E568" s="66" t="str">
        <f>SUGERENCIAS!L548</f>
        <v>--</v>
      </c>
      <c r="F568" s="67" t="str">
        <f>SUGERENCIAS!N548</f>
        <v>SIN</v>
      </c>
    </row>
    <row r="569" spans="1:6" ht="15" customHeight="1">
      <c r="A569" s="37" t="str">
        <f>SUGERENCIAS!B549</f>
        <v>JUEVES</v>
      </c>
      <c r="B569" s="44" t="str">
        <f>SUGERENCIAS!G549</f>
        <v/>
      </c>
      <c r="C569" s="37" t="str">
        <f>SUGERENCIAS!G549</f>
        <v/>
      </c>
      <c r="D569" s="65" t="str">
        <f>SUGERENCIAS!G549</f>
        <v/>
      </c>
      <c r="E569" s="66" t="str">
        <f>SUGERENCIAS!L549</f>
        <v>--</v>
      </c>
      <c r="F569" s="67" t="str">
        <f>SUGERENCIAS!N549</f>
        <v>SIN</v>
      </c>
    </row>
    <row r="570" spans="1:6" ht="15" customHeight="1">
      <c r="A570" s="37" t="str">
        <f>SUGERENCIAS!B550</f>
        <v>JUEVES</v>
      </c>
      <c r="B570" s="44" t="str">
        <f>SUGERENCIAS!G550</f>
        <v/>
      </c>
      <c r="C570" s="37" t="str">
        <f>SUGERENCIAS!G550</f>
        <v/>
      </c>
      <c r="D570" s="65" t="str">
        <f>SUGERENCIAS!G550</f>
        <v/>
      </c>
      <c r="E570" s="66" t="str">
        <f>SUGERENCIAS!L550</f>
        <v>--</v>
      </c>
      <c r="F570" s="67" t="str">
        <f>SUGERENCIAS!N550</f>
        <v>SIN</v>
      </c>
    </row>
    <row r="571" spans="1:6" ht="15" customHeight="1">
      <c r="A571" s="37" t="str">
        <f>SUGERENCIAS!B551</f>
        <v>JUEVES</v>
      </c>
      <c r="B571" s="44" t="str">
        <f>SUGERENCIAS!G551</f>
        <v/>
      </c>
      <c r="C571" s="37" t="str">
        <f>SUGERENCIAS!G551</f>
        <v/>
      </c>
      <c r="D571" s="65" t="str">
        <f>SUGERENCIAS!G551</f>
        <v/>
      </c>
      <c r="E571" s="66" t="str">
        <f>SUGERENCIAS!L551</f>
        <v>--</v>
      </c>
      <c r="F571" s="67" t="str">
        <f>SUGERENCIAS!N551</f>
        <v>SIN</v>
      </c>
    </row>
    <row r="572" spans="1:6" ht="15" customHeight="1">
      <c r="A572" s="37" t="str">
        <f>SUGERENCIAS!B552</f>
        <v>JUEVES</v>
      </c>
      <c r="B572" s="44" t="str">
        <f>SUGERENCIAS!G552</f>
        <v/>
      </c>
      <c r="C572" s="37" t="str">
        <f>SUGERENCIAS!G552</f>
        <v/>
      </c>
      <c r="D572" s="65" t="str">
        <f>SUGERENCIAS!G552</f>
        <v/>
      </c>
      <c r="E572" s="66" t="str">
        <f>SUGERENCIAS!L552</f>
        <v>--</v>
      </c>
      <c r="F572" s="67" t="str">
        <f>SUGERENCIAS!N552</f>
        <v>SIN</v>
      </c>
    </row>
    <row r="573" spans="1:6" ht="15" customHeight="1">
      <c r="A573" s="37" t="str">
        <f>SUGERENCIAS!B553</f>
        <v>JUEVES</v>
      </c>
      <c r="B573" s="44" t="str">
        <f>SUGERENCIAS!G553</f>
        <v/>
      </c>
      <c r="C573" s="37" t="str">
        <f>SUGERENCIAS!G553</f>
        <v/>
      </c>
      <c r="D573" s="65" t="str">
        <f>SUGERENCIAS!G553</f>
        <v/>
      </c>
      <c r="E573" s="66" t="str">
        <f>SUGERENCIAS!L553</f>
        <v>--</v>
      </c>
      <c r="F573" s="67" t="str">
        <f>SUGERENCIAS!N553</f>
        <v>SIN</v>
      </c>
    </row>
    <row r="574" spans="1:6" ht="15" customHeight="1">
      <c r="A574" s="37" t="str">
        <f>SUGERENCIAS!B554</f>
        <v>JUEVES</v>
      </c>
      <c r="B574" s="44" t="str">
        <f>SUGERENCIAS!G554</f>
        <v/>
      </c>
      <c r="C574" s="37" t="str">
        <f>SUGERENCIAS!G554</f>
        <v/>
      </c>
      <c r="D574" s="65" t="str">
        <f>SUGERENCIAS!G554</f>
        <v/>
      </c>
      <c r="E574" s="66" t="str">
        <f>SUGERENCIAS!L554</f>
        <v>--</v>
      </c>
      <c r="F574" s="67" t="str">
        <f>SUGERENCIAS!N554</f>
        <v>SIN</v>
      </c>
    </row>
    <row r="575" spans="1:6" ht="15" customHeight="1">
      <c r="A575" s="37" t="str">
        <f>SUGERENCIAS!B555</f>
        <v>JUEVES</v>
      </c>
      <c r="B575" s="44" t="str">
        <f>SUGERENCIAS!G555</f>
        <v/>
      </c>
      <c r="C575" s="37" t="str">
        <f>SUGERENCIAS!G555</f>
        <v/>
      </c>
      <c r="D575" s="65" t="str">
        <f>SUGERENCIAS!G555</f>
        <v/>
      </c>
      <c r="E575" s="66" t="str">
        <f>SUGERENCIAS!L555</f>
        <v>--</v>
      </c>
      <c r="F575" s="67" t="str">
        <f>SUGERENCIAS!N555</f>
        <v>SIN</v>
      </c>
    </row>
    <row r="576" spans="1:6" ht="15" customHeight="1">
      <c r="A576" s="37" t="str">
        <f>SUGERENCIAS!B556</f>
        <v>JUEVES</v>
      </c>
      <c r="B576" s="44">
        <f>SUGERENCIAS!G556</f>
        <v>40</v>
      </c>
      <c r="C576" s="37">
        <f>SUGERENCIAS!G556</f>
        <v>40</v>
      </c>
      <c r="D576" s="65">
        <f>SUGERENCIAS!G556</f>
        <v>40</v>
      </c>
      <c r="E576" s="66">
        <f>SUGERENCIAS!L556</f>
        <v>7</v>
      </c>
      <c r="F576" s="67" t="str">
        <f>SUGERENCIAS!N556</f>
        <v>MANT</v>
      </c>
    </row>
    <row r="577" spans="1:6" ht="15" customHeight="1">
      <c r="A577" s="37" t="str">
        <f>SUGERENCIAS!B557</f>
        <v>JUEVES</v>
      </c>
      <c r="B577" s="44" t="str">
        <f>SUGERENCIAS!G557</f>
        <v/>
      </c>
      <c r="C577" s="37" t="str">
        <f>SUGERENCIAS!G557</f>
        <v/>
      </c>
      <c r="D577" s="65" t="str">
        <f>SUGERENCIAS!G557</f>
        <v/>
      </c>
      <c r="E577" s="66" t="str">
        <f>SUGERENCIAS!L557</f>
        <v>--</v>
      </c>
      <c r="F577" s="67" t="str">
        <f>SUGERENCIAS!N557</f>
        <v>SIN</v>
      </c>
    </row>
    <row r="578" spans="1:6" ht="15" customHeight="1">
      <c r="A578" s="37" t="str">
        <f>SUGERENCIAS!B558</f>
        <v>SABADO</v>
      </c>
      <c r="B578" s="44" t="str">
        <f>SUGERENCIAS!G558</f>
        <v/>
      </c>
      <c r="C578" s="37" t="str">
        <f>SUGERENCIAS!G558</f>
        <v/>
      </c>
      <c r="D578" s="65" t="str">
        <f>SUGERENCIAS!G558</f>
        <v/>
      </c>
      <c r="E578" s="66" t="str">
        <f>SUGERENCIAS!L558</f>
        <v>--</v>
      </c>
      <c r="F578" s="67" t="str">
        <f>SUGERENCIAS!N558</f>
        <v>SIN</v>
      </c>
    </row>
    <row r="579" spans="1:6" ht="15" customHeight="1">
      <c r="A579" s="37" t="str">
        <f>SUGERENCIAS!B559</f>
        <v>SABADO</v>
      </c>
      <c r="B579" s="44" t="str">
        <f>SUGERENCIAS!G559</f>
        <v/>
      </c>
      <c r="C579" s="37" t="str">
        <f>SUGERENCIAS!G559</f>
        <v/>
      </c>
      <c r="D579" s="65" t="str">
        <f>SUGERENCIAS!G559</f>
        <v/>
      </c>
      <c r="E579" s="66" t="str">
        <f>SUGERENCIAS!L559</f>
        <v>--</v>
      </c>
      <c r="F579" s="67" t="str">
        <f>SUGERENCIAS!N559</f>
        <v>SIN</v>
      </c>
    </row>
    <row r="580" spans="1:6" ht="15" customHeight="1">
      <c r="A580" s="37" t="str">
        <f>SUGERENCIAS!B560</f>
        <v>SABADO</v>
      </c>
      <c r="B580" s="44" t="str">
        <f>SUGERENCIAS!G560</f>
        <v/>
      </c>
      <c r="C580" s="37" t="str">
        <f>SUGERENCIAS!G560</f>
        <v/>
      </c>
      <c r="D580" s="65" t="str">
        <f>SUGERENCIAS!G560</f>
        <v/>
      </c>
      <c r="E580" s="66" t="str">
        <f>SUGERENCIAS!L560</f>
        <v>--</v>
      </c>
      <c r="F580" s="67" t="str">
        <f>SUGERENCIAS!N560</f>
        <v>SIN</v>
      </c>
    </row>
    <row r="581" spans="1:6" ht="15" customHeight="1">
      <c r="A581" s="37" t="str">
        <f>SUGERENCIAS!B561</f>
        <v>SABADO</v>
      </c>
      <c r="B581" s="44" t="str">
        <f>SUGERENCIAS!G561</f>
        <v/>
      </c>
      <c r="C581" s="37" t="str">
        <f>SUGERENCIAS!G561</f>
        <v/>
      </c>
      <c r="D581" s="65" t="str">
        <f>SUGERENCIAS!G561</f>
        <v/>
      </c>
      <c r="E581" s="66" t="str">
        <f>SUGERENCIAS!L561</f>
        <v>--</v>
      </c>
      <c r="F581" s="67" t="str">
        <f>SUGERENCIAS!N561</f>
        <v>SIN</v>
      </c>
    </row>
    <row r="582" spans="1:6" ht="15" customHeight="1">
      <c r="A582" s="37" t="str">
        <f>SUGERENCIAS!B562</f>
        <v>SABADO</v>
      </c>
      <c r="B582" s="44">
        <f>SUGERENCIAS!G562</f>
        <v>40</v>
      </c>
      <c r="C582" s="37">
        <f>SUGERENCIAS!G562</f>
        <v>40</v>
      </c>
      <c r="D582" s="65">
        <f>SUGERENCIAS!G562</f>
        <v>40</v>
      </c>
      <c r="E582" s="66">
        <f>SUGERENCIAS!L562</f>
        <v>7</v>
      </c>
      <c r="F582" s="67" t="str">
        <f>SUGERENCIAS!N562</f>
        <v>MANT</v>
      </c>
    </row>
    <row r="583" spans="1:6" ht="15" customHeight="1">
      <c r="A583" s="37" t="str">
        <f>SUGERENCIAS!B563</f>
        <v>SABADO</v>
      </c>
      <c r="B583" s="44">
        <f>SUGERENCIAS!G563</f>
        <v>20</v>
      </c>
      <c r="C583" s="37">
        <f>SUGERENCIAS!G563</f>
        <v>20</v>
      </c>
      <c r="D583" s="65">
        <f>SUGERENCIAS!G563</f>
        <v>20</v>
      </c>
      <c r="E583" s="66">
        <f>SUGERENCIAS!L563</f>
        <v>6</v>
      </c>
      <c r="F583" s="67" t="str">
        <f>SUGERENCIAS!N563</f>
        <v>SUBIR</v>
      </c>
    </row>
    <row r="584" spans="1:6" ht="15" customHeight="1">
      <c r="A584" s="37" t="str">
        <f>SUGERENCIAS!B564</f>
        <v>SABADO</v>
      </c>
      <c r="B584" s="44" t="str">
        <f>SUGERENCIAS!G564</f>
        <v/>
      </c>
      <c r="C584" s="37" t="str">
        <f>SUGERENCIAS!G564</f>
        <v/>
      </c>
      <c r="D584" s="65" t="str">
        <f>SUGERENCIAS!G564</f>
        <v/>
      </c>
      <c r="E584" s="66" t="str">
        <f>SUGERENCIAS!L564</f>
        <v>--</v>
      </c>
      <c r="F584" s="67" t="str">
        <f>SUGERENCIAS!N564</f>
        <v>SIN</v>
      </c>
    </row>
    <row r="585" spans="1:6" ht="15" customHeight="1">
      <c r="A585" s="37" t="str">
        <f>SUGERENCIAS!B565</f>
        <v>SABADO</v>
      </c>
      <c r="B585" s="44" t="str">
        <f>SUGERENCIAS!G565</f>
        <v/>
      </c>
      <c r="C585" s="37" t="str">
        <f>SUGERENCIAS!G565</f>
        <v/>
      </c>
      <c r="D585" s="65" t="str">
        <f>SUGERENCIAS!G565</f>
        <v/>
      </c>
      <c r="E585" s="66" t="str">
        <f>SUGERENCIAS!L565</f>
        <v>--</v>
      </c>
      <c r="F585" s="67" t="str">
        <f>SUGERENCIAS!N565</f>
        <v>SIN</v>
      </c>
    </row>
    <row r="586" spans="1:6" ht="15" customHeight="1">
      <c r="A586" s="37" t="str">
        <f>SUGERENCIAS!B566</f>
        <v>SABADO</v>
      </c>
      <c r="B586" s="44" t="str">
        <f>SUGERENCIAS!G566</f>
        <v/>
      </c>
      <c r="C586" s="37" t="str">
        <f>SUGERENCIAS!G566</f>
        <v/>
      </c>
      <c r="D586" s="65" t="str">
        <f>SUGERENCIAS!G566</f>
        <v/>
      </c>
      <c r="E586" s="66" t="str">
        <f>SUGERENCIAS!L566</f>
        <v>--</v>
      </c>
      <c r="F586" s="67" t="str">
        <f>SUGERENCIAS!N566</f>
        <v>SIN</v>
      </c>
    </row>
    <row r="587" spans="1:6" ht="15" customHeight="1">
      <c r="A587" s="37" t="str">
        <f>SUGERENCIAS!B567</f>
        <v>SABADO</v>
      </c>
      <c r="B587" s="44" t="str">
        <f>SUGERENCIAS!G567</f>
        <v/>
      </c>
      <c r="C587" s="37" t="str">
        <f>SUGERENCIAS!G567</f>
        <v/>
      </c>
      <c r="D587" s="65" t="str">
        <f>SUGERENCIAS!G567</f>
        <v/>
      </c>
      <c r="E587" s="66" t="str">
        <f>SUGERENCIAS!L567</f>
        <v>--</v>
      </c>
      <c r="F587" s="67" t="str">
        <f>SUGERENCIAS!N567</f>
        <v>SIN</v>
      </c>
    </row>
    <row r="588" spans="1:6" ht="15" customHeight="1">
      <c r="A588" s="37" t="str">
        <f>SUGERENCIAS!B568</f>
        <v>SABADO</v>
      </c>
      <c r="B588" s="44" t="str">
        <f>SUGERENCIAS!G568</f>
        <v/>
      </c>
      <c r="C588" s="37" t="str">
        <f>SUGERENCIAS!G568</f>
        <v/>
      </c>
      <c r="D588" s="65" t="str">
        <f>SUGERENCIAS!G568</f>
        <v/>
      </c>
      <c r="E588" s="66" t="str">
        <f>SUGERENCIAS!L568</f>
        <v>--</v>
      </c>
      <c r="F588" s="67" t="str">
        <f>SUGERENCIAS!N568</f>
        <v>SIN</v>
      </c>
    </row>
    <row r="589" spans="1:6" ht="15" customHeight="1">
      <c r="A589" s="37" t="str">
        <f>SUGERENCIAS!B569</f>
        <v>SABADO</v>
      </c>
      <c r="B589" s="44" t="str">
        <f>SUGERENCIAS!G569</f>
        <v/>
      </c>
      <c r="C589" s="37" t="str">
        <f>SUGERENCIAS!G569</f>
        <v/>
      </c>
      <c r="D589" s="65" t="str">
        <f>SUGERENCIAS!G569</f>
        <v/>
      </c>
      <c r="E589" s="66" t="str">
        <f>SUGERENCIAS!L569</f>
        <v>--</v>
      </c>
      <c r="F589" s="67" t="str">
        <f>SUGERENCIAS!N569</f>
        <v>SIN</v>
      </c>
    </row>
    <row r="590" spans="1:6" ht="15" customHeight="1">
      <c r="A590" s="37" t="str">
        <f>SUGERENCIAS!B570</f>
        <v>SABADO</v>
      </c>
      <c r="B590" s="44" t="str">
        <f>SUGERENCIAS!G570</f>
        <v/>
      </c>
      <c r="C590" s="37" t="str">
        <f>SUGERENCIAS!G570</f>
        <v/>
      </c>
      <c r="D590" s="65" t="str">
        <f>SUGERENCIAS!G570</f>
        <v/>
      </c>
      <c r="E590" s="66" t="str">
        <f>SUGERENCIAS!L570</f>
        <v>--</v>
      </c>
      <c r="F590" s="67" t="str">
        <f>SUGERENCIAS!N570</f>
        <v>SIN</v>
      </c>
    </row>
    <row r="591" spans="1:6" ht="15" customHeight="1">
      <c r="A591" s="37" t="str">
        <f>SUGERENCIAS!B571</f>
        <v>LUNES</v>
      </c>
      <c r="B591" s="44" t="str">
        <f>SUGERENCIAS!G571</f>
        <v/>
      </c>
      <c r="C591" s="37" t="str">
        <f>SUGERENCIAS!G571</f>
        <v/>
      </c>
      <c r="D591" s="65" t="str">
        <f>SUGERENCIAS!G571</f>
        <v/>
      </c>
      <c r="E591" s="66" t="str">
        <f>SUGERENCIAS!L571</f>
        <v>--</v>
      </c>
      <c r="F591" s="67" t="str">
        <f>SUGERENCIAS!N571</f>
        <v>SIN</v>
      </c>
    </row>
    <row r="592" spans="1:6" ht="15" customHeight="1">
      <c r="A592" s="37" t="str">
        <f>SUGERENCIAS!B572</f>
        <v>LUNES</v>
      </c>
      <c r="B592" s="44" t="str">
        <f>SUGERENCIAS!G572</f>
        <v/>
      </c>
      <c r="C592" s="37" t="str">
        <f>SUGERENCIAS!G572</f>
        <v/>
      </c>
      <c r="D592" s="65" t="str">
        <f>SUGERENCIAS!G572</f>
        <v/>
      </c>
      <c r="E592" s="66" t="str">
        <f>SUGERENCIAS!L572</f>
        <v>--</v>
      </c>
      <c r="F592" s="67" t="str">
        <f>SUGERENCIAS!N572</f>
        <v>SIN</v>
      </c>
    </row>
    <row r="593" spans="1:6" ht="15" customHeight="1">
      <c r="A593" s="37" t="str">
        <f>SUGERENCIAS!B573</f>
        <v>LUNES</v>
      </c>
      <c r="B593" s="44">
        <f>SUGERENCIAS!G573</f>
        <v>0</v>
      </c>
      <c r="C593" s="37">
        <f>SUGERENCIAS!G573</f>
        <v>0</v>
      </c>
      <c r="D593" s="65">
        <f>SUGERENCIAS!G573</f>
        <v>0</v>
      </c>
      <c r="E593" s="66">
        <f>SUGERENCIAS!L573</f>
        <v>6</v>
      </c>
      <c r="F593" s="67" t="str">
        <f>SUGERENCIAS!N573</f>
        <v>SUBIR_F</v>
      </c>
    </row>
    <row r="594" spans="1:6" ht="15" customHeight="1">
      <c r="A594" s="37" t="str">
        <f>SUGERENCIAS!B574</f>
        <v>LUNES</v>
      </c>
      <c r="B594" s="44" t="str">
        <f>SUGERENCIAS!G574</f>
        <v/>
      </c>
      <c r="C594" s="37" t="str">
        <f>SUGERENCIAS!G574</f>
        <v/>
      </c>
      <c r="D594" s="65" t="str">
        <f>SUGERENCIAS!G574</f>
        <v/>
      </c>
      <c r="E594" s="66" t="str">
        <f>SUGERENCIAS!L574</f>
        <v>--</v>
      </c>
      <c r="F594" s="67" t="str">
        <f>SUGERENCIAS!N574</f>
        <v>SIN</v>
      </c>
    </row>
    <row r="595" spans="1:6" ht="15" customHeight="1">
      <c r="A595" s="37" t="str">
        <f>SUGERENCIAS!B575</f>
        <v>LUNES</v>
      </c>
      <c r="B595" s="44" t="str">
        <f>SUGERENCIAS!G575</f>
        <v/>
      </c>
      <c r="C595" s="37" t="str">
        <f>SUGERENCIAS!G575</f>
        <v/>
      </c>
      <c r="D595" s="65" t="str">
        <f>SUGERENCIAS!G575</f>
        <v/>
      </c>
      <c r="E595" s="66" t="str">
        <f>SUGERENCIAS!L575</f>
        <v>--</v>
      </c>
      <c r="F595" s="67" t="str">
        <f>SUGERENCIAS!N575</f>
        <v>SIN</v>
      </c>
    </row>
    <row r="596" spans="1:6" ht="15" customHeight="1">
      <c r="A596" s="37" t="str">
        <f>SUGERENCIAS!B576</f>
        <v>LUNES</v>
      </c>
      <c r="B596" s="44" t="str">
        <f>SUGERENCIAS!G576</f>
        <v/>
      </c>
      <c r="C596" s="37" t="str">
        <f>SUGERENCIAS!G576</f>
        <v/>
      </c>
      <c r="D596" s="65" t="str">
        <f>SUGERENCIAS!G576</f>
        <v/>
      </c>
      <c r="E596" s="66" t="str">
        <f>SUGERENCIAS!L576</f>
        <v>--</v>
      </c>
      <c r="F596" s="67" t="str">
        <f>SUGERENCIAS!N576</f>
        <v>SIN</v>
      </c>
    </row>
    <row r="597" spans="1:6" ht="15" customHeight="1">
      <c r="A597" s="37" t="str">
        <f>SUGERENCIAS!B577</f>
        <v>LUNES</v>
      </c>
      <c r="B597" s="44" t="str">
        <f>SUGERENCIAS!G577</f>
        <v/>
      </c>
      <c r="C597" s="37" t="str">
        <f>SUGERENCIAS!G577</f>
        <v/>
      </c>
      <c r="D597" s="65" t="str">
        <f>SUGERENCIAS!G577</f>
        <v/>
      </c>
      <c r="E597" s="66" t="str">
        <f>SUGERENCIAS!L577</f>
        <v>--</v>
      </c>
      <c r="F597" s="67" t="str">
        <f>SUGERENCIAS!N577</f>
        <v>SIN</v>
      </c>
    </row>
    <row r="598" spans="1:6" ht="15" customHeight="1">
      <c r="A598" s="37" t="str">
        <f>SUGERENCIAS!B578</f>
        <v>LUNES</v>
      </c>
      <c r="B598" s="44" t="str">
        <f>SUGERENCIAS!G578</f>
        <v/>
      </c>
      <c r="C598" s="37" t="str">
        <f>SUGERENCIAS!G578</f>
        <v/>
      </c>
      <c r="D598" s="65" t="str">
        <f>SUGERENCIAS!G578</f>
        <v/>
      </c>
      <c r="E598" s="66" t="str">
        <f>SUGERENCIAS!L578</f>
        <v>--</v>
      </c>
      <c r="F598" s="67" t="str">
        <f>SUGERENCIAS!N578</f>
        <v>SIN</v>
      </c>
    </row>
    <row r="599" spans="1:6" ht="15" customHeight="1">
      <c r="A599" s="37" t="str">
        <f>SUGERENCIAS!B579</f>
        <v>LUNES</v>
      </c>
      <c r="B599" s="44" t="str">
        <f>SUGERENCIAS!G579</f>
        <v/>
      </c>
      <c r="C599" s="37" t="str">
        <f>SUGERENCIAS!G579</f>
        <v/>
      </c>
      <c r="D599" s="65" t="str">
        <f>SUGERENCIAS!G579</f>
        <v/>
      </c>
      <c r="E599" s="66" t="str">
        <f>SUGERENCIAS!L579</f>
        <v>--</v>
      </c>
      <c r="F599" s="67" t="str">
        <f>SUGERENCIAS!N579</f>
        <v>SIN</v>
      </c>
    </row>
    <row r="600" spans="1:6" ht="15" customHeight="1">
      <c r="A600" s="37" t="str">
        <f>SUGERENCIAS!B580</f>
        <v>LUNES</v>
      </c>
      <c r="B600" s="44" t="str">
        <f>SUGERENCIAS!G580</f>
        <v/>
      </c>
      <c r="C600" s="37" t="str">
        <f>SUGERENCIAS!G580</f>
        <v/>
      </c>
      <c r="D600" s="65" t="str">
        <f>SUGERENCIAS!G580</f>
        <v/>
      </c>
      <c r="E600" s="66" t="str">
        <f>SUGERENCIAS!L580</f>
        <v>--</v>
      </c>
      <c r="F600" s="67" t="str">
        <f>SUGERENCIAS!N580</f>
        <v>SIN</v>
      </c>
    </row>
    <row r="601" spans="1:6" ht="15" customHeight="1">
      <c r="A601" s="37" t="str">
        <f>SUGERENCIAS!B581</f>
        <v>LUNES</v>
      </c>
      <c r="B601" s="44" t="str">
        <f>SUGERENCIAS!G581</f>
        <v/>
      </c>
      <c r="C601" s="37" t="str">
        <f>SUGERENCIAS!G581</f>
        <v/>
      </c>
      <c r="D601" s="65" t="str">
        <f>SUGERENCIAS!G581</f>
        <v/>
      </c>
      <c r="E601" s="66" t="str">
        <f>SUGERENCIAS!L581</f>
        <v>--</v>
      </c>
      <c r="F601" s="67" t="str">
        <f>SUGERENCIAS!N581</f>
        <v>SIN</v>
      </c>
    </row>
    <row r="602" spans="1:6" ht="15" customHeight="1">
      <c r="A602" s="37" t="str">
        <f>SUGERENCIAS!B582</f>
        <v>MARTES</v>
      </c>
      <c r="B602" s="44" t="str">
        <f>SUGERENCIAS!G582</f>
        <v/>
      </c>
      <c r="C602" s="37" t="str">
        <f>SUGERENCIAS!G582</f>
        <v/>
      </c>
      <c r="D602" s="65" t="str">
        <f>SUGERENCIAS!G582</f>
        <v/>
      </c>
      <c r="E602" s="66" t="str">
        <f>SUGERENCIAS!L582</f>
        <v>--</v>
      </c>
      <c r="F602" s="67" t="str">
        <f>SUGERENCIAS!N582</f>
        <v>SIN</v>
      </c>
    </row>
    <row r="603" spans="1:6" ht="15" customHeight="1">
      <c r="A603" s="37" t="str">
        <f>SUGERENCIAS!B583</f>
        <v>MARTES</v>
      </c>
      <c r="B603" s="44" t="str">
        <f>SUGERENCIAS!G583</f>
        <v/>
      </c>
      <c r="C603" s="37" t="str">
        <f>SUGERENCIAS!G583</f>
        <v/>
      </c>
      <c r="D603" s="65" t="str">
        <f>SUGERENCIAS!G583</f>
        <v/>
      </c>
      <c r="E603" s="66" t="str">
        <f>SUGERENCIAS!L583</f>
        <v>--</v>
      </c>
      <c r="F603" s="67" t="str">
        <f>SUGERENCIAS!N583</f>
        <v>SIN</v>
      </c>
    </row>
    <row r="604" spans="1:6" ht="15" customHeight="1">
      <c r="A604" s="37" t="str">
        <f>SUGERENCIAS!B584</f>
        <v>MARTES</v>
      </c>
      <c r="B604" s="44" t="str">
        <f>SUGERENCIAS!G584</f>
        <v/>
      </c>
      <c r="C604" s="37" t="str">
        <f>SUGERENCIAS!G584</f>
        <v/>
      </c>
      <c r="D604" s="65" t="str">
        <f>SUGERENCIAS!G584</f>
        <v/>
      </c>
      <c r="E604" s="66" t="str">
        <f>SUGERENCIAS!L584</f>
        <v>--</v>
      </c>
      <c r="F604" s="67" t="str">
        <f>SUGERENCIAS!N584</f>
        <v>SIN</v>
      </c>
    </row>
    <row r="605" spans="1:6" ht="15" customHeight="1">
      <c r="A605" s="37" t="str">
        <f>SUGERENCIAS!B585</f>
        <v>MARTES</v>
      </c>
      <c r="B605" s="44" t="str">
        <f>SUGERENCIAS!G585</f>
        <v/>
      </c>
      <c r="C605" s="37" t="str">
        <f>SUGERENCIAS!G585</f>
        <v/>
      </c>
      <c r="D605" s="65" t="str">
        <f>SUGERENCIAS!G585</f>
        <v/>
      </c>
      <c r="E605" s="66" t="str">
        <f>SUGERENCIAS!L585</f>
        <v>--</v>
      </c>
      <c r="F605" s="67" t="str">
        <f>SUGERENCIAS!N585</f>
        <v>SIN</v>
      </c>
    </row>
    <row r="606" spans="1:6" ht="15" customHeight="1">
      <c r="A606" s="37" t="str">
        <f>SUGERENCIAS!B586</f>
        <v>MARTES</v>
      </c>
      <c r="B606" s="44" t="str">
        <f>SUGERENCIAS!G586</f>
        <v/>
      </c>
      <c r="C606" s="37" t="str">
        <f>SUGERENCIAS!G586</f>
        <v/>
      </c>
      <c r="D606" s="65" t="str">
        <f>SUGERENCIAS!G586</f>
        <v/>
      </c>
      <c r="E606" s="66" t="str">
        <f>SUGERENCIAS!L586</f>
        <v>--</v>
      </c>
      <c r="F606" s="67" t="str">
        <f>SUGERENCIAS!N586</f>
        <v>SIN</v>
      </c>
    </row>
    <row r="607" spans="1:6" ht="15" customHeight="1">
      <c r="A607" s="37" t="str">
        <f>SUGERENCIAS!B587</f>
        <v>MARTES</v>
      </c>
      <c r="B607" s="44" t="str">
        <f>SUGERENCIAS!G587</f>
        <v/>
      </c>
      <c r="C607" s="37" t="str">
        <f>SUGERENCIAS!G587</f>
        <v/>
      </c>
      <c r="D607" s="65" t="str">
        <f>SUGERENCIAS!G587</f>
        <v/>
      </c>
      <c r="E607" s="66" t="str">
        <f>SUGERENCIAS!L587</f>
        <v>--</v>
      </c>
      <c r="F607" s="67" t="str">
        <f>SUGERENCIAS!N587</f>
        <v>SIN</v>
      </c>
    </row>
    <row r="608" spans="1:6" ht="15" customHeight="1">
      <c r="A608" s="37" t="str">
        <f>SUGERENCIAS!B588</f>
        <v>MARTES</v>
      </c>
      <c r="B608" s="44" t="str">
        <f>SUGERENCIAS!G588</f>
        <v/>
      </c>
      <c r="C608" s="37" t="str">
        <f>SUGERENCIAS!G588</f>
        <v/>
      </c>
      <c r="D608" s="65" t="str">
        <f>SUGERENCIAS!G588</f>
        <v/>
      </c>
      <c r="E608" s="66" t="str">
        <f>SUGERENCIAS!L588</f>
        <v>--</v>
      </c>
      <c r="F608" s="67" t="str">
        <f>SUGERENCIAS!N588</f>
        <v>SIN</v>
      </c>
    </row>
    <row r="609" spans="1:6" ht="15" customHeight="1">
      <c r="A609" s="37" t="str">
        <f>SUGERENCIAS!B589</f>
        <v>MARTES</v>
      </c>
      <c r="B609" s="44" t="str">
        <f>SUGERENCIAS!G589</f>
        <v/>
      </c>
      <c r="C609" s="37" t="str">
        <f>SUGERENCIAS!G589</f>
        <v/>
      </c>
      <c r="D609" s="65" t="str">
        <f>SUGERENCIAS!G589</f>
        <v/>
      </c>
      <c r="E609" s="66" t="str">
        <f>SUGERENCIAS!L589</f>
        <v>--</v>
      </c>
      <c r="F609" s="67" t="str">
        <f>SUGERENCIAS!N589</f>
        <v>SIN</v>
      </c>
    </row>
    <row r="610" spans="1:6" ht="15" customHeight="1">
      <c r="A610" s="37" t="str">
        <f>SUGERENCIAS!B590</f>
        <v>MARTES</v>
      </c>
      <c r="B610" s="44" t="str">
        <f>SUGERENCIAS!G590</f>
        <v/>
      </c>
      <c r="C610" s="37" t="str">
        <f>SUGERENCIAS!G590</f>
        <v/>
      </c>
      <c r="D610" s="65" t="str">
        <f>SUGERENCIAS!G590</f>
        <v/>
      </c>
      <c r="E610" s="66" t="str">
        <f>SUGERENCIAS!L590</f>
        <v>--</v>
      </c>
      <c r="F610" s="67" t="str">
        <f>SUGERENCIAS!N590</f>
        <v>SIN</v>
      </c>
    </row>
    <row r="611" spans="1:6" ht="15" customHeight="1">
      <c r="A611" s="37" t="str">
        <f>SUGERENCIAS!B591</f>
        <v>MARTES</v>
      </c>
      <c r="B611" s="44" t="str">
        <f>SUGERENCIAS!G591</f>
        <v/>
      </c>
      <c r="C611" s="37" t="str">
        <f>SUGERENCIAS!G591</f>
        <v/>
      </c>
      <c r="D611" s="65" t="str">
        <f>SUGERENCIAS!G591</f>
        <v/>
      </c>
      <c r="E611" s="66" t="str">
        <f>SUGERENCIAS!L591</f>
        <v>--</v>
      </c>
      <c r="F611" s="67" t="str">
        <f>SUGERENCIAS!N591</f>
        <v>SIN</v>
      </c>
    </row>
    <row r="612" spans="1:6" ht="15" customHeight="1">
      <c r="A612" s="37" t="str">
        <f>SUGERENCIAS!B592</f>
        <v>MARTES</v>
      </c>
      <c r="B612" s="44" t="str">
        <f>SUGERENCIAS!G592</f>
        <v/>
      </c>
      <c r="C612" s="37" t="str">
        <f>SUGERENCIAS!G592</f>
        <v/>
      </c>
      <c r="D612" s="65" t="str">
        <f>SUGERENCIAS!G592</f>
        <v/>
      </c>
      <c r="E612" s="66" t="str">
        <f>SUGERENCIAS!L592</f>
        <v>--</v>
      </c>
      <c r="F612" s="67" t="str">
        <f>SUGERENCIAS!N592</f>
        <v>SIN</v>
      </c>
    </row>
    <row r="613" spans="1:6" ht="15" customHeight="1">
      <c r="A613" s="37" t="str">
        <f>SUGERENCIAS!B593</f>
        <v>MIERCOLES</v>
      </c>
      <c r="B613" s="44" t="str">
        <f>SUGERENCIAS!G593</f>
        <v/>
      </c>
      <c r="C613" s="37" t="str">
        <f>SUGERENCIAS!G593</f>
        <v/>
      </c>
      <c r="D613" s="65" t="str">
        <f>SUGERENCIAS!G593</f>
        <v/>
      </c>
      <c r="E613" s="66" t="str">
        <f>SUGERENCIAS!L593</f>
        <v>--</v>
      </c>
      <c r="F613" s="67" t="str">
        <f>SUGERENCIAS!N593</f>
        <v>SIN</v>
      </c>
    </row>
    <row r="614" spans="1:6" ht="15" customHeight="1">
      <c r="A614" s="37" t="str">
        <f>SUGERENCIAS!B594</f>
        <v>MIERCOLES</v>
      </c>
      <c r="B614" s="44" t="str">
        <f>SUGERENCIAS!G594</f>
        <v/>
      </c>
      <c r="C614" s="37" t="str">
        <f>SUGERENCIAS!G594</f>
        <v/>
      </c>
      <c r="D614" s="65" t="str">
        <f>SUGERENCIAS!G594</f>
        <v/>
      </c>
      <c r="E614" s="66" t="str">
        <f>SUGERENCIAS!L594</f>
        <v>--</v>
      </c>
      <c r="F614" s="67" t="str">
        <f>SUGERENCIAS!N594</f>
        <v>SIN</v>
      </c>
    </row>
    <row r="615" spans="1:6" ht="15" customHeight="1">
      <c r="A615" s="37" t="str">
        <f>SUGERENCIAS!B595</f>
        <v>MIERCOLES</v>
      </c>
      <c r="B615" s="44" t="str">
        <f>SUGERENCIAS!G595</f>
        <v/>
      </c>
      <c r="C615" s="37" t="str">
        <f>SUGERENCIAS!G595</f>
        <v/>
      </c>
      <c r="D615" s="65" t="str">
        <f>SUGERENCIAS!G595</f>
        <v/>
      </c>
      <c r="E615" s="66" t="str">
        <f>SUGERENCIAS!L595</f>
        <v>--</v>
      </c>
      <c r="F615" s="67" t="str">
        <f>SUGERENCIAS!N595</f>
        <v>SIN</v>
      </c>
    </row>
    <row r="616" spans="1:6" ht="15" customHeight="1">
      <c r="A616" s="37" t="str">
        <f>SUGERENCIAS!B596</f>
        <v>MIERCOLES</v>
      </c>
      <c r="B616" s="44" t="str">
        <f>SUGERENCIAS!G596</f>
        <v/>
      </c>
      <c r="C616" s="37" t="str">
        <f>SUGERENCIAS!G596</f>
        <v/>
      </c>
      <c r="D616" s="65" t="str">
        <f>SUGERENCIAS!G596</f>
        <v/>
      </c>
      <c r="E616" s="66" t="str">
        <f>SUGERENCIAS!L596</f>
        <v>--</v>
      </c>
      <c r="F616" s="67" t="str">
        <f>SUGERENCIAS!N596</f>
        <v>SIN</v>
      </c>
    </row>
    <row r="617" spans="1:6" ht="15" customHeight="1">
      <c r="A617" s="37" t="str">
        <f>SUGERENCIAS!B597</f>
        <v>MIERCOLES</v>
      </c>
      <c r="B617" s="44" t="str">
        <f>SUGERENCIAS!G597</f>
        <v/>
      </c>
      <c r="C617" s="37" t="str">
        <f>SUGERENCIAS!G597</f>
        <v/>
      </c>
      <c r="D617" s="65" t="str">
        <f>SUGERENCIAS!G597</f>
        <v/>
      </c>
      <c r="E617" s="66" t="str">
        <f>SUGERENCIAS!L597</f>
        <v>--</v>
      </c>
      <c r="F617" s="67" t="str">
        <f>SUGERENCIAS!N597</f>
        <v>SIN</v>
      </c>
    </row>
    <row r="618" spans="1:6" ht="15" customHeight="1">
      <c r="A618" s="37" t="str">
        <f>SUGERENCIAS!B598</f>
        <v>MIERCOLES</v>
      </c>
      <c r="B618" s="44" t="str">
        <f>SUGERENCIAS!G598</f>
        <v/>
      </c>
      <c r="C618" s="37" t="str">
        <f>SUGERENCIAS!G598</f>
        <v/>
      </c>
      <c r="D618" s="65" t="str">
        <f>SUGERENCIAS!G598</f>
        <v/>
      </c>
      <c r="E618" s="66" t="str">
        <f>SUGERENCIAS!L598</f>
        <v>--</v>
      </c>
      <c r="F618" s="67" t="str">
        <f>SUGERENCIAS!N598</f>
        <v>SIN</v>
      </c>
    </row>
    <row r="619" spans="1:6" ht="15" customHeight="1">
      <c r="A619" s="37" t="str">
        <f>SUGERENCIAS!B599</f>
        <v>MIERCOLES</v>
      </c>
      <c r="B619" s="44" t="str">
        <f>SUGERENCIAS!G599</f>
        <v/>
      </c>
      <c r="C619" s="37" t="str">
        <f>SUGERENCIAS!G599</f>
        <v/>
      </c>
      <c r="D619" s="65" t="str">
        <f>SUGERENCIAS!G599</f>
        <v/>
      </c>
      <c r="E619" s="66" t="str">
        <f>SUGERENCIAS!L599</f>
        <v>--</v>
      </c>
      <c r="F619" s="67" t="str">
        <f>SUGERENCIAS!N599</f>
        <v>SIN</v>
      </c>
    </row>
    <row r="620" spans="1:6" ht="15" customHeight="1">
      <c r="A620" s="37" t="str">
        <f>SUGERENCIAS!B600</f>
        <v>MIERCOLES</v>
      </c>
      <c r="B620" s="44" t="str">
        <f>SUGERENCIAS!G600</f>
        <v/>
      </c>
      <c r="C620" s="37" t="str">
        <f>SUGERENCIAS!G600</f>
        <v/>
      </c>
      <c r="D620" s="65" t="str">
        <f>SUGERENCIAS!G600</f>
        <v/>
      </c>
      <c r="E620" s="66" t="str">
        <f>SUGERENCIAS!L600</f>
        <v>--</v>
      </c>
      <c r="F620" s="67" t="str">
        <f>SUGERENCIAS!N600</f>
        <v>SIN</v>
      </c>
    </row>
    <row r="621" spans="1:6" ht="15" customHeight="1">
      <c r="A621" s="37" t="str">
        <f>SUGERENCIAS!B601</f>
        <v>MIERCOLES</v>
      </c>
      <c r="B621" s="44" t="str">
        <f>SUGERENCIAS!G601</f>
        <v/>
      </c>
      <c r="C621" s="37" t="str">
        <f>SUGERENCIAS!G601</f>
        <v/>
      </c>
      <c r="D621" s="65" t="str">
        <f>SUGERENCIAS!G601</f>
        <v/>
      </c>
      <c r="E621" s="66" t="str">
        <f>SUGERENCIAS!L601</f>
        <v>--</v>
      </c>
      <c r="F621" s="67" t="str">
        <f>SUGERENCIAS!N601</f>
        <v>SIN</v>
      </c>
    </row>
    <row r="622" spans="1:6" ht="15" customHeight="1">
      <c r="A622" s="37" t="str">
        <f>SUGERENCIAS!B602</f>
        <v>MIERCOLES</v>
      </c>
      <c r="B622" s="44" t="str">
        <f>SUGERENCIAS!G602</f>
        <v/>
      </c>
      <c r="C622" s="37" t="str">
        <f>SUGERENCIAS!G602</f>
        <v/>
      </c>
      <c r="D622" s="65" t="str">
        <f>SUGERENCIAS!G602</f>
        <v/>
      </c>
      <c r="E622" s="66" t="str">
        <f>SUGERENCIAS!L602</f>
        <v>--</v>
      </c>
      <c r="F622" s="67" t="str">
        <f>SUGERENCIAS!N602</f>
        <v>SIN</v>
      </c>
    </row>
    <row r="623" spans="1:6" ht="15" customHeight="1">
      <c r="A623" s="37" t="str">
        <f>SUGERENCIAS!B603</f>
        <v>MIERCOLES</v>
      </c>
      <c r="B623" s="44" t="str">
        <f>SUGERENCIAS!G603</f>
        <v/>
      </c>
      <c r="C623" s="37" t="str">
        <f>SUGERENCIAS!G603</f>
        <v/>
      </c>
      <c r="D623" s="65" t="str">
        <f>SUGERENCIAS!G603</f>
        <v/>
      </c>
      <c r="E623" s="66" t="str">
        <f>SUGERENCIAS!L603</f>
        <v>--</v>
      </c>
      <c r="F623" s="67" t="str">
        <f>SUGERENCIAS!N603</f>
        <v>SIN</v>
      </c>
    </row>
    <row r="624" spans="1:6" ht="15" customHeight="1">
      <c r="A624" s="37" t="str">
        <f>SUGERENCIAS!B604</f>
        <v>MIERCOLES</v>
      </c>
      <c r="B624" s="44" t="str">
        <f>SUGERENCIAS!G604</f>
        <v/>
      </c>
      <c r="C624" s="37" t="str">
        <f>SUGERENCIAS!G604</f>
        <v/>
      </c>
      <c r="D624" s="65" t="str">
        <f>SUGERENCIAS!G604</f>
        <v/>
      </c>
      <c r="E624" s="66" t="str">
        <f>SUGERENCIAS!L604</f>
        <v>--</v>
      </c>
      <c r="F624" s="67" t="str">
        <f>SUGERENCIAS!N604</f>
        <v>SIN</v>
      </c>
    </row>
    <row r="625" spans="1:6" ht="15" customHeight="1">
      <c r="A625" s="37" t="str">
        <f>SUGERENCIAS!B605</f>
        <v>MIERCOLES</v>
      </c>
      <c r="B625" s="44" t="str">
        <f>SUGERENCIAS!G605</f>
        <v/>
      </c>
      <c r="C625" s="37" t="str">
        <f>SUGERENCIAS!G605</f>
        <v/>
      </c>
      <c r="D625" s="65" t="str">
        <f>SUGERENCIAS!G605</f>
        <v/>
      </c>
      <c r="E625" s="66" t="str">
        <f>SUGERENCIAS!L605</f>
        <v>--</v>
      </c>
      <c r="F625" s="67" t="str">
        <f>SUGERENCIAS!N605</f>
        <v>SIN</v>
      </c>
    </row>
    <row r="626" spans="1:6" ht="15" customHeight="1">
      <c r="A626" s="37" t="str">
        <f>SUGERENCIAS!B606</f>
        <v>MIERCOLES</v>
      </c>
      <c r="B626" s="44" t="str">
        <f>SUGERENCIAS!G606</f>
        <v/>
      </c>
      <c r="C626" s="37" t="str">
        <f>SUGERENCIAS!G606</f>
        <v/>
      </c>
      <c r="D626" s="65" t="str">
        <f>SUGERENCIAS!G606</f>
        <v/>
      </c>
      <c r="E626" s="66" t="str">
        <f>SUGERENCIAS!L606</f>
        <v>--</v>
      </c>
      <c r="F626" s="67" t="str">
        <f>SUGERENCIAS!N606</f>
        <v>SIN</v>
      </c>
    </row>
    <row r="627" spans="1:6" ht="15" customHeight="1">
      <c r="A627" s="37" t="str">
        <f>SUGERENCIAS!B607</f>
        <v>MIERCOLES</v>
      </c>
      <c r="B627" s="44" t="str">
        <f>SUGERENCIAS!G607</f>
        <v/>
      </c>
      <c r="C627" s="37" t="str">
        <f>SUGERENCIAS!G607</f>
        <v/>
      </c>
      <c r="D627" s="65" t="str">
        <f>SUGERENCIAS!G607</f>
        <v/>
      </c>
      <c r="E627" s="66" t="str">
        <f>SUGERENCIAS!L607</f>
        <v>--</v>
      </c>
      <c r="F627" s="67" t="str">
        <f>SUGERENCIAS!N607</f>
        <v>SIN</v>
      </c>
    </row>
    <row r="628" spans="1:6" ht="15" customHeight="1">
      <c r="A628" s="37" t="str">
        <f>SUGERENCIAS!B608</f>
        <v>JUEVES</v>
      </c>
      <c r="B628" s="44" t="str">
        <f>SUGERENCIAS!G608</f>
        <v/>
      </c>
      <c r="C628" s="37" t="str">
        <f>SUGERENCIAS!G608</f>
        <v/>
      </c>
      <c r="D628" s="65" t="str">
        <f>SUGERENCIAS!G608</f>
        <v/>
      </c>
      <c r="E628" s="66" t="str">
        <f>SUGERENCIAS!L608</f>
        <v>--</v>
      </c>
      <c r="F628" s="67" t="str">
        <f>SUGERENCIAS!N608</f>
        <v>SIN</v>
      </c>
    </row>
    <row r="629" spans="1:6" ht="15" customHeight="1">
      <c r="A629" s="37" t="str">
        <f>SUGERENCIAS!B609</f>
        <v>JUEVES</v>
      </c>
      <c r="B629" s="44" t="str">
        <f>SUGERENCIAS!G609</f>
        <v/>
      </c>
      <c r="C629" s="37" t="str">
        <f>SUGERENCIAS!G609</f>
        <v/>
      </c>
      <c r="D629" s="65" t="str">
        <f>SUGERENCIAS!G609</f>
        <v/>
      </c>
      <c r="E629" s="66" t="str">
        <f>SUGERENCIAS!L609</f>
        <v>--</v>
      </c>
      <c r="F629" s="67" t="str">
        <f>SUGERENCIAS!N609</f>
        <v>SIN</v>
      </c>
    </row>
    <row r="630" spans="1:6" ht="15" customHeight="1">
      <c r="A630" s="37" t="str">
        <f>SUGERENCIAS!B610</f>
        <v>JUEVES</v>
      </c>
      <c r="B630" s="44" t="str">
        <f>SUGERENCIAS!G610</f>
        <v/>
      </c>
      <c r="C630" s="37" t="str">
        <f>SUGERENCIAS!G610</f>
        <v/>
      </c>
      <c r="D630" s="65" t="str">
        <f>SUGERENCIAS!G610</f>
        <v/>
      </c>
      <c r="E630" s="66" t="str">
        <f>SUGERENCIAS!L610</f>
        <v>--</v>
      </c>
      <c r="F630" s="67" t="str">
        <f>SUGERENCIAS!N610</f>
        <v>SIN</v>
      </c>
    </row>
    <row r="631" spans="1:6" ht="15" customHeight="1">
      <c r="A631" s="37" t="str">
        <f>SUGERENCIAS!B611</f>
        <v>JUEVES</v>
      </c>
      <c r="B631" s="44" t="str">
        <f>SUGERENCIAS!G611</f>
        <v/>
      </c>
      <c r="C631" s="37" t="str">
        <f>SUGERENCIAS!G611</f>
        <v/>
      </c>
      <c r="D631" s="65" t="str">
        <f>SUGERENCIAS!G611</f>
        <v/>
      </c>
      <c r="E631" s="66" t="str">
        <f>SUGERENCIAS!L611</f>
        <v>--</v>
      </c>
      <c r="F631" s="67" t="str">
        <f>SUGERENCIAS!N611</f>
        <v>SIN</v>
      </c>
    </row>
    <row r="632" spans="1:6" ht="15" customHeight="1">
      <c r="A632" s="37" t="str">
        <f>SUGERENCIAS!B612</f>
        <v>JUEVES</v>
      </c>
      <c r="B632" s="44" t="str">
        <f>SUGERENCIAS!G612</f>
        <v/>
      </c>
      <c r="C632" s="37" t="str">
        <f>SUGERENCIAS!G612</f>
        <v/>
      </c>
      <c r="D632" s="65" t="str">
        <f>SUGERENCIAS!G612</f>
        <v/>
      </c>
      <c r="E632" s="66" t="str">
        <f>SUGERENCIAS!L612</f>
        <v>--</v>
      </c>
      <c r="F632" s="67" t="str">
        <f>SUGERENCIAS!N612</f>
        <v>SIN</v>
      </c>
    </row>
    <row r="633" spans="1:6" ht="15" customHeight="1">
      <c r="A633" s="37" t="str">
        <f>SUGERENCIAS!B613</f>
        <v>JUEVES</v>
      </c>
      <c r="B633" s="44" t="str">
        <f>SUGERENCIAS!G613</f>
        <v/>
      </c>
      <c r="C633" s="37" t="str">
        <f>SUGERENCIAS!G613</f>
        <v/>
      </c>
      <c r="D633" s="65" t="str">
        <f>SUGERENCIAS!G613</f>
        <v/>
      </c>
      <c r="E633" s="66" t="str">
        <f>SUGERENCIAS!L613</f>
        <v>--</v>
      </c>
      <c r="F633" s="67" t="str">
        <f>SUGERENCIAS!N613</f>
        <v>SIN</v>
      </c>
    </row>
    <row r="634" spans="1:6" ht="15" customHeight="1">
      <c r="A634" s="37" t="str">
        <f>SUGERENCIAS!B614</f>
        <v>JUEVES</v>
      </c>
      <c r="B634" s="44" t="str">
        <f>SUGERENCIAS!G614</f>
        <v/>
      </c>
      <c r="C634" s="37" t="str">
        <f>SUGERENCIAS!G614</f>
        <v/>
      </c>
      <c r="D634" s="65" t="str">
        <f>SUGERENCIAS!G614</f>
        <v/>
      </c>
      <c r="E634" s="66" t="str">
        <f>SUGERENCIAS!L614</f>
        <v>--</v>
      </c>
      <c r="F634" s="67" t="str">
        <f>SUGERENCIAS!N614</f>
        <v>SIN</v>
      </c>
    </row>
    <row r="635" spans="1:6" ht="15" customHeight="1">
      <c r="A635" s="37" t="str">
        <f>SUGERENCIAS!B615</f>
        <v>JUEVES</v>
      </c>
      <c r="B635" s="44" t="str">
        <f>SUGERENCIAS!G615</f>
        <v/>
      </c>
      <c r="C635" s="37" t="str">
        <f>SUGERENCIAS!G615</f>
        <v/>
      </c>
      <c r="D635" s="65" t="str">
        <f>SUGERENCIAS!G615</f>
        <v/>
      </c>
      <c r="E635" s="66" t="str">
        <f>SUGERENCIAS!L615</f>
        <v>--</v>
      </c>
      <c r="F635" s="67" t="str">
        <f>SUGERENCIAS!N615</f>
        <v>SIN</v>
      </c>
    </row>
    <row r="636" spans="1:6" ht="15" customHeight="1">
      <c r="A636" s="37" t="str">
        <f>SUGERENCIAS!B616</f>
        <v>JUEVES</v>
      </c>
      <c r="B636" s="44" t="str">
        <f>SUGERENCIAS!G616</f>
        <v/>
      </c>
      <c r="C636" s="37" t="str">
        <f>SUGERENCIAS!G616</f>
        <v/>
      </c>
      <c r="D636" s="65" t="str">
        <f>SUGERENCIAS!G616</f>
        <v/>
      </c>
      <c r="E636" s="66" t="str">
        <f>SUGERENCIAS!L616</f>
        <v>--</v>
      </c>
      <c r="F636" s="67" t="str">
        <f>SUGERENCIAS!N616</f>
        <v>SIN</v>
      </c>
    </row>
    <row r="637" spans="1:6" ht="15" customHeight="1">
      <c r="A637" s="37" t="str">
        <f>SUGERENCIAS!B617</f>
        <v>JUEVES</v>
      </c>
      <c r="B637" s="44" t="str">
        <f>SUGERENCIAS!G617</f>
        <v/>
      </c>
      <c r="C637" s="37" t="str">
        <f>SUGERENCIAS!G617</f>
        <v/>
      </c>
      <c r="D637" s="65" t="str">
        <f>SUGERENCIAS!G617</f>
        <v/>
      </c>
      <c r="E637" s="66" t="str">
        <f>SUGERENCIAS!L617</f>
        <v>--</v>
      </c>
      <c r="F637" s="67" t="str">
        <f>SUGERENCIAS!N617</f>
        <v>SIN</v>
      </c>
    </row>
    <row r="638" spans="1:6" ht="15" customHeight="1">
      <c r="A638" s="37" t="str">
        <f>SUGERENCIAS!B618</f>
        <v>JUEVES</v>
      </c>
      <c r="B638" s="44" t="str">
        <f>SUGERENCIAS!G618</f>
        <v/>
      </c>
      <c r="C638" s="37" t="str">
        <f>SUGERENCIAS!G618</f>
        <v/>
      </c>
      <c r="D638" s="65" t="str">
        <f>SUGERENCIAS!G618</f>
        <v/>
      </c>
      <c r="E638" s="66" t="str">
        <f>SUGERENCIAS!L618</f>
        <v>--</v>
      </c>
      <c r="F638" s="67" t="str">
        <f>SUGERENCIAS!N618</f>
        <v>SIN</v>
      </c>
    </row>
    <row r="639" spans="1:6" ht="15" customHeight="1">
      <c r="A639" s="37" t="str">
        <f>SUGERENCIAS!B619</f>
        <v>JUEVES</v>
      </c>
      <c r="B639" s="44">
        <f>SUGERENCIAS!G619</f>
        <v>40</v>
      </c>
      <c r="C639" s="37">
        <f>SUGERENCIAS!G619</f>
        <v>40</v>
      </c>
      <c r="D639" s="65">
        <f>SUGERENCIAS!G619</f>
        <v>40</v>
      </c>
      <c r="E639" s="66">
        <f>SUGERENCIAS!L619</f>
        <v>7</v>
      </c>
      <c r="F639" s="67" t="str">
        <f>SUGERENCIAS!N619</f>
        <v>MANT</v>
      </c>
    </row>
    <row r="640" spans="1:6" ht="15" customHeight="1">
      <c r="A640" s="37" t="str">
        <f>SUGERENCIAS!B620</f>
        <v>JUEVES</v>
      </c>
      <c r="B640" s="44" t="str">
        <f>SUGERENCIAS!G620</f>
        <v/>
      </c>
      <c r="C640" s="37" t="str">
        <f>SUGERENCIAS!G620</f>
        <v/>
      </c>
      <c r="D640" s="65" t="str">
        <f>SUGERENCIAS!G620</f>
        <v/>
      </c>
      <c r="E640" s="66" t="str">
        <f>SUGERENCIAS!L620</f>
        <v>--</v>
      </c>
      <c r="F640" s="67" t="str">
        <f>SUGERENCIAS!N620</f>
        <v>SIN</v>
      </c>
    </row>
    <row r="641" spans="1:6" ht="15" customHeight="1">
      <c r="A641" s="37" t="str">
        <f>SUGERENCIAS!B621</f>
        <v>SABADO</v>
      </c>
      <c r="B641" s="44" t="str">
        <f>SUGERENCIAS!G621</f>
        <v/>
      </c>
      <c r="C641" s="37" t="str">
        <f>SUGERENCIAS!G621</f>
        <v/>
      </c>
      <c r="D641" s="65" t="str">
        <f>SUGERENCIAS!G621</f>
        <v/>
      </c>
      <c r="E641" s="66" t="str">
        <f>SUGERENCIAS!L621</f>
        <v>--</v>
      </c>
      <c r="F641" s="67" t="str">
        <f>SUGERENCIAS!N621</f>
        <v>SIN</v>
      </c>
    </row>
    <row r="642" spans="1:6" ht="15" customHeight="1">
      <c r="A642" s="37" t="str">
        <f>SUGERENCIAS!B622</f>
        <v>SABADO</v>
      </c>
      <c r="B642" s="44" t="str">
        <f>SUGERENCIAS!G622</f>
        <v/>
      </c>
      <c r="C642" s="37" t="str">
        <f>SUGERENCIAS!G622</f>
        <v/>
      </c>
      <c r="D642" s="65" t="str">
        <f>SUGERENCIAS!G622</f>
        <v/>
      </c>
      <c r="E642" s="66" t="str">
        <f>SUGERENCIAS!L622</f>
        <v>--</v>
      </c>
      <c r="F642" s="67" t="str">
        <f>SUGERENCIAS!N622</f>
        <v>SIN</v>
      </c>
    </row>
    <row r="643" spans="1:6" ht="15" customHeight="1">
      <c r="A643" s="37" t="str">
        <f>SUGERENCIAS!B623</f>
        <v>SABADO</v>
      </c>
      <c r="B643" s="44" t="str">
        <f>SUGERENCIAS!G623</f>
        <v/>
      </c>
      <c r="C643" s="37" t="str">
        <f>SUGERENCIAS!G623</f>
        <v/>
      </c>
      <c r="D643" s="65" t="str">
        <f>SUGERENCIAS!G623</f>
        <v/>
      </c>
      <c r="E643" s="66" t="str">
        <f>SUGERENCIAS!L623</f>
        <v>--</v>
      </c>
      <c r="F643" s="67" t="str">
        <f>SUGERENCIAS!N623</f>
        <v>SIN</v>
      </c>
    </row>
    <row r="644" spans="1:6" ht="15" customHeight="1">
      <c r="A644" s="37" t="str">
        <f>SUGERENCIAS!B624</f>
        <v>SABADO</v>
      </c>
      <c r="B644" s="44" t="str">
        <f>SUGERENCIAS!G624</f>
        <v/>
      </c>
      <c r="C644" s="37" t="str">
        <f>SUGERENCIAS!G624</f>
        <v/>
      </c>
      <c r="D644" s="65" t="str">
        <f>SUGERENCIAS!G624</f>
        <v/>
      </c>
      <c r="E644" s="66" t="str">
        <f>SUGERENCIAS!L624</f>
        <v>--</v>
      </c>
      <c r="F644" s="67" t="str">
        <f>SUGERENCIAS!N624</f>
        <v>SIN</v>
      </c>
    </row>
    <row r="645" spans="1:6" ht="15" customHeight="1">
      <c r="A645" s="37" t="str">
        <f>SUGERENCIAS!B625</f>
        <v>SABADO</v>
      </c>
      <c r="B645" s="44">
        <f>SUGERENCIAS!G625</f>
        <v>40</v>
      </c>
      <c r="C645" s="37">
        <f>SUGERENCIAS!G625</f>
        <v>40</v>
      </c>
      <c r="D645" s="65">
        <f>SUGERENCIAS!G625</f>
        <v>40</v>
      </c>
      <c r="E645" s="66">
        <f>SUGERENCIAS!L625</f>
        <v>7</v>
      </c>
      <c r="F645" s="67" t="str">
        <f>SUGERENCIAS!N625</f>
        <v>MANT</v>
      </c>
    </row>
    <row r="646" spans="1:6" ht="15" customHeight="1">
      <c r="A646" s="37" t="str">
        <f>SUGERENCIAS!B626</f>
        <v>SABADO</v>
      </c>
      <c r="B646" s="44">
        <f>SUGERENCIAS!G626</f>
        <v>20</v>
      </c>
      <c r="C646" s="37">
        <f>SUGERENCIAS!G626</f>
        <v>20</v>
      </c>
      <c r="D646" s="65">
        <f>SUGERENCIAS!G626</f>
        <v>20</v>
      </c>
      <c r="E646" s="66">
        <f>SUGERENCIAS!L626</f>
        <v>6</v>
      </c>
      <c r="F646" s="67" t="str">
        <f>SUGERENCIAS!N626</f>
        <v>SUBIR</v>
      </c>
    </row>
    <row r="647" spans="1:6" ht="15" customHeight="1">
      <c r="A647" s="37" t="str">
        <f>SUGERENCIAS!B627</f>
        <v>SABADO</v>
      </c>
      <c r="B647" s="44" t="str">
        <f>SUGERENCIAS!G627</f>
        <v/>
      </c>
      <c r="C647" s="37" t="str">
        <f>SUGERENCIAS!G627</f>
        <v/>
      </c>
      <c r="D647" s="65" t="str">
        <f>SUGERENCIAS!G627</f>
        <v/>
      </c>
      <c r="E647" s="66" t="str">
        <f>SUGERENCIAS!L627</f>
        <v>--</v>
      </c>
      <c r="F647" s="67" t="str">
        <f>SUGERENCIAS!N627</f>
        <v>SIN</v>
      </c>
    </row>
    <row r="648" spans="1:6" ht="15" customHeight="1">
      <c r="A648" s="37" t="str">
        <f>SUGERENCIAS!B628</f>
        <v>SABADO</v>
      </c>
      <c r="B648" s="44" t="str">
        <f>SUGERENCIAS!G628</f>
        <v/>
      </c>
      <c r="C648" s="37" t="str">
        <f>SUGERENCIAS!G628</f>
        <v/>
      </c>
      <c r="D648" s="65" t="str">
        <f>SUGERENCIAS!G628</f>
        <v/>
      </c>
      <c r="E648" s="66" t="str">
        <f>SUGERENCIAS!L628</f>
        <v>--</v>
      </c>
      <c r="F648" s="67" t="str">
        <f>SUGERENCIAS!N628</f>
        <v>SIN</v>
      </c>
    </row>
    <row r="649" spans="1:6" ht="15" customHeight="1">
      <c r="A649" s="37" t="str">
        <f>SUGERENCIAS!B629</f>
        <v>SABADO</v>
      </c>
      <c r="B649" s="44" t="str">
        <f>SUGERENCIAS!G629</f>
        <v/>
      </c>
      <c r="C649" s="37" t="str">
        <f>SUGERENCIAS!G629</f>
        <v/>
      </c>
      <c r="D649" s="65" t="str">
        <f>SUGERENCIAS!G629</f>
        <v/>
      </c>
      <c r="E649" s="66" t="str">
        <f>SUGERENCIAS!L629</f>
        <v>--</v>
      </c>
      <c r="F649" s="67" t="str">
        <f>SUGERENCIAS!N629</f>
        <v>SIN</v>
      </c>
    </row>
    <row r="650" spans="1:6" ht="15" customHeight="1">
      <c r="A650" s="37" t="str">
        <f>SUGERENCIAS!B630</f>
        <v>SABADO</v>
      </c>
      <c r="B650" s="44" t="str">
        <f>SUGERENCIAS!G630</f>
        <v/>
      </c>
      <c r="C650" s="37" t="str">
        <f>SUGERENCIAS!G630</f>
        <v/>
      </c>
      <c r="D650" s="65" t="str">
        <f>SUGERENCIAS!G630</f>
        <v/>
      </c>
      <c r="E650" s="66" t="str">
        <f>SUGERENCIAS!L630</f>
        <v>--</v>
      </c>
      <c r="F650" s="67" t="str">
        <f>SUGERENCIAS!N630</f>
        <v>SIN</v>
      </c>
    </row>
    <row r="651" spans="1:6" ht="15" customHeight="1">
      <c r="A651" s="37" t="str">
        <f>SUGERENCIAS!B631</f>
        <v>SABADO</v>
      </c>
      <c r="B651" s="44" t="str">
        <f>SUGERENCIAS!G631</f>
        <v/>
      </c>
      <c r="C651" s="37" t="str">
        <f>SUGERENCIAS!G631</f>
        <v/>
      </c>
      <c r="D651" s="65" t="str">
        <f>SUGERENCIAS!G631</f>
        <v/>
      </c>
      <c r="E651" s="66" t="str">
        <f>SUGERENCIAS!L631</f>
        <v>--</v>
      </c>
      <c r="F651" s="67" t="str">
        <f>SUGERENCIAS!N631</f>
        <v>SIN</v>
      </c>
    </row>
    <row r="652" spans="1:6" ht="15" customHeight="1">
      <c r="A652" s="37" t="str">
        <f>SUGERENCIAS!B632</f>
        <v>SABADO</v>
      </c>
      <c r="B652" s="44" t="str">
        <f>SUGERENCIAS!G632</f>
        <v/>
      </c>
      <c r="C652" s="37" t="str">
        <f>SUGERENCIAS!G632</f>
        <v/>
      </c>
      <c r="D652" s="65" t="str">
        <f>SUGERENCIAS!G632</f>
        <v/>
      </c>
      <c r="E652" s="66" t="str">
        <f>SUGERENCIAS!L632</f>
        <v>--</v>
      </c>
      <c r="F652" s="67" t="str">
        <f>SUGERENCIAS!N632</f>
        <v>SIN</v>
      </c>
    </row>
    <row r="653" spans="1:6" ht="15" customHeight="1">
      <c r="A653" s="37" t="str">
        <f>SUGERENCIAS!B633</f>
        <v>SABADO</v>
      </c>
      <c r="B653" s="44" t="str">
        <f>SUGERENCIAS!G633</f>
        <v/>
      </c>
      <c r="C653" s="37" t="str">
        <f>SUGERENCIAS!G633</f>
        <v/>
      </c>
      <c r="D653" s="65" t="str">
        <f>SUGERENCIAS!G633</f>
        <v/>
      </c>
      <c r="E653" s="66" t="str">
        <f>SUGERENCIAS!L633</f>
        <v>--</v>
      </c>
      <c r="F653" s="67" t="str">
        <f>SUGERENCIAS!N633</f>
        <v>SIN</v>
      </c>
    </row>
    <row r="654" spans="1:6" ht="15" customHeight="1">
      <c r="A654" s="37" t="str">
        <f>SUGERENCIAS!B634</f>
        <v>LUNES</v>
      </c>
      <c r="B654" s="44" t="str">
        <f>SUGERENCIAS!G634</f>
        <v/>
      </c>
      <c r="C654" s="37" t="str">
        <f>SUGERENCIAS!G634</f>
        <v/>
      </c>
      <c r="D654" s="65" t="str">
        <f>SUGERENCIAS!G634</f>
        <v/>
      </c>
      <c r="E654" s="66" t="str">
        <f>SUGERENCIAS!L634</f>
        <v>--</v>
      </c>
      <c r="F654" s="67" t="str">
        <f>SUGERENCIAS!N634</f>
        <v>SIN</v>
      </c>
    </row>
    <row r="655" spans="1:6" ht="15" customHeight="1">
      <c r="A655" s="37" t="str">
        <f>SUGERENCIAS!B635</f>
        <v>LUNES</v>
      </c>
      <c r="B655" s="44" t="str">
        <f>SUGERENCIAS!G635</f>
        <v/>
      </c>
      <c r="C655" s="37" t="str">
        <f>SUGERENCIAS!G635</f>
        <v/>
      </c>
      <c r="D655" s="65" t="str">
        <f>SUGERENCIAS!G635</f>
        <v/>
      </c>
      <c r="E655" s="66" t="str">
        <f>SUGERENCIAS!L635</f>
        <v>--</v>
      </c>
      <c r="F655" s="67" t="str">
        <f>SUGERENCIAS!N635</f>
        <v>SIN</v>
      </c>
    </row>
    <row r="656" spans="1:6" ht="15" customHeight="1">
      <c r="A656" s="37" t="str">
        <f>SUGERENCIAS!B636</f>
        <v>LUNES</v>
      </c>
      <c r="B656" s="44">
        <f>SUGERENCIAS!G636</f>
        <v>0</v>
      </c>
      <c r="C656" s="37">
        <f>SUGERENCIAS!G636</f>
        <v>0</v>
      </c>
      <c r="D656" s="65">
        <f>SUGERENCIAS!G636</f>
        <v>0</v>
      </c>
      <c r="E656" s="66">
        <f>SUGERENCIAS!L636</f>
        <v>6</v>
      </c>
      <c r="F656" s="67" t="str">
        <f>SUGERENCIAS!N636</f>
        <v>SUBIR_F</v>
      </c>
    </row>
    <row r="657" spans="1:6" ht="15" customHeight="1">
      <c r="A657" s="37" t="str">
        <f>SUGERENCIAS!B637</f>
        <v>LUNES</v>
      </c>
      <c r="B657" s="44" t="str">
        <f>SUGERENCIAS!G637</f>
        <v/>
      </c>
      <c r="C657" s="37" t="str">
        <f>SUGERENCIAS!G637</f>
        <v/>
      </c>
      <c r="D657" s="65" t="str">
        <f>SUGERENCIAS!G637</f>
        <v/>
      </c>
      <c r="E657" s="66" t="str">
        <f>SUGERENCIAS!L637</f>
        <v>--</v>
      </c>
      <c r="F657" s="67" t="str">
        <f>SUGERENCIAS!N637</f>
        <v>SIN</v>
      </c>
    </row>
    <row r="658" spans="1:6" ht="15" customHeight="1">
      <c r="A658" s="37" t="str">
        <f>SUGERENCIAS!B638</f>
        <v>LUNES</v>
      </c>
      <c r="B658" s="44" t="str">
        <f>SUGERENCIAS!G638</f>
        <v/>
      </c>
      <c r="C658" s="37" t="str">
        <f>SUGERENCIAS!G638</f>
        <v/>
      </c>
      <c r="D658" s="65" t="str">
        <f>SUGERENCIAS!G638</f>
        <v/>
      </c>
      <c r="E658" s="66" t="str">
        <f>SUGERENCIAS!L638</f>
        <v>--</v>
      </c>
      <c r="F658" s="67" t="str">
        <f>SUGERENCIAS!N638</f>
        <v>SIN</v>
      </c>
    </row>
    <row r="659" spans="1:6" ht="15" customHeight="1">
      <c r="A659" s="37" t="str">
        <f>SUGERENCIAS!B639</f>
        <v>LUNES</v>
      </c>
      <c r="B659" s="44" t="str">
        <f>SUGERENCIAS!G639</f>
        <v/>
      </c>
      <c r="C659" s="37" t="str">
        <f>SUGERENCIAS!G639</f>
        <v/>
      </c>
      <c r="D659" s="65" t="str">
        <f>SUGERENCIAS!G639</f>
        <v/>
      </c>
      <c r="E659" s="66" t="str">
        <f>SUGERENCIAS!L639</f>
        <v>--</v>
      </c>
      <c r="F659" s="67" t="str">
        <f>SUGERENCIAS!N639</f>
        <v>SIN</v>
      </c>
    </row>
    <row r="660" spans="1:6" ht="15" customHeight="1">
      <c r="A660" s="37" t="str">
        <f>SUGERENCIAS!B640</f>
        <v>LUNES</v>
      </c>
      <c r="B660" s="44" t="str">
        <f>SUGERENCIAS!G640</f>
        <v/>
      </c>
      <c r="C660" s="37" t="str">
        <f>SUGERENCIAS!G640</f>
        <v/>
      </c>
      <c r="D660" s="65" t="str">
        <f>SUGERENCIAS!G640</f>
        <v/>
      </c>
      <c r="E660" s="66" t="str">
        <f>SUGERENCIAS!L640</f>
        <v>--</v>
      </c>
      <c r="F660" s="67" t="str">
        <f>SUGERENCIAS!N640</f>
        <v>SIN</v>
      </c>
    </row>
    <row r="661" spans="1:6" ht="15" customHeight="1">
      <c r="A661" s="37" t="str">
        <f>SUGERENCIAS!B641</f>
        <v>LUNES</v>
      </c>
      <c r="B661" s="44" t="str">
        <f>SUGERENCIAS!G641</f>
        <v/>
      </c>
      <c r="C661" s="37" t="str">
        <f>SUGERENCIAS!G641</f>
        <v/>
      </c>
      <c r="D661" s="65" t="str">
        <f>SUGERENCIAS!G641</f>
        <v/>
      </c>
      <c r="E661" s="66" t="str">
        <f>SUGERENCIAS!L641</f>
        <v>--</v>
      </c>
      <c r="F661" s="67" t="str">
        <f>SUGERENCIAS!N641</f>
        <v>SIN</v>
      </c>
    </row>
    <row r="662" spans="1:6" ht="15" customHeight="1">
      <c r="A662" s="37" t="str">
        <f>SUGERENCIAS!B642</f>
        <v>LUNES</v>
      </c>
      <c r="B662" s="44" t="str">
        <f>SUGERENCIAS!G642</f>
        <v/>
      </c>
      <c r="C662" s="37" t="str">
        <f>SUGERENCIAS!G642</f>
        <v/>
      </c>
      <c r="D662" s="65" t="str">
        <f>SUGERENCIAS!G642</f>
        <v/>
      </c>
      <c r="E662" s="66" t="str">
        <f>SUGERENCIAS!L642</f>
        <v>--</v>
      </c>
      <c r="F662" s="67" t="str">
        <f>SUGERENCIAS!N642</f>
        <v>SIN</v>
      </c>
    </row>
    <row r="663" spans="1:6" ht="15" customHeight="1">
      <c r="A663" s="37" t="str">
        <f>SUGERENCIAS!B643</f>
        <v>LUNES</v>
      </c>
      <c r="B663" s="44" t="str">
        <f>SUGERENCIAS!G643</f>
        <v/>
      </c>
      <c r="C663" s="37" t="str">
        <f>SUGERENCIAS!G643</f>
        <v/>
      </c>
      <c r="D663" s="65" t="str">
        <f>SUGERENCIAS!G643</f>
        <v/>
      </c>
      <c r="E663" s="66" t="str">
        <f>SUGERENCIAS!L643</f>
        <v>--</v>
      </c>
      <c r="F663" s="67" t="str">
        <f>SUGERENCIAS!N643</f>
        <v>SIN</v>
      </c>
    </row>
    <row r="664" spans="1:6" ht="15" customHeight="1">
      <c r="A664" s="37" t="str">
        <f>SUGERENCIAS!B644</f>
        <v>LUNES</v>
      </c>
      <c r="B664" s="44" t="str">
        <f>SUGERENCIAS!G644</f>
        <v/>
      </c>
      <c r="C664" s="37" t="str">
        <f>SUGERENCIAS!G644</f>
        <v/>
      </c>
      <c r="D664" s="65" t="str">
        <f>SUGERENCIAS!G644</f>
        <v/>
      </c>
      <c r="E664" s="66" t="str">
        <f>SUGERENCIAS!L644</f>
        <v>--</v>
      </c>
      <c r="F664" s="67" t="str">
        <f>SUGERENCIAS!N644</f>
        <v>SIN</v>
      </c>
    </row>
    <row r="665" spans="1:6" ht="15" customHeight="1">
      <c r="A665" s="37" t="str">
        <f>SUGERENCIAS!B645</f>
        <v>MARTES</v>
      </c>
      <c r="B665" s="44" t="str">
        <f>SUGERENCIAS!G645</f>
        <v/>
      </c>
      <c r="C665" s="37" t="str">
        <f>SUGERENCIAS!G645</f>
        <v/>
      </c>
      <c r="D665" s="65" t="str">
        <f>SUGERENCIAS!G645</f>
        <v/>
      </c>
      <c r="E665" s="66" t="str">
        <f>SUGERENCIAS!L645</f>
        <v>--</v>
      </c>
      <c r="F665" s="67" t="str">
        <f>SUGERENCIAS!N645</f>
        <v>SIN</v>
      </c>
    </row>
    <row r="666" spans="1:6" ht="15" customHeight="1">
      <c r="A666" s="37" t="str">
        <f>SUGERENCIAS!B646</f>
        <v>MARTES</v>
      </c>
      <c r="B666" s="44" t="str">
        <f>SUGERENCIAS!G646</f>
        <v/>
      </c>
      <c r="C666" s="37" t="str">
        <f>SUGERENCIAS!G646</f>
        <v/>
      </c>
      <c r="D666" s="65" t="str">
        <f>SUGERENCIAS!G646</f>
        <v/>
      </c>
      <c r="E666" s="66" t="str">
        <f>SUGERENCIAS!L646</f>
        <v>--</v>
      </c>
      <c r="F666" s="67" t="str">
        <f>SUGERENCIAS!N646</f>
        <v>SIN</v>
      </c>
    </row>
    <row r="667" spans="1:6" ht="15" customHeight="1">
      <c r="A667" s="37" t="str">
        <f>SUGERENCIAS!B647</f>
        <v>MARTES</v>
      </c>
      <c r="B667" s="44" t="str">
        <f>SUGERENCIAS!G647</f>
        <v/>
      </c>
      <c r="C667" s="37" t="str">
        <f>SUGERENCIAS!G647</f>
        <v/>
      </c>
      <c r="D667" s="65" t="str">
        <f>SUGERENCIAS!G647</f>
        <v/>
      </c>
      <c r="E667" s="66" t="str">
        <f>SUGERENCIAS!L647</f>
        <v>--</v>
      </c>
      <c r="F667" s="67" t="str">
        <f>SUGERENCIAS!N647</f>
        <v>SIN</v>
      </c>
    </row>
    <row r="668" spans="1:6" ht="15" customHeight="1">
      <c r="A668" s="37" t="str">
        <f>SUGERENCIAS!B648</f>
        <v>MARTES</v>
      </c>
      <c r="B668" s="44" t="str">
        <f>SUGERENCIAS!G648</f>
        <v/>
      </c>
      <c r="C668" s="37" t="str">
        <f>SUGERENCIAS!G648</f>
        <v/>
      </c>
      <c r="D668" s="65" t="str">
        <f>SUGERENCIAS!G648</f>
        <v/>
      </c>
      <c r="E668" s="66" t="str">
        <f>SUGERENCIAS!L648</f>
        <v>--</v>
      </c>
      <c r="F668" s="67" t="str">
        <f>SUGERENCIAS!N648</f>
        <v>SIN</v>
      </c>
    </row>
    <row r="669" spans="1:6" ht="15" customHeight="1">
      <c r="A669" s="37" t="str">
        <f>SUGERENCIAS!B649</f>
        <v>MARTES</v>
      </c>
      <c r="B669" s="44" t="str">
        <f>SUGERENCIAS!G649</f>
        <v/>
      </c>
      <c r="C669" s="37" t="str">
        <f>SUGERENCIAS!G649</f>
        <v/>
      </c>
      <c r="D669" s="65" t="str">
        <f>SUGERENCIAS!G649</f>
        <v/>
      </c>
      <c r="E669" s="66" t="str">
        <f>SUGERENCIAS!L649</f>
        <v>--</v>
      </c>
      <c r="F669" s="67" t="str">
        <f>SUGERENCIAS!N649</f>
        <v>SIN</v>
      </c>
    </row>
    <row r="670" spans="1:6" ht="15" customHeight="1">
      <c r="A670" s="37" t="str">
        <f>SUGERENCIAS!B650</f>
        <v>MARTES</v>
      </c>
      <c r="B670" s="44" t="str">
        <f>SUGERENCIAS!G650</f>
        <v/>
      </c>
      <c r="C670" s="37" t="str">
        <f>SUGERENCIAS!G650</f>
        <v/>
      </c>
      <c r="D670" s="65" t="str">
        <f>SUGERENCIAS!G650</f>
        <v/>
      </c>
      <c r="E670" s="66" t="str">
        <f>SUGERENCIAS!L650</f>
        <v>--</v>
      </c>
      <c r="F670" s="67" t="str">
        <f>SUGERENCIAS!N650</f>
        <v>SIN</v>
      </c>
    </row>
    <row r="671" spans="1:6" ht="15" customHeight="1">
      <c r="A671" s="37" t="str">
        <f>SUGERENCIAS!B651</f>
        <v>MARTES</v>
      </c>
      <c r="B671" s="44" t="str">
        <f>SUGERENCIAS!G651</f>
        <v/>
      </c>
      <c r="C671" s="37" t="str">
        <f>SUGERENCIAS!G651</f>
        <v/>
      </c>
      <c r="D671" s="65" t="str">
        <f>SUGERENCIAS!G651</f>
        <v/>
      </c>
      <c r="E671" s="66" t="str">
        <f>SUGERENCIAS!L651</f>
        <v>--</v>
      </c>
      <c r="F671" s="67" t="str">
        <f>SUGERENCIAS!N651</f>
        <v>SIN</v>
      </c>
    </row>
    <row r="672" spans="1:6" ht="15" customHeight="1">
      <c r="A672" s="37" t="str">
        <f>SUGERENCIAS!B652</f>
        <v>MARTES</v>
      </c>
      <c r="B672" s="44" t="str">
        <f>SUGERENCIAS!G652</f>
        <v/>
      </c>
      <c r="C672" s="37" t="str">
        <f>SUGERENCIAS!G652</f>
        <v/>
      </c>
      <c r="D672" s="65" t="str">
        <f>SUGERENCIAS!G652</f>
        <v/>
      </c>
      <c r="E672" s="66" t="str">
        <f>SUGERENCIAS!L652</f>
        <v>--</v>
      </c>
      <c r="F672" s="67" t="str">
        <f>SUGERENCIAS!N652</f>
        <v>SIN</v>
      </c>
    </row>
    <row r="673" spans="1:6" ht="15" customHeight="1">
      <c r="A673" s="37" t="str">
        <f>SUGERENCIAS!B653</f>
        <v>MARTES</v>
      </c>
      <c r="B673" s="44" t="str">
        <f>SUGERENCIAS!G653</f>
        <v/>
      </c>
      <c r="C673" s="37" t="str">
        <f>SUGERENCIAS!G653</f>
        <v/>
      </c>
      <c r="D673" s="65" t="str">
        <f>SUGERENCIAS!G653</f>
        <v/>
      </c>
      <c r="E673" s="66" t="str">
        <f>SUGERENCIAS!L653</f>
        <v>--</v>
      </c>
      <c r="F673" s="67" t="str">
        <f>SUGERENCIAS!N653</f>
        <v>SIN</v>
      </c>
    </row>
    <row r="674" spans="1:6" ht="15" customHeight="1">
      <c r="A674" s="37" t="str">
        <f>SUGERENCIAS!B654</f>
        <v>MARTES</v>
      </c>
      <c r="B674" s="44" t="str">
        <f>SUGERENCIAS!G654</f>
        <v/>
      </c>
      <c r="C674" s="37" t="str">
        <f>SUGERENCIAS!G654</f>
        <v/>
      </c>
      <c r="D674" s="65" t="str">
        <f>SUGERENCIAS!G654</f>
        <v/>
      </c>
      <c r="E674" s="66" t="str">
        <f>SUGERENCIAS!L654</f>
        <v>--</v>
      </c>
      <c r="F674" s="67" t="str">
        <f>SUGERENCIAS!N654</f>
        <v>SIN</v>
      </c>
    </row>
    <row r="675" spans="1:6" ht="15" customHeight="1">
      <c r="A675" s="37" t="str">
        <f>SUGERENCIAS!B655</f>
        <v>MARTES</v>
      </c>
      <c r="B675" s="44" t="str">
        <f>SUGERENCIAS!G655</f>
        <v/>
      </c>
      <c r="C675" s="37" t="str">
        <f>SUGERENCIAS!G655</f>
        <v/>
      </c>
      <c r="D675" s="65" t="str">
        <f>SUGERENCIAS!G655</f>
        <v/>
      </c>
      <c r="E675" s="66" t="str">
        <f>SUGERENCIAS!L655</f>
        <v>--</v>
      </c>
      <c r="F675" s="67" t="str">
        <f>SUGERENCIAS!N655</f>
        <v>SIN</v>
      </c>
    </row>
    <row r="676" spans="1:6" ht="15" customHeight="1">
      <c r="A676" s="37" t="str">
        <f>SUGERENCIAS!B656</f>
        <v>MIERCOLES</v>
      </c>
      <c r="B676" s="44" t="str">
        <f>SUGERENCIAS!G656</f>
        <v/>
      </c>
      <c r="C676" s="37" t="str">
        <f>SUGERENCIAS!G656</f>
        <v/>
      </c>
      <c r="D676" s="65" t="str">
        <f>SUGERENCIAS!G656</f>
        <v/>
      </c>
      <c r="E676" s="66" t="str">
        <f>SUGERENCIAS!L656</f>
        <v>--</v>
      </c>
      <c r="F676" s="67" t="str">
        <f>SUGERENCIAS!N656</f>
        <v>SIN</v>
      </c>
    </row>
    <row r="677" spans="1:6" ht="15" customHeight="1">
      <c r="A677" s="37" t="str">
        <f>SUGERENCIAS!B657</f>
        <v>MIERCOLES</v>
      </c>
      <c r="B677" s="44" t="str">
        <f>SUGERENCIAS!G657</f>
        <v/>
      </c>
      <c r="C677" s="37" t="str">
        <f>SUGERENCIAS!G657</f>
        <v/>
      </c>
      <c r="D677" s="65" t="str">
        <f>SUGERENCIAS!G657</f>
        <v/>
      </c>
      <c r="E677" s="66" t="str">
        <f>SUGERENCIAS!L657</f>
        <v>--</v>
      </c>
      <c r="F677" s="67" t="str">
        <f>SUGERENCIAS!N657</f>
        <v>SIN</v>
      </c>
    </row>
    <row r="678" spans="1:6" ht="15" customHeight="1">
      <c r="A678" s="37" t="str">
        <f>SUGERENCIAS!B658</f>
        <v>MIERCOLES</v>
      </c>
      <c r="B678" s="44" t="str">
        <f>SUGERENCIAS!G658</f>
        <v/>
      </c>
      <c r="C678" s="37" t="str">
        <f>SUGERENCIAS!G658</f>
        <v/>
      </c>
      <c r="D678" s="65" t="str">
        <f>SUGERENCIAS!G658</f>
        <v/>
      </c>
      <c r="E678" s="66" t="str">
        <f>SUGERENCIAS!L658</f>
        <v>--</v>
      </c>
      <c r="F678" s="67" t="str">
        <f>SUGERENCIAS!N658</f>
        <v>SIN</v>
      </c>
    </row>
    <row r="679" spans="1:6" ht="15" customHeight="1">
      <c r="A679" s="37" t="str">
        <f>SUGERENCIAS!B659</f>
        <v>MIERCOLES</v>
      </c>
      <c r="B679" s="44" t="str">
        <f>SUGERENCIAS!G659</f>
        <v/>
      </c>
      <c r="C679" s="37" t="str">
        <f>SUGERENCIAS!G659</f>
        <v/>
      </c>
      <c r="D679" s="65" t="str">
        <f>SUGERENCIAS!G659</f>
        <v/>
      </c>
      <c r="E679" s="66" t="str">
        <f>SUGERENCIAS!L659</f>
        <v>--</v>
      </c>
      <c r="F679" s="67" t="str">
        <f>SUGERENCIAS!N659</f>
        <v>SIN</v>
      </c>
    </row>
    <row r="680" spans="1:6" ht="15" customHeight="1">
      <c r="A680" s="37" t="str">
        <f>SUGERENCIAS!B660</f>
        <v>MIERCOLES</v>
      </c>
      <c r="B680" s="44" t="str">
        <f>SUGERENCIAS!G660</f>
        <v/>
      </c>
      <c r="C680" s="37" t="str">
        <f>SUGERENCIAS!G660</f>
        <v/>
      </c>
      <c r="D680" s="65" t="str">
        <f>SUGERENCIAS!G660</f>
        <v/>
      </c>
      <c r="E680" s="66" t="str">
        <f>SUGERENCIAS!L660</f>
        <v>--</v>
      </c>
      <c r="F680" s="67" t="str">
        <f>SUGERENCIAS!N660</f>
        <v>SIN</v>
      </c>
    </row>
    <row r="681" spans="1:6" ht="15" customHeight="1">
      <c r="A681" s="37" t="str">
        <f>SUGERENCIAS!B661</f>
        <v>MIERCOLES</v>
      </c>
      <c r="B681" s="44" t="str">
        <f>SUGERENCIAS!G661</f>
        <v/>
      </c>
      <c r="C681" s="37" t="str">
        <f>SUGERENCIAS!G661</f>
        <v/>
      </c>
      <c r="D681" s="65" t="str">
        <f>SUGERENCIAS!G661</f>
        <v/>
      </c>
      <c r="E681" s="66" t="str">
        <f>SUGERENCIAS!L661</f>
        <v>--</v>
      </c>
      <c r="F681" s="67" t="str">
        <f>SUGERENCIAS!N661</f>
        <v>SIN</v>
      </c>
    </row>
    <row r="682" spans="1:6" ht="15" customHeight="1">
      <c r="A682" s="37" t="str">
        <f>SUGERENCIAS!B662</f>
        <v>MIERCOLES</v>
      </c>
      <c r="B682" s="44" t="str">
        <f>SUGERENCIAS!G662</f>
        <v/>
      </c>
      <c r="C682" s="37" t="str">
        <f>SUGERENCIAS!G662</f>
        <v/>
      </c>
      <c r="D682" s="65" t="str">
        <f>SUGERENCIAS!G662</f>
        <v/>
      </c>
      <c r="E682" s="66" t="str">
        <f>SUGERENCIAS!L662</f>
        <v>--</v>
      </c>
      <c r="F682" s="67" t="str">
        <f>SUGERENCIAS!N662</f>
        <v>SIN</v>
      </c>
    </row>
    <row r="683" spans="1:6" ht="15" customHeight="1">
      <c r="A683" s="37" t="str">
        <f>SUGERENCIAS!B663</f>
        <v>MIERCOLES</v>
      </c>
      <c r="B683" s="44" t="str">
        <f>SUGERENCIAS!G663</f>
        <v/>
      </c>
      <c r="C683" s="37" t="str">
        <f>SUGERENCIAS!G663</f>
        <v/>
      </c>
      <c r="D683" s="65" t="str">
        <f>SUGERENCIAS!G663</f>
        <v/>
      </c>
      <c r="E683" s="66" t="str">
        <f>SUGERENCIAS!L663</f>
        <v>--</v>
      </c>
      <c r="F683" s="67" t="str">
        <f>SUGERENCIAS!N663</f>
        <v>SIN</v>
      </c>
    </row>
    <row r="684" spans="1:6" ht="15" customHeight="1">
      <c r="A684" s="37" t="str">
        <f>SUGERENCIAS!B664</f>
        <v>MIERCOLES</v>
      </c>
      <c r="B684" s="44" t="str">
        <f>SUGERENCIAS!G664</f>
        <v/>
      </c>
      <c r="C684" s="37" t="str">
        <f>SUGERENCIAS!G664</f>
        <v/>
      </c>
      <c r="D684" s="65" t="str">
        <f>SUGERENCIAS!G664</f>
        <v/>
      </c>
      <c r="E684" s="66" t="str">
        <f>SUGERENCIAS!L664</f>
        <v>--</v>
      </c>
      <c r="F684" s="67" t="str">
        <f>SUGERENCIAS!N664</f>
        <v>SIN</v>
      </c>
    </row>
    <row r="685" spans="1:6" ht="15" customHeight="1">
      <c r="A685" s="37" t="str">
        <f>SUGERENCIAS!B665</f>
        <v>MIERCOLES</v>
      </c>
      <c r="B685" s="44" t="str">
        <f>SUGERENCIAS!G665</f>
        <v/>
      </c>
      <c r="C685" s="37" t="str">
        <f>SUGERENCIAS!G665</f>
        <v/>
      </c>
      <c r="D685" s="65" t="str">
        <f>SUGERENCIAS!G665</f>
        <v/>
      </c>
      <c r="E685" s="66" t="str">
        <f>SUGERENCIAS!L665</f>
        <v>--</v>
      </c>
      <c r="F685" s="67" t="str">
        <f>SUGERENCIAS!N665</f>
        <v>SIN</v>
      </c>
    </row>
    <row r="686" spans="1:6" ht="15" customHeight="1">
      <c r="A686" s="37" t="str">
        <f>SUGERENCIAS!B666</f>
        <v>MIERCOLES</v>
      </c>
      <c r="B686" s="44" t="str">
        <f>SUGERENCIAS!G666</f>
        <v/>
      </c>
      <c r="C686" s="37" t="str">
        <f>SUGERENCIAS!G666</f>
        <v/>
      </c>
      <c r="D686" s="65" t="str">
        <f>SUGERENCIAS!G666</f>
        <v/>
      </c>
      <c r="E686" s="66" t="str">
        <f>SUGERENCIAS!L666</f>
        <v>--</v>
      </c>
      <c r="F686" s="67" t="str">
        <f>SUGERENCIAS!N666</f>
        <v>SIN</v>
      </c>
    </row>
    <row r="687" spans="1:6" ht="15" customHeight="1">
      <c r="A687" s="37" t="str">
        <f>SUGERENCIAS!B667</f>
        <v>MIERCOLES</v>
      </c>
      <c r="B687" s="44" t="str">
        <f>SUGERENCIAS!G667</f>
        <v/>
      </c>
      <c r="C687" s="37" t="str">
        <f>SUGERENCIAS!G667</f>
        <v/>
      </c>
      <c r="D687" s="65" t="str">
        <f>SUGERENCIAS!G667</f>
        <v/>
      </c>
      <c r="E687" s="66" t="str">
        <f>SUGERENCIAS!L667</f>
        <v>--</v>
      </c>
      <c r="F687" s="67" t="str">
        <f>SUGERENCIAS!N667</f>
        <v>SIN</v>
      </c>
    </row>
    <row r="688" spans="1:6" ht="15" customHeight="1">
      <c r="A688" s="37" t="str">
        <f>SUGERENCIAS!B668</f>
        <v>MIERCOLES</v>
      </c>
      <c r="B688" s="44" t="str">
        <f>SUGERENCIAS!G668</f>
        <v/>
      </c>
      <c r="C688" s="37" t="str">
        <f>SUGERENCIAS!G668</f>
        <v/>
      </c>
      <c r="D688" s="65" t="str">
        <f>SUGERENCIAS!G668</f>
        <v/>
      </c>
      <c r="E688" s="66" t="str">
        <f>SUGERENCIAS!L668</f>
        <v>--</v>
      </c>
      <c r="F688" s="67" t="str">
        <f>SUGERENCIAS!N668</f>
        <v>SIN</v>
      </c>
    </row>
    <row r="689" spans="1:6" ht="15" customHeight="1">
      <c r="A689" s="37" t="str">
        <f>SUGERENCIAS!B669</f>
        <v>MIERCOLES</v>
      </c>
      <c r="B689" s="44" t="str">
        <f>SUGERENCIAS!G669</f>
        <v/>
      </c>
      <c r="C689" s="37" t="str">
        <f>SUGERENCIAS!G669</f>
        <v/>
      </c>
      <c r="D689" s="65" t="str">
        <f>SUGERENCIAS!G669</f>
        <v/>
      </c>
      <c r="E689" s="66" t="str">
        <f>SUGERENCIAS!L669</f>
        <v>--</v>
      </c>
      <c r="F689" s="67" t="str">
        <f>SUGERENCIAS!N669</f>
        <v>SIN</v>
      </c>
    </row>
    <row r="690" spans="1:6" ht="15" customHeight="1">
      <c r="A690" s="37" t="str">
        <f>SUGERENCIAS!B670</f>
        <v>MIERCOLES</v>
      </c>
      <c r="B690" s="44" t="str">
        <f>SUGERENCIAS!G670</f>
        <v/>
      </c>
      <c r="C690" s="37" t="str">
        <f>SUGERENCIAS!G670</f>
        <v/>
      </c>
      <c r="D690" s="65" t="str">
        <f>SUGERENCIAS!G670</f>
        <v/>
      </c>
      <c r="E690" s="66" t="str">
        <f>SUGERENCIAS!L670</f>
        <v>--</v>
      </c>
      <c r="F690" s="67" t="str">
        <f>SUGERENCIAS!N670</f>
        <v>SIN</v>
      </c>
    </row>
    <row r="691" spans="1:6" ht="15" customHeight="1">
      <c r="A691" s="37" t="str">
        <f>SUGERENCIAS!B671</f>
        <v>JUEVES</v>
      </c>
      <c r="B691" s="44" t="str">
        <f>SUGERENCIAS!G671</f>
        <v/>
      </c>
      <c r="C691" s="37" t="str">
        <f>SUGERENCIAS!G671</f>
        <v/>
      </c>
      <c r="D691" s="65" t="str">
        <f>SUGERENCIAS!G671</f>
        <v/>
      </c>
      <c r="E691" s="66" t="str">
        <f>SUGERENCIAS!L671</f>
        <v>--</v>
      </c>
      <c r="F691" s="67" t="str">
        <f>SUGERENCIAS!N671</f>
        <v>SIN</v>
      </c>
    </row>
    <row r="692" spans="1:6" ht="15" customHeight="1">
      <c r="A692" s="37" t="str">
        <f>SUGERENCIAS!B672</f>
        <v>JUEVES</v>
      </c>
      <c r="B692" s="44" t="str">
        <f>SUGERENCIAS!G672</f>
        <v/>
      </c>
      <c r="C692" s="37" t="str">
        <f>SUGERENCIAS!G672</f>
        <v/>
      </c>
      <c r="D692" s="65" t="str">
        <f>SUGERENCIAS!G672</f>
        <v/>
      </c>
      <c r="E692" s="66" t="str">
        <f>SUGERENCIAS!L672</f>
        <v>--</v>
      </c>
      <c r="F692" s="67" t="str">
        <f>SUGERENCIAS!N672</f>
        <v>SIN</v>
      </c>
    </row>
    <row r="693" spans="1:6" ht="15" customHeight="1">
      <c r="A693" s="37" t="str">
        <f>SUGERENCIAS!B673</f>
        <v>JUEVES</v>
      </c>
      <c r="B693" s="44" t="str">
        <f>SUGERENCIAS!G673</f>
        <v/>
      </c>
      <c r="C693" s="37" t="str">
        <f>SUGERENCIAS!G673</f>
        <v/>
      </c>
      <c r="D693" s="65" t="str">
        <f>SUGERENCIAS!G673</f>
        <v/>
      </c>
      <c r="E693" s="66" t="str">
        <f>SUGERENCIAS!L673</f>
        <v>--</v>
      </c>
      <c r="F693" s="67" t="str">
        <f>SUGERENCIAS!N673</f>
        <v>SIN</v>
      </c>
    </row>
    <row r="694" spans="1:6" ht="15" customHeight="1">
      <c r="A694" s="37" t="str">
        <f>SUGERENCIAS!B674</f>
        <v>JUEVES</v>
      </c>
      <c r="B694" s="44" t="str">
        <f>SUGERENCIAS!G674</f>
        <v/>
      </c>
      <c r="C694" s="37" t="str">
        <f>SUGERENCIAS!G674</f>
        <v/>
      </c>
      <c r="D694" s="65" t="str">
        <f>SUGERENCIAS!G674</f>
        <v/>
      </c>
      <c r="E694" s="66" t="str">
        <f>SUGERENCIAS!L674</f>
        <v>--</v>
      </c>
      <c r="F694" s="67" t="str">
        <f>SUGERENCIAS!N674</f>
        <v>SIN</v>
      </c>
    </row>
    <row r="695" spans="1:6" ht="15" customHeight="1">
      <c r="A695" s="37" t="str">
        <f>SUGERENCIAS!B675</f>
        <v>JUEVES</v>
      </c>
      <c r="B695" s="44" t="str">
        <f>SUGERENCIAS!G675</f>
        <v/>
      </c>
      <c r="C695" s="37" t="str">
        <f>SUGERENCIAS!G675</f>
        <v/>
      </c>
      <c r="D695" s="65" t="str">
        <f>SUGERENCIAS!G675</f>
        <v/>
      </c>
      <c r="E695" s="66" t="str">
        <f>SUGERENCIAS!L675</f>
        <v>--</v>
      </c>
      <c r="F695" s="67" t="str">
        <f>SUGERENCIAS!N675</f>
        <v>SIN</v>
      </c>
    </row>
    <row r="696" spans="1:6" ht="15" customHeight="1">
      <c r="A696" s="37" t="str">
        <f>SUGERENCIAS!B676</f>
        <v>JUEVES</v>
      </c>
      <c r="B696" s="44" t="str">
        <f>SUGERENCIAS!G676</f>
        <v/>
      </c>
      <c r="C696" s="37" t="str">
        <f>SUGERENCIAS!G676</f>
        <v/>
      </c>
      <c r="D696" s="65" t="str">
        <f>SUGERENCIAS!G676</f>
        <v/>
      </c>
      <c r="E696" s="66" t="str">
        <f>SUGERENCIAS!L676</f>
        <v>--</v>
      </c>
      <c r="F696" s="67" t="str">
        <f>SUGERENCIAS!N676</f>
        <v>SIN</v>
      </c>
    </row>
    <row r="697" spans="1:6" ht="15" customHeight="1">
      <c r="A697" s="37" t="str">
        <f>SUGERENCIAS!B677</f>
        <v>JUEVES</v>
      </c>
      <c r="B697" s="44" t="str">
        <f>SUGERENCIAS!G677</f>
        <v/>
      </c>
      <c r="C697" s="37" t="str">
        <f>SUGERENCIAS!G677</f>
        <v/>
      </c>
      <c r="D697" s="65" t="str">
        <f>SUGERENCIAS!G677</f>
        <v/>
      </c>
      <c r="E697" s="66" t="str">
        <f>SUGERENCIAS!L677</f>
        <v>--</v>
      </c>
      <c r="F697" s="67" t="str">
        <f>SUGERENCIAS!N677</f>
        <v>SIN</v>
      </c>
    </row>
    <row r="698" spans="1:6" ht="15" customHeight="1">
      <c r="A698" s="37" t="str">
        <f>SUGERENCIAS!B678</f>
        <v>JUEVES</v>
      </c>
      <c r="B698" s="44" t="str">
        <f>SUGERENCIAS!G678</f>
        <v/>
      </c>
      <c r="C698" s="37" t="str">
        <f>SUGERENCIAS!G678</f>
        <v/>
      </c>
      <c r="D698" s="65" t="str">
        <f>SUGERENCIAS!G678</f>
        <v/>
      </c>
      <c r="E698" s="66" t="str">
        <f>SUGERENCIAS!L678</f>
        <v>--</v>
      </c>
      <c r="F698" s="67" t="str">
        <f>SUGERENCIAS!N678</f>
        <v>SIN</v>
      </c>
    </row>
    <row r="699" spans="1:6" ht="15" customHeight="1">
      <c r="A699" s="37" t="str">
        <f>SUGERENCIAS!B679</f>
        <v>JUEVES</v>
      </c>
      <c r="B699" s="44" t="str">
        <f>SUGERENCIAS!G679</f>
        <v/>
      </c>
      <c r="C699" s="37" t="str">
        <f>SUGERENCIAS!G679</f>
        <v/>
      </c>
      <c r="D699" s="65" t="str">
        <f>SUGERENCIAS!G679</f>
        <v/>
      </c>
      <c r="E699" s="66" t="str">
        <f>SUGERENCIAS!L679</f>
        <v>--</v>
      </c>
      <c r="F699" s="67" t="str">
        <f>SUGERENCIAS!N679</f>
        <v>SIN</v>
      </c>
    </row>
    <row r="700" spans="1:6" ht="15" customHeight="1">
      <c r="A700" s="37" t="str">
        <f>SUGERENCIAS!B680</f>
        <v>JUEVES</v>
      </c>
      <c r="B700" s="44" t="str">
        <f>SUGERENCIAS!G680</f>
        <v/>
      </c>
      <c r="C700" s="37" t="str">
        <f>SUGERENCIAS!G680</f>
        <v/>
      </c>
      <c r="D700" s="65" t="str">
        <f>SUGERENCIAS!G680</f>
        <v/>
      </c>
      <c r="E700" s="66" t="str">
        <f>SUGERENCIAS!L680</f>
        <v>--</v>
      </c>
      <c r="F700" s="67" t="str">
        <f>SUGERENCIAS!N680</f>
        <v>SIN</v>
      </c>
    </row>
    <row r="701" spans="1:6" ht="15" customHeight="1">
      <c r="A701" s="37" t="str">
        <f>SUGERENCIAS!B681</f>
        <v>JUEVES</v>
      </c>
      <c r="B701" s="44" t="str">
        <f>SUGERENCIAS!G681</f>
        <v/>
      </c>
      <c r="C701" s="37" t="str">
        <f>SUGERENCIAS!G681</f>
        <v/>
      </c>
      <c r="D701" s="65" t="str">
        <f>SUGERENCIAS!G681</f>
        <v/>
      </c>
      <c r="E701" s="66" t="str">
        <f>SUGERENCIAS!L681</f>
        <v>--</v>
      </c>
      <c r="F701" s="67" t="str">
        <f>SUGERENCIAS!N681</f>
        <v>SIN</v>
      </c>
    </row>
    <row r="702" spans="1:6" ht="15" customHeight="1">
      <c r="A702" s="37" t="str">
        <f>SUGERENCIAS!B682</f>
        <v>JUEVES</v>
      </c>
      <c r="B702" s="44">
        <f>SUGERENCIAS!G682</f>
        <v>40</v>
      </c>
      <c r="C702" s="37">
        <f>SUGERENCIAS!G682</f>
        <v>40</v>
      </c>
      <c r="D702" s="65">
        <f>SUGERENCIAS!G682</f>
        <v>40</v>
      </c>
      <c r="E702" s="66">
        <f>SUGERENCIAS!L682</f>
        <v>7</v>
      </c>
      <c r="F702" s="67" t="str">
        <f>SUGERENCIAS!N682</f>
        <v>MANT</v>
      </c>
    </row>
    <row r="703" spans="1:6" ht="15" customHeight="1">
      <c r="A703" s="37" t="str">
        <f>SUGERENCIAS!B683</f>
        <v>JUEVES</v>
      </c>
      <c r="B703" s="44" t="str">
        <f>SUGERENCIAS!G683</f>
        <v/>
      </c>
      <c r="C703" s="37" t="str">
        <f>SUGERENCIAS!G683</f>
        <v/>
      </c>
      <c r="D703" s="65" t="str">
        <f>SUGERENCIAS!G683</f>
        <v/>
      </c>
      <c r="E703" s="66" t="str">
        <f>SUGERENCIAS!L683</f>
        <v>--</v>
      </c>
      <c r="F703" s="67" t="str">
        <f>SUGERENCIAS!N683</f>
        <v>SIN</v>
      </c>
    </row>
    <row r="704" spans="1:6" ht="15" customHeight="1">
      <c r="A704" s="37" t="str">
        <f>SUGERENCIAS!B684</f>
        <v>SABADO</v>
      </c>
      <c r="B704" s="44" t="str">
        <f>SUGERENCIAS!G684</f>
        <v/>
      </c>
      <c r="C704" s="37" t="str">
        <f>SUGERENCIAS!G684</f>
        <v/>
      </c>
      <c r="D704" s="65" t="str">
        <f>SUGERENCIAS!G684</f>
        <v/>
      </c>
      <c r="E704" s="66" t="str">
        <f>SUGERENCIAS!L684</f>
        <v>--</v>
      </c>
      <c r="F704" s="67" t="str">
        <f>SUGERENCIAS!N684</f>
        <v>SIN</v>
      </c>
    </row>
    <row r="705" spans="1:6" ht="15" customHeight="1">
      <c r="A705" s="37" t="str">
        <f>SUGERENCIAS!B685</f>
        <v>SABADO</v>
      </c>
      <c r="B705" s="44" t="str">
        <f>SUGERENCIAS!G685</f>
        <v/>
      </c>
      <c r="C705" s="37" t="str">
        <f>SUGERENCIAS!G685</f>
        <v/>
      </c>
      <c r="D705" s="65" t="str">
        <f>SUGERENCIAS!G685</f>
        <v/>
      </c>
      <c r="E705" s="66" t="str">
        <f>SUGERENCIAS!L685</f>
        <v>--</v>
      </c>
      <c r="F705" s="67" t="str">
        <f>SUGERENCIAS!N685</f>
        <v>SIN</v>
      </c>
    </row>
    <row r="706" spans="1:6" ht="15" customHeight="1">
      <c r="A706" s="37" t="str">
        <f>SUGERENCIAS!B686</f>
        <v>SABADO</v>
      </c>
      <c r="B706" s="44" t="str">
        <f>SUGERENCIAS!G686</f>
        <v/>
      </c>
      <c r="C706" s="37" t="str">
        <f>SUGERENCIAS!G686</f>
        <v/>
      </c>
      <c r="D706" s="65" t="str">
        <f>SUGERENCIAS!G686</f>
        <v/>
      </c>
      <c r="E706" s="66" t="str">
        <f>SUGERENCIAS!L686</f>
        <v>--</v>
      </c>
      <c r="F706" s="67" t="str">
        <f>SUGERENCIAS!N686</f>
        <v>SIN</v>
      </c>
    </row>
    <row r="707" spans="1:6" ht="15" customHeight="1">
      <c r="A707" s="37" t="str">
        <f>SUGERENCIAS!B687</f>
        <v>SABADO</v>
      </c>
      <c r="B707" s="44" t="str">
        <f>SUGERENCIAS!G687</f>
        <v/>
      </c>
      <c r="C707" s="37" t="str">
        <f>SUGERENCIAS!G687</f>
        <v/>
      </c>
      <c r="D707" s="65" t="str">
        <f>SUGERENCIAS!G687</f>
        <v/>
      </c>
      <c r="E707" s="66" t="str">
        <f>SUGERENCIAS!L687</f>
        <v>--</v>
      </c>
      <c r="F707" s="67" t="str">
        <f>SUGERENCIAS!N687</f>
        <v>SIN</v>
      </c>
    </row>
    <row r="708" spans="1:6" ht="15" customHeight="1">
      <c r="A708" s="37" t="str">
        <f>SUGERENCIAS!B688</f>
        <v>SABADO</v>
      </c>
      <c r="B708" s="44">
        <f>SUGERENCIAS!G688</f>
        <v>40</v>
      </c>
      <c r="C708" s="37">
        <f>SUGERENCIAS!G688</f>
        <v>40</v>
      </c>
      <c r="D708" s="65">
        <f>SUGERENCIAS!G688</f>
        <v>40</v>
      </c>
      <c r="E708" s="66">
        <f>SUGERENCIAS!L688</f>
        <v>7</v>
      </c>
      <c r="F708" s="67" t="str">
        <f>SUGERENCIAS!N688</f>
        <v>MANT</v>
      </c>
    </row>
    <row r="709" spans="1:6" ht="15" customHeight="1">
      <c r="A709" s="37" t="str">
        <f>SUGERENCIAS!B689</f>
        <v>SABADO</v>
      </c>
      <c r="B709" s="44">
        <f>SUGERENCIAS!G689</f>
        <v>20</v>
      </c>
      <c r="C709" s="37">
        <f>SUGERENCIAS!G689</f>
        <v>20</v>
      </c>
      <c r="D709" s="65">
        <f>SUGERENCIAS!G689</f>
        <v>20</v>
      </c>
      <c r="E709" s="66">
        <f>SUGERENCIAS!L689</f>
        <v>6</v>
      </c>
      <c r="F709" s="67" t="str">
        <f>SUGERENCIAS!N689</f>
        <v>SUBIR</v>
      </c>
    </row>
    <row r="710" spans="1:6" ht="15" customHeight="1">
      <c r="A710" s="37" t="str">
        <f>SUGERENCIAS!B690</f>
        <v>SABADO</v>
      </c>
      <c r="B710" s="44" t="str">
        <f>SUGERENCIAS!G690</f>
        <v/>
      </c>
      <c r="C710" s="37" t="str">
        <f>SUGERENCIAS!G690</f>
        <v/>
      </c>
      <c r="D710" s="65" t="str">
        <f>SUGERENCIAS!G690</f>
        <v/>
      </c>
      <c r="E710" s="66" t="str">
        <f>SUGERENCIAS!L690</f>
        <v>--</v>
      </c>
      <c r="F710" s="67" t="str">
        <f>SUGERENCIAS!N690</f>
        <v>SIN</v>
      </c>
    </row>
    <row r="711" spans="1:6" ht="15" customHeight="1">
      <c r="A711" s="37" t="str">
        <f>SUGERENCIAS!B691</f>
        <v>SABADO</v>
      </c>
      <c r="B711" s="44" t="str">
        <f>SUGERENCIAS!G691</f>
        <v/>
      </c>
      <c r="C711" s="37" t="str">
        <f>SUGERENCIAS!G691</f>
        <v/>
      </c>
      <c r="D711" s="65" t="str">
        <f>SUGERENCIAS!G691</f>
        <v/>
      </c>
      <c r="E711" s="66" t="str">
        <f>SUGERENCIAS!L691</f>
        <v>--</v>
      </c>
      <c r="F711" s="67" t="str">
        <f>SUGERENCIAS!N691</f>
        <v>SIN</v>
      </c>
    </row>
    <row r="712" spans="1:6" ht="15" customHeight="1">
      <c r="A712" s="37" t="str">
        <f>SUGERENCIAS!B692</f>
        <v>SABADO</v>
      </c>
      <c r="B712" s="44" t="str">
        <f>SUGERENCIAS!G692</f>
        <v/>
      </c>
      <c r="C712" s="37" t="str">
        <f>SUGERENCIAS!G692</f>
        <v/>
      </c>
      <c r="D712" s="65" t="str">
        <f>SUGERENCIAS!G692</f>
        <v/>
      </c>
      <c r="E712" s="66" t="str">
        <f>SUGERENCIAS!L692</f>
        <v>--</v>
      </c>
      <c r="F712" s="67" t="str">
        <f>SUGERENCIAS!N692</f>
        <v>SIN</v>
      </c>
    </row>
    <row r="713" spans="1:6" ht="15" customHeight="1">
      <c r="A713" s="37" t="str">
        <f>SUGERENCIAS!B693</f>
        <v>SABADO</v>
      </c>
      <c r="B713" s="44" t="str">
        <f>SUGERENCIAS!G693</f>
        <v/>
      </c>
      <c r="C713" s="37" t="str">
        <f>SUGERENCIAS!G693</f>
        <v/>
      </c>
      <c r="D713" s="65" t="str">
        <f>SUGERENCIAS!G693</f>
        <v/>
      </c>
      <c r="E713" s="66" t="str">
        <f>SUGERENCIAS!L693</f>
        <v>--</v>
      </c>
      <c r="F713" s="67" t="str">
        <f>SUGERENCIAS!N693</f>
        <v>SIN</v>
      </c>
    </row>
    <row r="714" spans="1:6" ht="15" customHeight="1">
      <c r="A714" s="37" t="str">
        <f>SUGERENCIAS!B694</f>
        <v>SABADO</v>
      </c>
      <c r="B714" s="44" t="str">
        <f>SUGERENCIAS!G694</f>
        <v/>
      </c>
      <c r="C714" s="37" t="str">
        <f>SUGERENCIAS!G694</f>
        <v/>
      </c>
      <c r="D714" s="65" t="str">
        <f>SUGERENCIAS!G694</f>
        <v/>
      </c>
      <c r="E714" s="66" t="str">
        <f>SUGERENCIAS!L694</f>
        <v>--</v>
      </c>
      <c r="F714" s="67" t="str">
        <f>SUGERENCIAS!N694</f>
        <v>SIN</v>
      </c>
    </row>
    <row r="715" spans="1:6" ht="15" customHeight="1">
      <c r="A715" s="37" t="str">
        <f>SUGERENCIAS!B695</f>
        <v>SABADO</v>
      </c>
      <c r="B715" s="44" t="str">
        <f>SUGERENCIAS!G695</f>
        <v/>
      </c>
      <c r="C715" s="37" t="str">
        <f>SUGERENCIAS!G695</f>
        <v/>
      </c>
      <c r="D715" s="65" t="str">
        <f>SUGERENCIAS!G695</f>
        <v/>
      </c>
      <c r="E715" s="66" t="str">
        <f>SUGERENCIAS!L695</f>
        <v>--</v>
      </c>
      <c r="F715" s="67" t="str">
        <f>SUGERENCIAS!N695</f>
        <v>SIN</v>
      </c>
    </row>
    <row r="716" spans="1:6" ht="15" customHeight="1">
      <c r="A716" s="37" t="str">
        <f>SUGERENCIAS!B696</f>
        <v>SABADO</v>
      </c>
      <c r="B716" s="44" t="str">
        <f>SUGERENCIAS!G696</f>
        <v/>
      </c>
      <c r="C716" s="37" t="str">
        <f>SUGERENCIAS!G696</f>
        <v/>
      </c>
      <c r="D716" s="65" t="str">
        <f>SUGERENCIAS!G696</f>
        <v/>
      </c>
      <c r="E716" s="66" t="str">
        <f>SUGERENCIAS!L696</f>
        <v>--</v>
      </c>
      <c r="F716" s="67" t="str">
        <f>SUGERENCIAS!N696</f>
        <v>SIN</v>
      </c>
    </row>
    <row r="717" spans="1:6" ht="15" customHeight="1">
      <c r="A717" s="37" t="str">
        <f>SUGERENCIAS!B697</f>
        <v>LUNES</v>
      </c>
      <c r="B717" s="44" t="str">
        <f>SUGERENCIAS!G697</f>
        <v/>
      </c>
      <c r="C717" s="37" t="str">
        <f>SUGERENCIAS!G697</f>
        <v/>
      </c>
      <c r="D717" s="65" t="str">
        <f>SUGERENCIAS!G697</f>
        <v/>
      </c>
      <c r="E717" s="66" t="str">
        <f>SUGERENCIAS!L697</f>
        <v>--</v>
      </c>
      <c r="F717" s="67" t="str">
        <f>SUGERENCIAS!N697</f>
        <v>SIN</v>
      </c>
    </row>
    <row r="718" spans="1:6" ht="15" customHeight="1">
      <c r="A718" s="37" t="str">
        <f>SUGERENCIAS!B698</f>
        <v>LUNES</v>
      </c>
      <c r="B718" s="44" t="str">
        <f>SUGERENCIAS!G698</f>
        <v/>
      </c>
      <c r="C718" s="37" t="str">
        <f>SUGERENCIAS!G698</f>
        <v/>
      </c>
      <c r="D718" s="65" t="str">
        <f>SUGERENCIAS!G698</f>
        <v/>
      </c>
      <c r="E718" s="66" t="str">
        <f>SUGERENCIAS!L698</f>
        <v>--</v>
      </c>
      <c r="F718" s="67" t="str">
        <f>SUGERENCIAS!N698</f>
        <v>SIN</v>
      </c>
    </row>
    <row r="719" spans="1:6" ht="15" customHeight="1">
      <c r="A719" s="37" t="str">
        <f>SUGERENCIAS!B699</f>
        <v>LUNES</v>
      </c>
      <c r="B719" s="44">
        <f>SUGERENCIAS!G699</f>
        <v>0</v>
      </c>
      <c r="C719" s="37">
        <f>SUGERENCIAS!G699</f>
        <v>0</v>
      </c>
      <c r="D719" s="65">
        <f>SUGERENCIAS!G699</f>
        <v>0</v>
      </c>
      <c r="E719" s="66">
        <f>SUGERENCIAS!L699</f>
        <v>6</v>
      </c>
      <c r="F719" s="67" t="str">
        <f>SUGERENCIAS!N699</f>
        <v>SUBIR_F</v>
      </c>
    </row>
    <row r="720" spans="1:6" ht="15" customHeight="1">
      <c r="A720" s="37" t="str">
        <f>SUGERENCIAS!B700</f>
        <v>LUNES</v>
      </c>
      <c r="B720" s="44" t="str">
        <f>SUGERENCIAS!G700</f>
        <v/>
      </c>
      <c r="C720" s="37" t="str">
        <f>SUGERENCIAS!G700</f>
        <v/>
      </c>
      <c r="D720" s="65" t="str">
        <f>SUGERENCIAS!G700</f>
        <v/>
      </c>
      <c r="E720" s="66" t="str">
        <f>SUGERENCIAS!L700</f>
        <v>--</v>
      </c>
      <c r="F720" s="67" t="str">
        <f>SUGERENCIAS!N700</f>
        <v>SIN</v>
      </c>
    </row>
    <row r="721" spans="1:6" ht="15" customHeight="1">
      <c r="A721" s="37" t="str">
        <f>SUGERENCIAS!B701</f>
        <v>LUNES</v>
      </c>
      <c r="B721" s="44" t="str">
        <f>SUGERENCIAS!G701</f>
        <v/>
      </c>
      <c r="C721" s="37" t="str">
        <f>SUGERENCIAS!G701</f>
        <v/>
      </c>
      <c r="D721" s="65" t="str">
        <f>SUGERENCIAS!G701</f>
        <v/>
      </c>
      <c r="E721" s="66" t="str">
        <f>SUGERENCIAS!L701</f>
        <v>--</v>
      </c>
      <c r="F721" s="67" t="str">
        <f>SUGERENCIAS!N701</f>
        <v>SIN</v>
      </c>
    </row>
    <row r="722" spans="1:6" ht="15" customHeight="1">
      <c r="A722" s="37" t="str">
        <f>SUGERENCIAS!B702</f>
        <v>LUNES</v>
      </c>
      <c r="B722" s="44" t="str">
        <f>SUGERENCIAS!G702</f>
        <v/>
      </c>
      <c r="C722" s="37" t="str">
        <f>SUGERENCIAS!G702</f>
        <v/>
      </c>
      <c r="D722" s="65" t="str">
        <f>SUGERENCIAS!G702</f>
        <v/>
      </c>
      <c r="E722" s="66" t="str">
        <f>SUGERENCIAS!L702</f>
        <v>--</v>
      </c>
      <c r="F722" s="67" t="str">
        <f>SUGERENCIAS!N702</f>
        <v>SIN</v>
      </c>
    </row>
    <row r="723" spans="1:6" ht="15" customHeight="1">
      <c r="A723" s="37" t="str">
        <f>SUGERENCIAS!B703</f>
        <v>LUNES</v>
      </c>
      <c r="B723" s="44" t="str">
        <f>SUGERENCIAS!G703</f>
        <v/>
      </c>
      <c r="C723" s="37" t="str">
        <f>SUGERENCIAS!G703</f>
        <v/>
      </c>
      <c r="D723" s="65" t="str">
        <f>SUGERENCIAS!G703</f>
        <v/>
      </c>
      <c r="E723" s="66" t="str">
        <f>SUGERENCIAS!L703</f>
        <v>--</v>
      </c>
      <c r="F723" s="67" t="str">
        <f>SUGERENCIAS!N703</f>
        <v>SIN</v>
      </c>
    </row>
    <row r="724" spans="1:6" ht="15" customHeight="1">
      <c r="A724" s="37" t="str">
        <f>SUGERENCIAS!B704</f>
        <v>LUNES</v>
      </c>
      <c r="B724" s="44" t="str">
        <f>SUGERENCIAS!G704</f>
        <v/>
      </c>
      <c r="C724" s="37" t="str">
        <f>SUGERENCIAS!G704</f>
        <v/>
      </c>
      <c r="D724" s="65" t="str">
        <f>SUGERENCIAS!G704</f>
        <v/>
      </c>
      <c r="E724" s="66" t="str">
        <f>SUGERENCIAS!L704</f>
        <v>--</v>
      </c>
      <c r="F724" s="67" t="str">
        <f>SUGERENCIAS!N704</f>
        <v>SIN</v>
      </c>
    </row>
    <row r="725" spans="1:6" ht="15" customHeight="1">
      <c r="A725" s="37" t="str">
        <f>SUGERENCIAS!B705</f>
        <v>LUNES</v>
      </c>
      <c r="B725" s="44" t="str">
        <f>SUGERENCIAS!G705</f>
        <v/>
      </c>
      <c r="C725" s="37" t="str">
        <f>SUGERENCIAS!G705</f>
        <v/>
      </c>
      <c r="D725" s="65" t="str">
        <f>SUGERENCIAS!G705</f>
        <v/>
      </c>
      <c r="E725" s="66" t="str">
        <f>SUGERENCIAS!L705</f>
        <v>--</v>
      </c>
      <c r="F725" s="67" t="str">
        <f>SUGERENCIAS!N705</f>
        <v>SIN</v>
      </c>
    </row>
    <row r="726" spans="1:6" ht="15" customHeight="1">
      <c r="A726" s="37" t="str">
        <f>SUGERENCIAS!B706</f>
        <v>LUNES</v>
      </c>
      <c r="B726" s="44" t="str">
        <f>SUGERENCIAS!G706</f>
        <v/>
      </c>
      <c r="C726" s="37" t="str">
        <f>SUGERENCIAS!G706</f>
        <v/>
      </c>
      <c r="D726" s="65" t="str">
        <f>SUGERENCIAS!G706</f>
        <v/>
      </c>
      <c r="E726" s="66" t="str">
        <f>SUGERENCIAS!L706</f>
        <v>--</v>
      </c>
      <c r="F726" s="67" t="str">
        <f>SUGERENCIAS!N706</f>
        <v>SIN</v>
      </c>
    </row>
    <row r="727" spans="1:6" ht="15" customHeight="1">
      <c r="A727" s="37" t="str">
        <f>SUGERENCIAS!B707</f>
        <v>LUNES</v>
      </c>
      <c r="B727" s="44" t="str">
        <f>SUGERENCIAS!G707</f>
        <v/>
      </c>
      <c r="C727" s="37" t="str">
        <f>SUGERENCIAS!G707</f>
        <v/>
      </c>
      <c r="D727" s="65" t="str">
        <f>SUGERENCIAS!G707</f>
        <v/>
      </c>
      <c r="E727" s="66" t="str">
        <f>SUGERENCIAS!L707</f>
        <v>--</v>
      </c>
      <c r="F727" s="67" t="str">
        <f>SUGERENCIAS!N707</f>
        <v>SIN</v>
      </c>
    </row>
    <row r="728" spans="1:6" ht="15" customHeight="1">
      <c r="A728" s="37" t="str">
        <f>SUGERENCIAS!B708</f>
        <v>MARTES</v>
      </c>
      <c r="B728" s="44" t="str">
        <f>SUGERENCIAS!G708</f>
        <v/>
      </c>
      <c r="C728" s="37" t="str">
        <f>SUGERENCIAS!G708</f>
        <v/>
      </c>
      <c r="D728" s="65" t="str">
        <f>SUGERENCIAS!G708</f>
        <v/>
      </c>
      <c r="E728" s="66" t="str">
        <f>SUGERENCIAS!L708</f>
        <v>--</v>
      </c>
      <c r="F728" s="67" t="str">
        <f>SUGERENCIAS!N708</f>
        <v>SIN</v>
      </c>
    </row>
    <row r="729" spans="1:6" ht="15" customHeight="1">
      <c r="A729" s="37" t="str">
        <f>SUGERENCIAS!B709</f>
        <v>MARTES</v>
      </c>
      <c r="B729" s="44" t="str">
        <f>SUGERENCIAS!G709</f>
        <v/>
      </c>
      <c r="C729" s="37" t="str">
        <f>SUGERENCIAS!G709</f>
        <v/>
      </c>
      <c r="D729" s="65" t="str">
        <f>SUGERENCIAS!G709</f>
        <v/>
      </c>
      <c r="E729" s="66" t="str">
        <f>SUGERENCIAS!L709</f>
        <v>--</v>
      </c>
      <c r="F729" s="67" t="str">
        <f>SUGERENCIAS!N709</f>
        <v>SIN</v>
      </c>
    </row>
    <row r="730" spans="1:6" ht="15" customHeight="1">
      <c r="A730" s="37" t="str">
        <f>SUGERENCIAS!B710</f>
        <v>MARTES</v>
      </c>
      <c r="B730" s="44" t="str">
        <f>SUGERENCIAS!G710</f>
        <v/>
      </c>
      <c r="C730" s="37" t="str">
        <f>SUGERENCIAS!G710</f>
        <v/>
      </c>
      <c r="D730" s="65" t="str">
        <f>SUGERENCIAS!G710</f>
        <v/>
      </c>
      <c r="E730" s="66" t="str">
        <f>SUGERENCIAS!L710</f>
        <v>--</v>
      </c>
      <c r="F730" s="67" t="str">
        <f>SUGERENCIAS!N710</f>
        <v>SIN</v>
      </c>
    </row>
    <row r="731" spans="1:6" ht="15" customHeight="1">
      <c r="A731" s="37" t="str">
        <f>SUGERENCIAS!B711</f>
        <v>MARTES</v>
      </c>
      <c r="B731" s="44" t="str">
        <f>SUGERENCIAS!G711</f>
        <v/>
      </c>
      <c r="C731" s="37" t="str">
        <f>SUGERENCIAS!G711</f>
        <v/>
      </c>
      <c r="D731" s="65" t="str">
        <f>SUGERENCIAS!G711</f>
        <v/>
      </c>
      <c r="E731" s="66" t="str">
        <f>SUGERENCIAS!L711</f>
        <v>--</v>
      </c>
      <c r="F731" s="67" t="str">
        <f>SUGERENCIAS!N711</f>
        <v>SIN</v>
      </c>
    </row>
    <row r="732" spans="1:6" ht="15" customHeight="1">
      <c r="A732" s="37" t="str">
        <f>SUGERENCIAS!B712</f>
        <v>MARTES</v>
      </c>
      <c r="B732" s="44" t="str">
        <f>SUGERENCIAS!G712</f>
        <v/>
      </c>
      <c r="C732" s="37" t="str">
        <f>SUGERENCIAS!G712</f>
        <v/>
      </c>
      <c r="D732" s="65" t="str">
        <f>SUGERENCIAS!G712</f>
        <v/>
      </c>
      <c r="E732" s="66" t="str">
        <f>SUGERENCIAS!L712</f>
        <v>--</v>
      </c>
      <c r="F732" s="67" t="str">
        <f>SUGERENCIAS!N712</f>
        <v>SIN</v>
      </c>
    </row>
    <row r="733" spans="1:6" ht="15" customHeight="1">
      <c r="A733" s="37" t="str">
        <f>SUGERENCIAS!B713</f>
        <v>MARTES</v>
      </c>
      <c r="B733" s="44" t="str">
        <f>SUGERENCIAS!G713</f>
        <v/>
      </c>
      <c r="C733" s="37" t="str">
        <f>SUGERENCIAS!G713</f>
        <v/>
      </c>
      <c r="D733" s="65" t="str">
        <f>SUGERENCIAS!G713</f>
        <v/>
      </c>
      <c r="E733" s="66" t="str">
        <f>SUGERENCIAS!L713</f>
        <v>--</v>
      </c>
      <c r="F733" s="67" t="str">
        <f>SUGERENCIAS!N713</f>
        <v>SIN</v>
      </c>
    </row>
    <row r="734" spans="1:6" ht="15" customHeight="1">
      <c r="A734" s="37" t="str">
        <f>SUGERENCIAS!B714</f>
        <v>MARTES</v>
      </c>
      <c r="B734" s="44" t="str">
        <f>SUGERENCIAS!G714</f>
        <v/>
      </c>
      <c r="C734" s="37" t="str">
        <f>SUGERENCIAS!G714</f>
        <v/>
      </c>
      <c r="D734" s="65" t="str">
        <f>SUGERENCIAS!G714</f>
        <v/>
      </c>
      <c r="E734" s="66" t="str">
        <f>SUGERENCIAS!L714</f>
        <v>--</v>
      </c>
      <c r="F734" s="67" t="str">
        <f>SUGERENCIAS!N714</f>
        <v>SIN</v>
      </c>
    </row>
    <row r="735" spans="1:6" ht="15" customHeight="1">
      <c r="A735" s="37" t="str">
        <f>SUGERENCIAS!B715</f>
        <v>MARTES</v>
      </c>
      <c r="B735" s="44" t="str">
        <f>SUGERENCIAS!G715</f>
        <v/>
      </c>
      <c r="C735" s="37" t="str">
        <f>SUGERENCIAS!G715</f>
        <v/>
      </c>
      <c r="D735" s="65" t="str">
        <f>SUGERENCIAS!G715</f>
        <v/>
      </c>
      <c r="E735" s="66" t="str">
        <f>SUGERENCIAS!L715</f>
        <v>--</v>
      </c>
      <c r="F735" s="67" t="str">
        <f>SUGERENCIAS!N715</f>
        <v>SIN</v>
      </c>
    </row>
    <row r="736" spans="1:6" ht="15" customHeight="1">
      <c r="A736" s="37" t="str">
        <f>SUGERENCIAS!B716</f>
        <v>MARTES</v>
      </c>
      <c r="B736" s="44" t="str">
        <f>SUGERENCIAS!G716</f>
        <v/>
      </c>
      <c r="C736" s="37" t="str">
        <f>SUGERENCIAS!G716</f>
        <v/>
      </c>
      <c r="D736" s="65" t="str">
        <f>SUGERENCIAS!G716</f>
        <v/>
      </c>
      <c r="E736" s="66" t="str">
        <f>SUGERENCIAS!L716</f>
        <v>--</v>
      </c>
      <c r="F736" s="67" t="str">
        <f>SUGERENCIAS!N716</f>
        <v>SIN</v>
      </c>
    </row>
    <row r="737" spans="1:6" ht="15" customHeight="1">
      <c r="A737" s="37" t="str">
        <f>SUGERENCIAS!B717</f>
        <v>MARTES</v>
      </c>
      <c r="B737" s="44" t="str">
        <f>SUGERENCIAS!G717</f>
        <v/>
      </c>
      <c r="C737" s="37" t="str">
        <f>SUGERENCIAS!G717</f>
        <v/>
      </c>
      <c r="D737" s="65" t="str">
        <f>SUGERENCIAS!G717</f>
        <v/>
      </c>
      <c r="E737" s="66" t="str">
        <f>SUGERENCIAS!L717</f>
        <v>--</v>
      </c>
      <c r="F737" s="67" t="str">
        <f>SUGERENCIAS!N717</f>
        <v>SIN</v>
      </c>
    </row>
    <row r="738" spans="1:6" ht="15" customHeight="1">
      <c r="A738" s="37" t="str">
        <f>SUGERENCIAS!B718</f>
        <v>MARTES</v>
      </c>
      <c r="B738" s="44" t="str">
        <f>SUGERENCIAS!G718</f>
        <v/>
      </c>
      <c r="C738" s="37" t="str">
        <f>SUGERENCIAS!G718</f>
        <v/>
      </c>
      <c r="D738" s="65" t="str">
        <f>SUGERENCIAS!G718</f>
        <v/>
      </c>
      <c r="E738" s="66" t="str">
        <f>SUGERENCIAS!L718</f>
        <v>--</v>
      </c>
      <c r="F738" s="67" t="str">
        <f>SUGERENCIAS!N718</f>
        <v>SIN</v>
      </c>
    </row>
    <row r="739" spans="1:6" ht="15" customHeight="1">
      <c r="A739" s="37" t="str">
        <f>SUGERENCIAS!B719</f>
        <v>MIERCOLES</v>
      </c>
      <c r="B739" s="44" t="str">
        <f>SUGERENCIAS!G719</f>
        <v/>
      </c>
      <c r="C739" s="37" t="str">
        <f>SUGERENCIAS!G719</f>
        <v/>
      </c>
      <c r="D739" s="65" t="str">
        <f>SUGERENCIAS!G719</f>
        <v/>
      </c>
      <c r="E739" s="66" t="str">
        <f>SUGERENCIAS!L719</f>
        <v>--</v>
      </c>
      <c r="F739" s="67" t="str">
        <f>SUGERENCIAS!N719</f>
        <v>SIN</v>
      </c>
    </row>
    <row r="740" spans="1:6" ht="15" customHeight="1">
      <c r="A740" s="37" t="str">
        <f>SUGERENCIAS!B720</f>
        <v>MIERCOLES</v>
      </c>
      <c r="B740" s="44" t="str">
        <f>SUGERENCIAS!G720</f>
        <v/>
      </c>
      <c r="C740" s="37" t="str">
        <f>SUGERENCIAS!G720</f>
        <v/>
      </c>
      <c r="D740" s="65" t="str">
        <f>SUGERENCIAS!G720</f>
        <v/>
      </c>
      <c r="E740" s="66" t="str">
        <f>SUGERENCIAS!L720</f>
        <v>--</v>
      </c>
      <c r="F740" s="67" t="str">
        <f>SUGERENCIAS!N720</f>
        <v>SIN</v>
      </c>
    </row>
    <row r="741" spans="1:6" ht="15" customHeight="1">
      <c r="A741" s="37" t="str">
        <f>SUGERENCIAS!B721</f>
        <v>MIERCOLES</v>
      </c>
      <c r="B741" s="44" t="str">
        <f>SUGERENCIAS!G721</f>
        <v/>
      </c>
      <c r="C741" s="37" t="str">
        <f>SUGERENCIAS!G721</f>
        <v/>
      </c>
      <c r="D741" s="65" t="str">
        <f>SUGERENCIAS!G721</f>
        <v/>
      </c>
      <c r="E741" s="66" t="str">
        <f>SUGERENCIAS!L721</f>
        <v>--</v>
      </c>
      <c r="F741" s="67" t="str">
        <f>SUGERENCIAS!N721</f>
        <v>SIN</v>
      </c>
    </row>
    <row r="742" spans="1:6" ht="15" customHeight="1">
      <c r="A742" s="37" t="str">
        <f>SUGERENCIAS!B722</f>
        <v>MIERCOLES</v>
      </c>
      <c r="B742" s="44" t="str">
        <f>SUGERENCIAS!G722</f>
        <v/>
      </c>
      <c r="C742" s="37" t="str">
        <f>SUGERENCIAS!G722</f>
        <v/>
      </c>
      <c r="D742" s="65" t="str">
        <f>SUGERENCIAS!G722</f>
        <v/>
      </c>
      <c r="E742" s="66" t="str">
        <f>SUGERENCIAS!L722</f>
        <v>--</v>
      </c>
      <c r="F742" s="67" t="str">
        <f>SUGERENCIAS!N722</f>
        <v>SIN</v>
      </c>
    </row>
    <row r="743" spans="1:6" ht="15" customHeight="1">
      <c r="A743" s="37" t="str">
        <f>SUGERENCIAS!B723</f>
        <v>MIERCOLES</v>
      </c>
      <c r="B743" s="44" t="str">
        <f>SUGERENCIAS!G723</f>
        <v/>
      </c>
      <c r="C743" s="37" t="str">
        <f>SUGERENCIAS!G723</f>
        <v/>
      </c>
      <c r="D743" s="65" t="str">
        <f>SUGERENCIAS!G723</f>
        <v/>
      </c>
      <c r="E743" s="66" t="str">
        <f>SUGERENCIAS!L723</f>
        <v>--</v>
      </c>
      <c r="F743" s="67" t="str">
        <f>SUGERENCIAS!N723</f>
        <v>SIN</v>
      </c>
    </row>
    <row r="744" spans="1:6" ht="15" customHeight="1">
      <c r="A744" s="37" t="str">
        <f>SUGERENCIAS!B724</f>
        <v>MIERCOLES</v>
      </c>
      <c r="B744" s="44" t="str">
        <f>SUGERENCIAS!G724</f>
        <v/>
      </c>
      <c r="C744" s="37" t="str">
        <f>SUGERENCIAS!G724</f>
        <v/>
      </c>
      <c r="D744" s="65" t="str">
        <f>SUGERENCIAS!G724</f>
        <v/>
      </c>
      <c r="E744" s="66" t="str">
        <f>SUGERENCIAS!L724</f>
        <v>--</v>
      </c>
      <c r="F744" s="67" t="str">
        <f>SUGERENCIAS!N724</f>
        <v>SIN</v>
      </c>
    </row>
    <row r="745" spans="1:6" ht="15" customHeight="1">
      <c r="A745" s="37" t="str">
        <f>SUGERENCIAS!B725</f>
        <v>MIERCOLES</v>
      </c>
      <c r="B745" s="44" t="str">
        <f>SUGERENCIAS!G725</f>
        <v/>
      </c>
      <c r="C745" s="37" t="str">
        <f>SUGERENCIAS!G725</f>
        <v/>
      </c>
      <c r="D745" s="65" t="str">
        <f>SUGERENCIAS!G725</f>
        <v/>
      </c>
      <c r="E745" s="66" t="str">
        <f>SUGERENCIAS!L725</f>
        <v>--</v>
      </c>
      <c r="F745" s="67" t="str">
        <f>SUGERENCIAS!N725</f>
        <v>SIN</v>
      </c>
    </row>
    <row r="746" spans="1:6" ht="15" customHeight="1">
      <c r="A746" s="37" t="str">
        <f>SUGERENCIAS!B726</f>
        <v>MIERCOLES</v>
      </c>
      <c r="B746" s="44" t="str">
        <f>SUGERENCIAS!G726</f>
        <v/>
      </c>
      <c r="C746" s="37" t="str">
        <f>SUGERENCIAS!G726</f>
        <v/>
      </c>
      <c r="D746" s="65" t="str">
        <f>SUGERENCIAS!G726</f>
        <v/>
      </c>
      <c r="E746" s="66" t="str">
        <f>SUGERENCIAS!L726</f>
        <v>--</v>
      </c>
      <c r="F746" s="67" t="str">
        <f>SUGERENCIAS!N726</f>
        <v>SIN</v>
      </c>
    </row>
    <row r="747" spans="1:6" ht="15" customHeight="1">
      <c r="A747" s="37" t="str">
        <f>SUGERENCIAS!B727</f>
        <v>MIERCOLES</v>
      </c>
      <c r="B747" s="44" t="str">
        <f>SUGERENCIAS!G727</f>
        <v/>
      </c>
      <c r="C747" s="37" t="str">
        <f>SUGERENCIAS!G727</f>
        <v/>
      </c>
      <c r="D747" s="65" t="str">
        <f>SUGERENCIAS!G727</f>
        <v/>
      </c>
      <c r="E747" s="66" t="str">
        <f>SUGERENCIAS!L727</f>
        <v>--</v>
      </c>
      <c r="F747" s="67" t="str">
        <f>SUGERENCIAS!N727</f>
        <v>SIN</v>
      </c>
    </row>
    <row r="748" spans="1:6" ht="15" customHeight="1">
      <c r="A748" s="37" t="str">
        <f>SUGERENCIAS!B728</f>
        <v>MIERCOLES</v>
      </c>
      <c r="B748" s="44" t="str">
        <f>SUGERENCIAS!G728</f>
        <v/>
      </c>
      <c r="C748" s="37" t="str">
        <f>SUGERENCIAS!G728</f>
        <v/>
      </c>
      <c r="D748" s="65" t="str">
        <f>SUGERENCIAS!G728</f>
        <v/>
      </c>
      <c r="E748" s="66" t="str">
        <f>SUGERENCIAS!L728</f>
        <v>--</v>
      </c>
      <c r="F748" s="67" t="str">
        <f>SUGERENCIAS!N728</f>
        <v>SIN</v>
      </c>
    </row>
    <row r="749" spans="1:6" ht="15" customHeight="1">
      <c r="A749" s="37" t="str">
        <f>SUGERENCIAS!B729</f>
        <v>MIERCOLES</v>
      </c>
      <c r="B749" s="44" t="str">
        <f>SUGERENCIAS!G729</f>
        <v/>
      </c>
      <c r="C749" s="37" t="str">
        <f>SUGERENCIAS!G729</f>
        <v/>
      </c>
      <c r="D749" s="65" t="str">
        <f>SUGERENCIAS!G729</f>
        <v/>
      </c>
      <c r="E749" s="66" t="str">
        <f>SUGERENCIAS!L729</f>
        <v>--</v>
      </c>
      <c r="F749" s="67" t="str">
        <f>SUGERENCIAS!N729</f>
        <v>SIN</v>
      </c>
    </row>
    <row r="750" spans="1:6" ht="15" customHeight="1">
      <c r="A750" s="37" t="str">
        <f>SUGERENCIAS!B730</f>
        <v>MIERCOLES</v>
      </c>
      <c r="B750" s="44" t="str">
        <f>SUGERENCIAS!G730</f>
        <v/>
      </c>
      <c r="C750" s="37" t="str">
        <f>SUGERENCIAS!G730</f>
        <v/>
      </c>
      <c r="D750" s="65" t="str">
        <f>SUGERENCIAS!G730</f>
        <v/>
      </c>
      <c r="E750" s="66" t="str">
        <f>SUGERENCIAS!L730</f>
        <v>--</v>
      </c>
      <c r="F750" s="67" t="str">
        <f>SUGERENCIAS!N730</f>
        <v>SIN</v>
      </c>
    </row>
    <row r="751" spans="1:6" ht="15" customHeight="1">
      <c r="A751" s="37" t="str">
        <f>SUGERENCIAS!B731</f>
        <v>MIERCOLES</v>
      </c>
      <c r="B751" s="44" t="str">
        <f>SUGERENCIAS!G731</f>
        <v/>
      </c>
      <c r="C751" s="37" t="str">
        <f>SUGERENCIAS!G731</f>
        <v/>
      </c>
      <c r="D751" s="65" t="str">
        <f>SUGERENCIAS!G731</f>
        <v/>
      </c>
      <c r="E751" s="66" t="str">
        <f>SUGERENCIAS!L731</f>
        <v>--</v>
      </c>
      <c r="F751" s="67" t="str">
        <f>SUGERENCIAS!N731</f>
        <v>SIN</v>
      </c>
    </row>
    <row r="752" spans="1:6" ht="15" customHeight="1">
      <c r="A752" s="37" t="str">
        <f>SUGERENCIAS!B732</f>
        <v>MIERCOLES</v>
      </c>
      <c r="B752" s="44" t="str">
        <f>SUGERENCIAS!G732</f>
        <v/>
      </c>
      <c r="C752" s="37" t="str">
        <f>SUGERENCIAS!G732</f>
        <v/>
      </c>
      <c r="D752" s="65" t="str">
        <f>SUGERENCIAS!G732</f>
        <v/>
      </c>
      <c r="E752" s="66" t="str">
        <f>SUGERENCIAS!L732</f>
        <v>--</v>
      </c>
      <c r="F752" s="67" t="str">
        <f>SUGERENCIAS!N732</f>
        <v>SIN</v>
      </c>
    </row>
    <row r="753" spans="1:6" ht="15" customHeight="1">
      <c r="A753" s="37" t="str">
        <f>SUGERENCIAS!B733</f>
        <v>MIERCOLES</v>
      </c>
      <c r="B753" s="44" t="str">
        <f>SUGERENCIAS!G733</f>
        <v/>
      </c>
      <c r="C753" s="37" t="str">
        <f>SUGERENCIAS!G733</f>
        <v/>
      </c>
      <c r="D753" s="65" t="str">
        <f>SUGERENCIAS!G733</f>
        <v/>
      </c>
      <c r="E753" s="66" t="str">
        <f>SUGERENCIAS!L733</f>
        <v>--</v>
      </c>
      <c r="F753" s="67" t="str">
        <f>SUGERENCIAS!N733</f>
        <v>SIN</v>
      </c>
    </row>
    <row r="754" spans="1:6" ht="15" customHeight="1">
      <c r="A754" s="37" t="str">
        <f>SUGERENCIAS!B734</f>
        <v>JUEVES</v>
      </c>
      <c r="B754" s="44" t="str">
        <f>SUGERENCIAS!G734</f>
        <v/>
      </c>
      <c r="C754" s="37" t="str">
        <f>SUGERENCIAS!G734</f>
        <v/>
      </c>
      <c r="D754" s="65" t="str">
        <f>SUGERENCIAS!G734</f>
        <v/>
      </c>
      <c r="E754" s="66" t="str">
        <f>SUGERENCIAS!L734</f>
        <v>--</v>
      </c>
      <c r="F754" s="67" t="str">
        <f>SUGERENCIAS!N734</f>
        <v>SIN</v>
      </c>
    </row>
    <row r="755" spans="1:6" ht="15" customHeight="1">
      <c r="A755" s="37" t="str">
        <f>SUGERENCIAS!B735</f>
        <v>JUEVES</v>
      </c>
      <c r="B755" s="44" t="str">
        <f>SUGERENCIAS!G735</f>
        <v/>
      </c>
      <c r="C755" s="37" t="str">
        <f>SUGERENCIAS!G735</f>
        <v/>
      </c>
      <c r="D755" s="65" t="str">
        <f>SUGERENCIAS!G735</f>
        <v/>
      </c>
      <c r="E755" s="66" t="str">
        <f>SUGERENCIAS!L735</f>
        <v>--</v>
      </c>
      <c r="F755" s="67" t="str">
        <f>SUGERENCIAS!N735</f>
        <v>SIN</v>
      </c>
    </row>
    <row r="756" spans="1:6" ht="15" customHeight="1">
      <c r="A756" s="37" t="str">
        <f>SUGERENCIAS!B736</f>
        <v>JUEVES</v>
      </c>
      <c r="B756" s="44" t="str">
        <f>SUGERENCIAS!G736</f>
        <v/>
      </c>
      <c r="C756" s="37" t="str">
        <f>SUGERENCIAS!G736</f>
        <v/>
      </c>
      <c r="D756" s="65" t="str">
        <f>SUGERENCIAS!G736</f>
        <v/>
      </c>
      <c r="E756" s="66" t="str">
        <f>SUGERENCIAS!L736</f>
        <v>--</v>
      </c>
      <c r="F756" s="67" t="str">
        <f>SUGERENCIAS!N736</f>
        <v>SIN</v>
      </c>
    </row>
    <row r="757" spans="1:6" ht="15" customHeight="1">
      <c r="A757" s="37" t="str">
        <f>SUGERENCIAS!B737</f>
        <v>JUEVES</v>
      </c>
      <c r="B757" s="44" t="str">
        <f>SUGERENCIAS!G737</f>
        <v/>
      </c>
      <c r="C757" s="37" t="str">
        <f>SUGERENCIAS!G737</f>
        <v/>
      </c>
      <c r="D757" s="65" t="str">
        <f>SUGERENCIAS!G737</f>
        <v/>
      </c>
      <c r="E757" s="66" t="str">
        <f>SUGERENCIAS!L737</f>
        <v>--</v>
      </c>
      <c r="F757" s="67" t="str">
        <f>SUGERENCIAS!N737</f>
        <v>SIN</v>
      </c>
    </row>
    <row r="758" spans="1:6" ht="15" customHeight="1">
      <c r="A758" s="37" t="str">
        <f>SUGERENCIAS!B738</f>
        <v>JUEVES</v>
      </c>
      <c r="B758" s="44" t="str">
        <f>SUGERENCIAS!G738</f>
        <v/>
      </c>
      <c r="C758" s="37" t="str">
        <f>SUGERENCIAS!G738</f>
        <v/>
      </c>
      <c r="D758" s="65" t="str">
        <f>SUGERENCIAS!G738</f>
        <v/>
      </c>
      <c r="E758" s="66" t="str">
        <f>SUGERENCIAS!L738</f>
        <v>--</v>
      </c>
      <c r="F758" s="67" t="str">
        <f>SUGERENCIAS!N738</f>
        <v>SIN</v>
      </c>
    </row>
    <row r="759" spans="1:6" ht="15" customHeight="1">
      <c r="A759" s="37" t="str">
        <f>SUGERENCIAS!B739</f>
        <v>JUEVES</v>
      </c>
      <c r="B759" s="44" t="str">
        <f>SUGERENCIAS!G739</f>
        <v/>
      </c>
      <c r="C759" s="37" t="str">
        <f>SUGERENCIAS!G739</f>
        <v/>
      </c>
      <c r="D759" s="65" t="str">
        <f>SUGERENCIAS!G739</f>
        <v/>
      </c>
      <c r="E759" s="66" t="str">
        <f>SUGERENCIAS!L739</f>
        <v>--</v>
      </c>
      <c r="F759" s="67" t="str">
        <f>SUGERENCIAS!N739</f>
        <v>SIN</v>
      </c>
    </row>
    <row r="760" spans="1:6" ht="15" customHeight="1">
      <c r="A760" s="37" t="str">
        <f>SUGERENCIAS!B740</f>
        <v>JUEVES</v>
      </c>
      <c r="B760" s="44" t="str">
        <f>SUGERENCIAS!G740</f>
        <v/>
      </c>
      <c r="C760" s="37" t="str">
        <f>SUGERENCIAS!G740</f>
        <v/>
      </c>
      <c r="D760" s="65" t="str">
        <f>SUGERENCIAS!G740</f>
        <v/>
      </c>
      <c r="E760" s="66" t="str">
        <f>SUGERENCIAS!L740</f>
        <v>--</v>
      </c>
      <c r="F760" s="67" t="str">
        <f>SUGERENCIAS!N740</f>
        <v>SIN</v>
      </c>
    </row>
    <row r="761" spans="1:6" ht="15" customHeight="1">
      <c r="A761" s="37" t="str">
        <f>SUGERENCIAS!B741</f>
        <v>JUEVES</v>
      </c>
      <c r="B761" s="44" t="str">
        <f>SUGERENCIAS!G741</f>
        <v/>
      </c>
      <c r="C761" s="37" t="str">
        <f>SUGERENCIAS!G741</f>
        <v/>
      </c>
      <c r="D761" s="65" t="str">
        <f>SUGERENCIAS!G741</f>
        <v/>
      </c>
      <c r="E761" s="66" t="str">
        <f>SUGERENCIAS!L741</f>
        <v>--</v>
      </c>
      <c r="F761" s="67" t="str">
        <f>SUGERENCIAS!N741</f>
        <v>SIN</v>
      </c>
    </row>
    <row r="762" spans="1:6" ht="15" customHeight="1">
      <c r="A762" s="37" t="str">
        <f>SUGERENCIAS!B742</f>
        <v>JUEVES</v>
      </c>
      <c r="B762" s="44" t="str">
        <f>SUGERENCIAS!G742</f>
        <v/>
      </c>
      <c r="C762" s="37" t="str">
        <f>SUGERENCIAS!G742</f>
        <v/>
      </c>
      <c r="D762" s="65" t="str">
        <f>SUGERENCIAS!G742</f>
        <v/>
      </c>
      <c r="E762" s="66" t="str">
        <f>SUGERENCIAS!L742</f>
        <v>--</v>
      </c>
      <c r="F762" s="67" t="str">
        <f>SUGERENCIAS!N742</f>
        <v>SIN</v>
      </c>
    </row>
    <row r="763" spans="1:6" ht="15" customHeight="1">
      <c r="A763" s="37" t="str">
        <f>SUGERENCIAS!B743</f>
        <v>JUEVES</v>
      </c>
      <c r="B763" s="44" t="str">
        <f>SUGERENCIAS!G743</f>
        <v/>
      </c>
      <c r="C763" s="37" t="str">
        <f>SUGERENCIAS!G743</f>
        <v/>
      </c>
      <c r="D763" s="65" t="str">
        <f>SUGERENCIAS!G743</f>
        <v/>
      </c>
      <c r="E763" s="66" t="str">
        <f>SUGERENCIAS!L743</f>
        <v>--</v>
      </c>
      <c r="F763" s="67" t="str">
        <f>SUGERENCIAS!N743</f>
        <v>SIN</v>
      </c>
    </row>
    <row r="764" spans="1:6" ht="15" customHeight="1">
      <c r="A764" s="37" t="str">
        <f>SUGERENCIAS!B744</f>
        <v>JUEVES</v>
      </c>
      <c r="B764" s="44" t="str">
        <f>SUGERENCIAS!G744</f>
        <v/>
      </c>
      <c r="C764" s="37" t="str">
        <f>SUGERENCIAS!G744</f>
        <v/>
      </c>
      <c r="D764" s="65" t="str">
        <f>SUGERENCIAS!G744</f>
        <v/>
      </c>
      <c r="E764" s="66" t="str">
        <f>SUGERENCIAS!L744</f>
        <v>--</v>
      </c>
      <c r="F764" s="67" t="str">
        <f>SUGERENCIAS!N744</f>
        <v>SIN</v>
      </c>
    </row>
    <row r="765" spans="1:6" ht="15" customHeight="1">
      <c r="A765" s="37" t="str">
        <f>SUGERENCIAS!B745</f>
        <v>JUEVES</v>
      </c>
      <c r="B765" s="44">
        <f>SUGERENCIAS!G745</f>
        <v>40</v>
      </c>
      <c r="C765" s="37">
        <f>SUGERENCIAS!G745</f>
        <v>40</v>
      </c>
      <c r="D765" s="65">
        <f>SUGERENCIAS!G745</f>
        <v>40</v>
      </c>
      <c r="E765" s="66">
        <f>SUGERENCIAS!L745</f>
        <v>7</v>
      </c>
      <c r="F765" s="67" t="str">
        <f>SUGERENCIAS!N745</f>
        <v>MANT</v>
      </c>
    </row>
    <row r="766" spans="1:6" ht="15" customHeight="1">
      <c r="A766" s="37" t="str">
        <f>SUGERENCIAS!B746</f>
        <v>JUEVES</v>
      </c>
      <c r="B766" s="44" t="str">
        <f>SUGERENCIAS!G746</f>
        <v/>
      </c>
      <c r="C766" s="37" t="str">
        <f>SUGERENCIAS!G746</f>
        <v/>
      </c>
      <c r="D766" s="65" t="str">
        <f>SUGERENCIAS!G746</f>
        <v/>
      </c>
      <c r="E766" s="66" t="str">
        <f>SUGERENCIAS!L746</f>
        <v>--</v>
      </c>
      <c r="F766" s="67" t="str">
        <f>SUGERENCIAS!N746</f>
        <v>SIN</v>
      </c>
    </row>
    <row r="767" spans="1:6" ht="15" customHeight="1">
      <c r="A767" s="37" t="str">
        <f>SUGERENCIAS!B747</f>
        <v>SABADO</v>
      </c>
      <c r="B767" s="44" t="str">
        <f>SUGERENCIAS!G747</f>
        <v/>
      </c>
      <c r="C767" s="37" t="str">
        <f>SUGERENCIAS!G747</f>
        <v/>
      </c>
      <c r="D767" s="65" t="str">
        <f>SUGERENCIAS!G747</f>
        <v/>
      </c>
      <c r="E767" s="66" t="str">
        <f>SUGERENCIAS!L747</f>
        <v>--</v>
      </c>
      <c r="F767" s="67" t="str">
        <f>SUGERENCIAS!N747</f>
        <v>SIN</v>
      </c>
    </row>
    <row r="768" spans="1:6" ht="15" customHeight="1">
      <c r="A768" s="37" t="str">
        <f>SUGERENCIAS!B748</f>
        <v>SABADO</v>
      </c>
      <c r="B768" s="44" t="str">
        <f>SUGERENCIAS!G748</f>
        <v/>
      </c>
      <c r="C768" s="37" t="str">
        <f>SUGERENCIAS!G748</f>
        <v/>
      </c>
      <c r="D768" s="65" t="str">
        <f>SUGERENCIAS!G748</f>
        <v/>
      </c>
      <c r="E768" s="66" t="str">
        <f>SUGERENCIAS!L748</f>
        <v>--</v>
      </c>
      <c r="F768" s="67" t="str">
        <f>SUGERENCIAS!N748</f>
        <v>SIN</v>
      </c>
    </row>
    <row r="769" spans="1:6" ht="15" customHeight="1">
      <c r="A769" s="37" t="str">
        <f>SUGERENCIAS!B749</f>
        <v>SABADO</v>
      </c>
      <c r="B769" s="44" t="str">
        <f>SUGERENCIAS!G749</f>
        <v/>
      </c>
      <c r="C769" s="37" t="str">
        <f>SUGERENCIAS!G749</f>
        <v/>
      </c>
      <c r="D769" s="65" t="str">
        <f>SUGERENCIAS!G749</f>
        <v/>
      </c>
      <c r="E769" s="66" t="str">
        <f>SUGERENCIAS!L749</f>
        <v>--</v>
      </c>
      <c r="F769" s="67" t="str">
        <f>SUGERENCIAS!N749</f>
        <v>SIN</v>
      </c>
    </row>
    <row r="770" spans="1:6" ht="15" customHeight="1">
      <c r="A770" s="37" t="str">
        <f>SUGERENCIAS!B750</f>
        <v>SABADO</v>
      </c>
      <c r="B770" s="44" t="str">
        <f>SUGERENCIAS!G750</f>
        <v/>
      </c>
      <c r="C770" s="37" t="str">
        <f>SUGERENCIAS!G750</f>
        <v/>
      </c>
      <c r="D770" s="65" t="str">
        <f>SUGERENCIAS!G750</f>
        <v/>
      </c>
      <c r="E770" s="66" t="str">
        <f>SUGERENCIAS!L750</f>
        <v>--</v>
      </c>
      <c r="F770" s="67" t="str">
        <f>SUGERENCIAS!N750</f>
        <v>SIN</v>
      </c>
    </row>
    <row r="771" spans="1:6" ht="15" customHeight="1">
      <c r="A771" s="37" t="str">
        <f>SUGERENCIAS!B751</f>
        <v>SABADO</v>
      </c>
      <c r="B771" s="44">
        <f>SUGERENCIAS!G751</f>
        <v>40</v>
      </c>
      <c r="C771" s="37">
        <f>SUGERENCIAS!G751</f>
        <v>40</v>
      </c>
      <c r="D771" s="65">
        <f>SUGERENCIAS!G751</f>
        <v>40</v>
      </c>
      <c r="E771" s="66">
        <f>SUGERENCIAS!L751</f>
        <v>7</v>
      </c>
      <c r="F771" s="67" t="str">
        <f>SUGERENCIAS!N751</f>
        <v>MANT</v>
      </c>
    </row>
    <row r="772" spans="1:6" ht="15" customHeight="1">
      <c r="A772" s="37" t="str">
        <f>SUGERENCIAS!B752</f>
        <v>SABADO</v>
      </c>
      <c r="B772" s="44">
        <f>SUGERENCIAS!G752</f>
        <v>20</v>
      </c>
      <c r="C772" s="37">
        <f>SUGERENCIAS!G752</f>
        <v>20</v>
      </c>
      <c r="D772" s="65">
        <f>SUGERENCIAS!G752</f>
        <v>20</v>
      </c>
      <c r="E772" s="66">
        <f>SUGERENCIAS!L752</f>
        <v>6</v>
      </c>
      <c r="F772" s="67" t="str">
        <f>SUGERENCIAS!N752</f>
        <v>SUBIR</v>
      </c>
    </row>
    <row r="773" spans="1:6" ht="15" customHeight="1">
      <c r="A773" s="37" t="str">
        <f>SUGERENCIAS!B753</f>
        <v>SABADO</v>
      </c>
      <c r="B773" s="44" t="str">
        <f>SUGERENCIAS!G753</f>
        <v/>
      </c>
      <c r="C773" s="37" t="str">
        <f>SUGERENCIAS!G753</f>
        <v/>
      </c>
      <c r="D773" s="65" t="str">
        <f>SUGERENCIAS!G753</f>
        <v/>
      </c>
      <c r="E773" s="66" t="str">
        <f>SUGERENCIAS!L753</f>
        <v>--</v>
      </c>
      <c r="F773" s="67" t="str">
        <f>SUGERENCIAS!N753</f>
        <v>SIN</v>
      </c>
    </row>
    <row r="774" spans="1:6" ht="15" customHeight="1">
      <c r="A774" s="37" t="str">
        <f>SUGERENCIAS!B754</f>
        <v>SABADO</v>
      </c>
      <c r="B774" s="44" t="str">
        <f>SUGERENCIAS!G754</f>
        <v/>
      </c>
      <c r="C774" s="37" t="str">
        <f>SUGERENCIAS!G754</f>
        <v/>
      </c>
      <c r="D774" s="65" t="str">
        <f>SUGERENCIAS!G754</f>
        <v/>
      </c>
      <c r="E774" s="66" t="str">
        <f>SUGERENCIAS!L754</f>
        <v>--</v>
      </c>
      <c r="F774" s="67" t="str">
        <f>SUGERENCIAS!N754</f>
        <v>SIN</v>
      </c>
    </row>
    <row r="775" spans="1:6" ht="15" customHeight="1">
      <c r="A775" s="37" t="str">
        <f>SUGERENCIAS!B755</f>
        <v>SABADO</v>
      </c>
      <c r="B775" s="44" t="str">
        <f>SUGERENCIAS!G755</f>
        <v/>
      </c>
      <c r="C775" s="37" t="str">
        <f>SUGERENCIAS!G755</f>
        <v/>
      </c>
      <c r="D775" s="65" t="str">
        <f>SUGERENCIAS!G755</f>
        <v/>
      </c>
      <c r="E775" s="66" t="str">
        <f>SUGERENCIAS!L755</f>
        <v>--</v>
      </c>
      <c r="F775" s="67" t="str">
        <f>SUGERENCIAS!N755</f>
        <v>SIN</v>
      </c>
    </row>
    <row r="776" spans="1:6" ht="15" customHeight="1">
      <c r="A776" s="37" t="str">
        <f>SUGERENCIAS!B756</f>
        <v>SABADO</v>
      </c>
      <c r="B776" s="44" t="str">
        <f>SUGERENCIAS!G756</f>
        <v/>
      </c>
      <c r="C776" s="37" t="str">
        <f>SUGERENCIAS!G756</f>
        <v/>
      </c>
      <c r="D776" s="65" t="str">
        <f>SUGERENCIAS!G756</f>
        <v/>
      </c>
      <c r="E776" s="66" t="str">
        <f>SUGERENCIAS!L756</f>
        <v>--</v>
      </c>
      <c r="F776" s="67" t="str">
        <f>SUGERENCIAS!N756</f>
        <v>SIN</v>
      </c>
    </row>
    <row r="777" spans="1:6" ht="15" customHeight="1">
      <c r="A777" s="37" t="str">
        <f>SUGERENCIAS!B757</f>
        <v>SABADO</v>
      </c>
      <c r="B777" s="44" t="str">
        <f>SUGERENCIAS!G757</f>
        <v/>
      </c>
      <c r="C777" s="37" t="str">
        <f>SUGERENCIAS!G757</f>
        <v/>
      </c>
      <c r="D777" s="65" t="str">
        <f>SUGERENCIAS!G757</f>
        <v/>
      </c>
      <c r="E777" s="66" t="str">
        <f>SUGERENCIAS!L757</f>
        <v>--</v>
      </c>
      <c r="F777" s="67" t="str">
        <f>SUGERENCIAS!N757</f>
        <v>SIN</v>
      </c>
    </row>
    <row r="778" spans="1:6" ht="15" customHeight="1">
      <c r="A778" s="37" t="str">
        <f>SUGERENCIAS!B758</f>
        <v>SABADO</v>
      </c>
      <c r="B778" s="44" t="str">
        <f>SUGERENCIAS!G758</f>
        <v/>
      </c>
      <c r="C778" s="37" t="str">
        <f>SUGERENCIAS!G758</f>
        <v/>
      </c>
      <c r="D778" s="65" t="str">
        <f>SUGERENCIAS!G758</f>
        <v/>
      </c>
      <c r="E778" s="66" t="str">
        <f>SUGERENCIAS!L758</f>
        <v>--</v>
      </c>
      <c r="F778" s="67" t="str">
        <f>SUGERENCIAS!N758</f>
        <v>SIN</v>
      </c>
    </row>
    <row r="779" spans="1:6" ht="15" customHeight="1">
      <c r="A779" s="37" t="str">
        <f>SUGERENCIAS!B759</f>
        <v>SABADO</v>
      </c>
      <c r="B779" s="44" t="str">
        <f>SUGERENCIAS!G759</f>
        <v/>
      </c>
      <c r="C779" s="37" t="str">
        <f>SUGERENCIAS!G759</f>
        <v/>
      </c>
      <c r="D779" s="65" t="str">
        <f>SUGERENCIAS!G759</f>
        <v/>
      </c>
      <c r="E779" s="66" t="str">
        <f>SUGERENCIAS!L759</f>
        <v>--</v>
      </c>
      <c r="F779" s="67" t="str">
        <f>SUGERENCIAS!N759</f>
        <v>SIN</v>
      </c>
    </row>
  </sheetData>
  <mergeCells count="3">
    <mergeCell ref="A2:G2"/>
    <mergeCell ref="A22:F22"/>
    <mergeCell ref="A1:M1"/>
  </mergeCells>
  <conditionalFormatting sqref="F24:F779">
    <cfRule type="expression" dxfId="2" priority="1">
      <formula>LEFT(F24,1)="S"</formula>
    </cfRule>
    <cfRule type="expression" dxfId="1" priority="2">
      <formula>LEFT(F24,1)="M"</formula>
    </cfRule>
    <cfRule type="expression" dxfId="0" priority="3">
      <formula>LEFT(F24,1)="B"</formula>
    </cfRule>
  </conditionalFormatting>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Luis Labrandero</cp:lastModifiedBy>
  <cp:revision/>
  <dcterms:created xsi:type="dcterms:W3CDTF">2026-03-23T21:09:43Z</dcterms:created>
  <dcterms:modified xsi:type="dcterms:W3CDTF">2026-04-17T10:30:15Z</dcterms:modified>
  <cp:category/>
  <cp:contentStatus/>
</cp:coreProperties>
</file>